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6800" activeTab="1"/>
  </bookViews>
  <sheets>
    <sheet name="Mastersheet" sheetId="1" r:id="rId1"/>
    <sheet name="Adani Enterprises" sheetId="2" r:id="rId2"/>
    <sheet name="Adani Ports" sheetId="3" r:id="rId3"/>
    <sheet name="Asian Paints" sheetId="4" r:id="rId4"/>
    <sheet name="Axis Bank" sheetId="5" r:id="rId5"/>
    <sheet name="bAJAJ AUTO" sheetId="6" r:id="rId6"/>
    <sheet name="Bajaj Finance" sheetId="7" r:id="rId7"/>
    <sheet name="Bharti Airtel" sheetId="8" r:id="rId8"/>
    <sheet name="BPCL" sheetId="9" r:id="rId9"/>
    <sheet name="Britannia Industries" sheetId="10" r:id="rId10"/>
    <sheet name="Cipla" sheetId="11" r:id="rId11"/>
    <sheet name="Coal India" sheetId="12" r:id="rId12"/>
    <sheet name="Divis Laboratories" sheetId="13" r:id="rId13"/>
    <sheet name="Dr. Reddys Laboratories" sheetId="14" r:id="rId14"/>
    <sheet name="Eicher Motors" sheetId="15" r:id="rId15"/>
    <sheet name="Grasim Industries" sheetId="16" r:id="rId16"/>
    <sheet name="HCL Technologies" sheetId="17" r:id="rId17"/>
    <sheet name="HDFC Bank" sheetId="18" r:id="rId18"/>
    <sheet name="Hero MotoCorp" sheetId="19" r:id="rId19"/>
    <sheet name="Hindalco Industries" sheetId="20" r:id="rId20"/>
    <sheet name="Hindustan Unilever" sheetId="21" r:id="rId21"/>
    <sheet name="ICICI Bank" sheetId="22" r:id="rId22"/>
    <sheet name="ITC" sheetId="23" r:id="rId23"/>
    <sheet name="JSW Steel" sheetId="24" r:id="rId24"/>
    <sheet name="Kotak Mahindra Bank" sheetId="25" r:id="rId25"/>
    <sheet name="Maruti Suzuki India" sheetId="26" r:id="rId26"/>
    <sheet name="Nestle India" sheetId="27" r:id="rId27"/>
    <sheet name="NTPC" sheetId="28" r:id="rId28"/>
    <sheet name="Oil &amp; Natural Gas Corporation (" sheetId="29" r:id="rId29"/>
    <sheet name="Power Grid Corporation" sheetId="30" r:id="rId30"/>
    <sheet name="Reliance Industries" sheetId="31" r:id="rId31"/>
    <sheet name="SBI" sheetId="32" r:id="rId32"/>
    <sheet name="Shree Cement" sheetId="33" r:id="rId33"/>
    <sheet name="Sun Pharmaceutical Industries" sheetId="34" r:id="rId34"/>
    <sheet name="Tata Consumer Products" sheetId="35" r:id="rId35"/>
    <sheet name="Tata Motors" sheetId="36" r:id="rId36"/>
    <sheet name="Tata Steel" sheetId="37" r:id="rId37"/>
    <sheet name="Tech Mahindra" sheetId="38" r:id="rId38"/>
    <sheet name="Titan Company" sheetId="39" r:id="rId39"/>
    <sheet name="UltraTech Cement" sheetId="40" r:id="rId40"/>
    <sheet name="Wipro" sheetId="41" r:id="rId41"/>
    <sheet name="Yes Bank" sheetId="42" r:id="rId42"/>
    <sheet name="Aarti Industries" sheetId="43" r:id="rId43"/>
    <sheet name="Adani Green Energy" sheetId="44" r:id="rId44"/>
    <sheet name="Ambuja Cements" sheetId="45" r:id="rId45"/>
    <sheet name="Aurobindo Pharma" sheetId="46" r:id="rId46"/>
    <sheet name="Bajaj Finserv" sheetId="47" r:id="rId47"/>
    <sheet name="GAIL India" sheetId="48" r:id="rId48"/>
    <sheet name="Infosys" sheetId="49" r:id="rId49"/>
    <sheet name="Sheet52" sheetId="50" r:id="rId50"/>
    <sheet name="Sheet53" sheetId="51" r:id="rId51"/>
    <sheet name="Sheet54" sheetId="52" r:id="rId52"/>
    <sheet name="Sheet55" sheetId="53" r:id="rId53"/>
    <sheet name="Sheet56" sheetId="54" r:id="rId54"/>
    <sheet name="Sheet57" sheetId="55" r:id="rId55"/>
    <sheet name="Sheet58" sheetId="56" r:id="rId56"/>
    <sheet name="Sheet59" sheetId="57" r:id="rId57"/>
    <sheet name="Sheet60" sheetId="58" r:id="rId58"/>
    <sheet name="Sheet61" sheetId="59" r:id="rId59"/>
    <sheet name="Sheet62" sheetId="60" r:id="rId60"/>
    <sheet name="Sheet63" sheetId="61" r:id="rId61"/>
    <sheet name="Sheet64" sheetId="62" r:id="rId6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<sst xmlns="http://schemas.openxmlformats.org/spreadsheetml/2006/main" count="2087" uniqueCount="295">
  <si>
    <t>NIFTY50 STOCKS</t>
  </si>
  <si>
    <t>After Crossover if LTP is between X &amp; Y percent above crossover</t>
  </si>
  <si>
    <t>IN EXIT LOGIC IF STOCK IS Z PERCENT ABOVE ENTRY PRICE AND LAST HEIKEN ASHI IS NEGATIVE</t>
  </si>
  <si>
    <t>IN EXIT LOGIC IF STOCK IS W PERCENT ABOVE ENTRY PRICE AND LAST HEIKEN ASHI IS NEGATIVE</t>
  </si>
  <si>
    <t>Stock Name</t>
  </si>
  <si>
    <t>Ticker Symbol (for Google Sheets)</t>
  </si>
  <si>
    <t>BUY</t>
  </si>
  <si>
    <t>SELL</t>
  </si>
  <si>
    <t>LIST OF STOCKS IN PORTFOLIO</t>
  </si>
  <si>
    <t>ENTRY PRICE</t>
  </si>
  <si>
    <t>X</t>
  </si>
  <si>
    <t>Y</t>
  </si>
  <si>
    <t>Z</t>
  </si>
  <si>
    <t>W</t>
  </si>
  <si>
    <t>Adani Enterprises Limited</t>
  </si>
  <si>
    <t>ADANIENT</t>
  </si>
  <si>
    <t>Adani Ports &amp; SEZ</t>
  </si>
  <si>
    <t>NSE:ADANIPORTS</t>
  </si>
  <si>
    <t>Asian Paints</t>
  </si>
  <si>
    <t>NSE:ASIANPAINT</t>
  </si>
  <si>
    <t>Axis Bank</t>
  </si>
  <si>
    <t>NSE:AXISBANK</t>
  </si>
  <si>
    <t>Bajaj Auto</t>
  </si>
  <si>
    <t>NSE:BAJAJ-AUTO</t>
  </si>
  <si>
    <t>Bajaj Finance</t>
  </si>
  <si>
    <t>NSE:BAJFINANCE</t>
  </si>
  <si>
    <t>Bharti Airtel</t>
  </si>
  <si>
    <t>NSE:BHARTIARTL</t>
  </si>
  <si>
    <t>BPCL</t>
  </si>
  <si>
    <t>NSE:BPCL</t>
  </si>
  <si>
    <t>Britannia Industries</t>
  </si>
  <si>
    <t>NSE:BRITANNIA</t>
  </si>
  <si>
    <t>Cipla</t>
  </si>
  <si>
    <t>NSE:CIPLA</t>
  </si>
  <si>
    <t>Coal India</t>
  </si>
  <si>
    <t>NSE:COALINDIA</t>
  </si>
  <si>
    <t>Divi's Laboratories</t>
  </si>
  <si>
    <t>NSE:DIVISLAB</t>
  </si>
  <si>
    <t>Dr. Reddy's Laboratories</t>
  </si>
  <si>
    <t>NSE:DRREDDY</t>
  </si>
  <si>
    <t>Eicher Motors</t>
  </si>
  <si>
    <t>NSE:EICHERMOT</t>
  </si>
  <si>
    <t>Grasim Industries</t>
  </si>
  <si>
    <t>NSE:GRASIM</t>
  </si>
  <si>
    <t>HCL Technologies</t>
  </si>
  <si>
    <t>NSE:HCLTECH</t>
  </si>
  <si>
    <t>HDFC Bank</t>
  </si>
  <si>
    <t>NSE:HDFCBANK</t>
  </si>
  <si>
    <t>Hero MotoCorp</t>
  </si>
  <si>
    <t>NSE:HEROMOTOCO</t>
  </si>
  <si>
    <t>Hindalco Industries</t>
  </si>
  <si>
    <t>NSE:HINDALCO</t>
  </si>
  <si>
    <t>Hindustan Unilever</t>
  </si>
  <si>
    <t>NSE:HINDUNILVR</t>
  </si>
  <si>
    <t>ICICI Bank</t>
  </si>
  <si>
    <t>NSE:ICICIBANK</t>
  </si>
  <si>
    <t>ITC</t>
  </si>
  <si>
    <t>NSE:ITC</t>
  </si>
  <si>
    <t>JSW Steel</t>
  </si>
  <si>
    <t>NSE:JSWSTEEL</t>
  </si>
  <si>
    <t>Kotak Mahindra Bank</t>
  </si>
  <si>
    <t>NSE:KOTAKBANK</t>
  </si>
  <si>
    <t>Maruti Suzuki India</t>
  </si>
  <si>
    <t>NSE:MARUTI</t>
  </si>
  <si>
    <t>Nestle India</t>
  </si>
  <si>
    <t>NSE:NESTLEIND</t>
  </si>
  <si>
    <t>NTPC</t>
  </si>
  <si>
    <t>NSE:NTPC</t>
  </si>
  <si>
    <t>Oil &amp; Natural Gas Corporation (ONGC)</t>
  </si>
  <si>
    <t>NSE:ONGC</t>
  </si>
  <si>
    <t>Power Grid Corporation</t>
  </si>
  <si>
    <t>NSE:POWERGRID</t>
  </si>
  <si>
    <t>Reliance Industries</t>
  </si>
  <si>
    <t>NSE:RELIANCE</t>
  </si>
  <si>
    <t>SBI</t>
  </si>
  <si>
    <t>NSE:SBIN</t>
  </si>
  <si>
    <t>Shree Cement</t>
  </si>
  <si>
    <t>NSE:SHREECEM</t>
  </si>
  <si>
    <t>Sun Pharmaceutical Industries</t>
  </si>
  <si>
    <t>NSE:SUNPHARMA</t>
  </si>
  <si>
    <t>Tata Consumer Products</t>
  </si>
  <si>
    <t>NSE:TATACONSUM</t>
  </si>
  <si>
    <t>Tata Motors</t>
  </si>
  <si>
    <t>NSE:TATAMOTORS</t>
  </si>
  <si>
    <t>Tata Steel</t>
  </si>
  <si>
    <t>NSE:TATASTEEL</t>
  </si>
  <si>
    <t>Tech Mahindra</t>
  </si>
  <si>
    <t>NSE:TECHM</t>
  </si>
  <si>
    <t>Titan Company</t>
  </si>
  <si>
    <t>NSE:TITAN</t>
  </si>
  <si>
    <t>UltraTech Cement</t>
  </si>
  <si>
    <t>NSE:ULTRACEMCO</t>
  </si>
  <si>
    <t>Wipro</t>
  </si>
  <si>
    <t>NSE:WIPRO</t>
  </si>
  <si>
    <t>Yes Bank</t>
  </si>
  <si>
    <t>NSE:YESBANK</t>
  </si>
  <si>
    <t>Aarti Industries</t>
  </si>
  <si>
    <t>AARTIIND</t>
  </si>
  <si>
    <t>Adani Green Energy</t>
  </si>
  <si>
    <t>ADANIGREEN</t>
  </si>
  <si>
    <t>Ambuja Cements</t>
  </si>
  <si>
    <t>AMBUJACEM</t>
  </si>
  <si>
    <t>Aurobindo Pharma</t>
  </si>
  <si>
    <t>AUROPHARMA</t>
  </si>
  <si>
    <t>Bajaj Finserv</t>
  </si>
  <si>
    <t>BAJAJFINSV</t>
  </si>
  <si>
    <t>GAIL India</t>
  </si>
  <si>
    <t>GAIL</t>
  </si>
  <si>
    <t>Infosys</t>
  </si>
  <si>
    <t>INFY</t>
  </si>
  <si>
    <t>ITC Limited</t>
  </si>
  <si>
    <t>Larsen &amp; Toubro</t>
  </si>
  <si>
    <t>LT</t>
  </si>
  <si>
    <t>Mahindra &amp; Mahindra</t>
  </si>
  <si>
    <t>M&amp;M</t>
  </si>
  <si>
    <t>Maruti Suzuki</t>
  </si>
  <si>
    <t>MARUTI</t>
  </si>
  <si>
    <t>NTPC Limited</t>
  </si>
  <si>
    <t>Oil and Natural Gas Corporation</t>
  </si>
  <si>
    <t>OIL</t>
  </si>
  <si>
    <t>State Bank of India</t>
  </si>
  <si>
    <t>SRF Limited</t>
  </si>
  <si>
    <t>SRF</t>
  </si>
  <si>
    <t>Sun Pharmaceuticals Industries</t>
  </si>
  <si>
    <t>SUNPHARMA</t>
  </si>
  <si>
    <t>Zee Entertainment Enterprises</t>
  </si>
  <si>
    <t>ZEEL</t>
  </si>
  <si>
    <t>Abbott India</t>
  </si>
  <si>
    <t>ABBOTINDIA</t>
  </si>
  <si>
    <t>Adani Gas</t>
  </si>
  <si>
    <t>ADANIGAS</t>
  </si>
  <si>
    <t>Amara Raja Batteries</t>
  </si>
  <si>
    <t>AMARAJABAT</t>
  </si>
  <si>
    <t>Apollo Pipes</t>
  </si>
  <si>
    <t>APOLLOPIPE</t>
  </si>
  <si>
    <t>Ashok Leyland</t>
  </si>
  <si>
    <t>ASHOKLEY</t>
  </si>
  <si>
    <t>AUROBINDO</t>
  </si>
  <si>
    <t>Bandhan Bank</t>
  </si>
  <si>
    <t>BANDHANBNK</t>
  </si>
  <si>
    <t>Bharat Electronics</t>
  </si>
  <si>
    <t>BEL</t>
  </si>
  <si>
    <t>Biocon</t>
  </si>
  <si>
    <t>BIOCON</t>
  </si>
  <si>
    <t>Cadila Healthcare</t>
  </si>
  <si>
    <t>CADILAHC</t>
  </si>
  <si>
    <t>Canara Bank</t>
  </si>
  <si>
    <t>CANBK</t>
  </si>
  <si>
    <t>Cholamandalam Investment &amp; Finance</t>
  </si>
  <si>
    <t>CHOLAFIN</t>
  </si>
  <si>
    <t>Container Corporation of India</t>
  </si>
  <si>
    <t>CONCOR</t>
  </si>
  <si>
    <t>Dabur India</t>
  </si>
  <si>
    <t>DABUR</t>
  </si>
  <si>
    <t>Escorts Limited</t>
  </si>
  <si>
    <t>ESCORTS</t>
  </si>
  <si>
    <t>Federal Bank</t>
  </si>
  <si>
    <t>FEDERALBNK</t>
  </si>
  <si>
    <t>Glenmark Pharmaceuticals</t>
  </si>
  <si>
    <t>GLENMARK</t>
  </si>
  <si>
    <t>Godrej Consumer Products</t>
  </si>
  <si>
    <t>GODREJCP</t>
  </si>
  <si>
    <t>HDFC Asset Management Company</t>
  </si>
  <si>
    <t>HDFCAMC</t>
  </si>
  <si>
    <t>HDFC Life Insurance Company</t>
  </si>
  <si>
    <t>HDFCLIFE</t>
  </si>
  <si>
    <t>ICICI Lombard General Insurance</t>
  </si>
  <si>
    <t>ICICIGI</t>
  </si>
  <si>
    <t>Indian Hotels Company Limited</t>
  </si>
  <si>
    <t>INDHOTEL</t>
  </si>
  <si>
    <t>Jubilant FoodWorks</t>
  </si>
  <si>
    <t>JUBILANTFOOD</t>
  </si>
  <si>
    <t>Kajaria Ceramics</t>
  </si>
  <si>
    <t>KAJARIACER</t>
  </si>
  <si>
    <t>LIC Housing Finance</t>
  </si>
  <si>
    <t>LICHSGFIN</t>
  </si>
  <si>
    <t>United Spirits</t>
  </si>
  <si>
    <t>MCDOWELL-N</t>
  </si>
  <si>
    <t>MRF Limited</t>
  </si>
  <si>
    <t>MRF</t>
  </si>
  <si>
    <t>Muthoot Finance</t>
  </si>
  <si>
    <t>MUTHOOTFIN</t>
  </si>
  <si>
    <t>Neelachal Ispat Nigam Ltd</t>
  </si>
  <si>
    <t>NINL</t>
  </si>
  <si>
    <t>NMDC Limited</t>
  </si>
  <si>
    <t>NMDC</t>
  </si>
  <si>
    <t>Omaxe Limited</t>
  </si>
  <si>
    <t>OMAXE</t>
  </si>
  <si>
    <t>Page Industries</t>
  </si>
  <si>
    <t>PAGEIND</t>
  </si>
  <si>
    <t>Pantaloon Retail (Future Retail)</t>
  </si>
  <si>
    <t>PEL</t>
  </si>
  <si>
    <t>Petronet LNG</t>
  </si>
  <si>
    <t>PETRONET</t>
  </si>
  <si>
    <t>Power Finance Corporation Ltd</t>
  </si>
  <si>
    <t>PFC</t>
  </si>
  <si>
    <t>PI Industries</t>
  </si>
  <si>
    <t>PIIND</t>
  </si>
  <si>
    <t>RBL Bank</t>
  </si>
  <si>
    <t>RBLBANK</t>
  </si>
  <si>
    <t>REC Limited</t>
  </si>
  <si>
    <t>REC</t>
  </si>
  <si>
    <t>Steel Authority of India</t>
  </si>
  <si>
    <t>SAIL</t>
  </si>
  <si>
    <t>SBI Life Insurance Company</t>
  </si>
  <si>
    <t>SBILIFE</t>
  </si>
  <si>
    <t>Siemens Limited</t>
  </si>
  <si>
    <t>SIEMENS</t>
  </si>
  <si>
    <t>Shriram Transport Finance</t>
  </si>
  <si>
    <t>SRTRANSFIN</t>
  </si>
  <si>
    <t>Tata Power</t>
  </si>
  <si>
    <t>TATAPOWER</t>
  </si>
  <si>
    <t>Tata Consultancy Services</t>
  </si>
  <si>
    <t>TCS</t>
  </si>
  <si>
    <t>Ujjivan Small Finance Bank</t>
  </si>
  <si>
    <t>UJJIVANSFB</t>
  </si>
  <si>
    <t>Vedanta Limited</t>
  </si>
  <si>
    <t>VEDL</t>
  </si>
  <si>
    <t>Voltas</t>
  </si>
  <si>
    <t>VOLTAS</t>
  </si>
  <si>
    <t>VA Tech Wabag</t>
  </si>
  <si>
    <t>WABAG</t>
  </si>
  <si>
    <t>Adani Power</t>
  </si>
  <si>
    <t>ADANIPOWER</t>
  </si>
  <si>
    <t>Alkem Laboratories</t>
  </si>
  <si>
    <t>ALKEM</t>
  </si>
  <si>
    <t>Apollo Hospitals</t>
  </si>
  <si>
    <t>APOLLOHOSP</t>
  </si>
  <si>
    <t>Chambal Fertilizers &amp; Chemicals</t>
  </si>
  <si>
    <t>CHAMBLFERT</t>
  </si>
  <si>
    <t>Chennai Petroleum Corporation</t>
  </si>
  <si>
    <t>CHENNPETRO</t>
  </si>
  <si>
    <t>DLF Limited</t>
  </si>
  <si>
    <t>DLF</t>
  </si>
  <si>
    <t>Havells India</t>
  </si>
  <si>
    <t>HAVELLS</t>
  </si>
  <si>
    <t>Manappuram Finance</t>
  </si>
  <si>
    <t>MANAPPURAM</t>
  </si>
  <si>
    <t>Mindtree Ltd</t>
  </si>
  <si>
    <t>MINDTREE</t>
  </si>
  <si>
    <t>Power Finance Corporation</t>
  </si>
  <si>
    <t>Polycab India</t>
  </si>
  <si>
    <t>POLYCAB</t>
  </si>
  <si>
    <t>UPL Limited</t>
  </si>
  <si>
    <t>UPL</t>
  </si>
  <si>
    <t>3M India Limited</t>
  </si>
  <si>
    <t>3MINDIA</t>
  </si>
  <si>
    <t>Alok Industries</t>
  </si>
  <si>
    <t>ALOKTEXT</t>
  </si>
  <si>
    <t>Adani Transmission</t>
  </si>
  <si>
    <t>ADANITRANS</t>
  </si>
  <si>
    <t>Aegis Logistics</t>
  </si>
  <si>
    <t>AEGISCHEM</t>
  </si>
  <si>
    <t>Alembic Limited</t>
  </si>
  <si>
    <t>ALEMBICLTD</t>
  </si>
  <si>
    <t>Gufic BioSciences Limited</t>
  </si>
  <si>
    <t>GUPHA</t>
  </si>
  <si>
    <t>Motherson Sumi Systems</t>
  </si>
  <si>
    <t>MOTHERSUMI</t>
  </si>
  <si>
    <t>Mphasis</t>
  </si>
  <si>
    <t>MPHASIS</t>
  </si>
  <si>
    <t>Zydus Lifesciences</t>
  </si>
  <si>
    <t>ZYDUSLIFE</t>
  </si>
  <si>
    <t>Gas Authority of India</t>
  </si>
  <si>
    <t>Current Date</t>
  </si>
  <si>
    <t>PREVIOUS DAY DATA</t>
  </si>
  <si>
    <t>6 month ago date</t>
  </si>
  <si>
    <t>Adani Enterprises</t>
  </si>
  <si>
    <t>LTP</t>
  </si>
  <si>
    <t>VOLUME</t>
  </si>
  <si>
    <t>Company Code</t>
  </si>
  <si>
    <t>Resistance</t>
  </si>
  <si>
    <t>Support</t>
  </si>
  <si>
    <t>Closest Resistance-1</t>
  </si>
  <si>
    <t>Closest Resistance-2</t>
  </si>
  <si>
    <t>closest Support-1</t>
  </si>
  <si>
    <t>closest Support-2</t>
  </si>
  <si>
    <t>Crossover (Clossest resistance or Support which is crossed by LTP in up direction)</t>
  </si>
  <si>
    <t>ALWAYS KEEP THIS BLANK</t>
  </si>
  <si>
    <t>FOR STOREING THE CROSSOVER VALUE UNTIL NEXT CROSSOVER OCCURS</t>
  </si>
  <si>
    <t>if LTP is Greater than X% and less than Y% above crossover</t>
  </si>
  <si>
    <t>HEIKEN ASHI OPEN</t>
  </si>
  <si>
    <t>HEIKEN ASHI CLOSE</t>
  </si>
  <si>
    <t>Last HA Green</t>
  </si>
  <si>
    <t>Last HA Red</t>
  </si>
  <si>
    <t>CHECK IF TESTING STOCK IS IN PORTFOLIO OR NOT IF IT IS IN PORTFOLIO THEN RETURN IS 0 ELSE 1</t>
  </si>
  <si>
    <t>ENTRY LOGIC   IF LTP IS WITHIN 5 TO 10 PERCENT ABOVE CROSSOVER &amp; SATISFY VWAP &amp; Last HA is Green &amp; Its not Included in Portfolio</t>
  </si>
  <si>
    <t>ENTRY PRICE FROM APP</t>
  </si>
  <si>
    <t>EXIT LOGIC</t>
  </si>
  <si>
    <t>CHECK IF TESTING STOCK IS IN PORTFOLIO OR NOT IF IT IS IN PORTFOLIO THEN RETURN IS 1 ELSE 0</t>
  </si>
  <si>
    <t>IF LTP IS Z% ABOVE THE ENTRY PRICE AND HEIKEN ASHI IS NEGATIVE EXIT</t>
  </si>
  <si>
    <t>IF LTP IS W% BELOW ENTRY PRICE THEN EXIT</t>
  </si>
  <si>
    <t>EXIT IF STOCK IS IN PORTFOLIO AND ANYONE OF (IF LTP IS Z% ABOVE ENTRY AND HEIKEN ASHI IS NEGATIVE EXIT) OR (IF LTP IS W% BELOW ENTRY PRICE THEN EXIT) IS SATISFY RETURN 1 ELSE 0</t>
  </si>
  <si>
    <t xml:space="preserve">Axis Bank
</t>
  </si>
  <si>
    <t>BAJAJ AUTO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</si>
</sst>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  <numFmt numFmtId="181" formatCode="m/d/yyyy\ h:mm:ss"/>
  </numFmts>
  <fonts count="39">
    <font>
      <sz val="10"/>
      <color rgb="FF000000"/>
      <name val="Arial"/>
      <charset val="134"/>
      <scheme val="minor"/>
    </font>
    <font>
      <sz val="10"/>
      <color theme="1"/>
      <name val="Arial"/>
      <charset val="134"/>
    </font>
    <font>
      <sz val="11"/>
      <color theme="1"/>
      <name val="Calibri"/>
      <charset val="134"/>
    </font>
    <font>
      <sz val="10"/>
      <name val="Arial"/>
      <charset val="134"/>
      <scheme val="minor"/>
    </font>
    <font>
      <sz val="9"/>
      <color theme="1"/>
      <name val="Google Sans Mono"/>
      <charset val="134"/>
    </font>
    <font>
      <b/>
      <sz val="9"/>
      <color theme="1"/>
      <name val="Google Sans Mono"/>
      <charset val="134"/>
    </font>
    <font>
      <b/>
      <sz val="10"/>
      <color theme="1"/>
      <name val="Arial"/>
      <charset val="134"/>
    </font>
    <font>
      <sz val="12"/>
      <color theme="1"/>
      <name val="Calibri"/>
      <charset val="134"/>
    </font>
    <font>
      <b/>
      <sz val="16"/>
      <color rgb="FF002060"/>
      <name val="Calibri"/>
      <charset val="134"/>
    </font>
    <font>
      <b/>
      <sz val="16"/>
      <color rgb="FF203764"/>
      <name val="Calibri"/>
      <charset val="134"/>
    </font>
    <font>
      <sz val="10"/>
      <color theme="1"/>
      <name val="Roboto"/>
      <charset val="134"/>
    </font>
    <font>
      <sz val="10"/>
      <color theme="1"/>
      <name val="Arial"/>
      <charset val="134"/>
      <scheme val="minor"/>
    </font>
    <font>
      <sz val="9"/>
      <color rgb="FF000000"/>
      <name val="&quot;Google Sans Mono&quot;"/>
      <charset val="134"/>
    </font>
    <font>
      <sz val="11"/>
      <color rgb="FF000000"/>
      <name val="Calibri"/>
      <charset val="134"/>
    </font>
    <font>
      <b/>
      <sz val="9"/>
      <color rgb="FF000000"/>
      <name val="&quot;Google Sans Mono&quot;"/>
      <charset val="134"/>
    </font>
    <font>
      <b/>
      <sz val="10"/>
      <color theme="1"/>
      <name val="Arial"/>
      <charset val="134"/>
      <scheme val="minor"/>
    </font>
    <font>
      <sz val="10"/>
      <color rgb="FF000000"/>
      <name val="Roboto"/>
      <charset val="134"/>
    </font>
    <font>
      <b/>
      <sz val="11"/>
      <color rgb="FF000000"/>
      <name val="Calibri"/>
      <charset val="134"/>
    </font>
    <font>
      <sz val="10"/>
      <color rgb="FF000000"/>
      <name val="&quot;Arial Unicode MS&quot;"/>
      <charset val="134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B7E1CD"/>
        <bgColor rgb="FFB7E1CD"/>
      </patternFill>
    </fill>
    <fill>
      <patternFill patternType="solid">
        <fgColor rgb="FFFFFFFF"/>
        <bgColor rgb="FFFFFFFF"/>
      </patternFill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B4A7D6"/>
        <bgColor rgb="FFB4A7D6"/>
      </patternFill>
    </fill>
    <fill>
      <patternFill patternType="solid">
        <fgColor rgb="FF93C47D"/>
        <bgColor rgb="FF93C47D"/>
      </patternFill>
    </fill>
    <fill>
      <patternFill patternType="solid">
        <fgColor rgb="FFFFF2CC"/>
        <bgColor rgb="FFFFF2CC"/>
      </patternFill>
    </fill>
    <fill>
      <patternFill patternType="solid">
        <fgColor rgb="FF6AA84F"/>
        <bgColor rgb="FF6AA84F"/>
      </patternFill>
    </fill>
    <fill>
      <patternFill patternType="solid">
        <fgColor rgb="FFA9D08E"/>
        <bgColor rgb="FFA9D08E"/>
      </patternFill>
    </fill>
    <fill>
      <patternFill patternType="solid">
        <fgColor rgb="FFFF0000"/>
        <bgColor rgb="FFFF0000"/>
      </patternFill>
    </fill>
    <fill>
      <patternFill patternType="solid">
        <fgColor rgb="FFACB9CA"/>
        <bgColor rgb="FFACB9CA"/>
      </patternFill>
    </fill>
    <fill>
      <patternFill patternType="solid">
        <fgColor rgb="FF274E13"/>
        <bgColor rgb="FF274E13"/>
      </patternFill>
    </fill>
    <fill>
      <patternFill patternType="solid">
        <fgColor rgb="FFB6D7A8"/>
        <bgColor rgb="FFB6D7A8"/>
      </patternFill>
    </fill>
    <fill>
      <patternFill patternType="solid">
        <fgColor rgb="FFF9CB9C"/>
        <bgColor rgb="FFF9CB9C"/>
      </patternFill>
    </fill>
    <fill>
      <patternFill patternType="solid">
        <fgColor rgb="FFCC0000"/>
        <bgColor rgb="FFCC0000"/>
      </patternFill>
    </fill>
    <fill>
      <patternFill patternType="solid">
        <fgColor rgb="FF00FFFF"/>
        <bgColor rgb="FF00FFFF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9" fillId="0" borderId="0" applyFont="0" applyFill="0" applyBorder="0" applyAlignment="0" applyProtection="0">
      <alignment vertical="center"/>
    </xf>
    <xf numFmtId="177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178" fontId="19" fillId="0" borderId="0" applyFont="0" applyFill="0" applyBorder="0" applyAlignment="0" applyProtection="0">
      <alignment vertical="center"/>
    </xf>
    <xf numFmtId="179" fontId="19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19" borderId="7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20" borderId="10" applyNumberFormat="0" applyAlignment="0" applyProtection="0">
      <alignment vertical="center"/>
    </xf>
    <xf numFmtId="0" fontId="29" fillId="21" borderId="11" applyNumberFormat="0" applyAlignment="0" applyProtection="0">
      <alignment vertical="center"/>
    </xf>
    <xf numFmtId="0" fontId="30" fillId="21" borderId="10" applyNumberFormat="0" applyAlignment="0" applyProtection="0">
      <alignment vertical="center"/>
    </xf>
    <xf numFmtId="0" fontId="31" fillId="22" borderId="12" applyNumberFormat="0" applyAlignment="0" applyProtection="0">
      <alignment vertical="center"/>
    </xf>
    <xf numFmtId="0" fontId="32" fillId="0" borderId="13" applyNumberFormat="0" applyFill="0" applyAlignment="0" applyProtection="0">
      <alignment vertical="center"/>
    </xf>
    <xf numFmtId="0" fontId="33" fillId="0" borderId="14" applyNumberFormat="0" applyFill="0" applyAlignment="0" applyProtection="0">
      <alignment vertical="center"/>
    </xf>
    <xf numFmtId="0" fontId="34" fillId="23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38" fillId="28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38" fillId="32" borderId="0" applyNumberFormat="0" applyBorder="0" applyAlignment="0" applyProtection="0">
      <alignment vertical="center"/>
    </xf>
    <xf numFmtId="0" fontId="37" fillId="33" borderId="0" applyNumberFormat="0" applyBorder="0" applyAlignment="0" applyProtection="0">
      <alignment vertical="center"/>
    </xf>
    <xf numFmtId="0" fontId="37" fillId="34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38" fillId="36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7" fillId="38" borderId="0" applyNumberFormat="0" applyBorder="0" applyAlignment="0" applyProtection="0">
      <alignment vertical="center"/>
    </xf>
    <xf numFmtId="0" fontId="38" fillId="39" borderId="0" applyNumberFormat="0" applyBorder="0" applyAlignment="0" applyProtection="0">
      <alignment vertical="center"/>
    </xf>
    <xf numFmtId="0" fontId="38" fillId="40" borderId="0" applyNumberFormat="0" applyBorder="0" applyAlignment="0" applyProtection="0">
      <alignment vertical="center"/>
    </xf>
    <xf numFmtId="0" fontId="37" fillId="41" borderId="0" applyNumberFormat="0" applyBorder="0" applyAlignment="0" applyProtection="0">
      <alignment vertical="center"/>
    </xf>
    <xf numFmtId="0" fontId="37" fillId="42" borderId="0" applyNumberFormat="0" applyBorder="0" applyAlignment="0" applyProtection="0">
      <alignment vertical="center"/>
    </xf>
    <xf numFmtId="0" fontId="38" fillId="43" borderId="0" applyNumberFormat="0" applyBorder="0" applyAlignment="0" applyProtection="0">
      <alignment vertical="center"/>
    </xf>
    <xf numFmtId="0" fontId="38" fillId="44" borderId="0" applyNumberFormat="0" applyBorder="0" applyAlignment="0" applyProtection="0">
      <alignment vertical="center"/>
    </xf>
    <xf numFmtId="0" fontId="37" fillId="45" borderId="0" applyNumberFormat="0" applyBorder="0" applyAlignment="0" applyProtection="0">
      <alignment vertical="center"/>
    </xf>
    <xf numFmtId="0" fontId="37" fillId="46" borderId="0" applyNumberFormat="0" applyBorder="0" applyAlignment="0" applyProtection="0">
      <alignment vertical="center"/>
    </xf>
    <xf numFmtId="0" fontId="38" fillId="47" borderId="0" applyNumberFormat="0" applyBorder="0" applyAlignment="0" applyProtection="0">
      <alignment vertical="center"/>
    </xf>
    <xf numFmtId="0" fontId="38" fillId="48" borderId="0" applyNumberFormat="0" applyBorder="0" applyAlignment="0" applyProtection="0">
      <alignment vertical="center"/>
    </xf>
    <xf numFmtId="0" fontId="37" fillId="49" borderId="0" applyNumberFormat="0" applyBorder="0" applyAlignment="0" applyProtection="0">
      <alignment vertical="center"/>
    </xf>
  </cellStyleXfs>
  <cellXfs count="100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180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1" fillId="3" borderId="1" xfId="0" applyFont="1" applyFill="1" applyBorder="1" applyAlignment="1"/>
    <xf numFmtId="0" fontId="1" fillId="0" borderId="1" xfId="0" applyFont="1" applyBorder="1" applyAlignment="1"/>
    <xf numFmtId="0" fontId="2" fillId="4" borderId="2" xfId="0" applyFont="1" applyFill="1" applyBorder="1" applyAlignment="1">
      <alignment horizontal="center"/>
    </xf>
    <xf numFmtId="0" fontId="3" fillId="4" borderId="3" xfId="0" applyFont="1" applyFill="1" applyBorder="1"/>
    <xf numFmtId="0" fontId="3" fillId="4" borderId="4" xfId="0" applyFont="1" applyFill="1" applyBorder="1"/>
    <xf numFmtId="0" fontId="4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right"/>
    </xf>
    <xf numFmtId="0" fontId="5" fillId="3" borderId="0" xfId="0" applyFont="1" applyFill="1" applyAlignment="1"/>
    <xf numFmtId="0" fontId="6" fillId="3" borderId="1" xfId="0" applyFont="1" applyFill="1" applyBorder="1" applyAlignment="1"/>
    <xf numFmtId="0" fontId="5" fillId="3" borderId="1" xfId="0" applyFont="1" applyFill="1" applyBorder="1" applyAlignment="1"/>
    <xf numFmtId="181" fontId="1" fillId="5" borderId="1" xfId="0" applyNumberFormat="1" applyFont="1" applyFill="1" applyBorder="1" applyAlignment="1">
      <alignment horizontal="right"/>
    </xf>
    <xf numFmtId="0" fontId="1" fillId="5" borderId="1" xfId="0" applyFont="1" applyFill="1" applyBorder="1" applyAlignment="1">
      <alignment horizontal="right"/>
    </xf>
    <xf numFmtId="181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6" fillId="6" borderId="2" xfId="0" applyFont="1" applyFill="1" applyBorder="1" applyAlignment="1">
      <alignment horizontal="center"/>
    </xf>
    <xf numFmtId="0" fontId="3" fillId="0" borderId="3" xfId="0" applyFont="1" applyBorder="1"/>
    <xf numFmtId="0" fontId="1" fillId="7" borderId="0" xfId="0" applyFont="1" applyFill="1" applyAlignment="1"/>
    <xf numFmtId="0" fontId="1" fillId="7" borderId="1" xfId="0" applyFont="1" applyFill="1" applyBorder="1" applyAlignment="1"/>
    <xf numFmtId="0" fontId="1" fillId="8" borderId="1" xfId="0" applyFont="1" applyFill="1" applyBorder="1" applyAlignment="1"/>
    <xf numFmtId="0" fontId="1" fillId="9" borderId="1" xfId="0" applyFont="1" applyFill="1" applyBorder="1" applyAlignment="1">
      <alignment horizontal="right"/>
    </xf>
    <xf numFmtId="0" fontId="1" fillId="10" borderId="1" xfId="0" applyFont="1" applyFill="1" applyBorder="1" applyAlignment="1"/>
    <xf numFmtId="0" fontId="4" fillId="9" borderId="0" xfId="0" applyFont="1" applyFill="1" applyAlignment="1"/>
    <xf numFmtId="181" fontId="1" fillId="3" borderId="1" xfId="0" applyNumberFormat="1" applyFont="1" applyFill="1" applyBorder="1" applyAlignment="1">
      <alignment horizontal="right"/>
    </xf>
    <xf numFmtId="0" fontId="4" fillId="9" borderId="0" xfId="0" applyFont="1" applyFill="1" applyAlignment="1">
      <alignment horizontal="right"/>
    </xf>
    <xf numFmtId="0" fontId="6" fillId="0" borderId="1" xfId="0" applyFont="1" applyBorder="1" applyAlignment="1"/>
    <xf numFmtId="0" fontId="2" fillId="11" borderId="1" xfId="0" applyFont="1" applyFill="1" applyBorder="1" applyAlignment="1">
      <alignment vertical="top"/>
    </xf>
    <xf numFmtId="181" fontId="1" fillId="0" borderId="1" xfId="0" applyNumberFormat="1" applyFont="1" applyBorder="1" applyAlignment="1">
      <alignment horizontal="right"/>
    </xf>
    <xf numFmtId="0" fontId="1" fillId="0" borderId="0" xfId="0" applyFont="1" applyAlignment="1"/>
    <xf numFmtId="0" fontId="4" fillId="7" borderId="0" xfId="0" applyFont="1" applyFill="1" applyAlignment="1"/>
    <xf numFmtId="0" fontId="2" fillId="11" borderId="1" xfId="0" applyFont="1" applyFill="1" applyBorder="1" applyAlignment="1">
      <alignment vertical="top" wrapText="1"/>
    </xf>
    <xf numFmtId="0" fontId="2" fillId="12" borderId="1" xfId="0" applyFont="1" applyFill="1" applyBorder="1" applyAlignment="1">
      <alignment vertical="top"/>
    </xf>
    <xf numFmtId="0" fontId="4" fillId="3" borderId="0" xfId="0" applyFont="1" applyFill="1" applyAlignment="1">
      <alignment horizontal="right"/>
    </xf>
    <xf numFmtId="0" fontId="2" fillId="0" borderId="1" xfId="0" applyFont="1" applyBorder="1" applyAlignment="1">
      <alignment horizontal="right"/>
    </xf>
    <xf numFmtId="0" fontId="7" fillId="11" borderId="1" xfId="0" applyFont="1" applyFill="1" applyBorder="1" applyAlignment="1">
      <alignment horizontal="center" vertical="top" wrapText="1"/>
    </xf>
    <xf numFmtId="0" fontId="2" fillId="11" borderId="1" xfId="0" applyFont="1" applyFill="1" applyBorder="1" applyAlignment="1">
      <alignment horizontal="center" vertical="top" wrapText="1"/>
    </xf>
    <xf numFmtId="0" fontId="8" fillId="11" borderId="1" xfId="0" applyFont="1" applyFill="1" applyBorder="1" applyAlignment="1">
      <alignment horizontal="center" vertical="top" wrapText="1"/>
    </xf>
    <xf numFmtId="0" fontId="9" fillId="11" borderId="2" xfId="0" applyFont="1" applyFill="1" applyBorder="1" applyAlignment="1">
      <alignment horizontal="center" vertical="top"/>
    </xf>
    <xf numFmtId="0" fontId="3" fillId="0" borderId="4" xfId="0" applyFont="1" applyBorder="1"/>
    <xf numFmtId="0" fontId="10" fillId="3" borderId="0" xfId="0" applyFont="1" applyFill="1" applyAlignment="1"/>
    <xf numFmtId="0" fontId="1" fillId="3" borderId="0" xfId="0" applyFont="1" applyFill="1" applyAlignment="1"/>
    <xf numFmtId="0" fontId="7" fillId="13" borderId="1" xfId="0" applyFont="1" applyFill="1" applyBorder="1" applyAlignment="1">
      <alignment horizontal="center" vertical="top" wrapText="1"/>
    </xf>
    <xf numFmtId="0" fontId="2" fillId="13" borderId="1" xfId="0" applyFont="1" applyFill="1" applyBorder="1" applyAlignment="1">
      <alignment wrapText="1"/>
    </xf>
    <xf numFmtId="0" fontId="2" fillId="13" borderId="4" xfId="0" applyFont="1" applyFill="1" applyBorder="1" applyAlignment="1">
      <alignment wrapText="1"/>
    </xf>
    <xf numFmtId="181" fontId="11" fillId="0" borderId="0" xfId="0" applyNumberFormat="1" applyFont="1"/>
    <xf numFmtId="0" fontId="11" fillId="0" borderId="0" xfId="0" applyFont="1"/>
    <xf numFmtId="0" fontId="11" fillId="14" borderId="1" xfId="0" applyFont="1" applyFill="1" applyBorder="1" applyAlignment="1">
      <alignment horizontal="center"/>
    </xf>
    <xf numFmtId="180" fontId="11" fillId="0" borderId="1" xfId="0" applyNumberFormat="1" applyFont="1" applyBorder="1"/>
    <xf numFmtId="0" fontId="11" fillId="0" borderId="1" xfId="0" applyFont="1" applyBorder="1"/>
    <xf numFmtId="0" fontId="11" fillId="3" borderId="1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13" fillId="15" borderId="2" xfId="0" applyFont="1" applyFill="1" applyBorder="1" applyAlignment="1">
      <alignment horizontal="center"/>
    </xf>
    <xf numFmtId="0" fontId="12" fillId="8" borderId="1" xfId="0" applyFont="1" applyFill="1" applyBorder="1" applyAlignment="1">
      <alignment horizontal="center"/>
    </xf>
    <xf numFmtId="0" fontId="11" fillId="9" borderId="1" xfId="0" applyFont="1" applyFill="1" applyBorder="1"/>
    <xf numFmtId="0" fontId="14" fillId="3" borderId="0" xfId="0" applyFont="1" applyFill="1"/>
    <xf numFmtId="0" fontId="15" fillId="3" borderId="1" xfId="0" applyFont="1" applyFill="1" applyBorder="1"/>
    <xf numFmtId="0" fontId="14" fillId="3" borderId="1" xfId="0" applyFont="1" applyFill="1" applyBorder="1"/>
    <xf numFmtId="181" fontId="11" fillId="5" borderId="1" xfId="0" applyNumberFormat="1" applyFont="1" applyFill="1" applyBorder="1"/>
    <xf numFmtId="0" fontId="11" fillId="5" borderId="1" xfId="0" applyFont="1" applyFill="1" applyBorder="1"/>
    <xf numFmtId="0" fontId="15" fillId="6" borderId="2" xfId="0" applyFont="1" applyFill="1" applyBorder="1" applyAlignment="1">
      <alignment horizontal="center"/>
    </xf>
    <xf numFmtId="0" fontId="11" fillId="7" borderId="0" xfId="0" applyFont="1" applyFill="1"/>
    <xf numFmtId="0" fontId="11" fillId="7" borderId="1" xfId="0" applyFont="1" applyFill="1" applyBorder="1"/>
    <xf numFmtId="0" fontId="11" fillId="8" borderId="1" xfId="0" applyFont="1" applyFill="1" applyBorder="1" applyAlignment="1"/>
    <xf numFmtId="0" fontId="11" fillId="10" borderId="1" xfId="0" applyFont="1" applyFill="1" applyBorder="1" applyAlignment="1"/>
    <xf numFmtId="0" fontId="12" fillId="9" borderId="0" xfId="0" applyFont="1" applyFill="1" applyAlignment="1"/>
    <xf numFmtId="181" fontId="11" fillId="3" borderId="1" xfId="0" applyNumberFormat="1" applyFont="1" applyFill="1" applyBorder="1" applyAlignment="1"/>
    <xf numFmtId="0" fontId="15" fillId="0" borderId="1" xfId="0" applyFont="1" applyBorder="1"/>
    <xf numFmtId="0" fontId="13" fillId="11" borderId="1" xfId="0" applyFont="1" applyFill="1" applyBorder="1" applyAlignment="1">
      <alignment vertical="top"/>
    </xf>
    <xf numFmtId="181" fontId="11" fillId="0" borderId="1" xfId="0" applyNumberFormat="1" applyFont="1" applyBorder="1"/>
    <xf numFmtId="0" fontId="12" fillId="7" borderId="0" xfId="0" applyFont="1" applyFill="1"/>
    <xf numFmtId="0" fontId="13" fillId="11" borderId="1" xfId="0" applyFont="1" applyFill="1" applyBorder="1" applyAlignment="1">
      <alignment vertical="top" wrapText="1"/>
    </xf>
    <xf numFmtId="0" fontId="13" fillId="12" borderId="1" xfId="0" applyFont="1" applyFill="1" applyBorder="1" applyAlignment="1">
      <alignment vertical="top"/>
    </xf>
    <xf numFmtId="0" fontId="12" fillId="3" borderId="0" xfId="0" applyFont="1" applyFill="1"/>
    <xf numFmtId="0" fontId="13" fillId="0" borderId="1" xfId="0" applyFont="1" applyBorder="1" applyAlignment="1">
      <alignment horizontal="right"/>
    </xf>
    <xf numFmtId="0" fontId="13" fillId="11" borderId="1" xfId="0" applyFont="1" applyFill="1" applyBorder="1" applyAlignment="1">
      <alignment horizontal="center" vertical="top" wrapText="1"/>
    </xf>
    <xf numFmtId="0" fontId="16" fillId="3" borderId="0" xfId="0" applyFont="1" applyFill="1" applyAlignment="1">
      <alignment horizontal="left"/>
    </xf>
    <xf numFmtId="0" fontId="13" fillId="3" borderId="0" xfId="0" applyFont="1" applyFill="1" applyAlignment="1">
      <alignment wrapText="1"/>
    </xf>
    <xf numFmtId="0" fontId="13" fillId="13" borderId="1" xfId="0" applyFont="1" applyFill="1" applyBorder="1" applyAlignment="1">
      <alignment wrapText="1"/>
    </xf>
    <xf numFmtId="0" fontId="13" fillId="13" borderId="4" xfId="0" applyFont="1" applyFill="1" applyBorder="1" applyAlignment="1">
      <alignment wrapText="1"/>
    </xf>
    <xf numFmtId="0" fontId="4" fillId="7" borderId="0" xfId="0" applyFont="1" applyFill="1" applyAlignment="1">
      <alignment horizontal="center"/>
    </xf>
    <xf numFmtId="181" fontId="1" fillId="0" borderId="0" xfId="0" applyNumberFormat="1" applyFont="1" applyAlignment="1"/>
    <xf numFmtId="0" fontId="9" fillId="3" borderId="0" xfId="0" applyFont="1" applyFill="1" applyAlignment="1">
      <alignment horizontal="center" vertical="top"/>
    </xf>
    <xf numFmtId="0" fontId="11" fillId="3" borderId="0" xfId="0" applyFont="1" applyFill="1"/>
    <xf numFmtId="0" fontId="15" fillId="8" borderId="2" xfId="0" applyFont="1" applyFill="1" applyBorder="1" applyAlignment="1">
      <alignment horizontal="center"/>
    </xf>
    <xf numFmtId="0" fontId="17" fillId="16" borderId="1" xfId="0" applyFont="1" applyFill="1" applyBorder="1" applyAlignment="1">
      <alignment horizontal="center"/>
    </xf>
    <xf numFmtId="0" fontId="11" fillId="17" borderId="1" xfId="0" applyFont="1" applyFill="1" applyBorder="1" applyAlignment="1"/>
    <xf numFmtId="0" fontId="11" fillId="7" borderId="1" xfId="0" applyFont="1" applyFill="1" applyBorder="1" applyAlignment="1"/>
    <xf numFmtId="0" fontId="11" fillId="0" borderId="1" xfId="0" applyFont="1" applyBorder="1" applyAlignment="1"/>
    <xf numFmtId="0" fontId="13" fillId="18" borderId="1" xfId="0" applyFont="1" applyFill="1" applyBorder="1" applyAlignment="1"/>
    <xf numFmtId="0" fontId="18" fillId="0" borderId="1" xfId="0" applyFont="1" applyBorder="1" applyAlignment="1"/>
    <xf numFmtId="0" fontId="13" fillId="9" borderId="1" xfId="0" applyFont="1" applyFill="1" applyBorder="1" applyAlignment="1"/>
    <xf numFmtId="0" fontId="13" fillId="0" borderId="1" xfId="0" applyFont="1" applyBorder="1" applyAlignment="1"/>
    <xf numFmtId="0" fontId="13" fillId="9" borderId="5" xfId="0" applyFont="1" applyFill="1" applyBorder="1" applyAlignment="1"/>
    <xf numFmtId="0" fontId="13" fillId="0" borderId="6" xfId="0" applyFont="1" applyBorder="1" applyAlignment="1"/>
    <xf numFmtId="0" fontId="11" fillId="0" borderId="0" xfId="0" applyFont="1" applyAlignment="1">
      <alignment wrapText="1"/>
    </xf>
    <xf numFmtId="0" fontId="11" fillId="0" borderId="0" xfId="0" applyFont="1" applyAlignment="1"/>
    <xf numFmtId="0" fontId="13" fillId="0" borderId="0" xfId="0" applyFont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8">
    <dxf>
      <fill>
        <patternFill patternType="solid">
          <fgColor rgb="FFB7E1CD"/>
          <bgColor rgb="FFB7E1CD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5" Type="http://schemas.openxmlformats.org/officeDocument/2006/relationships/styles" Target="styles.xml"/><Relationship Id="rId64" Type="http://schemas.openxmlformats.org/officeDocument/2006/relationships/sharedStrings" Target="sharedStrings.xml"/><Relationship Id="rId63" Type="http://schemas.openxmlformats.org/officeDocument/2006/relationships/theme" Target="theme/theme1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155"/>
  <sheetViews>
    <sheetView zoomScale="61" zoomScaleNormal="61" workbookViewId="0">
      <selection activeCell="A1" sqref="A1:B1"/>
    </sheetView>
  </sheetViews>
  <sheetFormatPr defaultColWidth="12.6272727272727" defaultRowHeight="15.75" customHeight="1"/>
  <cols>
    <col min="1" max="1" width="29.2545454545455" customWidth="1"/>
    <col min="2" max="2" width="26.5" customWidth="1"/>
    <col min="5" max="5" width="26.7545454545455" customWidth="1"/>
    <col min="9" max="9" width="22.8818181818182" customWidth="1"/>
    <col min="10" max="10" width="23.8818181818182" customWidth="1"/>
    <col min="12" max="12" width="43.6272727272727" customWidth="1"/>
    <col min="13" max="13" width="39.1272727272727" customWidth="1"/>
  </cols>
  <sheetData>
    <row r="1" customHeight="1" spans="1:13">
      <c r="A1" s="86" t="s">
        <v>0</v>
      </c>
      <c r="B1" s="41"/>
      <c r="C1" s="51"/>
      <c r="D1" s="51"/>
      <c r="E1" s="51"/>
      <c r="F1" s="51"/>
      <c r="I1" s="97" t="s">
        <v>1</v>
      </c>
      <c r="L1" s="97" t="s">
        <v>2</v>
      </c>
      <c r="M1" s="97" t="s">
        <v>3</v>
      </c>
    </row>
    <row r="2" customHeight="1" spans="1:13">
      <c r="A2" s="87" t="s">
        <v>4</v>
      </c>
      <c r="B2" s="87" t="s">
        <v>5</v>
      </c>
      <c r="C2" s="66" t="s">
        <v>6</v>
      </c>
      <c r="D2" s="88" t="s">
        <v>7</v>
      </c>
      <c r="E2" s="89" t="s">
        <v>8</v>
      </c>
      <c r="F2" s="89" t="s">
        <v>9</v>
      </c>
      <c r="I2" s="98" t="s">
        <v>10</v>
      </c>
      <c r="J2" s="98" t="s">
        <v>11</v>
      </c>
      <c r="L2" s="98" t="s">
        <v>12</v>
      </c>
      <c r="M2" s="98" t="s">
        <v>13</v>
      </c>
    </row>
    <row r="3" customHeight="1" spans="1:13">
      <c r="A3" s="90" t="s">
        <v>14</v>
      </c>
      <c r="B3" s="90" t="s">
        <v>15</v>
      </c>
      <c r="C3" s="51">
        <f ca="1">IF('Adani Enterprises'!Z5=1,"BUY",0)</f>
        <v>0</v>
      </c>
      <c r="D3" s="51">
        <f>IF('Adani Enterprises'!AE6=1,"SELL",0)</f>
        <v>0</v>
      </c>
      <c r="E3" s="51"/>
      <c r="F3" s="51"/>
      <c r="I3" s="98">
        <v>1.05</v>
      </c>
      <c r="J3" s="98">
        <v>1.1</v>
      </c>
      <c r="L3" s="98">
        <v>1.05</v>
      </c>
      <c r="M3" s="98">
        <v>0.91</v>
      </c>
    </row>
    <row r="4" customHeight="1" spans="1:6">
      <c r="A4" s="91" t="s">
        <v>16</v>
      </c>
      <c r="B4" s="92" t="s">
        <v>17</v>
      </c>
      <c r="C4" s="51">
        <f ca="1">IF('Adani Ports'!Z5=1,"BUY",0)</f>
        <v>0</v>
      </c>
      <c r="D4" s="51">
        <f>IF('Adani Ports'!AE6=1,"SELL",0)</f>
        <v>0</v>
      </c>
      <c r="E4" s="51"/>
      <c r="F4" s="51"/>
    </row>
    <row r="5" customHeight="1" spans="1:6">
      <c r="A5" s="91" t="s">
        <v>18</v>
      </c>
      <c r="B5" s="92" t="s">
        <v>19</v>
      </c>
      <c r="C5" s="51">
        <f ca="1">IF('Asian Paints'!Z5=1,"BUY",0)</f>
        <v>0</v>
      </c>
      <c r="D5" s="51">
        <f>IF('Asian Paints'!AE6=1,"SELL",0)</f>
        <v>0</v>
      </c>
      <c r="E5" s="51"/>
      <c r="F5" s="51"/>
    </row>
    <row r="6" customHeight="1" spans="1:6">
      <c r="A6" s="91" t="s">
        <v>20</v>
      </c>
      <c r="B6" s="92" t="s">
        <v>21</v>
      </c>
      <c r="C6" s="51">
        <f ca="1">IF('Axis Bank'!Z5=1,"BUY",0)</f>
        <v>0</v>
      </c>
      <c r="D6" s="51">
        <f>IF('Axis Bank'!AE6=1,"SELL",0)</f>
        <v>0</v>
      </c>
      <c r="E6" s="51"/>
      <c r="F6" s="51"/>
    </row>
    <row r="7" customHeight="1" spans="1:6">
      <c r="A7" s="91" t="s">
        <v>22</v>
      </c>
      <c r="B7" s="92" t="s">
        <v>23</v>
      </c>
      <c r="C7" s="51">
        <f ca="1">IF('bAJAJ AUTO'!Z5=1,"BUY",0)</f>
        <v>0</v>
      </c>
      <c r="D7" s="51">
        <f>IF('bAJAJ AUTO'!AE6=1,"SELL",0)</f>
        <v>0</v>
      </c>
      <c r="E7" s="51"/>
      <c r="F7" s="51"/>
    </row>
    <row r="8" customHeight="1" spans="1:6">
      <c r="A8" s="91" t="s">
        <v>24</v>
      </c>
      <c r="B8" s="92" t="s">
        <v>25</v>
      </c>
      <c r="C8" s="51">
        <f ca="1">IF('Bajaj Finance'!Z5=1,"BUY",0)</f>
        <v>0</v>
      </c>
      <c r="D8" s="51">
        <f>IF('Bajaj Finance'!AE6=1,"SELL",0)</f>
        <v>0</v>
      </c>
      <c r="E8" s="51"/>
      <c r="F8" s="51"/>
    </row>
    <row r="9" customHeight="1" spans="1:6">
      <c r="A9" s="91" t="s">
        <v>26</v>
      </c>
      <c r="B9" s="92" t="s">
        <v>27</v>
      </c>
      <c r="C9" s="51">
        <f ca="1">IF('Bharti Airtel'!Z5=1,"BUY",0)</f>
        <v>0</v>
      </c>
      <c r="D9" s="51">
        <f>IF('Bharti Airtel'!AE6=1,"SELL",0)</f>
        <v>0</v>
      </c>
      <c r="E9" s="51"/>
      <c r="F9" s="51"/>
    </row>
    <row r="10" customHeight="1" spans="1:6">
      <c r="A10" s="91" t="s">
        <v>28</v>
      </c>
      <c r="B10" s="92" t="s">
        <v>29</v>
      </c>
      <c r="C10" s="51">
        <f ca="1">IF(BPCL!Z5=1,"BUY",0)</f>
        <v>0</v>
      </c>
      <c r="D10" s="51">
        <f>IF(BPCL!AE6=1,"SELL",0)</f>
        <v>0</v>
      </c>
      <c r="E10" s="51"/>
      <c r="F10" s="51"/>
    </row>
    <row r="11" customHeight="1" spans="1:6">
      <c r="A11" s="91" t="s">
        <v>30</v>
      </c>
      <c r="B11" s="92" t="s">
        <v>31</v>
      </c>
      <c r="C11" s="51">
        <f ca="1">IF('Britannia Industries'!Z5=1,"BUY",0)</f>
        <v>0</v>
      </c>
      <c r="D11" s="51">
        <f>IF('Britannia Industries'!AE6=1,"SELL",0)</f>
        <v>0</v>
      </c>
      <c r="E11" s="51"/>
      <c r="F11" s="51"/>
    </row>
    <row r="12" customHeight="1" spans="1:6">
      <c r="A12" s="91" t="s">
        <v>32</v>
      </c>
      <c r="B12" s="92" t="s">
        <v>33</v>
      </c>
      <c r="C12" s="51">
        <f ca="1">IF(Cipla!Z5=1,"BUY",0)</f>
        <v>0</v>
      </c>
      <c r="D12" s="51">
        <f>IF(Cipla!AE6=1,"SELL",0)</f>
        <v>0</v>
      </c>
      <c r="E12" s="51"/>
      <c r="F12" s="51"/>
    </row>
    <row r="13" customHeight="1" spans="1:6">
      <c r="A13" s="91" t="s">
        <v>34</v>
      </c>
      <c r="B13" s="92" t="s">
        <v>35</v>
      </c>
      <c r="C13" s="51">
        <f ca="1">IF('Coal India'!Z5=1,"BUY",0)</f>
        <v>0</v>
      </c>
      <c r="D13" s="51">
        <f>IF('Coal India'!AE6=1,"SELL",0)</f>
        <v>0</v>
      </c>
      <c r="E13" s="51"/>
      <c r="F13" s="51"/>
    </row>
    <row r="14" customHeight="1" spans="1:6">
      <c r="A14" s="91" t="s">
        <v>36</v>
      </c>
      <c r="B14" s="92" t="s">
        <v>37</v>
      </c>
      <c r="C14" s="51">
        <f ca="1">IF('Divis Laboratories'!Z5=1,"BUY",0)</f>
        <v>0</v>
      </c>
      <c r="D14" s="51">
        <f>IF('Divis Laboratories'!AE6=1,"SELL",0)</f>
        <v>0</v>
      </c>
      <c r="E14" s="51"/>
      <c r="F14" s="51"/>
    </row>
    <row r="15" customHeight="1" spans="1:6">
      <c r="A15" s="91" t="s">
        <v>38</v>
      </c>
      <c r="B15" s="92" t="s">
        <v>39</v>
      </c>
      <c r="C15" s="51">
        <f>IF('Dr. Reddys Laboratories'!Z5=1,"BUY",0)</f>
        <v>0</v>
      </c>
      <c r="D15" s="51">
        <f>IF('Dr. Reddys Laboratories'!AE6=1,"SELL",0)</f>
        <v>0</v>
      </c>
      <c r="E15" s="51"/>
      <c r="F15" s="51"/>
    </row>
    <row r="16" customHeight="1" spans="1:6">
      <c r="A16" s="91" t="s">
        <v>40</v>
      </c>
      <c r="B16" s="92" t="s">
        <v>41</v>
      </c>
      <c r="C16" s="51">
        <f ca="1">IF('Eicher Motors'!Z5=1,"BUY",0)</f>
        <v>0</v>
      </c>
      <c r="D16" s="51">
        <f>IF('Eicher Motors'!AE6=1,"SELL",0)</f>
        <v>0</v>
      </c>
      <c r="E16" s="51"/>
      <c r="F16" s="51"/>
    </row>
    <row r="17" customHeight="1" spans="1:6">
      <c r="A17" s="91" t="s">
        <v>42</v>
      </c>
      <c r="B17" s="92" t="s">
        <v>43</v>
      </c>
      <c r="C17" s="51">
        <f ca="1">IF('Grasim Industries'!Z5=1,"BUY",0)</f>
        <v>0</v>
      </c>
      <c r="D17" s="51">
        <f>IF('Grasim Industries'!AE6=1,"SELL",0)</f>
        <v>0</v>
      </c>
      <c r="E17" s="51"/>
      <c r="F17" s="51"/>
    </row>
    <row r="18" customHeight="1" spans="1:6">
      <c r="A18" s="91" t="s">
        <v>44</v>
      </c>
      <c r="B18" s="92" t="s">
        <v>45</v>
      </c>
      <c r="C18" s="51">
        <f ca="1">IF('HCL Technologies'!Z5=1,"BUY",0)</f>
        <v>0</v>
      </c>
      <c r="D18" s="51">
        <f>IF('HCL Technologies'!AE6=1,"SELL",0)</f>
        <v>0</v>
      </c>
      <c r="E18" s="51"/>
      <c r="F18" s="51"/>
    </row>
    <row r="19" customHeight="1" spans="1:6">
      <c r="A19" s="91" t="s">
        <v>46</v>
      </c>
      <c r="B19" s="92" t="s">
        <v>47</v>
      </c>
      <c r="C19" s="51">
        <f ca="1">IF('HDFC Bank'!Z5=1,"BUY",0)</f>
        <v>0</v>
      </c>
      <c r="D19" s="51">
        <f>IF('HDFC Bank'!AE6=1,"SELL",0)</f>
        <v>0</v>
      </c>
      <c r="E19" s="51"/>
      <c r="F19" s="51"/>
    </row>
    <row r="20" customHeight="1" spans="1:6">
      <c r="A20" s="91" t="s">
        <v>48</v>
      </c>
      <c r="B20" s="92" t="s">
        <v>49</v>
      </c>
      <c r="C20" s="51">
        <f ca="1">IF('Hero MotoCorp'!Z5=1,"BUY",0)</f>
        <v>0</v>
      </c>
      <c r="D20" s="51">
        <f>IF('Hero MotoCorp'!AE6=1,"SELL",0)</f>
        <v>0</v>
      </c>
      <c r="E20" s="51"/>
      <c r="F20" s="51"/>
    </row>
    <row r="21" customHeight="1" spans="1:6">
      <c r="A21" s="91" t="s">
        <v>50</v>
      </c>
      <c r="B21" s="92" t="s">
        <v>51</v>
      </c>
      <c r="C21" s="51">
        <f ca="1">IF('Hindalco Industries'!Z5=1,"BUY",0)</f>
        <v>0</v>
      </c>
      <c r="D21" s="51">
        <f>IF('Hindalco Industries'!AE6=1,"SELL",0)</f>
        <v>0</v>
      </c>
      <c r="E21" s="51"/>
      <c r="F21" s="51"/>
    </row>
    <row r="22" customHeight="1" spans="1:6">
      <c r="A22" s="91" t="s">
        <v>52</v>
      </c>
      <c r="B22" s="92" t="s">
        <v>53</v>
      </c>
      <c r="C22" s="51">
        <f ca="1">IF('Hindustan Unilever'!Z5=1,"BUY",0)</f>
        <v>0</v>
      </c>
      <c r="D22" s="51">
        <f>IF('Hindustan Unilever'!AE6=1,"SELL",0)</f>
        <v>0</v>
      </c>
      <c r="E22" s="51"/>
      <c r="F22" s="51"/>
    </row>
    <row r="23" customHeight="1" spans="1:6">
      <c r="A23" s="91" t="s">
        <v>54</v>
      </c>
      <c r="B23" s="92" t="s">
        <v>55</v>
      </c>
      <c r="C23" s="51">
        <f ca="1">IF('ICICI Bank'!Z5=1,"BUY",0)</f>
        <v>0</v>
      </c>
      <c r="D23" s="51">
        <f>IF('ICICI Bank'!AE6=1,"SELL",0)</f>
        <v>0</v>
      </c>
      <c r="E23" s="51"/>
      <c r="F23" s="51"/>
    </row>
    <row r="24" customHeight="1" spans="1:6">
      <c r="A24" s="91" t="s">
        <v>56</v>
      </c>
      <c r="B24" s="92" t="s">
        <v>57</v>
      </c>
      <c r="C24" s="51">
        <f ca="1">IF(ITC!Z5=1,"BUY",0)</f>
        <v>0</v>
      </c>
      <c r="D24" s="51">
        <f>IF(ITC!AE6=1,"SELL",0)</f>
        <v>0</v>
      </c>
      <c r="E24" s="51"/>
      <c r="F24" s="51"/>
    </row>
    <row r="25" customHeight="1" spans="1:6">
      <c r="A25" s="91" t="s">
        <v>58</v>
      </c>
      <c r="B25" s="92" t="s">
        <v>59</v>
      </c>
      <c r="C25" s="51">
        <f ca="1">IF('JSW Steel'!Z5=1,"BUY",0)</f>
        <v>0</v>
      </c>
      <c r="D25" s="51">
        <f>IF('JSW Steel'!AE6=1,"SELL",0)</f>
        <v>0</v>
      </c>
      <c r="E25" s="51"/>
      <c r="F25" s="51"/>
    </row>
    <row r="26" customHeight="1" spans="1:6">
      <c r="A26" s="91" t="s">
        <v>60</v>
      </c>
      <c r="B26" s="92" t="s">
        <v>61</v>
      </c>
      <c r="C26" s="51">
        <f ca="1">IF('Kotak Mahindra Bank'!Z5=1,"BUY",0)</f>
        <v>0</v>
      </c>
      <c r="D26" s="51">
        <f>IF('Kotak Mahindra Bank'!AE6=1,"SELL",0)</f>
        <v>0</v>
      </c>
      <c r="E26" s="51"/>
      <c r="F26" s="51"/>
    </row>
    <row r="27" customHeight="1" spans="1:6">
      <c r="A27" s="91" t="s">
        <v>62</v>
      </c>
      <c r="B27" s="92" t="s">
        <v>63</v>
      </c>
      <c r="C27" s="51">
        <f ca="1">IF('Maruti Suzuki India'!Z5=1,"BUY",0)</f>
        <v>0</v>
      </c>
      <c r="D27" s="51">
        <f>IF('Maruti Suzuki India'!AE6=1,"SELL",0)</f>
        <v>0</v>
      </c>
      <c r="E27" s="51"/>
      <c r="F27" s="51"/>
    </row>
    <row r="28" customHeight="1" spans="1:6">
      <c r="A28" s="91" t="s">
        <v>64</v>
      </c>
      <c r="B28" s="92" t="s">
        <v>65</v>
      </c>
      <c r="C28" s="51">
        <f ca="1">IF('Nestle India'!Z5=1,"BUY",0)</f>
        <v>0</v>
      </c>
      <c r="D28" s="51">
        <f>IF('Nestle India'!AE6=1,"SELL",0)</f>
        <v>0</v>
      </c>
      <c r="E28" s="51"/>
      <c r="F28" s="51"/>
    </row>
    <row r="29" customHeight="1" spans="1:6">
      <c r="A29" s="91" t="s">
        <v>66</v>
      </c>
      <c r="B29" s="92" t="s">
        <v>67</v>
      </c>
      <c r="C29" s="51">
        <f ca="1">IF(NTPC!Z5=1,"BUY",0)</f>
        <v>0</v>
      </c>
      <c r="D29" s="51">
        <f>IF(NTPC!AE6=1,"SELL",0)</f>
        <v>0</v>
      </c>
      <c r="E29" s="51"/>
      <c r="F29" s="51"/>
    </row>
    <row r="30" customHeight="1" spans="1:6">
      <c r="A30" s="91" t="s">
        <v>68</v>
      </c>
      <c r="B30" s="92" t="s">
        <v>69</v>
      </c>
      <c r="C30" s="51">
        <f ca="1">IF('Oil &amp; Natural Gas Corporation ('!Z5=1,"BUY",0)</f>
        <v>0</v>
      </c>
      <c r="D30" s="51">
        <f>IF('Oil &amp; Natural Gas Corporation ('!AE6=1,"SELL",0)</f>
        <v>0</v>
      </c>
      <c r="E30" s="51"/>
      <c r="F30" s="51"/>
    </row>
    <row r="31" customHeight="1" spans="1:6">
      <c r="A31" s="91" t="s">
        <v>70</v>
      </c>
      <c r="B31" s="92" t="s">
        <v>71</v>
      </c>
      <c r="C31" s="51">
        <f ca="1">IF('Power Grid Corporation'!Z5=1,"BUY",0)</f>
        <v>0</v>
      </c>
      <c r="D31" s="51">
        <f>IF('Power Grid Corporation'!AE6=1,"SELL",0)</f>
        <v>0</v>
      </c>
      <c r="E31" s="51"/>
      <c r="F31" s="51"/>
    </row>
    <row r="32" customHeight="1" spans="1:6">
      <c r="A32" s="91" t="s">
        <v>72</v>
      </c>
      <c r="B32" s="92" t="s">
        <v>73</v>
      </c>
      <c r="C32" s="51">
        <f>IF('Reliance Industries'!Z5=1,"BUY",0)</f>
        <v>0</v>
      </c>
      <c r="D32" s="51">
        <f>IF('Reliance Industries'!AE6=1,"SELL",0)</f>
        <v>0</v>
      </c>
      <c r="E32" s="51"/>
      <c r="F32" s="51"/>
    </row>
    <row r="33" customHeight="1" spans="1:6">
      <c r="A33" s="91" t="s">
        <v>74</v>
      </c>
      <c r="B33" s="92" t="s">
        <v>75</v>
      </c>
      <c r="C33" s="51">
        <f ca="1">IF(SBI!Z5=1,"BUY",0)</f>
        <v>0</v>
      </c>
      <c r="D33" s="51">
        <f>IF(SBI!AE6=1,"SELL",0)</f>
        <v>0</v>
      </c>
      <c r="E33" s="51"/>
      <c r="F33" s="51"/>
    </row>
    <row r="34" customHeight="1" spans="1:6">
      <c r="A34" s="91" t="s">
        <v>76</v>
      </c>
      <c r="B34" s="92" t="s">
        <v>77</v>
      </c>
      <c r="C34" s="51">
        <f ca="1">IF('Shree Cement'!Z5=1,"BUY",0)</f>
        <v>0</v>
      </c>
      <c r="D34" s="51">
        <f>IF('Shree Cement'!AE6=1,"SELL",0)</f>
        <v>0</v>
      </c>
      <c r="E34" s="51"/>
      <c r="F34" s="51"/>
    </row>
    <row r="35" customHeight="1" spans="1:6">
      <c r="A35" s="91" t="s">
        <v>78</v>
      </c>
      <c r="B35" s="92" t="s">
        <v>79</v>
      </c>
      <c r="C35" s="51">
        <f ca="1">IF('Sun Pharmaceutical Industries'!Z5=1,"BUY",0)</f>
        <v>0</v>
      </c>
      <c r="D35" s="51">
        <f>IF('Sun Pharmaceutical Industries'!AE6=1,"SELL",0)</f>
        <v>0</v>
      </c>
      <c r="E35" s="51"/>
      <c r="F35" s="51"/>
    </row>
    <row r="36" customHeight="1" spans="1:6">
      <c r="A36" s="91" t="s">
        <v>80</v>
      </c>
      <c r="B36" s="92" t="s">
        <v>81</v>
      </c>
      <c r="C36" s="51" t="str">
        <f ca="1">IF('Tata Consumer Products'!Z5=1,"BUY",0)</f>
        <v>BUY</v>
      </c>
      <c r="D36" s="51">
        <f>IF('Tata Consumer Products'!AE6=1,"SELL",0)</f>
        <v>0</v>
      </c>
      <c r="E36" s="51"/>
      <c r="F36" s="51"/>
    </row>
    <row r="37" customHeight="1" spans="1:6">
      <c r="A37" s="91" t="s">
        <v>82</v>
      </c>
      <c r="B37" s="92" t="s">
        <v>83</v>
      </c>
      <c r="C37" s="51">
        <f>IF('Tata Motors'!Z5=1,"BUY",0)</f>
        <v>0</v>
      </c>
      <c r="D37" s="51">
        <f>IF('Tata Motors'!AE6=1,"SELL",0)</f>
        <v>0</v>
      </c>
      <c r="E37" s="51"/>
      <c r="F37" s="51"/>
    </row>
    <row r="38" customHeight="1" spans="1:6">
      <c r="A38" s="91" t="s">
        <v>84</v>
      </c>
      <c r="B38" s="92" t="s">
        <v>85</v>
      </c>
      <c r="C38" s="51" t="str">
        <f ca="1">IF('Tata Steel'!Z5=1,"BUY",0)</f>
        <v>BUY</v>
      </c>
      <c r="D38" s="51">
        <f>IF('Tata Steel'!AE6=1,"SELL",0)</f>
        <v>0</v>
      </c>
      <c r="E38" s="51"/>
      <c r="F38" s="51"/>
    </row>
    <row r="39" customHeight="1" spans="1:6">
      <c r="A39" s="91" t="s">
        <v>86</v>
      </c>
      <c r="B39" s="92" t="s">
        <v>87</v>
      </c>
      <c r="C39" s="51">
        <f ca="1">IF('Tech Mahindra'!Z5=1,"BUY",0)</f>
        <v>0</v>
      </c>
      <c r="D39" s="51">
        <f>IF('Tech Mahindra'!AE6=1,"SELL",0)</f>
        <v>0</v>
      </c>
      <c r="E39" s="51"/>
      <c r="F39" s="51"/>
    </row>
    <row r="40" customHeight="1" spans="1:6">
      <c r="A40" s="91" t="s">
        <v>88</v>
      </c>
      <c r="B40" s="92" t="s">
        <v>89</v>
      </c>
      <c r="C40" s="51">
        <f ca="1">IF('Titan Company'!Z5=1,"BUY",0)</f>
        <v>0</v>
      </c>
      <c r="D40" s="51">
        <f>IF('Titan Company'!AE6=1,"SELL",0)</f>
        <v>0</v>
      </c>
      <c r="E40" s="51"/>
      <c r="F40" s="51"/>
    </row>
    <row r="41" customHeight="1" spans="1:6">
      <c r="A41" s="91" t="s">
        <v>90</v>
      </c>
      <c r="B41" s="92" t="s">
        <v>91</v>
      </c>
      <c r="C41" s="51">
        <f ca="1">IF('UltraTech Cement'!Z5=1,"BUY",0)</f>
        <v>0</v>
      </c>
      <c r="D41" s="51">
        <f>IF('UltraTech Cement'!AE6=1,"SELL",0)</f>
        <v>0</v>
      </c>
      <c r="E41" s="51"/>
      <c r="F41" s="51"/>
    </row>
    <row r="42" customHeight="1" spans="1:6">
      <c r="A42" s="91" t="s">
        <v>92</v>
      </c>
      <c r="B42" s="92" t="s">
        <v>93</v>
      </c>
      <c r="C42" s="51">
        <f ca="1">IF(Wipro!Z5=1,"BUY",0)</f>
        <v>0</v>
      </c>
      <c r="D42" s="51">
        <f>IF(Wipro!AE6=1,"SELL",0)</f>
        <v>0</v>
      </c>
      <c r="E42" s="51"/>
      <c r="F42" s="51"/>
    </row>
    <row r="43" customHeight="1" spans="1:6">
      <c r="A43" s="91" t="s">
        <v>94</v>
      </c>
      <c r="B43" s="92" t="s">
        <v>95</v>
      </c>
      <c r="C43" s="51">
        <f ca="1">IF('Yes Bank'!Z5=1,"BUY",0)</f>
        <v>0</v>
      </c>
      <c r="D43" s="51">
        <f>IF('Yes Bank'!AE6=1,"SELL",0)</f>
        <v>0</v>
      </c>
      <c r="E43" s="51"/>
      <c r="F43" s="51"/>
    </row>
    <row r="44" customHeight="1" spans="1:6">
      <c r="A44" s="93" t="s">
        <v>96</v>
      </c>
      <c r="B44" s="94" t="s">
        <v>97</v>
      </c>
      <c r="C44" s="51">
        <f ca="1">IF('Aarti Industries'!Z5=1,"BUY",0)</f>
        <v>0</v>
      </c>
      <c r="D44" s="51">
        <f>IF('Aarti Industries'!AE6=1,"SELL",0)</f>
        <v>0</v>
      </c>
      <c r="E44" s="51"/>
      <c r="F44" s="51"/>
    </row>
    <row r="45" customHeight="1" spans="1:6">
      <c r="A45" s="93" t="s">
        <v>98</v>
      </c>
      <c r="B45" s="94" t="s">
        <v>99</v>
      </c>
      <c r="C45" s="51">
        <f ca="1">IF('Adani Green Energy'!Z5=1,"BUY",0)</f>
        <v>0</v>
      </c>
      <c r="D45" s="51">
        <f>IF('Adani Green Energy'!AE6=1,"SELL",0)</f>
        <v>0</v>
      </c>
      <c r="E45" s="51"/>
      <c r="F45" s="51"/>
    </row>
    <row r="46" customHeight="1" spans="1:6">
      <c r="A46" s="93" t="s">
        <v>100</v>
      </c>
      <c r="B46" s="94" t="s">
        <v>101</v>
      </c>
      <c r="C46" s="51">
        <f ca="1">IF('Ambuja Cements'!Z5=1,"BUY",0)</f>
        <v>0</v>
      </c>
      <c r="D46" s="51">
        <f>IF('Ambuja Cements'!AE6=1,"SELL",0)</f>
        <v>0</v>
      </c>
      <c r="E46" s="51"/>
      <c r="F46" s="51"/>
    </row>
    <row r="47" customHeight="1" spans="1:6">
      <c r="A47" s="93" t="s">
        <v>102</v>
      </c>
      <c r="B47" s="94" t="s">
        <v>103</v>
      </c>
      <c r="C47" s="51">
        <f>IF('Aurobindo Pharma'!Z5=1,"BUY",0)</f>
        <v>0</v>
      </c>
      <c r="D47" s="51">
        <f>IF('Aurobindo Pharma'!AE6=1,"SELL",0)</f>
        <v>0</v>
      </c>
      <c r="E47" s="51"/>
      <c r="F47" s="51"/>
    </row>
    <row r="48" customHeight="1" spans="1:6">
      <c r="A48" s="93" t="s">
        <v>104</v>
      </c>
      <c r="B48" s="94" t="s">
        <v>105</v>
      </c>
      <c r="C48" s="51">
        <f ca="1">IF('Bajaj Finserv'!Z5=1,"BUY",0)</f>
        <v>0</v>
      </c>
      <c r="D48" s="51">
        <f>IF('Bajaj Finserv'!AE6=1,"SELL",0)</f>
        <v>0</v>
      </c>
      <c r="E48" s="51"/>
      <c r="F48" s="51"/>
    </row>
    <row r="49" customHeight="1" spans="1:6">
      <c r="A49" s="95" t="s">
        <v>106</v>
      </c>
      <c r="B49" s="96" t="s">
        <v>107</v>
      </c>
      <c r="C49" s="51">
        <f ca="1">IF('GAIL India'!Z5=1,"BUY",0)</f>
        <v>0</v>
      </c>
      <c r="D49" s="51">
        <f>IF('GAIL India'!AE6=1,"SELL",0)</f>
        <v>0</v>
      </c>
      <c r="E49" s="51"/>
      <c r="F49" s="51"/>
    </row>
    <row r="50" customHeight="1" spans="1:6">
      <c r="A50" s="95" t="s">
        <v>108</v>
      </c>
      <c r="B50" s="96" t="s">
        <v>109</v>
      </c>
      <c r="C50" s="51">
        <f ca="1">IF(Infosys!Z5=1,"BUY",0)</f>
        <v>0</v>
      </c>
      <c r="D50" s="51">
        <f>IF(Infosys!AE6=1,"SELL",0)</f>
        <v>0</v>
      </c>
      <c r="E50" s="51"/>
      <c r="F50" s="51"/>
    </row>
    <row r="51" customHeight="1" spans="1:6">
      <c r="A51" s="95" t="s">
        <v>110</v>
      </c>
      <c r="B51" s="96" t="s">
        <v>56</v>
      </c>
      <c r="C51" s="51"/>
      <c r="D51" s="51"/>
      <c r="E51" s="51"/>
      <c r="F51" s="51"/>
    </row>
    <row r="52" customHeight="1" spans="1:6">
      <c r="A52" s="95" t="s">
        <v>111</v>
      </c>
      <c r="B52" s="96" t="s">
        <v>112</v>
      </c>
      <c r="C52" s="51"/>
      <c r="D52" s="51"/>
      <c r="E52" s="51"/>
      <c r="F52" s="51"/>
    </row>
    <row r="53" customHeight="1" spans="1:6">
      <c r="A53" s="95" t="s">
        <v>113</v>
      </c>
      <c r="B53" s="96" t="s">
        <v>114</v>
      </c>
      <c r="C53" s="51"/>
      <c r="D53" s="51"/>
      <c r="E53" s="51"/>
      <c r="F53" s="51"/>
    </row>
    <row r="54" customHeight="1" spans="1:6">
      <c r="A54" s="95" t="s">
        <v>115</v>
      </c>
      <c r="B54" s="96" t="s">
        <v>116</v>
      </c>
      <c r="C54" s="51"/>
      <c r="D54" s="51"/>
      <c r="E54" s="51"/>
      <c r="F54" s="51"/>
    </row>
    <row r="55" customHeight="1" spans="1:6">
      <c r="A55" s="95" t="s">
        <v>117</v>
      </c>
      <c r="B55" s="96" t="s">
        <v>66</v>
      </c>
      <c r="C55" s="51"/>
      <c r="D55" s="51"/>
      <c r="E55" s="51"/>
      <c r="F55" s="51"/>
    </row>
    <row r="56" customHeight="1" spans="1:6">
      <c r="A56" s="95" t="s">
        <v>118</v>
      </c>
      <c r="B56" s="96" t="s">
        <v>119</v>
      </c>
      <c r="C56" s="51"/>
      <c r="D56" s="51"/>
      <c r="E56" s="51"/>
      <c r="F56" s="51"/>
    </row>
    <row r="57" customHeight="1" spans="1:6">
      <c r="A57" s="95" t="s">
        <v>120</v>
      </c>
      <c r="B57" s="96" t="s">
        <v>74</v>
      </c>
      <c r="C57" s="51"/>
      <c r="D57" s="51"/>
      <c r="E57" s="51"/>
      <c r="F57" s="51"/>
    </row>
    <row r="58" customHeight="1" spans="1:6">
      <c r="A58" s="95" t="s">
        <v>121</v>
      </c>
      <c r="B58" s="96" t="s">
        <v>122</v>
      </c>
      <c r="C58" s="51"/>
      <c r="D58" s="51"/>
      <c r="E58" s="51"/>
      <c r="F58" s="51"/>
    </row>
    <row r="59" customHeight="1" spans="1:6">
      <c r="A59" s="95" t="s">
        <v>123</v>
      </c>
      <c r="B59" s="96" t="s">
        <v>124</v>
      </c>
      <c r="C59" s="51"/>
      <c r="D59" s="51"/>
      <c r="E59" s="51"/>
      <c r="F59" s="51"/>
    </row>
    <row r="60" customHeight="1" spans="1:6">
      <c r="A60" s="95" t="s">
        <v>125</v>
      </c>
      <c r="B60" s="96" t="s">
        <v>126</v>
      </c>
      <c r="C60" s="51"/>
      <c r="D60" s="51"/>
      <c r="E60" s="51"/>
      <c r="F60" s="51"/>
    </row>
    <row r="61" customHeight="1" spans="1:6">
      <c r="A61" s="95" t="s">
        <v>127</v>
      </c>
      <c r="B61" s="96" t="s">
        <v>128</v>
      </c>
      <c r="C61" s="51"/>
      <c r="D61" s="51"/>
      <c r="E61" s="51"/>
      <c r="F61" s="51"/>
    </row>
    <row r="62" customHeight="1" spans="1:6">
      <c r="A62" s="95" t="s">
        <v>129</v>
      </c>
      <c r="B62" s="96" t="s">
        <v>130</v>
      </c>
      <c r="C62" s="51"/>
      <c r="D62" s="51"/>
      <c r="E62" s="51"/>
      <c r="F62" s="51"/>
    </row>
    <row r="63" customHeight="1" spans="1:6">
      <c r="A63" s="95" t="s">
        <v>131</v>
      </c>
      <c r="B63" s="96" t="s">
        <v>132</v>
      </c>
      <c r="C63" s="51"/>
      <c r="D63" s="51"/>
      <c r="E63" s="51"/>
      <c r="F63" s="51"/>
    </row>
    <row r="64" customHeight="1" spans="1:6">
      <c r="A64" s="95" t="s">
        <v>133</v>
      </c>
      <c r="B64" s="96" t="s">
        <v>134</v>
      </c>
      <c r="C64" s="51"/>
      <c r="D64" s="51"/>
      <c r="E64" s="51"/>
      <c r="F64" s="51"/>
    </row>
    <row r="65" customHeight="1" spans="1:6">
      <c r="A65" s="95" t="s">
        <v>135</v>
      </c>
      <c r="B65" s="96" t="s">
        <v>136</v>
      </c>
      <c r="C65" s="51"/>
      <c r="D65" s="51"/>
      <c r="E65" s="51"/>
      <c r="F65" s="51"/>
    </row>
    <row r="66" customHeight="1" spans="1:6">
      <c r="A66" s="95" t="s">
        <v>102</v>
      </c>
      <c r="B66" s="96" t="s">
        <v>137</v>
      </c>
      <c r="C66" s="51"/>
      <c r="D66" s="51"/>
      <c r="E66" s="51"/>
      <c r="F66" s="51"/>
    </row>
    <row r="67" customHeight="1" spans="1:6">
      <c r="A67" s="95" t="s">
        <v>138</v>
      </c>
      <c r="B67" s="96" t="s">
        <v>139</v>
      </c>
      <c r="C67" s="51"/>
      <c r="D67" s="51"/>
      <c r="E67" s="51"/>
      <c r="F67" s="51"/>
    </row>
    <row r="68" customHeight="1" spans="1:6">
      <c r="A68" s="95" t="s">
        <v>140</v>
      </c>
      <c r="B68" s="96" t="s">
        <v>141</v>
      </c>
      <c r="C68" s="51"/>
      <c r="D68" s="51"/>
      <c r="E68" s="51"/>
      <c r="F68" s="51"/>
    </row>
    <row r="69" customHeight="1" spans="1:6">
      <c r="A69" s="95" t="s">
        <v>142</v>
      </c>
      <c r="B69" s="96" t="s">
        <v>143</v>
      </c>
      <c r="C69" s="51"/>
      <c r="D69" s="51"/>
      <c r="E69" s="51"/>
      <c r="F69" s="51"/>
    </row>
    <row r="70" customHeight="1" spans="1:6">
      <c r="A70" s="95" t="s">
        <v>144</v>
      </c>
      <c r="B70" s="96" t="s">
        <v>145</v>
      </c>
      <c r="C70" s="51"/>
      <c r="D70" s="51"/>
      <c r="E70" s="51"/>
      <c r="F70" s="51"/>
    </row>
    <row r="71" customHeight="1" spans="1:6">
      <c r="A71" s="95" t="s">
        <v>146</v>
      </c>
      <c r="B71" s="96" t="s">
        <v>147</v>
      </c>
      <c r="C71" s="51"/>
      <c r="D71" s="51"/>
      <c r="E71" s="51"/>
      <c r="F71" s="51"/>
    </row>
    <row r="72" customHeight="1" spans="1:6">
      <c r="A72" s="95" t="s">
        <v>148</v>
      </c>
      <c r="B72" s="96" t="s">
        <v>149</v>
      </c>
      <c r="C72" s="51"/>
      <c r="D72" s="51"/>
      <c r="E72" s="51"/>
      <c r="F72" s="51"/>
    </row>
    <row r="73" customHeight="1" spans="1:6">
      <c r="A73" s="95" t="s">
        <v>150</v>
      </c>
      <c r="B73" s="96" t="s">
        <v>151</v>
      </c>
      <c r="C73" s="51"/>
      <c r="D73" s="51"/>
      <c r="E73" s="51"/>
      <c r="F73" s="51"/>
    </row>
    <row r="74" customHeight="1" spans="1:6">
      <c r="A74" s="95" t="s">
        <v>152</v>
      </c>
      <c r="B74" s="96" t="s">
        <v>153</v>
      </c>
      <c r="C74" s="51"/>
      <c r="D74" s="51"/>
      <c r="E74" s="51"/>
      <c r="F74" s="51"/>
    </row>
    <row r="75" customHeight="1" spans="1:6">
      <c r="A75" s="95" t="s">
        <v>154</v>
      </c>
      <c r="B75" s="96" t="s">
        <v>155</v>
      </c>
      <c r="C75" s="51"/>
      <c r="D75" s="51"/>
      <c r="E75" s="51"/>
      <c r="F75" s="51"/>
    </row>
    <row r="76" customHeight="1" spans="1:6">
      <c r="A76" s="95" t="s">
        <v>156</v>
      </c>
      <c r="B76" s="96" t="s">
        <v>157</v>
      </c>
      <c r="C76" s="51"/>
      <c r="D76" s="51"/>
      <c r="E76" s="51"/>
      <c r="F76" s="51"/>
    </row>
    <row r="77" customHeight="1" spans="1:6">
      <c r="A77" s="95" t="s">
        <v>158</v>
      </c>
      <c r="B77" s="96" t="s">
        <v>159</v>
      </c>
      <c r="C77" s="51"/>
      <c r="D77" s="51"/>
      <c r="E77" s="51"/>
      <c r="F77" s="51"/>
    </row>
    <row r="78" customHeight="1" spans="1:6">
      <c r="A78" s="95" t="s">
        <v>160</v>
      </c>
      <c r="B78" s="96" t="s">
        <v>161</v>
      </c>
      <c r="C78" s="51"/>
      <c r="D78" s="51"/>
      <c r="E78" s="51"/>
      <c r="F78" s="51"/>
    </row>
    <row r="79" customHeight="1" spans="1:6">
      <c r="A79" s="95" t="s">
        <v>162</v>
      </c>
      <c r="B79" s="96" t="s">
        <v>163</v>
      </c>
      <c r="C79" s="51"/>
      <c r="D79" s="51"/>
      <c r="E79" s="51"/>
      <c r="F79" s="51"/>
    </row>
    <row r="80" customHeight="1" spans="1:6">
      <c r="A80" s="95" t="s">
        <v>164</v>
      </c>
      <c r="B80" s="96" t="s">
        <v>165</v>
      </c>
      <c r="C80" s="51"/>
      <c r="D80" s="51"/>
      <c r="E80" s="51"/>
      <c r="F80" s="51"/>
    </row>
    <row r="81" customHeight="1" spans="1:6">
      <c r="A81" s="95" t="s">
        <v>166</v>
      </c>
      <c r="B81" s="96" t="s">
        <v>167</v>
      </c>
      <c r="C81" s="51"/>
      <c r="D81" s="51"/>
      <c r="E81" s="51"/>
      <c r="F81" s="51"/>
    </row>
    <row r="82" customHeight="1" spans="1:6">
      <c r="A82" s="95" t="s">
        <v>168</v>
      </c>
      <c r="B82" s="96" t="s">
        <v>169</v>
      </c>
      <c r="C82" s="51"/>
      <c r="D82" s="51"/>
      <c r="E82" s="51"/>
      <c r="F82" s="51"/>
    </row>
    <row r="83" customHeight="1" spans="1:6">
      <c r="A83" s="95" t="s">
        <v>170</v>
      </c>
      <c r="B83" s="96" t="s">
        <v>171</v>
      </c>
      <c r="C83" s="51"/>
      <c r="D83" s="51"/>
      <c r="E83" s="51"/>
      <c r="F83" s="51"/>
    </row>
    <row r="84" customHeight="1" spans="1:6">
      <c r="A84" s="95" t="s">
        <v>172</v>
      </c>
      <c r="B84" s="96" t="s">
        <v>173</v>
      </c>
      <c r="C84" s="51"/>
      <c r="D84" s="51"/>
      <c r="E84" s="51"/>
      <c r="F84" s="51"/>
    </row>
    <row r="85" customHeight="1" spans="1:6">
      <c r="A85" s="95" t="s">
        <v>174</v>
      </c>
      <c r="B85" s="96" t="s">
        <v>175</v>
      </c>
      <c r="C85" s="51"/>
      <c r="D85" s="51"/>
      <c r="E85" s="51"/>
      <c r="F85" s="51"/>
    </row>
    <row r="86" customHeight="1" spans="1:6">
      <c r="A86" s="95" t="s">
        <v>176</v>
      </c>
      <c r="B86" s="96" t="s">
        <v>177</v>
      </c>
      <c r="C86" s="51"/>
      <c r="D86" s="51"/>
      <c r="E86" s="51"/>
      <c r="F86" s="51"/>
    </row>
    <row r="87" customHeight="1" spans="1:6">
      <c r="A87" s="95" t="s">
        <v>178</v>
      </c>
      <c r="B87" s="96" t="s">
        <v>179</v>
      </c>
      <c r="C87" s="51"/>
      <c r="D87" s="51"/>
      <c r="E87" s="51"/>
      <c r="F87" s="51"/>
    </row>
    <row r="88" customHeight="1" spans="1:6">
      <c r="A88" s="95" t="s">
        <v>180</v>
      </c>
      <c r="B88" s="96" t="s">
        <v>181</v>
      </c>
      <c r="C88" s="51"/>
      <c r="D88" s="51"/>
      <c r="E88" s="51"/>
      <c r="F88" s="51"/>
    </row>
    <row r="89" customHeight="1" spans="1:6">
      <c r="A89" s="95" t="s">
        <v>182</v>
      </c>
      <c r="B89" s="96" t="s">
        <v>183</v>
      </c>
      <c r="C89" s="51"/>
      <c r="D89" s="51"/>
      <c r="E89" s="51"/>
      <c r="F89" s="51"/>
    </row>
    <row r="90" customHeight="1" spans="1:6">
      <c r="A90" s="95" t="s">
        <v>184</v>
      </c>
      <c r="B90" s="96" t="s">
        <v>185</v>
      </c>
      <c r="C90" s="51"/>
      <c r="D90" s="51"/>
      <c r="E90" s="51"/>
      <c r="F90" s="51"/>
    </row>
    <row r="91" customHeight="1" spans="1:6">
      <c r="A91" s="95" t="s">
        <v>186</v>
      </c>
      <c r="B91" s="96" t="s">
        <v>187</v>
      </c>
      <c r="C91" s="51"/>
      <c r="D91" s="51"/>
      <c r="E91" s="51"/>
      <c r="F91" s="51"/>
    </row>
    <row r="92" customHeight="1" spans="1:6">
      <c r="A92" s="95" t="s">
        <v>188</v>
      </c>
      <c r="B92" s="96" t="s">
        <v>189</v>
      </c>
      <c r="C92" s="51"/>
      <c r="D92" s="51"/>
      <c r="E92" s="51"/>
      <c r="F92" s="51"/>
    </row>
    <row r="93" customHeight="1" spans="1:6">
      <c r="A93" s="95" t="s">
        <v>190</v>
      </c>
      <c r="B93" s="96" t="s">
        <v>191</v>
      </c>
      <c r="C93" s="51"/>
      <c r="D93" s="51"/>
      <c r="E93" s="51"/>
      <c r="F93" s="51"/>
    </row>
    <row r="94" customHeight="1" spans="1:6">
      <c r="A94" s="95" t="s">
        <v>192</v>
      </c>
      <c r="B94" s="96" t="s">
        <v>193</v>
      </c>
      <c r="C94" s="51"/>
      <c r="D94" s="51"/>
      <c r="E94" s="51"/>
      <c r="F94" s="51"/>
    </row>
    <row r="95" customHeight="1" spans="1:6">
      <c r="A95" s="95" t="s">
        <v>194</v>
      </c>
      <c r="B95" s="96" t="s">
        <v>195</v>
      </c>
      <c r="C95" s="51"/>
      <c r="D95" s="51"/>
      <c r="E95" s="51"/>
      <c r="F95" s="51"/>
    </row>
    <row r="96" customHeight="1" spans="1:6">
      <c r="A96" s="95" t="s">
        <v>196</v>
      </c>
      <c r="B96" s="96" t="s">
        <v>197</v>
      </c>
      <c r="C96" s="51"/>
      <c r="D96" s="51"/>
      <c r="E96" s="51"/>
      <c r="F96" s="51"/>
    </row>
    <row r="97" customHeight="1" spans="1:6">
      <c r="A97" s="95" t="s">
        <v>198</v>
      </c>
      <c r="B97" s="96" t="s">
        <v>199</v>
      </c>
      <c r="C97" s="51"/>
      <c r="D97" s="51"/>
      <c r="E97" s="51"/>
      <c r="F97" s="51"/>
    </row>
    <row r="98" customHeight="1" spans="1:6">
      <c r="A98" s="95" t="s">
        <v>200</v>
      </c>
      <c r="B98" s="96" t="s">
        <v>201</v>
      </c>
      <c r="C98" s="51"/>
      <c r="D98" s="51"/>
      <c r="E98" s="51"/>
      <c r="F98" s="51"/>
    </row>
    <row r="99" customHeight="1" spans="1:6">
      <c r="A99" s="95" t="s">
        <v>202</v>
      </c>
      <c r="B99" s="96" t="s">
        <v>203</v>
      </c>
      <c r="C99" s="51"/>
      <c r="D99" s="51"/>
      <c r="E99" s="51"/>
      <c r="F99" s="51"/>
    </row>
    <row r="100" customHeight="1" spans="1:6">
      <c r="A100" s="95" t="s">
        <v>204</v>
      </c>
      <c r="B100" s="96" t="s">
        <v>205</v>
      </c>
      <c r="C100" s="51"/>
      <c r="D100" s="51"/>
      <c r="E100" s="51"/>
      <c r="F100" s="51"/>
    </row>
    <row r="101" customHeight="1" spans="1:6">
      <c r="A101" s="95" t="s">
        <v>206</v>
      </c>
      <c r="B101" s="96" t="s">
        <v>207</v>
      </c>
      <c r="C101" s="51"/>
      <c r="D101" s="51"/>
      <c r="E101" s="51"/>
      <c r="F101" s="51"/>
    </row>
    <row r="102" customHeight="1" spans="1:6">
      <c r="A102" s="95" t="s">
        <v>208</v>
      </c>
      <c r="B102" s="96" t="s">
        <v>209</v>
      </c>
      <c r="C102" s="51"/>
      <c r="D102" s="51"/>
      <c r="E102" s="51"/>
      <c r="F102" s="51"/>
    </row>
    <row r="103" customHeight="1" spans="1:6">
      <c r="A103" s="95" t="s">
        <v>210</v>
      </c>
      <c r="B103" s="96" t="s">
        <v>211</v>
      </c>
      <c r="C103" s="51"/>
      <c r="D103" s="51"/>
      <c r="E103" s="51"/>
      <c r="F103" s="51"/>
    </row>
    <row r="104" customHeight="1" spans="1:6">
      <c r="A104" s="95" t="s">
        <v>212</v>
      </c>
      <c r="B104" s="96" t="s">
        <v>213</v>
      </c>
      <c r="C104" s="51"/>
      <c r="D104" s="51"/>
      <c r="E104" s="51"/>
      <c r="F104" s="51"/>
    </row>
    <row r="105" customHeight="1" spans="1:6">
      <c r="A105" s="95" t="s">
        <v>214</v>
      </c>
      <c r="B105" s="96" t="s">
        <v>215</v>
      </c>
      <c r="C105" s="51"/>
      <c r="D105" s="51"/>
      <c r="E105" s="51"/>
      <c r="F105" s="51"/>
    </row>
    <row r="106" customHeight="1" spans="1:6">
      <c r="A106" s="95" t="s">
        <v>216</v>
      </c>
      <c r="B106" s="96" t="s">
        <v>217</v>
      </c>
      <c r="C106" s="51"/>
      <c r="D106" s="51"/>
      <c r="E106" s="51"/>
      <c r="F106" s="51"/>
    </row>
    <row r="107" customHeight="1" spans="1:6">
      <c r="A107" s="95" t="s">
        <v>218</v>
      </c>
      <c r="B107" s="96" t="s">
        <v>219</v>
      </c>
      <c r="C107" s="51"/>
      <c r="D107" s="51"/>
      <c r="E107" s="51"/>
      <c r="F107" s="51"/>
    </row>
    <row r="108" customHeight="1" spans="1:6">
      <c r="A108" s="95" t="s">
        <v>220</v>
      </c>
      <c r="B108" s="96" t="s">
        <v>221</v>
      </c>
      <c r="C108" s="51"/>
      <c r="D108" s="51"/>
      <c r="E108" s="51"/>
      <c r="F108" s="51"/>
    </row>
    <row r="109" customHeight="1" spans="1:6">
      <c r="A109" s="95" t="s">
        <v>222</v>
      </c>
      <c r="B109" s="96" t="s">
        <v>223</v>
      </c>
      <c r="C109" s="51"/>
      <c r="D109" s="51"/>
      <c r="E109" s="51"/>
      <c r="F109" s="51"/>
    </row>
    <row r="110" customHeight="1" spans="1:6">
      <c r="A110" s="95" t="s">
        <v>224</v>
      </c>
      <c r="B110" s="96" t="s">
        <v>225</v>
      </c>
      <c r="C110" s="51"/>
      <c r="D110" s="51"/>
      <c r="E110" s="51"/>
      <c r="F110" s="51"/>
    </row>
    <row r="111" customHeight="1" spans="1:6">
      <c r="A111" s="95" t="s">
        <v>226</v>
      </c>
      <c r="B111" s="96" t="s">
        <v>227</v>
      </c>
      <c r="C111" s="51"/>
      <c r="D111" s="51"/>
      <c r="E111" s="51"/>
      <c r="F111" s="51"/>
    </row>
    <row r="112" customHeight="1" spans="1:6">
      <c r="A112" s="95" t="s">
        <v>228</v>
      </c>
      <c r="B112" s="96" t="s">
        <v>229</v>
      </c>
      <c r="C112" s="51"/>
      <c r="D112" s="51"/>
      <c r="E112" s="51"/>
      <c r="F112" s="51"/>
    </row>
    <row r="113" customHeight="1" spans="1:6">
      <c r="A113" s="95" t="s">
        <v>230</v>
      </c>
      <c r="B113" s="96" t="s">
        <v>231</v>
      </c>
      <c r="C113" s="51"/>
      <c r="D113" s="51"/>
      <c r="E113" s="51"/>
      <c r="F113" s="51"/>
    </row>
    <row r="114" customHeight="1" spans="1:6">
      <c r="A114" s="95" t="s">
        <v>232</v>
      </c>
      <c r="B114" s="96" t="s">
        <v>233</v>
      </c>
      <c r="C114" s="51"/>
      <c r="D114" s="51"/>
      <c r="E114" s="51"/>
      <c r="F114" s="51"/>
    </row>
    <row r="115" customHeight="1" spans="1:6">
      <c r="A115" s="95" t="s">
        <v>234</v>
      </c>
      <c r="B115" s="96" t="s">
        <v>235</v>
      </c>
      <c r="C115" s="51"/>
      <c r="D115" s="51"/>
      <c r="E115" s="51"/>
      <c r="F115" s="51"/>
    </row>
    <row r="116" customHeight="1" spans="1:6">
      <c r="A116" s="95" t="s">
        <v>236</v>
      </c>
      <c r="B116" s="96" t="s">
        <v>237</v>
      </c>
      <c r="C116" s="51"/>
      <c r="D116" s="51"/>
      <c r="E116" s="51"/>
      <c r="F116" s="51"/>
    </row>
    <row r="117" customHeight="1" spans="1:6">
      <c r="A117" s="95" t="s">
        <v>238</v>
      </c>
      <c r="B117" s="96" t="s">
        <v>239</v>
      </c>
      <c r="C117" s="51"/>
      <c r="D117" s="51"/>
      <c r="E117" s="51"/>
      <c r="F117" s="51"/>
    </row>
    <row r="118" customHeight="1" spans="1:6">
      <c r="A118" s="95" t="s">
        <v>240</v>
      </c>
      <c r="B118" s="96" t="s">
        <v>195</v>
      </c>
      <c r="C118" s="51"/>
      <c r="D118" s="51"/>
      <c r="E118" s="51"/>
      <c r="F118" s="51"/>
    </row>
    <row r="119" customHeight="1" spans="1:6">
      <c r="A119" s="95" t="s">
        <v>241</v>
      </c>
      <c r="B119" s="96" t="s">
        <v>242</v>
      </c>
      <c r="C119" s="51"/>
      <c r="D119" s="51"/>
      <c r="E119" s="51"/>
      <c r="F119" s="51"/>
    </row>
    <row r="120" customHeight="1" spans="1:6">
      <c r="A120" s="95" t="s">
        <v>243</v>
      </c>
      <c r="B120" s="96" t="s">
        <v>244</v>
      </c>
      <c r="C120" s="51"/>
      <c r="D120" s="51"/>
      <c r="E120" s="51"/>
      <c r="F120" s="51"/>
    </row>
    <row r="121" customHeight="1" spans="1:6">
      <c r="A121" s="95" t="s">
        <v>245</v>
      </c>
      <c r="B121" s="96" t="s">
        <v>246</v>
      </c>
      <c r="C121" s="51"/>
      <c r="D121" s="51"/>
      <c r="E121" s="51"/>
      <c r="F121" s="51"/>
    </row>
    <row r="122" customHeight="1" spans="1:6">
      <c r="A122" s="95" t="s">
        <v>247</v>
      </c>
      <c r="B122" s="96" t="s">
        <v>248</v>
      </c>
      <c r="C122" s="51"/>
      <c r="D122" s="51"/>
      <c r="E122" s="51"/>
      <c r="F122" s="51"/>
    </row>
    <row r="123" customHeight="1" spans="1:6">
      <c r="A123" s="95" t="s">
        <v>249</v>
      </c>
      <c r="B123" s="96" t="s">
        <v>250</v>
      </c>
      <c r="C123" s="51"/>
      <c r="D123" s="51"/>
      <c r="E123" s="51"/>
      <c r="F123" s="51"/>
    </row>
    <row r="124" customHeight="1" spans="1:6">
      <c r="A124" s="95" t="s">
        <v>251</v>
      </c>
      <c r="B124" s="96" t="s">
        <v>252</v>
      </c>
      <c r="C124" s="51"/>
      <c r="D124" s="51"/>
      <c r="E124" s="51"/>
      <c r="F124" s="51"/>
    </row>
    <row r="125" customHeight="1" spans="1:6">
      <c r="A125" s="95" t="s">
        <v>253</v>
      </c>
      <c r="B125" s="96" t="s">
        <v>254</v>
      </c>
      <c r="C125" s="51"/>
      <c r="D125" s="51"/>
      <c r="E125" s="51"/>
      <c r="F125" s="51"/>
    </row>
    <row r="126" customHeight="1" spans="1:6">
      <c r="A126" s="95" t="s">
        <v>255</v>
      </c>
      <c r="B126" s="96" t="s">
        <v>256</v>
      </c>
      <c r="C126" s="51"/>
      <c r="D126" s="51"/>
      <c r="E126" s="51"/>
      <c r="F126" s="51"/>
    </row>
    <row r="127" customHeight="1" spans="1:6">
      <c r="A127" s="95" t="s">
        <v>257</v>
      </c>
      <c r="B127" s="96" t="s">
        <v>258</v>
      </c>
      <c r="C127" s="51"/>
      <c r="D127" s="51"/>
      <c r="E127" s="51"/>
      <c r="F127" s="51"/>
    </row>
    <row r="128" customHeight="1" spans="1:6">
      <c r="A128" s="95" t="s">
        <v>259</v>
      </c>
      <c r="B128" s="96" t="s">
        <v>260</v>
      </c>
      <c r="C128" s="51"/>
      <c r="D128" s="51"/>
      <c r="E128" s="51"/>
      <c r="F128" s="51"/>
    </row>
    <row r="129" customHeight="1" spans="1:6">
      <c r="A129" s="95" t="s">
        <v>261</v>
      </c>
      <c r="B129" s="96" t="s">
        <v>262</v>
      </c>
      <c r="C129" s="51"/>
      <c r="D129" s="51"/>
      <c r="E129" s="51"/>
      <c r="F129" s="51"/>
    </row>
    <row r="130" customHeight="1" spans="1:6">
      <c r="A130" s="93" t="s">
        <v>218</v>
      </c>
      <c r="B130" s="94" t="s">
        <v>219</v>
      </c>
      <c r="C130" s="51"/>
      <c r="D130" s="51"/>
      <c r="E130" s="51"/>
      <c r="F130" s="51"/>
    </row>
    <row r="131" customHeight="1" spans="1:6">
      <c r="A131" s="93" t="s">
        <v>220</v>
      </c>
      <c r="B131" s="94" t="s">
        <v>221</v>
      </c>
      <c r="C131" s="51"/>
      <c r="D131" s="51"/>
      <c r="E131" s="51"/>
      <c r="F131" s="51"/>
    </row>
    <row r="132" customHeight="1" spans="1:6">
      <c r="A132" s="93" t="s">
        <v>96</v>
      </c>
      <c r="B132" s="94" t="s">
        <v>97</v>
      </c>
      <c r="C132" s="51"/>
      <c r="D132" s="51"/>
      <c r="E132" s="51"/>
      <c r="F132" s="51"/>
    </row>
    <row r="133" customHeight="1" spans="1:6">
      <c r="A133" s="93" t="s">
        <v>222</v>
      </c>
      <c r="B133" s="94" t="s">
        <v>223</v>
      </c>
      <c r="C133" s="51"/>
      <c r="D133" s="51"/>
      <c r="E133" s="51"/>
      <c r="F133" s="51"/>
    </row>
    <row r="134" customHeight="1" spans="1:6">
      <c r="A134" s="93" t="s">
        <v>224</v>
      </c>
      <c r="B134" s="94" t="s">
        <v>225</v>
      </c>
      <c r="C134" s="51"/>
      <c r="D134" s="51"/>
      <c r="E134" s="51"/>
      <c r="F134" s="51"/>
    </row>
    <row r="135" customHeight="1" spans="1:6">
      <c r="A135" s="93" t="s">
        <v>226</v>
      </c>
      <c r="B135" s="94" t="s">
        <v>227</v>
      </c>
      <c r="C135" s="51"/>
      <c r="D135" s="51"/>
      <c r="E135" s="51"/>
      <c r="F135" s="51"/>
    </row>
    <row r="136" customHeight="1" spans="1:6">
      <c r="A136" s="93" t="s">
        <v>228</v>
      </c>
      <c r="B136" s="94" t="s">
        <v>229</v>
      </c>
      <c r="C136" s="51"/>
      <c r="D136" s="51"/>
      <c r="E136" s="51"/>
      <c r="F136" s="51"/>
    </row>
    <row r="137" customHeight="1" spans="1:6">
      <c r="A137" s="93" t="s">
        <v>230</v>
      </c>
      <c r="B137" s="94" t="s">
        <v>231</v>
      </c>
      <c r="C137" s="51"/>
      <c r="D137" s="51"/>
      <c r="E137" s="51"/>
      <c r="F137" s="51"/>
    </row>
    <row r="138" customHeight="1" spans="1:6">
      <c r="A138" s="93" t="s">
        <v>232</v>
      </c>
      <c r="B138" s="94" t="s">
        <v>233</v>
      </c>
      <c r="C138" s="51"/>
      <c r="D138" s="51"/>
      <c r="E138" s="51"/>
      <c r="F138" s="51"/>
    </row>
    <row r="139" customHeight="1" spans="1:6">
      <c r="A139" s="93" t="s">
        <v>263</v>
      </c>
      <c r="B139" s="94" t="s">
        <v>107</v>
      </c>
      <c r="C139" s="51"/>
      <c r="D139" s="51"/>
      <c r="E139" s="51"/>
      <c r="F139" s="51"/>
    </row>
    <row r="140" customHeight="1" spans="1:6">
      <c r="A140" s="93" t="s">
        <v>234</v>
      </c>
      <c r="B140" s="94" t="s">
        <v>235</v>
      </c>
      <c r="C140" s="51"/>
      <c r="D140" s="51"/>
      <c r="E140" s="51"/>
      <c r="F140" s="51"/>
    </row>
    <row r="141" customHeight="1" spans="1:6">
      <c r="A141" s="93" t="s">
        <v>236</v>
      </c>
      <c r="B141" s="94" t="s">
        <v>237</v>
      </c>
      <c r="C141" s="51"/>
      <c r="D141" s="51"/>
      <c r="E141" s="51"/>
      <c r="F141" s="51"/>
    </row>
    <row r="142" customHeight="1" spans="1:6">
      <c r="A142" s="93" t="s">
        <v>238</v>
      </c>
      <c r="B142" s="94" t="s">
        <v>239</v>
      </c>
      <c r="C142" s="51"/>
      <c r="D142" s="51"/>
      <c r="E142" s="51"/>
      <c r="F142" s="51"/>
    </row>
    <row r="143" customHeight="1" spans="1:6">
      <c r="A143" s="93" t="s">
        <v>240</v>
      </c>
      <c r="B143" s="94" t="s">
        <v>195</v>
      </c>
      <c r="C143" s="51"/>
      <c r="D143" s="51"/>
      <c r="E143" s="51"/>
      <c r="F143" s="51"/>
    </row>
    <row r="144" customHeight="1" spans="1:6">
      <c r="A144" s="93" t="s">
        <v>241</v>
      </c>
      <c r="B144" s="94" t="s">
        <v>242</v>
      </c>
      <c r="C144" s="51"/>
      <c r="D144" s="51"/>
      <c r="E144" s="51"/>
      <c r="F144" s="51"/>
    </row>
    <row r="145" customHeight="1" spans="1:6">
      <c r="A145" s="93" t="s">
        <v>243</v>
      </c>
      <c r="B145" s="94" t="s">
        <v>244</v>
      </c>
      <c r="C145" s="51"/>
      <c r="D145" s="51"/>
      <c r="E145" s="51"/>
      <c r="F145" s="51"/>
    </row>
    <row r="146" customHeight="1" spans="1:6">
      <c r="A146" s="93" t="s">
        <v>245</v>
      </c>
      <c r="B146" s="94" t="s">
        <v>246</v>
      </c>
      <c r="C146" s="51"/>
      <c r="D146" s="51"/>
      <c r="E146" s="51"/>
      <c r="F146" s="51"/>
    </row>
    <row r="147" customHeight="1" spans="1:6">
      <c r="A147" s="93" t="s">
        <v>247</v>
      </c>
      <c r="B147" s="94" t="s">
        <v>248</v>
      </c>
      <c r="C147" s="51"/>
      <c r="D147" s="51"/>
      <c r="E147" s="51"/>
      <c r="F147" s="51"/>
    </row>
    <row r="148" customHeight="1" spans="1:6">
      <c r="A148" s="93" t="s">
        <v>249</v>
      </c>
      <c r="B148" s="94" t="s">
        <v>250</v>
      </c>
      <c r="C148" s="51"/>
      <c r="D148" s="51"/>
      <c r="E148" s="51"/>
      <c r="F148" s="51"/>
    </row>
    <row r="149" customHeight="1" spans="1:6">
      <c r="A149" s="93" t="s">
        <v>251</v>
      </c>
      <c r="B149" s="94" t="s">
        <v>252</v>
      </c>
      <c r="C149" s="51"/>
      <c r="D149" s="51"/>
      <c r="E149" s="51"/>
      <c r="F149" s="51"/>
    </row>
    <row r="150" customHeight="1" spans="1:6">
      <c r="A150" s="93" t="s">
        <v>253</v>
      </c>
      <c r="B150" s="94" t="s">
        <v>254</v>
      </c>
      <c r="C150" s="51"/>
      <c r="D150" s="51"/>
      <c r="E150" s="51"/>
      <c r="F150" s="51"/>
    </row>
    <row r="151" customHeight="1" spans="1:6">
      <c r="A151" s="93" t="s">
        <v>255</v>
      </c>
      <c r="B151" s="94" t="s">
        <v>256</v>
      </c>
      <c r="C151" s="51"/>
      <c r="D151" s="51"/>
      <c r="E151" s="51"/>
      <c r="F151" s="51"/>
    </row>
    <row r="152" customHeight="1" spans="1:6">
      <c r="A152" s="93" t="s">
        <v>257</v>
      </c>
      <c r="B152" s="94" t="s">
        <v>258</v>
      </c>
      <c r="C152" s="51"/>
      <c r="D152" s="51"/>
      <c r="E152" s="51"/>
      <c r="F152" s="51"/>
    </row>
    <row r="153" customHeight="1" spans="1:6">
      <c r="A153" s="93" t="s">
        <v>259</v>
      </c>
      <c r="B153" s="94" t="s">
        <v>260</v>
      </c>
      <c r="C153" s="51"/>
      <c r="D153" s="51"/>
      <c r="E153" s="51"/>
      <c r="F153" s="51"/>
    </row>
    <row r="154" customHeight="1" spans="1:6">
      <c r="A154" s="93" t="s">
        <v>261</v>
      </c>
      <c r="B154" s="94" t="s">
        <v>262</v>
      </c>
      <c r="C154" s="51"/>
      <c r="D154" s="51"/>
      <c r="E154" s="51"/>
      <c r="F154" s="51"/>
    </row>
    <row r="155" customHeight="1" spans="1:1">
      <c r="A155" s="99"/>
    </row>
  </sheetData>
  <mergeCells count="2">
    <mergeCell ref="A1:B1"/>
    <mergeCell ref="I1:J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L129"/>
  <sheetViews>
    <sheetView tabSelected="1" topLeftCell="U1" workbookViewId="0">
      <selection activeCell="AD6" sqref="AD6"/>
    </sheetView>
  </sheetViews>
  <sheetFormatPr defaultColWidth="12.6272727272727" defaultRowHeight="15.75" customHeight="1"/>
  <cols>
    <col min="1" max="1" width="16.2545454545455" customWidth="1"/>
    <col min="3" max="3" width="18.4545454545455" customWidth="1"/>
    <col min="5" max="5" width="18.4545454545455" customWidth="1"/>
    <col min="7" max="7" width="18.4545454545455" customWidth="1"/>
    <col min="9" max="9" width="18.4545454545455" customWidth="1"/>
    <col min="12" max="12" width="13.6272727272727" customWidth="1"/>
    <col min="13" max="14" width="19.3636363636364" customWidth="1"/>
    <col min="15" max="15" width="18.4545454545455" customWidth="1"/>
    <col min="17" max="17" width="67.6363636363636" customWidth="1"/>
    <col min="19" max="19" width="60.5454545454545" customWidth="1"/>
    <col min="28" max="28" width="14.5" customWidth="1"/>
    <col min="30" max="30" width="8.25454545454545" customWidth="1"/>
    <col min="31" max="31" width="18.5" customWidth="1"/>
  </cols>
  <sheetData>
    <row r="1" customHeight="1" spans="1:16">
      <c r="A1" s="49" t="s">
        <v>264</v>
      </c>
      <c r="B1" s="50">
        <f ca="1">TODAY()</f>
        <v>45927</v>
      </c>
      <c r="C1" s="51">
        <f ca="1">DAY(B1)</f>
        <v>27</v>
      </c>
      <c r="D1" s="51">
        <f ca="1" t="shared" ref="D1:D2" si="0">MONTH(B1)</f>
        <v>9</v>
      </c>
      <c r="E1" s="51">
        <f ca="1" t="shared" ref="E1:E2" si="1">YEAR(B1)</f>
        <v>2025</v>
      </c>
      <c r="F1" s="52"/>
      <c r="G1" s="53"/>
      <c r="H1" s="51"/>
      <c r="I1" s="51"/>
      <c r="J1" s="51"/>
      <c r="K1" s="51"/>
      <c r="L1" s="51"/>
      <c r="M1" s="62" t="s">
        <v>265</v>
      </c>
      <c r="N1" s="19"/>
      <c r="O1" s="19"/>
      <c r="P1" s="19"/>
    </row>
    <row r="2" customHeight="1" spans="1:20">
      <c r="A2" s="49" t="s">
        <v>266</v>
      </c>
      <c r="B2" s="50">
        <f ca="1">EDATE(TODAY(),-6)</f>
        <v>45743</v>
      </c>
      <c r="C2" s="51">
        <f ca="1">DAY(B2)</f>
        <v>27</v>
      </c>
      <c r="D2" s="51">
        <f ca="1" t="shared" si="0"/>
        <v>3</v>
      </c>
      <c r="E2" s="51">
        <f ca="1" t="shared" si="1"/>
        <v>2025</v>
      </c>
      <c r="F2" s="52"/>
      <c r="G2" s="53"/>
      <c r="H2" s="51"/>
      <c r="I2" s="51"/>
      <c r="J2" s="51"/>
      <c r="K2" s="51"/>
      <c r="L2" s="51"/>
      <c r="M2" s="63" t="str">
        <f>IFERROR(__xludf.DUMMYFUNCTION("GOOGLEFINANCE(L3, ""close"", WORKDAY(TODAY(), -1), WORKDAY(TODAY(), -1))"),"Date")</f>
        <v>Date</v>
      </c>
      <c r="N2" s="64" t="str">
        <f>IFERROR(__xludf.DUMMYFUNCTION("""COMPUTED_VALUE"""),"Close")</f>
        <v>Close</v>
      </c>
      <c r="O2" s="63" t="str">
        <f>IFERROR(__xludf.DUMMYFUNCTION("GOOGLEFINANCE(L3, ""open"", WORKDAY(TODAY(), -1), WORKDAY(TODAY(), -1))"),"Date")</f>
        <v>Date</v>
      </c>
      <c r="P2" s="64" t="str">
        <f>IFERROR(__xludf.DUMMYFUNCTION("""COMPUTED_VALUE"""),"Open")</f>
        <v>Open</v>
      </c>
      <c r="Q2" s="72" t="str">
        <f>IFERROR(__xludf.DUMMYFUNCTION("GOOGLEFINANCE(L3, ""hIGH"", WORKDAY(TODAY(), -1), WORKDAY(TODAY(), -1))"),"Date")</f>
        <v>Date</v>
      </c>
      <c r="R2" s="48" t="str">
        <f>IFERROR(__xludf.DUMMYFUNCTION("""COMPUTED_VALUE"""),"High")</f>
        <v>High</v>
      </c>
      <c r="S2" s="72" t="str">
        <f>IFERROR(__xludf.DUMMYFUNCTION("GOOGLEFINANCE(L3, ""LOW"", WORKDAY(TODAY(), -1), WORKDAY(TODAY(), -1))"),"Date")</f>
        <v>Date</v>
      </c>
      <c r="T2" s="48" t="str">
        <f>IFERROR(__xludf.DUMMYFUNCTION("""COMPUTED_VALUE"""),"Low")</f>
        <v>Low</v>
      </c>
    </row>
    <row r="3" customHeight="1" spans="1:20">
      <c r="A3" s="54" t="s">
        <v>267</v>
      </c>
      <c r="B3" s="7"/>
      <c r="C3" s="7"/>
      <c r="D3" s="7"/>
      <c r="E3" s="7"/>
      <c r="F3" s="8"/>
      <c r="G3" s="55" t="s">
        <v>268</v>
      </c>
      <c r="H3" s="56">
        <f>IFERROR(__xludf.DUMMYFUNCTION("GOOGLEFINANCE(L3, ""price"")"),2535.6)</f>
        <v>2535.6</v>
      </c>
      <c r="I3" s="65" t="s">
        <v>269</v>
      </c>
      <c r="J3" s="56">
        <f>IFERROR(__xludf.DUMMYFUNCTION("GOOGLEFINANCE(L3, ""volume"")"),1037808)</f>
        <v>1037808</v>
      </c>
      <c r="K3" s="66" t="s">
        <v>270</v>
      </c>
      <c r="L3" s="67" t="str">
        <f>Mastersheet!B3</f>
        <v>ADANIENT</v>
      </c>
      <c r="M3" s="68">
        <f>IFERROR(__xludf.DUMMYFUNCTION("""COMPUTED_VALUE"""),45926.6458333333)</f>
        <v>45926.6458333333</v>
      </c>
      <c r="N3" s="67">
        <f>IFERROR(__xludf.DUMMYFUNCTION("""COMPUTED_VALUE"""),2543.7)</f>
        <v>2543.7</v>
      </c>
      <c r="O3" s="68">
        <f>IFERROR(__xludf.DUMMYFUNCTION("""COMPUTED_VALUE"""),45926.6458333333)</f>
        <v>45926.6458333333</v>
      </c>
      <c r="P3" s="67">
        <f>IFERROR(__xludf.DUMMYFUNCTION("""COMPUTED_VALUE"""),2572.8)</f>
        <v>2572.8</v>
      </c>
      <c r="Q3" s="47">
        <f>IFERROR(__xludf.DUMMYFUNCTION("""COMPUTED_VALUE"""),45926.6458333333)</f>
        <v>45926.6458333333</v>
      </c>
      <c r="R3" s="48">
        <f>IFERROR(__xludf.DUMMYFUNCTION("""COMPUTED_VALUE"""),2605)</f>
        <v>2605</v>
      </c>
      <c r="S3" s="47">
        <f>IFERROR(__xludf.DUMMYFUNCTION("""COMPUTED_VALUE"""),45926.6458333333)</f>
        <v>45926.6458333333</v>
      </c>
      <c r="T3" s="48">
        <f>IFERROR(__xludf.DUMMYFUNCTION("""COMPUTED_VALUE"""),2535)</f>
        <v>2535</v>
      </c>
    </row>
    <row r="4" customHeight="1" spans="1:38">
      <c r="A4" s="57" t="str">
        <f>IFERROR(__xludf.DUMMYFUNCTION("GOOGLEFINANCE(L3, ""CLOSE"",DATE(E2,D2,C2), DATE(E1,D1,C1), ""DAILY"")"),"Date")</f>
        <v>Date</v>
      </c>
      <c r="B4" s="58" t="str">
        <f>IFERROR(__xludf.DUMMYFUNCTION("""COMPUTED_VALUE"""),"Close")</f>
        <v>Close</v>
      </c>
      <c r="C4" s="58" t="str">
        <f>IFERROR(__xludf.DUMMYFUNCTION("GOOGLEFINANCE(L3, ""open"", DATE(E2,D2,C2), DATE(E1,D1,C1), ""DAILY"")"),"Date")</f>
        <v>Date</v>
      </c>
      <c r="D4" s="58" t="str">
        <f>IFERROR(__xludf.DUMMYFUNCTION("""COMPUTED_VALUE"""),"Open")</f>
        <v>Open</v>
      </c>
      <c r="E4" s="59" t="str">
        <f>IFERROR(__xludf.DUMMYFUNCTION("GOOGLEFINANCE(L3, ""VOLUME"", DATE(E2,D2,C2), DATE(E1,D1,C1), ""DAILY"")"),"Date")</f>
        <v>Date</v>
      </c>
      <c r="F4" s="58" t="str">
        <f>IFERROR(__xludf.DUMMYFUNCTION("""COMPUTED_VALUE"""),"Volume")</f>
        <v>Volume</v>
      </c>
      <c r="G4" s="59" t="str">
        <f>IFERROR(__xludf.DUMMYFUNCTION("GOOGLEFINANCE(L3, ""HIGH"", DATE(E2,D2,C2), DATE(E1,D1,C1), ""DAILY"")"),"Date")</f>
        <v>Date</v>
      </c>
      <c r="H4" s="59" t="str">
        <f>IFERROR(__xludf.DUMMYFUNCTION("""COMPUTED_VALUE"""),"High")</f>
        <v>High</v>
      </c>
      <c r="I4" s="59" t="str">
        <f>IFERROR(__xludf.DUMMYFUNCTION("GOOGLEFINANCE(L3, ""LOW"", DATE(E2,D2,C2), DATE(E1,D1,C1), ""DAILY"")"),"Date")</f>
        <v>Date</v>
      </c>
      <c r="J4" s="69" t="str">
        <f>IFERROR(__xludf.DUMMYFUNCTION("""COMPUTED_VALUE"""),"Low")</f>
        <v>Low</v>
      </c>
      <c r="K4" s="70" t="s">
        <v>271</v>
      </c>
      <c r="L4" s="70" t="s">
        <v>272</v>
      </c>
      <c r="M4" s="70" t="s">
        <v>273</v>
      </c>
      <c r="N4" s="70" t="s">
        <v>274</v>
      </c>
      <c r="O4" s="70" t="s">
        <v>275</v>
      </c>
      <c r="P4" s="70" t="s">
        <v>276</v>
      </c>
      <c r="Q4" s="73" t="s">
        <v>277</v>
      </c>
      <c r="R4" s="73" t="s">
        <v>278</v>
      </c>
      <c r="S4" s="73" t="s">
        <v>279</v>
      </c>
      <c r="T4" s="73" t="s">
        <v>280</v>
      </c>
      <c r="U4" s="73" t="s">
        <v>281</v>
      </c>
      <c r="V4" s="73" t="s">
        <v>282</v>
      </c>
      <c r="W4" s="70" t="s">
        <v>283</v>
      </c>
      <c r="X4" s="74" t="s">
        <v>284</v>
      </c>
      <c r="Y4" s="37" t="s">
        <v>285</v>
      </c>
      <c r="Z4" s="77" t="s">
        <v>286</v>
      </c>
      <c r="AA4" s="39" t="s">
        <v>287</v>
      </c>
      <c r="AB4" s="40" t="s">
        <v>288</v>
      </c>
      <c r="AC4" s="19"/>
      <c r="AD4" s="19"/>
      <c r="AE4" s="41"/>
      <c r="AF4" s="84"/>
      <c r="AG4" s="84"/>
      <c r="AH4" s="84"/>
      <c r="AI4" s="84"/>
      <c r="AJ4" s="84"/>
      <c r="AK4" s="84"/>
      <c r="AL4" s="84"/>
    </row>
    <row r="5" customHeight="1" spans="1:38">
      <c r="A5" s="60">
        <f>IFERROR(__xludf.DUMMYFUNCTION("""COMPUTED_VALUE"""),45743.6458333333)</f>
        <v>45743.6458333333</v>
      </c>
      <c r="B5" s="61">
        <f>IFERROR(__xludf.DUMMYFUNCTION("""COMPUTED_VALUE"""),2363.35)</f>
        <v>2363.35</v>
      </c>
      <c r="C5" s="60">
        <f>IFERROR(__xludf.DUMMYFUNCTION("""COMPUTED_VALUE"""),45743.6458333333)</f>
        <v>45743.6458333333</v>
      </c>
      <c r="D5" s="61">
        <f>IFERROR(__xludf.DUMMYFUNCTION("""COMPUTED_VALUE"""),2310)</f>
        <v>2310</v>
      </c>
      <c r="E5" s="60">
        <f>IFERROR(__xludf.DUMMYFUNCTION("""COMPUTED_VALUE"""),45743.6458333333)</f>
        <v>45743.6458333333</v>
      </c>
      <c r="F5" s="61">
        <f>IFERROR(__xludf.DUMMYFUNCTION("""COMPUTED_VALUE"""),1696042)</f>
        <v>1696042</v>
      </c>
      <c r="G5" s="60">
        <f>IFERROR(__xludf.DUMMYFUNCTION("""COMPUTED_VALUE"""),45743.6458333333)</f>
        <v>45743.6458333333</v>
      </c>
      <c r="H5" s="61">
        <f>IFERROR(__xludf.DUMMYFUNCTION("""COMPUTED_VALUE"""),2373.9)</f>
        <v>2373.9</v>
      </c>
      <c r="I5" s="71">
        <f>IFERROR(__xludf.DUMMYFUNCTION("""COMPUTED_VALUE"""),45743.6458333333)</f>
        <v>45743.6458333333</v>
      </c>
      <c r="J5" s="51">
        <f>IFERROR(__xludf.DUMMYFUNCTION("""COMPUTED_VALUE"""),2291.6)</f>
        <v>2291.6</v>
      </c>
      <c r="K5" s="51"/>
      <c r="L5" s="51"/>
      <c r="M5" s="51">
        <f t="array" ref="M5">INDEX(K11:K124,MATCH(SMALL(ABS(K11:K124-H3),1),ABS(K11:K124-H3),0))</f>
        <v>2555</v>
      </c>
      <c r="N5" s="51">
        <f t="array" ref="N5">INDEX(K11:K124,MATCH(SMALL(ABS(K11:K124-H3),2),ABS(K11:K124-H3),0))</f>
        <v>2613.1</v>
      </c>
      <c r="O5" s="51">
        <f t="array" ref="O5">INDEX(L11:L124,MATCH(SMALL(ABS(L11:L124-H3),1),ABS(L11:L124-H3),0))</f>
        <v>2558.7</v>
      </c>
      <c r="P5" s="51">
        <f t="array" ref="P5">INDEX(L11:L124,MATCH(SMALL(ABS(L11:L124-H3),2),ABS(L11:L124-H3),0))</f>
        <v>2470.9</v>
      </c>
      <c r="Q5" s="48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S5" s="75">
        <f ca="1">IF(Q5&gt;0,Q5,S5)</f>
        <v>2442.8</v>
      </c>
      <c r="T5" s="48">
        <f ca="1">IF(AND(H3&gt;=Mastersheet!I3*S5,H3&lt;=Mastersheet!J3*S5),1,0)</f>
        <v>0</v>
      </c>
      <c r="U5" s="76">
        <f>(N3+P3)/2</f>
        <v>2558.25</v>
      </c>
      <c r="V5" s="48">
        <f>(N3+P3+R3+T3)/4</f>
        <v>2564.125</v>
      </c>
      <c r="W5" s="48">
        <f>IF(V5&gt;U5,1,0)</f>
        <v>1</v>
      </c>
      <c r="X5" s="48">
        <f>IF(V5&gt;U5,0,1)</f>
        <v>0</v>
      </c>
      <c r="Y5" s="48">
        <f>IF(COUNTIF(Mastersheet!E:E,L3)&gt;0,0,1)</f>
        <v>1</v>
      </c>
      <c r="Z5" s="78">
        <f ca="1">IF(T5*W5*Y5=1,1,0)</f>
        <v>0</v>
      </c>
      <c r="AA5" s="79"/>
      <c r="AB5" s="44" t="s">
        <v>289</v>
      </c>
      <c r="AC5" s="80" t="s">
        <v>290</v>
      </c>
      <c r="AD5" s="81" t="s">
        <v>291</v>
      </c>
      <c r="AE5" s="81" t="s">
        <v>292</v>
      </c>
      <c r="AF5" s="79"/>
      <c r="AG5" s="79"/>
      <c r="AH5" s="79"/>
      <c r="AI5" s="79"/>
      <c r="AJ5" s="79"/>
      <c r="AK5" s="79"/>
      <c r="AL5" s="79"/>
    </row>
    <row r="6" customHeight="1" spans="1:38">
      <c r="A6" s="47">
        <f>IFERROR(__xludf.DUMMYFUNCTION("""COMPUTED_VALUE"""),45744.6458333333)</f>
        <v>45744.6458333333</v>
      </c>
      <c r="B6" s="48">
        <f>IFERROR(__xludf.DUMMYFUNCTION("""COMPUTED_VALUE"""),2315.8)</f>
        <v>2315.8</v>
      </c>
      <c r="C6" s="47">
        <f>IFERROR(__xludf.DUMMYFUNCTION("""COMPUTED_VALUE"""),45744.6458333333)</f>
        <v>45744.6458333333</v>
      </c>
      <c r="D6" s="48">
        <f>IFERROR(__xludf.DUMMYFUNCTION("""COMPUTED_VALUE"""),2376)</f>
        <v>2376</v>
      </c>
      <c r="E6" s="47">
        <f>IFERROR(__xludf.DUMMYFUNCTION("""COMPUTED_VALUE"""),45744.6458333333)</f>
        <v>45744.6458333333</v>
      </c>
      <c r="F6" s="48">
        <f>IFERROR(__xludf.DUMMYFUNCTION("""COMPUTED_VALUE"""),1838836)</f>
        <v>1838836</v>
      </c>
      <c r="G6" s="47">
        <f>IFERROR(__xludf.DUMMYFUNCTION("""COMPUTED_VALUE"""),45744.6458333333)</f>
        <v>45744.6458333333</v>
      </c>
      <c r="H6" s="48">
        <f>IFERROR(__xludf.DUMMYFUNCTION("""COMPUTED_VALUE"""),2386.95)</f>
        <v>2386.95</v>
      </c>
      <c r="I6" s="47">
        <f>IFERROR(__xludf.DUMMYFUNCTION("""COMPUTED_VALUE"""),45744.6458333333)</f>
        <v>45744.6458333333</v>
      </c>
      <c r="J6" s="48">
        <f>IFERROR(__xludf.DUMMYFUNCTION("""COMPUTED_VALUE"""),2293.7)</f>
        <v>2293.7</v>
      </c>
      <c r="AB6" s="48">
        <f>IF(COUNTIF(Mastersheet!E:E,L3)&gt;0,1,0)</f>
        <v>0</v>
      </c>
      <c r="AC6" s="48">
        <f>IF(AND(H3&gt;Mastersheet!L3*Mastersheet!F3,X5),1,0)</f>
        <v>0</v>
      </c>
      <c r="AD6" s="76">
        <f>IF(H3&lt;Mastersheet!M3*Mastersheet!F3,1,0)</f>
        <v>0</v>
      </c>
      <c r="AE6" s="48">
        <f>IF(OR(AC6*AB6=1,AD6*AB6=1),1,0)</f>
        <v>0</v>
      </c>
      <c r="AF6" s="85"/>
      <c r="AG6" s="85"/>
      <c r="AH6" s="85"/>
      <c r="AI6" s="85"/>
      <c r="AJ6" s="85"/>
      <c r="AK6" s="85"/>
      <c r="AL6" s="85"/>
    </row>
    <row r="7" customHeight="1" spans="1:38">
      <c r="A7" s="47">
        <f>IFERROR(__xludf.DUMMYFUNCTION("""COMPUTED_VALUE"""),45748.6458333333)</f>
        <v>45748.6458333333</v>
      </c>
      <c r="B7" s="48">
        <f>IFERROR(__xludf.DUMMYFUNCTION("""COMPUTED_VALUE"""),2335.25)</f>
        <v>2335.25</v>
      </c>
      <c r="C7" s="47">
        <f>IFERROR(__xludf.DUMMYFUNCTION("""COMPUTED_VALUE"""),45748.6458333333)</f>
        <v>45748.6458333333</v>
      </c>
      <c r="D7" s="48">
        <f>IFERROR(__xludf.DUMMYFUNCTION("""COMPUTED_VALUE"""),2312)</f>
        <v>2312</v>
      </c>
      <c r="E7" s="47">
        <f>IFERROR(__xludf.DUMMYFUNCTION("""COMPUTED_VALUE"""),45748.6458333333)</f>
        <v>45748.6458333333</v>
      </c>
      <c r="F7" s="48">
        <f>IFERROR(__xludf.DUMMYFUNCTION("""COMPUTED_VALUE"""),501942)</f>
        <v>501942</v>
      </c>
      <c r="G7" s="47">
        <f>IFERROR(__xludf.DUMMYFUNCTION("""COMPUTED_VALUE"""),45748.6458333333)</f>
        <v>45748.6458333333</v>
      </c>
      <c r="H7" s="48">
        <f>IFERROR(__xludf.DUMMYFUNCTION("""COMPUTED_VALUE"""),2358.95)</f>
        <v>2358.95</v>
      </c>
      <c r="I7" s="47">
        <f>IFERROR(__xludf.DUMMYFUNCTION("""COMPUTED_VALUE"""),45748.6458333333)</f>
        <v>45748.6458333333</v>
      </c>
      <c r="J7" s="48">
        <f>IFERROR(__xludf.DUMMYFUNCTION("""COMPUTED_VALUE"""),2301)</f>
        <v>2301</v>
      </c>
      <c r="AF7" s="85"/>
      <c r="AG7" s="85"/>
      <c r="AH7" s="85"/>
      <c r="AI7" s="85"/>
      <c r="AJ7" s="85"/>
      <c r="AK7" s="85"/>
      <c r="AL7" s="85"/>
    </row>
    <row r="8" customHeight="1" spans="1:38">
      <c r="A8" s="47">
        <f>IFERROR(__xludf.DUMMYFUNCTION("""COMPUTED_VALUE"""),45749.6458333333)</f>
        <v>45749.6458333333</v>
      </c>
      <c r="B8" s="48">
        <f>IFERROR(__xludf.DUMMYFUNCTION("""COMPUTED_VALUE"""),2369.4)</f>
        <v>2369.4</v>
      </c>
      <c r="C8" s="47">
        <f>IFERROR(__xludf.DUMMYFUNCTION("""COMPUTED_VALUE"""),45749.6458333333)</f>
        <v>45749.6458333333</v>
      </c>
      <c r="D8" s="48">
        <f>IFERROR(__xludf.DUMMYFUNCTION("""COMPUTED_VALUE"""),2339.75)</f>
        <v>2339.75</v>
      </c>
      <c r="E8" s="47">
        <f>IFERROR(__xludf.DUMMYFUNCTION("""COMPUTED_VALUE"""),45749.6458333333)</f>
        <v>45749.6458333333</v>
      </c>
      <c r="F8" s="48">
        <f>IFERROR(__xludf.DUMMYFUNCTION("""COMPUTED_VALUE"""),573928)</f>
        <v>573928</v>
      </c>
      <c r="G8" s="47">
        <f>IFERROR(__xludf.DUMMYFUNCTION("""COMPUTED_VALUE"""),45749.6458333333)</f>
        <v>45749.6458333333</v>
      </c>
      <c r="H8" s="48">
        <f>IFERROR(__xludf.DUMMYFUNCTION("""COMPUTED_VALUE"""),2378.85)</f>
        <v>2378.85</v>
      </c>
      <c r="I8" s="47">
        <f>IFERROR(__xludf.DUMMYFUNCTION("""COMPUTED_VALUE"""),45749.6458333333)</f>
        <v>45749.6458333333</v>
      </c>
      <c r="J8" s="48">
        <f>IFERROR(__xludf.DUMMYFUNCTION("""COMPUTED_VALUE"""),2314.55)</f>
        <v>2314.55</v>
      </c>
      <c r="AF8" s="85"/>
      <c r="AG8" s="85"/>
      <c r="AH8" s="85"/>
      <c r="AI8" s="85"/>
      <c r="AJ8" s="85"/>
      <c r="AK8" s="85"/>
      <c r="AL8" s="85"/>
    </row>
    <row r="9" customHeight="1" spans="1:38">
      <c r="A9" s="47">
        <f>IFERROR(__xludf.DUMMYFUNCTION("""COMPUTED_VALUE"""),45750.6458333333)</f>
        <v>45750.6458333333</v>
      </c>
      <c r="B9" s="48">
        <f>IFERROR(__xludf.DUMMYFUNCTION("""COMPUTED_VALUE"""),2410.8)</f>
        <v>2410.8</v>
      </c>
      <c r="C9" s="47">
        <f>IFERROR(__xludf.DUMMYFUNCTION("""COMPUTED_VALUE"""),45750.6458333333)</f>
        <v>45750.6458333333</v>
      </c>
      <c r="D9" s="48">
        <f>IFERROR(__xludf.DUMMYFUNCTION("""COMPUTED_VALUE"""),2339.75)</f>
        <v>2339.75</v>
      </c>
      <c r="E9" s="47">
        <f>IFERROR(__xludf.DUMMYFUNCTION("""COMPUTED_VALUE"""),45750.6458333333)</f>
        <v>45750.6458333333</v>
      </c>
      <c r="F9" s="48">
        <f>IFERROR(__xludf.DUMMYFUNCTION("""COMPUTED_VALUE"""),1023200)</f>
        <v>1023200</v>
      </c>
      <c r="G9" s="47">
        <f>IFERROR(__xludf.DUMMYFUNCTION("""COMPUTED_VALUE"""),45750.6458333333)</f>
        <v>45750.6458333333</v>
      </c>
      <c r="H9" s="48">
        <f>IFERROR(__xludf.DUMMYFUNCTION("""COMPUTED_VALUE"""),2429.9)</f>
        <v>2429.9</v>
      </c>
      <c r="I9" s="47">
        <f>IFERROR(__xludf.DUMMYFUNCTION("""COMPUTED_VALUE"""),45750.6458333333)</f>
        <v>45750.6458333333</v>
      </c>
      <c r="J9" s="48">
        <f>IFERROR(__xludf.DUMMYFUNCTION("""COMPUTED_VALUE"""),2339.7)</f>
        <v>2339.7</v>
      </c>
      <c r="AF9" s="85"/>
      <c r="AG9" s="85"/>
      <c r="AH9" s="85"/>
      <c r="AI9" s="85"/>
      <c r="AJ9" s="85"/>
      <c r="AK9" s="85"/>
      <c r="AL9" s="85"/>
    </row>
    <row r="10" customHeight="1" spans="1:38">
      <c r="A10" s="47">
        <f>IFERROR(__xludf.DUMMYFUNCTION("""COMPUTED_VALUE"""),45751.6458333333)</f>
        <v>45751.6458333333</v>
      </c>
      <c r="B10" s="48">
        <f>IFERROR(__xludf.DUMMYFUNCTION("""COMPUTED_VALUE"""),2334.65)</f>
        <v>2334.65</v>
      </c>
      <c r="C10" s="47">
        <f>IFERROR(__xludf.DUMMYFUNCTION("""COMPUTED_VALUE"""),45751.6458333333)</f>
        <v>45751.6458333333</v>
      </c>
      <c r="D10" s="48">
        <f>IFERROR(__xludf.DUMMYFUNCTION("""COMPUTED_VALUE"""),2394.95)</f>
        <v>2394.95</v>
      </c>
      <c r="E10" s="47">
        <f>IFERROR(__xludf.DUMMYFUNCTION("""COMPUTED_VALUE"""),45751.6458333333)</f>
        <v>45751.6458333333</v>
      </c>
      <c r="F10" s="48">
        <f>IFERROR(__xludf.DUMMYFUNCTION("""COMPUTED_VALUE"""),1219733)</f>
        <v>1219733</v>
      </c>
      <c r="G10" s="47">
        <f>IFERROR(__xludf.DUMMYFUNCTION("""COMPUTED_VALUE"""),45751.6458333333)</f>
        <v>45751.6458333333</v>
      </c>
      <c r="H10" s="48">
        <f>IFERROR(__xludf.DUMMYFUNCTION("""COMPUTED_VALUE"""),2410.05)</f>
        <v>2410.05</v>
      </c>
      <c r="I10" s="47">
        <f>IFERROR(__xludf.DUMMYFUNCTION("""COMPUTED_VALUE"""),45751.6458333333)</f>
        <v>45751.6458333333</v>
      </c>
      <c r="J10" s="48">
        <f>IFERROR(__xludf.DUMMYFUNCTION("""COMPUTED_VALUE"""),2315.5)</f>
        <v>2315.5</v>
      </c>
      <c r="AF10" s="85"/>
      <c r="AG10" s="85"/>
      <c r="AH10" s="85"/>
      <c r="AI10" s="85"/>
      <c r="AJ10" s="85"/>
      <c r="AK10" s="85"/>
      <c r="AL10" s="85"/>
    </row>
    <row r="11" customHeight="1" spans="1:38">
      <c r="A11" s="47">
        <f>IFERROR(__xludf.DUMMYFUNCTION("""COMPUTED_VALUE"""),45754.6458333333)</f>
        <v>45754.6458333333</v>
      </c>
      <c r="B11" s="48">
        <f>IFERROR(__xludf.DUMMYFUNCTION("""COMPUTED_VALUE"""),2212.7)</f>
        <v>2212.7</v>
      </c>
      <c r="C11" s="47">
        <f>IFERROR(__xludf.DUMMYFUNCTION("""COMPUTED_VALUE"""),45754.6458333333)</f>
        <v>45754.6458333333</v>
      </c>
      <c r="D11" s="48">
        <f>IFERROR(__xludf.DUMMYFUNCTION("""COMPUTED_VALUE"""),2150.05)</f>
        <v>2150.05</v>
      </c>
      <c r="E11" s="47">
        <f>IFERROR(__xludf.DUMMYFUNCTION("""COMPUTED_VALUE"""),45754.6458333333)</f>
        <v>45754.6458333333</v>
      </c>
      <c r="F11" s="48">
        <f>IFERROR(__xludf.DUMMYFUNCTION("""COMPUTED_VALUE"""),1567177)</f>
        <v>1567177</v>
      </c>
      <c r="G11" s="47">
        <f>IFERROR(__xludf.DUMMYFUNCTION("""COMPUTED_VALUE"""),45754.6458333333)</f>
        <v>45754.6458333333</v>
      </c>
      <c r="H11" s="48">
        <f>IFERROR(__xludf.DUMMYFUNCTION("""COMPUTED_VALUE"""),2239)</f>
        <v>2239</v>
      </c>
      <c r="I11" s="47">
        <f>IFERROR(__xludf.DUMMYFUNCTION("""COMPUTED_VALUE"""),45754.6458333333)</f>
        <v>45754.6458333333</v>
      </c>
      <c r="J11" s="48">
        <f>IFERROR(__xludf.DUMMYFUNCTION("""COMPUTED_VALUE"""),2145)</f>
        <v>2145</v>
      </c>
      <c r="K11" s="3">
        <f t="shared" ref="K11:K125" si="2">IF(B11=MAX(B5:B17),B11,0)</f>
        <v>0</v>
      </c>
      <c r="L11" s="3">
        <f t="shared" ref="L11:L125" si="3">IF(B11=MIN(B5:B17),B11,0)</f>
        <v>2212.7</v>
      </c>
      <c r="AF11" s="85"/>
      <c r="AG11" s="85"/>
      <c r="AH11" s="85"/>
      <c r="AI11" s="85"/>
      <c r="AJ11" s="85"/>
      <c r="AK11" s="85"/>
      <c r="AL11" s="85"/>
    </row>
    <row r="12" customHeight="1" spans="1:38">
      <c r="A12" s="47">
        <f>IFERROR(__xludf.DUMMYFUNCTION("""COMPUTED_VALUE"""),45755.6458333333)</f>
        <v>45755.6458333333</v>
      </c>
      <c r="B12" s="48">
        <f>IFERROR(__xludf.DUMMYFUNCTION("""COMPUTED_VALUE"""),2285.7)</f>
        <v>2285.7</v>
      </c>
      <c r="C12" s="47">
        <f>IFERROR(__xludf.DUMMYFUNCTION("""COMPUTED_VALUE"""),45755.6458333333)</f>
        <v>45755.6458333333</v>
      </c>
      <c r="D12" s="48">
        <f>IFERROR(__xludf.DUMMYFUNCTION("""COMPUTED_VALUE"""),2270)</f>
        <v>2270</v>
      </c>
      <c r="E12" s="47">
        <f>IFERROR(__xludf.DUMMYFUNCTION("""COMPUTED_VALUE"""),45755.6458333333)</f>
        <v>45755.6458333333</v>
      </c>
      <c r="F12" s="48">
        <f>IFERROR(__xludf.DUMMYFUNCTION("""COMPUTED_VALUE"""),1224362)</f>
        <v>1224362</v>
      </c>
      <c r="G12" s="47">
        <f>IFERROR(__xludf.DUMMYFUNCTION("""COMPUTED_VALUE"""),45755.6458333333)</f>
        <v>45755.6458333333</v>
      </c>
      <c r="H12" s="48">
        <f>IFERROR(__xludf.DUMMYFUNCTION("""COMPUTED_VALUE"""),2301)</f>
        <v>2301</v>
      </c>
      <c r="I12" s="47">
        <f>IFERROR(__xludf.DUMMYFUNCTION("""COMPUTED_VALUE"""),45755.6458333333)</f>
        <v>45755.6458333333</v>
      </c>
      <c r="J12" s="48">
        <f>IFERROR(__xludf.DUMMYFUNCTION("""COMPUTED_VALUE"""),2225)</f>
        <v>2225</v>
      </c>
      <c r="K12" s="3">
        <f t="shared" si="2"/>
        <v>0</v>
      </c>
      <c r="L12" s="3">
        <f t="shared" si="3"/>
        <v>0</v>
      </c>
      <c r="AF12" s="85"/>
      <c r="AG12" s="85"/>
      <c r="AH12" s="85"/>
      <c r="AI12" s="85"/>
      <c r="AJ12" s="85"/>
      <c r="AK12" s="85"/>
      <c r="AL12" s="85"/>
    </row>
    <row r="13" customHeight="1" spans="1:38">
      <c r="A13" s="47">
        <f>IFERROR(__xludf.DUMMYFUNCTION("""COMPUTED_VALUE"""),45756.6458333333)</f>
        <v>45756.6458333333</v>
      </c>
      <c r="B13" s="48">
        <f>IFERROR(__xludf.DUMMYFUNCTION("""COMPUTED_VALUE"""),2236.9)</f>
        <v>2236.9</v>
      </c>
      <c r="C13" s="47">
        <f>IFERROR(__xludf.DUMMYFUNCTION("""COMPUTED_VALUE"""),45756.6458333333)</f>
        <v>45756.6458333333</v>
      </c>
      <c r="D13" s="48">
        <f>IFERROR(__xludf.DUMMYFUNCTION("""COMPUTED_VALUE"""),2265.7)</f>
        <v>2265.7</v>
      </c>
      <c r="E13" s="47">
        <f>IFERROR(__xludf.DUMMYFUNCTION("""COMPUTED_VALUE"""),45756.6458333333)</f>
        <v>45756.6458333333</v>
      </c>
      <c r="F13" s="48">
        <f>IFERROR(__xludf.DUMMYFUNCTION("""COMPUTED_VALUE"""),1001633)</f>
        <v>1001633</v>
      </c>
      <c r="G13" s="47">
        <f>IFERROR(__xludf.DUMMYFUNCTION("""COMPUTED_VALUE"""),45756.6458333333)</f>
        <v>45756.6458333333</v>
      </c>
      <c r="H13" s="48">
        <f>IFERROR(__xludf.DUMMYFUNCTION("""COMPUTED_VALUE"""),2279.55)</f>
        <v>2279.55</v>
      </c>
      <c r="I13" s="47">
        <f>IFERROR(__xludf.DUMMYFUNCTION("""COMPUTED_VALUE"""),45756.6458333333)</f>
        <v>45756.6458333333</v>
      </c>
      <c r="J13" s="48">
        <f>IFERROR(__xludf.DUMMYFUNCTION("""COMPUTED_VALUE"""),2215.2)</f>
        <v>2215.2</v>
      </c>
      <c r="K13" s="3">
        <f t="shared" si="2"/>
        <v>0</v>
      </c>
      <c r="L13" s="3">
        <f t="shared" si="3"/>
        <v>0</v>
      </c>
      <c r="AF13" s="85"/>
      <c r="AG13" s="85"/>
      <c r="AH13" s="85"/>
      <c r="AI13" s="85"/>
      <c r="AJ13" s="85"/>
      <c r="AK13" s="85"/>
      <c r="AL13" s="85"/>
    </row>
    <row r="14" customHeight="1" spans="1:38">
      <c r="A14" s="47">
        <f>IFERROR(__xludf.DUMMYFUNCTION("""COMPUTED_VALUE"""),45758.6458333333)</f>
        <v>45758.6458333333</v>
      </c>
      <c r="B14" s="48">
        <f>IFERROR(__xludf.DUMMYFUNCTION("""COMPUTED_VALUE"""),2321.4)</f>
        <v>2321.4</v>
      </c>
      <c r="C14" s="47">
        <f>IFERROR(__xludf.DUMMYFUNCTION("""COMPUTED_VALUE"""),45758.6458333333)</f>
        <v>45758.6458333333</v>
      </c>
      <c r="D14" s="48">
        <f>IFERROR(__xludf.DUMMYFUNCTION("""COMPUTED_VALUE"""),2303.05)</f>
        <v>2303.05</v>
      </c>
      <c r="E14" s="47">
        <f>IFERROR(__xludf.DUMMYFUNCTION("""COMPUTED_VALUE"""),45758.6458333333)</f>
        <v>45758.6458333333</v>
      </c>
      <c r="F14" s="48">
        <f>IFERROR(__xludf.DUMMYFUNCTION("""COMPUTED_VALUE"""),981463)</f>
        <v>981463</v>
      </c>
      <c r="G14" s="47">
        <f>IFERROR(__xludf.DUMMYFUNCTION("""COMPUTED_VALUE"""),45758.6458333333)</f>
        <v>45758.6458333333</v>
      </c>
      <c r="H14" s="48">
        <f>IFERROR(__xludf.DUMMYFUNCTION("""COMPUTED_VALUE"""),2343.5)</f>
        <v>2343.5</v>
      </c>
      <c r="I14" s="47">
        <f>IFERROR(__xludf.DUMMYFUNCTION("""COMPUTED_VALUE"""),45758.6458333333)</f>
        <v>45758.6458333333</v>
      </c>
      <c r="J14" s="48">
        <f>IFERROR(__xludf.DUMMYFUNCTION("""COMPUTED_VALUE"""),2281)</f>
        <v>2281</v>
      </c>
      <c r="K14" s="3">
        <f t="shared" si="2"/>
        <v>0</v>
      </c>
      <c r="L14" s="3">
        <f t="shared" si="3"/>
        <v>0</v>
      </c>
      <c r="AF14" s="85"/>
      <c r="AG14" s="85"/>
      <c r="AH14" s="85"/>
      <c r="AI14" s="85"/>
      <c r="AJ14" s="85"/>
      <c r="AK14" s="85"/>
      <c r="AL14" s="85"/>
    </row>
    <row r="15" customHeight="1" spans="1:38">
      <c r="A15" s="47">
        <f>IFERROR(__xludf.DUMMYFUNCTION("""COMPUTED_VALUE"""),45762.6458333333)</f>
        <v>45762.6458333333</v>
      </c>
      <c r="B15" s="48">
        <f>IFERROR(__xludf.DUMMYFUNCTION("""COMPUTED_VALUE"""),2418.2)</f>
        <v>2418.2</v>
      </c>
      <c r="C15" s="47">
        <f>IFERROR(__xludf.DUMMYFUNCTION("""COMPUTED_VALUE"""),45762.6458333333)</f>
        <v>45762.6458333333</v>
      </c>
      <c r="D15" s="48">
        <f>IFERROR(__xludf.DUMMYFUNCTION("""COMPUTED_VALUE"""),2375)</f>
        <v>2375</v>
      </c>
      <c r="E15" s="47">
        <f>IFERROR(__xludf.DUMMYFUNCTION("""COMPUTED_VALUE"""),45762.6458333333)</f>
        <v>45762.6458333333</v>
      </c>
      <c r="F15" s="48">
        <f>IFERROR(__xludf.DUMMYFUNCTION("""COMPUTED_VALUE"""),1145125)</f>
        <v>1145125</v>
      </c>
      <c r="G15" s="47">
        <f>IFERROR(__xludf.DUMMYFUNCTION("""COMPUTED_VALUE"""),45762.6458333333)</f>
        <v>45762.6458333333</v>
      </c>
      <c r="H15" s="48">
        <f>IFERROR(__xludf.DUMMYFUNCTION("""COMPUTED_VALUE"""),2440)</f>
        <v>2440</v>
      </c>
      <c r="I15" s="47">
        <f>IFERROR(__xludf.DUMMYFUNCTION("""COMPUTED_VALUE"""),45762.6458333333)</f>
        <v>45762.6458333333</v>
      </c>
      <c r="J15" s="48">
        <f>IFERROR(__xludf.DUMMYFUNCTION("""COMPUTED_VALUE"""),2359)</f>
        <v>2359</v>
      </c>
      <c r="K15" s="3">
        <f t="shared" si="2"/>
        <v>0</v>
      </c>
      <c r="L15" s="3">
        <f t="shared" si="3"/>
        <v>0</v>
      </c>
      <c r="AF15" s="85"/>
      <c r="AG15" s="85"/>
      <c r="AH15" s="85"/>
      <c r="AI15" s="85"/>
      <c r="AJ15" s="85"/>
      <c r="AK15" s="85"/>
      <c r="AL15" s="85"/>
    </row>
    <row r="16" customHeight="1" spans="1:38">
      <c r="A16" s="47">
        <f>IFERROR(__xludf.DUMMYFUNCTION("""COMPUTED_VALUE"""),45763.6458333333)</f>
        <v>45763.6458333333</v>
      </c>
      <c r="B16" s="48">
        <f>IFERROR(__xludf.DUMMYFUNCTION("""COMPUTED_VALUE"""),2415.6)</f>
        <v>2415.6</v>
      </c>
      <c r="C16" s="47">
        <f>IFERROR(__xludf.DUMMYFUNCTION("""COMPUTED_VALUE"""),45763.6458333333)</f>
        <v>45763.6458333333</v>
      </c>
      <c r="D16" s="48">
        <f>IFERROR(__xludf.DUMMYFUNCTION("""COMPUTED_VALUE"""),2400)</f>
        <v>2400</v>
      </c>
      <c r="E16" s="47">
        <f>IFERROR(__xludf.DUMMYFUNCTION("""COMPUTED_VALUE"""),45763.6458333333)</f>
        <v>45763.6458333333</v>
      </c>
      <c r="F16" s="48">
        <f>IFERROR(__xludf.DUMMYFUNCTION("""COMPUTED_VALUE"""),889949)</f>
        <v>889949</v>
      </c>
      <c r="G16" s="47">
        <f>IFERROR(__xludf.DUMMYFUNCTION("""COMPUTED_VALUE"""),45763.6458333333)</f>
        <v>45763.6458333333</v>
      </c>
      <c r="H16" s="48">
        <f>IFERROR(__xludf.DUMMYFUNCTION("""COMPUTED_VALUE"""),2428)</f>
        <v>2428</v>
      </c>
      <c r="I16" s="47">
        <f>IFERROR(__xludf.DUMMYFUNCTION("""COMPUTED_VALUE"""),45763.6458333333)</f>
        <v>45763.6458333333</v>
      </c>
      <c r="J16" s="48">
        <f>IFERROR(__xludf.DUMMYFUNCTION("""COMPUTED_VALUE"""),2382.9)</f>
        <v>2382.9</v>
      </c>
      <c r="K16" s="3">
        <f t="shared" si="2"/>
        <v>0</v>
      </c>
      <c r="L16" s="3">
        <f t="shared" si="3"/>
        <v>0</v>
      </c>
      <c r="AF16" s="85"/>
      <c r="AG16" s="85"/>
      <c r="AH16" s="85"/>
      <c r="AI16" s="85"/>
      <c r="AJ16" s="85"/>
      <c r="AK16" s="85"/>
      <c r="AL16" s="85"/>
    </row>
    <row r="17" customHeight="1" spans="1:38">
      <c r="A17" s="47">
        <f>IFERROR(__xludf.DUMMYFUNCTION("""COMPUTED_VALUE"""),45764.6458333333)</f>
        <v>45764.6458333333</v>
      </c>
      <c r="B17" s="48">
        <f>IFERROR(__xludf.DUMMYFUNCTION("""COMPUTED_VALUE"""),2418.1)</f>
        <v>2418.1</v>
      </c>
      <c r="C17" s="47">
        <f>IFERROR(__xludf.DUMMYFUNCTION("""COMPUTED_VALUE"""),45764.6458333333)</f>
        <v>45764.6458333333</v>
      </c>
      <c r="D17" s="48">
        <f>IFERROR(__xludf.DUMMYFUNCTION("""COMPUTED_VALUE"""),2418)</f>
        <v>2418</v>
      </c>
      <c r="E17" s="47">
        <f>IFERROR(__xludf.DUMMYFUNCTION("""COMPUTED_VALUE"""),45764.6458333333)</f>
        <v>45764.6458333333</v>
      </c>
      <c r="F17" s="48">
        <f>IFERROR(__xludf.DUMMYFUNCTION("""COMPUTED_VALUE"""),1054797)</f>
        <v>1054797</v>
      </c>
      <c r="G17" s="47">
        <f>IFERROR(__xludf.DUMMYFUNCTION("""COMPUTED_VALUE"""),45764.6458333333)</f>
        <v>45764.6458333333</v>
      </c>
      <c r="H17" s="48">
        <f>IFERROR(__xludf.DUMMYFUNCTION("""COMPUTED_VALUE"""),2448.6)</f>
        <v>2448.6</v>
      </c>
      <c r="I17" s="47">
        <f>IFERROR(__xludf.DUMMYFUNCTION("""COMPUTED_VALUE"""),45764.6458333333)</f>
        <v>45764.6458333333</v>
      </c>
      <c r="J17" s="48">
        <f>IFERROR(__xludf.DUMMYFUNCTION("""COMPUTED_VALUE"""),2392)</f>
        <v>2392</v>
      </c>
      <c r="K17" s="3">
        <f t="shared" si="2"/>
        <v>0</v>
      </c>
      <c r="L17" s="3">
        <f t="shared" si="3"/>
        <v>0</v>
      </c>
      <c r="AF17" s="85"/>
      <c r="AG17" s="85"/>
      <c r="AH17" s="85"/>
      <c r="AI17" s="85"/>
      <c r="AJ17" s="85"/>
      <c r="AK17" s="85"/>
      <c r="AL17" s="85"/>
    </row>
    <row r="18" customHeight="1" spans="1:38">
      <c r="A18" s="47">
        <f>IFERROR(__xludf.DUMMYFUNCTION("""COMPUTED_VALUE"""),45768.6458333333)</f>
        <v>45768.6458333333</v>
      </c>
      <c r="B18" s="48">
        <f>IFERROR(__xludf.DUMMYFUNCTION("""COMPUTED_VALUE"""),2442.7)</f>
        <v>2442.7</v>
      </c>
      <c r="C18" s="47">
        <f>IFERROR(__xludf.DUMMYFUNCTION("""COMPUTED_VALUE"""),45768.6458333333)</f>
        <v>45768.6458333333</v>
      </c>
      <c r="D18" s="48">
        <f>IFERROR(__xludf.DUMMYFUNCTION("""COMPUTED_VALUE"""),2426.1)</f>
        <v>2426.1</v>
      </c>
      <c r="E18" s="47">
        <f>IFERROR(__xludf.DUMMYFUNCTION("""COMPUTED_VALUE"""),45768.6458333333)</f>
        <v>45768.6458333333</v>
      </c>
      <c r="F18" s="48">
        <f>IFERROR(__xludf.DUMMYFUNCTION("""COMPUTED_VALUE"""),782559)</f>
        <v>782559</v>
      </c>
      <c r="G18" s="47">
        <f>IFERROR(__xludf.DUMMYFUNCTION("""COMPUTED_VALUE"""),45768.6458333333)</f>
        <v>45768.6458333333</v>
      </c>
      <c r="H18" s="48">
        <f>IFERROR(__xludf.DUMMYFUNCTION("""COMPUTED_VALUE"""),2464.9)</f>
        <v>2464.9</v>
      </c>
      <c r="I18" s="47">
        <f>IFERROR(__xludf.DUMMYFUNCTION("""COMPUTED_VALUE"""),45768.6458333333)</f>
        <v>45768.6458333333</v>
      </c>
      <c r="J18" s="48">
        <f>IFERROR(__xludf.DUMMYFUNCTION("""COMPUTED_VALUE"""),2395.5)</f>
        <v>2395.5</v>
      </c>
      <c r="K18" s="3">
        <f t="shared" si="2"/>
        <v>0</v>
      </c>
      <c r="L18" s="3">
        <f t="shared" si="3"/>
        <v>0</v>
      </c>
      <c r="AF18" s="85"/>
      <c r="AG18" s="85"/>
      <c r="AH18" s="85"/>
      <c r="AI18" s="85"/>
      <c r="AJ18" s="85"/>
      <c r="AK18" s="85"/>
      <c r="AL18" s="85"/>
    </row>
    <row r="19" customHeight="1" spans="1:38">
      <c r="A19" s="47">
        <f>IFERROR(__xludf.DUMMYFUNCTION("""COMPUTED_VALUE"""),45769.6458333333)</f>
        <v>45769.6458333333</v>
      </c>
      <c r="B19" s="48">
        <f>IFERROR(__xludf.DUMMYFUNCTION("""COMPUTED_VALUE"""),2445.5)</f>
        <v>2445.5</v>
      </c>
      <c r="C19" s="47">
        <f>IFERROR(__xludf.DUMMYFUNCTION("""COMPUTED_VALUE"""),45769.6458333333)</f>
        <v>45769.6458333333</v>
      </c>
      <c r="D19" s="48">
        <f>IFERROR(__xludf.DUMMYFUNCTION("""COMPUTED_VALUE"""),2458.9)</f>
        <v>2458.9</v>
      </c>
      <c r="E19" s="47">
        <f>IFERROR(__xludf.DUMMYFUNCTION("""COMPUTED_VALUE"""),45769.6458333333)</f>
        <v>45769.6458333333</v>
      </c>
      <c r="F19" s="48">
        <f>IFERROR(__xludf.DUMMYFUNCTION("""COMPUTED_VALUE"""),766567)</f>
        <v>766567</v>
      </c>
      <c r="G19" s="47">
        <f>IFERROR(__xludf.DUMMYFUNCTION("""COMPUTED_VALUE"""),45769.6458333333)</f>
        <v>45769.6458333333</v>
      </c>
      <c r="H19" s="48">
        <f>IFERROR(__xludf.DUMMYFUNCTION("""COMPUTED_VALUE"""),2483.4)</f>
        <v>2483.4</v>
      </c>
      <c r="I19" s="47">
        <f>IFERROR(__xludf.DUMMYFUNCTION("""COMPUTED_VALUE"""),45769.6458333333)</f>
        <v>45769.6458333333</v>
      </c>
      <c r="J19" s="48">
        <f>IFERROR(__xludf.DUMMYFUNCTION("""COMPUTED_VALUE"""),2441)</f>
        <v>2441</v>
      </c>
      <c r="K19" s="3">
        <f t="shared" si="2"/>
        <v>0</v>
      </c>
      <c r="L19" s="3">
        <f t="shared" si="3"/>
        <v>0</v>
      </c>
      <c r="AF19" s="85"/>
      <c r="AG19" s="85"/>
      <c r="AH19" s="85"/>
      <c r="AI19" s="85"/>
      <c r="AJ19" s="85"/>
      <c r="AK19" s="85"/>
      <c r="AL19" s="85"/>
    </row>
    <row r="20" customHeight="1" spans="1:38">
      <c r="A20" s="47">
        <f>IFERROR(__xludf.DUMMYFUNCTION("""COMPUTED_VALUE"""),45770.6458333333)</f>
        <v>45770.6458333333</v>
      </c>
      <c r="B20" s="48">
        <f>IFERROR(__xludf.DUMMYFUNCTION("""COMPUTED_VALUE"""),2453.6)</f>
        <v>2453.6</v>
      </c>
      <c r="C20" s="47">
        <f>IFERROR(__xludf.DUMMYFUNCTION("""COMPUTED_VALUE"""),45770.6458333333)</f>
        <v>45770.6458333333</v>
      </c>
      <c r="D20" s="48">
        <f>IFERROR(__xludf.DUMMYFUNCTION("""COMPUTED_VALUE"""),2460)</f>
        <v>2460</v>
      </c>
      <c r="E20" s="47">
        <f>IFERROR(__xludf.DUMMYFUNCTION("""COMPUTED_VALUE"""),45770.6458333333)</f>
        <v>45770.6458333333</v>
      </c>
      <c r="F20" s="48">
        <f>IFERROR(__xludf.DUMMYFUNCTION("""COMPUTED_VALUE"""),672262)</f>
        <v>672262</v>
      </c>
      <c r="G20" s="47">
        <f>IFERROR(__xludf.DUMMYFUNCTION("""COMPUTED_VALUE"""),45770.6458333333)</f>
        <v>45770.6458333333</v>
      </c>
      <c r="H20" s="48">
        <f>IFERROR(__xludf.DUMMYFUNCTION("""COMPUTED_VALUE"""),2473.8)</f>
        <v>2473.8</v>
      </c>
      <c r="I20" s="47">
        <f>IFERROR(__xludf.DUMMYFUNCTION("""COMPUTED_VALUE"""),45770.6458333333)</f>
        <v>45770.6458333333</v>
      </c>
      <c r="J20" s="48">
        <f>IFERROR(__xludf.DUMMYFUNCTION("""COMPUTED_VALUE"""),2421.2)</f>
        <v>2421.2</v>
      </c>
      <c r="K20" s="3">
        <f t="shared" si="2"/>
        <v>2453.6</v>
      </c>
      <c r="L20" s="3">
        <f t="shared" si="3"/>
        <v>0</v>
      </c>
      <c r="AF20" s="85"/>
      <c r="AG20" s="85"/>
      <c r="AH20" s="85"/>
      <c r="AI20" s="85"/>
      <c r="AJ20" s="85"/>
      <c r="AK20" s="85"/>
      <c r="AL20" s="85"/>
    </row>
    <row r="21" customHeight="1" spans="1:38">
      <c r="A21" s="47">
        <f>IFERROR(__xludf.DUMMYFUNCTION("""COMPUTED_VALUE"""),45771.6458333333)</f>
        <v>45771.6458333333</v>
      </c>
      <c r="B21" s="48">
        <f>IFERROR(__xludf.DUMMYFUNCTION("""COMPUTED_VALUE"""),2442.5)</f>
        <v>2442.5</v>
      </c>
      <c r="C21" s="47">
        <f>IFERROR(__xludf.DUMMYFUNCTION("""COMPUTED_VALUE"""),45771.6458333333)</f>
        <v>45771.6458333333</v>
      </c>
      <c r="D21" s="48">
        <f>IFERROR(__xludf.DUMMYFUNCTION("""COMPUTED_VALUE"""),2450)</f>
        <v>2450</v>
      </c>
      <c r="E21" s="47">
        <f>IFERROR(__xludf.DUMMYFUNCTION("""COMPUTED_VALUE"""),45771.6458333333)</f>
        <v>45771.6458333333</v>
      </c>
      <c r="F21" s="48">
        <f>IFERROR(__xludf.DUMMYFUNCTION("""COMPUTED_VALUE"""),596696)</f>
        <v>596696</v>
      </c>
      <c r="G21" s="47">
        <f>IFERROR(__xludf.DUMMYFUNCTION("""COMPUTED_VALUE"""),45771.6458333333)</f>
        <v>45771.6458333333</v>
      </c>
      <c r="H21" s="48">
        <f>IFERROR(__xludf.DUMMYFUNCTION("""COMPUTED_VALUE"""),2461.4)</f>
        <v>2461.4</v>
      </c>
      <c r="I21" s="47">
        <f>IFERROR(__xludf.DUMMYFUNCTION("""COMPUTED_VALUE"""),45771.6458333333)</f>
        <v>45771.6458333333</v>
      </c>
      <c r="J21" s="48">
        <f>IFERROR(__xludf.DUMMYFUNCTION("""COMPUTED_VALUE"""),2425.1)</f>
        <v>2425.1</v>
      </c>
      <c r="K21" s="3">
        <f t="shared" si="2"/>
        <v>0</v>
      </c>
      <c r="L21" s="3">
        <f t="shared" si="3"/>
        <v>0</v>
      </c>
      <c r="AF21" s="85"/>
      <c r="AG21" s="85"/>
      <c r="AH21" s="85"/>
      <c r="AI21" s="85"/>
      <c r="AJ21" s="85"/>
      <c r="AK21" s="85"/>
      <c r="AL21" s="85"/>
    </row>
    <row r="22" customHeight="1" spans="1:38">
      <c r="A22" s="47">
        <f>IFERROR(__xludf.DUMMYFUNCTION("""COMPUTED_VALUE"""),45772.6458333333)</f>
        <v>45772.6458333333</v>
      </c>
      <c r="B22" s="48">
        <f>IFERROR(__xludf.DUMMYFUNCTION("""COMPUTED_VALUE"""),2354.3)</f>
        <v>2354.3</v>
      </c>
      <c r="C22" s="47">
        <f>IFERROR(__xludf.DUMMYFUNCTION("""COMPUTED_VALUE"""),45772.6458333333)</f>
        <v>45772.6458333333</v>
      </c>
      <c r="D22" s="48">
        <f>IFERROR(__xludf.DUMMYFUNCTION("""COMPUTED_VALUE"""),2450.1)</f>
        <v>2450.1</v>
      </c>
      <c r="E22" s="47">
        <f>IFERROR(__xludf.DUMMYFUNCTION("""COMPUTED_VALUE"""),45772.6458333333)</f>
        <v>45772.6458333333</v>
      </c>
      <c r="F22" s="48">
        <f>IFERROR(__xludf.DUMMYFUNCTION("""COMPUTED_VALUE"""),1414809)</f>
        <v>1414809</v>
      </c>
      <c r="G22" s="47">
        <f>IFERROR(__xludf.DUMMYFUNCTION("""COMPUTED_VALUE"""),45772.6458333333)</f>
        <v>45772.6458333333</v>
      </c>
      <c r="H22" s="48">
        <f>IFERROR(__xludf.DUMMYFUNCTION("""COMPUTED_VALUE"""),2459.5)</f>
        <v>2459.5</v>
      </c>
      <c r="I22" s="47">
        <f>IFERROR(__xludf.DUMMYFUNCTION("""COMPUTED_VALUE"""),45772.6458333333)</f>
        <v>45772.6458333333</v>
      </c>
      <c r="J22" s="48">
        <f>IFERROR(__xludf.DUMMYFUNCTION("""COMPUTED_VALUE"""),2323.5)</f>
        <v>2323.5</v>
      </c>
      <c r="K22" s="3">
        <f t="shared" si="2"/>
        <v>0</v>
      </c>
      <c r="L22" s="3">
        <f t="shared" si="3"/>
        <v>0</v>
      </c>
      <c r="AF22" s="85"/>
      <c r="AG22" s="85"/>
      <c r="AH22" s="85"/>
      <c r="AI22" s="85"/>
      <c r="AJ22" s="85"/>
      <c r="AK22" s="85"/>
      <c r="AL22" s="85"/>
    </row>
    <row r="23" customHeight="1" spans="1:38">
      <c r="A23" s="47">
        <f>IFERROR(__xludf.DUMMYFUNCTION("""COMPUTED_VALUE"""),45775.6458333333)</f>
        <v>45775.6458333333</v>
      </c>
      <c r="B23" s="48">
        <f>IFERROR(__xludf.DUMMYFUNCTION("""COMPUTED_VALUE"""),2369.8)</f>
        <v>2369.8</v>
      </c>
      <c r="C23" s="47">
        <f>IFERROR(__xludf.DUMMYFUNCTION("""COMPUTED_VALUE"""),45775.6458333333)</f>
        <v>45775.6458333333</v>
      </c>
      <c r="D23" s="48">
        <f>IFERROR(__xludf.DUMMYFUNCTION("""COMPUTED_VALUE"""),2346)</f>
        <v>2346</v>
      </c>
      <c r="E23" s="47">
        <f>IFERROR(__xludf.DUMMYFUNCTION("""COMPUTED_VALUE"""),45775.6458333333)</f>
        <v>45775.6458333333</v>
      </c>
      <c r="F23" s="48">
        <f>IFERROR(__xludf.DUMMYFUNCTION("""COMPUTED_VALUE"""),681421)</f>
        <v>681421</v>
      </c>
      <c r="G23" s="47">
        <f>IFERROR(__xludf.DUMMYFUNCTION("""COMPUTED_VALUE"""),45775.6458333333)</f>
        <v>45775.6458333333</v>
      </c>
      <c r="H23" s="48">
        <f>IFERROR(__xludf.DUMMYFUNCTION("""COMPUTED_VALUE"""),2402)</f>
        <v>2402</v>
      </c>
      <c r="I23" s="47">
        <f>IFERROR(__xludf.DUMMYFUNCTION("""COMPUTED_VALUE"""),45775.6458333333)</f>
        <v>45775.6458333333</v>
      </c>
      <c r="J23" s="48">
        <f>IFERROR(__xludf.DUMMYFUNCTION("""COMPUTED_VALUE"""),2337.6)</f>
        <v>2337.6</v>
      </c>
      <c r="K23" s="3">
        <f t="shared" si="2"/>
        <v>0</v>
      </c>
      <c r="L23" s="3">
        <f t="shared" si="3"/>
        <v>0</v>
      </c>
      <c r="AF23" s="85"/>
      <c r="AG23" s="85"/>
      <c r="AH23" s="85"/>
      <c r="AI23" s="85"/>
      <c r="AJ23" s="85"/>
      <c r="AK23" s="85"/>
      <c r="AL23" s="85"/>
    </row>
    <row r="24" customHeight="1" spans="1:38">
      <c r="A24" s="47">
        <f>IFERROR(__xludf.DUMMYFUNCTION("""COMPUTED_VALUE"""),45776.6458333333)</f>
        <v>45776.6458333333</v>
      </c>
      <c r="B24" s="48">
        <f>IFERROR(__xludf.DUMMYFUNCTION("""COMPUTED_VALUE"""),2330.6)</f>
        <v>2330.6</v>
      </c>
      <c r="C24" s="47">
        <f>IFERROR(__xludf.DUMMYFUNCTION("""COMPUTED_VALUE"""),45776.6458333333)</f>
        <v>45776.6458333333</v>
      </c>
      <c r="D24" s="48">
        <f>IFERROR(__xludf.DUMMYFUNCTION("""COMPUTED_VALUE"""),2392)</f>
        <v>2392</v>
      </c>
      <c r="E24" s="47">
        <f>IFERROR(__xludf.DUMMYFUNCTION("""COMPUTED_VALUE"""),45776.6458333333)</f>
        <v>45776.6458333333</v>
      </c>
      <c r="F24" s="48">
        <f>IFERROR(__xludf.DUMMYFUNCTION("""COMPUTED_VALUE"""),670730)</f>
        <v>670730</v>
      </c>
      <c r="G24" s="47">
        <f>IFERROR(__xludf.DUMMYFUNCTION("""COMPUTED_VALUE"""),45776.6458333333)</f>
        <v>45776.6458333333</v>
      </c>
      <c r="H24" s="48">
        <f>IFERROR(__xludf.DUMMYFUNCTION("""COMPUTED_VALUE"""),2400)</f>
        <v>2400</v>
      </c>
      <c r="I24" s="47">
        <f>IFERROR(__xludf.DUMMYFUNCTION("""COMPUTED_VALUE"""),45776.6458333333)</f>
        <v>45776.6458333333</v>
      </c>
      <c r="J24" s="48">
        <f>IFERROR(__xludf.DUMMYFUNCTION("""COMPUTED_VALUE"""),2325.6)</f>
        <v>2325.6</v>
      </c>
      <c r="K24" s="3">
        <f t="shared" si="2"/>
        <v>0</v>
      </c>
      <c r="L24" s="3">
        <f t="shared" si="3"/>
        <v>0</v>
      </c>
      <c r="AF24" s="85"/>
      <c r="AG24" s="85"/>
      <c r="AH24" s="85"/>
      <c r="AI24" s="85"/>
      <c r="AJ24" s="85"/>
      <c r="AK24" s="85"/>
      <c r="AL24" s="85"/>
    </row>
    <row r="25" customHeight="1" spans="1:38">
      <c r="A25" s="47">
        <f>IFERROR(__xludf.DUMMYFUNCTION("""COMPUTED_VALUE"""),45777.6458333333)</f>
        <v>45777.6458333333</v>
      </c>
      <c r="B25" s="48">
        <f>IFERROR(__xludf.DUMMYFUNCTION("""COMPUTED_VALUE"""),2301.3)</f>
        <v>2301.3</v>
      </c>
      <c r="C25" s="47">
        <f>IFERROR(__xludf.DUMMYFUNCTION("""COMPUTED_VALUE"""),45777.6458333333)</f>
        <v>45777.6458333333</v>
      </c>
      <c r="D25" s="48">
        <f>IFERROR(__xludf.DUMMYFUNCTION("""COMPUTED_VALUE"""),2331.4)</f>
        <v>2331.4</v>
      </c>
      <c r="E25" s="47">
        <f>IFERROR(__xludf.DUMMYFUNCTION("""COMPUTED_VALUE"""),45777.6458333333)</f>
        <v>45777.6458333333</v>
      </c>
      <c r="F25" s="48">
        <f>IFERROR(__xludf.DUMMYFUNCTION("""COMPUTED_VALUE"""),837464)</f>
        <v>837464</v>
      </c>
      <c r="G25" s="47">
        <f>IFERROR(__xludf.DUMMYFUNCTION("""COMPUTED_VALUE"""),45777.6458333333)</f>
        <v>45777.6458333333</v>
      </c>
      <c r="H25" s="48">
        <f>IFERROR(__xludf.DUMMYFUNCTION("""COMPUTED_VALUE"""),2340)</f>
        <v>2340</v>
      </c>
      <c r="I25" s="47">
        <f>IFERROR(__xludf.DUMMYFUNCTION("""COMPUTED_VALUE"""),45777.6458333333)</f>
        <v>45777.6458333333</v>
      </c>
      <c r="J25" s="48">
        <f>IFERROR(__xludf.DUMMYFUNCTION("""COMPUTED_VALUE"""),2285)</f>
        <v>2285</v>
      </c>
      <c r="K25" s="3">
        <f t="shared" si="2"/>
        <v>0</v>
      </c>
      <c r="L25" s="3">
        <f t="shared" si="3"/>
        <v>0</v>
      </c>
      <c r="AF25" s="85"/>
      <c r="AG25" s="85"/>
      <c r="AH25" s="85"/>
      <c r="AI25" s="85"/>
      <c r="AJ25" s="85"/>
      <c r="AK25" s="85"/>
      <c r="AL25" s="85"/>
    </row>
    <row r="26" customHeight="1" spans="1:38">
      <c r="A26" s="47">
        <f>IFERROR(__xludf.DUMMYFUNCTION("""COMPUTED_VALUE"""),45779.6458333333)</f>
        <v>45779.6458333333</v>
      </c>
      <c r="B26" s="48">
        <f>IFERROR(__xludf.DUMMYFUNCTION("""COMPUTED_VALUE"""),2294.2)</f>
        <v>2294.2</v>
      </c>
      <c r="C26" s="47">
        <f>IFERROR(__xludf.DUMMYFUNCTION("""COMPUTED_VALUE"""),45779.6458333333)</f>
        <v>45779.6458333333</v>
      </c>
      <c r="D26" s="48">
        <f>IFERROR(__xludf.DUMMYFUNCTION("""COMPUTED_VALUE"""),2349.9)</f>
        <v>2349.9</v>
      </c>
      <c r="E26" s="47">
        <f>IFERROR(__xludf.DUMMYFUNCTION("""COMPUTED_VALUE"""),45779.6458333333)</f>
        <v>45779.6458333333</v>
      </c>
      <c r="F26" s="48">
        <f>IFERROR(__xludf.DUMMYFUNCTION("""COMPUTED_VALUE"""),1695797)</f>
        <v>1695797</v>
      </c>
      <c r="G26" s="47">
        <f>IFERROR(__xludf.DUMMYFUNCTION("""COMPUTED_VALUE"""),45779.6458333333)</f>
        <v>45779.6458333333</v>
      </c>
      <c r="H26" s="48">
        <f>IFERROR(__xludf.DUMMYFUNCTION("""COMPUTED_VALUE"""),2372.4)</f>
        <v>2372.4</v>
      </c>
      <c r="I26" s="47">
        <f>IFERROR(__xludf.DUMMYFUNCTION("""COMPUTED_VALUE"""),45779.6458333333)</f>
        <v>45779.6458333333</v>
      </c>
      <c r="J26" s="48">
        <f>IFERROR(__xludf.DUMMYFUNCTION("""COMPUTED_VALUE"""),2290)</f>
        <v>2290</v>
      </c>
      <c r="K26" s="3">
        <f t="shared" si="2"/>
        <v>0</v>
      </c>
      <c r="L26" s="3">
        <f t="shared" si="3"/>
        <v>0</v>
      </c>
      <c r="AF26" s="85"/>
      <c r="AG26" s="85"/>
      <c r="AH26" s="85"/>
      <c r="AI26" s="85"/>
      <c r="AJ26" s="85"/>
      <c r="AK26" s="85"/>
      <c r="AL26" s="85"/>
    </row>
    <row r="27" customHeight="1" spans="1:38">
      <c r="A27" s="47">
        <f>IFERROR(__xludf.DUMMYFUNCTION("""COMPUTED_VALUE"""),45782.6458333333)</f>
        <v>45782.6458333333</v>
      </c>
      <c r="B27" s="48">
        <f>IFERROR(__xludf.DUMMYFUNCTION("""COMPUTED_VALUE"""),2455.5)</f>
        <v>2455.5</v>
      </c>
      <c r="C27" s="47">
        <f>IFERROR(__xludf.DUMMYFUNCTION("""COMPUTED_VALUE"""),45782.6458333333)</f>
        <v>45782.6458333333</v>
      </c>
      <c r="D27" s="48">
        <f>IFERROR(__xludf.DUMMYFUNCTION("""COMPUTED_VALUE"""),2312.6)</f>
        <v>2312.6</v>
      </c>
      <c r="E27" s="47">
        <f>IFERROR(__xludf.DUMMYFUNCTION("""COMPUTED_VALUE"""),45782.6458333333)</f>
        <v>45782.6458333333</v>
      </c>
      <c r="F27" s="48">
        <f>IFERROR(__xludf.DUMMYFUNCTION("""COMPUTED_VALUE"""),4227194)</f>
        <v>4227194</v>
      </c>
      <c r="G27" s="47">
        <f>IFERROR(__xludf.DUMMYFUNCTION("""COMPUTED_VALUE"""),45782.6458333333)</f>
        <v>45782.6458333333</v>
      </c>
      <c r="H27" s="48">
        <f>IFERROR(__xludf.DUMMYFUNCTION("""COMPUTED_VALUE"""),2497)</f>
        <v>2497</v>
      </c>
      <c r="I27" s="47">
        <f>IFERROR(__xludf.DUMMYFUNCTION("""COMPUTED_VALUE"""),45782.6458333333)</f>
        <v>45782.6458333333</v>
      </c>
      <c r="J27" s="48">
        <f>IFERROR(__xludf.DUMMYFUNCTION("""COMPUTED_VALUE"""),2297.8)</f>
        <v>2297.8</v>
      </c>
      <c r="K27" s="3">
        <f t="shared" si="2"/>
        <v>2455.5</v>
      </c>
      <c r="L27" s="3">
        <f t="shared" si="3"/>
        <v>0</v>
      </c>
      <c r="AF27" s="85"/>
      <c r="AG27" s="85"/>
      <c r="AH27" s="85"/>
      <c r="AI27" s="85"/>
      <c r="AJ27" s="85"/>
      <c r="AK27" s="85"/>
      <c r="AL27" s="85"/>
    </row>
    <row r="28" customHeight="1" spans="1:38">
      <c r="A28" s="47">
        <f>IFERROR(__xludf.DUMMYFUNCTION("""COMPUTED_VALUE"""),45783.6458333333)</f>
        <v>45783.6458333333</v>
      </c>
      <c r="B28" s="48">
        <f>IFERROR(__xludf.DUMMYFUNCTION("""COMPUTED_VALUE"""),2354)</f>
        <v>2354</v>
      </c>
      <c r="C28" s="47">
        <f>IFERROR(__xludf.DUMMYFUNCTION("""COMPUTED_VALUE"""),45783.6458333333)</f>
        <v>45783.6458333333</v>
      </c>
      <c r="D28" s="48">
        <f>IFERROR(__xludf.DUMMYFUNCTION("""COMPUTED_VALUE"""),2454)</f>
        <v>2454</v>
      </c>
      <c r="E28" s="47">
        <f>IFERROR(__xludf.DUMMYFUNCTION("""COMPUTED_VALUE"""),45783.6458333333)</f>
        <v>45783.6458333333</v>
      </c>
      <c r="F28" s="48">
        <f>IFERROR(__xludf.DUMMYFUNCTION("""COMPUTED_VALUE"""),1524692)</f>
        <v>1524692</v>
      </c>
      <c r="G28" s="47">
        <f>IFERROR(__xludf.DUMMYFUNCTION("""COMPUTED_VALUE"""),45783.6458333333)</f>
        <v>45783.6458333333</v>
      </c>
      <c r="H28" s="48">
        <f>IFERROR(__xludf.DUMMYFUNCTION("""COMPUTED_VALUE"""),2463.2)</f>
        <v>2463.2</v>
      </c>
      <c r="I28" s="47">
        <f>IFERROR(__xludf.DUMMYFUNCTION("""COMPUTED_VALUE"""),45783.6458333333)</f>
        <v>45783.6458333333</v>
      </c>
      <c r="J28" s="48">
        <f>IFERROR(__xludf.DUMMYFUNCTION("""COMPUTED_VALUE"""),2343.5)</f>
        <v>2343.5</v>
      </c>
      <c r="K28" s="3">
        <f t="shared" si="2"/>
        <v>0</v>
      </c>
      <c r="L28" s="3">
        <f t="shared" si="3"/>
        <v>0</v>
      </c>
      <c r="AF28" s="85"/>
      <c r="AG28" s="85"/>
      <c r="AH28" s="85"/>
      <c r="AI28" s="85"/>
      <c r="AJ28" s="85"/>
      <c r="AK28" s="85"/>
      <c r="AL28" s="85"/>
    </row>
    <row r="29" customHeight="1" spans="1:38">
      <c r="A29" s="47">
        <f>IFERROR(__xludf.DUMMYFUNCTION("""COMPUTED_VALUE"""),45784.6458333333)</f>
        <v>45784.6458333333</v>
      </c>
      <c r="B29" s="48">
        <f>IFERROR(__xludf.DUMMYFUNCTION("""COMPUTED_VALUE"""),2353.1)</f>
        <v>2353.1</v>
      </c>
      <c r="C29" s="47">
        <f>IFERROR(__xludf.DUMMYFUNCTION("""COMPUTED_VALUE"""),45784.6458333333)</f>
        <v>45784.6458333333</v>
      </c>
      <c r="D29" s="48">
        <f>IFERROR(__xludf.DUMMYFUNCTION("""COMPUTED_VALUE"""),2315)</f>
        <v>2315</v>
      </c>
      <c r="E29" s="47">
        <f>IFERROR(__xludf.DUMMYFUNCTION("""COMPUTED_VALUE"""),45784.6458333333)</f>
        <v>45784.6458333333</v>
      </c>
      <c r="F29" s="48">
        <f>IFERROR(__xludf.DUMMYFUNCTION("""COMPUTED_VALUE"""),1012640)</f>
        <v>1012640</v>
      </c>
      <c r="G29" s="47">
        <f>IFERROR(__xludf.DUMMYFUNCTION("""COMPUTED_VALUE"""),45784.6458333333)</f>
        <v>45784.6458333333</v>
      </c>
      <c r="H29" s="48">
        <f>IFERROR(__xludf.DUMMYFUNCTION("""COMPUTED_VALUE"""),2379.5)</f>
        <v>2379.5</v>
      </c>
      <c r="I29" s="47">
        <f>IFERROR(__xludf.DUMMYFUNCTION("""COMPUTED_VALUE"""),45784.6458333333)</f>
        <v>45784.6458333333</v>
      </c>
      <c r="J29" s="48">
        <f>IFERROR(__xludf.DUMMYFUNCTION("""COMPUTED_VALUE"""),2315)</f>
        <v>2315</v>
      </c>
      <c r="K29" s="3">
        <f t="shared" si="2"/>
        <v>0</v>
      </c>
      <c r="L29" s="3">
        <f t="shared" si="3"/>
        <v>0</v>
      </c>
      <c r="AF29" s="85"/>
      <c r="AG29" s="85"/>
      <c r="AH29" s="85"/>
      <c r="AI29" s="85"/>
      <c r="AJ29" s="85"/>
      <c r="AK29" s="85"/>
      <c r="AL29" s="85"/>
    </row>
    <row r="30" customHeight="1" spans="1:38">
      <c r="A30" s="47">
        <f>IFERROR(__xludf.DUMMYFUNCTION("""COMPUTED_VALUE"""),45785.6458333333)</f>
        <v>45785.6458333333</v>
      </c>
      <c r="B30" s="48">
        <f>IFERROR(__xludf.DUMMYFUNCTION("""COMPUTED_VALUE"""),2285.3)</f>
        <v>2285.3</v>
      </c>
      <c r="C30" s="47">
        <f>IFERROR(__xludf.DUMMYFUNCTION("""COMPUTED_VALUE"""),45785.6458333333)</f>
        <v>45785.6458333333</v>
      </c>
      <c r="D30" s="48">
        <f>IFERROR(__xludf.DUMMYFUNCTION("""COMPUTED_VALUE"""),2362)</f>
        <v>2362</v>
      </c>
      <c r="E30" s="47">
        <f>IFERROR(__xludf.DUMMYFUNCTION("""COMPUTED_VALUE"""),45785.6458333333)</f>
        <v>45785.6458333333</v>
      </c>
      <c r="F30" s="48">
        <f>IFERROR(__xludf.DUMMYFUNCTION("""COMPUTED_VALUE"""),1380069)</f>
        <v>1380069</v>
      </c>
      <c r="G30" s="47">
        <f>IFERROR(__xludf.DUMMYFUNCTION("""COMPUTED_VALUE"""),45785.6458333333)</f>
        <v>45785.6458333333</v>
      </c>
      <c r="H30" s="48">
        <f>IFERROR(__xludf.DUMMYFUNCTION("""COMPUTED_VALUE"""),2367.8)</f>
        <v>2367.8</v>
      </c>
      <c r="I30" s="47">
        <f>IFERROR(__xludf.DUMMYFUNCTION("""COMPUTED_VALUE"""),45785.6458333333)</f>
        <v>45785.6458333333</v>
      </c>
      <c r="J30" s="48">
        <f>IFERROR(__xludf.DUMMYFUNCTION("""COMPUTED_VALUE"""),2260)</f>
        <v>2260</v>
      </c>
      <c r="K30" s="3">
        <f t="shared" si="2"/>
        <v>0</v>
      </c>
      <c r="L30" s="3">
        <f t="shared" si="3"/>
        <v>0</v>
      </c>
      <c r="AF30" s="85"/>
      <c r="AG30" s="85"/>
      <c r="AH30" s="85"/>
      <c r="AI30" s="85"/>
      <c r="AJ30" s="85"/>
      <c r="AK30" s="85"/>
      <c r="AL30" s="85"/>
    </row>
    <row r="31" customHeight="1" spans="1:38">
      <c r="A31" s="47">
        <f>IFERROR(__xludf.DUMMYFUNCTION("""COMPUTED_VALUE"""),45786.6458333333)</f>
        <v>45786.6458333333</v>
      </c>
      <c r="B31" s="48">
        <f>IFERROR(__xludf.DUMMYFUNCTION("""COMPUTED_VALUE"""),2251)</f>
        <v>2251</v>
      </c>
      <c r="C31" s="47">
        <f>IFERROR(__xludf.DUMMYFUNCTION("""COMPUTED_VALUE"""),45786.6458333333)</f>
        <v>45786.6458333333</v>
      </c>
      <c r="D31" s="48">
        <f>IFERROR(__xludf.DUMMYFUNCTION("""COMPUTED_VALUE"""),2240)</f>
        <v>2240</v>
      </c>
      <c r="E31" s="47">
        <f>IFERROR(__xludf.DUMMYFUNCTION("""COMPUTED_VALUE"""),45786.6458333333)</f>
        <v>45786.6458333333</v>
      </c>
      <c r="F31" s="48">
        <f>IFERROR(__xludf.DUMMYFUNCTION("""COMPUTED_VALUE"""),1006000)</f>
        <v>1006000</v>
      </c>
      <c r="G31" s="47">
        <f>IFERROR(__xludf.DUMMYFUNCTION("""COMPUTED_VALUE"""),45786.6458333333)</f>
        <v>45786.6458333333</v>
      </c>
      <c r="H31" s="48">
        <f>IFERROR(__xludf.DUMMYFUNCTION("""COMPUTED_VALUE"""),2273.1)</f>
        <v>2273.1</v>
      </c>
      <c r="I31" s="47">
        <f>IFERROR(__xludf.DUMMYFUNCTION("""COMPUTED_VALUE"""),45786.6458333333)</f>
        <v>45786.6458333333</v>
      </c>
      <c r="J31" s="48">
        <f>IFERROR(__xludf.DUMMYFUNCTION("""COMPUTED_VALUE"""),2233)</f>
        <v>2233</v>
      </c>
      <c r="K31" s="3">
        <f t="shared" si="2"/>
        <v>0</v>
      </c>
      <c r="L31" s="3">
        <f t="shared" si="3"/>
        <v>2251</v>
      </c>
      <c r="AF31" s="85"/>
      <c r="AG31" s="85"/>
      <c r="AH31" s="85"/>
      <c r="AI31" s="85"/>
      <c r="AJ31" s="85"/>
      <c r="AK31" s="85"/>
      <c r="AL31" s="85"/>
    </row>
    <row r="32" customHeight="1" spans="1:38">
      <c r="A32" s="47">
        <f>IFERROR(__xludf.DUMMYFUNCTION("""COMPUTED_VALUE"""),45789.6458333333)</f>
        <v>45789.6458333333</v>
      </c>
      <c r="B32" s="48">
        <f>IFERROR(__xludf.DUMMYFUNCTION("""COMPUTED_VALUE"""),2425.3)</f>
        <v>2425.3</v>
      </c>
      <c r="C32" s="47">
        <f>IFERROR(__xludf.DUMMYFUNCTION("""COMPUTED_VALUE"""),45789.6458333333)</f>
        <v>45789.6458333333</v>
      </c>
      <c r="D32" s="48">
        <f>IFERROR(__xludf.DUMMYFUNCTION("""COMPUTED_VALUE"""),2350)</f>
        <v>2350</v>
      </c>
      <c r="E32" s="47">
        <f>IFERROR(__xludf.DUMMYFUNCTION("""COMPUTED_VALUE"""),45789.6458333333)</f>
        <v>45789.6458333333</v>
      </c>
      <c r="F32" s="48">
        <f>IFERROR(__xludf.DUMMYFUNCTION("""COMPUTED_VALUE"""),2147039)</f>
        <v>2147039</v>
      </c>
      <c r="G32" s="47">
        <f>IFERROR(__xludf.DUMMYFUNCTION("""COMPUTED_VALUE"""),45789.6458333333)</f>
        <v>45789.6458333333</v>
      </c>
      <c r="H32" s="48">
        <f>IFERROR(__xludf.DUMMYFUNCTION("""COMPUTED_VALUE"""),2433.3)</f>
        <v>2433.3</v>
      </c>
      <c r="I32" s="47">
        <f>IFERROR(__xludf.DUMMYFUNCTION("""COMPUTED_VALUE"""),45789.6458333333)</f>
        <v>45789.6458333333</v>
      </c>
      <c r="J32" s="48">
        <f>IFERROR(__xludf.DUMMYFUNCTION("""COMPUTED_VALUE"""),2315)</f>
        <v>2315</v>
      </c>
      <c r="K32" s="3">
        <f t="shared" si="2"/>
        <v>0</v>
      </c>
      <c r="L32" s="3">
        <f t="shared" si="3"/>
        <v>0</v>
      </c>
      <c r="AF32" s="85"/>
      <c r="AG32" s="85"/>
      <c r="AH32" s="85"/>
      <c r="AI32" s="85"/>
      <c r="AJ32" s="85"/>
      <c r="AK32" s="85"/>
      <c r="AL32" s="85"/>
    </row>
    <row r="33" customHeight="1" spans="1:38">
      <c r="A33" s="47">
        <f>IFERROR(__xludf.DUMMYFUNCTION("""COMPUTED_VALUE"""),45790.6458333333)</f>
        <v>45790.6458333333</v>
      </c>
      <c r="B33" s="48">
        <f>IFERROR(__xludf.DUMMYFUNCTION("""COMPUTED_VALUE"""),2441.2)</f>
        <v>2441.2</v>
      </c>
      <c r="C33" s="47">
        <f>IFERROR(__xludf.DUMMYFUNCTION("""COMPUTED_VALUE"""),45790.6458333333)</f>
        <v>45790.6458333333</v>
      </c>
      <c r="D33" s="48">
        <f>IFERROR(__xludf.DUMMYFUNCTION("""COMPUTED_VALUE"""),2425)</f>
        <v>2425</v>
      </c>
      <c r="E33" s="47">
        <f>IFERROR(__xludf.DUMMYFUNCTION("""COMPUTED_VALUE"""),45790.6458333333)</f>
        <v>45790.6458333333</v>
      </c>
      <c r="F33" s="48">
        <f>IFERROR(__xludf.DUMMYFUNCTION("""COMPUTED_VALUE"""),1815179)</f>
        <v>1815179</v>
      </c>
      <c r="G33" s="47">
        <f>IFERROR(__xludf.DUMMYFUNCTION("""COMPUTED_VALUE"""),45790.6458333333)</f>
        <v>45790.6458333333</v>
      </c>
      <c r="H33" s="48">
        <f>IFERROR(__xludf.DUMMYFUNCTION("""COMPUTED_VALUE"""),2454.9)</f>
        <v>2454.9</v>
      </c>
      <c r="I33" s="47">
        <f>IFERROR(__xludf.DUMMYFUNCTION("""COMPUTED_VALUE"""),45790.6458333333)</f>
        <v>45790.6458333333</v>
      </c>
      <c r="J33" s="48">
        <f>IFERROR(__xludf.DUMMYFUNCTION("""COMPUTED_VALUE"""),2405)</f>
        <v>2405</v>
      </c>
      <c r="K33" s="3">
        <f t="shared" si="2"/>
        <v>0</v>
      </c>
      <c r="L33" s="3">
        <f t="shared" si="3"/>
        <v>0</v>
      </c>
      <c r="AF33" s="85"/>
      <c r="AG33" s="85"/>
      <c r="AH33" s="85"/>
      <c r="AI33" s="85"/>
      <c r="AJ33" s="85"/>
      <c r="AK33" s="85"/>
      <c r="AL33" s="85"/>
    </row>
    <row r="34" customHeight="1" spans="1:12">
      <c r="A34" s="47">
        <f>IFERROR(__xludf.DUMMYFUNCTION("""COMPUTED_VALUE"""),45791.6458333333)</f>
        <v>45791.6458333333</v>
      </c>
      <c r="B34" s="48">
        <f>IFERROR(__xludf.DUMMYFUNCTION("""COMPUTED_VALUE"""),2461.9)</f>
        <v>2461.9</v>
      </c>
      <c r="C34" s="47">
        <f>IFERROR(__xludf.DUMMYFUNCTION("""COMPUTED_VALUE"""),45791.6458333333)</f>
        <v>45791.6458333333</v>
      </c>
      <c r="D34" s="48">
        <f>IFERROR(__xludf.DUMMYFUNCTION("""COMPUTED_VALUE"""),2444.9)</f>
        <v>2444.9</v>
      </c>
      <c r="E34" s="47">
        <f>IFERROR(__xludf.DUMMYFUNCTION("""COMPUTED_VALUE"""),45791.6458333333)</f>
        <v>45791.6458333333</v>
      </c>
      <c r="F34" s="48">
        <f>IFERROR(__xludf.DUMMYFUNCTION("""COMPUTED_VALUE"""),774441)</f>
        <v>774441</v>
      </c>
      <c r="G34" s="47">
        <f>IFERROR(__xludf.DUMMYFUNCTION("""COMPUTED_VALUE"""),45791.6458333333)</f>
        <v>45791.6458333333</v>
      </c>
      <c r="H34" s="48">
        <f>IFERROR(__xludf.DUMMYFUNCTION("""COMPUTED_VALUE"""),2481.9)</f>
        <v>2481.9</v>
      </c>
      <c r="I34" s="47">
        <f>IFERROR(__xludf.DUMMYFUNCTION("""COMPUTED_VALUE"""),45791.6458333333)</f>
        <v>45791.6458333333</v>
      </c>
      <c r="J34" s="48">
        <f>IFERROR(__xludf.DUMMYFUNCTION("""COMPUTED_VALUE"""),2430.1)</f>
        <v>2430.1</v>
      </c>
      <c r="K34" s="3">
        <f t="shared" si="2"/>
        <v>0</v>
      </c>
      <c r="L34" s="3">
        <f t="shared" si="3"/>
        <v>0</v>
      </c>
    </row>
    <row r="35" customHeight="1" spans="1:12">
      <c r="A35" s="47">
        <f>IFERROR(__xludf.DUMMYFUNCTION("""COMPUTED_VALUE"""),45792.6458333333)</f>
        <v>45792.6458333333</v>
      </c>
      <c r="B35" s="48">
        <f>IFERROR(__xludf.DUMMYFUNCTION("""COMPUTED_VALUE"""),2520)</f>
        <v>2520</v>
      </c>
      <c r="C35" s="47">
        <f>IFERROR(__xludf.DUMMYFUNCTION("""COMPUTED_VALUE"""),45792.6458333333)</f>
        <v>45792.6458333333</v>
      </c>
      <c r="D35" s="48">
        <f>IFERROR(__xludf.DUMMYFUNCTION("""COMPUTED_VALUE"""),2463.4)</f>
        <v>2463.4</v>
      </c>
      <c r="E35" s="47">
        <f>IFERROR(__xludf.DUMMYFUNCTION("""COMPUTED_VALUE"""),45792.6458333333)</f>
        <v>45792.6458333333</v>
      </c>
      <c r="F35" s="48">
        <f>IFERROR(__xludf.DUMMYFUNCTION("""COMPUTED_VALUE"""),1554801)</f>
        <v>1554801</v>
      </c>
      <c r="G35" s="47">
        <f>IFERROR(__xludf.DUMMYFUNCTION("""COMPUTED_VALUE"""),45792.6458333333)</f>
        <v>45792.6458333333</v>
      </c>
      <c r="H35" s="48">
        <f>IFERROR(__xludf.DUMMYFUNCTION("""COMPUTED_VALUE"""),2526.8)</f>
        <v>2526.8</v>
      </c>
      <c r="I35" s="47">
        <f>IFERROR(__xludf.DUMMYFUNCTION("""COMPUTED_VALUE"""),45792.6458333333)</f>
        <v>45792.6458333333</v>
      </c>
      <c r="J35" s="48">
        <f>IFERROR(__xludf.DUMMYFUNCTION("""COMPUTED_VALUE"""),2450.7)</f>
        <v>2450.7</v>
      </c>
      <c r="K35" s="3">
        <f t="shared" si="2"/>
        <v>0</v>
      </c>
      <c r="L35" s="3">
        <f t="shared" si="3"/>
        <v>0</v>
      </c>
    </row>
    <row r="36" customHeight="1" spans="1:12">
      <c r="A36" s="47">
        <f>IFERROR(__xludf.DUMMYFUNCTION("""COMPUTED_VALUE"""),45793.6458333333)</f>
        <v>45793.6458333333</v>
      </c>
      <c r="B36" s="48">
        <f>IFERROR(__xludf.DUMMYFUNCTION("""COMPUTED_VALUE"""),2555)</f>
        <v>2555</v>
      </c>
      <c r="C36" s="47">
        <f>IFERROR(__xludf.DUMMYFUNCTION("""COMPUTED_VALUE"""),45793.6458333333)</f>
        <v>45793.6458333333</v>
      </c>
      <c r="D36" s="48">
        <f>IFERROR(__xludf.DUMMYFUNCTION("""COMPUTED_VALUE"""),2529)</f>
        <v>2529</v>
      </c>
      <c r="E36" s="47">
        <f>IFERROR(__xludf.DUMMYFUNCTION("""COMPUTED_VALUE"""),45793.6458333333)</f>
        <v>45793.6458333333</v>
      </c>
      <c r="F36" s="48">
        <f>IFERROR(__xludf.DUMMYFUNCTION("""COMPUTED_VALUE"""),1641135)</f>
        <v>1641135</v>
      </c>
      <c r="G36" s="47">
        <f>IFERROR(__xludf.DUMMYFUNCTION("""COMPUTED_VALUE"""),45793.6458333333)</f>
        <v>45793.6458333333</v>
      </c>
      <c r="H36" s="48">
        <f>IFERROR(__xludf.DUMMYFUNCTION("""COMPUTED_VALUE"""),2584.2)</f>
        <v>2584.2</v>
      </c>
      <c r="I36" s="47">
        <f>IFERROR(__xludf.DUMMYFUNCTION("""COMPUTED_VALUE"""),45793.6458333333)</f>
        <v>45793.6458333333</v>
      </c>
      <c r="J36" s="48">
        <f>IFERROR(__xludf.DUMMYFUNCTION("""COMPUTED_VALUE"""),2516.2)</f>
        <v>2516.2</v>
      </c>
      <c r="K36" s="3">
        <f t="shared" si="2"/>
        <v>2555</v>
      </c>
      <c r="L36" s="3">
        <f t="shared" si="3"/>
        <v>0</v>
      </c>
    </row>
    <row r="37" customHeight="1" spans="1:12">
      <c r="A37" s="47">
        <f>IFERROR(__xludf.DUMMYFUNCTION("""COMPUTED_VALUE"""),45796.6458333333)</f>
        <v>45796.6458333333</v>
      </c>
      <c r="B37" s="48">
        <f>IFERROR(__xludf.DUMMYFUNCTION("""COMPUTED_VALUE"""),2540.6)</f>
        <v>2540.6</v>
      </c>
      <c r="C37" s="47">
        <f>IFERROR(__xludf.DUMMYFUNCTION("""COMPUTED_VALUE"""),45796.6458333333)</f>
        <v>45796.6458333333</v>
      </c>
      <c r="D37" s="48">
        <f>IFERROR(__xludf.DUMMYFUNCTION("""COMPUTED_VALUE"""),2571.3)</f>
        <v>2571.3</v>
      </c>
      <c r="E37" s="47">
        <f>IFERROR(__xludf.DUMMYFUNCTION("""COMPUTED_VALUE"""),45796.6458333333)</f>
        <v>45796.6458333333</v>
      </c>
      <c r="F37" s="48">
        <f>IFERROR(__xludf.DUMMYFUNCTION("""COMPUTED_VALUE"""),681000)</f>
        <v>681000</v>
      </c>
      <c r="G37" s="47">
        <f>IFERROR(__xludf.DUMMYFUNCTION("""COMPUTED_VALUE"""),45796.6458333333)</f>
        <v>45796.6458333333</v>
      </c>
      <c r="H37" s="48">
        <f>IFERROR(__xludf.DUMMYFUNCTION("""COMPUTED_VALUE"""),2578.8)</f>
        <v>2578.8</v>
      </c>
      <c r="I37" s="47">
        <f>IFERROR(__xludf.DUMMYFUNCTION("""COMPUTED_VALUE"""),45796.6458333333)</f>
        <v>45796.6458333333</v>
      </c>
      <c r="J37" s="48">
        <f>IFERROR(__xludf.DUMMYFUNCTION("""COMPUTED_VALUE"""),2536)</f>
        <v>2536</v>
      </c>
      <c r="K37" s="3">
        <f t="shared" si="2"/>
        <v>0</v>
      </c>
      <c r="L37" s="3">
        <f t="shared" si="3"/>
        <v>0</v>
      </c>
    </row>
    <row r="38" customHeight="1" spans="1:12">
      <c r="A38" s="47">
        <f>IFERROR(__xludf.DUMMYFUNCTION("""COMPUTED_VALUE"""),45797.6458333333)</f>
        <v>45797.6458333333</v>
      </c>
      <c r="B38" s="48">
        <f>IFERROR(__xludf.DUMMYFUNCTION("""COMPUTED_VALUE"""),2501.6)</f>
        <v>2501.6</v>
      </c>
      <c r="C38" s="47">
        <f>IFERROR(__xludf.DUMMYFUNCTION("""COMPUTED_VALUE"""),45797.6458333333)</f>
        <v>45797.6458333333</v>
      </c>
      <c r="D38" s="48">
        <f>IFERROR(__xludf.DUMMYFUNCTION("""COMPUTED_VALUE"""),2545)</f>
        <v>2545</v>
      </c>
      <c r="E38" s="47">
        <f>IFERROR(__xludf.DUMMYFUNCTION("""COMPUTED_VALUE"""),45797.6458333333)</f>
        <v>45797.6458333333</v>
      </c>
      <c r="F38" s="48">
        <f>IFERROR(__xludf.DUMMYFUNCTION("""COMPUTED_VALUE"""),628023)</f>
        <v>628023</v>
      </c>
      <c r="G38" s="47">
        <f>IFERROR(__xludf.DUMMYFUNCTION("""COMPUTED_VALUE"""),45797.6458333333)</f>
        <v>45797.6458333333</v>
      </c>
      <c r="H38" s="48">
        <f>IFERROR(__xludf.DUMMYFUNCTION("""COMPUTED_VALUE"""),2564.8)</f>
        <v>2564.8</v>
      </c>
      <c r="I38" s="47">
        <f>IFERROR(__xludf.DUMMYFUNCTION("""COMPUTED_VALUE"""),45797.6458333333)</f>
        <v>45797.6458333333</v>
      </c>
      <c r="J38" s="48">
        <f>IFERROR(__xludf.DUMMYFUNCTION("""COMPUTED_VALUE"""),2492.5)</f>
        <v>2492.5</v>
      </c>
      <c r="K38" s="3">
        <f t="shared" si="2"/>
        <v>0</v>
      </c>
      <c r="L38" s="3">
        <f t="shared" si="3"/>
        <v>0</v>
      </c>
    </row>
    <row r="39" customHeight="1" spans="1:12">
      <c r="A39" s="47">
        <f>IFERROR(__xludf.DUMMYFUNCTION("""COMPUTED_VALUE"""),45798.6458333333)</f>
        <v>45798.6458333333</v>
      </c>
      <c r="B39" s="48">
        <f>IFERROR(__xludf.DUMMYFUNCTION("""COMPUTED_VALUE"""),2500.4)</f>
        <v>2500.4</v>
      </c>
      <c r="C39" s="47">
        <f>IFERROR(__xludf.DUMMYFUNCTION("""COMPUTED_VALUE"""),45798.6458333333)</f>
        <v>45798.6458333333</v>
      </c>
      <c r="D39" s="48">
        <f>IFERROR(__xludf.DUMMYFUNCTION("""COMPUTED_VALUE"""),2509.7)</f>
        <v>2509.7</v>
      </c>
      <c r="E39" s="47">
        <f>IFERROR(__xludf.DUMMYFUNCTION("""COMPUTED_VALUE"""),45798.6458333333)</f>
        <v>45798.6458333333</v>
      </c>
      <c r="F39" s="48">
        <f>IFERROR(__xludf.DUMMYFUNCTION("""COMPUTED_VALUE"""),529234)</f>
        <v>529234</v>
      </c>
      <c r="G39" s="47">
        <f>IFERROR(__xludf.DUMMYFUNCTION("""COMPUTED_VALUE"""),45798.6458333333)</f>
        <v>45798.6458333333</v>
      </c>
      <c r="H39" s="48">
        <f>IFERROR(__xludf.DUMMYFUNCTION("""COMPUTED_VALUE"""),2524.5)</f>
        <v>2524.5</v>
      </c>
      <c r="I39" s="47">
        <f>IFERROR(__xludf.DUMMYFUNCTION("""COMPUTED_VALUE"""),45798.6458333333)</f>
        <v>45798.6458333333</v>
      </c>
      <c r="J39" s="48">
        <f>IFERROR(__xludf.DUMMYFUNCTION("""COMPUTED_VALUE"""),2483.7)</f>
        <v>2483.7</v>
      </c>
      <c r="K39" s="3">
        <f t="shared" si="2"/>
        <v>0</v>
      </c>
      <c r="L39" s="3">
        <f t="shared" si="3"/>
        <v>0</v>
      </c>
    </row>
    <row r="40" customHeight="1" spans="1:12">
      <c r="A40" s="47">
        <f>IFERROR(__xludf.DUMMYFUNCTION("""COMPUTED_VALUE"""),45799.6458333333)</f>
        <v>45799.6458333333</v>
      </c>
      <c r="B40" s="48">
        <f>IFERROR(__xludf.DUMMYFUNCTION("""COMPUTED_VALUE"""),2487.6)</f>
        <v>2487.6</v>
      </c>
      <c r="C40" s="47">
        <f>IFERROR(__xludf.DUMMYFUNCTION("""COMPUTED_VALUE"""),45799.6458333333)</f>
        <v>45799.6458333333</v>
      </c>
      <c r="D40" s="48">
        <f>IFERROR(__xludf.DUMMYFUNCTION("""COMPUTED_VALUE"""),2500.4)</f>
        <v>2500.4</v>
      </c>
      <c r="E40" s="47">
        <f>IFERROR(__xludf.DUMMYFUNCTION("""COMPUTED_VALUE"""),45799.6458333333)</f>
        <v>45799.6458333333</v>
      </c>
      <c r="F40" s="48">
        <f>IFERROR(__xludf.DUMMYFUNCTION("""COMPUTED_VALUE"""),906909)</f>
        <v>906909</v>
      </c>
      <c r="G40" s="47">
        <f>IFERROR(__xludf.DUMMYFUNCTION("""COMPUTED_VALUE"""),45799.6458333333)</f>
        <v>45799.6458333333</v>
      </c>
      <c r="H40" s="48">
        <f>IFERROR(__xludf.DUMMYFUNCTION("""COMPUTED_VALUE"""),2521.9)</f>
        <v>2521.9</v>
      </c>
      <c r="I40" s="47">
        <f>IFERROR(__xludf.DUMMYFUNCTION("""COMPUTED_VALUE"""),45799.6458333333)</f>
        <v>45799.6458333333</v>
      </c>
      <c r="J40" s="48">
        <f>IFERROR(__xludf.DUMMYFUNCTION("""COMPUTED_VALUE"""),2465.3)</f>
        <v>2465.3</v>
      </c>
      <c r="K40" s="3">
        <f t="shared" si="2"/>
        <v>0</v>
      </c>
      <c r="L40" s="3">
        <f t="shared" si="3"/>
        <v>0</v>
      </c>
    </row>
    <row r="41" customHeight="1" spans="1:12">
      <c r="A41" s="47">
        <f>IFERROR(__xludf.DUMMYFUNCTION("""COMPUTED_VALUE"""),45800.6458333333)</f>
        <v>45800.6458333333</v>
      </c>
      <c r="B41" s="48">
        <f>IFERROR(__xludf.DUMMYFUNCTION("""COMPUTED_VALUE"""),2540)</f>
        <v>2540</v>
      </c>
      <c r="C41" s="47">
        <f>IFERROR(__xludf.DUMMYFUNCTION("""COMPUTED_VALUE"""),45800.6458333333)</f>
        <v>45800.6458333333</v>
      </c>
      <c r="D41" s="48">
        <f>IFERROR(__xludf.DUMMYFUNCTION("""COMPUTED_VALUE"""),2499)</f>
        <v>2499</v>
      </c>
      <c r="E41" s="47">
        <f>IFERROR(__xludf.DUMMYFUNCTION("""COMPUTED_VALUE"""),45800.6458333333)</f>
        <v>45800.6458333333</v>
      </c>
      <c r="F41" s="48">
        <f>IFERROR(__xludf.DUMMYFUNCTION("""COMPUTED_VALUE"""),968415)</f>
        <v>968415</v>
      </c>
      <c r="G41" s="47">
        <f>IFERROR(__xludf.DUMMYFUNCTION("""COMPUTED_VALUE"""),45800.6458333333)</f>
        <v>45800.6458333333</v>
      </c>
      <c r="H41" s="48">
        <f>IFERROR(__xludf.DUMMYFUNCTION("""COMPUTED_VALUE"""),2548.1)</f>
        <v>2548.1</v>
      </c>
      <c r="I41" s="47">
        <f>IFERROR(__xludf.DUMMYFUNCTION("""COMPUTED_VALUE"""),45800.6458333333)</f>
        <v>45800.6458333333</v>
      </c>
      <c r="J41" s="48">
        <f>IFERROR(__xludf.DUMMYFUNCTION("""COMPUTED_VALUE"""),2490.5)</f>
        <v>2490.5</v>
      </c>
      <c r="K41" s="3">
        <f t="shared" si="2"/>
        <v>0</v>
      </c>
      <c r="L41" s="3">
        <f t="shared" si="3"/>
        <v>0</v>
      </c>
    </row>
    <row r="42" customHeight="1" spans="1:12">
      <c r="A42" s="47">
        <f>IFERROR(__xludf.DUMMYFUNCTION("""COMPUTED_VALUE"""),45803.6458333333)</f>
        <v>45803.6458333333</v>
      </c>
      <c r="B42" s="48">
        <f>IFERROR(__xludf.DUMMYFUNCTION("""COMPUTED_VALUE"""),2547.7)</f>
        <v>2547.7</v>
      </c>
      <c r="C42" s="47">
        <f>IFERROR(__xludf.DUMMYFUNCTION("""COMPUTED_VALUE"""),45803.6458333333)</f>
        <v>45803.6458333333</v>
      </c>
      <c r="D42" s="48">
        <f>IFERROR(__xludf.DUMMYFUNCTION("""COMPUTED_VALUE"""),2549.1)</f>
        <v>2549.1</v>
      </c>
      <c r="E42" s="47">
        <f>IFERROR(__xludf.DUMMYFUNCTION("""COMPUTED_VALUE"""),45803.6458333333)</f>
        <v>45803.6458333333</v>
      </c>
      <c r="F42" s="48">
        <f>IFERROR(__xludf.DUMMYFUNCTION("""COMPUTED_VALUE"""),552912)</f>
        <v>552912</v>
      </c>
      <c r="G42" s="47">
        <f>IFERROR(__xludf.DUMMYFUNCTION("""COMPUTED_VALUE"""),45803.6458333333)</f>
        <v>45803.6458333333</v>
      </c>
      <c r="H42" s="48">
        <f>IFERROR(__xludf.DUMMYFUNCTION("""COMPUTED_VALUE"""),2568.9)</f>
        <v>2568.9</v>
      </c>
      <c r="I42" s="47">
        <f>IFERROR(__xludf.DUMMYFUNCTION("""COMPUTED_VALUE"""),45803.6458333333)</f>
        <v>45803.6458333333</v>
      </c>
      <c r="J42" s="48">
        <f>IFERROR(__xludf.DUMMYFUNCTION("""COMPUTED_VALUE"""),2541.3)</f>
        <v>2541.3</v>
      </c>
      <c r="K42" s="3">
        <f t="shared" si="2"/>
        <v>0</v>
      </c>
      <c r="L42" s="3">
        <f t="shared" si="3"/>
        <v>0</v>
      </c>
    </row>
    <row r="43" customHeight="1" spans="1:12">
      <c r="A43" s="47">
        <f>IFERROR(__xludf.DUMMYFUNCTION("""COMPUTED_VALUE"""),45804.6458333333)</f>
        <v>45804.6458333333</v>
      </c>
      <c r="B43" s="48">
        <f>IFERROR(__xludf.DUMMYFUNCTION("""COMPUTED_VALUE"""),2540.3)</f>
        <v>2540.3</v>
      </c>
      <c r="C43" s="47">
        <f>IFERROR(__xludf.DUMMYFUNCTION("""COMPUTED_VALUE"""),45804.6458333333)</f>
        <v>45804.6458333333</v>
      </c>
      <c r="D43" s="48">
        <f>IFERROR(__xludf.DUMMYFUNCTION("""COMPUTED_VALUE"""),2545.9)</f>
        <v>2545.9</v>
      </c>
      <c r="E43" s="47">
        <f>IFERROR(__xludf.DUMMYFUNCTION("""COMPUTED_VALUE"""),45804.6458333333)</f>
        <v>45804.6458333333</v>
      </c>
      <c r="F43" s="48">
        <f>IFERROR(__xludf.DUMMYFUNCTION("""COMPUTED_VALUE"""),514936)</f>
        <v>514936</v>
      </c>
      <c r="G43" s="47">
        <f>IFERROR(__xludf.DUMMYFUNCTION("""COMPUTED_VALUE"""),45804.6458333333)</f>
        <v>45804.6458333333</v>
      </c>
      <c r="H43" s="48">
        <f>IFERROR(__xludf.DUMMYFUNCTION("""COMPUTED_VALUE"""),2569.1)</f>
        <v>2569.1</v>
      </c>
      <c r="I43" s="47">
        <f>IFERROR(__xludf.DUMMYFUNCTION("""COMPUTED_VALUE"""),45804.6458333333)</f>
        <v>45804.6458333333</v>
      </c>
      <c r="J43" s="48">
        <f>IFERROR(__xludf.DUMMYFUNCTION("""COMPUTED_VALUE"""),2526.1)</f>
        <v>2526.1</v>
      </c>
      <c r="K43" s="3">
        <f t="shared" si="2"/>
        <v>0</v>
      </c>
      <c r="L43" s="3">
        <f t="shared" si="3"/>
        <v>0</v>
      </c>
    </row>
    <row r="44" customHeight="1" spans="1:12">
      <c r="A44" s="47">
        <f>IFERROR(__xludf.DUMMYFUNCTION("""COMPUTED_VALUE"""),45805.6458333333)</f>
        <v>45805.6458333333</v>
      </c>
      <c r="B44" s="48">
        <f>IFERROR(__xludf.DUMMYFUNCTION("""COMPUTED_VALUE"""),2515)</f>
        <v>2515</v>
      </c>
      <c r="C44" s="47">
        <f>IFERROR(__xludf.DUMMYFUNCTION("""COMPUTED_VALUE"""),45805.6458333333)</f>
        <v>45805.6458333333</v>
      </c>
      <c r="D44" s="48">
        <f>IFERROR(__xludf.DUMMYFUNCTION("""COMPUTED_VALUE"""),2559)</f>
        <v>2559</v>
      </c>
      <c r="E44" s="47">
        <f>IFERROR(__xludf.DUMMYFUNCTION("""COMPUTED_VALUE"""),45805.6458333333)</f>
        <v>45805.6458333333</v>
      </c>
      <c r="F44" s="48">
        <f>IFERROR(__xludf.DUMMYFUNCTION("""COMPUTED_VALUE"""),575989)</f>
        <v>575989</v>
      </c>
      <c r="G44" s="47">
        <f>IFERROR(__xludf.DUMMYFUNCTION("""COMPUTED_VALUE"""),45805.6458333333)</f>
        <v>45805.6458333333</v>
      </c>
      <c r="H44" s="48">
        <f>IFERROR(__xludf.DUMMYFUNCTION("""COMPUTED_VALUE"""),2559)</f>
        <v>2559</v>
      </c>
      <c r="I44" s="47">
        <f>IFERROR(__xludf.DUMMYFUNCTION("""COMPUTED_VALUE"""),45805.6458333333)</f>
        <v>45805.6458333333</v>
      </c>
      <c r="J44" s="48">
        <f>IFERROR(__xludf.DUMMYFUNCTION("""COMPUTED_VALUE"""),2510)</f>
        <v>2510</v>
      </c>
      <c r="K44" s="3">
        <f t="shared" si="2"/>
        <v>0</v>
      </c>
      <c r="L44" s="3">
        <f t="shared" si="3"/>
        <v>0</v>
      </c>
    </row>
    <row r="45" customHeight="1" spans="1:12">
      <c r="A45" s="47">
        <f>IFERROR(__xludf.DUMMYFUNCTION("""COMPUTED_VALUE"""),45806.6458333333)</f>
        <v>45806.6458333333</v>
      </c>
      <c r="B45" s="48">
        <f>IFERROR(__xludf.DUMMYFUNCTION("""COMPUTED_VALUE"""),2540.8)</f>
        <v>2540.8</v>
      </c>
      <c r="C45" s="47">
        <f>IFERROR(__xludf.DUMMYFUNCTION("""COMPUTED_VALUE"""),45806.6458333333)</f>
        <v>45806.6458333333</v>
      </c>
      <c r="D45" s="48">
        <f>IFERROR(__xludf.DUMMYFUNCTION("""COMPUTED_VALUE"""),2536.7)</f>
        <v>2536.7</v>
      </c>
      <c r="E45" s="47">
        <f>IFERROR(__xludf.DUMMYFUNCTION("""COMPUTED_VALUE"""),45806.6458333333)</f>
        <v>45806.6458333333</v>
      </c>
      <c r="F45" s="48">
        <f>IFERROR(__xludf.DUMMYFUNCTION("""COMPUTED_VALUE"""),802317)</f>
        <v>802317</v>
      </c>
      <c r="G45" s="47">
        <f>IFERROR(__xludf.DUMMYFUNCTION("""COMPUTED_VALUE"""),45806.6458333333)</f>
        <v>45806.6458333333</v>
      </c>
      <c r="H45" s="48">
        <f>IFERROR(__xludf.DUMMYFUNCTION("""COMPUTED_VALUE"""),2559)</f>
        <v>2559</v>
      </c>
      <c r="I45" s="47">
        <f>IFERROR(__xludf.DUMMYFUNCTION("""COMPUTED_VALUE"""),45806.6458333333)</f>
        <v>45806.6458333333</v>
      </c>
      <c r="J45" s="48">
        <f>IFERROR(__xludf.DUMMYFUNCTION("""COMPUTED_VALUE"""),2511)</f>
        <v>2511</v>
      </c>
      <c r="K45" s="3">
        <f t="shared" si="2"/>
        <v>0</v>
      </c>
      <c r="L45" s="3">
        <f t="shared" si="3"/>
        <v>0</v>
      </c>
    </row>
    <row r="46" customHeight="1" spans="1:12">
      <c r="A46" s="47">
        <f>IFERROR(__xludf.DUMMYFUNCTION("""COMPUTED_VALUE"""),45807.6458333333)</f>
        <v>45807.6458333333</v>
      </c>
      <c r="B46" s="48">
        <f>IFERROR(__xludf.DUMMYFUNCTION("""COMPUTED_VALUE"""),2519.9)</f>
        <v>2519.9</v>
      </c>
      <c r="C46" s="47">
        <f>IFERROR(__xludf.DUMMYFUNCTION("""COMPUTED_VALUE"""),45807.6458333333)</f>
        <v>45807.6458333333</v>
      </c>
      <c r="D46" s="48">
        <f>IFERROR(__xludf.DUMMYFUNCTION("""COMPUTED_VALUE"""),2550)</f>
        <v>2550</v>
      </c>
      <c r="E46" s="47">
        <f>IFERROR(__xludf.DUMMYFUNCTION("""COMPUTED_VALUE"""),45807.6458333333)</f>
        <v>45807.6458333333</v>
      </c>
      <c r="F46" s="48">
        <f>IFERROR(__xludf.DUMMYFUNCTION("""COMPUTED_VALUE"""),684592)</f>
        <v>684592</v>
      </c>
      <c r="G46" s="47">
        <f>IFERROR(__xludf.DUMMYFUNCTION("""COMPUTED_VALUE"""),45807.6458333333)</f>
        <v>45807.6458333333</v>
      </c>
      <c r="H46" s="48">
        <f>IFERROR(__xludf.DUMMYFUNCTION("""COMPUTED_VALUE"""),2564)</f>
        <v>2564</v>
      </c>
      <c r="I46" s="47">
        <f>IFERROR(__xludf.DUMMYFUNCTION("""COMPUTED_VALUE"""),45807.6458333333)</f>
        <v>45807.6458333333</v>
      </c>
      <c r="J46" s="48">
        <f>IFERROR(__xludf.DUMMYFUNCTION("""COMPUTED_VALUE"""),2513.8)</f>
        <v>2513.8</v>
      </c>
      <c r="K46" s="3">
        <f t="shared" si="2"/>
        <v>0</v>
      </c>
      <c r="L46" s="3">
        <f t="shared" si="3"/>
        <v>0</v>
      </c>
    </row>
    <row r="47" customHeight="1" spans="1:12">
      <c r="A47" s="47">
        <f>IFERROR(__xludf.DUMMYFUNCTION("""COMPUTED_VALUE"""),45810.6458333333)</f>
        <v>45810.6458333333</v>
      </c>
      <c r="B47" s="48">
        <f>IFERROR(__xludf.DUMMYFUNCTION("""COMPUTED_VALUE"""),2518.8)</f>
        <v>2518.8</v>
      </c>
      <c r="C47" s="47">
        <f>IFERROR(__xludf.DUMMYFUNCTION("""COMPUTED_VALUE"""),45810.6458333333)</f>
        <v>45810.6458333333</v>
      </c>
      <c r="D47" s="48">
        <f>IFERROR(__xludf.DUMMYFUNCTION("""COMPUTED_VALUE"""),2527)</f>
        <v>2527</v>
      </c>
      <c r="E47" s="47">
        <f>IFERROR(__xludf.DUMMYFUNCTION("""COMPUTED_VALUE"""),45810.6458333333)</f>
        <v>45810.6458333333</v>
      </c>
      <c r="F47" s="48">
        <f>IFERROR(__xludf.DUMMYFUNCTION("""COMPUTED_VALUE"""),1008716)</f>
        <v>1008716</v>
      </c>
      <c r="G47" s="47">
        <f>IFERROR(__xludf.DUMMYFUNCTION("""COMPUTED_VALUE"""),45810.6458333333)</f>
        <v>45810.6458333333</v>
      </c>
      <c r="H47" s="48">
        <f>IFERROR(__xludf.DUMMYFUNCTION("""COMPUTED_VALUE"""),2564)</f>
        <v>2564</v>
      </c>
      <c r="I47" s="47">
        <f>IFERROR(__xludf.DUMMYFUNCTION("""COMPUTED_VALUE"""),45810.6458333333)</f>
        <v>45810.6458333333</v>
      </c>
      <c r="J47" s="48">
        <f>IFERROR(__xludf.DUMMYFUNCTION("""COMPUTED_VALUE"""),2514.9)</f>
        <v>2514.9</v>
      </c>
      <c r="K47" s="3">
        <f t="shared" si="2"/>
        <v>0</v>
      </c>
      <c r="L47" s="3">
        <f t="shared" si="3"/>
        <v>0</v>
      </c>
    </row>
    <row r="48" customHeight="1" spans="1:12">
      <c r="A48" s="47">
        <f>IFERROR(__xludf.DUMMYFUNCTION("""COMPUTED_VALUE"""),45811.6458333333)</f>
        <v>45811.6458333333</v>
      </c>
      <c r="B48" s="48">
        <f>IFERROR(__xludf.DUMMYFUNCTION("""COMPUTED_VALUE"""),2470.9)</f>
        <v>2470.9</v>
      </c>
      <c r="C48" s="47">
        <f>IFERROR(__xludf.DUMMYFUNCTION("""COMPUTED_VALUE"""),45811.6458333333)</f>
        <v>45811.6458333333</v>
      </c>
      <c r="D48" s="48">
        <f>IFERROR(__xludf.DUMMYFUNCTION("""COMPUTED_VALUE"""),2511)</f>
        <v>2511</v>
      </c>
      <c r="E48" s="47">
        <f>IFERROR(__xludf.DUMMYFUNCTION("""COMPUTED_VALUE"""),45811.6458333333)</f>
        <v>45811.6458333333</v>
      </c>
      <c r="F48" s="48">
        <f>IFERROR(__xludf.DUMMYFUNCTION("""COMPUTED_VALUE"""),962708)</f>
        <v>962708</v>
      </c>
      <c r="G48" s="47">
        <f>IFERROR(__xludf.DUMMYFUNCTION("""COMPUTED_VALUE"""),45811.6458333333)</f>
        <v>45811.6458333333</v>
      </c>
      <c r="H48" s="48">
        <f>IFERROR(__xludf.DUMMYFUNCTION("""COMPUTED_VALUE"""),2512.5)</f>
        <v>2512.5</v>
      </c>
      <c r="I48" s="47">
        <f>IFERROR(__xludf.DUMMYFUNCTION("""COMPUTED_VALUE"""),45811.6458333333)</f>
        <v>45811.6458333333</v>
      </c>
      <c r="J48" s="48">
        <f>IFERROR(__xludf.DUMMYFUNCTION("""COMPUTED_VALUE"""),2452)</f>
        <v>2452</v>
      </c>
      <c r="K48" s="3">
        <f t="shared" si="2"/>
        <v>0</v>
      </c>
      <c r="L48" s="3">
        <f t="shared" si="3"/>
        <v>2470.9</v>
      </c>
    </row>
    <row r="49" customHeight="1" spans="1:12">
      <c r="A49" s="47">
        <f>IFERROR(__xludf.DUMMYFUNCTION("""COMPUTED_VALUE"""),45812.6458333333)</f>
        <v>45812.6458333333</v>
      </c>
      <c r="B49" s="48">
        <f>IFERROR(__xludf.DUMMYFUNCTION("""COMPUTED_VALUE"""),2489.4)</f>
        <v>2489.4</v>
      </c>
      <c r="C49" s="47">
        <f>IFERROR(__xludf.DUMMYFUNCTION("""COMPUTED_VALUE"""),45812.6458333333)</f>
        <v>45812.6458333333</v>
      </c>
      <c r="D49" s="48">
        <f>IFERROR(__xludf.DUMMYFUNCTION("""COMPUTED_VALUE"""),2480)</f>
        <v>2480</v>
      </c>
      <c r="E49" s="47">
        <f>IFERROR(__xludf.DUMMYFUNCTION("""COMPUTED_VALUE"""),45812.6458333333)</f>
        <v>45812.6458333333</v>
      </c>
      <c r="F49" s="48">
        <f>IFERROR(__xludf.DUMMYFUNCTION("""COMPUTED_VALUE"""),552667)</f>
        <v>552667</v>
      </c>
      <c r="G49" s="47">
        <f>IFERROR(__xludf.DUMMYFUNCTION("""COMPUTED_VALUE"""),45812.6458333333)</f>
        <v>45812.6458333333</v>
      </c>
      <c r="H49" s="48">
        <f>IFERROR(__xludf.DUMMYFUNCTION("""COMPUTED_VALUE"""),2503)</f>
        <v>2503</v>
      </c>
      <c r="I49" s="47">
        <f>IFERROR(__xludf.DUMMYFUNCTION("""COMPUTED_VALUE"""),45812.6458333333)</f>
        <v>45812.6458333333</v>
      </c>
      <c r="J49" s="48">
        <f>IFERROR(__xludf.DUMMYFUNCTION("""COMPUTED_VALUE"""),2441.1)</f>
        <v>2441.1</v>
      </c>
      <c r="K49" s="3">
        <f t="shared" si="2"/>
        <v>0</v>
      </c>
      <c r="L49" s="3">
        <f t="shared" si="3"/>
        <v>0</v>
      </c>
    </row>
    <row r="50" customHeight="1" spans="1:12">
      <c r="A50" s="47">
        <f>IFERROR(__xludf.DUMMYFUNCTION("""COMPUTED_VALUE"""),45813.6458333333)</f>
        <v>45813.6458333333</v>
      </c>
      <c r="B50" s="48">
        <f>IFERROR(__xludf.DUMMYFUNCTION("""COMPUTED_VALUE"""),2504.4)</f>
        <v>2504.4</v>
      </c>
      <c r="C50" s="47">
        <f>IFERROR(__xludf.DUMMYFUNCTION("""COMPUTED_VALUE"""),45813.6458333333)</f>
        <v>45813.6458333333</v>
      </c>
      <c r="D50" s="48">
        <f>IFERROR(__xludf.DUMMYFUNCTION("""COMPUTED_VALUE"""),2495)</f>
        <v>2495</v>
      </c>
      <c r="E50" s="47">
        <f>IFERROR(__xludf.DUMMYFUNCTION("""COMPUTED_VALUE"""),45813.6458333333)</f>
        <v>45813.6458333333</v>
      </c>
      <c r="F50" s="48">
        <f>IFERROR(__xludf.DUMMYFUNCTION("""COMPUTED_VALUE"""),673209)</f>
        <v>673209</v>
      </c>
      <c r="G50" s="47">
        <f>IFERROR(__xludf.DUMMYFUNCTION("""COMPUTED_VALUE"""),45813.6458333333)</f>
        <v>45813.6458333333</v>
      </c>
      <c r="H50" s="48">
        <f>IFERROR(__xludf.DUMMYFUNCTION("""COMPUTED_VALUE"""),2530.1)</f>
        <v>2530.1</v>
      </c>
      <c r="I50" s="47">
        <f>IFERROR(__xludf.DUMMYFUNCTION("""COMPUTED_VALUE"""),45813.6458333333)</f>
        <v>45813.6458333333</v>
      </c>
      <c r="J50" s="48">
        <f>IFERROR(__xludf.DUMMYFUNCTION("""COMPUTED_VALUE"""),2487.5)</f>
        <v>2487.5</v>
      </c>
      <c r="K50" s="3">
        <f t="shared" si="2"/>
        <v>0</v>
      </c>
      <c r="L50" s="3">
        <f t="shared" si="3"/>
        <v>0</v>
      </c>
    </row>
    <row r="51" customHeight="1" spans="1:12">
      <c r="A51" s="47">
        <f>IFERROR(__xludf.DUMMYFUNCTION("""COMPUTED_VALUE"""),45814.6458333333)</f>
        <v>45814.6458333333</v>
      </c>
      <c r="B51" s="48">
        <f>IFERROR(__xludf.DUMMYFUNCTION("""COMPUTED_VALUE"""),2534.2)</f>
        <v>2534.2</v>
      </c>
      <c r="C51" s="47">
        <f>IFERROR(__xludf.DUMMYFUNCTION("""COMPUTED_VALUE"""),45814.6458333333)</f>
        <v>45814.6458333333</v>
      </c>
      <c r="D51" s="48">
        <f>IFERROR(__xludf.DUMMYFUNCTION("""COMPUTED_VALUE"""),2514.9)</f>
        <v>2514.9</v>
      </c>
      <c r="E51" s="47">
        <f>IFERROR(__xludf.DUMMYFUNCTION("""COMPUTED_VALUE"""),45814.6458333333)</f>
        <v>45814.6458333333</v>
      </c>
      <c r="F51" s="48">
        <f>IFERROR(__xludf.DUMMYFUNCTION("""COMPUTED_VALUE"""),640680)</f>
        <v>640680</v>
      </c>
      <c r="G51" s="47">
        <f>IFERROR(__xludf.DUMMYFUNCTION("""COMPUTED_VALUE"""),45814.6458333333)</f>
        <v>45814.6458333333</v>
      </c>
      <c r="H51" s="48">
        <f>IFERROR(__xludf.DUMMYFUNCTION("""COMPUTED_VALUE"""),2553.3)</f>
        <v>2553.3</v>
      </c>
      <c r="I51" s="47">
        <f>IFERROR(__xludf.DUMMYFUNCTION("""COMPUTED_VALUE"""),45814.6458333333)</f>
        <v>45814.6458333333</v>
      </c>
      <c r="J51" s="48">
        <f>IFERROR(__xludf.DUMMYFUNCTION("""COMPUTED_VALUE"""),2504)</f>
        <v>2504</v>
      </c>
      <c r="K51" s="3">
        <f t="shared" si="2"/>
        <v>0</v>
      </c>
      <c r="L51" s="3">
        <f t="shared" si="3"/>
        <v>0</v>
      </c>
    </row>
    <row r="52" customHeight="1" spans="1:12">
      <c r="A52" s="47">
        <f>IFERROR(__xludf.DUMMYFUNCTION("""COMPUTED_VALUE"""),45817.6458333333)</f>
        <v>45817.6458333333</v>
      </c>
      <c r="B52" s="48">
        <f>IFERROR(__xludf.DUMMYFUNCTION("""COMPUTED_VALUE"""),2582.1)</f>
        <v>2582.1</v>
      </c>
      <c r="C52" s="47">
        <f>IFERROR(__xludf.DUMMYFUNCTION("""COMPUTED_VALUE"""),45817.6458333333)</f>
        <v>45817.6458333333</v>
      </c>
      <c r="D52" s="48">
        <f>IFERROR(__xludf.DUMMYFUNCTION("""COMPUTED_VALUE"""),2545)</f>
        <v>2545</v>
      </c>
      <c r="E52" s="47">
        <f>IFERROR(__xludf.DUMMYFUNCTION("""COMPUTED_VALUE"""),45817.6458333333)</f>
        <v>45817.6458333333</v>
      </c>
      <c r="F52" s="48">
        <f>IFERROR(__xludf.DUMMYFUNCTION("""COMPUTED_VALUE"""),1711167)</f>
        <v>1711167</v>
      </c>
      <c r="G52" s="47">
        <f>IFERROR(__xludf.DUMMYFUNCTION("""COMPUTED_VALUE"""),45817.6458333333)</f>
        <v>45817.6458333333</v>
      </c>
      <c r="H52" s="48">
        <f>IFERROR(__xludf.DUMMYFUNCTION("""COMPUTED_VALUE"""),2604.1)</f>
        <v>2604.1</v>
      </c>
      <c r="I52" s="47">
        <f>IFERROR(__xludf.DUMMYFUNCTION("""COMPUTED_VALUE"""),45817.6458333333)</f>
        <v>45817.6458333333</v>
      </c>
      <c r="J52" s="48">
        <f>IFERROR(__xludf.DUMMYFUNCTION("""COMPUTED_VALUE"""),2524.5)</f>
        <v>2524.5</v>
      </c>
      <c r="K52" s="3">
        <f t="shared" si="2"/>
        <v>0</v>
      </c>
      <c r="L52" s="3">
        <f t="shared" si="3"/>
        <v>0</v>
      </c>
    </row>
    <row r="53" customHeight="1" spans="1:12">
      <c r="A53" s="47">
        <f>IFERROR(__xludf.DUMMYFUNCTION("""COMPUTED_VALUE"""),45818.6458333333)</f>
        <v>45818.6458333333</v>
      </c>
      <c r="B53" s="48">
        <f>IFERROR(__xludf.DUMMYFUNCTION("""COMPUTED_VALUE"""),2613.1)</f>
        <v>2613.1</v>
      </c>
      <c r="C53" s="47">
        <f>IFERROR(__xludf.DUMMYFUNCTION("""COMPUTED_VALUE"""),45818.6458333333)</f>
        <v>45818.6458333333</v>
      </c>
      <c r="D53" s="48">
        <f>IFERROR(__xludf.DUMMYFUNCTION("""COMPUTED_VALUE"""),2600)</f>
        <v>2600</v>
      </c>
      <c r="E53" s="47">
        <f>IFERROR(__xludf.DUMMYFUNCTION("""COMPUTED_VALUE"""),45818.6458333333)</f>
        <v>45818.6458333333</v>
      </c>
      <c r="F53" s="48">
        <f>IFERROR(__xludf.DUMMYFUNCTION("""COMPUTED_VALUE"""),2084054)</f>
        <v>2084054</v>
      </c>
      <c r="G53" s="47">
        <f>IFERROR(__xludf.DUMMYFUNCTION("""COMPUTED_VALUE"""),45818.6458333333)</f>
        <v>45818.6458333333</v>
      </c>
      <c r="H53" s="48">
        <f>IFERROR(__xludf.DUMMYFUNCTION("""COMPUTED_VALUE"""),2663.2)</f>
        <v>2663.2</v>
      </c>
      <c r="I53" s="47">
        <f>IFERROR(__xludf.DUMMYFUNCTION("""COMPUTED_VALUE"""),45818.6458333333)</f>
        <v>45818.6458333333</v>
      </c>
      <c r="J53" s="48">
        <f>IFERROR(__xludf.DUMMYFUNCTION("""COMPUTED_VALUE"""),2577.7)</f>
        <v>2577.7</v>
      </c>
      <c r="K53" s="3">
        <f t="shared" si="2"/>
        <v>2613.1</v>
      </c>
      <c r="L53" s="3">
        <f t="shared" si="3"/>
        <v>0</v>
      </c>
    </row>
    <row r="54" customHeight="1" spans="1:12">
      <c r="A54" s="47">
        <f>IFERROR(__xludf.DUMMYFUNCTION("""COMPUTED_VALUE"""),45819.6458333333)</f>
        <v>45819.6458333333</v>
      </c>
      <c r="B54" s="48">
        <f>IFERROR(__xludf.DUMMYFUNCTION("""COMPUTED_VALUE"""),2581.2)</f>
        <v>2581.2</v>
      </c>
      <c r="C54" s="47">
        <f>IFERROR(__xludf.DUMMYFUNCTION("""COMPUTED_VALUE"""),45819.6458333333)</f>
        <v>45819.6458333333</v>
      </c>
      <c r="D54" s="48">
        <f>IFERROR(__xludf.DUMMYFUNCTION("""COMPUTED_VALUE"""),2630)</f>
        <v>2630</v>
      </c>
      <c r="E54" s="47">
        <f>IFERROR(__xludf.DUMMYFUNCTION("""COMPUTED_VALUE"""),45819.6458333333)</f>
        <v>45819.6458333333</v>
      </c>
      <c r="F54" s="48">
        <f>IFERROR(__xludf.DUMMYFUNCTION("""COMPUTED_VALUE"""),745432)</f>
        <v>745432</v>
      </c>
      <c r="G54" s="47">
        <f>IFERROR(__xludf.DUMMYFUNCTION("""COMPUTED_VALUE"""),45819.6458333333)</f>
        <v>45819.6458333333</v>
      </c>
      <c r="H54" s="48">
        <f>IFERROR(__xludf.DUMMYFUNCTION("""COMPUTED_VALUE"""),2630.9)</f>
        <v>2630.9</v>
      </c>
      <c r="I54" s="47">
        <f>IFERROR(__xludf.DUMMYFUNCTION("""COMPUTED_VALUE"""),45819.6458333333)</f>
        <v>45819.6458333333</v>
      </c>
      <c r="J54" s="48">
        <f>IFERROR(__xludf.DUMMYFUNCTION("""COMPUTED_VALUE"""),2563.1)</f>
        <v>2563.1</v>
      </c>
      <c r="K54" s="3">
        <f t="shared" si="2"/>
        <v>0</v>
      </c>
      <c r="L54" s="3">
        <f t="shared" si="3"/>
        <v>0</v>
      </c>
    </row>
    <row r="55" customHeight="1" spans="1:12">
      <c r="A55" s="47">
        <f>IFERROR(__xludf.DUMMYFUNCTION("""COMPUTED_VALUE"""),45820.6458333333)</f>
        <v>45820.6458333333</v>
      </c>
      <c r="B55" s="48">
        <f>IFERROR(__xludf.DUMMYFUNCTION("""COMPUTED_VALUE"""),2543.7)</f>
        <v>2543.7</v>
      </c>
      <c r="C55" s="47">
        <f>IFERROR(__xludf.DUMMYFUNCTION("""COMPUTED_VALUE"""),45820.6458333333)</f>
        <v>45820.6458333333</v>
      </c>
      <c r="D55" s="48">
        <f>IFERROR(__xludf.DUMMYFUNCTION("""COMPUTED_VALUE"""),2591.5)</f>
        <v>2591.5</v>
      </c>
      <c r="E55" s="47">
        <f>IFERROR(__xludf.DUMMYFUNCTION("""COMPUTED_VALUE"""),45820.6458333333)</f>
        <v>45820.6458333333</v>
      </c>
      <c r="F55" s="48">
        <f>IFERROR(__xludf.DUMMYFUNCTION("""COMPUTED_VALUE"""),955097)</f>
        <v>955097</v>
      </c>
      <c r="G55" s="47">
        <f>IFERROR(__xludf.DUMMYFUNCTION("""COMPUTED_VALUE"""),45820.6458333333)</f>
        <v>45820.6458333333</v>
      </c>
      <c r="H55" s="48">
        <f>IFERROR(__xludf.DUMMYFUNCTION("""COMPUTED_VALUE"""),2601.8)</f>
        <v>2601.8</v>
      </c>
      <c r="I55" s="47">
        <f>IFERROR(__xludf.DUMMYFUNCTION("""COMPUTED_VALUE"""),45820.6458333333)</f>
        <v>45820.6458333333</v>
      </c>
      <c r="J55" s="48">
        <f>IFERROR(__xludf.DUMMYFUNCTION("""COMPUTED_VALUE"""),2530)</f>
        <v>2530</v>
      </c>
      <c r="K55" s="3">
        <f t="shared" si="2"/>
        <v>0</v>
      </c>
      <c r="L55" s="3">
        <f t="shared" si="3"/>
        <v>0</v>
      </c>
    </row>
    <row r="56" customHeight="1" spans="1:12">
      <c r="A56" s="47">
        <f>IFERROR(__xludf.DUMMYFUNCTION("""COMPUTED_VALUE"""),45821.6458333333)</f>
        <v>45821.6458333333</v>
      </c>
      <c r="B56" s="48">
        <f>IFERROR(__xludf.DUMMYFUNCTION("""COMPUTED_VALUE"""),2507.9)</f>
        <v>2507.9</v>
      </c>
      <c r="C56" s="47">
        <f>IFERROR(__xludf.DUMMYFUNCTION("""COMPUTED_VALUE"""),45821.6458333333)</f>
        <v>45821.6458333333</v>
      </c>
      <c r="D56" s="48">
        <f>IFERROR(__xludf.DUMMYFUNCTION("""COMPUTED_VALUE"""),2498)</f>
        <v>2498</v>
      </c>
      <c r="E56" s="47">
        <f>IFERROR(__xludf.DUMMYFUNCTION("""COMPUTED_VALUE"""),45821.6458333333)</f>
        <v>45821.6458333333</v>
      </c>
      <c r="F56" s="48">
        <f>IFERROR(__xludf.DUMMYFUNCTION("""COMPUTED_VALUE"""),695869)</f>
        <v>695869</v>
      </c>
      <c r="G56" s="47">
        <f>IFERROR(__xludf.DUMMYFUNCTION("""COMPUTED_VALUE"""),45821.6458333333)</f>
        <v>45821.6458333333</v>
      </c>
      <c r="H56" s="48">
        <f>IFERROR(__xludf.DUMMYFUNCTION("""COMPUTED_VALUE"""),2516)</f>
        <v>2516</v>
      </c>
      <c r="I56" s="47">
        <f>IFERROR(__xludf.DUMMYFUNCTION("""COMPUTED_VALUE"""),45821.6458333333)</f>
        <v>45821.6458333333</v>
      </c>
      <c r="J56" s="48">
        <f>IFERROR(__xludf.DUMMYFUNCTION("""COMPUTED_VALUE"""),2460)</f>
        <v>2460</v>
      </c>
      <c r="K56" s="3">
        <f t="shared" si="2"/>
        <v>0</v>
      </c>
      <c r="L56" s="3">
        <f t="shared" si="3"/>
        <v>0</v>
      </c>
    </row>
    <row r="57" customHeight="1" spans="1:12">
      <c r="A57" s="47">
        <f>IFERROR(__xludf.DUMMYFUNCTION("""COMPUTED_VALUE"""),45824.6458333333)</f>
        <v>45824.6458333333</v>
      </c>
      <c r="B57" s="48">
        <f>IFERROR(__xludf.DUMMYFUNCTION("""COMPUTED_VALUE"""),2544)</f>
        <v>2544</v>
      </c>
      <c r="C57" s="47">
        <f>IFERROR(__xludf.DUMMYFUNCTION("""COMPUTED_VALUE"""),45824.6458333333)</f>
        <v>45824.6458333333</v>
      </c>
      <c r="D57" s="48">
        <f>IFERROR(__xludf.DUMMYFUNCTION("""COMPUTED_VALUE"""),2500)</f>
        <v>2500</v>
      </c>
      <c r="E57" s="47">
        <f>IFERROR(__xludf.DUMMYFUNCTION("""COMPUTED_VALUE"""),45824.6458333333)</f>
        <v>45824.6458333333</v>
      </c>
      <c r="F57" s="48">
        <f>IFERROR(__xludf.DUMMYFUNCTION("""COMPUTED_VALUE"""),956459)</f>
        <v>956459</v>
      </c>
      <c r="G57" s="47">
        <f>IFERROR(__xludf.DUMMYFUNCTION("""COMPUTED_VALUE"""),45824.6458333333)</f>
        <v>45824.6458333333</v>
      </c>
      <c r="H57" s="48">
        <f>IFERROR(__xludf.DUMMYFUNCTION("""COMPUTED_VALUE"""),2563.3)</f>
        <v>2563.3</v>
      </c>
      <c r="I57" s="47">
        <f>IFERROR(__xludf.DUMMYFUNCTION("""COMPUTED_VALUE"""),45824.6458333333)</f>
        <v>45824.6458333333</v>
      </c>
      <c r="J57" s="48">
        <f>IFERROR(__xludf.DUMMYFUNCTION("""COMPUTED_VALUE"""),2462)</f>
        <v>2462</v>
      </c>
      <c r="K57" s="3">
        <f t="shared" si="2"/>
        <v>0</v>
      </c>
      <c r="L57" s="3">
        <f t="shared" si="3"/>
        <v>0</v>
      </c>
    </row>
    <row r="58" customHeight="1" spans="1:12">
      <c r="A58" s="47">
        <f>IFERROR(__xludf.DUMMYFUNCTION("""COMPUTED_VALUE"""),45825.6458333333)</f>
        <v>45825.6458333333</v>
      </c>
      <c r="B58" s="48">
        <f>IFERROR(__xludf.DUMMYFUNCTION("""COMPUTED_VALUE"""),2488.5)</f>
        <v>2488.5</v>
      </c>
      <c r="C58" s="47">
        <f>IFERROR(__xludf.DUMMYFUNCTION("""COMPUTED_VALUE"""),45825.6458333333)</f>
        <v>45825.6458333333</v>
      </c>
      <c r="D58" s="48">
        <f>IFERROR(__xludf.DUMMYFUNCTION("""COMPUTED_VALUE"""),2535)</f>
        <v>2535</v>
      </c>
      <c r="E58" s="47">
        <f>IFERROR(__xludf.DUMMYFUNCTION("""COMPUTED_VALUE"""),45825.6458333333)</f>
        <v>45825.6458333333</v>
      </c>
      <c r="F58" s="48">
        <f>IFERROR(__xludf.DUMMYFUNCTION("""COMPUTED_VALUE"""),703343)</f>
        <v>703343</v>
      </c>
      <c r="G58" s="47">
        <f>IFERROR(__xludf.DUMMYFUNCTION("""COMPUTED_VALUE"""),45825.6458333333)</f>
        <v>45825.6458333333</v>
      </c>
      <c r="H58" s="48">
        <f>IFERROR(__xludf.DUMMYFUNCTION("""COMPUTED_VALUE"""),2539.6)</f>
        <v>2539.6</v>
      </c>
      <c r="I58" s="47">
        <f>IFERROR(__xludf.DUMMYFUNCTION("""COMPUTED_VALUE"""),45825.6458333333)</f>
        <v>45825.6458333333</v>
      </c>
      <c r="J58" s="48">
        <f>IFERROR(__xludf.DUMMYFUNCTION("""COMPUTED_VALUE"""),2479)</f>
        <v>2479</v>
      </c>
      <c r="K58" s="3">
        <f t="shared" si="2"/>
        <v>0</v>
      </c>
      <c r="L58" s="3">
        <f t="shared" si="3"/>
        <v>0</v>
      </c>
    </row>
    <row r="59" customHeight="1" spans="1:12">
      <c r="A59" s="47">
        <f>IFERROR(__xludf.DUMMYFUNCTION("""COMPUTED_VALUE"""),45826.6458333333)</f>
        <v>45826.6458333333</v>
      </c>
      <c r="B59" s="48">
        <f>IFERROR(__xludf.DUMMYFUNCTION("""COMPUTED_VALUE"""),2459.1)</f>
        <v>2459.1</v>
      </c>
      <c r="C59" s="47">
        <f>IFERROR(__xludf.DUMMYFUNCTION("""COMPUTED_VALUE"""),45826.6458333333)</f>
        <v>45826.6458333333</v>
      </c>
      <c r="D59" s="48">
        <f>IFERROR(__xludf.DUMMYFUNCTION("""COMPUTED_VALUE"""),2491.9)</f>
        <v>2491.9</v>
      </c>
      <c r="E59" s="47">
        <f>IFERROR(__xludf.DUMMYFUNCTION("""COMPUTED_VALUE"""),45826.6458333333)</f>
        <v>45826.6458333333</v>
      </c>
      <c r="F59" s="48">
        <f>IFERROR(__xludf.DUMMYFUNCTION("""COMPUTED_VALUE"""),667044)</f>
        <v>667044</v>
      </c>
      <c r="G59" s="47">
        <f>IFERROR(__xludf.DUMMYFUNCTION("""COMPUTED_VALUE"""),45826.6458333333)</f>
        <v>45826.6458333333</v>
      </c>
      <c r="H59" s="48">
        <f>IFERROR(__xludf.DUMMYFUNCTION("""COMPUTED_VALUE"""),2495.9)</f>
        <v>2495.9</v>
      </c>
      <c r="I59" s="47">
        <f>IFERROR(__xludf.DUMMYFUNCTION("""COMPUTED_VALUE"""),45826.6458333333)</f>
        <v>45826.6458333333</v>
      </c>
      <c r="J59" s="48">
        <f>IFERROR(__xludf.DUMMYFUNCTION("""COMPUTED_VALUE"""),2445.4)</f>
        <v>2445.4</v>
      </c>
      <c r="K59" s="3">
        <f t="shared" si="2"/>
        <v>0</v>
      </c>
      <c r="L59" s="3">
        <f t="shared" si="3"/>
        <v>0</v>
      </c>
    </row>
    <row r="60" customHeight="1" spans="1:12">
      <c r="A60" s="47">
        <f>IFERROR(__xludf.DUMMYFUNCTION("""COMPUTED_VALUE"""),45827.6458333333)</f>
        <v>45827.6458333333</v>
      </c>
      <c r="B60" s="48">
        <f>IFERROR(__xludf.DUMMYFUNCTION("""COMPUTED_VALUE"""),2420.6)</f>
        <v>2420.6</v>
      </c>
      <c r="C60" s="47">
        <f>IFERROR(__xludf.DUMMYFUNCTION("""COMPUTED_VALUE"""),45827.6458333333)</f>
        <v>45827.6458333333</v>
      </c>
      <c r="D60" s="48">
        <f>IFERROR(__xludf.DUMMYFUNCTION("""COMPUTED_VALUE"""),2466.3)</f>
        <v>2466.3</v>
      </c>
      <c r="E60" s="47">
        <f>IFERROR(__xludf.DUMMYFUNCTION("""COMPUTED_VALUE"""),45827.6458333333)</f>
        <v>45827.6458333333</v>
      </c>
      <c r="F60" s="48">
        <f>IFERROR(__xludf.DUMMYFUNCTION("""COMPUTED_VALUE"""),688209)</f>
        <v>688209</v>
      </c>
      <c r="G60" s="47">
        <f>IFERROR(__xludf.DUMMYFUNCTION("""COMPUTED_VALUE"""),45827.6458333333)</f>
        <v>45827.6458333333</v>
      </c>
      <c r="H60" s="48">
        <f>IFERROR(__xludf.DUMMYFUNCTION("""COMPUTED_VALUE"""),2468.9)</f>
        <v>2468.9</v>
      </c>
      <c r="I60" s="47">
        <f>IFERROR(__xludf.DUMMYFUNCTION("""COMPUTED_VALUE"""),45827.6458333333)</f>
        <v>45827.6458333333</v>
      </c>
      <c r="J60" s="48">
        <f>IFERROR(__xludf.DUMMYFUNCTION("""COMPUTED_VALUE"""),2405.1)</f>
        <v>2405.1</v>
      </c>
      <c r="K60" s="3">
        <f t="shared" si="2"/>
        <v>0</v>
      </c>
      <c r="L60" s="3">
        <f t="shared" si="3"/>
        <v>2420.6</v>
      </c>
    </row>
    <row r="61" customHeight="1" spans="1:12">
      <c r="A61" s="47">
        <f>IFERROR(__xludf.DUMMYFUNCTION("""COMPUTED_VALUE"""),45828.6458333333)</f>
        <v>45828.6458333333</v>
      </c>
      <c r="B61" s="48">
        <f>IFERROR(__xludf.DUMMYFUNCTION("""COMPUTED_VALUE"""),2448.4)</f>
        <v>2448.4</v>
      </c>
      <c r="C61" s="47">
        <f>IFERROR(__xludf.DUMMYFUNCTION("""COMPUTED_VALUE"""),45828.6458333333)</f>
        <v>45828.6458333333</v>
      </c>
      <c r="D61" s="48">
        <f>IFERROR(__xludf.DUMMYFUNCTION("""COMPUTED_VALUE"""),2428)</f>
        <v>2428</v>
      </c>
      <c r="E61" s="47">
        <f>IFERROR(__xludf.DUMMYFUNCTION("""COMPUTED_VALUE"""),45828.6458333333)</f>
        <v>45828.6458333333</v>
      </c>
      <c r="F61" s="48">
        <f>IFERROR(__xludf.DUMMYFUNCTION("""COMPUTED_VALUE"""),3002549)</f>
        <v>3002549</v>
      </c>
      <c r="G61" s="47">
        <f>IFERROR(__xludf.DUMMYFUNCTION("""COMPUTED_VALUE"""),45828.6458333333)</f>
        <v>45828.6458333333</v>
      </c>
      <c r="H61" s="48">
        <f>IFERROR(__xludf.DUMMYFUNCTION("""COMPUTED_VALUE"""),2461.3)</f>
        <v>2461.3</v>
      </c>
      <c r="I61" s="47">
        <f>IFERROR(__xludf.DUMMYFUNCTION("""COMPUTED_VALUE"""),45828.6458333333)</f>
        <v>45828.6458333333</v>
      </c>
      <c r="J61" s="48">
        <f>IFERROR(__xludf.DUMMYFUNCTION("""COMPUTED_VALUE"""),2415)</f>
        <v>2415</v>
      </c>
      <c r="K61" s="3">
        <f t="shared" si="2"/>
        <v>0</v>
      </c>
      <c r="L61" s="3">
        <f t="shared" si="3"/>
        <v>0</v>
      </c>
    </row>
    <row r="62" customHeight="1" spans="1:12">
      <c r="A62" s="47">
        <f>IFERROR(__xludf.DUMMYFUNCTION("""COMPUTED_VALUE"""),45831.6458333333)</f>
        <v>45831.6458333333</v>
      </c>
      <c r="B62" s="48">
        <f>IFERROR(__xludf.DUMMYFUNCTION("""COMPUTED_VALUE"""),2472)</f>
        <v>2472</v>
      </c>
      <c r="C62" s="47">
        <f>IFERROR(__xludf.DUMMYFUNCTION("""COMPUTED_VALUE"""),45831.6458333333)</f>
        <v>45831.6458333333</v>
      </c>
      <c r="D62" s="48">
        <f>IFERROR(__xludf.DUMMYFUNCTION("""COMPUTED_VALUE"""),2438)</f>
        <v>2438</v>
      </c>
      <c r="E62" s="47">
        <f>IFERROR(__xludf.DUMMYFUNCTION("""COMPUTED_VALUE"""),45831.6458333333)</f>
        <v>45831.6458333333</v>
      </c>
      <c r="F62" s="48">
        <f>IFERROR(__xludf.DUMMYFUNCTION("""COMPUTED_VALUE"""),790535)</f>
        <v>790535</v>
      </c>
      <c r="G62" s="47">
        <f>IFERROR(__xludf.DUMMYFUNCTION("""COMPUTED_VALUE"""),45831.6458333333)</f>
        <v>45831.6458333333</v>
      </c>
      <c r="H62" s="48">
        <f>IFERROR(__xludf.DUMMYFUNCTION("""COMPUTED_VALUE"""),2492.6)</f>
        <v>2492.6</v>
      </c>
      <c r="I62" s="47">
        <f>IFERROR(__xludf.DUMMYFUNCTION("""COMPUTED_VALUE"""),45831.6458333333)</f>
        <v>45831.6458333333</v>
      </c>
      <c r="J62" s="48">
        <f>IFERROR(__xludf.DUMMYFUNCTION("""COMPUTED_VALUE"""),2421)</f>
        <v>2421</v>
      </c>
      <c r="K62" s="3">
        <f t="shared" si="2"/>
        <v>0</v>
      </c>
      <c r="L62" s="3">
        <f t="shared" si="3"/>
        <v>0</v>
      </c>
    </row>
    <row r="63" customHeight="1" spans="1:12">
      <c r="A63" s="47">
        <f>IFERROR(__xludf.DUMMYFUNCTION("""COMPUTED_VALUE"""),45832.6458333333)</f>
        <v>45832.6458333333</v>
      </c>
      <c r="B63" s="48">
        <f>IFERROR(__xludf.DUMMYFUNCTION("""COMPUTED_VALUE"""),2505.6)</f>
        <v>2505.6</v>
      </c>
      <c r="C63" s="47">
        <f>IFERROR(__xludf.DUMMYFUNCTION("""COMPUTED_VALUE"""),45832.6458333333)</f>
        <v>45832.6458333333</v>
      </c>
      <c r="D63" s="48">
        <f>IFERROR(__xludf.DUMMYFUNCTION("""COMPUTED_VALUE"""),2504)</f>
        <v>2504</v>
      </c>
      <c r="E63" s="47">
        <f>IFERROR(__xludf.DUMMYFUNCTION("""COMPUTED_VALUE"""),45832.6458333333)</f>
        <v>45832.6458333333</v>
      </c>
      <c r="F63" s="48">
        <f>IFERROR(__xludf.DUMMYFUNCTION("""COMPUTED_VALUE"""),996405)</f>
        <v>996405</v>
      </c>
      <c r="G63" s="47">
        <f>IFERROR(__xludf.DUMMYFUNCTION("""COMPUTED_VALUE"""),45832.6458333333)</f>
        <v>45832.6458333333</v>
      </c>
      <c r="H63" s="48">
        <f>IFERROR(__xludf.DUMMYFUNCTION("""COMPUTED_VALUE"""),2544.6)</f>
        <v>2544.6</v>
      </c>
      <c r="I63" s="47">
        <f>IFERROR(__xludf.DUMMYFUNCTION("""COMPUTED_VALUE"""),45832.6458333333)</f>
        <v>45832.6458333333</v>
      </c>
      <c r="J63" s="48">
        <f>IFERROR(__xludf.DUMMYFUNCTION("""COMPUTED_VALUE"""),2500.2)</f>
        <v>2500.2</v>
      </c>
      <c r="K63" s="3">
        <f t="shared" si="2"/>
        <v>0</v>
      </c>
      <c r="L63" s="3">
        <f t="shared" si="3"/>
        <v>0</v>
      </c>
    </row>
    <row r="64" customHeight="1" spans="1:12">
      <c r="A64" s="47">
        <f>IFERROR(__xludf.DUMMYFUNCTION("""COMPUTED_VALUE"""),45833.6458333333)</f>
        <v>45833.6458333333</v>
      </c>
      <c r="B64" s="48">
        <f>IFERROR(__xludf.DUMMYFUNCTION("""COMPUTED_VALUE"""),2527.2)</f>
        <v>2527.2</v>
      </c>
      <c r="C64" s="47">
        <f>IFERROR(__xludf.DUMMYFUNCTION("""COMPUTED_VALUE"""),45833.6458333333)</f>
        <v>45833.6458333333</v>
      </c>
      <c r="D64" s="48">
        <f>IFERROR(__xludf.DUMMYFUNCTION("""COMPUTED_VALUE"""),2519.9)</f>
        <v>2519.9</v>
      </c>
      <c r="E64" s="47">
        <f>IFERROR(__xludf.DUMMYFUNCTION("""COMPUTED_VALUE"""),45833.6458333333)</f>
        <v>45833.6458333333</v>
      </c>
      <c r="F64" s="48">
        <f>IFERROR(__xludf.DUMMYFUNCTION("""COMPUTED_VALUE"""),921346)</f>
        <v>921346</v>
      </c>
      <c r="G64" s="47">
        <f>IFERROR(__xludf.DUMMYFUNCTION("""COMPUTED_VALUE"""),45833.6458333333)</f>
        <v>45833.6458333333</v>
      </c>
      <c r="H64" s="48">
        <f>IFERROR(__xludf.DUMMYFUNCTION("""COMPUTED_VALUE"""),2541.6)</f>
        <v>2541.6</v>
      </c>
      <c r="I64" s="47">
        <f>IFERROR(__xludf.DUMMYFUNCTION("""COMPUTED_VALUE"""),45833.6458333333)</f>
        <v>45833.6458333333</v>
      </c>
      <c r="J64" s="48">
        <f>IFERROR(__xludf.DUMMYFUNCTION("""COMPUTED_VALUE"""),2512.1)</f>
        <v>2512.1</v>
      </c>
      <c r="K64" s="3">
        <f t="shared" si="2"/>
        <v>0</v>
      </c>
      <c r="L64" s="3">
        <f t="shared" si="3"/>
        <v>0</v>
      </c>
    </row>
    <row r="65" customHeight="1" spans="1:12">
      <c r="A65" s="47">
        <f>IFERROR(__xludf.DUMMYFUNCTION("""COMPUTED_VALUE"""),45834.6458333333)</f>
        <v>45834.6458333333</v>
      </c>
      <c r="B65" s="48">
        <f>IFERROR(__xludf.DUMMYFUNCTION("""COMPUTED_VALUE"""),2586.2)</f>
        <v>2586.2</v>
      </c>
      <c r="C65" s="47">
        <f>IFERROR(__xludf.DUMMYFUNCTION("""COMPUTED_VALUE"""),45834.6458333333)</f>
        <v>45834.6458333333</v>
      </c>
      <c r="D65" s="48">
        <f>IFERROR(__xludf.DUMMYFUNCTION("""COMPUTED_VALUE"""),2535)</f>
        <v>2535</v>
      </c>
      <c r="E65" s="47">
        <f>IFERROR(__xludf.DUMMYFUNCTION("""COMPUTED_VALUE"""),45834.6458333333)</f>
        <v>45834.6458333333</v>
      </c>
      <c r="F65" s="48">
        <f>IFERROR(__xludf.DUMMYFUNCTION("""COMPUTED_VALUE"""),1339627)</f>
        <v>1339627</v>
      </c>
      <c r="G65" s="47">
        <f>IFERROR(__xludf.DUMMYFUNCTION("""COMPUTED_VALUE"""),45834.6458333333)</f>
        <v>45834.6458333333</v>
      </c>
      <c r="H65" s="48">
        <f>IFERROR(__xludf.DUMMYFUNCTION("""COMPUTED_VALUE"""),2593.6)</f>
        <v>2593.6</v>
      </c>
      <c r="I65" s="47">
        <f>IFERROR(__xludf.DUMMYFUNCTION("""COMPUTED_VALUE"""),45834.6458333333)</f>
        <v>45834.6458333333</v>
      </c>
      <c r="J65" s="48">
        <f>IFERROR(__xludf.DUMMYFUNCTION("""COMPUTED_VALUE"""),2522.2)</f>
        <v>2522.2</v>
      </c>
      <c r="K65" s="3">
        <f t="shared" si="2"/>
        <v>0</v>
      </c>
      <c r="L65" s="3">
        <f t="shared" si="3"/>
        <v>0</v>
      </c>
    </row>
    <row r="66" customHeight="1" spans="1:12">
      <c r="A66" s="47">
        <f>IFERROR(__xludf.DUMMYFUNCTION("""COMPUTED_VALUE"""),45835.6458333333)</f>
        <v>45835.6458333333</v>
      </c>
      <c r="B66" s="48">
        <f>IFERROR(__xludf.DUMMYFUNCTION("""COMPUTED_VALUE"""),2646.3)</f>
        <v>2646.3</v>
      </c>
      <c r="C66" s="47">
        <f>IFERROR(__xludf.DUMMYFUNCTION("""COMPUTED_VALUE"""),45835.6458333333)</f>
        <v>45835.6458333333</v>
      </c>
      <c r="D66" s="48">
        <f>IFERROR(__xludf.DUMMYFUNCTION("""COMPUTED_VALUE"""),2587.7)</f>
        <v>2587.7</v>
      </c>
      <c r="E66" s="47">
        <f>IFERROR(__xludf.DUMMYFUNCTION("""COMPUTED_VALUE"""),45835.6458333333)</f>
        <v>45835.6458333333</v>
      </c>
      <c r="F66" s="48">
        <f>IFERROR(__xludf.DUMMYFUNCTION("""COMPUTED_VALUE"""),4049316)</f>
        <v>4049316</v>
      </c>
      <c r="G66" s="47">
        <f>IFERROR(__xludf.DUMMYFUNCTION("""COMPUTED_VALUE"""),45835.6458333333)</f>
        <v>45835.6458333333</v>
      </c>
      <c r="H66" s="48">
        <f>IFERROR(__xludf.DUMMYFUNCTION("""COMPUTED_VALUE"""),2681.6)</f>
        <v>2681.6</v>
      </c>
      <c r="I66" s="47">
        <f>IFERROR(__xludf.DUMMYFUNCTION("""COMPUTED_VALUE"""),45835.6458333333)</f>
        <v>45835.6458333333</v>
      </c>
      <c r="J66" s="48">
        <f>IFERROR(__xludf.DUMMYFUNCTION("""COMPUTED_VALUE"""),2582)</f>
        <v>2582</v>
      </c>
      <c r="K66" s="3">
        <f t="shared" si="2"/>
        <v>2646.3</v>
      </c>
      <c r="L66" s="3">
        <f t="shared" si="3"/>
        <v>0</v>
      </c>
    </row>
    <row r="67" customHeight="1" spans="1:12">
      <c r="A67" s="47">
        <f>IFERROR(__xludf.DUMMYFUNCTION("""COMPUTED_VALUE"""),45838.6458333333)</f>
        <v>45838.6458333333</v>
      </c>
      <c r="B67" s="48">
        <f>IFERROR(__xludf.DUMMYFUNCTION("""COMPUTED_VALUE"""),2619.4)</f>
        <v>2619.4</v>
      </c>
      <c r="C67" s="47">
        <f>IFERROR(__xludf.DUMMYFUNCTION("""COMPUTED_VALUE"""),45838.6458333333)</f>
        <v>45838.6458333333</v>
      </c>
      <c r="D67" s="48">
        <f>IFERROR(__xludf.DUMMYFUNCTION("""COMPUTED_VALUE"""),2650)</f>
        <v>2650</v>
      </c>
      <c r="E67" s="47">
        <f>IFERROR(__xludf.DUMMYFUNCTION("""COMPUTED_VALUE"""),45838.6458333333)</f>
        <v>45838.6458333333</v>
      </c>
      <c r="F67" s="48">
        <f>IFERROR(__xludf.DUMMYFUNCTION("""COMPUTED_VALUE"""),694815)</f>
        <v>694815</v>
      </c>
      <c r="G67" s="47">
        <f>IFERROR(__xludf.DUMMYFUNCTION("""COMPUTED_VALUE"""),45838.6458333333)</f>
        <v>45838.6458333333</v>
      </c>
      <c r="H67" s="48">
        <f>IFERROR(__xludf.DUMMYFUNCTION("""COMPUTED_VALUE"""),2653.9)</f>
        <v>2653.9</v>
      </c>
      <c r="I67" s="47">
        <f>IFERROR(__xludf.DUMMYFUNCTION("""COMPUTED_VALUE"""),45838.6458333333)</f>
        <v>45838.6458333333</v>
      </c>
      <c r="J67" s="48">
        <f>IFERROR(__xludf.DUMMYFUNCTION("""COMPUTED_VALUE"""),2605.9)</f>
        <v>2605.9</v>
      </c>
      <c r="K67" s="3">
        <f t="shared" si="2"/>
        <v>0</v>
      </c>
      <c r="L67" s="3">
        <f t="shared" si="3"/>
        <v>0</v>
      </c>
    </row>
    <row r="68" customHeight="1" spans="1:12">
      <c r="A68" s="47">
        <f>IFERROR(__xludf.DUMMYFUNCTION("""COMPUTED_VALUE"""),45839.6458333333)</f>
        <v>45839.6458333333</v>
      </c>
      <c r="B68" s="48">
        <f>IFERROR(__xludf.DUMMYFUNCTION("""COMPUTED_VALUE"""),2621.8)</f>
        <v>2621.8</v>
      </c>
      <c r="C68" s="47">
        <f>IFERROR(__xludf.DUMMYFUNCTION("""COMPUTED_VALUE"""),45839.6458333333)</f>
        <v>45839.6458333333</v>
      </c>
      <c r="D68" s="48">
        <f>IFERROR(__xludf.DUMMYFUNCTION("""COMPUTED_VALUE"""),2624.9)</f>
        <v>2624.9</v>
      </c>
      <c r="E68" s="47">
        <f>IFERROR(__xludf.DUMMYFUNCTION("""COMPUTED_VALUE"""),45839.6458333333)</f>
        <v>45839.6458333333</v>
      </c>
      <c r="F68" s="48">
        <f>IFERROR(__xludf.DUMMYFUNCTION("""COMPUTED_VALUE"""),729197)</f>
        <v>729197</v>
      </c>
      <c r="G68" s="47">
        <f>IFERROR(__xludf.DUMMYFUNCTION("""COMPUTED_VALUE"""),45839.6458333333)</f>
        <v>45839.6458333333</v>
      </c>
      <c r="H68" s="48">
        <f>IFERROR(__xludf.DUMMYFUNCTION("""COMPUTED_VALUE"""),2645)</f>
        <v>2645</v>
      </c>
      <c r="I68" s="47">
        <f>IFERROR(__xludf.DUMMYFUNCTION("""COMPUTED_VALUE"""),45839.6458333333)</f>
        <v>45839.6458333333</v>
      </c>
      <c r="J68" s="48">
        <f>IFERROR(__xludf.DUMMYFUNCTION("""COMPUTED_VALUE"""),2603)</f>
        <v>2603</v>
      </c>
      <c r="K68" s="3">
        <f t="shared" si="2"/>
        <v>0</v>
      </c>
      <c r="L68" s="3">
        <f t="shared" si="3"/>
        <v>0</v>
      </c>
    </row>
    <row r="69" customHeight="1" spans="1:12">
      <c r="A69" s="47">
        <f>IFERROR(__xludf.DUMMYFUNCTION("""COMPUTED_VALUE"""),45840.6458333333)</f>
        <v>45840.6458333333</v>
      </c>
      <c r="B69" s="48">
        <f>IFERROR(__xludf.DUMMYFUNCTION("""COMPUTED_VALUE"""),2630.2)</f>
        <v>2630.2</v>
      </c>
      <c r="C69" s="47">
        <f>IFERROR(__xludf.DUMMYFUNCTION("""COMPUTED_VALUE"""),45840.6458333333)</f>
        <v>45840.6458333333</v>
      </c>
      <c r="D69" s="48">
        <f>IFERROR(__xludf.DUMMYFUNCTION("""COMPUTED_VALUE"""),2634)</f>
        <v>2634</v>
      </c>
      <c r="E69" s="47">
        <f>IFERROR(__xludf.DUMMYFUNCTION("""COMPUTED_VALUE"""),45840.6458333333)</f>
        <v>45840.6458333333</v>
      </c>
      <c r="F69" s="48">
        <f>IFERROR(__xludf.DUMMYFUNCTION("""COMPUTED_VALUE"""),621409)</f>
        <v>621409</v>
      </c>
      <c r="G69" s="47">
        <f>IFERROR(__xludf.DUMMYFUNCTION("""COMPUTED_VALUE"""),45840.6458333333)</f>
        <v>45840.6458333333</v>
      </c>
      <c r="H69" s="48">
        <f>IFERROR(__xludf.DUMMYFUNCTION("""COMPUTED_VALUE"""),2646)</f>
        <v>2646</v>
      </c>
      <c r="I69" s="47">
        <f>IFERROR(__xludf.DUMMYFUNCTION("""COMPUTED_VALUE"""),45840.6458333333)</f>
        <v>45840.6458333333</v>
      </c>
      <c r="J69" s="48">
        <f>IFERROR(__xludf.DUMMYFUNCTION("""COMPUTED_VALUE"""),2613.6)</f>
        <v>2613.6</v>
      </c>
      <c r="K69" s="3">
        <f t="shared" si="2"/>
        <v>0</v>
      </c>
      <c r="L69" s="3">
        <f t="shared" si="3"/>
        <v>0</v>
      </c>
    </row>
    <row r="70" customHeight="1" spans="1:12">
      <c r="A70" s="47">
        <f>IFERROR(__xludf.DUMMYFUNCTION("""COMPUTED_VALUE"""),45841.6458333333)</f>
        <v>45841.6458333333</v>
      </c>
      <c r="B70" s="48">
        <f>IFERROR(__xludf.DUMMYFUNCTION("""COMPUTED_VALUE"""),2611.2)</f>
        <v>2611.2</v>
      </c>
      <c r="C70" s="47">
        <f>IFERROR(__xludf.DUMMYFUNCTION("""COMPUTED_VALUE"""),45841.6458333333)</f>
        <v>45841.6458333333</v>
      </c>
      <c r="D70" s="48">
        <f>IFERROR(__xludf.DUMMYFUNCTION("""COMPUTED_VALUE"""),2634)</f>
        <v>2634</v>
      </c>
      <c r="E70" s="47">
        <f>IFERROR(__xludf.DUMMYFUNCTION("""COMPUTED_VALUE"""),45841.6458333333)</f>
        <v>45841.6458333333</v>
      </c>
      <c r="F70" s="48">
        <f>IFERROR(__xludf.DUMMYFUNCTION("""COMPUTED_VALUE"""),502724)</f>
        <v>502724</v>
      </c>
      <c r="G70" s="47">
        <f>IFERROR(__xludf.DUMMYFUNCTION("""COMPUTED_VALUE"""),45841.6458333333)</f>
        <v>45841.6458333333</v>
      </c>
      <c r="H70" s="48">
        <f>IFERROR(__xludf.DUMMYFUNCTION("""COMPUTED_VALUE"""),2644)</f>
        <v>2644</v>
      </c>
      <c r="I70" s="47">
        <f>IFERROR(__xludf.DUMMYFUNCTION("""COMPUTED_VALUE"""),45841.6458333333)</f>
        <v>45841.6458333333</v>
      </c>
      <c r="J70" s="48">
        <f>IFERROR(__xludf.DUMMYFUNCTION("""COMPUTED_VALUE"""),2605.1)</f>
        <v>2605.1</v>
      </c>
      <c r="K70" s="3">
        <f t="shared" si="2"/>
        <v>0</v>
      </c>
      <c r="L70" s="3">
        <f t="shared" si="3"/>
        <v>0</v>
      </c>
    </row>
    <row r="71" customHeight="1" spans="1:12">
      <c r="A71" s="47">
        <f>IFERROR(__xludf.DUMMYFUNCTION("""COMPUTED_VALUE"""),45842.6458333333)</f>
        <v>45842.6458333333</v>
      </c>
      <c r="B71" s="48">
        <f>IFERROR(__xludf.DUMMYFUNCTION("""COMPUTED_VALUE"""),2599.1)</f>
        <v>2599.1</v>
      </c>
      <c r="C71" s="47">
        <f>IFERROR(__xludf.DUMMYFUNCTION("""COMPUTED_VALUE"""),45842.6458333333)</f>
        <v>45842.6458333333</v>
      </c>
      <c r="D71" s="48">
        <f>IFERROR(__xludf.DUMMYFUNCTION("""COMPUTED_VALUE"""),2617)</f>
        <v>2617</v>
      </c>
      <c r="E71" s="47">
        <f>IFERROR(__xludf.DUMMYFUNCTION("""COMPUTED_VALUE"""),45842.6458333333)</f>
        <v>45842.6458333333</v>
      </c>
      <c r="F71" s="48">
        <f>IFERROR(__xludf.DUMMYFUNCTION("""COMPUTED_VALUE"""),370305)</f>
        <v>370305</v>
      </c>
      <c r="G71" s="47">
        <f>IFERROR(__xludf.DUMMYFUNCTION("""COMPUTED_VALUE"""),45842.6458333333)</f>
        <v>45842.6458333333</v>
      </c>
      <c r="H71" s="48">
        <f>IFERROR(__xludf.DUMMYFUNCTION("""COMPUTED_VALUE"""),2617)</f>
        <v>2617</v>
      </c>
      <c r="I71" s="47">
        <f>IFERROR(__xludf.DUMMYFUNCTION("""COMPUTED_VALUE"""),45842.6458333333)</f>
        <v>45842.6458333333</v>
      </c>
      <c r="J71" s="48">
        <f>IFERROR(__xludf.DUMMYFUNCTION("""COMPUTED_VALUE"""),2582.2)</f>
        <v>2582.2</v>
      </c>
      <c r="K71" s="3">
        <f t="shared" si="2"/>
        <v>0</v>
      </c>
      <c r="L71" s="3">
        <f t="shared" si="3"/>
        <v>0</v>
      </c>
    </row>
    <row r="72" customHeight="1" spans="1:12">
      <c r="A72" s="47">
        <f>IFERROR(__xludf.DUMMYFUNCTION("""COMPUTED_VALUE"""),45845.6458333333)</f>
        <v>45845.6458333333</v>
      </c>
      <c r="B72" s="48">
        <f>IFERROR(__xludf.DUMMYFUNCTION("""COMPUTED_VALUE"""),2576.1)</f>
        <v>2576.1</v>
      </c>
      <c r="C72" s="47">
        <f>IFERROR(__xludf.DUMMYFUNCTION("""COMPUTED_VALUE"""),45845.6458333333)</f>
        <v>45845.6458333333</v>
      </c>
      <c r="D72" s="48">
        <f>IFERROR(__xludf.DUMMYFUNCTION("""COMPUTED_VALUE"""),2602)</f>
        <v>2602</v>
      </c>
      <c r="E72" s="47">
        <f>IFERROR(__xludf.DUMMYFUNCTION("""COMPUTED_VALUE"""),45845.6458333333)</f>
        <v>45845.6458333333</v>
      </c>
      <c r="F72" s="48">
        <f>IFERROR(__xludf.DUMMYFUNCTION("""COMPUTED_VALUE"""),412159)</f>
        <v>412159</v>
      </c>
      <c r="G72" s="47">
        <f>IFERROR(__xludf.DUMMYFUNCTION("""COMPUTED_VALUE"""),45845.6458333333)</f>
        <v>45845.6458333333</v>
      </c>
      <c r="H72" s="48">
        <f>IFERROR(__xludf.DUMMYFUNCTION("""COMPUTED_VALUE"""),2605.4)</f>
        <v>2605.4</v>
      </c>
      <c r="I72" s="47">
        <f>IFERROR(__xludf.DUMMYFUNCTION("""COMPUTED_VALUE"""),45845.6458333333)</f>
        <v>45845.6458333333</v>
      </c>
      <c r="J72" s="48">
        <f>IFERROR(__xludf.DUMMYFUNCTION("""COMPUTED_VALUE"""),2572)</f>
        <v>2572</v>
      </c>
      <c r="K72" s="3">
        <f t="shared" si="2"/>
        <v>0</v>
      </c>
      <c r="L72" s="3">
        <f t="shared" si="3"/>
        <v>0</v>
      </c>
    </row>
    <row r="73" customHeight="1" spans="1:12">
      <c r="A73" s="47">
        <f>IFERROR(__xludf.DUMMYFUNCTION("""COMPUTED_VALUE"""),45846.6458333333)</f>
        <v>45846.6458333333</v>
      </c>
      <c r="B73" s="48">
        <f>IFERROR(__xludf.DUMMYFUNCTION("""COMPUTED_VALUE"""),2591.3)</f>
        <v>2591.3</v>
      </c>
      <c r="C73" s="47">
        <f>IFERROR(__xludf.DUMMYFUNCTION("""COMPUTED_VALUE"""),45846.6458333333)</f>
        <v>45846.6458333333</v>
      </c>
      <c r="D73" s="48">
        <f>IFERROR(__xludf.DUMMYFUNCTION("""COMPUTED_VALUE"""),2586)</f>
        <v>2586</v>
      </c>
      <c r="E73" s="47">
        <f>IFERROR(__xludf.DUMMYFUNCTION("""COMPUTED_VALUE"""),45846.6458333333)</f>
        <v>45846.6458333333</v>
      </c>
      <c r="F73" s="48">
        <f>IFERROR(__xludf.DUMMYFUNCTION("""COMPUTED_VALUE"""),357701)</f>
        <v>357701</v>
      </c>
      <c r="G73" s="47">
        <f>IFERROR(__xludf.DUMMYFUNCTION("""COMPUTED_VALUE"""),45846.6458333333)</f>
        <v>45846.6458333333</v>
      </c>
      <c r="H73" s="48">
        <f>IFERROR(__xludf.DUMMYFUNCTION("""COMPUTED_VALUE"""),2600)</f>
        <v>2600</v>
      </c>
      <c r="I73" s="47">
        <f>IFERROR(__xludf.DUMMYFUNCTION("""COMPUTED_VALUE"""),45846.6458333333)</f>
        <v>45846.6458333333</v>
      </c>
      <c r="J73" s="48">
        <f>IFERROR(__xludf.DUMMYFUNCTION("""COMPUTED_VALUE"""),2573)</f>
        <v>2573</v>
      </c>
      <c r="K73" s="3">
        <f t="shared" si="2"/>
        <v>0</v>
      </c>
      <c r="L73" s="3">
        <f t="shared" si="3"/>
        <v>0</v>
      </c>
    </row>
    <row r="74" customHeight="1" spans="1:12">
      <c r="A74" s="47">
        <f>IFERROR(__xludf.DUMMYFUNCTION("""COMPUTED_VALUE"""),45847.6458333333)</f>
        <v>45847.6458333333</v>
      </c>
      <c r="B74" s="48">
        <f>IFERROR(__xludf.DUMMYFUNCTION("""COMPUTED_VALUE"""),2583)</f>
        <v>2583</v>
      </c>
      <c r="C74" s="47">
        <f>IFERROR(__xludf.DUMMYFUNCTION("""COMPUTED_VALUE"""),45847.6458333333)</f>
        <v>45847.6458333333</v>
      </c>
      <c r="D74" s="48">
        <f>IFERROR(__xludf.DUMMYFUNCTION("""COMPUTED_VALUE"""),2599)</f>
        <v>2599</v>
      </c>
      <c r="E74" s="47">
        <f>IFERROR(__xludf.DUMMYFUNCTION("""COMPUTED_VALUE"""),45847.6458333333)</f>
        <v>45847.6458333333</v>
      </c>
      <c r="F74" s="48">
        <f>IFERROR(__xludf.DUMMYFUNCTION("""COMPUTED_VALUE"""),396880)</f>
        <v>396880</v>
      </c>
      <c r="G74" s="47">
        <f>IFERROR(__xludf.DUMMYFUNCTION("""COMPUTED_VALUE"""),45847.6458333333)</f>
        <v>45847.6458333333</v>
      </c>
      <c r="H74" s="48">
        <f>IFERROR(__xludf.DUMMYFUNCTION("""COMPUTED_VALUE"""),2609.9)</f>
        <v>2609.9</v>
      </c>
      <c r="I74" s="47">
        <f>IFERROR(__xludf.DUMMYFUNCTION("""COMPUTED_VALUE"""),45847.6458333333)</f>
        <v>45847.6458333333</v>
      </c>
      <c r="J74" s="48">
        <f>IFERROR(__xludf.DUMMYFUNCTION("""COMPUTED_VALUE"""),2570)</f>
        <v>2570</v>
      </c>
      <c r="K74" s="3">
        <f t="shared" si="2"/>
        <v>0</v>
      </c>
      <c r="L74" s="3">
        <f t="shared" si="3"/>
        <v>0</v>
      </c>
    </row>
    <row r="75" customHeight="1" spans="1:12">
      <c r="A75" s="47">
        <f>IFERROR(__xludf.DUMMYFUNCTION("""COMPUTED_VALUE"""),45848.6458333333)</f>
        <v>45848.6458333333</v>
      </c>
      <c r="B75" s="48">
        <f>IFERROR(__xludf.DUMMYFUNCTION("""COMPUTED_VALUE"""),2581)</f>
        <v>2581</v>
      </c>
      <c r="C75" s="47">
        <f>IFERROR(__xludf.DUMMYFUNCTION("""COMPUTED_VALUE"""),45848.6458333333)</f>
        <v>45848.6458333333</v>
      </c>
      <c r="D75" s="48">
        <f>IFERROR(__xludf.DUMMYFUNCTION("""COMPUTED_VALUE"""),2591)</f>
        <v>2591</v>
      </c>
      <c r="E75" s="47">
        <f>IFERROR(__xludf.DUMMYFUNCTION("""COMPUTED_VALUE"""),45848.6458333333)</f>
        <v>45848.6458333333</v>
      </c>
      <c r="F75" s="48">
        <f>IFERROR(__xludf.DUMMYFUNCTION("""COMPUTED_VALUE"""),306565)</f>
        <v>306565</v>
      </c>
      <c r="G75" s="47">
        <f>IFERROR(__xludf.DUMMYFUNCTION("""COMPUTED_VALUE"""),45848.6458333333)</f>
        <v>45848.6458333333</v>
      </c>
      <c r="H75" s="48">
        <f>IFERROR(__xludf.DUMMYFUNCTION("""COMPUTED_VALUE"""),2604)</f>
        <v>2604</v>
      </c>
      <c r="I75" s="47">
        <f>IFERROR(__xludf.DUMMYFUNCTION("""COMPUTED_VALUE"""),45848.6458333333)</f>
        <v>45848.6458333333</v>
      </c>
      <c r="J75" s="48">
        <f>IFERROR(__xludf.DUMMYFUNCTION("""COMPUTED_VALUE"""),2575)</f>
        <v>2575</v>
      </c>
      <c r="K75" s="3">
        <f t="shared" si="2"/>
        <v>0</v>
      </c>
      <c r="L75" s="3">
        <f t="shared" si="3"/>
        <v>0</v>
      </c>
    </row>
    <row r="76" customHeight="1" spans="1:12">
      <c r="A76" s="47">
        <f>IFERROR(__xludf.DUMMYFUNCTION("""COMPUTED_VALUE"""),45849.6458333333)</f>
        <v>45849.6458333333</v>
      </c>
      <c r="B76" s="48">
        <f>IFERROR(__xludf.DUMMYFUNCTION("""COMPUTED_VALUE"""),2558.7)</f>
        <v>2558.7</v>
      </c>
      <c r="C76" s="47">
        <f>IFERROR(__xludf.DUMMYFUNCTION("""COMPUTED_VALUE"""),45849.6458333333)</f>
        <v>45849.6458333333</v>
      </c>
      <c r="D76" s="48">
        <f>IFERROR(__xludf.DUMMYFUNCTION("""COMPUTED_VALUE"""),2575)</f>
        <v>2575</v>
      </c>
      <c r="E76" s="47">
        <f>IFERROR(__xludf.DUMMYFUNCTION("""COMPUTED_VALUE"""),45849.6458333333)</f>
        <v>45849.6458333333</v>
      </c>
      <c r="F76" s="48">
        <f>IFERROR(__xludf.DUMMYFUNCTION("""COMPUTED_VALUE"""),390645)</f>
        <v>390645</v>
      </c>
      <c r="G76" s="47">
        <f>IFERROR(__xludf.DUMMYFUNCTION("""COMPUTED_VALUE"""),45849.6458333333)</f>
        <v>45849.6458333333</v>
      </c>
      <c r="H76" s="48">
        <f>IFERROR(__xludf.DUMMYFUNCTION("""COMPUTED_VALUE"""),2591.9)</f>
        <v>2591.9</v>
      </c>
      <c r="I76" s="47">
        <f>IFERROR(__xludf.DUMMYFUNCTION("""COMPUTED_VALUE"""),45849.6458333333)</f>
        <v>45849.6458333333</v>
      </c>
      <c r="J76" s="48">
        <f>IFERROR(__xludf.DUMMYFUNCTION("""COMPUTED_VALUE"""),2551.9)</f>
        <v>2551.9</v>
      </c>
      <c r="K76" s="3">
        <f t="shared" si="2"/>
        <v>0</v>
      </c>
      <c r="L76" s="3">
        <f t="shared" si="3"/>
        <v>2558.7</v>
      </c>
    </row>
    <row r="77" customHeight="1" spans="1:12">
      <c r="A77" s="47">
        <f>IFERROR(__xludf.DUMMYFUNCTION("""COMPUTED_VALUE"""),45852.6458333333)</f>
        <v>45852.6458333333</v>
      </c>
      <c r="B77" s="48">
        <f>IFERROR(__xludf.DUMMYFUNCTION("""COMPUTED_VALUE"""),2581.3)</f>
        <v>2581.3</v>
      </c>
      <c r="C77" s="47">
        <f>IFERROR(__xludf.DUMMYFUNCTION("""COMPUTED_VALUE"""),45852.6458333333)</f>
        <v>45852.6458333333</v>
      </c>
      <c r="D77" s="48">
        <f>IFERROR(__xludf.DUMMYFUNCTION("""COMPUTED_VALUE"""),2555)</f>
        <v>2555</v>
      </c>
      <c r="E77" s="47">
        <f>IFERROR(__xludf.DUMMYFUNCTION("""COMPUTED_VALUE"""),45852.6458333333)</f>
        <v>45852.6458333333</v>
      </c>
      <c r="F77" s="48">
        <f>IFERROR(__xludf.DUMMYFUNCTION("""COMPUTED_VALUE"""),536585)</f>
        <v>536585</v>
      </c>
      <c r="G77" s="47">
        <f>IFERROR(__xludf.DUMMYFUNCTION("""COMPUTED_VALUE"""),45852.6458333333)</f>
        <v>45852.6458333333</v>
      </c>
      <c r="H77" s="48">
        <f>IFERROR(__xludf.DUMMYFUNCTION("""COMPUTED_VALUE"""),2604.8)</f>
        <v>2604.8</v>
      </c>
      <c r="I77" s="47">
        <f>IFERROR(__xludf.DUMMYFUNCTION("""COMPUTED_VALUE"""),45852.6458333333)</f>
        <v>45852.6458333333</v>
      </c>
      <c r="J77" s="48">
        <f>IFERROR(__xludf.DUMMYFUNCTION("""COMPUTED_VALUE"""),2543.5)</f>
        <v>2543.5</v>
      </c>
      <c r="K77" s="3">
        <f t="shared" si="2"/>
        <v>0</v>
      </c>
      <c r="L77" s="3">
        <f t="shared" si="3"/>
        <v>0</v>
      </c>
    </row>
    <row r="78" customHeight="1" spans="1:12">
      <c r="A78" s="47">
        <f>IFERROR(__xludf.DUMMYFUNCTION("""COMPUTED_VALUE"""),45853.6458333333)</f>
        <v>45853.6458333333</v>
      </c>
      <c r="B78" s="48">
        <f>IFERROR(__xludf.DUMMYFUNCTION("""COMPUTED_VALUE"""),2598.2)</f>
        <v>2598.2</v>
      </c>
      <c r="C78" s="47">
        <f>IFERROR(__xludf.DUMMYFUNCTION("""COMPUTED_VALUE"""),45853.6458333333)</f>
        <v>45853.6458333333</v>
      </c>
      <c r="D78" s="48">
        <f>IFERROR(__xludf.DUMMYFUNCTION("""COMPUTED_VALUE"""),2588)</f>
        <v>2588</v>
      </c>
      <c r="E78" s="47">
        <f>IFERROR(__xludf.DUMMYFUNCTION("""COMPUTED_VALUE"""),45853.6458333333)</f>
        <v>45853.6458333333</v>
      </c>
      <c r="F78" s="48">
        <f>IFERROR(__xludf.DUMMYFUNCTION("""COMPUTED_VALUE"""),379425)</f>
        <v>379425</v>
      </c>
      <c r="G78" s="47">
        <f>IFERROR(__xludf.DUMMYFUNCTION("""COMPUTED_VALUE"""),45853.6458333333)</f>
        <v>45853.6458333333</v>
      </c>
      <c r="H78" s="48">
        <f>IFERROR(__xludf.DUMMYFUNCTION("""COMPUTED_VALUE"""),2606.9)</f>
        <v>2606.9</v>
      </c>
      <c r="I78" s="47">
        <f>IFERROR(__xludf.DUMMYFUNCTION("""COMPUTED_VALUE"""),45853.6458333333)</f>
        <v>45853.6458333333</v>
      </c>
      <c r="J78" s="48">
        <f>IFERROR(__xludf.DUMMYFUNCTION("""COMPUTED_VALUE"""),2576)</f>
        <v>2576</v>
      </c>
      <c r="K78" s="3">
        <f t="shared" si="2"/>
        <v>0</v>
      </c>
      <c r="L78" s="3">
        <f t="shared" si="3"/>
        <v>0</v>
      </c>
    </row>
    <row r="79" customHeight="1" spans="1:12">
      <c r="A79" s="47">
        <f>IFERROR(__xludf.DUMMYFUNCTION("""COMPUTED_VALUE"""),45854.6458333333)</f>
        <v>45854.6458333333</v>
      </c>
      <c r="B79" s="48">
        <f>IFERROR(__xludf.DUMMYFUNCTION("""COMPUTED_VALUE"""),2608.5)</f>
        <v>2608.5</v>
      </c>
      <c r="C79" s="47">
        <f>IFERROR(__xludf.DUMMYFUNCTION("""COMPUTED_VALUE"""),45854.6458333333)</f>
        <v>45854.6458333333</v>
      </c>
      <c r="D79" s="48">
        <f>IFERROR(__xludf.DUMMYFUNCTION("""COMPUTED_VALUE"""),2602.5)</f>
        <v>2602.5</v>
      </c>
      <c r="E79" s="47">
        <f>IFERROR(__xludf.DUMMYFUNCTION("""COMPUTED_VALUE"""),45854.6458333333)</f>
        <v>45854.6458333333</v>
      </c>
      <c r="F79" s="48">
        <f>IFERROR(__xludf.DUMMYFUNCTION("""COMPUTED_VALUE"""),686644)</f>
        <v>686644</v>
      </c>
      <c r="G79" s="47">
        <f>IFERROR(__xludf.DUMMYFUNCTION("""COMPUTED_VALUE"""),45854.6458333333)</f>
        <v>45854.6458333333</v>
      </c>
      <c r="H79" s="48">
        <f>IFERROR(__xludf.DUMMYFUNCTION("""COMPUTED_VALUE"""),2619.5)</f>
        <v>2619.5</v>
      </c>
      <c r="I79" s="47">
        <f>IFERROR(__xludf.DUMMYFUNCTION("""COMPUTED_VALUE"""),45854.6458333333)</f>
        <v>45854.6458333333</v>
      </c>
      <c r="J79" s="48">
        <f>IFERROR(__xludf.DUMMYFUNCTION("""COMPUTED_VALUE"""),2595.5)</f>
        <v>2595.5</v>
      </c>
      <c r="K79" s="3">
        <f t="shared" si="2"/>
        <v>0</v>
      </c>
      <c r="L79" s="3">
        <f t="shared" si="3"/>
        <v>0</v>
      </c>
    </row>
    <row r="80" customHeight="1" spans="1:12">
      <c r="A80" s="47">
        <f>IFERROR(__xludf.DUMMYFUNCTION("""COMPUTED_VALUE"""),45855.6458333333)</f>
        <v>45855.6458333333</v>
      </c>
      <c r="B80" s="48">
        <f>IFERROR(__xludf.DUMMYFUNCTION("""COMPUTED_VALUE"""),2616.6)</f>
        <v>2616.6</v>
      </c>
      <c r="C80" s="47">
        <f>IFERROR(__xludf.DUMMYFUNCTION("""COMPUTED_VALUE"""),45855.6458333333)</f>
        <v>45855.6458333333</v>
      </c>
      <c r="D80" s="48">
        <f>IFERROR(__xludf.DUMMYFUNCTION("""COMPUTED_VALUE"""),2612)</f>
        <v>2612</v>
      </c>
      <c r="E80" s="47">
        <f>IFERROR(__xludf.DUMMYFUNCTION("""COMPUTED_VALUE"""),45855.6458333333)</f>
        <v>45855.6458333333</v>
      </c>
      <c r="F80" s="48">
        <f>IFERROR(__xludf.DUMMYFUNCTION("""COMPUTED_VALUE"""),785771)</f>
        <v>785771</v>
      </c>
      <c r="G80" s="47">
        <f>IFERROR(__xludf.DUMMYFUNCTION("""COMPUTED_VALUE"""),45855.6458333333)</f>
        <v>45855.6458333333</v>
      </c>
      <c r="H80" s="48">
        <f>IFERROR(__xludf.DUMMYFUNCTION("""COMPUTED_VALUE"""),2654.5)</f>
        <v>2654.5</v>
      </c>
      <c r="I80" s="47">
        <f>IFERROR(__xludf.DUMMYFUNCTION("""COMPUTED_VALUE"""),45855.6458333333)</f>
        <v>45855.6458333333</v>
      </c>
      <c r="J80" s="48">
        <f>IFERROR(__xludf.DUMMYFUNCTION("""COMPUTED_VALUE"""),2605.3)</f>
        <v>2605.3</v>
      </c>
      <c r="K80" s="3">
        <f t="shared" si="2"/>
        <v>0</v>
      </c>
      <c r="L80" s="3">
        <f t="shared" si="3"/>
        <v>0</v>
      </c>
    </row>
    <row r="81" customHeight="1" spans="1:12">
      <c r="A81" s="47">
        <f>IFERROR(__xludf.DUMMYFUNCTION("""COMPUTED_VALUE"""),45856.6458333333)</f>
        <v>45856.6458333333</v>
      </c>
      <c r="B81" s="48">
        <f>IFERROR(__xludf.DUMMYFUNCTION("""COMPUTED_VALUE"""),2596.1)</f>
        <v>2596.1</v>
      </c>
      <c r="C81" s="47">
        <f>IFERROR(__xludf.DUMMYFUNCTION("""COMPUTED_VALUE"""),45856.6458333333)</f>
        <v>45856.6458333333</v>
      </c>
      <c r="D81" s="48">
        <f>IFERROR(__xludf.DUMMYFUNCTION("""COMPUTED_VALUE"""),2612)</f>
        <v>2612</v>
      </c>
      <c r="E81" s="47">
        <f>IFERROR(__xludf.DUMMYFUNCTION("""COMPUTED_VALUE"""),45856.6458333333)</f>
        <v>45856.6458333333</v>
      </c>
      <c r="F81" s="48">
        <f>IFERROR(__xludf.DUMMYFUNCTION("""COMPUTED_VALUE"""),479942)</f>
        <v>479942</v>
      </c>
      <c r="G81" s="47">
        <f>IFERROR(__xludf.DUMMYFUNCTION("""COMPUTED_VALUE"""),45856.6458333333)</f>
        <v>45856.6458333333</v>
      </c>
      <c r="H81" s="48">
        <f>IFERROR(__xludf.DUMMYFUNCTION("""COMPUTED_VALUE"""),2626.7)</f>
        <v>2626.7</v>
      </c>
      <c r="I81" s="47">
        <f>IFERROR(__xludf.DUMMYFUNCTION("""COMPUTED_VALUE"""),45856.6458333333)</f>
        <v>45856.6458333333</v>
      </c>
      <c r="J81" s="48">
        <f>IFERROR(__xludf.DUMMYFUNCTION("""COMPUTED_VALUE"""),2584.2)</f>
        <v>2584.2</v>
      </c>
      <c r="K81" s="3">
        <f t="shared" si="2"/>
        <v>0</v>
      </c>
      <c r="L81" s="3">
        <f t="shared" si="3"/>
        <v>0</v>
      </c>
    </row>
    <row r="82" customHeight="1" spans="1:12">
      <c r="A82" s="47">
        <f>IFERROR(__xludf.DUMMYFUNCTION("""COMPUTED_VALUE"""),45859.6458333333)</f>
        <v>45859.6458333333</v>
      </c>
      <c r="B82" s="48">
        <f>IFERROR(__xludf.DUMMYFUNCTION("""COMPUTED_VALUE"""),2619.5)</f>
        <v>2619.5</v>
      </c>
      <c r="C82" s="47">
        <f>IFERROR(__xludf.DUMMYFUNCTION("""COMPUTED_VALUE"""),45859.6458333333)</f>
        <v>45859.6458333333</v>
      </c>
      <c r="D82" s="48">
        <f>IFERROR(__xludf.DUMMYFUNCTION("""COMPUTED_VALUE"""),2596.3)</f>
        <v>2596.3</v>
      </c>
      <c r="E82" s="47">
        <f>IFERROR(__xludf.DUMMYFUNCTION("""COMPUTED_VALUE"""),45859.6458333333)</f>
        <v>45859.6458333333</v>
      </c>
      <c r="F82" s="48">
        <f>IFERROR(__xludf.DUMMYFUNCTION("""COMPUTED_VALUE"""),369782)</f>
        <v>369782</v>
      </c>
      <c r="G82" s="47">
        <f>IFERROR(__xludf.DUMMYFUNCTION("""COMPUTED_VALUE"""),45859.6458333333)</f>
        <v>45859.6458333333</v>
      </c>
      <c r="H82" s="48">
        <f>IFERROR(__xludf.DUMMYFUNCTION("""COMPUTED_VALUE"""),2624.9)</f>
        <v>2624.9</v>
      </c>
      <c r="I82" s="47">
        <f>IFERROR(__xludf.DUMMYFUNCTION("""COMPUTED_VALUE"""),45859.6458333333)</f>
        <v>45859.6458333333</v>
      </c>
      <c r="J82" s="48">
        <f>IFERROR(__xludf.DUMMYFUNCTION("""COMPUTED_VALUE"""),2585)</f>
        <v>2585</v>
      </c>
      <c r="K82" s="3">
        <f t="shared" si="2"/>
        <v>2619.5</v>
      </c>
      <c r="L82" s="3">
        <f t="shared" si="3"/>
        <v>0</v>
      </c>
    </row>
    <row r="83" customHeight="1" spans="1:12">
      <c r="A83" s="47">
        <f>IFERROR(__xludf.DUMMYFUNCTION("""COMPUTED_VALUE"""),45860.6458333333)</f>
        <v>45860.6458333333</v>
      </c>
      <c r="B83" s="48">
        <f>IFERROR(__xludf.DUMMYFUNCTION("""COMPUTED_VALUE"""),2587.8)</f>
        <v>2587.8</v>
      </c>
      <c r="C83" s="47">
        <f>IFERROR(__xludf.DUMMYFUNCTION("""COMPUTED_VALUE"""),45860.6458333333)</f>
        <v>45860.6458333333</v>
      </c>
      <c r="D83" s="48">
        <f>IFERROR(__xludf.DUMMYFUNCTION("""COMPUTED_VALUE"""),2626)</f>
        <v>2626</v>
      </c>
      <c r="E83" s="47">
        <f>IFERROR(__xludf.DUMMYFUNCTION("""COMPUTED_VALUE"""),45860.6458333333)</f>
        <v>45860.6458333333</v>
      </c>
      <c r="F83" s="48">
        <f>IFERROR(__xludf.DUMMYFUNCTION("""COMPUTED_VALUE"""),387055)</f>
        <v>387055</v>
      </c>
      <c r="G83" s="47">
        <f>IFERROR(__xludf.DUMMYFUNCTION("""COMPUTED_VALUE"""),45860.6458333333)</f>
        <v>45860.6458333333</v>
      </c>
      <c r="H83" s="48">
        <f>IFERROR(__xludf.DUMMYFUNCTION("""COMPUTED_VALUE"""),2630)</f>
        <v>2630</v>
      </c>
      <c r="I83" s="47">
        <f>IFERROR(__xludf.DUMMYFUNCTION("""COMPUTED_VALUE"""),45860.6458333333)</f>
        <v>45860.6458333333</v>
      </c>
      <c r="J83" s="48">
        <f>IFERROR(__xludf.DUMMYFUNCTION("""COMPUTED_VALUE"""),2581.6)</f>
        <v>2581.6</v>
      </c>
      <c r="K83" s="3">
        <f t="shared" si="2"/>
        <v>0</v>
      </c>
      <c r="L83" s="3">
        <f t="shared" si="3"/>
        <v>0</v>
      </c>
    </row>
    <row r="84" customHeight="1" spans="1:12">
      <c r="A84" s="47">
        <f>IFERROR(__xludf.DUMMYFUNCTION("""COMPUTED_VALUE"""),45861.6458333333)</f>
        <v>45861.6458333333</v>
      </c>
      <c r="B84" s="48">
        <f>IFERROR(__xludf.DUMMYFUNCTION("""COMPUTED_VALUE"""),2614.5)</f>
        <v>2614.5</v>
      </c>
      <c r="C84" s="47">
        <f>IFERROR(__xludf.DUMMYFUNCTION("""COMPUTED_VALUE"""),45861.6458333333)</f>
        <v>45861.6458333333</v>
      </c>
      <c r="D84" s="48">
        <f>IFERROR(__xludf.DUMMYFUNCTION("""COMPUTED_VALUE"""),2600.7)</f>
        <v>2600.7</v>
      </c>
      <c r="E84" s="47">
        <f>IFERROR(__xludf.DUMMYFUNCTION("""COMPUTED_VALUE"""),45861.6458333333)</f>
        <v>45861.6458333333</v>
      </c>
      <c r="F84" s="48">
        <f>IFERROR(__xludf.DUMMYFUNCTION("""COMPUTED_VALUE"""),316424)</f>
        <v>316424</v>
      </c>
      <c r="G84" s="47">
        <f>IFERROR(__xludf.DUMMYFUNCTION("""COMPUTED_VALUE"""),45861.6458333333)</f>
        <v>45861.6458333333</v>
      </c>
      <c r="H84" s="48">
        <f>IFERROR(__xludf.DUMMYFUNCTION("""COMPUTED_VALUE"""),2625.9)</f>
        <v>2625.9</v>
      </c>
      <c r="I84" s="47">
        <f>IFERROR(__xludf.DUMMYFUNCTION("""COMPUTED_VALUE"""),45861.6458333333)</f>
        <v>45861.6458333333</v>
      </c>
      <c r="J84" s="48">
        <f>IFERROR(__xludf.DUMMYFUNCTION("""COMPUTED_VALUE"""),2593.5)</f>
        <v>2593.5</v>
      </c>
      <c r="K84" s="3">
        <f t="shared" si="2"/>
        <v>0</v>
      </c>
      <c r="L84" s="3">
        <f t="shared" si="3"/>
        <v>0</v>
      </c>
    </row>
    <row r="85" customHeight="1" spans="1:12">
      <c r="A85" s="47">
        <f>IFERROR(__xludf.DUMMYFUNCTION("""COMPUTED_VALUE"""),45862.6458333333)</f>
        <v>45862.6458333333</v>
      </c>
      <c r="B85" s="48">
        <f>IFERROR(__xludf.DUMMYFUNCTION("""COMPUTED_VALUE"""),2608.4)</f>
        <v>2608.4</v>
      </c>
      <c r="C85" s="47">
        <f>IFERROR(__xludf.DUMMYFUNCTION("""COMPUTED_VALUE"""),45862.6458333333)</f>
        <v>45862.6458333333</v>
      </c>
      <c r="D85" s="48">
        <f>IFERROR(__xludf.DUMMYFUNCTION("""COMPUTED_VALUE"""),2615.4)</f>
        <v>2615.4</v>
      </c>
      <c r="E85" s="47">
        <f>IFERROR(__xludf.DUMMYFUNCTION("""COMPUTED_VALUE"""),45862.6458333333)</f>
        <v>45862.6458333333</v>
      </c>
      <c r="F85" s="48">
        <f>IFERROR(__xludf.DUMMYFUNCTION("""COMPUTED_VALUE"""),253782)</f>
        <v>253782</v>
      </c>
      <c r="G85" s="47">
        <f>IFERROR(__xludf.DUMMYFUNCTION("""COMPUTED_VALUE"""),45862.6458333333)</f>
        <v>45862.6458333333</v>
      </c>
      <c r="H85" s="48">
        <f>IFERROR(__xludf.DUMMYFUNCTION("""COMPUTED_VALUE"""),2624.2)</f>
        <v>2624.2</v>
      </c>
      <c r="I85" s="47">
        <f>IFERROR(__xludf.DUMMYFUNCTION("""COMPUTED_VALUE"""),45862.6458333333)</f>
        <v>45862.6458333333</v>
      </c>
      <c r="J85" s="48">
        <f>IFERROR(__xludf.DUMMYFUNCTION("""COMPUTED_VALUE"""),2595)</f>
        <v>2595</v>
      </c>
      <c r="K85" s="3">
        <f t="shared" si="2"/>
        <v>0</v>
      </c>
      <c r="L85" s="3">
        <f t="shared" si="3"/>
        <v>0</v>
      </c>
    </row>
    <row r="86" customHeight="1" spans="1:12">
      <c r="A86" s="47">
        <f>IFERROR(__xludf.DUMMYFUNCTION("""COMPUTED_VALUE"""),45863.6458333333)</f>
        <v>45863.6458333333</v>
      </c>
      <c r="B86" s="48">
        <f>IFERROR(__xludf.DUMMYFUNCTION("""COMPUTED_VALUE"""),2550.1)</f>
        <v>2550.1</v>
      </c>
      <c r="C86" s="47">
        <f>IFERROR(__xludf.DUMMYFUNCTION("""COMPUTED_VALUE"""),45863.6458333333)</f>
        <v>45863.6458333333</v>
      </c>
      <c r="D86" s="48">
        <f>IFERROR(__xludf.DUMMYFUNCTION("""COMPUTED_VALUE"""),2605)</f>
        <v>2605</v>
      </c>
      <c r="E86" s="47">
        <f>IFERROR(__xludf.DUMMYFUNCTION("""COMPUTED_VALUE"""),45863.6458333333)</f>
        <v>45863.6458333333</v>
      </c>
      <c r="F86" s="48">
        <f>IFERROR(__xludf.DUMMYFUNCTION("""COMPUTED_VALUE"""),424612)</f>
        <v>424612</v>
      </c>
      <c r="G86" s="47">
        <f>IFERROR(__xludf.DUMMYFUNCTION("""COMPUTED_VALUE"""),45863.6458333333)</f>
        <v>45863.6458333333</v>
      </c>
      <c r="H86" s="48">
        <f>IFERROR(__xludf.DUMMYFUNCTION("""COMPUTED_VALUE"""),2617)</f>
        <v>2617</v>
      </c>
      <c r="I86" s="47">
        <f>IFERROR(__xludf.DUMMYFUNCTION("""COMPUTED_VALUE"""),45863.6458333333)</f>
        <v>45863.6458333333</v>
      </c>
      <c r="J86" s="48">
        <f>IFERROR(__xludf.DUMMYFUNCTION("""COMPUTED_VALUE"""),2544.1)</f>
        <v>2544.1</v>
      </c>
      <c r="K86" s="3">
        <f t="shared" si="2"/>
        <v>0</v>
      </c>
      <c r="L86" s="3">
        <f t="shared" si="3"/>
        <v>0</v>
      </c>
    </row>
    <row r="87" customHeight="1" spans="1:12">
      <c r="A87" s="47">
        <f>IFERROR(__xludf.DUMMYFUNCTION("""COMPUTED_VALUE"""),45866.6458333333)</f>
        <v>45866.6458333333</v>
      </c>
      <c r="B87" s="48">
        <f>IFERROR(__xludf.DUMMYFUNCTION("""COMPUTED_VALUE"""),2522.3)</f>
        <v>2522.3</v>
      </c>
      <c r="C87" s="47">
        <f>IFERROR(__xludf.DUMMYFUNCTION("""COMPUTED_VALUE"""),45866.6458333333)</f>
        <v>45866.6458333333</v>
      </c>
      <c r="D87" s="48">
        <f>IFERROR(__xludf.DUMMYFUNCTION("""COMPUTED_VALUE"""),2549)</f>
        <v>2549</v>
      </c>
      <c r="E87" s="47">
        <f>IFERROR(__xludf.DUMMYFUNCTION("""COMPUTED_VALUE"""),45866.6458333333)</f>
        <v>45866.6458333333</v>
      </c>
      <c r="F87" s="48">
        <f>IFERROR(__xludf.DUMMYFUNCTION("""COMPUTED_VALUE"""),428409)</f>
        <v>428409</v>
      </c>
      <c r="G87" s="47">
        <f>IFERROR(__xludf.DUMMYFUNCTION("""COMPUTED_VALUE"""),45866.6458333333)</f>
        <v>45866.6458333333</v>
      </c>
      <c r="H87" s="48">
        <f>IFERROR(__xludf.DUMMYFUNCTION("""COMPUTED_VALUE"""),2585)</f>
        <v>2585</v>
      </c>
      <c r="I87" s="47">
        <f>IFERROR(__xludf.DUMMYFUNCTION("""COMPUTED_VALUE"""),45866.6458333333)</f>
        <v>45866.6458333333</v>
      </c>
      <c r="J87" s="48">
        <f>IFERROR(__xludf.DUMMYFUNCTION("""COMPUTED_VALUE"""),2512.6)</f>
        <v>2512.6</v>
      </c>
      <c r="K87" s="3">
        <f t="shared" si="2"/>
        <v>0</v>
      </c>
      <c r="L87" s="3">
        <f t="shared" si="3"/>
        <v>0</v>
      </c>
    </row>
    <row r="88" customHeight="1" spans="1:12">
      <c r="A88" s="47">
        <f>IFERROR(__xludf.DUMMYFUNCTION("""COMPUTED_VALUE"""),45867.6458333333)</f>
        <v>45867.6458333333</v>
      </c>
      <c r="B88" s="48">
        <f>IFERROR(__xludf.DUMMYFUNCTION("""COMPUTED_VALUE"""),2547.9)</f>
        <v>2547.9</v>
      </c>
      <c r="C88" s="47">
        <f>IFERROR(__xludf.DUMMYFUNCTION("""COMPUTED_VALUE"""),45867.6458333333)</f>
        <v>45867.6458333333</v>
      </c>
      <c r="D88" s="48">
        <f>IFERROR(__xludf.DUMMYFUNCTION("""COMPUTED_VALUE"""),2529)</f>
        <v>2529</v>
      </c>
      <c r="E88" s="47">
        <f>IFERROR(__xludf.DUMMYFUNCTION("""COMPUTED_VALUE"""),45867.6458333333)</f>
        <v>45867.6458333333</v>
      </c>
      <c r="F88" s="48">
        <f>IFERROR(__xludf.DUMMYFUNCTION("""COMPUTED_VALUE"""),424781)</f>
        <v>424781</v>
      </c>
      <c r="G88" s="47">
        <f>IFERROR(__xludf.DUMMYFUNCTION("""COMPUTED_VALUE"""),45867.6458333333)</f>
        <v>45867.6458333333</v>
      </c>
      <c r="H88" s="48">
        <f>IFERROR(__xludf.DUMMYFUNCTION("""COMPUTED_VALUE"""),2557.4)</f>
        <v>2557.4</v>
      </c>
      <c r="I88" s="47">
        <f>IFERROR(__xludf.DUMMYFUNCTION("""COMPUTED_VALUE"""),45867.6458333333)</f>
        <v>45867.6458333333</v>
      </c>
      <c r="J88" s="48">
        <f>IFERROR(__xludf.DUMMYFUNCTION("""COMPUTED_VALUE"""),2507.5)</f>
        <v>2507.5</v>
      </c>
      <c r="K88" s="3">
        <f t="shared" si="2"/>
        <v>0</v>
      </c>
      <c r="L88" s="3">
        <f t="shared" si="3"/>
        <v>0</v>
      </c>
    </row>
    <row r="89" customHeight="1" spans="1:12">
      <c r="A89" s="47">
        <f>IFERROR(__xludf.DUMMYFUNCTION("""COMPUTED_VALUE"""),45868.6458333333)</f>
        <v>45868.6458333333</v>
      </c>
      <c r="B89" s="48">
        <f>IFERROR(__xludf.DUMMYFUNCTION("""COMPUTED_VALUE"""),2532.9)</f>
        <v>2532.9</v>
      </c>
      <c r="C89" s="47">
        <f>IFERROR(__xludf.DUMMYFUNCTION("""COMPUTED_VALUE"""),45868.6458333333)</f>
        <v>45868.6458333333</v>
      </c>
      <c r="D89" s="48">
        <f>IFERROR(__xludf.DUMMYFUNCTION("""COMPUTED_VALUE"""),2547.9)</f>
        <v>2547.9</v>
      </c>
      <c r="E89" s="47">
        <f>IFERROR(__xludf.DUMMYFUNCTION("""COMPUTED_VALUE"""),45868.6458333333)</f>
        <v>45868.6458333333</v>
      </c>
      <c r="F89" s="48">
        <f>IFERROR(__xludf.DUMMYFUNCTION("""COMPUTED_VALUE"""),262063)</f>
        <v>262063</v>
      </c>
      <c r="G89" s="47">
        <f>IFERROR(__xludf.DUMMYFUNCTION("""COMPUTED_VALUE"""),45868.6458333333)</f>
        <v>45868.6458333333</v>
      </c>
      <c r="H89" s="48">
        <f>IFERROR(__xludf.DUMMYFUNCTION("""COMPUTED_VALUE"""),2552.6)</f>
        <v>2552.6</v>
      </c>
      <c r="I89" s="47">
        <f>IFERROR(__xludf.DUMMYFUNCTION("""COMPUTED_VALUE"""),45868.6458333333)</f>
        <v>45868.6458333333</v>
      </c>
      <c r="J89" s="48">
        <f>IFERROR(__xludf.DUMMYFUNCTION("""COMPUTED_VALUE"""),2525)</f>
        <v>2525</v>
      </c>
      <c r="K89" s="3">
        <f t="shared" si="2"/>
        <v>0</v>
      </c>
      <c r="L89" s="3">
        <f t="shared" si="3"/>
        <v>0</v>
      </c>
    </row>
    <row r="90" customHeight="1" spans="1:12">
      <c r="A90" s="47">
        <f>IFERROR(__xludf.DUMMYFUNCTION("""COMPUTED_VALUE"""),45869.6458333333)</f>
        <v>45869.6458333333</v>
      </c>
      <c r="B90" s="48">
        <f>IFERROR(__xludf.DUMMYFUNCTION("""COMPUTED_VALUE"""),2430.7)</f>
        <v>2430.7</v>
      </c>
      <c r="C90" s="47">
        <f>IFERROR(__xludf.DUMMYFUNCTION("""COMPUTED_VALUE"""),45869.6458333333)</f>
        <v>45869.6458333333</v>
      </c>
      <c r="D90" s="48">
        <f>IFERROR(__xludf.DUMMYFUNCTION("""COMPUTED_VALUE"""),2509.9)</f>
        <v>2509.9</v>
      </c>
      <c r="E90" s="47">
        <f>IFERROR(__xludf.DUMMYFUNCTION("""COMPUTED_VALUE"""),45869.6458333333)</f>
        <v>45869.6458333333</v>
      </c>
      <c r="F90" s="48">
        <f>IFERROR(__xludf.DUMMYFUNCTION("""COMPUTED_VALUE"""),1457616)</f>
        <v>1457616</v>
      </c>
      <c r="G90" s="47">
        <f>IFERROR(__xludf.DUMMYFUNCTION("""COMPUTED_VALUE"""),45869.6458333333)</f>
        <v>45869.6458333333</v>
      </c>
      <c r="H90" s="48">
        <f>IFERROR(__xludf.DUMMYFUNCTION("""COMPUTED_VALUE"""),2520)</f>
        <v>2520</v>
      </c>
      <c r="I90" s="47">
        <f>IFERROR(__xludf.DUMMYFUNCTION("""COMPUTED_VALUE"""),45869.6458333333)</f>
        <v>45869.6458333333</v>
      </c>
      <c r="J90" s="48">
        <f>IFERROR(__xludf.DUMMYFUNCTION("""COMPUTED_VALUE"""),2422.6)</f>
        <v>2422.6</v>
      </c>
      <c r="K90" s="3">
        <f t="shared" si="2"/>
        <v>0</v>
      </c>
      <c r="L90" s="3">
        <f t="shared" si="3"/>
        <v>0</v>
      </c>
    </row>
    <row r="91" customHeight="1" spans="1:12">
      <c r="A91" s="47">
        <f>IFERROR(__xludf.DUMMYFUNCTION("""COMPUTED_VALUE"""),45870.6458333333)</f>
        <v>45870.6458333333</v>
      </c>
      <c r="B91" s="48">
        <f>IFERROR(__xludf.DUMMYFUNCTION("""COMPUTED_VALUE"""),2350.9)</f>
        <v>2350.9</v>
      </c>
      <c r="C91" s="47">
        <f>IFERROR(__xludf.DUMMYFUNCTION("""COMPUTED_VALUE"""),45870.6458333333)</f>
        <v>45870.6458333333</v>
      </c>
      <c r="D91" s="48">
        <f>IFERROR(__xludf.DUMMYFUNCTION("""COMPUTED_VALUE"""),2425)</f>
        <v>2425</v>
      </c>
      <c r="E91" s="47">
        <f>IFERROR(__xludf.DUMMYFUNCTION("""COMPUTED_VALUE"""),45870.6458333333)</f>
        <v>45870.6458333333</v>
      </c>
      <c r="F91" s="48">
        <f>IFERROR(__xludf.DUMMYFUNCTION("""COMPUTED_VALUE"""),976341)</f>
        <v>976341</v>
      </c>
      <c r="G91" s="47">
        <f>IFERROR(__xludf.DUMMYFUNCTION("""COMPUTED_VALUE"""),45870.6458333333)</f>
        <v>45870.6458333333</v>
      </c>
      <c r="H91" s="48">
        <f>IFERROR(__xludf.DUMMYFUNCTION("""COMPUTED_VALUE"""),2444.9)</f>
        <v>2444.9</v>
      </c>
      <c r="I91" s="47">
        <f>IFERROR(__xludf.DUMMYFUNCTION("""COMPUTED_VALUE"""),45870.6458333333)</f>
        <v>45870.6458333333</v>
      </c>
      <c r="J91" s="48">
        <f>IFERROR(__xludf.DUMMYFUNCTION("""COMPUTED_VALUE"""),2333)</f>
        <v>2333</v>
      </c>
      <c r="K91" s="3">
        <f t="shared" si="2"/>
        <v>0</v>
      </c>
      <c r="L91" s="3">
        <f t="shared" si="3"/>
        <v>0</v>
      </c>
    </row>
    <row r="92" customHeight="1" spans="1:12">
      <c r="A92" s="47">
        <f>IFERROR(__xludf.DUMMYFUNCTION("""COMPUTED_VALUE"""),45873.6458333333)</f>
        <v>45873.6458333333</v>
      </c>
      <c r="B92" s="48">
        <f>IFERROR(__xludf.DUMMYFUNCTION("""COMPUTED_VALUE"""),2363.6)</f>
        <v>2363.6</v>
      </c>
      <c r="C92" s="47">
        <f>IFERROR(__xludf.DUMMYFUNCTION("""COMPUTED_VALUE"""),45873.6458333333)</f>
        <v>45873.6458333333</v>
      </c>
      <c r="D92" s="48">
        <f>IFERROR(__xludf.DUMMYFUNCTION("""COMPUTED_VALUE"""),2360)</f>
        <v>2360</v>
      </c>
      <c r="E92" s="47">
        <f>IFERROR(__xludf.DUMMYFUNCTION("""COMPUTED_VALUE"""),45873.6458333333)</f>
        <v>45873.6458333333</v>
      </c>
      <c r="F92" s="48">
        <f>IFERROR(__xludf.DUMMYFUNCTION("""COMPUTED_VALUE"""),576426)</f>
        <v>576426</v>
      </c>
      <c r="G92" s="47">
        <f>IFERROR(__xludf.DUMMYFUNCTION("""COMPUTED_VALUE"""),45873.6458333333)</f>
        <v>45873.6458333333</v>
      </c>
      <c r="H92" s="48">
        <f>IFERROR(__xludf.DUMMYFUNCTION("""COMPUTED_VALUE"""),2374.7)</f>
        <v>2374.7</v>
      </c>
      <c r="I92" s="47">
        <f>IFERROR(__xludf.DUMMYFUNCTION("""COMPUTED_VALUE"""),45873.6458333333)</f>
        <v>45873.6458333333</v>
      </c>
      <c r="J92" s="48">
        <f>IFERROR(__xludf.DUMMYFUNCTION("""COMPUTED_VALUE"""),2338.2)</f>
        <v>2338.2</v>
      </c>
      <c r="K92" s="3">
        <f t="shared" si="2"/>
        <v>0</v>
      </c>
      <c r="L92" s="3">
        <f t="shared" si="3"/>
        <v>0</v>
      </c>
    </row>
    <row r="93" customHeight="1" spans="1:12">
      <c r="A93" s="47">
        <f>IFERROR(__xludf.DUMMYFUNCTION("""COMPUTED_VALUE"""),45874.6458333333)</f>
        <v>45874.6458333333</v>
      </c>
      <c r="B93" s="48">
        <f>IFERROR(__xludf.DUMMYFUNCTION("""COMPUTED_VALUE"""),2328.2)</f>
        <v>2328.2</v>
      </c>
      <c r="C93" s="47">
        <f>IFERROR(__xludf.DUMMYFUNCTION("""COMPUTED_VALUE"""),45874.6458333333)</f>
        <v>45874.6458333333</v>
      </c>
      <c r="D93" s="48">
        <f>IFERROR(__xludf.DUMMYFUNCTION("""COMPUTED_VALUE"""),2370)</f>
        <v>2370</v>
      </c>
      <c r="E93" s="47">
        <f>IFERROR(__xludf.DUMMYFUNCTION("""COMPUTED_VALUE"""),45874.6458333333)</f>
        <v>45874.6458333333</v>
      </c>
      <c r="F93" s="48">
        <f>IFERROR(__xludf.DUMMYFUNCTION("""COMPUTED_VALUE"""),576742)</f>
        <v>576742</v>
      </c>
      <c r="G93" s="47">
        <f>IFERROR(__xludf.DUMMYFUNCTION("""COMPUTED_VALUE"""),45874.6458333333)</f>
        <v>45874.6458333333</v>
      </c>
      <c r="H93" s="48">
        <f>IFERROR(__xludf.DUMMYFUNCTION("""COMPUTED_VALUE"""),2370)</f>
        <v>2370</v>
      </c>
      <c r="I93" s="47">
        <f>IFERROR(__xludf.DUMMYFUNCTION("""COMPUTED_VALUE"""),45874.6458333333)</f>
        <v>45874.6458333333</v>
      </c>
      <c r="J93" s="48">
        <f>IFERROR(__xludf.DUMMYFUNCTION("""COMPUTED_VALUE"""),2316)</f>
        <v>2316</v>
      </c>
      <c r="K93" s="3">
        <f t="shared" si="2"/>
        <v>0</v>
      </c>
      <c r="L93" s="3">
        <f t="shared" si="3"/>
        <v>0</v>
      </c>
    </row>
    <row r="94" customHeight="1" spans="1:12">
      <c r="A94" s="47">
        <f>IFERROR(__xludf.DUMMYFUNCTION("""COMPUTED_VALUE"""),45875.6458333333)</f>
        <v>45875.6458333333</v>
      </c>
      <c r="B94" s="48">
        <f>IFERROR(__xludf.DUMMYFUNCTION("""COMPUTED_VALUE"""),2300.3)</f>
        <v>2300.3</v>
      </c>
      <c r="C94" s="47">
        <f>IFERROR(__xludf.DUMMYFUNCTION("""COMPUTED_VALUE"""),45875.6458333333)</f>
        <v>45875.6458333333</v>
      </c>
      <c r="D94" s="48">
        <f>IFERROR(__xludf.DUMMYFUNCTION("""COMPUTED_VALUE"""),2333.9)</f>
        <v>2333.9</v>
      </c>
      <c r="E94" s="47">
        <f>IFERROR(__xludf.DUMMYFUNCTION("""COMPUTED_VALUE"""),45875.6458333333)</f>
        <v>45875.6458333333</v>
      </c>
      <c r="F94" s="48">
        <f>IFERROR(__xludf.DUMMYFUNCTION("""COMPUTED_VALUE"""),631582)</f>
        <v>631582</v>
      </c>
      <c r="G94" s="47">
        <f>IFERROR(__xludf.DUMMYFUNCTION("""COMPUTED_VALUE"""),45875.6458333333)</f>
        <v>45875.6458333333</v>
      </c>
      <c r="H94" s="48">
        <f>IFERROR(__xludf.DUMMYFUNCTION("""COMPUTED_VALUE"""),2347.9)</f>
        <v>2347.9</v>
      </c>
      <c r="I94" s="47">
        <f>IFERROR(__xludf.DUMMYFUNCTION("""COMPUTED_VALUE"""),45875.6458333333)</f>
        <v>45875.6458333333</v>
      </c>
      <c r="J94" s="48">
        <f>IFERROR(__xludf.DUMMYFUNCTION("""COMPUTED_VALUE"""),2296)</f>
        <v>2296</v>
      </c>
      <c r="K94" s="3">
        <f t="shared" si="2"/>
        <v>0</v>
      </c>
      <c r="L94" s="3">
        <f t="shared" si="3"/>
        <v>0</v>
      </c>
    </row>
    <row r="95" customHeight="1" spans="1:12">
      <c r="A95" s="47">
        <f>IFERROR(__xludf.DUMMYFUNCTION("""COMPUTED_VALUE"""),45876.6458333333)</f>
        <v>45876.6458333333</v>
      </c>
      <c r="B95" s="48">
        <f>IFERROR(__xludf.DUMMYFUNCTION("""COMPUTED_VALUE"""),2249.8)</f>
        <v>2249.8</v>
      </c>
      <c r="C95" s="47">
        <f>IFERROR(__xludf.DUMMYFUNCTION("""COMPUTED_VALUE"""),45876.6458333333)</f>
        <v>45876.6458333333</v>
      </c>
      <c r="D95" s="48">
        <f>IFERROR(__xludf.DUMMYFUNCTION("""COMPUTED_VALUE"""),2290)</f>
        <v>2290</v>
      </c>
      <c r="E95" s="47">
        <f>IFERROR(__xludf.DUMMYFUNCTION("""COMPUTED_VALUE"""),45876.6458333333)</f>
        <v>45876.6458333333</v>
      </c>
      <c r="F95" s="48">
        <f>IFERROR(__xludf.DUMMYFUNCTION("""COMPUTED_VALUE"""),1529410)</f>
        <v>1529410</v>
      </c>
      <c r="G95" s="47">
        <f>IFERROR(__xludf.DUMMYFUNCTION("""COMPUTED_VALUE"""),45876.6458333333)</f>
        <v>45876.6458333333</v>
      </c>
      <c r="H95" s="48">
        <f>IFERROR(__xludf.DUMMYFUNCTION("""COMPUTED_VALUE"""),2295)</f>
        <v>2295</v>
      </c>
      <c r="I95" s="47">
        <f>IFERROR(__xludf.DUMMYFUNCTION("""COMPUTED_VALUE"""),45876.6458333333)</f>
        <v>45876.6458333333</v>
      </c>
      <c r="J95" s="48">
        <f>IFERROR(__xludf.DUMMYFUNCTION("""COMPUTED_VALUE"""),2202.8)</f>
        <v>2202.8</v>
      </c>
      <c r="K95" s="3">
        <f t="shared" si="2"/>
        <v>0</v>
      </c>
      <c r="L95" s="3">
        <f t="shared" si="3"/>
        <v>0</v>
      </c>
    </row>
    <row r="96" customHeight="1" spans="1:12">
      <c r="A96" s="47">
        <f>IFERROR(__xludf.DUMMYFUNCTION("""COMPUTED_VALUE"""),45877.6458333333)</f>
        <v>45877.6458333333</v>
      </c>
      <c r="B96" s="48">
        <f>IFERROR(__xludf.DUMMYFUNCTION("""COMPUTED_VALUE"""),2178.1)</f>
        <v>2178.1</v>
      </c>
      <c r="C96" s="47">
        <f>IFERROR(__xludf.DUMMYFUNCTION("""COMPUTED_VALUE"""),45877.6458333333)</f>
        <v>45877.6458333333</v>
      </c>
      <c r="D96" s="48">
        <f>IFERROR(__xludf.DUMMYFUNCTION("""COMPUTED_VALUE"""),2247)</f>
        <v>2247</v>
      </c>
      <c r="E96" s="47">
        <f>IFERROR(__xludf.DUMMYFUNCTION("""COMPUTED_VALUE"""),45877.6458333333)</f>
        <v>45877.6458333333</v>
      </c>
      <c r="F96" s="48">
        <f>IFERROR(__xludf.DUMMYFUNCTION("""COMPUTED_VALUE"""),2552736)</f>
        <v>2552736</v>
      </c>
      <c r="G96" s="47">
        <f>IFERROR(__xludf.DUMMYFUNCTION("""COMPUTED_VALUE"""),45877.6458333333)</f>
        <v>45877.6458333333</v>
      </c>
      <c r="H96" s="48">
        <f>IFERROR(__xludf.DUMMYFUNCTION("""COMPUTED_VALUE"""),2260.9)</f>
        <v>2260.9</v>
      </c>
      <c r="I96" s="47">
        <f>IFERROR(__xludf.DUMMYFUNCTION("""COMPUTED_VALUE"""),45877.6458333333)</f>
        <v>45877.6458333333</v>
      </c>
      <c r="J96" s="48">
        <f>IFERROR(__xludf.DUMMYFUNCTION("""COMPUTED_VALUE"""),2164.8)</f>
        <v>2164.8</v>
      </c>
      <c r="K96" s="3">
        <f t="shared" si="2"/>
        <v>0</v>
      </c>
      <c r="L96" s="3">
        <f t="shared" si="3"/>
        <v>2178.1</v>
      </c>
    </row>
    <row r="97" customHeight="1" spans="1:12">
      <c r="A97" s="47">
        <f>IFERROR(__xludf.DUMMYFUNCTION("""COMPUTED_VALUE"""),45880.6458333333)</f>
        <v>45880.6458333333</v>
      </c>
      <c r="B97" s="48">
        <f>IFERROR(__xludf.DUMMYFUNCTION("""COMPUTED_VALUE"""),2283.4)</f>
        <v>2283.4</v>
      </c>
      <c r="C97" s="47">
        <f>IFERROR(__xludf.DUMMYFUNCTION("""COMPUTED_VALUE"""),45880.6458333333)</f>
        <v>45880.6458333333</v>
      </c>
      <c r="D97" s="48">
        <f>IFERROR(__xludf.DUMMYFUNCTION("""COMPUTED_VALUE"""),2196)</f>
        <v>2196</v>
      </c>
      <c r="E97" s="47">
        <f>IFERROR(__xludf.DUMMYFUNCTION("""COMPUTED_VALUE"""),45880.6458333333)</f>
        <v>45880.6458333333</v>
      </c>
      <c r="F97" s="48">
        <f>IFERROR(__xludf.DUMMYFUNCTION("""COMPUTED_VALUE"""),2376286)</f>
        <v>2376286</v>
      </c>
      <c r="G97" s="47">
        <f>IFERROR(__xludf.DUMMYFUNCTION("""COMPUTED_VALUE"""),45880.6458333333)</f>
        <v>45880.6458333333</v>
      </c>
      <c r="H97" s="48">
        <f>IFERROR(__xludf.DUMMYFUNCTION("""COMPUTED_VALUE"""),2302)</f>
        <v>2302</v>
      </c>
      <c r="I97" s="47">
        <f>IFERROR(__xludf.DUMMYFUNCTION("""COMPUTED_VALUE"""),45880.6458333333)</f>
        <v>45880.6458333333</v>
      </c>
      <c r="J97" s="48">
        <f>IFERROR(__xludf.DUMMYFUNCTION("""COMPUTED_VALUE"""),2183)</f>
        <v>2183</v>
      </c>
      <c r="K97" s="3">
        <f t="shared" si="2"/>
        <v>0</v>
      </c>
      <c r="L97" s="3">
        <f t="shared" si="3"/>
        <v>0</v>
      </c>
    </row>
    <row r="98" customHeight="1" spans="1:12">
      <c r="A98" s="47">
        <f>IFERROR(__xludf.DUMMYFUNCTION("""COMPUTED_VALUE"""),45881.6458333333)</f>
        <v>45881.6458333333</v>
      </c>
      <c r="B98" s="48">
        <f>IFERROR(__xludf.DUMMYFUNCTION("""COMPUTED_VALUE"""),2288.2)</f>
        <v>2288.2</v>
      </c>
      <c r="C98" s="47">
        <f>IFERROR(__xludf.DUMMYFUNCTION("""COMPUTED_VALUE"""),45881.6458333333)</f>
        <v>45881.6458333333</v>
      </c>
      <c r="D98" s="48">
        <f>IFERROR(__xludf.DUMMYFUNCTION("""COMPUTED_VALUE"""),2280.1)</f>
        <v>2280.1</v>
      </c>
      <c r="E98" s="47">
        <f>IFERROR(__xludf.DUMMYFUNCTION("""COMPUTED_VALUE"""),45881.6458333333)</f>
        <v>45881.6458333333</v>
      </c>
      <c r="F98" s="48">
        <f>IFERROR(__xludf.DUMMYFUNCTION("""COMPUTED_VALUE"""),1075526)</f>
        <v>1075526</v>
      </c>
      <c r="G98" s="47">
        <f>IFERROR(__xludf.DUMMYFUNCTION("""COMPUTED_VALUE"""),45881.6458333333)</f>
        <v>45881.6458333333</v>
      </c>
      <c r="H98" s="48">
        <f>IFERROR(__xludf.DUMMYFUNCTION("""COMPUTED_VALUE"""),2314.7)</f>
        <v>2314.7</v>
      </c>
      <c r="I98" s="47">
        <f>IFERROR(__xludf.DUMMYFUNCTION("""COMPUTED_VALUE"""),45881.6458333333)</f>
        <v>45881.6458333333</v>
      </c>
      <c r="J98" s="48">
        <f>IFERROR(__xludf.DUMMYFUNCTION("""COMPUTED_VALUE"""),2267)</f>
        <v>2267</v>
      </c>
      <c r="K98" s="3">
        <f t="shared" si="2"/>
        <v>0</v>
      </c>
      <c r="L98" s="3">
        <f t="shared" si="3"/>
        <v>0</v>
      </c>
    </row>
    <row r="99" customHeight="1" spans="1:12">
      <c r="A99" s="47">
        <f>IFERROR(__xludf.DUMMYFUNCTION("""COMPUTED_VALUE"""),45882.6458333333)</f>
        <v>45882.6458333333</v>
      </c>
      <c r="B99" s="48">
        <f>IFERROR(__xludf.DUMMYFUNCTION("""COMPUTED_VALUE"""),2280.1)</f>
        <v>2280.1</v>
      </c>
      <c r="C99" s="47">
        <f>IFERROR(__xludf.DUMMYFUNCTION("""COMPUTED_VALUE"""),45882.6458333333)</f>
        <v>45882.6458333333</v>
      </c>
      <c r="D99" s="48">
        <f>IFERROR(__xludf.DUMMYFUNCTION("""COMPUTED_VALUE"""),2299)</f>
        <v>2299</v>
      </c>
      <c r="E99" s="47">
        <f>IFERROR(__xludf.DUMMYFUNCTION("""COMPUTED_VALUE"""),45882.6458333333)</f>
        <v>45882.6458333333</v>
      </c>
      <c r="F99" s="48">
        <f>IFERROR(__xludf.DUMMYFUNCTION("""COMPUTED_VALUE"""),833679)</f>
        <v>833679</v>
      </c>
      <c r="G99" s="47">
        <f>IFERROR(__xludf.DUMMYFUNCTION("""COMPUTED_VALUE"""),45882.6458333333)</f>
        <v>45882.6458333333</v>
      </c>
      <c r="H99" s="48">
        <f>IFERROR(__xludf.DUMMYFUNCTION("""COMPUTED_VALUE"""),2314.9)</f>
        <v>2314.9</v>
      </c>
      <c r="I99" s="47">
        <f>IFERROR(__xludf.DUMMYFUNCTION("""COMPUTED_VALUE"""),45882.6458333333)</f>
        <v>45882.6458333333</v>
      </c>
      <c r="J99" s="48">
        <f>IFERROR(__xludf.DUMMYFUNCTION("""COMPUTED_VALUE"""),2245.4)</f>
        <v>2245.4</v>
      </c>
      <c r="K99" s="3">
        <f t="shared" si="2"/>
        <v>0</v>
      </c>
      <c r="L99" s="3">
        <f t="shared" si="3"/>
        <v>0</v>
      </c>
    </row>
    <row r="100" customHeight="1" spans="1:12">
      <c r="A100" s="47">
        <f>IFERROR(__xludf.DUMMYFUNCTION("""COMPUTED_VALUE"""),45883.6458333333)</f>
        <v>45883.6458333333</v>
      </c>
      <c r="B100" s="48">
        <f>IFERROR(__xludf.DUMMYFUNCTION("""COMPUTED_VALUE"""),2281.6)</f>
        <v>2281.6</v>
      </c>
      <c r="C100" s="47">
        <f>IFERROR(__xludf.DUMMYFUNCTION("""COMPUTED_VALUE"""),45883.6458333333)</f>
        <v>45883.6458333333</v>
      </c>
      <c r="D100" s="48">
        <f>IFERROR(__xludf.DUMMYFUNCTION("""COMPUTED_VALUE"""),2288)</f>
        <v>2288</v>
      </c>
      <c r="E100" s="47">
        <f>IFERROR(__xludf.DUMMYFUNCTION("""COMPUTED_VALUE"""),45883.6458333333)</f>
        <v>45883.6458333333</v>
      </c>
      <c r="F100" s="48">
        <f>IFERROR(__xludf.DUMMYFUNCTION("""COMPUTED_VALUE"""),998109)</f>
        <v>998109</v>
      </c>
      <c r="G100" s="47">
        <f>IFERROR(__xludf.DUMMYFUNCTION("""COMPUTED_VALUE"""),45883.6458333333)</f>
        <v>45883.6458333333</v>
      </c>
      <c r="H100" s="48">
        <f>IFERROR(__xludf.DUMMYFUNCTION("""COMPUTED_VALUE"""),2304)</f>
        <v>2304</v>
      </c>
      <c r="I100" s="47">
        <f>IFERROR(__xludf.DUMMYFUNCTION("""COMPUTED_VALUE"""),45883.6458333333)</f>
        <v>45883.6458333333</v>
      </c>
      <c r="J100" s="48">
        <f>IFERROR(__xludf.DUMMYFUNCTION("""COMPUTED_VALUE"""),2267.7)</f>
        <v>2267.7</v>
      </c>
      <c r="K100" s="3">
        <f t="shared" si="2"/>
        <v>0</v>
      </c>
      <c r="L100" s="3">
        <f t="shared" si="3"/>
        <v>0</v>
      </c>
    </row>
    <row r="101" customHeight="1" spans="1:12">
      <c r="A101" s="47">
        <f>IFERROR(__xludf.DUMMYFUNCTION("""COMPUTED_VALUE"""),45887.6458333333)</f>
        <v>45887.6458333333</v>
      </c>
      <c r="B101" s="48">
        <f>IFERROR(__xludf.DUMMYFUNCTION("""COMPUTED_VALUE"""),2333.6)</f>
        <v>2333.6</v>
      </c>
      <c r="C101" s="47">
        <f>IFERROR(__xludf.DUMMYFUNCTION("""COMPUTED_VALUE"""),45887.6458333333)</f>
        <v>45887.6458333333</v>
      </c>
      <c r="D101" s="48">
        <f>IFERROR(__xludf.DUMMYFUNCTION("""COMPUTED_VALUE"""),2309.6)</f>
        <v>2309.6</v>
      </c>
      <c r="E101" s="47">
        <f>IFERROR(__xludf.DUMMYFUNCTION("""COMPUTED_VALUE"""),45887.6458333333)</f>
        <v>45887.6458333333</v>
      </c>
      <c r="F101" s="48">
        <f>IFERROR(__xludf.DUMMYFUNCTION("""COMPUTED_VALUE"""),988629)</f>
        <v>988629</v>
      </c>
      <c r="G101" s="47">
        <f>IFERROR(__xludf.DUMMYFUNCTION("""COMPUTED_VALUE"""),45887.6458333333)</f>
        <v>45887.6458333333</v>
      </c>
      <c r="H101" s="48">
        <f>IFERROR(__xludf.DUMMYFUNCTION("""COMPUTED_VALUE"""),2360)</f>
        <v>2360</v>
      </c>
      <c r="I101" s="47">
        <f>IFERROR(__xludf.DUMMYFUNCTION("""COMPUTED_VALUE"""),45887.6458333333)</f>
        <v>45887.6458333333</v>
      </c>
      <c r="J101" s="48">
        <f>IFERROR(__xludf.DUMMYFUNCTION("""COMPUTED_VALUE"""),2300)</f>
        <v>2300</v>
      </c>
      <c r="K101" s="3">
        <f t="shared" si="2"/>
        <v>0</v>
      </c>
      <c r="L101" s="3">
        <f t="shared" si="3"/>
        <v>0</v>
      </c>
    </row>
    <row r="102" customHeight="1" spans="1:12">
      <c r="A102" s="47">
        <f>IFERROR(__xludf.DUMMYFUNCTION("""COMPUTED_VALUE"""),45888.6458333333)</f>
        <v>45888.6458333333</v>
      </c>
      <c r="B102" s="48">
        <f>IFERROR(__xludf.DUMMYFUNCTION("""COMPUTED_VALUE"""),2388.4)</f>
        <v>2388.4</v>
      </c>
      <c r="C102" s="47">
        <f>IFERROR(__xludf.DUMMYFUNCTION("""COMPUTED_VALUE"""),45888.6458333333)</f>
        <v>45888.6458333333</v>
      </c>
      <c r="D102" s="48">
        <f>IFERROR(__xludf.DUMMYFUNCTION("""COMPUTED_VALUE"""),2339.9)</f>
        <v>2339.9</v>
      </c>
      <c r="E102" s="47">
        <f>IFERROR(__xludf.DUMMYFUNCTION("""COMPUTED_VALUE"""),45888.6458333333)</f>
        <v>45888.6458333333</v>
      </c>
      <c r="F102" s="48">
        <f>IFERROR(__xludf.DUMMYFUNCTION("""COMPUTED_VALUE"""),1069432)</f>
        <v>1069432</v>
      </c>
      <c r="G102" s="47">
        <f>IFERROR(__xludf.DUMMYFUNCTION("""COMPUTED_VALUE"""),45888.6458333333)</f>
        <v>45888.6458333333</v>
      </c>
      <c r="H102" s="48">
        <f>IFERROR(__xludf.DUMMYFUNCTION("""COMPUTED_VALUE"""),2395.6)</f>
        <v>2395.6</v>
      </c>
      <c r="I102" s="47">
        <f>IFERROR(__xludf.DUMMYFUNCTION("""COMPUTED_VALUE"""),45888.6458333333)</f>
        <v>45888.6458333333</v>
      </c>
      <c r="J102" s="48">
        <f>IFERROR(__xludf.DUMMYFUNCTION("""COMPUTED_VALUE"""),2314.1)</f>
        <v>2314.1</v>
      </c>
      <c r="K102" s="3">
        <f t="shared" si="2"/>
        <v>2388.4</v>
      </c>
      <c r="L102" s="3">
        <f t="shared" si="3"/>
        <v>0</v>
      </c>
    </row>
    <row r="103" customHeight="1" spans="1:12">
      <c r="A103" s="47">
        <f>IFERROR(__xludf.DUMMYFUNCTION("""COMPUTED_VALUE"""),45889.6458333333)</f>
        <v>45889.6458333333</v>
      </c>
      <c r="B103" s="48">
        <f>IFERROR(__xludf.DUMMYFUNCTION("""COMPUTED_VALUE"""),2387.1)</f>
        <v>2387.1</v>
      </c>
      <c r="C103" s="47">
        <f>IFERROR(__xludf.DUMMYFUNCTION("""COMPUTED_VALUE"""),45889.6458333333)</f>
        <v>45889.6458333333</v>
      </c>
      <c r="D103" s="48">
        <f>IFERROR(__xludf.DUMMYFUNCTION("""COMPUTED_VALUE"""),2380)</f>
        <v>2380</v>
      </c>
      <c r="E103" s="47">
        <f>IFERROR(__xludf.DUMMYFUNCTION("""COMPUTED_VALUE"""),45889.6458333333)</f>
        <v>45889.6458333333</v>
      </c>
      <c r="F103" s="48">
        <f>IFERROR(__xludf.DUMMYFUNCTION("""COMPUTED_VALUE"""),780025)</f>
        <v>780025</v>
      </c>
      <c r="G103" s="47">
        <f>IFERROR(__xludf.DUMMYFUNCTION("""COMPUTED_VALUE"""),45889.6458333333)</f>
        <v>45889.6458333333</v>
      </c>
      <c r="H103" s="48">
        <f>IFERROR(__xludf.DUMMYFUNCTION("""COMPUTED_VALUE"""),2406)</f>
        <v>2406</v>
      </c>
      <c r="I103" s="47">
        <f>IFERROR(__xludf.DUMMYFUNCTION("""COMPUTED_VALUE"""),45889.6458333333)</f>
        <v>45889.6458333333</v>
      </c>
      <c r="J103" s="48">
        <f>IFERROR(__xludf.DUMMYFUNCTION("""COMPUTED_VALUE"""),2372.1)</f>
        <v>2372.1</v>
      </c>
      <c r="K103" s="3">
        <f t="shared" si="2"/>
        <v>0</v>
      </c>
      <c r="L103" s="3">
        <f t="shared" si="3"/>
        <v>0</v>
      </c>
    </row>
    <row r="104" customHeight="1" spans="1:12">
      <c r="A104" s="47">
        <f>IFERROR(__xludf.DUMMYFUNCTION("""COMPUTED_VALUE"""),45890.6458333333)</f>
        <v>45890.6458333333</v>
      </c>
      <c r="B104" s="48">
        <f>IFERROR(__xludf.DUMMYFUNCTION("""COMPUTED_VALUE"""),2377.2)</f>
        <v>2377.2</v>
      </c>
      <c r="C104" s="47">
        <f>IFERROR(__xludf.DUMMYFUNCTION("""COMPUTED_VALUE"""),45890.6458333333)</f>
        <v>45890.6458333333</v>
      </c>
      <c r="D104" s="48">
        <f>IFERROR(__xludf.DUMMYFUNCTION("""COMPUTED_VALUE"""),2387.1)</f>
        <v>2387.1</v>
      </c>
      <c r="E104" s="47">
        <f>IFERROR(__xludf.DUMMYFUNCTION("""COMPUTED_VALUE"""),45890.6458333333)</f>
        <v>45890.6458333333</v>
      </c>
      <c r="F104" s="48">
        <f>IFERROR(__xludf.DUMMYFUNCTION("""COMPUTED_VALUE"""),441867)</f>
        <v>441867</v>
      </c>
      <c r="G104" s="47">
        <f>IFERROR(__xludf.DUMMYFUNCTION("""COMPUTED_VALUE"""),45890.6458333333)</f>
        <v>45890.6458333333</v>
      </c>
      <c r="H104" s="48">
        <f>IFERROR(__xludf.DUMMYFUNCTION("""COMPUTED_VALUE"""),2397)</f>
        <v>2397</v>
      </c>
      <c r="I104" s="47">
        <f>IFERROR(__xludf.DUMMYFUNCTION("""COMPUTED_VALUE"""),45890.6458333333)</f>
        <v>45890.6458333333</v>
      </c>
      <c r="J104" s="48">
        <f>IFERROR(__xludf.DUMMYFUNCTION("""COMPUTED_VALUE"""),2371.4)</f>
        <v>2371.4</v>
      </c>
      <c r="K104" s="3">
        <f t="shared" si="2"/>
        <v>0</v>
      </c>
      <c r="L104" s="3">
        <f t="shared" si="3"/>
        <v>0</v>
      </c>
    </row>
    <row r="105" customHeight="1" spans="1:12">
      <c r="A105" s="47">
        <f>IFERROR(__xludf.DUMMYFUNCTION("""COMPUTED_VALUE"""),45891.6458333333)</f>
        <v>45891.6458333333</v>
      </c>
      <c r="B105" s="48">
        <f>IFERROR(__xludf.DUMMYFUNCTION("""COMPUTED_VALUE"""),2324.9)</f>
        <v>2324.9</v>
      </c>
      <c r="C105" s="47">
        <f>IFERROR(__xludf.DUMMYFUNCTION("""COMPUTED_VALUE"""),45891.6458333333)</f>
        <v>45891.6458333333</v>
      </c>
      <c r="D105" s="48">
        <f>IFERROR(__xludf.DUMMYFUNCTION("""COMPUTED_VALUE"""),2369.9)</f>
        <v>2369.9</v>
      </c>
      <c r="E105" s="47">
        <f>IFERROR(__xludf.DUMMYFUNCTION("""COMPUTED_VALUE"""),45891.6458333333)</f>
        <v>45891.6458333333</v>
      </c>
      <c r="F105" s="48">
        <f>IFERROR(__xludf.DUMMYFUNCTION("""COMPUTED_VALUE"""),584211)</f>
        <v>584211</v>
      </c>
      <c r="G105" s="47">
        <f>IFERROR(__xludf.DUMMYFUNCTION("""COMPUTED_VALUE"""),45891.6458333333)</f>
        <v>45891.6458333333</v>
      </c>
      <c r="H105" s="48">
        <f>IFERROR(__xludf.DUMMYFUNCTION("""COMPUTED_VALUE"""),2376.3)</f>
        <v>2376.3</v>
      </c>
      <c r="I105" s="47">
        <f>IFERROR(__xludf.DUMMYFUNCTION("""COMPUTED_VALUE"""),45891.6458333333)</f>
        <v>45891.6458333333</v>
      </c>
      <c r="J105" s="48">
        <f>IFERROR(__xludf.DUMMYFUNCTION("""COMPUTED_VALUE"""),2321)</f>
        <v>2321</v>
      </c>
      <c r="K105" s="3">
        <f t="shared" si="2"/>
        <v>0</v>
      </c>
      <c r="L105" s="3">
        <f t="shared" si="3"/>
        <v>0</v>
      </c>
    </row>
    <row r="106" customHeight="1" spans="1:12">
      <c r="A106" s="47">
        <f>IFERROR(__xludf.DUMMYFUNCTION("""COMPUTED_VALUE"""),45894.6458333333)</f>
        <v>45894.6458333333</v>
      </c>
      <c r="B106" s="48">
        <f>IFERROR(__xludf.DUMMYFUNCTION("""COMPUTED_VALUE"""),2302.9)</f>
        <v>2302.9</v>
      </c>
      <c r="C106" s="47">
        <f>IFERROR(__xludf.DUMMYFUNCTION("""COMPUTED_VALUE"""),45894.6458333333)</f>
        <v>45894.6458333333</v>
      </c>
      <c r="D106" s="48">
        <f>IFERROR(__xludf.DUMMYFUNCTION("""COMPUTED_VALUE"""),2335.7)</f>
        <v>2335.7</v>
      </c>
      <c r="E106" s="47">
        <f>IFERROR(__xludf.DUMMYFUNCTION("""COMPUTED_VALUE"""),45894.6458333333)</f>
        <v>45894.6458333333</v>
      </c>
      <c r="F106" s="48">
        <f>IFERROR(__xludf.DUMMYFUNCTION("""COMPUTED_VALUE"""),542455)</f>
        <v>542455</v>
      </c>
      <c r="G106" s="47">
        <f>IFERROR(__xludf.DUMMYFUNCTION("""COMPUTED_VALUE"""),45894.6458333333)</f>
        <v>45894.6458333333</v>
      </c>
      <c r="H106" s="48">
        <f>IFERROR(__xludf.DUMMYFUNCTION("""COMPUTED_VALUE"""),2348.4)</f>
        <v>2348.4</v>
      </c>
      <c r="I106" s="47">
        <f>IFERROR(__xludf.DUMMYFUNCTION("""COMPUTED_VALUE"""),45894.6458333333)</f>
        <v>45894.6458333333</v>
      </c>
      <c r="J106" s="48">
        <f>IFERROR(__xludf.DUMMYFUNCTION("""COMPUTED_VALUE"""),2300)</f>
        <v>2300</v>
      </c>
      <c r="K106" s="3">
        <f t="shared" si="2"/>
        <v>0</v>
      </c>
      <c r="L106" s="3">
        <f t="shared" si="3"/>
        <v>0</v>
      </c>
    </row>
    <row r="107" customHeight="1" spans="1:12">
      <c r="A107" s="47">
        <f>IFERROR(__xludf.DUMMYFUNCTION("""COMPUTED_VALUE"""),45895.6458333333)</f>
        <v>45895.6458333333</v>
      </c>
      <c r="B107" s="48">
        <f>IFERROR(__xludf.DUMMYFUNCTION("""COMPUTED_VALUE"""),2272)</f>
        <v>2272</v>
      </c>
      <c r="C107" s="47">
        <f>IFERROR(__xludf.DUMMYFUNCTION("""COMPUTED_VALUE"""),45895.6458333333)</f>
        <v>45895.6458333333</v>
      </c>
      <c r="D107" s="48">
        <f>IFERROR(__xludf.DUMMYFUNCTION("""COMPUTED_VALUE"""),2304)</f>
        <v>2304</v>
      </c>
      <c r="E107" s="47">
        <f>IFERROR(__xludf.DUMMYFUNCTION("""COMPUTED_VALUE"""),45895.6458333333)</f>
        <v>45895.6458333333</v>
      </c>
      <c r="F107" s="48">
        <f>IFERROR(__xludf.DUMMYFUNCTION("""COMPUTED_VALUE"""),1071550)</f>
        <v>1071550</v>
      </c>
      <c r="G107" s="47">
        <f>IFERROR(__xludf.DUMMYFUNCTION("""COMPUTED_VALUE"""),45895.6458333333)</f>
        <v>45895.6458333333</v>
      </c>
      <c r="H107" s="48">
        <f>IFERROR(__xludf.DUMMYFUNCTION("""COMPUTED_VALUE"""),2309.3)</f>
        <v>2309.3</v>
      </c>
      <c r="I107" s="47">
        <f>IFERROR(__xludf.DUMMYFUNCTION("""COMPUTED_VALUE"""),45895.6458333333)</f>
        <v>45895.6458333333</v>
      </c>
      <c r="J107" s="48">
        <f>IFERROR(__xludf.DUMMYFUNCTION("""COMPUTED_VALUE"""),2249.4)</f>
        <v>2249.4</v>
      </c>
      <c r="K107" s="3">
        <f t="shared" si="2"/>
        <v>0</v>
      </c>
      <c r="L107" s="3">
        <f t="shared" si="3"/>
        <v>0</v>
      </c>
    </row>
    <row r="108" customHeight="1" spans="1:12">
      <c r="A108" s="47">
        <f>IFERROR(__xludf.DUMMYFUNCTION("""COMPUTED_VALUE"""),45897.6458333333)</f>
        <v>45897.6458333333</v>
      </c>
      <c r="B108" s="48">
        <f>IFERROR(__xludf.DUMMYFUNCTION("""COMPUTED_VALUE"""),2275.2)</f>
        <v>2275.2</v>
      </c>
      <c r="C108" s="47">
        <f>IFERROR(__xludf.DUMMYFUNCTION("""COMPUTED_VALUE"""),45897.6458333333)</f>
        <v>45897.6458333333</v>
      </c>
      <c r="D108" s="48">
        <f>IFERROR(__xludf.DUMMYFUNCTION("""COMPUTED_VALUE"""),2271.9)</f>
        <v>2271.9</v>
      </c>
      <c r="E108" s="47">
        <f>IFERROR(__xludf.DUMMYFUNCTION("""COMPUTED_VALUE"""),45897.6458333333)</f>
        <v>45897.6458333333</v>
      </c>
      <c r="F108" s="48">
        <f>IFERROR(__xludf.DUMMYFUNCTION("""COMPUTED_VALUE"""),907868)</f>
        <v>907868</v>
      </c>
      <c r="G108" s="47">
        <f>IFERROR(__xludf.DUMMYFUNCTION("""COMPUTED_VALUE"""),45897.6458333333)</f>
        <v>45897.6458333333</v>
      </c>
      <c r="H108" s="48">
        <f>IFERROR(__xludf.DUMMYFUNCTION("""COMPUTED_VALUE"""),2327.9)</f>
        <v>2327.9</v>
      </c>
      <c r="I108" s="47">
        <f>IFERROR(__xludf.DUMMYFUNCTION("""COMPUTED_VALUE"""),45897.6458333333)</f>
        <v>45897.6458333333</v>
      </c>
      <c r="J108" s="48">
        <f>IFERROR(__xludf.DUMMYFUNCTION("""COMPUTED_VALUE"""),2255)</f>
        <v>2255</v>
      </c>
      <c r="K108" s="3">
        <f t="shared" si="2"/>
        <v>0</v>
      </c>
      <c r="L108" s="3">
        <f t="shared" si="3"/>
        <v>0</v>
      </c>
    </row>
    <row r="109" customHeight="1" spans="1:12">
      <c r="A109" s="47">
        <f>IFERROR(__xludf.DUMMYFUNCTION("""COMPUTED_VALUE"""),45898.6458333333)</f>
        <v>45898.6458333333</v>
      </c>
      <c r="B109" s="48">
        <f>IFERROR(__xludf.DUMMYFUNCTION("""COMPUTED_VALUE"""),2244.7)</f>
        <v>2244.7</v>
      </c>
      <c r="C109" s="47">
        <f>IFERROR(__xludf.DUMMYFUNCTION("""COMPUTED_VALUE"""),45898.6458333333)</f>
        <v>45898.6458333333</v>
      </c>
      <c r="D109" s="48">
        <f>IFERROR(__xludf.DUMMYFUNCTION("""COMPUTED_VALUE"""),2283)</f>
        <v>2283</v>
      </c>
      <c r="E109" s="47">
        <f>IFERROR(__xludf.DUMMYFUNCTION("""COMPUTED_VALUE"""),45898.6458333333)</f>
        <v>45898.6458333333</v>
      </c>
      <c r="F109" s="48">
        <f>IFERROR(__xludf.DUMMYFUNCTION("""COMPUTED_VALUE"""),795699)</f>
        <v>795699</v>
      </c>
      <c r="G109" s="47">
        <f>IFERROR(__xludf.DUMMYFUNCTION("""COMPUTED_VALUE"""),45898.6458333333)</f>
        <v>45898.6458333333</v>
      </c>
      <c r="H109" s="48">
        <f>IFERROR(__xludf.DUMMYFUNCTION("""COMPUTED_VALUE"""),2289.7)</f>
        <v>2289.7</v>
      </c>
      <c r="I109" s="47">
        <f>IFERROR(__xludf.DUMMYFUNCTION("""COMPUTED_VALUE"""),45898.6458333333)</f>
        <v>45898.6458333333</v>
      </c>
      <c r="J109" s="48">
        <f>IFERROR(__xludf.DUMMYFUNCTION("""COMPUTED_VALUE"""),2240)</f>
        <v>2240</v>
      </c>
      <c r="K109" s="3">
        <f t="shared" si="2"/>
        <v>0</v>
      </c>
      <c r="L109" s="3">
        <f t="shared" si="3"/>
        <v>2244.7</v>
      </c>
    </row>
    <row r="110" customHeight="1" spans="1:12">
      <c r="A110" s="47">
        <f>IFERROR(__xludf.DUMMYFUNCTION("""COMPUTED_VALUE"""),45901.6458333333)</f>
        <v>45901.6458333333</v>
      </c>
      <c r="B110" s="48">
        <f>IFERROR(__xludf.DUMMYFUNCTION("""COMPUTED_VALUE"""),2284.2)</f>
        <v>2284.2</v>
      </c>
      <c r="C110" s="47">
        <f>IFERROR(__xludf.DUMMYFUNCTION("""COMPUTED_VALUE"""),45901.6458333333)</f>
        <v>45901.6458333333</v>
      </c>
      <c r="D110" s="48">
        <f>IFERROR(__xludf.DUMMYFUNCTION("""COMPUTED_VALUE"""),2259)</f>
        <v>2259</v>
      </c>
      <c r="E110" s="47">
        <f>IFERROR(__xludf.DUMMYFUNCTION("""COMPUTED_VALUE"""),45901.6458333333)</f>
        <v>45901.6458333333</v>
      </c>
      <c r="F110" s="48">
        <f>IFERROR(__xludf.DUMMYFUNCTION("""COMPUTED_VALUE"""),425639)</f>
        <v>425639</v>
      </c>
      <c r="G110" s="47">
        <f>IFERROR(__xludf.DUMMYFUNCTION("""COMPUTED_VALUE"""),45901.6458333333)</f>
        <v>45901.6458333333</v>
      </c>
      <c r="H110" s="48">
        <f>IFERROR(__xludf.DUMMYFUNCTION("""COMPUTED_VALUE"""),2288)</f>
        <v>2288</v>
      </c>
      <c r="I110" s="47">
        <f>IFERROR(__xludf.DUMMYFUNCTION("""COMPUTED_VALUE"""),45901.6458333333)</f>
        <v>45901.6458333333</v>
      </c>
      <c r="J110" s="48">
        <f>IFERROR(__xludf.DUMMYFUNCTION("""COMPUTED_VALUE"""),2252.1)</f>
        <v>2252.1</v>
      </c>
      <c r="K110" s="3">
        <f t="shared" si="2"/>
        <v>0</v>
      </c>
      <c r="L110" s="3">
        <f t="shared" si="3"/>
        <v>0</v>
      </c>
    </row>
    <row r="111" customHeight="1" spans="1:12">
      <c r="A111" s="47">
        <f>IFERROR(__xludf.DUMMYFUNCTION("""COMPUTED_VALUE"""),45902.6458333333)</f>
        <v>45902.6458333333</v>
      </c>
      <c r="B111" s="48">
        <f>IFERROR(__xludf.DUMMYFUNCTION("""COMPUTED_VALUE"""),2274.2)</f>
        <v>2274.2</v>
      </c>
      <c r="C111" s="47">
        <f>IFERROR(__xludf.DUMMYFUNCTION("""COMPUTED_VALUE"""),45902.6458333333)</f>
        <v>45902.6458333333</v>
      </c>
      <c r="D111" s="48">
        <f>IFERROR(__xludf.DUMMYFUNCTION("""COMPUTED_VALUE"""),2291)</f>
        <v>2291</v>
      </c>
      <c r="E111" s="47">
        <f>IFERROR(__xludf.DUMMYFUNCTION("""COMPUTED_VALUE"""),45902.6458333333)</f>
        <v>45902.6458333333</v>
      </c>
      <c r="F111" s="48">
        <f>IFERROR(__xludf.DUMMYFUNCTION("""COMPUTED_VALUE"""),481894)</f>
        <v>481894</v>
      </c>
      <c r="G111" s="47">
        <f>IFERROR(__xludf.DUMMYFUNCTION("""COMPUTED_VALUE"""),45902.6458333333)</f>
        <v>45902.6458333333</v>
      </c>
      <c r="H111" s="48">
        <f>IFERROR(__xludf.DUMMYFUNCTION("""COMPUTED_VALUE"""),2302)</f>
        <v>2302</v>
      </c>
      <c r="I111" s="47">
        <f>IFERROR(__xludf.DUMMYFUNCTION("""COMPUTED_VALUE"""),45902.6458333333)</f>
        <v>45902.6458333333</v>
      </c>
      <c r="J111" s="48">
        <f>IFERROR(__xludf.DUMMYFUNCTION("""COMPUTED_VALUE"""),2264)</f>
        <v>2264</v>
      </c>
      <c r="K111" s="3">
        <f t="shared" si="2"/>
        <v>0</v>
      </c>
      <c r="L111" s="3">
        <f t="shared" si="3"/>
        <v>0</v>
      </c>
    </row>
    <row r="112" customHeight="1" spans="1:12">
      <c r="A112" s="47">
        <f>IFERROR(__xludf.DUMMYFUNCTION("""COMPUTED_VALUE"""),45903.6458333333)</f>
        <v>45903.6458333333</v>
      </c>
      <c r="B112" s="48">
        <f>IFERROR(__xludf.DUMMYFUNCTION("""COMPUTED_VALUE"""),2288.7)</f>
        <v>2288.7</v>
      </c>
      <c r="C112" s="47">
        <f>IFERROR(__xludf.DUMMYFUNCTION("""COMPUTED_VALUE"""),45903.6458333333)</f>
        <v>45903.6458333333</v>
      </c>
      <c r="D112" s="48">
        <f>IFERROR(__xludf.DUMMYFUNCTION("""COMPUTED_VALUE"""),2285)</f>
        <v>2285</v>
      </c>
      <c r="E112" s="47">
        <f>IFERROR(__xludf.DUMMYFUNCTION("""COMPUTED_VALUE"""),45903.6458333333)</f>
        <v>45903.6458333333</v>
      </c>
      <c r="F112" s="48">
        <f>IFERROR(__xludf.DUMMYFUNCTION("""COMPUTED_VALUE"""),443629)</f>
        <v>443629</v>
      </c>
      <c r="G112" s="47">
        <f>IFERROR(__xludf.DUMMYFUNCTION("""COMPUTED_VALUE"""),45903.6458333333)</f>
        <v>45903.6458333333</v>
      </c>
      <c r="H112" s="48">
        <f>IFERROR(__xludf.DUMMYFUNCTION("""COMPUTED_VALUE"""),2293)</f>
        <v>2293</v>
      </c>
      <c r="I112" s="47">
        <f>IFERROR(__xludf.DUMMYFUNCTION("""COMPUTED_VALUE"""),45903.6458333333)</f>
        <v>45903.6458333333</v>
      </c>
      <c r="J112" s="48">
        <f>IFERROR(__xludf.DUMMYFUNCTION("""COMPUTED_VALUE"""),2263.1)</f>
        <v>2263.1</v>
      </c>
      <c r="K112" s="3">
        <f t="shared" si="2"/>
        <v>0</v>
      </c>
      <c r="L112" s="3">
        <f t="shared" si="3"/>
        <v>0</v>
      </c>
    </row>
    <row r="113" customHeight="1" spans="1:12">
      <c r="A113" s="47">
        <f>IFERROR(__xludf.DUMMYFUNCTION("""COMPUTED_VALUE"""),45904.6458333333)</f>
        <v>45904.6458333333</v>
      </c>
      <c r="B113" s="48">
        <f>IFERROR(__xludf.DUMMYFUNCTION("""COMPUTED_VALUE"""),2278.8)</f>
        <v>2278.8</v>
      </c>
      <c r="C113" s="47">
        <f>IFERROR(__xludf.DUMMYFUNCTION("""COMPUTED_VALUE"""),45904.6458333333)</f>
        <v>45904.6458333333</v>
      </c>
      <c r="D113" s="48">
        <f>IFERROR(__xludf.DUMMYFUNCTION("""COMPUTED_VALUE"""),2309.9)</f>
        <v>2309.9</v>
      </c>
      <c r="E113" s="47">
        <f>IFERROR(__xludf.DUMMYFUNCTION("""COMPUTED_VALUE"""),45904.6458333333)</f>
        <v>45904.6458333333</v>
      </c>
      <c r="F113" s="48">
        <f>IFERROR(__xludf.DUMMYFUNCTION("""COMPUTED_VALUE"""),392697)</f>
        <v>392697</v>
      </c>
      <c r="G113" s="47">
        <f>IFERROR(__xludf.DUMMYFUNCTION("""COMPUTED_VALUE"""),45904.6458333333)</f>
        <v>45904.6458333333</v>
      </c>
      <c r="H113" s="48">
        <f>IFERROR(__xludf.DUMMYFUNCTION("""COMPUTED_VALUE"""),2317.3)</f>
        <v>2317.3</v>
      </c>
      <c r="I113" s="47">
        <f>IFERROR(__xludf.DUMMYFUNCTION("""COMPUTED_VALUE"""),45904.6458333333)</f>
        <v>45904.6458333333</v>
      </c>
      <c r="J113" s="48">
        <f>IFERROR(__xludf.DUMMYFUNCTION("""COMPUTED_VALUE"""),2275)</f>
        <v>2275</v>
      </c>
      <c r="K113" s="3">
        <f t="shared" si="2"/>
        <v>0</v>
      </c>
      <c r="L113" s="3">
        <f t="shared" si="3"/>
        <v>0</v>
      </c>
    </row>
    <row r="114" customHeight="1" spans="1:12">
      <c r="A114" s="47">
        <f>IFERROR(__xludf.DUMMYFUNCTION("""COMPUTED_VALUE"""),45905.6458333333)</f>
        <v>45905.6458333333</v>
      </c>
      <c r="B114" s="48">
        <f>IFERROR(__xludf.DUMMYFUNCTION("""COMPUTED_VALUE"""),2281.4)</f>
        <v>2281.4</v>
      </c>
      <c r="C114" s="47">
        <f>IFERROR(__xludf.DUMMYFUNCTION("""COMPUTED_VALUE"""),45905.6458333333)</f>
        <v>45905.6458333333</v>
      </c>
      <c r="D114" s="48">
        <f>IFERROR(__xludf.DUMMYFUNCTION("""COMPUTED_VALUE"""),2275)</f>
        <v>2275</v>
      </c>
      <c r="E114" s="47">
        <f>IFERROR(__xludf.DUMMYFUNCTION("""COMPUTED_VALUE"""),45905.6458333333)</f>
        <v>45905.6458333333</v>
      </c>
      <c r="F114" s="48">
        <f>IFERROR(__xludf.DUMMYFUNCTION("""COMPUTED_VALUE"""),443010)</f>
        <v>443010</v>
      </c>
      <c r="G114" s="47">
        <f>IFERROR(__xludf.DUMMYFUNCTION("""COMPUTED_VALUE"""),45905.6458333333)</f>
        <v>45905.6458333333</v>
      </c>
      <c r="H114" s="48">
        <f>IFERROR(__xludf.DUMMYFUNCTION("""COMPUTED_VALUE"""),2293.5)</f>
        <v>2293.5</v>
      </c>
      <c r="I114" s="47">
        <f>IFERROR(__xludf.DUMMYFUNCTION("""COMPUTED_VALUE"""),45905.6458333333)</f>
        <v>45905.6458333333</v>
      </c>
      <c r="J114" s="48">
        <f>IFERROR(__xludf.DUMMYFUNCTION("""COMPUTED_VALUE"""),2248)</f>
        <v>2248</v>
      </c>
      <c r="K114" s="3">
        <f t="shared" si="2"/>
        <v>0</v>
      </c>
      <c r="L114" s="3">
        <f t="shared" si="3"/>
        <v>0</v>
      </c>
    </row>
    <row r="115" customHeight="1" spans="1:12">
      <c r="A115" s="47">
        <f>IFERROR(__xludf.DUMMYFUNCTION("""COMPUTED_VALUE"""),45908.6458333333)</f>
        <v>45908.6458333333</v>
      </c>
      <c r="B115" s="48">
        <f>IFERROR(__xludf.DUMMYFUNCTION("""COMPUTED_VALUE"""),2310.9)</f>
        <v>2310.9</v>
      </c>
      <c r="C115" s="47">
        <f>IFERROR(__xludf.DUMMYFUNCTION("""COMPUTED_VALUE"""),45908.6458333333)</f>
        <v>45908.6458333333</v>
      </c>
      <c r="D115" s="48">
        <f>IFERROR(__xludf.DUMMYFUNCTION("""COMPUTED_VALUE"""),2290)</f>
        <v>2290</v>
      </c>
      <c r="E115" s="47">
        <f>IFERROR(__xludf.DUMMYFUNCTION("""COMPUTED_VALUE"""),45908.6458333333)</f>
        <v>45908.6458333333</v>
      </c>
      <c r="F115" s="48">
        <f>IFERROR(__xludf.DUMMYFUNCTION("""COMPUTED_VALUE"""),542811)</f>
        <v>542811</v>
      </c>
      <c r="G115" s="47">
        <f>IFERROR(__xludf.DUMMYFUNCTION("""COMPUTED_VALUE"""),45908.6458333333)</f>
        <v>45908.6458333333</v>
      </c>
      <c r="H115" s="48">
        <f>IFERROR(__xludf.DUMMYFUNCTION("""COMPUTED_VALUE"""),2333.9)</f>
        <v>2333.9</v>
      </c>
      <c r="I115" s="47">
        <f>IFERROR(__xludf.DUMMYFUNCTION("""COMPUTED_VALUE"""),45908.6458333333)</f>
        <v>45908.6458333333</v>
      </c>
      <c r="J115" s="48">
        <f>IFERROR(__xludf.DUMMYFUNCTION("""COMPUTED_VALUE"""),2286)</f>
        <v>2286</v>
      </c>
      <c r="K115" s="3">
        <f t="shared" si="2"/>
        <v>0</v>
      </c>
      <c r="L115" s="3">
        <f t="shared" si="3"/>
        <v>0</v>
      </c>
    </row>
    <row r="116" customHeight="1" spans="1:12">
      <c r="A116" s="47">
        <f>IFERROR(__xludf.DUMMYFUNCTION("""COMPUTED_VALUE"""),45909.6458333333)</f>
        <v>45909.6458333333</v>
      </c>
      <c r="B116" s="48">
        <f>IFERROR(__xludf.DUMMYFUNCTION("""COMPUTED_VALUE"""),2311.6)</f>
        <v>2311.6</v>
      </c>
      <c r="C116" s="47">
        <f>IFERROR(__xludf.DUMMYFUNCTION("""COMPUTED_VALUE"""),45909.6458333333)</f>
        <v>45909.6458333333</v>
      </c>
      <c r="D116" s="48">
        <f>IFERROR(__xludf.DUMMYFUNCTION("""COMPUTED_VALUE"""),2320)</f>
        <v>2320</v>
      </c>
      <c r="E116" s="47">
        <f>IFERROR(__xludf.DUMMYFUNCTION("""COMPUTED_VALUE"""),45909.6458333333)</f>
        <v>45909.6458333333</v>
      </c>
      <c r="F116" s="48">
        <f>IFERROR(__xludf.DUMMYFUNCTION("""COMPUTED_VALUE"""),369431)</f>
        <v>369431</v>
      </c>
      <c r="G116" s="47">
        <f>IFERROR(__xludf.DUMMYFUNCTION("""COMPUTED_VALUE"""),45909.6458333333)</f>
        <v>45909.6458333333</v>
      </c>
      <c r="H116" s="48">
        <f>IFERROR(__xludf.DUMMYFUNCTION("""COMPUTED_VALUE"""),2325)</f>
        <v>2325</v>
      </c>
      <c r="I116" s="47">
        <f>IFERROR(__xludf.DUMMYFUNCTION("""COMPUTED_VALUE"""),45909.6458333333)</f>
        <v>45909.6458333333</v>
      </c>
      <c r="J116" s="48">
        <f>IFERROR(__xludf.DUMMYFUNCTION("""COMPUTED_VALUE"""),2297)</f>
        <v>2297</v>
      </c>
      <c r="K116" s="3">
        <f t="shared" si="2"/>
        <v>0</v>
      </c>
      <c r="L116" s="3">
        <f t="shared" si="3"/>
        <v>0</v>
      </c>
    </row>
    <row r="117" customHeight="1" spans="1:12">
      <c r="A117" s="47">
        <f>IFERROR(__xludf.DUMMYFUNCTION("""COMPUTED_VALUE"""),45910.6458333333)</f>
        <v>45910.6458333333</v>
      </c>
      <c r="B117" s="48">
        <f>IFERROR(__xludf.DUMMYFUNCTION("""COMPUTED_VALUE"""),2340.2)</f>
        <v>2340.2</v>
      </c>
      <c r="C117" s="47">
        <f>IFERROR(__xludf.DUMMYFUNCTION("""COMPUTED_VALUE"""),45910.6458333333)</f>
        <v>45910.6458333333</v>
      </c>
      <c r="D117" s="48">
        <f>IFERROR(__xludf.DUMMYFUNCTION("""COMPUTED_VALUE"""),2330)</f>
        <v>2330</v>
      </c>
      <c r="E117" s="47">
        <f>IFERROR(__xludf.DUMMYFUNCTION("""COMPUTED_VALUE"""),45910.6458333333)</f>
        <v>45910.6458333333</v>
      </c>
      <c r="F117" s="48">
        <f>IFERROR(__xludf.DUMMYFUNCTION("""COMPUTED_VALUE"""),390490)</f>
        <v>390490</v>
      </c>
      <c r="G117" s="47">
        <f>IFERROR(__xludf.DUMMYFUNCTION("""COMPUTED_VALUE"""),45910.6458333333)</f>
        <v>45910.6458333333</v>
      </c>
      <c r="H117" s="48">
        <f>IFERROR(__xludf.DUMMYFUNCTION("""COMPUTED_VALUE"""),2345.9)</f>
        <v>2345.9</v>
      </c>
      <c r="I117" s="47">
        <f>IFERROR(__xludf.DUMMYFUNCTION("""COMPUTED_VALUE"""),45910.6458333333)</f>
        <v>45910.6458333333</v>
      </c>
      <c r="J117" s="48">
        <f>IFERROR(__xludf.DUMMYFUNCTION("""COMPUTED_VALUE"""),2325.1)</f>
        <v>2325.1</v>
      </c>
      <c r="K117" s="3">
        <f t="shared" si="2"/>
        <v>0</v>
      </c>
      <c r="L117" s="3">
        <f t="shared" si="3"/>
        <v>0</v>
      </c>
    </row>
    <row r="118" customHeight="1" spans="1:12">
      <c r="A118" s="47">
        <f>IFERROR(__xludf.DUMMYFUNCTION("""COMPUTED_VALUE"""),45911.6458333333)</f>
        <v>45911.6458333333</v>
      </c>
      <c r="B118" s="48">
        <f>IFERROR(__xludf.DUMMYFUNCTION("""COMPUTED_VALUE"""),2398.8)</f>
        <v>2398.8</v>
      </c>
      <c r="C118" s="47">
        <f>IFERROR(__xludf.DUMMYFUNCTION("""COMPUTED_VALUE"""),45911.6458333333)</f>
        <v>45911.6458333333</v>
      </c>
      <c r="D118" s="48">
        <f>IFERROR(__xludf.DUMMYFUNCTION("""COMPUTED_VALUE"""),2348)</f>
        <v>2348</v>
      </c>
      <c r="E118" s="47">
        <f>IFERROR(__xludf.DUMMYFUNCTION("""COMPUTED_VALUE"""),45911.6458333333)</f>
        <v>45911.6458333333</v>
      </c>
      <c r="F118" s="48">
        <f>IFERROR(__xludf.DUMMYFUNCTION("""COMPUTED_VALUE"""),2111888)</f>
        <v>2111888</v>
      </c>
      <c r="G118" s="47">
        <f>IFERROR(__xludf.DUMMYFUNCTION("""COMPUTED_VALUE"""),45911.6458333333)</f>
        <v>45911.6458333333</v>
      </c>
      <c r="H118" s="48">
        <f>IFERROR(__xludf.DUMMYFUNCTION("""COMPUTED_VALUE"""),2418.7)</f>
        <v>2418.7</v>
      </c>
      <c r="I118" s="47">
        <f>IFERROR(__xludf.DUMMYFUNCTION("""COMPUTED_VALUE"""),45911.6458333333)</f>
        <v>45911.6458333333</v>
      </c>
      <c r="J118" s="48">
        <f>IFERROR(__xludf.DUMMYFUNCTION("""COMPUTED_VALUE"""),2340.2)</f>
        <v>2340.2</v>
      </c>
      <c r="K118" s="3">
        <f t="shared" si="2"/>
        <v>0</v>
      </c>
      <c r="L118" s="3">
        <f t="shared" si="3"/>
        <v>0</v>
      </c>
    </row>
    <row r="119" customHeight="1" spans="1:12">
      <c r="A119" s="47">
        <f>IFERROR(__xludf.DUMMYFUNCTION("""COMPUTED_VALUE"""),45912.6458333333)</f>
        <v>45912.6458333333</v>
      </c>
      <c r="B119" s="48">
        <f>IFERROR(__xludf.DUMMYFUNCTION("""COMPUTED_VALUE"""),2392)</f>
        <v>2392</v>
      </c>
      <c r="C119" s="47">
        <f>IFERROR(__xludf.DUMMYFUNCTION("""COMPUTED_VALUE"""),45912.6458333333)</f>
        <v>45912.6458333333</v>
      </c>
      <c r="D119" s="48">
        <f>IFERROR(__xludf.DUMMYFUNCTION("""COMPUTED_VALUE"""),2416.9)</f>
        <v>2416.9</v>
      </c>
      <c r="E119" s="47">
        <f>IFERROR(__xludf.DUMMYFUNCTION("""COMPUTED_VALUE"""),45912.6458333333)</f>
        <v>45912.6458333333</v>
      </c>
      <c r="F119" s="48">
        <f>IFERROR(__xludf.DUMMYFUNCTION("""COMPUTED_VALUE"""),533971)</f>
        <v>533971</v>
      </c>
      <c r="G119" s="47">
        <f>IFERROR(__xludf.DUMMYFUNCTION("""COMPUTED_VALUE"""),45912.6458333333)</f>
        <v>45912.6458333333</v>
      </c>
      <c r="H119" s="48">
        <f>IFERROR(__xludf.DUMMYFUNCTION("""COMPUTED_VALUE"""),2421.6)</f>
        <v>2421.6</v>
      </c>
      <c r="I119" s="47">
        <f>IFERROR(__xludf.DUMMYFUNCTION("""COMPUTED_VALUE"""),45912.6458333333)</f>
        <v>45912.6458333333</v>
      </c>
      <c r="J119" s="48">
        <f>IFERROR(__xludf.DUMMYFUNCTION("""COMPUTED_VALUE"""),2387.1)</f>
        <v>2387.1</v>
      </c>
      <c r="K119" s="3">
        <f t="shared" si="2"/>
        <v>0</v>
      </c>
      <c r="L119" s="3">
        <f t="shared" si="3"/>
        <v>0</v>
      </c>
    </row>
    <row r="120" customHeight="1" spans="1:12">
      <c r="A120" s="47">
        <f>IFERROR(__xludf.DUMMYFUNCTION("""COMPUTED_VALUE"""),45915.6458333333)</f>
        <v>45915.6458333333</v>
      </c>
      <c r="B120" s="48">
        <f>IFERROR(__xludf.DUMMYFUNCTION("""COMPUTED_VALUE"""),2383.4)</f>
        <v>2383.4</v>
      </c>
      <c r="C120" s="47">
        <f>IFERROR(__xludf.DUMMYFUNCTION("""COMPUTED_VALUE"""),45915.6458333333)</f>
        <v>45915.6458333333</v>
      </c>
      <c r="D120" s="48">
        <f>IFERROR(__xludf.DUMMYFUNCTION("""COMPUTED_VALUE"""),2392)</f>
        <v>2392</v>
      </c>
      <c r="E120" s="47">
        <f>IFERROR(__xludf.DUMMYFUNCTION("""COMPUTED_VALUE"""),45915.6458333333)</f>
        <v>45915.6458333333</v>
      </c>
      <c r="F120" s="48">
        <f>IFERROR(__xludf.DUMMYFUNCTION("""COMPUTED_VALUE"""),298129)</f>
        <v>298129</v>
      </c>
      <c r="G120" s="47">
        <f>IFERROR(__xludf.DUMMYFUNCTION("""COMPUTED_VALUE"""),45915.6458333333)</f>
        <v>45915.6458333333</v>
      </c>
      <c r="H120" s="48">
        <f>IFERROR(__xludf.DUMMYFUNCTION("""COMPUTED_VALUE"""),2402.8)</f>
        <v>2402.8</v>
      </c>
      <c r="I120" s="47">
        <f>IFERROR(__xludf.DUMMYFUNCTION("""COMPUTED_VALUE"""),45915.6458333333)</f>
        <v>45915.6458333333</v>
      </c>
      <c r="J120" s="48">
        <f>IFERROR(__xludf.DUMMYFUNCTION("""COMPUTED_VALUE"""),2378.1)</f>
        <v>2378.1</v>
      </c>
      <c r="K120" s="3">
        <f t="shared" si="2"/>
        <v>0</v>
      </c>
      <c r="L120" s="3">
        <f t="shared" si="3"/>
        <v>0</v>
      </c>
    </row>
    <row r="121" customHeight="1" spans="1:12">
      <c r="A121" s="47">
        <f>IFERROR(__xludf.DUMMYFUNCTION("""COMPUTED_VALUE"""),45916.6458333333)</f>
        <v>45916.6458333333</v>
      </c>
      <c r="B121" s="48">
        <f>IFERROR(__xludf.DUMMYFUNCTION("""COMPUTED_VALUE"""),2399.4)</f>
        <v>2399.4</v>
      </c>
      <c r="C121" s="47">
        <f>IFERROR(__xludf.DUMMYFUNCTION("""COMPUTED_VALUE"""),45916.6458333333)</f>
        <v>45916.6458333333</v>
      </c>
      <c r="D121" s="48">
        <f>IFERROR(__xludf.DUMMYFUNCTION("""COMPUTED_VALUE"""),2410)</f>
        <v>2410</v>
      </c>
      <c r="E121" s="47">
        <f>IFERROR(__xludf.DUMMYFUNCTION("""COMPUTED_VALUE"""),45916.6458333333)</f>
        <v>45916.6458333333</v>
      </c>
      <c r="F121" s="48">
        <f>IFERROR(__xludf.DUMMYFUNCTION("""COMPUTED_VALUE"""),752979)</f>
        <v>752979</v>
      </c>
      <c r="G121" s="47">
        <f>IFERROR(__xludf.DUMMYFUNCTION("""COMPUTED_VALUE"""),45916.6458333333)</f>
        <v>45916.6458333333</v>
      </c>
      <c r="H121" s="48">
        <f>IFERROR(__xludf.DUMMYFUNCTION("""COMPUTED_VALUE"""),2415.8)</f>
        <v>2415.8</v>
      </c>
      <c r="I121" s="47">
        <f>IFERROR(__xludf.DUMMYFUNCTION("""COMPUTED_VALUE"""),45916.6458333333)</f>
        <v>45916.6458333333</v>
      </c>
      <c r="J121" s="48">
        <f>IFERROR(__xludf.DUMMYFUNCTION("""COMPUTED_VALUE"""),2388)</f>
        <v>2388</v>
      </c>
      <c r="K121" s="3">
        <f t="shared" si="2"/>
        <v>0</v>
      </c>
      <c r="L121" s="3">
        <f t="shared" si="3"/>
        <v>0</v>
      </c>
    </row>
    <row r="122" customHeight="1" spans="1:12">
      <c r="A122" s="47">
        <f>IFERROR(__xludf.DUMMYFUNCTION("""COMPUTED_VALUE"""),45917.6458333333)</f>
        <v>45917.6458333333</v>
      </c>
      <c r="B122" s="48">
        <f>IFERROR(__xludf.DUMMYFUNCTION("""COMPUTED_VALUE"""),2402)</f>
        <v>2402</v>
      </c>
      <c r="C122" s="47">
        <f>IFERROR(__xludf.DUMMYFUNCTION("""COMPUTED_VALUE"""),45917.6458333333)</f>
        <v>45917.6458333333</v>
      </c>
      <c r="D122" s="48">
        <f>IFERROR(__xludf.DUMMYFUNCTION("""COMPUTED_VALUE"""),2417)</f>
        <v>2417</v>
      </c>
      <c r="E122" s="47">
        <f>IFERROR(__xludf.DUMMYFUNCTION("""COMPUTED_VALUE"""),45917.6458333333)</f>
        <v>45917.6458333333</v>
      </c>
      <c r="F122" s="48">
        <f>IFERROR(__xludf.DUMMYFUNCTION("""COMPUTED_VALUE"""),514354)</f>
        <v>514354</v>
      </c>
      <c r="G122" s="47">
        <f>IFERROR(__xludf.DUMMYFUNCTION("""COMPUTED_VALUE"""),45917.6458333333)</f>
        <v>45917.6458333333</v>
      </c>
      <c r="H122" s="48">
        <f>IFERROR(__xludf.DUMMYFUNCTION("""COMPUTED_VALUE"""),2417)</f>
        <v>2417</v>
      </c>
      <c r="I122" s="47">
        <f>IFERROR(__xludf.DUMMYFUNCTION("""COMPUTED_VALUE"""),45917.6458333333)</f>
        <v>45917.6458333333</v>
      </c>
      <c r="J122" s="48">
        <f>IFERROR(__xludf.DUMMYFUNCTION("""COMPUTED_VALUE"""),2391)</f>
        <v>2391</v>
      </c>
      <c r="K122" s="3">
        <f t="shared" si="2"/>
        <v>0</v>
      </c>
      <c r="L122" s="3">
        <f t="shared" si="3"/>
        <v>0</v>
      </c>
    </row>
    <row r="123" customHeight="1" spans="1:12">
      <c r="A123" s="47">
        <f>IFERROR(__xludf.DUMMYFUNCTION("""COMPUTED_VALUE"""),45918.6458333333)</f>
        <v>45918.6458333333</v>
      </c>
      <c r="B123" s="48">
        <f>IFERROR(__xludf.DUMMYFUNCTION("""COMPUTED_VALUE"""),2402)</f>
        <v>2402</v>
      </c>
      <c r="C123" s="47">
        <f>IFERROR(__xludf.DUMMYFUNCTION("""COMPUTED_VALUE"""),45918.6458333333)</f>
        <v>45918.6458333333</v>
      </c>
      <c r="D123" s="48">
        <f>IFERROR(__xludf.DUMMYFUNCTION("""COMPUTED_VALUE"""),2414.5)</f>
        <v>2414.5</v>
      </c>
      <c r="E123" s="47">
        <f>IFERROR(__xludf.DUMMYFUNCTION("""COMPUTED_VALUE"""),45918.6458333333)</f>
        <v>45918.6458333333</v>
      </c>
      <c r="F123" s="48">
        <f>IFERROR(__xludf.DUMMYFUNCTION("""COMPUTED_VALUE"""),703730)</f>
        <v>703730</v>
      </c>
      <c r="G123" s="47">
        <f>IFERROR(__xludf.DUMMYFUNCTION("""COMPUTED_VALUE"""),45918.6458333333)</f>
        <v>45918.6458333333</v>
      </c>
      <c r="H123" s="48">
        <f>IFERROR(__xludf.DUMMYFUNCTION("""COMPUTED_VALUE"""),2438)</f>
        <v>2438</v>
      </c>
      <c r="I123" s="47">
        <f>IFERROR(__xludf.DUMMYFUNCTION("""COMPUTED_VALUE"""),45918.6458333333)</f>
        <v>45918.6458333333</v>
      </c>
      <c r="J123" s="48">
        <f>IFERROR(__xludf.DUMMYFUNCTION("""COMPUTED_VALUE"""),2388.4)</f>
        <v>2388.4</v>
      </c>
      <c r="K123" s="3">
        <f t="shared" si="2"/>
        <v>0</v>
      </c>
      <c r="L123" s="3">
        <f t="shared" si="3"/>
        <v>0</v>
      </c>
    </row>
    <row r="124" customHeight="1" spans="1:12">
      <c r="A124" s="47">
        <f>IFERROR(__xludf.DUMMYFUNCTION("""COMPUTED_VALUE"""),45919.6458333333)</f>
        <v>45919.6458333333</v>
      </c>
      <c r="B124" s="48">
        <f>IFERROR(__xludf.DUMMYFUNCTION("""COMPUTED_VALUE"""),2524)</f>
        <v>2524</v>
      </c>
      <c r="C124" s="47">
        <f>IFERROR(__xludf.DUMMYFUNCTION("""COMPUTED_VALUE"""),45919.6458333333)</f>
        <v>45919.6458333333</v>
      </c>
      <c r="D124" s="48">
        <f>IFERROR(__xludf.DUMMYFUNCTION("""COMPUTED_VALUE"""),2495)</f>
        <v>2495</v>
      </c>
      <c r="E124" s="47">
        <f>IFERROR(__xludf.DUMMYFUNCTION("""COMPUTED_VALUE"""),45919.6458333333)</f>
        <v>45919.6458333333</v>
      </c>
      <c r="F124" s="48">
        <f>IFERROR(__xludf.DUMMYFUNCTION("""COMPUTED_VALUE"""),7965135)</f>
        <v>7965135</v>
      </c>
      <c r="G124" s="47">
        <f>IFERROR(__xludf.DUMMYFUNCTION("""COMPUTED_VALUE"""),45919.6458333333)</f>
        <v>45919.6458333333</v>
      </c>
      <c r="H124" s="48">
        <f>IFERROR(__xludf.DUMMYFUNCTION("""COMPUTED_VALUE"""),2579)</f>
        <v>2579</v>
      </c>
      <c r="I124" s="47">
        <f>IFERROR(__xludf.DUMMYFUNCTION("""COMPUTED_VALUE"""),45919.6458333333)</f>
        <v>45919.6458333333</v>
      </c>
      <c r="J124" s="48">
        <f>IFERROR(__xludf.DUMMYFUNCTION("""COMPUTED_VALUE"""),2466.1)</f>
        <v>2466.1</v>
      </c>
      <c r="K124" s="3">
        <f t="shared" si="2"/>
        <v>0</v>
      </c>
      <c r="L124" s="3">
        <f t="shared" si="3"/>
        <v>0</v>
      </c>
    </row>
    <row r="125" customHeight="1" spans="1:12">
      <c r="A125" s="47">
        <f>IFERROR(__xludf.DUMMYFUNCTION("""COMPUTED_VALUE"""),45922.6458333333)</f>
        <v>45922.6458333333</v>
      </c>
      <c r="B125" s="48">
        <f>IFERROR(__xludf.DUMMYFUNCTION("""COMPUTED_VALUE"""),2629.5)</f>
        <v>2629.5</v>
      </c>
      <c r="C125" s="47">
        <f>IFERROR(__xludf.DUMMYFUNCTION("""COMPUTED_VALUE"""),45922.6458333333)</f>
        <v>45922.6458333333</v>
      </c>
      <c r="D125" s="48">
        <f>IFERROR(__xludf.DUMMYFUNCTION("""COMPUTED_VALUE"""),2535)</f>
        <v>2535</v>
      </c>
      <c r="E125" s="47">
        <f>IFERROR(__xludf.DUMMYFUNCTION("""COMPUTED_VALUE"""),45922.6458333333)</f>
        <v>45922.6458333333</v>
      </c>
      <c r="F125" s="48">
        <f>IFERROR(__xludf.DUMMYFUNCTION("""COMPUTED_VALUE"""),7022985)</f>
        <v>7022985</v>
      </c>
      <c r="G125" s="47">
        <f>IFERROR(__xludf.DUMMYFUNCTION("""COMPUTED_VALUE"""),45922.6458333333)</f>
        <v>45922.6458333333</v>
      </c>
      <c r="H125" s="48">
        <f>IFERROR(__xludf.DUMMYFUNCTION("""COMPUTED_VALUE"""),2659)</f>
        <v>2659</v>
      </c>
      <c r="I125" s="47">
        <f>IFERROR(__xludf.DUMMYFUNCTION("""COMPUTED_VALUE"""),45922.6458333333)</f>
        <v>45922.6458333333</v>
      </c>
      <c r="J125" s="48">
        <f>IFERROR(__xludf.DUMMYFUNCTION("""COMPUTED_VALUE"""),2522.1)</f>
        <v>2522.1</v>
      </c>
      <c r="K125" s="3">
        <f t="shared" si="2"/>
        <v>0</v>
      </c>
      <c r="L125" s="3">
        <f t="shared" si="3"/>
        <v>0</v>
      </c>
    </row>
    <row r="126" customHeight="1" spans="1:10">
      <c r="A126" s="47">
        <f>IFERROR(__xludf.DUMMYFUNCTION("""COMPUTED_VALUE"""),45923.6458333333)</f>
        <v>45923.6458333333</v>
      </c>
      <c r="B126" s="48">
        <f>IFERROR(__xludf.DUMMYFUNCTION("""COMPUTED_VALUE"""),2676.4)</f>
        <v>2676.4</v>
      </c>
      <c r="C126" s="47">
        <f>IFERROR(__xludf.DUMMYFUNCTION("""COMPUTED_VALUE"""),45923.6458333333)</f>
        <v>45923.6458333333</v>
      </c>
      <c r="D126" s="48">
        <f>IFERROR(__xludf.DUMMYFUNCTION("""COMPUTED_VALUE"""),2642.6)</f>
        <v>2642.6</v>
      </c>
      <c r="E126" s="47">
        <f>IFERROR(__xludf.DUMMYFUNCTION("""COMPUTED_VALUE"""),45923.6458333333)</f>
        <v>45923.6458333333</v>
      </c>
      <c r="F126" s="48">
        <f>IFERROR(__xludf.DUMMYFUNCTION("""COMPUTED_VALUE"""),5610022)</f>
        <v>5610022</v>
      </c>
      <c r="G126" s="47">
        <f>IFERROR(__xludf.DUMMYFUNCTION("""COMPUTED_VALUE"""),45923.6458333333)</f>
        <v>45923.6458333333</v>
      </c>
      <c r="H126" s="48">
        <f>IFERROR(__xludf.DUMMYFUNCTION("""COMPUTED_VALUE"""),2695)</f>
        <v>2695</v>
      </c>
      <c r="I126" s="47">
        <f>IFERROR(__xludf.DUMMYFUNCTION("""COMPUTED_VALUE"""),45923.6458333333)</f>
        <v>45923.6458333333</v>
      </c>
      <c r="J126" s="48">
        <f>IFERROR(__xludf.DUMMYFUNCTION("""COMPUTED_VALUE"""),2593)</f>
        <v>2593</v>
      </c>
    </row>
    <row r="127" customHeight="1" spans="1:10">
      <c r="A127" s="47">
        <f>IFERROR(__xludf.DUMMYFUNCTION("""COMPUTED_VALUE"""),45924.6458333333)</f>
        <v>45924.6458333333</v>
      </c>
      <c r="B127" s="48">
        <f>IFERROR(__xludf.DUMMYFUNCTION("""COMPUTED_VALUE"""),2619.8)</f>
        <v>2619.8</v>
      </c>
      <c r="C127" s="47">
        <f>IFERROR(__xludf.DUMMYFUNCTION("""COMPUTED_VALUE"""),45924.6458333333)</f>
        <v>45924.6458333333</v>
      </c>
      <c r="D127" s="48">
        <f>IFERROR(__xludf.DUMMYFUNCTION("""COMPUTED_VALUE"""),2655)</f>
        <v>2655</v>
      </c>
      <c r="E127" s="47">
        <f>IFERROR(__xludf.DUMMYFUNCTION("""COMPUTED_VALUE"""),45924.6458333333)</f>
        <v>45924.6458333333</v>
      </c>
      <c r="F127" s="48">
        <f>IFERROR(__xludf.DUMMYFUNCTION("""COMPUTED_VALUE"""),1720785)</f>
        <v>1720785</v>
      </c>
      <c r="G127" s="47">
        <f>IFERROR(__xludf.DUMMYFUNCTION("""COMPUTED_VALUE"""),45924.6458333333)</f>
        <v>45924.6458333333</v>
      </c>
      <c r="H127" s="48">
        <f>IFERROR(__xludf.DUMMYFUNCTION("""COMPUTED_VALUE"""),2676)</f>
        <v>2676</v>
      </c>
      <c r="I127" s="47">
        <f>IFERROR(__xludf.DUMMYFUNCTION("""COMPUTED_VALUE"""),45924.6458333333)</f>
        <v>45924.6458333333</v>
      </c>
      <c r="J127" s="48">
        <f>IFERROR(__xludf.DUMMYFUNCTION("""COMPUTED_VALUE"""),2614.4)</f>
        <v>2614.4</v>
      </c>
    </row>
    <row r="128" customHeight="1" spans="1:10">
      <c r="A128" s="47">
        <f>IFERROR(__xludf.DUMMYFUNCTION("""COMPUTED_VALUE"""),45925.6458333333)</f>
        <v>45925.6458333333</v>
      </c>
      <c r="B128" s="48">
        <f>IFERROR(__xludf.DUMMYFUNCTION("""COMPUTED_VALUE"""),2576.4)</f>
        <v>2576.4</v>
      </c>
      <c r="C128" s="47">
        <f>IFERROR(__xludf.DUMMYFUNCTION("""COMPUTED_VALUE"""),45925.6458333333)</f>
        <v>45925.6458333333</v>
      </c>
      <c r="D128" s="48">
        <f>IFERROR(__xludf.DUMMYFUNCTION("""COMPUTED_VALUE"""),2625)</f>
        <v>2625</v>
      </c>
      <c r="E128" s="47">
        <f>IFERROR(__xludf.DUMMYFUNCTION("""COMPUTED_VALUE"""),45925.6458333333)</f>
        <v>45925.6458333333</v>
      </c>
      <c r="F128" s="48">
        <f>IFERROR(__xludf.DUMMYFUNCTION("""COMPUTED_VALUE"""),1489682)</f>
        <v>1489682</v>
      </c>
      <c r="G128" s="47">
        <f>IFERROR(__xludf.DUMMYFUNCTION("""COMPUTED_VALUE"""),45925.6458333333)</f>
        <v>45925.6458333333</v>
      </c>
      <c r="H128" s="48">
        <f>IFERROR(__xludf.DUMMYFUNCTION("""COMPUTED_VALUE"""),2647.9)</f>
        <v>2647.9</v>
      </c>
      <c r="I128" s="47">
        <f>IFERROR(__xludf.DUMMYFUNCTION("""COMPUTED_VALUE"""),45925.6458333333)</f>
        <v>45925.6458333333</v>
      </c>
      <c r="J128" s="48">
        <f>IFERROR(__xludf.DUMMYFUNCTION("""COMPUTED_VALUE"""),2567)</f>
        <v>2567</v>
      </c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IFERROR(__xludf.DUMMYFUNCTION("""COMPUTED_VALUE"""),2543.7)</f>
        <v>2543.7</v>
      </c>
      <c r="C129" s="47">
        <f>IFERROR(__xludf.DUMMYFUNCTION("""COMPUTED_VALUE"""),45926.6458333333)</f>
        <v>45926.6458333333</v>
      </c>
      <c r="D129" s="48">
        <f>IFERROR(__xludf.DUMMYFUNCTION("""COMPUTED_VALUE"""),2572.8)</f>
        <v>2572.8</v>
      </c>
      <c r="E129" s="47">
        <f>IFERROR(__xludf.DUMMYFUNCTION("""COMPUTED_VALUE"""),45926.6458333333)</f>
        <v>45926.6458333333</v>
      </c>
      <c r="F129" s="48">
        <f>IFERROR(__xludf.DUMMYFUNCTION("""COMPUTED_VALUE"""),1037808)</f>
        <v>1037808</v>
      </c>
      <c r="G129" s="47">
        <f>IFERROR(__xludf.DUMMYFUNCTION("""COMPUTED_VALUE"""),45926.6458333333)</f>
        <v>45926.6458333333</v>
      </c>
      <c r="H129" s="48">
        <f>IFERROR(__xludf.DUMMYFUNCTION("""COMPUTED_VALUE"""),2605)</f>
        <v>2605</v>
      </c>
      <c r="I129" s="47">
        <f>IFERROR(__xludf.DUMMYFUNCTION("""COMPUTED_VALUE"""),45926.6458333333)</f>
        <v>45926.6458333333</v>
      </c>
      <c r="J129" s="48">
        <f>IFERROR(__xludf.DUMMYFUNCTION("""COMPUTED_VALUE"""),2535)</f>
        <v>2535</v>
      </c>
    </row>
  </sheetData>
  <mergeCells count="3">
    <mergeCell ref="M1:P1"/>
    <mergeCell ref="A3:F3"/>
    <mergeCell ref="AB4:AE4"/>
  </mergeCells>
  <conditionalFormatting sqref="A1:A2 A4">
    <cfRule type="notContainsBlanks" dxfId="0" priority="1">
      <formula>LEN(TRIM(A1))&gt;0</formula>
    </cfRule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L46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8">
      <c r="A1" s="49" t="s">
        <v>264</v>
      </c>
      <c r="B1" s="50">
        <f ca="1">TODAY()</f>
        <v>45927</v>
      </c>
      <c r="C1" s="51">
        <f ca="1">DAY(B1)</f>
        <v>27</v>
      </c>
      <c r="D1" s="51">
        <f ca="1" t="shared" ref="D1:D2" si="0">MONTH(B1)</f>
        <v>9</v>
      </c>
      <c r="E1" s="51">
        <f ca="1" t="shared" ref="E1:E2" si="1">YEAR(B1)</f>
        <v>2025</v>
      </c>
      <c r="F1" s="52"/>
      <c r="G1" s="53"/>
      <c r="H1" s="51"/>
      <c r="I1" s="51"/>
      <c r="J1" s="51"/>
      <c r="K1" s="51"/>
      <c r="L1" s="51"/>
      <c r="M1" s="62" t="s">
        <v>265</v>
      </c>
      <c r="N1" s="19"/>
      <c r="O1" s="19"/>
      <c r="P1" s="19"/>
      <c r="AF1" s="48">
        <f>'Adani Enterprises'!AF1</f>
        <v>0</v>
      </c>
      <c r="AG1" s="48">
        <f>'Adani Enterprises'!AG1</f>
        <v>0</v>
      </c>
      <c r="AH1" s="48">
        <f>'Adani Enterprises'!AH1</f>
        <v>0</v>
      </c>
      <c r="AI1" s="48">
        <f>'Adani Enterprises'!AI1</f>
        <v>0</v>
      </c>
      <c r="AJ1" s="48">
        <f>'Adani Enterprises'!AJ1</f>
        <v>0</v>
      </c>
      <c r="AK1" s="48">
        <f>'Adani Enterprises'!AK1</f>
        <v>0</v>
      </c>
      <c r="AL1" s="48">
        <f>'Adani Enterprises'!AL1</f>
        <v>0</v>
      </c>
    </row>
    <row r="2" customHeight="1" spans="1:38">
      <c r="A2" s="49" t="s">
        <v>266</v>
      </c>
      <c r="B2" s="50">
        <f ca="1">EDATE(TODAY(),-6)</f>
        <v>45743</v>
      </c>
      <c r="C2" s="51">
        <f ca="1">DAY(B2)</f>
        <v>27</v>
      </c>
      <c r="D2" s="51">
        <f ca="1" t="shared" si="0"/>
        <v>3</v>
      </c>
      <c r="E2" s="51">
        <f ca="1" t="shared" si="1"/>
        <v>2025</v>
      </c>
      <c r="F2" s="52"/>
      <c r="G2" s="53"/>
      <c r="H2" s="51"/>
      <c r="I2" s="51"/>
      <c r="J2" s="51"/>
      <c r="K2" s="51"/>
      <c r="L2" s="51"/>
      <c r="M2" s="63" t="str">
        <f>IFERROR(__xludf.DUMMYFUNCTION("GOOGLEFINANCE(L3, ""close"", WORKDAY(TODAY(), -1), WORKDAY(TODAY(), -1))"),"Date")</f>
        <v>Date</v>
      </c>
      <c r="N2" s="64" t="str">
        <f>IFERROR(__xludf.DUMMYFUNCTION("""COMPUTED_VALUE"""),"Close")</f>
        <v>Close</v>
      </c>
      <c r="O2" s="63" t="str">
        <f>IFERROR(__xludf.DUMMYFUNCTION("GOOGLEFINANCE(L3, ""open"", WORKDAY(TODAY(), -1), WORKDAY(TODAY(), -1))"),"Date")</f>
        <v>Date</v>
      </c>
      <c r="P2" s="64" t="str">
        <f>IFERROR(__xludf.DUMMYFUNCTION("""COMPUTED_VALUE"""),"Open")</f>
        <v>Open</v>
      </c>
      <c r="Q2" s="72" t="str">
        <f>IFERROR(__xludf.DUMMYFUNCTION("GOOGLEFINANCE(L3, ""hIGH"", WORKDAY(TODAY(), -1), WORKDAY(TODAY(), -1))"),"Date")</f>
        <v>Date</v>
      </c>
      <c r="R2" s="48" t="str">
        <f>IFERROR(__xludf.DUMMYFUNCTION("""COMPUTED_VALUE"""),"High")</f>
        <v>High</v>
      </c>
      <c r="S2" s="72" t="str">
        <f>IFERROR(__xludf.DUMMYFUNCTION("GOOGLEFINANCE(L3, ""LOW"", WORKDAY(TODAY(), -1), WORKDAY(TODAY(), -1))"),"Date")</f>
        <v>Date</v>
      </c>
      <c r="T2" s="48" t="str">
        <f>IFERROR(__xludf.DUMMYFUNCTION("""COMPUTED_VALUE"""),"Low")</f>
        <v>Low</v>
      </c>
      <c r="AF2" s="48">
        <f>'Adani Enterprises'!AF2</f>
        <v>0</v>
      </c>
      <c r="AG2" s="48">
        <f>'Adani Enterprises'!AG2</f>
        <v>0</v>
      </c>
      <c r="AH2" s="48">
        <f>'Adani Enterprises'!AH2</f>
        <v>0</v>
      </c>
      <c r="AI2" s="48">
        <f>'Adani Enterprises'!AI2</f>
        <v>0</v>
      </c>
      <c r="AJ2" s="48">
        <f>'Adani Enterprises'!AJ2</f>
        <v>0</v>
      </c>
      <c r="AK2" s="48">
        <f>'Adani Enterprises'!AK2</f>
        <v>0</v>
      </c>
      <c r="AL2" s="48">
        <f>'Adani Enterprises'!AL2</f>
        <v>0</v>
      </c>
    </row>
    <row r="3" customHeight="1" spans="1:38">
      <c r="A3" s="54" t="s">
        <v>267</v>
      </c>
      <c r="B3" s="7"/>
      <c r="C3" s="7"/>
      <c r="D3" s="7"/>
      <c r="E3" s="7"/>
      <c r="F3" s="8"/>
      <c r="G3" s="55" t="s">
        <v>268</v>
      </c>
      <c r="H3" s="56">
        <f>IFERROR(__xludf.DUMMYFUNCTION("GOOGLEFINANCE(L3, ""price"")"),1391.4)</f>
        <v>1391.4</v>
      </c>
      <c r="I3" s="65" t="s">
        <v>269</v>
      </c>
      <c r="J3" s="56">
        <f>IFERROR(__xludf.DUMMYFUNCTION("GOOGLEFINANCE(L3, ""volume"")"),1899079)</f>
        <v>1899079</v>
      </c>
      <c r="K3" s="66" t="s">
        <v>270</v>
      </c>
      <c r="L3" s="67" t="str">
        <f>Mastersheet!B4</f>
        <v>NSE:ADANIPORTS</v>
      </c>
      <c r="M3" s="68">
        <f>IFERROR(__xludf.DUMMYFUNCTION("""COMPUTED_VALUE"""),45926.6458333333)</f>
        <v>45926.6458333333</v>
      </c>
      <c r="N3" s="67">
        <f>IFERROR(__xludf.DUMMYFUNCTION("""COMPUTED_VALUE"""),1392)</f>
        <v>1392</v>
      </c>
      <c r="O3" s="68">
        <f>IFERROR(__xludf.DUMMYFUNCTION("""COMPUTED_VALUE"""),45926.6458333333)</f>
        <v>45926.6458333333</v>
      </c>
      <c r="P3" s="67">
        <f>IFERROR(__xludf.DUMMYFUNCTION("""COMPUTED_VALUE"""),1407.2)</f>
        <v>1407.2</v>
      </c>
      <c r="Q3" s="47">
        <f>IFERROR(__xludf.DUMMYFUNCTION("""COMPUTED_VALUE"""),45926.6458333333)</f>
        <v>45926.6458333333</v>
      </c>
      <c r="R3" s="48">
        <f>IFERROR(__xludf.DUMMYFUNCTION("""COMPUTED_VALUE"""),1416.7)</f>
        <v>1416.7</v>
      </c>
      <c r="S3" s="47">
        <f>IFERROR(__xludf.DUMMYFUNCTION("""COMPUTED_VALUE"""),45926.6458333333)</f>
        <v>45926.6458333333</v>
      </c>
      <c r="T3" s="48">
        <f>IFERROR(__xludf.DUMMYFUNCTION("""COMPUTED_VALUE"""),1390.3)</f>
        <v>1390.3</v>
      </c>
      <c r="AF3" s="48">
        <f>'Adani Enterprises'!AF3</f>
        <v>0</v>
      </c>
      <c r="AG3" s="48">
        <f>'Adani Enterprises'!AG3</f>
        <v>0</v>
      </c>
      <c r="AH3" s="48">
        <f>'Adani Enterprises'!AH3</f>
        <v>0</v>
      </c>
      <c r="AI3" s="48">
        <f>'Adani Enterprises'!AI3</f>
        <v>0</v>
      </c>
      <c r="AJ3" s="48">
        <f>'Adani Enterprises'!AJ3</f>
        <v>0</v>
      </c>
      <c r="AK3" s="48">
        <f>'Adani Enterprises'!AK3</f>
        <v>0</v>
      </c>
      <c r="AL3" s="48">
        <f>'Adani Enterprises'!AL3</f>
        <v>0</v>
      </c>
    </row>
    <row r="4" customHeight="1" spans="1:38">
      <c r="A4" s="57" t="str">
        <f>IFERROR(__xludf.DUMMYFUNCTION("GOOGLEFINANCE(L3, ""CLOSE"",DATE(E2,D2,C2), DATE(E1,D1,C1), ""DAILY"")"),"Date")</f>
        <v>Date</v>
      </c>
      <c r="B4" s="58" t="str">
        <f>IFERROR(__xludf.DUMMYFUNCTION("""COMPUTED_VALUE"""),"Close")</f>
        <v>Close</v>
      </c>
      <c r="C4" s="58" t="str">
        <f>IFERROR(__xludf.DUMMYFUNCTION("GOOGLEFINANCE(L3, ""open"", DATE(E2,D2,C2), DATE(E1,D1,C1), ""DAILY"")"),"Date")</f>
        <v>Date</v>
      </c>
      <c r="D4" s="58" t="str">
        <f>IFERROR(__xludf.DUMMYFUNCTION("""COMPUTED_VALUE"""),"Open")</f>
        <v>Open</v>
      </c>
      <c r="E4" s="59" t="str">
        <f>IFERROR(__xludf.DUMMYFUNCTION("GOOGLEFINANCE(L3, ""VOLUME"", DATE(E2,D2,C2), DATE(E1,D1,C1), ""DAILY"")"),"Date")</f>
        <v>Date</v>
      </c>
      <c r="F4" s="58" t="str">
        <f>IFERROR(__xludf.DUMMYFUNCTION("""COMPUTED_VALUE"""),"Volume")</f>
        <v>Volume</v>
      </c>
      <c r="G4" s="59" t="str">
        <f>IFERROR(__xludf.DUMMYFUNCTION("GOOGLEFINANCE(L3, ""HIGH"", DATE(E2,D2,C2), DATE(E1,D1,C1), ""DAILY"")"),"Date")</f>
        <v>Date</v>
      </c>
      <c r="H4" s="59" t="str">
        <f>IFERROR(__xludf.DUMMYFUNCTION("""COMPUTED_VALUE"""),"High")</f>
        <v>High</v>
      </c>
      <c r="I4" s="59" t="str">
        <f>IFERROR(__xludf.DUMMYFUNCTION("GOOGLEFINANCE(L3, ""LOW"", DATE(E2,D2,C2), DATE(E1,D1,C1), ""DAILY"")"),"Date")</f>
        <v>Date</v>
      </c>
      <c r="J4" s="69" t="str">
        <f>IFERROR(__xludf.DUMMYFUNCTION("""COMPUTED_VALUE"""),"Low")</f>
        <v>Low</v>
      </c>
      <c r="K4" s="70" t="s">
        <v>271</v>
      </c>
      <c r="L4" s="70" t="s">
        <v>272</v>
      </c>
      <c r="M4" s="70" t="s">
        <v>273</v>
      </c>
      <c r="N4" s="70" t="s">
        <v>274</v>
      </c>
      <c r="O4" s="70" t="s">
        <v>275</v>
      </c>
      <c r="P4" s="70" t="s">
        <v>276</v>
      </c>
      <c r="Q4" s="73" t="s">
        <v>277</v>
      </c>
      <c r="R4" s="73" t="s">
        <v>278</v>
      </c>
      <c r="S4" s="73" t="s">
        <v>279</v>
      </c>
      <c r="T4" s="73" t="s">
        <v>280</v>
      </c>
      <c r="U4" s="73" t="s">
        <v>281</v>
      </c>
      <c r="V4" s="73" t="s">
        <v>282</v>
      </c>
      <c r="W4" s="70" t="s">
        <v>283</v>
      </c>
      <c r="X4" s="74" t="s">
        <v>284</v>
      </c>
      <c r="Y4" s="37" t="s">
        <v>285</v>
      </c>
      <c r="Z4" s="77" t="s">
        <v>286</v>
      </c>
      <c r="AA4" s="39" t="s">
        <v>287</v>
      </c>
      <c r="AB4" s="40" t="s">
        <v>288</v>
      </c>
      <c r="AC4" s="19"/>
      <c r="AD4" s="19"/>
      <c r="AE4" s="41"/>
      <c r="AF4" s="48">
        <f>'Adani Enterprises'!AF4</f>
        <v>0</v>
      </c>
      <c r="AG4" s="48">
        <f>'Adani Enterprises'!AG4</f>
        <v>0</v>
      </c>
      <c r="AI4" s="48">
        <f>'Adani Enterprises'!AI4</f>
        <v>0</v>
      </c>
      <c r="AJ4" s="48">
        <f>'Adani Enterprises'!AJ4</f>
        <v>0</v>
      </c>
      <c r="AK4" s="48">
        <f>'Adani Enterprises'!AK4</f>
        <v>0</v>
      </c>
      <c r="AL4" s="48">
        <f>'Adani Enterprises'!AL4</f>
        <v>0</v>
      </c>
    </row>
    <row r="5" customHeight="1" spans="1:38">
      <c r="A5" s="60">
        <f>IFERROR(__xludf.DUMMYFUNCTION("""COMPUTED_VALUE"""),45743.6458333333)</f>
        <v>45743.6458333333</v>
      </c>
      <c r="B5" s="61">
        <f>IFERROR(__xludf.DUMMYFUNCTION("""COMPUTED_VALUE"""),1196.75)</f>
        <v>1196.75</v>
      </c>
      <c r="C5" s="60">
        <f>IFERROR(__xludf.DUMMYFUNCTION("""COMPUTED_VALUE"""),45743.6458333333)</f>
        <v>45743.6458333333</v>
      </c>
      <c r="D5" s="61">
        <f>IFERROR(__xludf.DUMMYFUNCTION("""COMPUTED_VALUE"""),1182)</f>
        <v>1182</v>
      </c>
      <c r="E5" s="60">
        <f>IFERROR(__xludf.DUMMYFUNCTION("""COMPUTED_VALUE"""),45743.6458333333)</f>
        <v>45743.6458333333</v>
      </c>
      <c r="F5" s="61">
        <f>IFERROR(__xludf.DUMMYFUNCTION("""COMPUTED_VALUE"""),2004036)</f>
        <v>2004036</v>
      </c>
      <c r="G5" s="60">
        <f>IFERROR(__xludf.DUMMYFUNCTION("""COMPUTED_VALUE"""),45743.6458333333)</f>
        <v>45743.6458333333</v>
      </c>
      <c r="H5" s="61">
        <f>IFERROR(__xludf.DUMMYFUNCTION("""COMPUTED_VALUE"""),1212)</f>
        <v>1212</v>
      </c>
      <c r="I5" s="71">
        <f>IFERROR(__xludf.DUMMYFUNCTION("""COMPUTED_VALUE"""),45743.6458333333)</f>
        <v>45743.6458333333</v>
      </c>
      <c r="J5" s="51">
        <f>IFERROR(__xludf.DUMMYFUNCTION("""COMPUTED_VALUE"""),1175)</f>
        <v>1175</v>
      </c>
      <c r="K5" s="51"/>
      <c r="L5" s="51"/>
      <c r="M5" s="51">
        <f t="array" ref="M5">INDEX(K11:K124,MATCH(SMALL(ABS(K11:K124-H3),1),ABS(K11:K124-H3),0))</f>
        <v>1407.4</v>
      </c>
      <c r="N5" s="51">
        <f t="array" ref="N5">INDEX(K11:K124,MATCH(SMALL(ABS(K11:K124-H3),2),ABS(K11:K124-H3),0))</f>
        <v>1370.6</v>
      </c>
      <c r="O5" s="51">
        <f t="array" ref="O5">INDEX(L11:L124,MATCH(SMALL(ABS(L11:L124-H3),1),ABS(L11:L124-H3),0))</f>
        <v>1371.4</v>
      </c>
      <c r="P5" s="51">
        <f t="array" ref="P5">INDEX(L11:L124,MATCH(SMALL(ABS(L11:L124-H3),2),ABS(L11:L124-H3),0))</f>
        <v>1424.4</v>
      </c>
      <c r="Q5" s="48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S5" s="75">
        <f ca="1">IF(Q5&gt;0,Q5,S5)</f>
        <v>1407.4</v>
      </c>
      <c r="T5" s="48">
        <f ca="1">IF(AND(H3&gt;=Mastersheet!I3*S5,H3&lt;=Mastersheet!J3*S5),1,0)</f>
        <v>0</v>
      </c>
      <c r="U5" s="76">
        <f>(N3+P3)/2</f>
        <v>1399.6</v>
      </c>
      <c r="V5" s="48">
        <f>(N3+P3+R3+T3)/4</f>
        <v>1401.55</v>
      </c>
      <c r="W5" s="48">
        <f>IF(V5&gt;U5,1,0)</f>
        <v>1</v>
      </c>
      <c r="X5" s="48">
        <f>IF(V5&gt;U5,0,1)</f>
        <v>0</v>
      </c>
      <c r="Y5" s="48">
        <f>IF(COUNTIF(Mastersheet!E:E,L3)&gt;0,0,1)</f>
        <v>1</v>
      </c>
      <c r="Z5" s="78">
        <f ca="1">IF(T5*W5*Y5=1,1,0)</f>
        <v>0</v>
      </c>
      <c r="AA5" s="79"/>
      <c r="AB5" s="44" t="s">
        <v>289</v>
      </c>
      <c r="AC5" s="80" t="s">
        <v>290</v>
      </c>
      <c r="AD5" s="81" t="s">
        <v>291</v>
      </c>
      <c r="AE5" s="81" t="s">
        <v>292</v>
      </c>
      <c r="AF5" s="48">
        <f>'Adani Enterprises'!AF5</f>
        <v>0</v>
      </c>
      <c r="AG5" s="48">
        <f>'Adani Enterprises'!AG5</f>
        <v>0</v>
      </c>
      <c r="AH5" s="48">
        <f>'Adani Enterprises'!AH5</f>
        <v>0</v>
      </c>
      <c r="AI5" s="48">
        <f>'Adani Enterprises'!AI5</f>
        <v>0</v>
      </c>
      <c r="AJ5" s="48">
        <f>'Adani Enterprises'!AJ5</f>
        <v>0</v>
      </c>
      <c r="AK5" s="48">
        <f>'Adani Enterprises'!AK5</f>
        <v>0</v>
      </c>
      <c r="AL5" s="48">
        <f>'Adani Enterprises'!AL5</f>
        <v>0</v>
      </c>
    </row>
    <row r="6" customHeight="1" spans="1:38">
      <c r="A6" s="47">
        <f>IFERROR(__xludf.DUMMYFUNCTION("""COMPUTED_VALUE"""),45744.6458333333)</f>
        <v>45744.6458333333</v>
      </c>
      <c r="B6" s="48">
        <f>IFERROR(__xludf.DUMMYFUNCTION("""COMPUTED_VALUE"""),1182.95)</f>
        <v>1182.95</v>
      </c>
      <c r="C6" s="47">
        <f>IFERROR(__xludf.DUMMYFUNCTION("""COMPUTED_VALUE"""),45744.6458333333)</f>
        <v>45744.6458333333</v>
      </c>
      <c r="D6" s="48">
        <f>IFERROR(__xludf.DUMMYFUNCTION("""COMPUTED_VALUE"""),1197.7)</f>
        <v>1197.7</v>
      </c>
      <c r="E6" s="47">
        <f>IFERROR(__xludf.DUMMYFUNCTION("""COMPUTED_VALUE"""),45744.6458333333)</f>
        <v>45744.6458333333</v>
      </c>
      <c r="F6" s="48">
        <f>IFERROR(__xludf.DUMMYFUNCTION("""COMPUTED_VALUE"""),1670913)</f>
        <v>1670913</v>
      </c>
      <c r="G6" s="47">
        <f>IFERROR(__xludf.DUMMYFUNCTION("""COMPUTED_VALUE"""),45744.6458333333)</f>
        <v>45744.6458333333</v>
      </c>
      <c r="H6" s="48">
        <f>IFERROR(__xludf.DUMMYFUNCTION("""COMPUTED_VALUE"""),1205)</f>
        <v>1205</v>
      </c>
      <c r="I6" s="47">
        <f>IFERROR(__xludf.DUMMYFUNCTION("""COMPUTED_VALUE"""),45744.6458333333)</f>
        <v>45744.6458333333</v>
      </c>
      <c r="J6" s="48">
        <f>IFERROR(__xludf.DUMMYFUNCTION("""COMPUTED_VALUE"""),1175.2)</f>
        <v>1175.2</v>
      </c>
      <c r="AB6" s="48">
        <f>IF(COUNTIF(Mastersheet!E:E,L3)&gt;0,1,0)</f>
        <v>0</v>
      </c>
      <c r="AC6" s="48">
        <f>IF(AND(H3&gt;Mastersheet!L3*Mastersheet!F3,X5),1,0)</f>
        <v>0</v>
      </c>
      <c r="AD6" s="76">
        <f>IF(H3&lt;Mastersheet!M3*Mastersheet!F3,1,0)</f>
        <v>0</v>
      </c>
      <c r="AE6" s="48">
        <f>IF(OR(AC6*AB6=1,AD6*AB6=1),1,0)</f>
        <v>0</v>
      </c>
      <c r="AF6" s="48">
        <f>'Adani Enterprises'!AF6</f>
        <v>0</v>
      </c>
      <c r="AG6" s="48">
        <f>'Adani Enterprises'!AG6</f>
        <v>0</v>
      </c>
      <c r="AH6" s="48">
        <f>'Adani Enterprises'!AH6</f>
        <v>0</v>
      </c>
      <c r="AI6" s="48">
        <f>'Adani Enterprises'!AI6</f>
        <v>0</v>
      </c>
      <c r="AJ6" s="48">
        <f>'Adani Enterprises'!AJ6</f>
        <v>0</v>
      </c>
      <c r="AK6" s="48">
        <f>'Adani Enterprises'!AK6</f>
        <v>0</v>
      </c>
      <c r="AL6" s="48">
        <f>'Adani Enterprises'!AL6</f>
        <v>0</v>
      </c>
    </row>
    <row r="7" customHeight="1" spans="1:38">
      <c r="A7" s="47">
        <f>IFERROR(__xludf.DUMMYFUNCTION("""COMPUTED_VALUE"""),45748.6458333333)</f>
        <v>45748.6458333333</v>
      </c>
      <c r="B7" s="48">
        <f>IFERROR(__xludf.DUMMYFUNCTION("""COMPUTED_VALUE"""),1174.75)</f>
        <v>1174.75</v>
      </c>
      <c r="C7" s="47">
        <f>IFERROR(__xludf.DUMMYFUNCTION("""COMPUTED_VALUE"""),45748.6458333333)</f>
        <v>45748.6458333333</v>
      </c>
      <c r="D7" s="48">
        <f>IFERROR(__xludf.DUMMYFUNCTION("""COMPUTED_VALUE"""),1179)</f>
        <v>1179</v>
      </c>
      <c r="E7" s="47">
        <f>IFERROR(__xludf.DUMMYFUNCTION("""COMPUTED_VALUE"""),45748.6458333333)</f>
        <v>45748.6458333333</v>
      </c>
      <c r="F7" s="48">
        <f>IFERROR(__xludf.DUMMYFUNCTION("""COMPUTED_VALUE"""),1584541)</f>
        <v>1584541</v>
      </c>
      <c r="G7" s="47">
        <f>IFERROR(__xludf.DUMMYFUNCTION("""COMPUTED_VALUE"""),45748.6458333333)</f>
        <v>45748.6458333333</v>
      </c>
      <c r="H7" s="48">
        <f>IFERROR(__xludf.DUMMYFUNCTION("""COMPUTED_VALUE"""),1202)</f>
        <v>1202</v>
      </c>
      <c r="I7" s="47">
        <f>IFERROR(__xludf.DUMMYFUNCTION("""COMPUTED_VALUE"""),45748.6458333333)</f>
        <v>45748.6458333333</v>
      </c>
      <c r="J7" s="48">
        <f>IFERROR(__xludf.DUMMYFUNCTION("""COMPUTED_VALUE"""),1168.05)</f>
        <v>1168.05</v>
      </c>
      <c r="AF7" s="48">
        <f>'Adani Enterprises'!AF7</f>
        <v>0</v>
      </c>
      <c r="AG7" s="48">
        <f>'Adani Enterprises'!AG7</f>
        <v>0</v>
      </c>
      <c r="AH7" s="48">
        <f>'Adani Enterprises'!AH7</f>
        <v>0</v>
      </c>
      <c r="AI7" s="48">
        <f>'Adani Enterprises'!AI7</f>
        <v>0</v>
      </c>
      <c r="AJ7" s="48">
        <f>'Adani Enterprises'!AJ7</f>
        <v>0</v>
      </c>
      <c r="AK7" s="48">
        <f>'Adani Enterprises'!AK7</f>
        <v>0</v>
      </c>
      <c r="AL7" s="48">
        <f>'Adani Enterprises'!AL7</f>
        <v>0</v>
      </c>
    </row>
    <row r="8" customHeight="1" spans="1:38">
      <c r="A8" s="47">
        <f>IFERROR(__xludf.DUMMYFUNCTION("""COMPUTED_VALUE"""),45749.6458333333)</f>
        <v>45749.6458333333</v>
      </c>
      <c r="B8" s="48">
        <f>IFERROR(__xludf.DUMMYFUNCTION("""COMPUTED_VALUE"""),1195.45)</f>
        <v>1195.45</v>
      </c>
      <c r="C8" s="47">
        <f>IFERROR(__xludf.DUMMYFUNCTION("""COMPUTED_VALUE"""),45749.6458333333)</f>
        <v>45749.6458333333</v>
      </c>
      <c r="D8" s="48">
        <f>IFERROR(__xludf.DUMMYFUNCTION("""COMPUTED_VALUE"""),1182.4)</f>
        <v>1182.4</v>
      </c>
      <c r="E8" s="47">
        <f>IFERROR(__xludf.DUMMYFUNCTION("""COMPUTED_VALUE"""),45749.6458333333)</f>
        <v>45749.6458333333</v>
      </c>
      <c r="F8" s="48">
        <f>IFERROR(__xludf.DUMMYFUNCTION("""COMPUTED_VALUE"""),1232853)</f>
        <v>1232853</v>
      </c>
      <c r="G8" s="47">
        <f>IFERROR(__xludf.DUMMYFUNCTION("""COMPUTED_VALUE"""),45749.6458333333)</f>
        <v>45749.6458333333</v>
      </c>
      <c r="H8" s="48">
        <f>IFERROR(__xludf.DUMMYFUNCTION("""COMPUTED_VALUE"""),1198.95)</f>
        <v>1198.95</v>
      </c>
      <c r="I8" s="47">
        <f>IFERROR(__xludf.DUMMYFUNCTION("""COMPUTED_VALUE"""),45749.6458333333)</f>
        <v>45749.6458333333</v>
      </c>
      <c r="J8" s="48">
        <f>IFERROR(__xludf.DUMMYFUNCTION("""COMPUTED_VALUE"""),1167.35)</f>
        <v>1167.35</v>
      </c>
      <c r="AF8" s="48">
        <f>'Adani Enterprises'!AF8</f>
        <v>0</v>
      </c>
      <c r="AG8" s="48">
        <f>'Adani Enterprises'!AG8</f>
        <v>0</v>
      </c>
      <c r="AH8" s="48">
        <f>'Adani Enterprises'!AH8</f>
        <v>0</v>
      </c>
      <c r="AI8" s="48">
        <f>'Adani Enterprises'!AI8</f>
        <v>0</v>
      </c>
      <c r="AJ8" s="48">
        <f>'Adani Enterprises'!AJ8</f>
        <v>0</v>
      </c>
      <c r="AK8" s="48">
        <f>'Adani Enterprises'!AK8</f>
        <v>0</v>
      </c>
      <c r="AL8" s="48">
        <f>'Adani Enterprises'!AL8</f>
        <v>0</v>
      </c>
    </row>
    <row r="9" customHeight="1" spans="1:38">
      <c r="A9" s="47">
        <f>IFERROR(__xludf.DUMMYFUNCTION("""COMPUTED_VALUE"""),45750.6458333333)</f>
        <v>45750.6458333333</v>
      </c>
      <c r="B9" s="48">
        <f>IFERROR(__xludf.DUMMYFUNCTION("""COMPUTED_VALUE"""),1199.9)</f>
        <v>1199.9</v>
      </c>
      <c r="C9" s="47">
        <f>IFERROR(__xludf.DUMMYFUNCTION("""COMPUTED_VALUE"""),45750.6458333333)</f>
        <v>45750.6458333333</v>
      </c>
      <c r="D9" s="48">
        <f>IFERROR(__xludf.DUMMYFUNCTION("""COMPUTED_VALUE"""),1170.25)</f>
        <v>1170.25</v>
      </c>
      <c r="E9" s="47">
        <f>IFERROR(__xludf.DUMMYFUNCTION("""COMPUTED_VALUE"""),45750.6458333333)</f>
        <v>45750.6458333333</v>
      </c>
      <c r="F9" s="48">
        <f>IFERROR(__xludf.DUMMYFUNCTION("""COMPUTED_VALUE"""),1300511)</f>
        <v>1300511</v>
      </c>
      <c r="G9" s="47">
        <f>IFERROR(__xludf.DUMMYFUNCTION("""COMPUTED_VALUE"""),45750.6458333333)</f>
        <v>45750.6458333333</v>
      </c>
      <c r="H9" s="48">
        <f>IFERROR(__xludf.DUMMYFUNCTION("""COMPUTED_VALUE"""),1205.8)</f>
        <v>1205.8</v>
      </c>
      <c r="I9" s="47">
        <f>IFERROR(__xludf.DUMMYFUNCTION("""COMPUTED_VALUE"""),45750.6458333333)</f>
        <v>45750.6458333333</v>
      </c>
      <c r="J9" s="48">
        <f>IFERROR(__xludf.DUMMYFUNCTION("""COMPUTED_VALUE"""),1170.25)</f>
        <v>1170.25</v>
      </c>
      <c r="AF9" s="48">
        <f>'Adani Enterprises'!AF9</f>
        <v>0</v>
      </c>
      <c r="AG9" s="48">
        <f>'Adani Enterprises'!AG9</f>
        <v>0</v>
      </c>
      <c r="AH9" s="48">
        <f>'Adani Enterprises'!AH9</f>
        <v>0</v>
      </c>
      <c r="AI9" s="48">
        <f>'Adani Enterprises'!AI9</f>
        <v>0</v>
      </c>
      <c r="AJ9" s="48">
        <f>'Adani Enterprises'!AJ9</f>
        <v>0</v>
      </c>
      <c r="AK9" s="48">
        <f>'Adani Enterprises'!AK9</f>
        <v>0</v>
      </c>
      <c r="AL9" s="48">
        <f>'Adani Enterprises'!AL9</f>
        <v>0</v>
      </c>
    </row>
    <row r="10" customHeight="1" spans="1:38">
      <c r="A10" s="47">
        <f>IFERROR(__xludf.DUMMYFUNCTION("""COMPUTED_VALUE"""),45751.6458333333)</f>
        <v>45751.6458333333</v>
      </c>
      <c r="B10" s="48">
        <f>IFERROR(__xludf.DUMMYFUNCTION("""COMPUTED_VALUE"""),1148.35)</f>
        <v>1148.35</v>
      </c>
      <c r="C10" s="47">
        <f>IFERROR(__xludf.DUMMYFUNCTION("""COMPUTED_VALUE"""),45751.6458333333)</f>
        <v>45751.6458333333</v>
      </c>
      <c r="D10" s="48">
        <f>IFERROR(__xludf.DUMMYFUNCTION("""COMPUTED_VALUE"""),1196)</f>
        <v>1196</v>
      </c>
      <c r="E10" s="47">
        <f>IFERROR(__xludf.DUMMYFUNCTION("""COMPUTED_VALUE"""),45751.6458333333)</f>
        <v>45751.6458333333</v>
      </c>
      <c r="F10" s="48">
        <f>IFERROR(__xludf.DUMMYFUNCTION("""COMPUTED_VALUE"""),1785093)</f>
        <v>1785093</v>
      </c>
      <c r="G10" s="47">
        <f>IFERROR(__xludf.DUMMYFUNCTION("""COMPUTED_VALUE"""),45751.6458333333)</f>
        <v>45751.6458333333</v>
      </c>
      <c r="H10" s="48">
        <f>IFERROR(__xludf.DUMMYFUNCTION("""COMPUTED_VALUE"""),1200.1)</f>
        <v>1200.1</v>
      </c>
      <c r="I10" s="47">
        <f>IFERROR(__xludf.DUMMYFUNCTION("""COMPUTED_VALUE"""),45751.6458333333)</f>
        <v>45751.6458333333</v>
      </c>
      <c r="J10" s="48">
        <f>IFERROR(__xludf.DUMMYFUNCTION("""COMPUTED_VALUE"""),1143)</f>
        <v>1143</v>
      </c>
      <c r="AF10" s="48">
        <f>'Adani Enterprises'!AF10</f>
        <v>0</v>
      </c>
      <c r="AG10" s="48">
        <f>'Adani Enterprises'!AG10</f>
        <v>0</v>
      </c>
      <c r="AH10" s="48">
        <f>'Adani Enterprises'!AH10</f>
        <v>0</v>
      </c>
      <c r="AI10" s="48">
        <f>'Adani Enterprises'!AI10</f>
        <v>0</v>
      </c>
      <c r="AJ10" s="48">
        <f>'Adani Enterprises'!AJ10</f>
        <v>0</v>
      </c>
      <c r="AK10" s="48">
        <f>'Adani Enterprises'!AK10</f>
        <v>0</v>
      </c>
      <c r="AL10" s="48">
        <f>'Adani Enterprises'!AL10</f>
        <v>0</v>
      </c>
    </row>
    <row r="11" customHeight="1" spans="1:38">
      <c r="A11" s="47">
        <f>IFERROR(__xludf.DUMMYFUNCTION("""COMPUTED_VALUE"""),45754.6458333333)</f>
        <v>45754.6458333333</v>
      </c>
      <c r="B11" s="48">
        <f>IFERROR(__xludf.DUMMYFUNCTION("""COMPUTED_VALUE"""),1110.65)</f>
        <v>1110.65</v>
      </c>
      <c r="C11" s="47">
        <f>IFERROR(__xludf.DUMMYFUNCTION("""COMPUTED_VALUE"""),45754.6458333333)</f>
        <v>45754.6458333333</v>
      </c>
      <c r="D11" s="48">
        <f>IFERROR(__xludf.DUMMYFUNCTION("""COMPUTED_VALUE"""),1049.95)</f>
        <v>1049.95</v>
      </c>
      <c r="E11" s="47">
        <f>IFERROR(__xludf.DUMMYFUNCTION("""COMPUTED_VALUE"""),45754.6458333333)</f>
        <v>45754.6458333333</v>
      </c>
      <c r="F11" s="48">
        <f>IFERROR(__xludf.DUMMYFUNCTION("""COMPUTED_VALUE"""),2192949)</f>
        <v>2192949</v>
      </c>
      <c r="G11" s="47">
        <f>IFERROR(__xludf.DUMMYFUNCTION("""COMPUTED_VALUE"""),45754.6458333333)</f>
        <v>45754.6458333333</v>
      </c>
      <c r="H11" s="48">
        <f>IFERROR(__xludf.DUMMYFUNCTION("""COMPUTED_VALUE"""),1119)</f>
        <v>1119</v>
      </c>
      <c r="I11" s="47">
        <f>IFERROR(__xludf.DUMMYFUNCTION("""COMPUTED_VALUE"""),45754.6458333333)</f>
        <v>45754.6458333333</v>
      </c>
      <c r="J11" s="48">
        <f>IFERROR(__xludf.DUMMYFUNCTION("""COMPUTED_VALUE"""),1041.5)</f>
        <v>1041.5</v>
      </c>
      <c r="K11" s="3">
        <f t="shared" ref="K11:K125" si="2">IF(B11=MAX(B5:B17),B11,0)</f>
        <v>0</v>
      </c>
      <c r="L11" s="3">
        <f t="shared" ref="L11:L125" si="3">IF(B11=MIN(B5:B17),B11,0)</f>
        <v>1110.65</v>
      </c>
      <c r="AF11" s="48">
        <f>'Adani Enterprises'!AF11</f>
        <v>0</v>
      </c>
      <c r="AG11" s="48">
        <f>'Adani Enterprises'!AG11</f>
        <v>0</v>
      </c>
      <c r="AH11" s="48">
        <f>'Adani Enterprises'!AH11</f>
        <v>0</v>
      </c>
      <c r="AI11" s="48">
        <f>'Adani Enterprises'!AI11</f>
        <v>0</v>
      </c>
      <c r="AJ11" s="48">
        <f>'Adani Enterprises'!AJ11</f>
        <v>0</v>
      </c>
      <c r="AK11" s="48">
        <f>'Adani Enterprises'!AK11</f>
        <v>0</v>
      </c>
      <c r="AL11" s="48">
        <f>'Adani Enterprises'!AL11</f>
        <v>0</v>
      </c>
    </row>
    <row r="12" customHeight="1" spans="1:38">
      <c r="A12" s="47">
        <f>IFERROR(__xludf.DUMMYFUNCTION("""COMPUTED_VALUE"""),45755.6458333333)</f>
        <v>45755.6458333333</v>
      </c>
      <c r="B12" s="48">
        <f>IFERROR(__xludf.DUMMYFUNCTION("""COMPUTED_VALUE"""),1131.35)</f>
        <v>1131.35</v>
      </c>
      <c r="C12" s="47">
        <f>IFERROR(__xludf.DUMMYFUNCTION("""COMPUTED_VALUE"""),45755.6458333333)</f>
        <v>45755.6458333333</v>
      </c>
      <c r="D12" s="48">
        <f>IFERROR(__xludf.DUMMYFUNCTION("""COMPUTED_VALUE"""),1135)</f>
        <v>1135</v>
      </c>
      <c r="E12" s="47">
        <f>IFERROR(__xludf.DUMMYFUNCTION("""COMPUTED_VALUE"""),45755.6458333333)</f>
        <v>45755.6458333333</v>
      </c>
      <c r="F12" s="48">
        <f>IFERROR(__xludf.DUMMYFUNCTION("""COMPUTED_VALUE"""),2423486)</f>
        <v>2423486</v>
      </c>
      <c r="G12" s="47">
        <f>IFERROR(__xludf.DUMMYFUNCTION("""COMPUTED_VALUE"""),45755.6458333333)</f>
        <v>45755.6458333333</v>
      </c>
      <c r="H12" s="48">
        <f>IFERROR(__xludf.DUMMYFUNCTION("""COMPUTED_VALUE"""),1155.65)</f>
        <v>1155.65</v>
      </c>
      <c r="I12" s="47">
        <f>IFERROR(__xludf.DUMMYFUNCTION("""COMPUTED_VALUE"""),45755.6458333333)</f>
        <v>45755.6458333333</v>
      </c>
      <c r="J12" s="48">
        <f>IFERROR(__xludf.DUMMYFUNCTION("""COMPUTED_VALUE"""),1111.05)</f>
        <v>1111.05</v>
      </c>
      <c r="K12" s="3">
        <f t="shared" si="2"/>
        <v>0</v>
      </c>
      <c r="L12" s="3">
        <f t="shared" si="3"/>
        <v>0</v>
      </c>
      <c r="AF12" s="48">
        <f>'Adani Enterprises'!AF12</f>
        <v>0</v>
      </c>
      <c r="AG12" s="48">
        <f>'Adani Enterprises'!AG12</f>
        <v>0</v>
      </c>
      <c r="AH12" s="48">
        <f>'Adani Enterprises'!AH12</f>
        <v>0</v>
      </c>
      <c r="AI12" s="48">
        <f>'Adani Enterprises'!AI12</f>
        <v>0</v>
      </c>
      <c r="AJ12" s="48">
        <f>'Adani Enterprises'!AJ12</f>
        <v>0</v>
      </c>
      <c r="AK12" s="48">
        <f>'Adani Enterprises'!AK12</f>
        <v>0</v>
      </c>
      <c r="AL12" s="48">
        <f>'Adani Enterprises'!AL12</f>
        <v>0</v>
      </c>
    </row>
    <row r="13" customHeight="1" spans="1:38">
      <c r="A13" s="47">
        <f>IFERROR(__xludf.DUMMYFUNCTION("""COMPUTED_VALUE"""),45756.6458333333)</f>
        <v>45756.6458333333</v>
      </c>
      <c r="B13" s="48">
        <f>IFERROR(__xludf.DUMMYFUNCTION("""COMPUTED_VALUE"""),1131.8)</f>
        <v>1131.8</v>
      </c>
      <c r="C13" s="47">
        <f>IFERROR(__xludf.DUMMYFUNCTION("""COMPUTED_VALUE"""),45756.6458333333)</f>
        <v>45756.6458333333</v>
      </c>
      <c r="D13" s="48">
        <f>IFERROR(__xludf.DUMMYFUNCTION("""COMPUTED_VALUE"""),1133.85)</f>
        <v>1133.85</v>
      </c>
      <c r="E13" s="47">
        <f>IFERROR(__xludf.DUMMYFUNCTION("""COMPUTED_VALUE"""),45756.6458333333)</f>
        <v>45756.6458333333</v>
      </c>
      <c r="F13" s="48">
        <f>IFERROR(__xludf.DUMMYFUNCTION("""COMPUTED_VALUE"""),1537177)</f>
        <v>1537177</v>
      </c>
      <c r="G13" s="47">
        <f>IFERROR(__xludf.DUMMYFUNCTION("""COMPUTED_VALUE"""),45756.6458333333)</f>
        <v>45756.6458333333</v>
      </c>
      <c r="H13" s="48">
        <f>IFERROR(__xludf.DUMMYFUNCTION("""COMPUTED_VALUE"""),1135.6)</f>
        <v>1135.6</v>
      </c>
      <c r="I13" s="47">
        <f>IFERROR(__xludf.DUMMYFUNCTION("""COMPUTED_VALUE"""),45756.6458333333)</f>
        <v>45756.6458333333</v>
      </c>
      <c r="J13" s="48">
        <f>IFERROR(__xludf.DUMMYFUNCTION("""COMPUTED_VALUE"""),1112)</f>
        <v>1112</v>
      </c>
      <c r="K13" s="3">
        <f t="shared" si="2"/>
        <v>0</v>
      </c>
      <c r="L13" s="3">
        <f t="shared" si="3"/>
        <v>0</v>
      </c>
      <c r="AF13" s="48">
        <f>'Adani Enterprises'!AF13</f>
        <v>0</v>
      </c>
      <c r="AG13" s="48">
        <f>'Adani Enterprises'!AG13</f>
        <v>0</v>
      </c>
      <c r="AH13" s="48">
        <f>'Adani Enterprises'!AH13</f>
        <v>0</v>
      </c>
      <c r="AI13" s="48">
        <f>'Adani Enterprises'!AI13</f>
        <v>0</v>
      </c>
      <c r="AJ13" s="48">
        <f>'Adani Enterprises'!AJ13</f>
        <v>0</v>
      </c>
      <c r="AK13" s="48">
        <f>'Adani Enterprises'!AK13</f>
        <v>0</v>
      </c>
      <c r="AL13" s="48">
        <f>'Adani Enterprises'!AL13</f>
        <v>0</v>
      </c>
    </row>
    <row r="14" customHeight="1" spans="1:38">
      <c r="A14" s="47">
        <f>IFERROR(__xludf.DUMMYFUNCTION("""COMPUTED_VALUE"""),45758.6458333333)</f>
        <v>45758.6458333333</v>
      </c>
      <c r="B14" s="48">
        <f>IFERROR(__xludf.DUMMYFUNCTION("""COMPUTED_VALUE"""),1164.55)</f>
        <v>1164.55</v>
      </c>
      <c r="C14" s="47">
        <f>IFERROR(__xludf.DUMMYFUNCTION("""COMPUTED_VALUE"""),45758.6458333333)</f>
        <v>45758.6458333333</v>
      </c>
      <c r="D14" s="48">
        <f>IFERROR(__xludf.DUMMYFUNCTION("""COMPUTED_VALUE"""),1163)</f>
        <v>1163</v>
      </c>
      <c r="E14" s="47">
        <f>IFERROR(__xludf.DUMMYFUNCTION("""COMPUTED_VALUE"""),45758.6458333333)</f>
        <v>45758.6458333333</v>
      </c>
      <c r="F14" s="48">
        <f>IFERROR(__xludf.DUMMYFUNCTION("""COMPUTED_VALUE"""),3536245)</f>
        <v>3536245</v>
      </c>
      <c r="G14" s="47">
        <f>IFERROR(__xludf.DUMMYFUNCTION("""COMPUTED_VALUE"""),45758.6458333333)</f>
        <v>45758.6458333333</v>
      </c>
      <c r="H14" s="48">
        <f>IFERROR(__xludf.DUMMYFUNCTION("""COMPUTED_VALUE"""),1170.3)</f>
        <v>1170.3</v>
      </c>
      <c r="I14" s="47">
        <f>IFERROR(__xludf.DUMMYFUNCTION("""COMPUTED_VALUE"""),45758.6458333333)</f>
        <v>45758.6458333333</v>
      </c>
      <c r="J14" s="48">
        <f>IFERROR(__xludf.DUMMYFUNCTION("""COMPUTED_VALUE"""),1148)</f>
        <v>1148</v>
      </c>
      <c r="K14" s="3">
        <f t="shared" si="2"/>
        <v>0</v>
      </c>
      <c r="L14" s="3">
        <f t="shared" si="3"/>
        <v>0</v>
      </c>
      <c r="AF14" s="48">
        <f>'Adani Enterprises'!AF14</f>
        <v>0</v>
      </c>
      <c r="AG14" s="48">
        <f>'Adani Enterprises'!AG14</f>
        <v>0</v>
      </c>
      <c r="AH14" s="48">
        <f>'Adani Enterprises'!AH14</f>
        <v>0</v>
      </c>
      <c r="AI14" s="48">
        <f>'Adani Enterprises'!AI14</f>
        <v>0</v>
      </c>
      <c r="AJ14" s="48">
        <f>'Adani Enterprises'!AJ14</f>
        <v>0</v>
      </c>
      <c r="AK14" s="48">
        <f>'Adani Enterprises'!AK14</f>
        <v>0</v>
      </c>
      <c r="AL14" s="48">
        <f>'Adani Enterprises'!AL14</f>
        <v>0</v>
      </c>
    </row>
    <row r="15" customHeight="1" spans="1:38">
      <c r="A15" s="47">
        <f>IFERROR(__xludf.DUMMYFUNCTION("""COMPUTED_VALUE"""),45762.6458333333)</f>
        <v>45762.6458333333</v>
      </c>
      <c r="B15" s="48">
        <f>IFERROR(__xludf.DUMMYFUNCTION("""COMPUTED_VALUE"""),1210.8)</f>
        <v>1210.8</v>
      </c>
      <c r="C15" s="47">
        <f>IFERROR(__xludf.DUMMYFUNCTION("""COMPUTED_VALUE"""),45762.6458333333)</f>
        <v>45762.6458333333</v>
      </c>
      <c r="D15" s="48">
        <f>IFERROR(__xludf.DUMMYFUNCTION("""COMPUTED_VALUE"""),1200)</f>
        <v>1200</v>
      </c>
      <c r="E15" s="47">
        <f>IFERROR(__xludf.DUMMYFUNCTION("""COMPUTED_VALUE"""),45762.6458333333)</f>
        <v>45762.6458333333</v>
      </c>
      <c r="F15" s="48">
        <f>IFERROR(__xludf.DUMMYFUNCTION("""COMPUTED_VALUE"""),3176522)</f>
        <v>3176522</v>
      </c>
      <c r="G15" s="47">
        <f>IFERROR(__xludf.DUMMYFUNCTION("""COMPUTED_VALUE"""),45762.6458333333)</f>
        <v>45762.6458333333</v>
      </c>
      <c r="H15" s="48">
        <f>IFERROR(__xludf.DUMMYFUNCTION("""COMPUTED_VALUE"""),1225.9)</f>
        <v>1225.9</v>
      </c>
      <c r="I15" s="47">
        <f>IFERROR(__xludf.DUMMYFUNCTION("""COMPUTED_VALUE"""),45762.6458333333)</f>
        <v>45762.6458333333</v>
      </c>
      <c r="J15" s="48">
        <f>IFERROR(__xludf.DUMMYFUNCTION("""COMPUTED_VALUE"""),1179)</f>
        <v>1179</v>
      </c>
      <c r="K15" s="3">
        <f t="shared" si="2"/>
        <v>0</v>
      </c>
      <c r="L15" s="3">
        <f t="shared" si="3"/>
        <v>0</v>
      </c>
      <c r="AF15" s="48">
        <f>'Adani Enterprises'!AF15</f>
        <v>0</v>
      </c>
      <c r="AG15" s="48">
        <f>'Adani Enterprises'!AG15</f>
        <v>0</v>
      </c>
      <c r="AH15" s="48">
        <f>'Adani Enterprises'!AH15</f>
        <v>0</v>
      </c>
      <c r="AI15" s="48">
        <f>'Adani Enterprises'!AI15</f>
        <v>0</v>
      </c>
      <c r="AJ15" s="48">
        <f>'Adani Enterprises'!AJ15</f>
        <v>0</v>
      </c>
      <c r="AK15" s="48">
        <f>'Adani Enterprises'!AK15</f>
        <v>0</v>
      </c>
      <c r="AL15" s="48">
        <f>'Adani Enterprises'!AL15</f>
        <v>0</v>
      </c>
    </row>
    <row r="16" customHeight="1" spans="1:38">
      <c r="A16" s="47">
        <f>IFERROR(__xludf.DUMMYFUNCTION("""COMPUTED_VALUE"""),45763.6458333333)</f>
        <v>45763.6458333333</v>
      </c>
      <c r="B16" s="48">
        <f>IFERROR(__xludf.DUMMYFUNCTION("""COMPUTED_VALUE"""),1232.9)</f>
        <v>1232.9</v>
      </c>
      <c r="C16" s="47">
        <f>IFERROR(__xludf.DUMMYFUNCTION("""COMPUTED_VALUE"""),45763.6458333333)</f>
        <v>45763.6458333333</v>
      </c>
      <c r="D16" s="48">
        <f>IFERROR(__xludf.DUMMYFUNCTION("""COMPUTED_VALUE"""),1210)</f>
        <v>1210</v>
      </c>
      <c r="E16" s="47">
        <f>IFERROR(__xludf.DUMMYFUNCTION("""COMPUTED_VALUE"""),45763.6458333333)</f>
        <v>45763.6458333333</v>
      </c>
      <c r="F16" s="48">
        <f>IFERROR(__xludf.DUMMYFUNCTION("""COMPUTED_VALUE"""),1909731)</f>
        <v>1909731</v>
      </c>
      <c r="G16" s="47">
        <f>IFERROR(__xludf.DUMMYFUNCTION("""COMPUTED_VALUE"""),45763.6458333333)</f>
        <v>45763.6458333333</v>
      </c>
      <c r="H16" s="48">
        <f>IFERROR(__xludf.DUMMYFUNCTION("""COMPUTED_VALUE"""),1235.5)</f>
        <v>1235.5</v>
      </c>
      <c r="I16" s="47">
        <f>IFERROR(__xludf.DUMMYFUNCTION("""COMPUTED_VALUE"""),45763.6458333333)</f>
        <v>45763.6458333333</v>
      </c>
      <c r="J16" s="48">
        <f>IFERROR(__xludf.DUMMYFUNCTION("""COMPUTED_VALUE"""),1201.6)</f>
        <v>1201.6</v>
      </c>
      <c r="K16" s="3">
        <f t="shared" si="2"/>
        <v>0</v>
      </c>
      <c r="L16" s="3">
        <f t="shared" si="3"/>
        <v>0</v>
      </c>
      <c r="AF16" s="48">
        <f>'Adani Enterprises'!AF16</f>
        <v>0</v>
      </c>
      <c r="AG16" s="48">
        <f>'Adani Enterprises'!AG16</f>
        <v>0</v>
      </c>
      <c r="AH16" s="48">
        <f>'Adani Enterprises'!AH16</f>
        <v>0</v>
      </c>
      <c r="AI16" s="48">
        <f>'Adani Enterprises'!AI16</f>
        <v>0</v>
      </c>
      <c r="AJ16" s="48">
        <f>'Adani Enterprises'!AJ16</f>
        <v>0</v>
      </c>
      <c r="AK16" s="48">
        <f>'Adani Enterprises'!AK16</f>
        <v>0</v>
      </c>
      <c r="AL16" s="48">
        <f>'Adani Enterprises'!AL16</f>
        <v>0</v>
      </c>
    </row>
    <row r="17" customHeight="1" spans="1:38">
      <c r="A17" s="47">
        <f>IFERROR(__xludf.DUMMYFUNCTION("""COMPUTED_VALUE"""),45764.6458333333)</f>
        <v>45764.6458333333</v>
      </c>
      <c r="B17" s="48">
        <f>IFERROR(__xludf.DUMMYFUNCTION("""COMPUTED_VALUE"""),1259.4)</f>
        <v>1259.4</v>
      </c>
      <c r="C17" s="47">
        <f>IFERROR(__xludf.DUMMYFUNCTION("""COMPUTED_VALUE"""),45764.6458333333)</f>
        <v>45764.6458333333</v>
      </c>
      <c r="D17" s="48">
        <f>IFERROR(__xludf.DUMMYFUNCTION("""COMPUTED_VALUE"""),1232.9)</f>
        <v>1232.9</v>
      </c>
      <c r="E17" s="47">
        <f>IFERROR(__xludf.DUMMYFUNCTION("""COMPUTED_VALUE"""),45764.6458333333)</f>
        <v>45764.6458333333</v>
      </c>
      <c r="F17" s="48">
        <f>IFERROR(__xludf.DUMMYFUNCTION("""COMPUTED_VALUE"""),4280765)</f>
        <v>4280765</v>
      </c>
      <c r="G17" s="47">
        <f>IFERROR(__xludf.DUMMYFUNCTION("""COMPUTED_VALUE"""),45764.6458333333)</f>
        <v>45764.6458333333</v>
      </c>
      <c r="H17" s="48">
        <f>IFERROR(__xludf.DUMMYFUNCTION("""COMPUTED_VALUE"""),1282.5)</f>
        <v>1282.5</v>
      </c>
      <c r="I17" s="47">
        <f>IFERROR(__xludf.DUMMYFUNCTION("""COMPUTED_VALUE"""),45764.6458333333)</f>
        <v>45764.6458333333</v>
      </c>
      <c r="J17" s="48">
        <f>IFERROR(__xludf.DUMMYFUNCTION("""COMPUTED_VALUE"""),1218.6)</f>
        <v>1218.6</v>
      </c>
      <c r="K17" s="3">
        <f t="shared" si="2"/>
        <v>1259.4</v>
      </c>
      <c r="L17" s="3">
        <f t="shared" si="3"/>
        <v>0</v>
      </c>
      <c r="AF17" s="48">
        <f>'Adani Enterprises'!AF17</f>
        <v>0</v>
      </c>
      <c r="AG17" s="48">
        <f>'Adani Enterprises'!AG17</f>
        <v>0</v>
      </c>
      <c r="AH17" s="48">
        <f>'Adani Enterprises'!AH17</f>
        <v>0</v>
      </c>
      <c r="AI17" s="48">
        <f>'Adani Enterprises'!AI17</f>
        <v>0</v>
      </c>
      <c r="AJ17" s="48">
        <f>'Adani Enterprises'!AJ17</f>
        <v>0</v>
      </c>
      <c r="AK17" s="48">
        <f>'Adani Enterprises'!AK17</f>
        <v>0</v>
      </c>
      <c r="AL17" s="48">
        <f>'Adani Enterprises'!AL17</f>
        <v>0</v>
      </c>
    </row>
    <row r="18" customHeight="1" spans="1:38">
      <c r="A18" s="47">
        <f>IFERROR(__xludf.DUMMYFUNCTION("""COMPUTED_VALUE"""),45768.6458333333)</f>
        <v>45768.6458333333</v>
      </c>
      <c r="B18" s="48">
        <f>IFERROR(__xludf.DUMMYFUNCTION("""COMPUTED_VALUE"""),1243.1)</f>
        <v>1243.1</v>
      </c>
      <c r="C18" s="47">
        <f>IFERROR(__xludf.DUMMYFUNCTION("""COMPUTED_VALUE"""),45768.6458333333)</f>
        <v>45768.6458333333</v>
      </c>
      <c r="D18" s="48">
        <f>IFERROR(__xludf.DUMMYFUNCTION("""COMPUTED_VALUE"""),1259.4)</f>
        <v>1259.4</v>
      </c>
      <c r="E18" s="47">
        <f>IFERROR(__xludf.DUMMYFUNCTION("""COMPUTED_VALUE"""),45768.6458333333)</f>
        <v>45768.6458333333</v>
      </c>
      <c r="F18" s="48">
        <f>IFERROR(__xludf.DUMMYFUNCTION("""COMPUTED_VALUE"""),6049182)</f>
        <v>6049182</v>
      </c>
      <c r="G18" s="47">
        <f>IFERROR(__xludf.DUMMYFUNCTION("""COMPUTED_VALUE"""),45768.6458333333)</f>
        <v>45768.6458333333</v>
      </c>
      <c r="H18" s="48">
        <f>IFERROR(__xludf.DUMMYFUNCTION("""COMPUTED_VALUE"""),1260)</f>
        <v>1260</v>
      </c>
      <c r="I18" s="47">
        <f>IFERROR(__xludf.DUMMYFUNCTION("""COMPUTED_VALUE"""),45768.6458333333)</f>
        <v>45768.6458333333</v>
      </c>
      <c r="J18" s="48">
        <f>IFERROR(__xludf.DUMMYFUNCTION("""COMPUTED_VALUE"""),1209.4)</f>
        <v>1209.4</v>
      </c>
      <c r="K18" s="3">
        <f t="shared" si="2"/>
        <v>0</v>
      </c>
      <c r="L18" s="3">
        <f t="shared" si="3"/>
        <v>0</v>
      </c>
      <c r="AF18" s="48">
        <f>'Adani Enterprises'!AF18</f>
        <v>0</v>
      </c>
      <c r="AG18" s="48">
        <f>'Adani Enterprises'!AG18</f>
        <v>0</v>
      </c>
      <c r="AH18" s="48">
        <f>'Adani Enterprises'!AH18</f>
        <v>0</v>
      </c>
      <c r="AI18" s="48">
        <f>'Adani Enterprises'!AI18</f>
        <v>0</v>
      </c>
      <c r="AJ18" s="48">
        <f>'Adani Enterprises'!AJ18</f>
        <v>0</v>
      </c>
      <c r="AK18" s="48">
        <f>'Adani Enterprises'!AK18</f>
        <v>0</v>
      </c>
      <c r="AL18" s="48">
        <f>'Adani Enterprises'!AL18</f>
        <v>0</v>
      </c>
    </row>
    <row r="19" customHeight="1" spans="1:38">
      <c r="A19" s="47">
        <f>IFERROR(__xludf.DUMMYFUNCTION("""COMPUTED_VALUE"""),45769.6458333333)</f>
        <v>45769.6458333333</v>
      </c>
      <c r="B19" s="48">
        <f>IFERROR(__xludf.DUMMYFUNCTION("""COMPUTED_VALUE"""),1233.2)</f>
        <v>1233.2</v>
      </c>
      <c r="C19" s="47">
        <f>IFERROR(__xludf.DUMMYFUNCTION("""COMPUTED_VALUE"""),45769.6458333333)</f>
        <v>45769.6458333333</v>
      </c>
      <c r="D19" s="48">
        <f>IFERROR(__xludf.DUMMYFUNCTION("""COMPUTED_VALUE"""),1249.6)</f>
        <v>1249.6</v>
      </c>
      <c r="E19" s="47">
        <f>IFERROR(__xludf.DUMMYFUNCTION("""COMPUTED_VALUE"""),45769.6458333333)</f>
        <v>45769.6458333333</v>
      </c>
      <c r="F19" s="48">
        <f>IFERROR(__xludf.DUMMYFUNCTION("""COMPUTED_VALUE"""),2932537)</f>
        <v>2932537</v>
      </c>
      <c r="G19" s="47">
        <f>IFERROR(__xludf.DUMMYFUNCTION("""COMPUTED_VALUE"""),45769.6458333333)</f>
        <v>45769.6458333333</v>
      </c>
      <c r="H19" s="48">
        <f>IFERROR(__xludf.DUMMYFUNCTION("""COMPUTED_VALUE"""),1255.6)</f>
        <v>1255.6</v>
      </c>
      <c r="I19" s="47">
        <f>IFERROR(__xludf.DUMMYFUNCTION("""COMPUTED_VALUE"""),45769.6458333333)</f>
        <v>45769.6458333333</v>
      </c>
      <c r="J19" s="48">
        <f>IFERROR(__xludf.DUMMYFUNCTION("""COMPUTED_VALUE"""),1227)</f>
        <v>1227</v>
      </c>
      <c r="K19" s="3">
        <f t="shared" si="2"/>
        <v>0</v>
      </c>
      <c r="L19" s="3">
        <f t="shared" si="3"/>
        <v>0</v>
      </c>
      <c r="AF19" s="48">
        <f>'Adani Enterprises'!AF19</f>
        <v>0</v>
      </c>
      <c r="AG19" s="48">
        <f>'Adani Enterprises'!AG19</f>
        <v>0</v>
      </c>
      <c r="AH19" s="48">
        <f>'Adani Enterprises'!AH19</f>
        <v>0</v>
      </c>
      <c r="AI19" s="48">
        <f>'Adani Enterprises'!AI19</f>
        <v>0</v>
      </c>
      <c r="AJ19" s="48">
        <f>'Adani Enterprises'!AJ19</f>
        <v>0</v>
      </c>
      <c r="AK19" s="48">
        <f>'Adani Enterprises'!AK19</f>
        <v>0</v>
      </c>
      <c r="AL19" s="48">
        <f>'Adani Enterprises'!AL19</f>
        <v>0</v>
      </c>
    </row>
    <row r="20" customHeight="1" spans="1:38">
      <c r="A20" s="47">
        <f>IFERROR(__xludf.DUMMYFUNCTION("""COMPUTED_VALUE"""),45770.6458333333)</f>
        <v>45770.6458333333</v>
      </c>
      <c r="B20" s="48">
        <f>IFERROR(__xludf.DUMMYFUNCTION("""COMPUTED_VALUE"""),1239.1)</f>
        <v>1239.1</v>
      </c>
      <c r="C20" s="47">
        <f>IFERROR(__xludf.DUMMYFUNCTION("""COMPUTED_VALUE"""),45770.6458333333)</f>
        <v>45770.6458333333</v>
      </c>
      <c r="D20" s="48">
        <f>IFERROR(__xludf.DUMMYFUNCTION("""COMPUTED_VALUE"""),1240.1)</f>
        <v>1240.1</v>
      </c>
      <c r="E20" s="47">
        <f>IFERROR(__xludf.DUMMYFUNCTION("""COMPUTED_VALUE"""),45770.6458333333)</f>
        <v>45770.6458333333</v>
      </c>
      <c r="F20" s="48">
        <f>IFERROR(__xludf.DUMMYFUNCTION("""COMPUTED_VALUE"""),2580999)</f>
        <v>2580999</v>
      </c>
      <c r="G20" s="47">
        <f>IFERROR(__xludf.DUMMYFUNCTION("""COMPUTED_VALUE"""),45770.6458333333)</f>
        <v>45770.6458333333</v>
      </c>
      <c r="H20" s="48">
        <f>IFERROR(__xludf.DUMMYFUNCTION("""COMPUTED_VALUE"""),1242.8)</f>
        <v>1242.8</v>
      </c>
      <c r="I20" s="47">
        <f>IFERROR(__xludf.DUMMYFUNCTION("""COMPUTED_VALUE"""),45770.6458333333)</f>
        <v>45770.6458333333</v>
      </c>
      <c r="J20" s="48">
        <f>IFERROR(__xludf.DUMMYFUNCTION("""COMPUTED_VALUE"""),1216.8)</f>
        <v>1216.8</v>
      </c>
      <c r="K20" s="3">
        <f t="shared" si="2"/>
        <v>0</v>
      </c>
      <c r="L20" s="3">
        <f t="shared" si="3"/>
        <v>0</v>
      </c>
      <c r="AF20" s="48">
        <f>'Adani Enterprises'!AF20</f>
        <v>0</v>
      </c>
      <c r="AG20" s="48">
        <f>'Adani Enterprises'!AG20</f>
        <v>0</v>
      </c>
      <c r="AH20" s="48">
        <f>'Adani Enterprises'!AH20</f>
        <v>0</v>
      </c>
      <c r="AI20" s="48">
        <f>'Adani Enterprises'!AI20</f>
        <v>0</v>
      </c>
      <c r="AJ20" s="48">
        <f>'Adani Enterprises'!AJ20</f>
        <v>0</v>
      </c>
      <c r="AK20" s="48">
        <f>'Adani Enterprises'!AK20</f>
        <v>0</v>
      </c>
      <c r="AL20" s="48">
        <f>'Adani Enterprises'!AL20</f>
        <v>0</v>
      </c>
    </row>
    <row r="21" customHeight="1" spans="1:38">
      <c r="A21" s="47">
        <f>IFERROR(__xludf.DUMMYFUNCTION("""COMPUTED_VALUE"""),45771.6458333333)</f>
        <v>45771.6458333333</v>
      </c>
      <c r="B21" s="48">
        <f>IFERROR(__xludf.DUMMYFUNCTION("""COMPUTED_VALUE"""),1236.4)</f>
        <v>1236.4</v>
      </c>
      <c r="C21" s="47">
        <f>IFERROR(__xludf.DUMMYFUNCTION("""COMPUTED_VALUE"""),45771.6458333333)</f>
        <v>45771.6458333333</v>
      </c>
      <c r="D21" s="48">
        <f>IFERROR(__xludf.DUMMYFUNCTION("""COMPUTED_VALUE"""),1238)</f>
        <v>1238</v>
      </c>
      <c r="E21" s="47">
        <f>IFERROR(__xludf.DUMMYFUNCTION("""COMPUTED_VALUE"""),45771.6458333333)</f>
        <v>45771.6458333333</v>
      </c>
      <c r="F21" s="48">
        <f>IFERROR(__xludf.DUMMYFUNCTION("""COMPUTED_VALUE"""),2133285)</f>
        <v>2133285</v>
      </c>
      <c r="G21" s="47">
        <f>IFERROR(__xludf.DUMMYFUNCTION("""COMPUTED_VALUE"""),45771.6458333333)</f>
        <v>45771.6458333333</v>
      </c>
      <c r="H21" s="48">
        <f>IFERROR(__xludf.DUMMYFUNCTION("""COMPUTED_VALUE"""),1248)</f>
        <v>1248</v>
      </c>
      <c r="I21" s="47">
        <f>IFERROR(__xludf.DUMMYFUNCTION("""COMPUTED_VALUE"""),45771.6458333333)</f>
        <v>45771.6458333333</v>
      </c>
      <c r="J21" s="48">
        <f>IFERROR(__xludf.DUMMYFUNCTION("""COMPUTED_VALUE"""),1231.6)</f>
        <v>1231.6</v>
      </c>
      <c r="K21" s="3">
        <f t="shared" si="2"/>
        <v>0</v>
      </c>
      <c r="L21" s="3">
        <f t="shared" si="3"/>
        <v>0</v>
      </c>
      <c r="AF21" s="48">
        <f>'Adani Enterprises'!AF21</f>
        <v>0</v>
      </c>
      <c r="AG21" s="48">
        <f>'Adani Enterprises'!AG21</f>
        <v>0</v>
      </c>
      <c r="AH21" s="48">
        <f>'Adani Enterprises'!AH21</f>
        <v>0</v>
      </c>
      <c r="AI21" s="48">
        <f>'Adani Enterprises'!AI21</f>
        <v>0</v>
      </c>
      <c r="AJ21" s="48">
        <f>'Adani Enterprises'!AJ21</f>
        <v>0</v>
      </c>
      <c r="AK21" s="48">
        <f>'Adani Enterprises'!AK21</f>
        <v>0</v>
      </c>
      <c r="AL21" s="48">
        <f>'Adani Enterprises'!AL21</f>
        <v>0</v>
      </c>
    </row>
    <row r="22" customHeight="1" spans="1:38">
      <c r="A22" s="47">
        <f>IFERROR(__xludf.DUMMYFUNCTION("""COMPUTED_VALUE"""),45772.6458333333)</f>
        <v>45772.6458333333</v>
      </c>
      <c r="B22" s="48">
        <f>IFERROR(__xludf.DUMMYFUNCTION("""COMPUTED_VALUE"""),1193)</f>
        <v>1193</v>
      </c>
      <c r="C22" s="47">
        <f>IFERROR(__xludf.DUMMYFUNCTION("""COMPUTED_VALUE"""),45772.6458333333)</f>
        <v>45772.6458333333</v>
      </c>
      <c r="D22" s="48">
        <f>IFERROR(__xludf.DUMMYFUNCTION("""COMPUTED_VALUE"""),1236.3)</f>
        <v>1236.3</v>
      </c>
      <c r="E22" s="47">
        <f>IFERROR(__xludf.DUMMYFUNCTION("""COMPUTED_VALUE"""),45772.6458333333)</f>
        <v>45772.6458333333</v>
      </c>
      <c r="F22" s="48">
        <f>IFERROR(__xludf.DUMMYFUNCTION("""COMPUTED_VALUE"""),3628854)</f>
        <v>3628854</v>
      </c>
      <c r="G22" s="47">
        <f>IFERROR(__xludf.DUMMYFUNCTION("""COMPUTED_VALUE"""),45772.6458333333)</f>
        <v>45772.6458333333</v>
      </c>
      <c r="H22" s="48">
        <f>IFERROR(__xludf.DUMMYFUNCTION("""COMPUTED_VALUE"""),1243.4)</f>
        <v>1243.4</v>
      </c>
      <c r="I22" s="47">
        <f>IFERROR(__xludf.DUMMYFUNCTION("""COMPUTED_VALUE"""),45772.6458333333)</f>
        <v>45772.6458333333</v>
      </c>
      <c r="J22" s="48">
        <f>IFERROR(__xludf.DUMMYFUNCTION("""COMPUTED_VALUE"""),1181.2)</f>
        <v>1181.2</v>
      </c>
      <c r="K22" s="3">
        <f t="shared" si="2"/>
        <v>0</v>
      </c>
      <c r="L22" s="3">
        <f t="shared" si="3"/>
        <v>1193</v>
      </c>
      <c r="AF22" s="48">
        <f>'Adani Enterprises'!AF22</f>
        <v>0</v>
      </c>
      <c r="AG22" s="48">
        <f>'Adani Enterprises'!AG22</f>
        <v>0</v>
      </c>
      <c r="AH22" s="48">
        <f>'Adani Enterprises'!AH22</f>
        <v>0</v>
      </c>
      <c r="AI22" s="48">
        <f>'Adani Enterprises'!AI22</f>
        <v>0</v>
      </c>
      <c r="AJ22" s="48">
        <f>'Adani Enterprises'!AJ22</f>
        <v>0</v>
      </c>
      <c r="AK22" s="48">
        <f>'Adani Enterprises'!AK22</f>
        <v>0</v>
      </c>
      <c r="AL22" s="48">
        <f>'Adani Enterprises'!AL22</f>
        <v>0</v>
      </c>
    </row>
    <row r="23" customHeight="1" spans="1:38">
      <c r="A23" s="47">
        <f>IFERROR(__xludf.DUMMYFUNCTION("""COMPUTED_VALUE"""),45775.6458333333)</f>
        <v>45775.6458333333</v>
      </c>
      <c r="B23" s="48">
        <f>IFERROR(__xludf.DUMMYFUNCTION("""COMPUTED_VALUE"""),1209.9)</f>
        <v>1209.9</v>
      </c>
      <c r="C23" s="47">
        <f>IFERROR(__xludf.DUMMYFUNCTION("""COMPUTED_VALUE"""),45775.6458333333)</f>
        <v>45775.6458333333</v>
      </c>
      <c r="D23" s="48">
        <f>IFERROR(__xludf.DUMMYFUNCTION("""COMPUTED_VALUE"""),1188.1)</f>
        <v>1188.1</v>
      </c>
      <c r="E23" s="47">
        <f>IFERROR(__xludf.DUMMYFUNCTION("""COMPUTED_VALUE"""),45775.6458333333)</f>
        <v>45775.6458333333</v>
      </c>
      <c r="F23" s="48">
        <f>IFERROR(__xludf.DUMMYFUNCTION("""COMPUTED_VALUE"""),2646406)</f>
        <v>2646406</v>
      </c>
      <c r="G23" s="47">
        <f>IFERROR(__xludf.DUMMYFUNCTION("""COMPUTED_VALUE"""),45775.6458333333)</f>
        <v>45775.6458333333</v>
      </c>
      <c r="H23" s="48">
        <f>IFERROR(__xludf.DUMMYFUNCTION("""COMPUTED_VALUE"""),1214.7)</f>
        <v>1214.7</v>
      </c>
      <c r="I23" s="47">
        <f>IFERROR(__xludf.DUMMYFUNCTION("""COMPUTED_VALUE"""),45775.6458333333)</f>
        <v>45775.6458333333</v>
      </c>
      <c r="J23" s="48">
        <f>IFERROR(__xludf.DUMMYFUNCTION("""COMPUTED_VALUE"""),1184.1)</f>
        <v>1184.1</v>
      </c>
      <c r="K23" s="3">
        <f t="shared" si="2"/>
        <v>0</v>
      </c>
      <c r="L23" s="3">
        <f t="shared" si="3"/>
        <v>0</v>
      </c>
      <c r="AF23" s="48">
        <f>'Adani Enterprises'!AF23</f>
        <v>0</v>
      </c>
      <c r="AG23" s="48">
        <f>'Adani Enterprises'!AG23</f>
        <v>0</v>
      </c>
      <c r="AH23" s="48">
        <f>'Adani Enterprises'!AH23</f>
        <v>0</v>
      </c>
      <c r="AI23" s="48">
        <f>'Adani Enterprises'!AI23</f>
        <v>0</v>
      </c>
      <c r="AJ23" s="48">
        <f>'Adani Enterprises'!AJ23</f>
        <v>0</v>
      </c>
      <c r="AK23" s="48">
        <f>'Adani Enterprises'!AK23</f>
        <v>0</v>
      </c>
      <c r="AL23" s="48">
        <f>'Adani Enterprises'!AL23</f>
        <v>0</v>
      </c>
    </row>
    <row r="24" customHeight="1" spans="1:38">
      <c r="A24" s="47">
        <f>IFERROR(__xludf.DUMMYFUNCTION("""COMPUTED_VALUE"""),45776.6458333333)</f>
        <v>45776.6458333333</v>
      </c>
      <c r="B24" s="48">
        <f>IFERROR(__xludf.DUMMYFUNCTION("""COMPUTED_VALUE"""),1216.4)</f>
        <v>1216.4</v>
      </c>
      <c r="C24" s="47">
        <f>IFERROR(__xludf.DUMMYFUNCTION("""COMPUTED_VALUE"""),45776.6458333333)</f>
        <v>45776.6458333333</v>
      </c>
      <c r="D24" s="48">
        <f>IFERROR(__xludf.DUMMYFUNCTION("""COMPUTED_VALUE"""),1212)</f>
        <v>1212</v>
      </c>
      <c r="E24" s="47">
        <f>IFERROR(__xludf.DUMMYFUNCTION("""COMPUTED_VALUE"""),45776.6458333333)</f>
        <v>45776.6458333333</v>
      </c>
      <c r="F24" s="48">
        <f>IFERROR(__xludf.DUMMYFUNCTION("""COMPUTED_VALUE"""),2381980)</f>
        <v>2381980</v>
      </c>
      <c r="G24" s="47">
        <f>IFERROR(__xludf.DUMMYFUNCTION("""COMPUTED_VALUE"""),45776.6458333333)</f>
        <v>45776.6458333333</v>
      </c>
      <c r="H24" s="48">
        <f>IFERROR(__xludf.DUMMYFUNCTION("""COMPUTED_VALUE"""),1223.9)</f>
        <v>1223.9</v>
      </c>
      <c r="I24" s="47">
        <f>IFERROR(__xludf.DUMMYFUNCTION("""COMPUTED_VALUE"""),45776.6458333333)</f>
        <v>45776.6458333333</v>
      </c>
      <c r="J24" s="48">
        <f>IFERROR(__xludf.DUMMYFUNCTION("""COMPUTED_VALUE"""),1202.5)</f>
        <v>1202.5</v>
      </c>
      <c r="K24" s="3">
        <f t="shared" si="2"/>
        <v>0</v>
      </c>
      <c r="L24" s="3">
        <f t="shared" si="3"/>
        <v>0</v>
      </c>
      <c r="AF24" s="48">
        <f>'Adani Enterprises'!AF24</f>
        <v>0</v>
      </c>
      <c r="AG24" s="48">
        <f>'Adani Enterprises'!AG24</f>
        <v>0</v>
      </c>
      <c r="AH24" s="48">
        <f>'Adani Enterprises'!AH24</f>
        <v>0</v>
      </c>
      <c r="AI24" s="48">
        <f>'Adani Enterprises'!AI24</f>
        <v>0</v>
      </c>
      <c r="AJ24" s="48">
        <f>'Adani Enterprises'!AJ24</f>
        <v>0</v>
      </c>
      <c r="AK24" s="48">
        <f>'Adani Enterprises'!AK24</f>
        <v>0</v>
      </c>
      <c r="AL24" s="48">
        <f>'Adani Enterprises'!AL24</f>
        <v>0</v>
      </c>
    </row>
    <row r="25" customHeight="1" spans="1:38">
      <c r="A25" s="47">
        <f>IFERROR(__xludf.DUMMYFUNCTION("""COMPUTED_VALUE"""),45777.6458333333)</f>
        <v>45777.6458333333</v>
      </c>
      <c r="B25" s="48">
        <f>IFERROR(__xludf.DUMMYFUNCTION("""COMPUTED_VALUE"""),1216.5)</f>
        <v>1216.5</v>
      </c>
      <c r="C25" s="47">
        <f>IFERROR(__xludf.DUMMYFUNCTION("""COMPUTED_VALUE"""),45777.6458333333)</f>
        <v>45777.6458333333</v>
      </c>
      <c r="D25" s="48">
        <f>IFERROR(__xludf.DUMMYFUNCTION("""COMPUTED_VALUE"""),1215.1)</f>
        <v>1215.1</v>
      </c>
      <c r="E25" s="47">
        <f>IFERROR(__xludf.DUMMYFUNCTION("""COMPUTED_VALUE"""),45777.6458333333)</f>
        <v>45777.6458333333</v>
      </c>
      <c r="F25" s="48">
        <f>IFERROR(__xludf.DUMMYFUNCTION("""COMPUTED_VALUE"""),1824334)</f>
        <v>1824334</v>
      </c>
      <c r="G25" s="47">
        <f>IFERROR(__xludf.DUMMYFUNCTION("""COMPUTED_VALUE"""),45777.6458333333)</f>
        <v>45777.6458333333</v>
      </c>
      <c r="H25" s="48">
        <f>IFERROR(__xludf.DUMMYFUNCTION("""COMPUTED_VALUE"""),1226.5)</f>
        <v>1226.5</v>
      </c>
      <c r="I25" s="47">
        <f>IFERROR(__xludf.DUMMYFUNCTION("""COMPUTED_VALUE"""),45777.6458333333)</f>
        <v>45777.6458333333</v>
      </c>
      <c r="J25" s="48">
        <f>IFERROR(__xludf.DUMMYFUNCTION("""COMPUTED_VALUE"""),1203.9)</f>
        <v>1203.9</v>
      </c>
      <c r="K25" s="3">
        <f t="shared" si="2"/>
        <v>0</v>
      </c>
      <c r="L25" s="3">
        <f t="shared" si="3"/>
        <v>0</v>
      </c>
      <c r="AF25" s="48">
        <f>'Adani Enterprises'!AF25</f>
        <v>0</v>
      </c>
      <c r="AG25" s="48">
        <f>'Adani Enterprises'!AG25</f>
        <v>0</v>
      </c>
      <c r="AH25" s="48">
        <f>'Adani Enterprises'!AH25</f>
        <v>0</v>
      </c>
      <c r="AI25" s="48">
        <f>'Adani Enterprises'!AI25</f>
        <v>0</v>
      </c>
      <c r="AJ25" s="48">
        <f>'Adani Enterprises'!AJ25</f>
        <v>0</v>
      </c>
      <c r="AK25" s="48">
        <f>'Adani Enterprises'!AK25</f>
        <v>0</v>
      </c>
      <c r="AL25" s="48">
        <f>'Adani Enterprises'!AL25</f>
        <v>0</v>
      </c>
    </row>
    <row r="26" customHeight="1" spans="1:38">
      <c r="A26" s="47">
        <f>IFERROR(__xludf.DUMMYFUNCTION("""COMPUTED_VALUE"""),45779.6458333333)</f>
        <v>45779.6458333333</v>
      </c>
      <c r="B26" s="48">
        <f>IFERROR(__xludf.DUMMYFUNCTION("""COMPUTED_VALUE"""),1267.1)</f>
        <v>1267.1</v>
      </c>
      <c r="C26" s="47">
        <f>IFERROR(__xludf.DUMMYFUNCTION("""COMPUTED_VALUE"""),45779.6458333333)</f>
        <v>45779.6458333333</v>
      </c>
      <c r="D26" s="48">
        <f>IFERROR(__xludf.DUMMYFUNCTION("""COMPUTED_VALUE"""),1255)</f>
        <v>1255</v>
      </c>
      <c r="E26" s="47">
        <f>IFERROR(__xludf.DUMMYFUNCTION("""COMPUTED_VALUE"""),45779.6458333333)</f>
        <v>45779.6458333333</v>
      </c>
      <c r="F26" s="48">
        <f>IFERROR(__xludf.DUMMYFUNCTION("""COMPUTED_VALUE"""),10694521)</f>
        <v>10694521</v>
      </c>
      <c r="G26" s="47">
        <f>IFERROR(__xludf.DUMMYFUNCTION("""COMPUTED_VALUE"""),45779.6458333333)</f>
        <v>45779.6458333333</v>
      </c>
      <c r="H26" s="48">
        <f>IFERROR(__xludf.DUMMYFUNCTION("""COMPUTED_VALUE"""),1295)</f>
        <v>1295</v>
      </c>
      <c r="I26" s="47">
        <f>IFERROR(__xludf.DUMMYFUNCTION("""COMPUTED_VALUE"""),45779.6458333333)</f>
        <v>45779.6458333333</v>
      </c>
      <c r="J26" s="48">
        <f>IFERROR(__xludf.DUMMYFUNCTION("""COMPUTED_VALUE"""),1242.7)</f>
        <v>1242.7</v>
      </c>
      <c r="K26" s="3">
        <f t="shared" si="2"/>
        <v>0</v>
      </c>
      <c r="L26" s="3">
        <f t="shared" si="3"/>
        <v>0</v>
      </c>
      <c r="AF26" s="48">
        <f>'Adani Enterprises'!AF26</f>
        <v>0</v>
      </c>
      <c r="AG26" s="48">
        <f>'Adani Enterprises'!AG26</f>
        <v>0</v>
      </c>
      <c r="AH26" s="48">
        <f>'Adani Enterprises'!AH26</f>
        <v>0</v>
      </c>
      <c r="AI26" s="48">
        <f>'Adani Enterprises'!AI26</f>
        <v>0</v>
      </c>
      <c r="AJ26" s="48">
        <f>'Adani Enterprises'!AJ26</f>
        <v>0</v>
      </c>
      <c r="AK26" s="48">
        <f>'Adani Enterprises'!AK26</f>
        <v>0</v>
      </c>
      <c r="AL26" s="48">
        <f>'Adani Enterprises'!AL26</f>
        <v>0</v>
      </c>
    </row>
    <row r="27" customHeight="1" spans="1:38">
      <c r="A27" s="47">
        <f>IFERROR(__xludf.DUMMYFUNCTION("""COMPUTED_VALUE"""),45782.6458333333)</f>
        <v>45782.6458333333</v>
      </c>
      <c r="B27" s="48">
        <f>IFERROR(__xludf.DUMMYFUNCTION("""COMPUTED_VALUE"""),1347.1)</f>
        <v>1347.1</v>
      </c>
      <c r="C27" s="47">
        <f>IFERROR(__xludf.DUMMYFUNCTION("""COMPUTED_VALUE"""),45782.6458333333)</f>
        <v>45782.6458333333</v>
      </c>
      <c r="D27" s="48">
        <f>IFERROR(__xludf.DUMMYFUNCTION("""COMPUTED_VALUE"""),1290)</f>
        <v>1290</v>
      </c>
      <c r="E27" s="47">
        <f>IFERROR(__xludf.DUMMYFUNCTION("""COMPUTED_VALUE"""),45782.6458333333)</f>
        <v>45782.6458333333</v>
      </c>
      <c r="F27" s="48">
        <f>IFERROR(__xludf.DUMMYFUNCTION("""COMPUTED_VALUE"""),14191797)</f>
        <v>14191797</v>
      </c>
      <c r="G27" s="47">
        <f>IFERROR(__xludf.DUMMYFUNCTION("""COMPUTED_VALUE"""),45782.6458333333)</f>
        <v>45782.6458333333</v>
      </c>
      <c r="H27" s="48">
        <f>IFERROR(__xludf.DUMMYFUNCTION("""COMPUTED_VALUE"""),1377)</f>
        <v>1377</v>
      </c>
      <c r="I27" s="47">
        <f>IFERROR(__xludf.DUMMYFUNCTION("""COMPUTED_VALUE"""),45782.6458333333)</f>
        <v>45782.6458333333</v>
      </c>
      <c r="J27" s="48">
        <f>IFERROR(__xludf.DUMMYFUNCTION("""COMPUTED_VALUE"""),1285.7)</f>
        <v>1285.7</v>
      </c>
      <c r="K27" s="3">
        <f t="shared" si="2"/>
        <v>0</v>
      </c>
      <c r="L27" s="3">
        <f t="shared" si="3"/>
        <v>0</v>
      </c>
      <c r="AF27" s="48">
        <f>'Adani Enterprises'!AF27</f>
        <v>0</v>
      </c>
      <c r="AG27" s="48">
        <f>'Adani Enterprises'!AG27</f>
        <v>0</v>
      </c>
      <c r="AH27" s="48">
        <f>'Adani Enterprises'!AH27</f>
        <v>0</v>
      </c>
      <c r="AI27" s="48">
        <f>'Adani Enterprises'!AI27</f>
        <v>0</v>
      </c>
      <c r="AJ27" s="48">
        <f>'Adani Enterprises'!AJ27</f>
        <v>0</v>
      </c>
      <c r="AK27" s="48">
        <f>'Adani Enterprises'!AK27</f>
        <v>0</v>
      </c>
      <c r="AL27" s="48">
        <f>'Adani Enterprises'!AL27</f>
        <v>0</v>
      </c>
    </row>
    <row r="28" customHeight="1" spans="1:38">
      <c r="A28" s="47">
        <f>IFERROR(__xludf.DUMMYFUNCTION("""COMPUTED_VALUE"""),45783.6458333333)</f>
        <v>45783.6458333333</v>
      </c>
      <c r="B28" s="48">
        <f>IFERROR(__xludf.DUMMYFUNCTION("""COMPUTED_VALUE"""),1320.8)</f>
        <v>1320.8</v>
      </c>
      <c r="C28" s="47">
        <f>IFERROR(__xludf.DUMMYFUNCTION("""COMPUTED_VALUE"""),45783.6458333333)</f>
        <v>45783.6458333333</v>
      </c>
      <c r="D28" s="48">
        <f>IFERROR(__xludf.DUMMYFUNCTION("""COMPUTED_VALUE"""),1350)</f>
        <v>1350</v>
      </c>
      <c r="E28" s="47">
        <f>IFERROR(__xludf.DUMMYFUNCTION("""COMPUTED_VALUE"""),45783.6458333333)</f>
        <v>45783.6458333333</v>
      </c>
      <c r="F28" s="48">
        <f>IFERROR(__xludf.DUMMYFUNCTION("""COMPUTED_VALUE"""),3604276)</f>
        <v>3604276</v>
      </c>
      <c r="G28" s="47">
        <f>IFERROR(__xludf.DUMMYFUNCTION("""COMPUTED_VALUE"""),45783.6458333333)</f>
        <v>45783.6458333333</v>
      </c>
      <c r="H28" s="48">
        <f>IFERROR(__xludf.DUMMYFUNCTION("""COMPUTED_VALUE"""),1356.3)</f>
        <v>1356.3</v>
      </c>
      <c r="I28" s="47">
        <f>IFERROR(__xludf.DUMMYFUNCTION("""COMPUTED_VALUE"""),45783.6458333333)</f>
        <v>45783.6458333333</v>
      </c>
      <c r="J28" s="48">
        <f>IFERROR(__xludf.DUMMYFUNCTION("""COMPUTED_VALUE"""),1315)</f>
        <v>1315</v>
      </c>
      <c r="K28" s="3">
        <f t="shared" si="2"/>
        <v>0</v>
      </c>
      <c r="L28" s="3">
        <f t="shared" si="3"/>
        <v>0</v>
      </c>
      <c r="AF28" s="48">
        <f>'Adani Enterprises'!AF28</f>
        <v>0</v>
      </c>
      <c r="AG28" s="48">
        <f>'Adani Enterprises'!AG28</f>
        <v>0</v>
      </c>
      <c r="AH28" s="48">
        <f>'Adani Enterprises'!AH28</f>
        <v>0</v>
      </c>
      <c r="AI28" s="48">
        <f>'Adani Enterprises'!AI28</f>
        <v>0</v>
      </c>
      <c r="AJ28" s="48">
        <f>'Adani Enterprises'!AJ28</f>
        <v>0</v>
      </c>
      <c r="AK28" s="48">
        <f>'Adani Enterprises'!AK28</f>
        <v>0</v>
      </c>
      <c r="AL28" s="48">
        <f>'Adani Enterprises'!AL28</f>
        <v>0</v>
      </c>
    </row>
    <row r="29" customHeight="1" spans="1:38">
      <c r="A29" s="47">
        <f>IFERROR(__xludf.DUMMYFUNCTION("""COMPUTED_VALUE"""),45784.6458333333)</f>
        <v>45784.6458333333</v>
      </c>
      <c r="B29" s="48">
        <f>IFERROR(__xludf.DUMMYFUNCTION("""COMPUTED_VALUE"""),1338.2)</f>
        <v>1338.2</v>
      </c>
      <c r="C29" s="47">
        <f>IFERROR(__xludf.DUMMYFUNCTION("""COMPUTED_VALUE"""),45784.6458333333)</f>
        <v>45784.6458333333</v>
      </c>
      <c r="D29" s="48">
        <f>IFERROR(__xludf.DUMMYFUNCTION("""COMPUTED_VALUE"""),1298.8)</f>
        <v>1298.8</v>
      </c>
      <c r="E29" s="47">
        <f>IFERROR(__xludf.DUMMYFUNCTION("""COMPUTED_VALUE"""),45784.6458333333)</f>
        <v>45784.6458333333</v>
      </c>
      <c r="F29" s="48">
        <f>IFERROR(__xludf.DUMMYFUNCTION("""COMPUTED_VALUE"""),3269847)</f>
        <v>3269847</v>
      </c>
      <c r="G29" s="47">
        <f>IFERROR(__xludf.DUMMYFUNCTION("""COMPUTED_VALUE"""),45784.6458333333)</f>
        <v>45784.6458333333</v>
      </c>
      <c r="H29" s="48">
        <f>IFERROR(__xludf.DUMMYFUNCTION("""COMPUTED_VALUE"""),1341.3)</f>
        <v>1341.3</v>
      </c>
      <c r="I29" s="47">
        <f>IFERROR(__xludf.DUMMYFUNCTION("""COMPUTED_VALUE"""),45784.6458333333)</f>
        <v>45784.6458333333</v>
      </c>
      <c r="J29" s="48">
        <f>IFERROR(__xludf.DUMMYFUNCTION("""COMPUTED_VALUE"""),1298.7)</f>
        <v>1298.7</v>
      </c>
      <c r="K29" s="3">
        <f t="shared" si="2"/>
        <v>0</v>
      </c>
      <c r="L29" s="3">
        <f t="shared" si="3"/>
        <v>0</v>
      </c>
      <c r="AF29" s="48">
        <f>'Adani Enterprises'!AF29</f>
        <v>0</v>
      </c>
      <c r="AG29" s="48">
        <f>'Adani Enterprises'!AG29</f>
        <v>0</v>
      </c>
      <c r="AH29" s="48">
        <f>'Adani Enterprises'!AH29</f>
        <v>0</v>
      </c>
      <c r="AI29" s="48">
        <f>'Adani Enterprises'!AI29</f>
        <v>0</v>
      </c>
      <c r="AJ29" s="48">
        <f>'Adani Enterprises'!AJ29</f>
        <v>0</v>
      </c>
      <c r="AK29" s="48">
        <f>'Adani Enterprises'!AK29</f>
        <v>0</v>
      </c>
      <c r="AL29" s="48">
        <f>'Adani Enterprises'!AL29</f>
        <v>0</v>
      </c>
    </row>
    <row r="30" customHeight="1" spans="1:38">
      <c r="A30" s="47">
        <f>IFERROR(__xludf.DUMMYFUNCTION("""COMPUTED_VALUE"""),45785.6458333333)</f>
        <v>45785.6458333333</v>
      </c>
      <c r="B30" s="48">
        <f>IFERROR(__xludf.DUMMYFUNCTION("""COMPUTED_VALUE"""),1333.1)</f>
        <v>1333.1</v>
      </c>
      <c r="C30" s="47">
        <f>IFERROR(__xludf.DUMMYFUNCTION("""COMPUTED_VALUE"""),45785.6458333333)</f>
        <v>45785.6458333333</v>
      </c>
      <c r="D30" s="48">
        <f>IFERROR(__xludf.DUMMYFUNCTION("""COMPUTED_VALUE"""),1340)</f>
        <v>1340</v>
      </c>
      <c r="E30" s="47">
        <f>IFERROR(__xludf.DUMMYFUNCTION("""COMPUTED_VALUE"""),45785.6458333333)</f>
        <v>45785.6458333333</v>
      </c>
      <c r="F30" s="48">
        <f>IFERROR(__xludf.DUMMYFUNCTION("""COMPUTED_VALUE"""),5077662)</f>
        <v>5077662</v>
      </c>
      <c r="G30" s="47">
        <f>IFERROR(__xludf.DUMMYFUNCTION("""COMPUTED_VALUE"""),45785.6458333333)</f>
        <v>45785.6458333333</v>
      </c>
      <c r="H30" s="48">
        <f>IFERROR(__xludf.DUMMYFUNCTION("""COMPUTED_VALUE"""),1366.9)</f>
        <v>1366.9</v>
      </c>
      <c r="I30" s="47">
        <f>IFERROR(__xludf.DUMMYFUNCTION("""COMPUTED_VALUE"""),45785.6458333333)</f>
        <v>45785.6458333333</v>
      </c>
      <c r="J30" s="48">
        <f>IFERROR(__xludf.DUMMYFUNCTION("""COMPUTED_VALUE"""),1316.4)</f>
        <v>1316.4</v>
      </c>
      <c r="K30" s="3">
        <f t="shared" si="2"/>
        <v>0</v>
      </c>
      <c r="L30" s="3">
        <f t="shared" si="3"/>
        <v>0</v>
      </c>
      <c r="AF30" s="48">
        <f>'Adani Enterprises'!AF30</f>
        <v>0</v>
      </c>
      <c r="AG30" s="48">
        <f>'Adani Enterprises'!AG30</f>
        <v>0</v>
      </c>
      <c r="AH30" s="48">
        <f>'Adani Enterprises'!AH30</f>
        <v>0</v>
      </c>
      <c r="AI30" s="48">
        <f>'Adani Enterprises'!AI30</f>
        <v>0</v>
      </c>
      <c r="AJ30" s="48">
        <f>'Adani Enterprises'!AJ30</f>
        <v>0</v>
      </c>
      <c r="AK30" s="48">
        <f>'Adani Enterprises'!AK30</f>
        <v>0</v>
      </c>
      <c r="AL30" s="48">
        <f>'Adani Enterprises'!AL30</f>
        <v>0</v>
      </c>
    </row>
    <row r="31" customHeight="1" spans="1:38">
      <c r="A31" s="47">
        <f>IFERROR(__xludf.DUMMYFUNCTION("""COMPUTED_VALUE"""),45786.6458333333)</f>
        <v>45786.6458333333</v>
      </c>
      <c r="B31" s="48">
        <f>IFERROR(__xludf.DUMMYFUNCTION("""COMPUTED_VALUE"""),1306.3)</f>
        <v>1306.3</v>
      </c>
      <c r="C31" s="47">
        <f>IFERROR(__xludf.DUMMYFUNCTION("""COMPUTED_VALUE"""),45786.6458333333)</f>
        <v>45786.6458333333</v>
      </c>
      <c r="D31" s="48">
        <f>IFERROR(__xludf.DUMMYFUNCTION("""COMPUTED_VALUE"""),1300)</f>
        <v>1300</v>
      </c>
      <c r="E31" s="47">
        <f>IFERROR(__xludf.DUMMYFUNCTION("""COMPUTED_VALUE"""),45786.6458333333)</f>
        <v>45786.6458333333</v>
      </c>
      <c r="F31" s="48">
        <f>IFERROR(__xludf.DUMMYFUNCTION("""COMPUTED_VALUE"""),2979366)</f>
        <v>2979366</v>
      </c>
      <c r="G31" s="47">
        <f>IFERROR(__xludf.DUMMYFUNCTION("""COMPUTED_VALUE"""),45786.6458333333)</f>
        <v>45786.6458333333</v>
      </c>
      <c r="H31" s="48">
        <f>IFERROR(__xludf.DUMMYFUNCTION("""COMPUTED_VALUE"""),1324.9)</f>
        <v>1324.9</v>
      </c>
      <c r="I31" s="47">
        <f>IFERROR(__xludf.DUMMYFUNCTION("""COMPUTED_VALUE"""),45786.6458333333)</f>
        <v>45786.6458333333</v>
      </c>
      <c r="J31" s="48">
        <f>IFERROR(__xludf.DUMMYFUNCTION("""COMPUTED_VALUE"""),1292.6)</f>
        <v>1292.6</v>
      </c>
      <c r="K31" s="3">
        <f t="shared" si="2"/>
        <v>0</v>
      </c>
      <c r="L31" s="3">
        <f t="shared" si="3"/>
        <v>0</v>
      </c>
      <c r="AF31" s="48">
        <f>'Adani Enterprises'!AF31</f>
        <v>0</v>
      </c>
      <c r="AG31" s="48">
        <f>'Adani Enterprises'!AG31</f>
        <v>0</v>
      </c>
      <c r="AH31" s="48">
        <f>'Adani Enterprises'!AH31</f>
        <v>0</v>
      </c>
      <c r="AI31" s="48">
        <f>'Adani Enterprises'!AI31</f>
        <v>0</v>
      </c>
      <c r="AJ31" s="48">
        <f>'Adani Enterprises'!AJ31</f>
        <v>0</v>
      </c>
      <c r="AK31" s="48">
        <f>'Adani Enterprises'!AK31</f>
        <v>0</v>
      </c>
      <c r="AL31" s="48">
        <f>'Adani Enterprises'!AL31</f>
        <v>0</v>
      </c>
    </row>
    <row r="32" customHeight="1" spans="1:38">
      <c r="A32" s="47">
        <f>IFERROR(__xludf.DUMMYFUNCTION("""COMPUTED_VALUE"""),45789.6458333333)</f>
        <v>45789.6458333333</v>
      </c>
      <c r="B32" s="48">
        <f>IFERROR(__xludf.DUMMYFUNCTION("""COMPUTED_VALUE"""),1362.1)</f>
        <v>1362.1</v>
      </c>
      <c r="C32" s="47">
        <f>IFERROR(__xludf.DUMMYFUNCTION("""COMPUTED_VALUE"""),45789.6458333333)</f>
        <v>45789.6458333333</v>
      </c>
      <c r="D32" s="48">
        <f>IFERROR(__xludf.DUMMYFUNCTION("""COMPUTED_VALUE"""),1360)</f>
        <v>1360</v>
      </c>
      <c r="E32" s="47">
        <f>IFERROR(__xludf.DUMMYFUNCTION("""COMPUTED_VALUE"""),45789.6458333333)</f>
        <v>45789.6458333333</v>
      </c>
      <c r="F32" s="48">
        <f>IFERROR(__xludf.DUMMYFUNCTION("""COMPUTED_VALUE"""),3662785)</f>
        <v>3662785</v>
      </c>
      <c r="G32" s="47">
        <f>IFERROR(__xludf.DUMMYFUNCTION("""COMPUTED_VALUE"""),45789.6458333333)</f>
        <v>45789.6458333333</v>
      </c>
      <c r="H32" s="48">
        <f>IFERROR(__xludf.DUMMYFUNCTION("""COMPUTED_VALUE"""),1375)</f>
        <v>1375</v>
      </c>
      <c r="I32" s="47">
        <f>IFERROR(__xludf.DUMMYFUNCTION("""COMPUTED_VALUE"""),45789.6458333333)</f>
        <v>45789.6458333333</v>
      </c>
      <c r="J32" s="48">
        <f>IFERROR(__xludf.DUMMYFUNCTION("""COMPUTED_VALUE"""),1345.5)</f>
        <v>1345.5</v>
      </c>
      <c r="K32" s="3">
        <f t="shared" si="2"/>
        <v>0</v>
      </c>
      <c r="L32" s="3">
        <f t="shared" si="3"/>
        <v>0</v>
      </c>
      <c r="AF32" s="48">
        <f>'Adani Enterprises'!AF32</f>
        <v>0</v>
      </c>
      <c r="AG32" s="48">
        <f>'Adani Enterprises'!AG32</f>
        <v>0</v>
      </c>
      <c r="AH32" s="48">
        <f>'Adani Enterprises'!AH32</f>
        <v>0</v>
      </c>
      <c r="AI32" s="48">
        <f>'Adani Enterprises'!AI32</f>
        <v>0</v>
      </c>
      <c r="AJ32" s="48">
        <f>'Adani Enterprises'!AJ32</f>
        <v>0</v>
      </c>
      <c r="AK32" s="48">
        <f>'Adani Enterprises'!AK32</f>
        <v>0</v>
      </c>
      <c r="AL32" s="48">
        <f>'Adani Enterprises'!AL32</f>
        <v>0</v>
      </c>
    </row>
    <row r="33" customHeight="1" spans="1:38">
      <c r="A33" s="47">
        <f>IFERROR(__xludf.DUMMYFUNCTION("""COMPUTED_VALUE"""),45790.6458333333)</f>
        <v>45790.6458333333</v>
      </c>
      <c r="B33" s="48">
        <f>IFERROR(__xludf.DUMMYFUNCTION("""COMPUTED_VALUE"""),1369.2)</f>
        <v>1369.2</v>
      </c>
      <c r="C33" s="47">
        <f>IFERROR(__xludf.DUMMYFUNCTION("""COMPUTED_VALUE"""),45790.6458333333)</f>
        <v>45790.6458333333</v>
      </c>
      <c r="D33" s="48">
        <f>IFERROR(__xludf.DUMMYFUNCTION("""COMPUTED_VALUE"""),1360.6)</f>
        <v>1360.6</v>
      </c>
      <c r="E33" s="47">
        <f>IFERROR(__xludf.DUMMYFUNCTION("""COMPUTED_VALUE"""),45790.6458333333)</f>
        <v>45790.6458333333</v>
      </c>
      <c r="F33" s="48">
        <f>IFERROR(__xludf.DUMMYFUNCTION("""COMPUTED_VALUE"""),3356599)</f>
        <v>3356599</v>
      </c>
      <c r="G33" s="47">
        <f>IFERROR(__xludf.DUMMYFUNCTION("""COMPUTED_VALUE"""),45790.6458333333)</f>
        <v>45790.6458333333</v>
      </c>
      <c r="H33" s="48">
        <f>IFERROR(__xludf.DUMMYFUNCTION("""COMPUTED_VALUE"""),1391.9)</f>
        <v>1391.9</v>
      </c>
      <c r="I33" s="47">
        <f>IFERROR(__xludf.DUMMYFUNCTION("""COMPUTED_VALUE"""),45790.6458333333)</f>
        <v>45790.6458333333</v>
      </c>
      <c r="J33" s="48">
        <f>IFERROR(__xludf.DUMMYFUNCTION("""COMPUTED_VALUE"""),1347.1)</f>
        <v>1347.1</v>
      </c>
      <c r="K33" s="3">
        <f t="shared" si="2"/>
        <v>0</v>
      </c>
      <c r="L33" s="3">
        <f t="shared" si="3"/>
        <v>0</v>
      </c>
      <c r="AF33" s="48">
        <f>'Adani Enterprises'!AF33</f>
        <v>0</v>
      </c>
      <c r="AG33" s="48">
        <f>'Adani Enterprises'!AG33</f>
        <v>0</v>
      </c>
      <c r="AH33" s="48">
        <f>'Adani Enterprises'!AH33</f>
        <v>0</v>
      </c>
      <c r="AI33" s="48">
        <f>'Adani Enterprises'!AI33</f>
        <v>0</v>
      </c>
      <c r="AJ33" s="48">
        <f>'Adani Enterprises'!AJ33</f>
        <v>0</v>
      </c>
      <c r="AK33" s="48">
        <f>'Adani Enterprises'!AK33</f>
        <v>0</v>
      </c>
      <c r="AL33" s="48">
        <f>'Adani Enterprises'!AL33</f>
        <v>0</v>
      </c>
    </row>
    <row r="34" customHeight="1" spans="1:38">
      <c r="A34" s="47">
        <f>IFERROR(__xludf.DUMMYFUNCTION("""COMPUTED_VALUE"""),45791.6458333333)</f>
        <v>45791.6458333333</v>
      </c>
      <c r="B34" s="48">
        <f>IFERROR(__xludf.DUMMYFUNCTION("""COMPUTED_VALUE"""),1371.8)</f>
        <v>1371.8</v>
      </c>
      <c r="C34" s="47">
        <f>IFERROR(__xludf.DUMMYFUNCTION("""COMPUTED_VALUE"""),45791.6458333333)</f>
        <v>45791.6458333333</v>
      </c>
      <c r="D34" s="48">
        <f>IFERROR(__xludf.DUMMYFUNCTION("""COMPUTED_VALUE"""),1380)</f>
        <v>1380</v>
      </c>
      <c r="E34" s="47">
        <f>IFERROR(__xludf.DUMMYFUNCTION("""COMPUTED_VALUE"""),45791.6458333333)</f>
        <v>45791.6458333333</v>
      </c>
      <c r="F34" s="48">
        <f>IFERROR(__xludf.DUMMYFUNCTION("""COMPUTED_VALUE"""),1557379)</f>
        <v>1557379</v>
      </c>
      <c r="G34" s="47">
        <f>IFERROR(__xludf.DUMMYFUNCTION("""COMPUTED_VALUE"""),45791.6458333333)</f>
        <v>45791.6458333333</v>
      </c>
      <c r="H34" s="48">
        <f>IFERROR(__xludf.DUMMYFUNCTION("""COMPUTED_VALUE"""),1381.9)</f>
        <v>1381.9</v>
      </c>
      <c r="I34" s="47">
        <f>IFERROR(__xludf.DUMMYFUNCTION("""COMPUTED_VALUE"""),45791.6458333333)</f>
        <v>45791.6458333333</v>
      </c>
      <c r="J34" s="48">
        <f>IFERROR(__xludf.DUMMYFUNCTION("""COMPUTED_VALUE"""),1362)</f>
        <v>1362</v>
      </c>
      <c r="K34" s="3">
        <f t="shared" si="2"/>
        <v>0</v>
      </c>
      <c r="L34" s="3">
        <f t="shared" si="3"/>
        <v>0</v>
      </c>
      <c r="AF34" s="48">
        <f>'Adani Enterprises'!AF34</f>
        <v>0</v>
      </c>
      <c r="AG34" s="48">
        <f>'Adani Enterprises'!AG34</f>
        <v>0</v>
      </c>
      <c r="AH34" s="48">
        <f>'Adani Enterprises'!AH34</f>
        <v>0</v>
      </c>
      <c r="AI34" s="48">
        <f>'Adani Enterprises'!AI34</f>
        <v>0</v>
      </c>
      <c r="AJ34" s="48">
        <f>'Adani Enterprises'!AJ34</f>
        <v>0</v>
      </c>
      <c r="AK34" s="48">
        <f>'Adani Enterprises'!AK34</f>
        <v>0</v>
      </c>
      <c r="AL34" s="48">
        <f>'Adani Enterprises'!AL34</f>
        <v>0</v>
      </c>
    </row>
    <row r="35" customHeight="1" spans="1:38">
      <c r="A35" s="47">
        <f>IFERROR(__xludf.DUMMYFUNCTION("""COMPUTED_VALUE"""),45792.6458333333)</f>
        <v>45792.6458333333</v>
      </c>
      <c r="B35" s="48">
        <f>IFERROR(__xludf.DUMMYFUNCTION("""COMPUTED_VALUE"""),1406.2)</f>
        <v>1406.2</v>
      </c>
      <c r="C35" s="47">
        <f>IFERROR(__xludf.DUMMYFUNCTION("""COMPUTED_VALUE"""),45792.6458333333)</f>
        <v>45792.6458333333</v>
      </c>
      <c r="D35" s="48">
        <f>IFERROR(__xludf.DUMMYFUNCTION("""COMPUTED_VALUE"""),1375.6)</f>
        <v>1375.6</v>
      </c>
      <c r="E35" s="47">
        <f>IFERROR(__xludf.DUMMYFUNCTION("""COMPUTED_VALUE"""),45792.6458333333)</f>
        <v>45792.6458333333</v>
      </c>
      <c r="F35" s="48">
        <f>IFERROR(__xludf.DUMMYFUNCTION("""COMPUTED_VALUE"""),3706424)</f>
        <v>3706424</v>
      </c>
      <c r="G35" s="47">
        <f>IFERROR(__xludf.DUMMYFUNCTION("""COMPUTED_VALUE"""),45792.6458333333)</f>
        <v>45792.6458333333</v>
      </c>
      <c r="H35" s="48">
        <f>IFERROR(__xludf.DUMMYFUNCTION("""COMPUTED_VALUE"""),1409.9)</f>
        <v>1409.9</v>
      </c>
      <c r="I35" s="47">
        <f>IFERROR(__xludf.DUMMYFUNCTION("""COMPUTED_VALUE"""),45792.6458333333)</f>
        <v>45792.6458333333</v>
      </c>
      <c r="J35" s="48">
        <f>IFERROR(__xludf.DUMMYFUNCTION("""COMPUTED_VALUE"""),1371.9)</f>
        <v>1371.9</v>
      </c>
      <c r="K35" s="3">
        <f t="shared" si="2"/>
        <v>0</v>
      </c>
      <c r="L35" s="3">
        <f t="shared" si="3"/>
        <v>0</v>
      </c>
      <c r="AF35" s="48">
        <f>'Adani Enterprises'!AF35</f>
        <v>0</v>
      </c>
      <c r="AG35" s="48">
        <f>'Adani Enterprises'!AG35</f>
        <v>0</v>
      </c>
      <c r="AH35" s="48">
        <f>'Adani Enterprises'!AH35</f>
        <v>0</v>
      </c>
      <c r="AI35" s="48">
        <f>'Adani Enterprises'!AI35</f>
        <v>0</v>
      </c>
      <c r="AJ35" s="48">
        <f>'Adani Enterprises'!AJ35</f>
        <v>0</v>
      </c>
      <c r="AK35" s="48">
        <f>'Adani Enterprises'!AK35</f>
        <v>0</v>
      </c>
      <c r="AL35" s="48">
        <f>'Adani Enterprises'!AL35</f>
        <v>0</v>
      </c>
    </row>
    <row r="36" customHeight="1" spans="1:38">
      <c r="A36" s="47">
        <f>IFERROR(__xludf.DUMMYFUNCTION("""COMPUTED_VALUE"""),45793.6458333333)</f>
        <v>45793.6458333333</v>
      </c>
      <c r="B36" s="48">
        <f>IFERROR(__xludf.DUMMYFUNCTION("""COMPUTED_VALUE"""),1407.4)</f>
        <v>1407.4</v>
      </c>
      <c r="C36" s="47">
        <f>IFERROR(__xludf.DUMMYFUNCTION("""COMPUTED_VALUE"""),45793.6458333333)</f>
        <v>45793.6458333333</v>
      </c>
      <c r="D36" s="48">
        <f>IFERROR(__xludf.DUMMYFUNCTION("""COMPUTED_VALUE"""),1410.9)</f>
        <v>1410.9</v>
      </c>
      <c r="E36" s="47">
        <f>IFERROR(__xludf.DUMMYFUNCTION("""COMPUTED_VALUE"""),45793.6458333333)</f>
        <v>45793.6458333333</v>
      </c>
      <c r="F36" s="48">
        <f>IFERROR(__xludf.DUMMYFUNCTION("""COMPUTED_VALUE"""),2777119)</f>
        <v>2777119</v>
      </c>
      <c r="G36" s="47">
        <f>IFERROR(__xludf.DUMMYFUNCTION("""COMPUTED_VALUE"""),45793.6458333333)</f>
        <v>45793.6458333333</v>
      </c>
      <c r="H36" s="48">
        <f>IFERROR(__xludf.DUMMYFUNCTION("""COMPUTED_VALUE"""),1424.9)</f>
        <v>1424.9</v>
      </c>
      <c r="I36" s="47">
        <f>IFERROR(__xludf.DUMMYFUNCTION("""COMPUTED_VALUE"""),45793.6458333333)</f>
        <v>45793.6458333333</v>
      </c>
      <c r="J36" s="48">
        <f>IFERROR(__xludf.DUMMYFUNCTION("""COMPUTED_VALUE"""),1401)</f>
        <v>1401</v>
      </c>
      <c r="K36" s="3">
        <f t="shared" si="2"/>
        <v>1407.4</v>
      </c>
      <c r="L36" s="3">
        <f t="shared" si="3"/>
        <v>0</v>
      </c>
      <c r="AF36" s="48">
        <f>'Adani Enterprises'!AF36</f>
        <v>0</v>
      </c>
      <c r="AG36" s="48">
        <f>'Adani Enterprises'!AG36</f>
        <v>0</v>
      </c>
      <c r="AH36" s="48">
        <f>'Adani Enterprises'!AH36</f>
        <v>0</v>
      </c>
      <c r="AI36" s="48">
        <f>'Adani Enterprises'!AI36</f>
        <v>0</v>
      </c>
      <c r="AJ36" s="48">
        <f>'Adani Enterprises'!AJ36</f>
        <v>0</v>
      </c>
      <c r="AK36" s="48">
        <f>'Adani Enterprises'!AK36</f>
        <v>0</v>
      </c>
      <c r="AL36" s="48">
        <f>'Adani Enterprises'!AL36</f>
        <v>0</v>
      </c>
    </row>
    <row r="37" customHeight="1" spans="1:38">
      <c r="A37" s="47">
        <f>IFERROR(__xludf.DUMMYFUNCTION("""COMPUTED_VALUE"""),45796.6458333333)</f>
        <v>45796.6458333333</v>
      </c>
      <c r="B37" s="48">
        <f>IFERROR(__xludf.DUMMYFUNCTION("""COMPUTED_VALUE"""),1398.3)</f>
        <v>1398.3</v>
      </c>
      <c r="C37" s="47">
        <f>IFERROR(__xludf.DUMMYFUNCTION("""COMPUTED_VALUE"""),45796.6458333333)</f>
        <v>45796.6458333333</v>
      </c>
      <c r="D37" s="48">
        <f>IFERROR(__xludf.DUMMYFUNCTION("""COMPUTED_VALUE"""),1407.5)</f>
        <v>1407.5</v>
      </c>
      <c r="E37" s="47">
        <f>IFERROR(__xludf.DUMMYFUNCTION("""COMPUTED_VALUE"""),45796.6458333333)</f>
        <v>45796.6458333333</v>
      </c>
      <c r="F37" s="48">
        <f>IFERROR(__xludf.DUMMYFUNCTION("""COMPUTED_VALUE"""),1317210)</f>
        <v>1317210</v>
      </c>
      <c r="G37" s="47">
        <f>IFERROR(__xludf.DUMMYFUNCTION("""COMPUTED_VALUE"""),45796.6458333333)</f>
        <v>45796.6458333333</v>
      </c>
      <c r="H37" s="48">
        <f>IFERROR(__xludf.DUMMYFUNCTION("""COMPUTED_VALUE"""),1410.6)</f>
        <v>1410.6</v>
      </c>
      <c r="I37" s="47">
        <f>IFERROR(__xludf.DUMMYFUNCTION("""COMPUTED_VALUE"""),45796.6458333333)</f>
        <v>45796.6458333333</v>
      </c>
      <c r="J37" s="48">
        <f>IFERROR(__xludf.DUMMYFUNCTION("""COMPUTED_VALUE"""),1392)</f>
        <v>1392</v>
      </c>
      <c r="K37" s="3">
        <f t="shared" si="2"/>
        <v>0</v>
      </c>
      <c r="L37" s="3">
        <f t="shared" si="3"/>
        <v>0</v>
      </c>
      <c r="AF37" s="48">
        <f>'Adani Enterprises'!AF37</f>
        <v>0</v>
      </c>
      <c r="AG37" s="48">
        <f>'Adani Enterprises'!AG37</f>
        <v>0</v>
      </c>
      <c r="AH37" s="48">
        <f>'Adani Enterprises'!AH37</f>
        <v>0</v>
      </c>
      <c r="AI37" s="48">
        <f>'Adani Enterprises'!AI37</f>
        <v>0</v>
      </c>
      <c r="AJ37" s="48">
        <f>'Adani Enterprises'!AJ37</f>
        <v>0</v>
      </c>
      <c r="AK37" s="48">
        <f>'Adani Enterprises'!AK37</f>
        <v>0</v>
      </c>
      <c r="AL37" s="48">
        <f>'Adani Enterprises'!AL37</f>
        <v>0</v>
      </c>
    </row>
    <row r="38" customHeight="1" spans="1:38">
      <c r="A38" s="47">
        <f>IFERROR(__xludf.DUMMYFUNCTION("""COMPUTED_VALUE"""),45797.6458333333)</f>
        <v>45797.6458333333</v>
      </c>
      <c r="B38" s="48">
        <f>IFERROR(__xludf.DUMMYFUNCTION("""COMPUTED_VALUE"""),1384.6)</f>
        <v>1384.6</v>
      </c>
      <c r="C38" s="47">
        <f>IFERROR(__xludf.DUMMYFUNCTION("""COMPUTED_VALUE"""),45797.6458333333)</f>
        <v>45797.6458333333</v>
      </c>
      <c r="D38" s="48">
        <f>IFERROR(__xludf.DUMMYFUNCTION("""COMPUTED_VALUE"""),1399)</f>
        <v>1399</v>
      </c>
      <c r="E38" s="47">
        <f>IFERROR(__xludf.DUMMYFUNCTION("""COMPUTED_VALUE"""),45797.6458333333)</f>
        <v>45797.6458333333</v>
      </c>
      <c r="F38" s="48">
        <f>IFERROR(__xludf.DUMMYFUNCTION("""COMPUTED_VALUE"""),2970441)</f>
        <v>2970441</v>
      </c>
      <c r="G38" s="47">
        <f>IFERROR(__xludf.DUMMYFUNCTION("""COMPUTED_VALUE"""),45797.6458333333)</f>
        <v>45797.6458333333</v>
      </c>
      <c r="H38" s="48">
        <f>IFERROR(__xludf.DUMMYFUNCTION("""COMPUTED_VALUE"""),1407.3)</f>
        <v>1407.3</v>
      </c>
      <c r="I38" s="47">
        <f>IFERROR(__xludf.DUMMYFUNCTION("""COMPUTED_VALUE"""),45797.6458333333)</f>
        <v>45797.6458333333</v>
      </c>
      <c r="J38" s="48">
        <f>IFERROR(__xludf.DUMMYFUNCTION("""COMPUTED_VALUE"""),1381.4)</f>
        <v>1381.4</v>
      </c>
      <c r="K38" s="3">
        <f t="shared" si="2"/>
        <v>0</v>
      </c>
      <c r="L38" s="3">
        <f t="shared" si="3"/>
        <v>0</v>
      </c>
      <c r="AF38" s="48">
        <f>'Adani Enterprises'!AF38</f>
        <v>0</v>
      </c>
      <c r="AG38" s="48">
        <f>'Adani Enterprises'!AG38</f>
        <v>0</v>
      </c>
      <c r="AH38" s="48">
        <f>'Adani Enterprises'!AH38</f>
        <v>0</v>
      </c>
      <c r="AI38" s="48">
        <f>'Adani Enterprises'!AI38</f>
        <v>0</v>
      </c>
      <c r="AJ38" s="48">
        <f>'Adani Enterprises'!AJ38</f>
        <v>0</v>
      </c>
      <c r="AK38" s="48">
        <f>'Adani Enterprises'!AK38</f>
        <v>0</v>
      </c>
      <c r="AL38" s="48">
        <f>'Adani Enterprises'!AL38</f>
        <v>0</v>
      </c>
    </row>
    <row r="39" customHeight="1" spans="1:38">
      <c r="A39" s="47">
        <f>IFERROR(__xludf.DUMMYFUNCTION("""COMPUTED_VALUE"""),45798.6458333333)</f>
        <v>45798.6458333333</v>
      </c>
      <c r="B39" s="48">
        <f>IFERROR(__xludf.DUMMYFUNCTION("""COMPUTED_VALUE"""),1384.6)</f>
        <v>1384.6</v>
      </c>
      <c r="C39" s="47">
        <f>IFERROR(__xludf.DUMMYFUNCTION("""COMPUTED_VALUE"""),45798.6458333333)</f>
        <v>45798.6458333333</v>
      </c>
      <c r="D39" s="48">
        <f>IFERROR(__xludf.DUMMYFUNCTION("""COMPUTED_VALUE"""),1380)</f>
        <v>1380</v>
      </c>
      <c r="E39" s="47">
        <f>IFERROR(__xludf.DUMMYFUNCTION("""COMPUTED_VALUE"""),45798.6458333333)</f>
        <v>45798.6458333333</v>
      </c>
      <c r="F39" s="48">
        <f>IFERROR(__xludf.DUMMYFUNCTION("""COMPUTED_VALUE"""),1993690)</f>
        <v>1993690</v>
      </c>
      <c r="G39" s="47">
        <f>IFERROR(__xludf.DUMMYFUNCTION("""COMPUTED_VALUE"""),45798.6458333333)</f>
        <v>45798.6458333333</v>
      </c>
      <c r="H39" s="48">
        <f>IFERROR(__xludf.DUMMYFUNCTION("""COMPUTED_VALUE"""),1391)</f>
        <v>1391</v>
      </c>
      <c r="I39" s="47">
        <f>IFERROR(__xludf.DUMMYFUNCTION("""COMPUTED_VALUE"""),45798.6458333333)</f>
        <v>45798.6458333333</v>
      </c>
      <c r="J39" s="48">
        <f>IFERROR(__xludf.DUMMYFUNCTION("""COMPUTED_VALUE"""),1370.2)</f>
        <v>1370.2</v>
      </c>
      <c r="K39" s="3">
        <f t="shared" si="2"/>
        <v>0</v>
      </c>
      <c r="L39" s="3">
        <f t="shared" si="3"/>
        <v>0</v>
      </c>
      <c r="AF39" s="48">
        <f>'Adani Enterprises'!AF39</f>
        <v>0</v>
      </c>
      <c r="AG39" s="48">
        <f>'Adani Enterprises'!AG39</f>
        <v>0</v>
      </c>
      <c r="AH39" s="48">
        <f>'Adani Enterprises'!AH39</f>
        <v>0</v>
      </c>
      <c r="AI39" s="48">
        <f>'Adani Enterprises'!AI39</f>
        <v>0</v>
      </c>
      <c r="AJ39" s="48">
        <f>'Adani Enterprises'!AJ39</f>
        <v>0</v>
      </c>
      <c r="AK39" s="48">
        <f>'Adani Enterprises'!AK39</f>
        <v>0</v>
      </c>
      <c r="AL39" s="48">
        <f>'Adani Enterprises'!AL39</f>
        <v>0</v>
      </c>
    </row>
    <row r="40" customHeight="1" spans="1:38">
      <c r="A40" s="47">
        <f>IFERROR(__xludf.DUMMYFUNCTION("""COMPUTED_VALUE"""),45799.6458333333)</f>
        <v>45799.6458333333</v>
      </c>
      <c r="B40" s="48">
        <f>IFERROR(__xludf.DUMMYFUNCTION("""COMPUTED_VALUE"""),1371.4)</f>
        <v>1371.4</v>
      </c>
      <c r="C40" s="47">
        <f>IFERROR(__xludf.DUMMYFUNCTION("""COMPUTED_VALUE"""),45799.6458333333)</f>
        <v>45799.6458333333</v>
      </c>
      <c r="D40" s="48">
        <f>IFERROR(__xludf.DUMMYFUNCTION("""COMPUTED_VALUE"""),1380.1)</f>
        <v>1380.1</v>
      </c>
      <c r="E40" s="47">
        <f>IFERROR(__xludf.DUMMYFUNCTION("""COMPUTED_VALUE"""),45799.6458333333)</f>
        <v>45799.6458333333</v>
      </c>
      <c r="F40" s="48">
        <f>IFERROR(__xludf.DUMMYFUNCTION("""COMPUTED_VALUE"""),3186493)</f>
        <v>3186493</v>
      </c>
      <c r="G40" s="47">
        <f>IFERROR(__xludf.DUMMYFUNCTION("""COMPUTED_VALUE"""),45799.6458333333)</f>
        <v>45799.6458333333</v>
      </c>
      <c r="H40" s="48">
        <f>IFERROR(__xludf.DUMMYFUNCTION("""COMPUTED_VALUE"""),1408)</f>
        <v>1408</v>
      </c>
      <c r="I40" s="47">
        <f>IFERROR(__xludf.DUMMYFUNCTION("""COMPUTED_VALUE"""),45799.6458333333)</f>
        <v>45799.6458333333</v>
      </c>
      <c r="J40" s="48">
        <f>IFERROR(__xludf.DUMMYFUNCTION("""COMPUTED_VALUE"""),1358.6)</f>
        <v>1358.6</v>
      </c>
      <c r="K40" s="3">
        <f t="shared" si="2"/>
        <v>0</v>
      </c>
      <c r="L40" s="3">
        <f t="shared" si="3"/>
        <v>1371.4</v>
      </c>
      <c r="AF40" s="48">
        <f>'Adani Enterprises'!AF40</f>
        <v>0</v>
      </c>
      <c r="AG40" s="48">
        <f>'Adani Enterprises'!AG40</f>
        <v>0</v>
      </c>
      <c r="AH40" s="48">
        <f>'Adani Enterprises'!AH40</f>
        <v>0</v>
      </c>
      <c r="AI40" s="48">
        <f>'Adani Enterprises'!AI40</f>
        <v>0</v>
      </c>
      <c r="AJ40" s="48">
        <f>'Adani Enterprises'!AJ40</f>
        <v>0</v>
      </c>
      <c r="AK40" s="48">
        <f>'Adani Enterprises'!AK40</f>
        <v>0</v>
      </c>
      <c r="AL40" s="48">
        <f>'Adani Enterprises'!AL40</f>
        <v>0</v>
      </c>
    </row>
    <row r="41" customHeight="1" spans="1:38">
      <c r="A41" s="47">
        <f>IFERROR(__xludf.DUMMYFUNCTION("""COMPUTED_VALUE"""),45800.6458333333)</f>
        <v>45800.6458333333</v>
      </c>
      <c r="B41" s="48">
        <f>IFERROR(__xludf.DUMMYFUNCTION("""COMPUTED_VALUE"""),1395.4)</f>
        <v>1395.4</v>
      </c>
      <c r="C41" s="47">
        <f>IFERROR(__xludf.DUMMYFUNCTION("""COMPUTED_VALUE"""),45800.6458333333)</f>
        <v>45800.6458333333</v>
      </c>
      <c r="D41" s="48">
        <f>IFERROR(__xludf.DUMMYFUNCTION("""COMPUTED_VALUE"""),1383.1)</f>
        <v>1383.1</v>
      </c>
      <c r="E41" s="47">
        <f>IFERROR(__xludf.DUMMYFUNCTION("""COMPUTED_VALUE"""),45800.6458333333)</f>
        <v>45800.6458333333</v>
      </c>
      <c r="F41" s="48">
        <f>IFERROR(__xludf.DUMMYFUNCTION("""COMPUTED_VALUE"""),1715309)</f>
        <v>1715309</v>
      </c>
      <c r="G41" s="47">
        <f>IFERROR(__xludf.DUMMYFUNCTION("""COMPUTED_VALUE"""),45800.6458333333)</f>
        <v>45800.6458333333</v>
      </c>
      <c r="H41" s="48">
        <f>IFERROR(__xludf.DUMMYFUNCTION("""COMPUTED_VALUE"""),1398.5)</f>
        <v>1398.5</v>
      </c>
      <c r="I41" s="47">
        <f>IFERROR(__xludf.DUMMYFUNCTION("""COMPUTED_VALUE"""),45800.6458333333)</f>
        <v>45800.6458333333</v>
      </c>
      <c r="J41" s="48">
        <f>IFERROR(__xludf.DUMMYFUNCTION("""COMPUTED_VALUE"""),1375)</f>
        <v>1375</v>
      </c>
      <c r="K41" s="3">
        <f t="shared" si="2"/>
        <v>0</v>
      </c>
      <c r="L41" s="3">
        <f t="shared" si="3"/>
        <v>0</v>
      </c>
      <c r="AF41" s="48">
        <f>'Adani Enterprises'!AF41</f>
        <v>0</v>
      </c>
      <c r="AG41" s="48">
        <f>'Adani Enterprises'!AG41</f>
        <v>0</v>
      </c>
      <c r="AH41" s="48">
        <f>'Adani Enterprises'!AH41</f>
        <v>0</v>
      </c>
      <c r="AI41" s="48">
        <f>'Adani Enterprises'!AI41</f>
        <v>0</v>
      </c>
      <c r="AJ41" s="48">
        <f>'Adani Enterprises'!AJ41</f>
        <v>0</v>
      </c>
      <c r="AK41" s="48">
        <f>'Adani Enterprises'!AK41</f>
        <v>0</v>
      </c>
      <c r="AL41" s="48">
        <f>'Adani Enterprises'!AL41</f>
        <v>0</v>
      </c>
    </row>
    <row r="42" customHeight="1" spans="1:38">
      <c r="A42" s="47">
        <f>IFERROR(__xludf.DUMMYFUNCTION("""COMPUTED_VALUE"""),45803.6458333333)</f>
        <v>45803.6458333333</v>
      </c>
      <c r="B42" s="48">
        <f>IFERROR(__xludf.DUMMYFUNCTION("""COMPUTED_VALUE"""),1400.2)</f>
        <v>1400.2</v>
      </c>
      <c r="C42" s="47">
        <f>IFERROR(__xludf.DUMMYFUNCTION("""COMPUTED_VALUE"""),45803.6458333333)</f>
        <v>45803.6458333333</v>
      </c>
      <c r="D42" s="48">
        <f>IFERROR(__xludf.DUMMYFUNCTION("""COMPUTED_VALUE"""),1395.8)</f>
        <v>1395.8</v>
      </c>
      <c r="E42" s="47">
        <f>IFERROR(__xludf.DUMMYFUNCTION("""COMPUTED_VALUE"""),45803.6458333333)</f>
        <v>45803.6458333333</v>
      </c>
      <c r="F42" s="48">
        <f>IFERROR(__xludf.DUMMYFUNCTION("""COMPUTED_VALUE"""),1024835)</f>
        <v>1024835</v>
      </c>
      <c r="G42" s="47">
        <f>IFERROR(__xludf.DUMMYFUNCTION("""COMPUTED_VALUE"""),45803.6458333333)</f>
        <v>45803.6458333333</v>
      </c>
      <c r="H42" s="48">
        <f>IFERROR(__xludf.DUMMYFUNCTION("""COMPUTED_VALUE"""),1410.6)</f>
        <v>1410.6</v>
      </c>
      <c r="I42" s="47">
        <f>IFERROR(__xludf.DUMMYFUNCTION("""COMPUTED_VALUE"""),45803.6458333333)</f>
        <v>45803.6458333333</v>
      </c>
      <c r="J42" s="48">
        <f>IFERROR(__xludf.DUMMYFUNCTION("""COMPUTED_VALUE"""),1394.8)</f>
        <v>1394.8</v>
      </c>
      <c r="K42" s="3">
        <f t="shared" si="2"/>
        <v>0</v>
      </c>
      <c r="L42" s="3">
        <f t="shared" si="3"/>
        <v>0</v>
      </c>
      <c r="AF42" s="48">
        <f>'Adani Enterprises'!AF42</f>
        <v>0</v>
      </c>
      <c r="AG42" s="48">
        <f>'Adani Enterprises'!AG42</f>
        <v>0</v>
      </c>
      <c r="AH42" s="48">
        <f>'Adani Enterprises'!AH42</f>
        <v>0</v>
      </c>
      <c r="AI42" s="48">
        <f>'Adani Enterprises'!AI42</f>
        <v>0</v>
      </c>
      <c r="AJ42" s="48">
        <f>'Adani Enterprises'!AJ42</f>
        <v>0</v>
      </c>
      <c r="AK42" s="48">
        <f>'Adani Enterprises'!AK42</f>
        <v>0</v>
      </c>
      <c r="AL42" s="48">
        <f>'Adani Enterprises'!AL42</f>
        <v>0</v>
      </c>
    </row>
    <row r="43" customHeight="1" spans="1:38">
      <c r="A43" s="47">
        <f>IFERROR(__xludf.DUMMYFUNCTION("""COMPUTED_VALUE"""),45804.6458333333)</f>
        <v>45804.6458333333</v>
      </c>
      <c r="B43" s="48">
        <f>IFERROR(__xludf.DUMMYFUNCTION("""COMPUTED_VALUE"""),1404.2)</f>
        <v>1404.2</v>
      </c>
      <c r="C43" s="47">
        <f>IFERROR(__xludf.DUMMYFUNCTION("""COMPUTED_VALUE"""),45804.6458333333)</f>
        <v>45804.6458333333</v>
      </c>
      <c r="D43" s="48">
        <f>IFERROR(__xludf.DUMMYFUNCTION("""COMPUTED_VALUE"""),1397)</f>
        <v>1397</v>
      </c>
      <c r="E43" s="47">
        <f>IFERROR(__xludf.DUMMYFUNCTION("""COMPUTED_VALUE"""),45804.6458333333)</f>
        <v>45804.6458333333</v>
      </c>
      <c r="F43" s="48">
        <f>IFERROR(__xludf.DUMMYFUNCTION("""COMPUTED_VALUE"""),2571237)</f>
        <v>2571237</v>
      </c>
      <c r="G43" s="47">
        <f>IFERROR(__xludf.DUMMYFUNCTION("""COMPUTED_VALUE"""),45804.6458333333)</f>
        <v>45804.6458333333</v>
      </c>
      <c r="H43" s="48">
        <f>IFERROR(__xludf.DUMMYFUNCTION("""COMPUTED_VALUE"""),1419)</f>
        <v>1419</v>
      </c>
      <c r="I43" s="47">
        <f>IFERROR(__xludf.DUMMYFUNCTION("""COMPUTED_VALUE"""),45804.6458333333)</f>
        <v>45804.6458333333</v>
      </c>
      <c r="J43" s="48">
        <f>IFERROR(__xludf.DUMMYFUNCTION("""COMPUTED_VALUE"""),1385.4)</f>
        <v>1385.4</v>
      </c>
      <c r="K43" s="3">
        <f t="shared" si="2"/>
        <v>0</v>
      </c>
      <c r="L43" s="3">
        <f t="shared" si="3"/>
        <v>0</v>
      </c>
      <c r="AF43" s="48">
        <f>'Adani Enterprises'!AF43</f>
        <v>0</v>
      </c>
      <c r="AG43" s="48">
        <f>'Adani Enterprises'!AG43</f>
        <v>0</v>
      </c>
      <c r="AH43" s="48">
        <f>'Adani Enterprises'!AH43</f>
        <v>0</v>
      </c>
      <c r="AI43" s="48">
        <f>'Adani Enterprises'!AI43</f>
        <v>0</v>
      </c>
      <c r="AJ43" s="48">
        <f>'Adani Enterprises'!AJ43</f>
        <v>0</v>
      </c>
      <c r="AK43" s="48">
        <f>'Adani Enterprises'!AK43</f>
        <v>0</v>
      </c>
      <c r="AL43" s="48">
        <f>'Adani Enterprises'!AL43</f>
        <v>0</v>
      </c>
    </row>
    <row r="44" customHeight="1" spans="1:38">
      <c r="A44" s="47">
        <f>IFERROR(__xludf.DUMMYFUNCTION("""COMPUTED_VALUE"""),45805.6458333333)</f>
        <v>45805.6458333333</v>
      </c>
      <c r="B44" s="48">
        <f>IFERROR(__xludf.DUMMYFUNCTION("""COMPUTED_VALUE"""),1411)</f>
        <v>1411</v>
      </c>
      <c r="C44" s="47">
        <f>IFERROR(__xludf.DUMMYFUNCTION("""COMPUTED_VALUE"""),45805.6458333333)</f>
        <v>45805.6458333333</v>
      </c>
      <c r="D44" s="48">
        <f>IFERROR(__xludf.DUMMYFUNCTION("""COMPUTED_VALUE"""),1405)</f>
        <v>1405</v>
      </c>
      <c r="E44" s="47">
        <f>IFERROR(__xludf.DUMMYFUNCTION("""COMPUTED_VALUE"""),45805.6458333333)</f>
        <v>45805.6458333333</v>
      </c>
      <c r="F44" s="48">
        <f>IFERROR(__xludf.DUMMYFUNCTION("""COMPUTED_VALUE"""),2035398)</f>
        <v>2035398</v>
      </c>
      <c r="G44" s="47">
        <f>IFERROR(__xludf.DUMMYFUNCTION("""COMPUTED_VALUE"""),45805.6458333333)</f>
        <v>45805.6458333333</v>
      </c>
      <c r="H44" s="48">
        <f>IFERROR(__xludf.DUMMYFUNCTION("""COMPUTED_VALUE"""),1427.8)</f>
        <v>1427.8</v>
      </c>
      <c r="I44" s="47">
        <f>IFERROR(__xludf.DUMMYFUNCTION("""COMPUTED_VALUE"""),45805.6458333333)</f>
        <v>45805.6458333333</v>
      </c>
      <c r="J44" s="48">
        <f>IFERROR(__xludf.DUMMYFUNCTION("""COMPUTED_VALUE"""),1403)</f>
        <v>1403</v>
      </c>
      <c r="K44" s="3">
        <f t="shared" si="2"/>
        <v>0</v>
      </c>
      <c r="L44" s="3">
        <f t="shared" si="3"/>
        <v>0</v>
      </c>
      <c r="AF44" s="48">
        <f>'Adani Enterprises'!AF44</f>
        <v>0</v>
      </c>
      <c r="AG44" s="48">
        <f>'Adani Enterprises'!AG44</f>
        <v>0</v>
      </c>
      <c r="AH44" s="48">
        <f>'Adani Enterprises'!AH44</f>
        <v>0</v>
      </c>
      <c r="AI44" s="48">
        <f>'Adani Enterprises'!AI44</f>
        <v>0</v>
      </c>
      <c r="AJ44" s="48">
        <f>'Adani Enterprises'!AJ44</f>
        <v>0</v>
      </c>
      <c r="AK44" s="48">
        <f>'Adani Enterprises'!AK44</f>
        <v>0</v>
      </c>
      <c r="AL44" s="48">
        <f>'Adani Enterprises'!AL44</f>
        <v>0</v>
      </c>
    </row>
    <row r="45" customHeight="1" spans="1:38">
      <c r="A45" s="47">
        <f>IFERROR(__xludf.DUMMYFUNCTION("""COMPUTED_VALUE"""),45806.6458333333)</f>
        <v>45806.6458333333</v>
      </c>
      <c r="B45" s="48">
        <f>IFERROR(__xludf.DUMMYFUNCTION("""COMPUTED_VALUE"""),1438.6)</f>
        <v>1438.6</v>
      </c>
      <c r="C45" s="47">
        <f>IFERROR(__xludf.DUMMYFUNCTION("""COMPUTED_VALUE"""),45806.6458333333)</f>
        <v>45806.6458333333</v>
      </c>
      <c r="D45" s="48">
        <f>IFERROR(__xludf.DUMMYFUNCTION("""COMPUTED_VALUE"""),1421)</f>
        <v>1421</v>
      </c>
      <c r="E45" s="47">
        <f>IFERROR(__xludf.DUMMYFUNCTION("""COMPUTED_VALUE"""),45806.6458333333)</f>
        <v>45806.6458333333</v>
      </c>
      <c r="F45" s="48">
        <f>IFERROR(__xludf.DUMMYFUNCTION("""COMPUTED_VALUE"""),1662886)</f>
        <v>1662886</v>
      </c>
      <c r="G45" s="47">
        <f>IFERROR(__xludf.DUMMYFUNCTION("""COMPUTED_VALUE"""),45806.6458333333)</f>
        <v>45806.6458333333</v>
      </c>
      <c r="H45" s="48">
        <f>IFERROR(__xludf.DUMMYFUNCTION("""COMPUTED_VALUE"""),1441)</f>
        <v>1441</v>
      </c>
      <c r="I45" s="47">
        <f>IFERROR(__xludf.DUMMYFUNCTION("""COMPUTED_VALUE"""),45806.6458333333)</f>
        <v>45806.6458333333</v>
      </c>
      <c r="J45" s="48">
        <f>IFERROR(__xludf.DUMMYFUNCTION("""COMPUTED_VALUE"""),1410.5)</f>
        <v>1410.5</v>
      </c>
      <c r="K45" s="3">
        <f t="shared" si="2"/>
        <v>0</v>
      </c>
      <c r="L45" s="3">
        <f t="shared" si="3"/>
        <v>0</v>
      </c>
      <c r="AF45" s="48">
        <f>'Adani Enterprises'!AF45</f>
        <v>0</v>
      </c>
      <c r="AG45" s="48">
        <f>'Adani Enterprises'!AG45</f>
        <v>0</v>
      </c>
      <c r="AH45" s="48">
        <f>'Adani Enterprises'!AH45</f>
        <v>0</v>
      </c>
      <c r="AI45" s="48">
        <f>'Adani Enterprises'!AI45</f>
        <v>0</v>
      </c>
      <c r="AJ45" s="48">
        <f>'Adani Enterprises'!AJ45</f>
        <v>0</v>
      </c>
      <c r="AK45" s="48">
        <f>'Adani Enterprises'!AK45</f>
        <v>0</v>
      </c>
      <c r="AL45" s="48">
        <f>'Adani Enterprises'!AL45</f>
        <v>0</v>
      </c>
    </row>
    <row r="46" customHeight="1" spans="1:38">
      <c r="A46" s="47">
        <f>IFERROR(__xludf.DUMMYFUNCTION("""COMPUTED_VALUE"""),45807.6458333333)</f>
        <v>45807.6458333333</v>
      </c>
      <c r="B46" s="48">
        <f>IFERROR(__xludf.DUMMYFUNCTION("""COMPUTED_VALUE"""),1432.8)</f>
        <v>1432.8</v>
      </c>
      <c r="C46" s="47">
        <f>IFERROR(__xludf.DUMMYFUNCTION("""COMPUTED_VALUE"""),45807.6458333333)</f>
        <v>45807.6458333333</v>
      </c>
      <c r="D46" s="48">
        <f>IFERROR(__xludf.DUMMYFUNCTION("""COMPUTED_VALUE"""),1442)</f>
        <v>1442</v>
      </c>
      <c r="E46" s="47">
        <f>IFERROR(__xludf.DUMMYFUNCTION("""COMPUTED_VALUE"""),45807.6458333333)</f>
        <v>45807.6458333333</v>
      </c>
      <c r="F46" s="48">
        <f>IFERROR(__xludf.DUMMYFUNCTION("""COMPUTED_VALUE"""),2575127)</f>
        <v>2575127</v>
      </c>
      <c r="G46" s="47">
        <f>IFERROR(__xludf.DUMMYFUNCTION("""COMPUTED_VALUE"""),45807.6458333333)</f>
        <v>45807.6458333333</v>
      </c>
      <c r="H46" s="48">
        <f>IFERROR(__xludf.DUMMYFUNCTION("""COMPUTED_VALUE"""),1457.5)</f>
        <v>1457.5</v>
      </c>
      <c r="I46" s="47">
        <f>IFERROR(__xludf.DUMMYFUNCTION("""COMPUTED_VALUE"""),45807.6458333333)</f>
        <v>45807.6458333333</v>
      </c>
      <c r="J46" s="48">
        <f>IFERROR(__xludf.DUMMYFUNCTION("""COMPUTED_VALUE"""),1428.8)</f>
        <v>1428.8</v>
      </c>
      <c r="K46" s="3">
        <f t="shared" si="2"/>
        <v>0</v>
      </c>
      <c r="L46" s="3">
        <f t="shared" si="3"/>
        <v>0</v>
      </c>
      <c r="AF46" s="48">
        <f>'Adani Enterprises'!AF46</f>
        <v>0</v>
      </c>
      <c r="AG46" s="48">
        <f>'Adani Enterprises'!AG46</f>
        <v>0</v>
      </c>
      <c r="AH46" s="48">
        <f>'Adani Enterprises'!AH46</f>
        <v>0</v>
      </c>
      <c r="AI46" s="48">
        <f>'Adani Enterprises'!AI46</f>
        <v>0</v>
      </c>
      <c r="AJ46" s="48">
        <f>'Adani Enterprises'!AJ46</f>
        <v>0</v>
      </c>
      <c r="AK46" s="48">
        <f>'Adani Enterprises'!AK46</f>
        <v>0</v>
      </c>
      <c r="AL46" s="48">
        <f>'Adani Enterprises'!AL46</f>
        <v>0</v>
      </c>
    </row>
    <row r="47" customHeight="1" spans="1:38">
      <c r="A47" s="47">
        <f>IFERROR(__xludf.DUMMYFUNCTION("""COMPUTED_VALUE"""),45810.6458333333)</f>
        <v>45810.6458333333</v>
      </c>
      <c r="B47" s="48">
        <f>IFERROR(__xludf.DUMMYFUNCTION("""COMPUTED_VALUE"""),1468)</f>
        <v>1468</v>
      </c>
      <c r="C47" s="47">
        <f>IFERROR(__xludf.DUMMYFUNCTION("""COMPUTED_VALUE"""),45810.6458333333)</f>
        <v>45810.6458333333</v>
      </c>
      <c r="D47" s="48">
        <f>IFERROR(__xludf.DUMMYFUNCTION("""COMPUTED_VALUE"""),1432.8)</f>
        <v>1432.8</v>
      </c>
      <c r="E47" s="47">
        <f>IFERROR(__xludf.DUMMYFUNCTION("""COMPUTED_VALUE"""),45810.6458333333)</f>
        <v>45810.6458333333</v>
      </c>
      <c r="F47" s="48">
        <f>IFERROR(__xludf.DUMMYFUNCTION("""COMPUTED_VALUE"""),3164701)</f>
        <v>3164701</v>
      </c>
      <c r="G47" s="47">
        <f>IFERROR(__xludf.DUMMYFUNCTION("""COMPUTED_VALUE"""),45810.6458333333)</f>
        <v>45810.6458333333</v>
      </c>
      <c r="H47" s="48">
        <f>IFERROR(__xludf.DUMMYFUNCTION("""COMPUTED_VALUE"""),1482)</f>
        <v>1482</v>
      </c>
      <c r="I47" s="47">
        <f>IFERROR(__xludf.DUMMYFUNCTION("""COMPUTED_VALUE"""),45810.6458333333)</f>
        <v>45810.6458333333</v>
      </c>
      <c r="J47" s="48">
        <f>IFERROR(__xludf.DUMMYFUNCTION("""COMPUTED_VALUE"""),1425.3)</f>
        <v>1425.3</v>
      </c>
      <c r="K47" s="3">
        <f t="shared" si="2"/>
        <v>0</v>
      </c>
      <c r="L47" s="3">
        <f t="shared" si="3"/>
        <v>0</v>
      </c>
      <c r="AF47" s="48">
        <f>'Adani Enterprises'!AF47</f>
        <v>0</v>
      </c>
      <c r="AG47" s="48">
        <f>'Adani Enterprises'!AG47</f>
        <v>0</v>
      </c>
      <c r="AH47" s="48">
        <f>'Adani Enterprises'!AH47</f>
        <v>0</v>
      </c>
      <c r="AI47" s="48">
        <f>'Adani Enterprises'!AI47</f>
        <v>0</v>
      </c>
      <c r="AJ47" s="48">
        <f>'Adani Enterprises'!AJ47</f>
        <v>0</v>
      </c>
      <c r="AK47" s="48">
        <f>'Adani Enterprises'!AK47</f>
        <v>0</v>
      </c>
      <c r="AL47" s="48">
        <f>'Adani Enterprises'!AL47</f>
        <v>0</v>
      </c>
    </row>
    <row r="48" customHeight="1" spans="1:38">
      <c r="A48" s="47">
        <f>IFERROR(__xludf.DUMMYFUNCTION("""COMPUTED_VALUE"""),45811.6458333333)</f>
        <v>45811.6458333333</v>
      </c>
      <c r="B48" s="48">
        <f>IFERROR(__xludf.DUMMYFUNCTION("""COMPUTED_VALUE"""),1432.3)</f>
        <v>1432.3</v>
      </c>
      <c r="C48" s="47">
        <f>IFERROR(__xludf.DUMMYFUNCTION("""COMPUTED_VALUE"""),45811.6458333333)</f>
        <v>45811.6458333333</v>
      </c>
      <c r="D48" s="48">
        <f>IFERROR(__xludf.DUMMYFUNCTION("""COMPUTED_VALUE"""),1470)</f>
        <v>1470</v>
      </c>
      <c r="E48" s="47">
        <f>IFERROR(__xludf.DUMMYFUNCTION("""COMPUTED_VALUE"""),45811.6458333333)</f>
        <v>45811.6458333333</v>
      </c>
      <c r="F48" s="48">
        <f>IFERROR(__xludf.DUMMYFUNCTION("""COMPUTED_VALUE"""),3677200)</f>
        <v>3677200</v>
      </c>
      <c r="G48" s="47">
        <f>IFERROR(__xludf.DUMMYFUNCTION("""COMPUTED_VALUE"""),45811.6458333333)</f>
        <v>45811.6458333333</v>
      </c>
      <c r="H48" s="48">
        <f>IFERROR(__xludf.DUMMYFUNCTION("""COMPUTED_VALUE"""),1472)</f>
        <v>1472</v>
      </c>
      <c r="I48" s="47">
        <f>IFERROR(__xludf.DUMMYFUNCTION("""COMPUTED_VALUE"""),45811.6458333333)</f>
        <v>45811.6458333333</v>
      </c>
      <c r="J48" s="48">
        <f>IFERROR(__xludf.DUMMYFUNCTION("""COMPUTED_VALUE"""),1426.7)</f>
        <v>1426.7</v>
      </c>
      <c r="K48" s="3">
        <f t="shared" si="2"/>
        <v>0</v>
      </c>
      <c r="L48" s="3">
        <f t="shared" si="3"/>
        <v>0</v>
      </c>
      <c r="AF48" s="48">
        <f>'Adani Enterprises'!AF48</f>
        <v>0</v>
      </c>
      <c r="AG48" s="48">
        <f>'Adani Enterprises'!AG48</f>
        <v>0</v>
      </c>
      <c r="AH48" s="48">
        <f>'Adani Enterprises'!AH48</f>
        <v>0</v>
      </c>
      <c r="AI48" s="48">
        <f>'Adani Enterprises'!AI48</f>
        <v>0</v>
      </c>
      <c r="AJ48" s="48">
        <f>'Adani Enterprises'!AJ48</f>
        <v>0</v>
      </c>
      <c r="AK48" s="48">
        <f>'Adani Enterprises'!AK48</f>
        <v>0</v>
      </c>
      <c r="AL48" s="48">
        <f>'Adani Enterprises'!AL48</f>
        <v>0</v>
      </c>
    </row>
    <row r="49" customHeight="1" spans="1:38">
      <c r="A49" s="47">
        <f>IFERROR(__xludf.DUMMYFUNCTION("""COMPUTED_VALUE"""),45812.6458333333)</f>
        <v>45812.6458333333</v>
      </c>
      <c r="B49" s="48">
        <f>IFERROR(__xludf.DUMMYFUNCTION("""COMPUTED_VALUE"""),1436.2)</f>
        <v>1436.2</v>
      </c>
      <c r="C49" s="47">
        <f>IFERROR(__xludf.DUMMYFUNCTION("""COMPUTED_VALUE"""),45812.6458333333)</f>
        <v>45812.6458333333</v>
      </c>
      <c r="D49" s="48">
        <f>IFERROR(__xludf.DUMMYFUNCTION("""COMPUTED_VALUE"""),1432.3)</f>
        <v>1432.3</v>
      </c>
      <c r="E49" s="47">
        <f>IFERROR(__xludf.DUMMYFUNCTION("""COMPUTED_VALUE"""),45812.6458333333)</f>
        <v>45812.6458333333</v>
      </c>
      <c r="F49" s="48">
        <f>IFERROR(__xludf.DUMMYFUNCTION("""COMPUTED_VALUE"""),1446972)</f>
        <v>1446972</v>
      </c>
      <c r="G49" s="47">
        <f>IFERROR(__xludf.DUMMYFUNCTION("""COMPUTED_VALUE"""),45812.6458333333)</f>
        <v>45812.6458333333</v>
      </c>
      <c r="H49" s="48">
        <f>IFERROR(__xludf.DUMMYFUNCTION("""COMPUTED_VALUE"""),1441.1)</f>
        <v>1441.1</v>
      </c>
      <c r="I49" s="47">
        <f>IFERROR(__xludf.DUMMYFUNCTION("""COMPUTED_VALUE"""),45812.6458333333)</f>
        <v>45812.6458333333</v>
      </c>
      <c r="J49" s="48">
        <f>IFERROR(__xludf.DUMMYFUNCTION("""COMPUTED_VALUE"""),1423.1)</f>
        <v>1423.1</v>
      </c>
      <c r="K49" s="3">
        <f t="shared" si="2"/>
        <v>0</v>
      </c>
      <c r="L49" s="3">
        <f t="shared" si="3"/>
        <v>0</v>
      </c>
      <c r="AF49" s="48">
        <f>'Adani Enterprises'!AF49</f>
        <v>0</v>
      </c>
      <c r="AG49" s="48">
        <f>'Adani Enterprises'!AG49</f>
        <v>0</v>
      </c>
      <c r="AH49" s="48">
        <f>'Adani Enterprises'!AH49</f>
        <v>0</v>
      </c>
      <c r="AI49" s="48">
        <f>'Adani Enterprises'!AI49</f>
        <v>0</v>
      </c>
      <c r="AJ49" s="48">
        <f>'Adani Enterprises'!AJ49</f>
        <v>0</v>
      </c>
      <c r="AK49" s="48">
        <f>'Adani Enterprises'!AK49</f>
        <v>0</v>
      </c>
      <c r="AL49" s="48">
        <f>'Adani Enterprises'!AL49</f>
        <v>0</v>
      </c>
    </row>
    <row r="50" customHeight="1" spans="1:38">
      <c r="A50" s="47">
        <f>IFERROR(__xludf.DUMMYFUNCTION("""COMPUTED_VALUE"""),45813.6458333333)</f>
        <v>45813.6458333333</v>
      </c>
      <c r="B50" s="48">
        <f>IFERROR(__xludf.DUMMYFUNCTION("""COMPUTED_VALUE"""),1456.7)</f>
        <v>1456.7</v>
      </c>
      <c r="C50" s="47">
        <f>IFERROR(__xludf.DUMMYFUNCTION("""COMPUTED_VALUE"""),45813.6458333333)</f>
        <v>45813.6458333333</v>
      </c>
      <c r="D50" s="48">
        <f>IFERROR(__xludf.DUMMYFUNCTION("""COMPUTED_VALUE"""),1443.8)</f>
        <v>1443.8</v>
      </c>
      <c r="E50" s="47">
        <f>IFERROR(__xludf.DUMMYFUNCTION("""COMPUTED_VALUE"""),45813.6458333333)</f>
        <v>45813.6458333333</v>
      </c>
      <c r="F50" s="48">
        <f>IFERROR(__xludf.DUMMYFUNCTION("""COMPUTED_VALUE"""),2019939)</f>
        <v>2019939</v>
      </c>
      <c r="G50" s="47">
        <f>IFERROR(__xludf.DUMMYFUNCTION("""COMPUTED_VALUE"""),45813.6458333333)</f>
        <v>45813.6458333333</v>
      </c>
      <c r="H50" s="48">
        <f>IFERROR(__xludf.DUMMYFUNCTION("""COMPUTED_VALUE"""),1467.7)</f>
        <v>1467.7</v>
      </c>
      <c r="I50" s="47">
        <f>IFERROR(__xludf.DUMMYFUNCTION("""COMPUTED_VALUE"""),45813.6458333333)</f>
        <v>45813.6458333333</v>
      </c>
      <c r="J50" s="48">
        <f>IFERROR(__xludf.DUMMYFUNCTION("""COMPUTED_VALUE"""),1438)</f>
        <v>1438</v>
      </c>
      <c r="K50" s="3">
        <f t="shared" si="2"/>
        <v>0</v>
      </c>
      <c r="L50" s="3">
        <f t="shared" si="3"/>
        <v>0</v>
      </c>
      <c r="AF50" s="48">
        <f>'Adani Enterprises'!AF50</f>
        <v>0</v>
      </c>
      <c r="AG50" s="48">
        <f>'Adani Enterprises'!AG50</f>
        <v>0</v>
      </c>
      <c r="AH50" s="48">
        <f>'Adani Enterprises'!AH50</f>
        <v>0</v>
      </c>
      <c r="AI50" s="48">
        <f>'Adani Enterprises'!AI50</f>
        <v>0</v>
      </c>
      <c r="AJ50" s="48">
        <f>'Adani Enterprises'!AJ50</f>
        <v>0</v>
      </c>
      <c r="AK50" s="48">
        <f>'Adani Enterprises'!AK50</f>
        <v>0</v>
      </c>
      <c r="AL50" s="48">
        <f>'Adani Enterprises'!AL50</f>
        <v>0</v>
      </c>
    </row>
    <row r="51" customHeight="1" spans="1:38">
      <c r="A51" s="47">
        <f>IFERROR(__xludf.DUMMYFUNCTION("""COMPUTED_VALUE"""),45814.6458333333)</f>
        <v>45814.6458333333</v>
      </c>
      <c r="B51" s="48">
        <f>IFERROR(__xludf.DUMMYFUNCTION("""COMPUTED_VALUE"""),1471.7)</f>
        <v>1471.7</v>
      </c>
      <c r="C51" s="47">
        <f>IFERROR(__xludf.DUMMYFUNCTION("""COMPUTED_VALUE"""),45814.6458333333)</f>
        <v>45814.6458333333</v>
      </c>
      <c r="D51" s="48">
        <f>IFERROR(__xludf.DUMMYFUNCTION("""COMPUTED_VALUE"""),1456.7)</f>
        <v>1456.7</v>
      </c>
      <c r="E51" s="47">
        <f>IFERROR(__xludf.DUMMYFUNCTION("""COMPUTED_VALUE"""),45814.6458333333)</f>
        <v>45814.6458333333</v>
      </c>
      <c r="F51" s="48">
        <f>IFERROR(__xludf.DUMMYFUNCTION("""COMPUTED_VALUE"""),1269864)</f>
        <v>1269864</v>
      </c>
      <c r="G51" s="47">
        <f>IFERROR(__xludf.DUMMYFUNCTION("""COMPUTED_VALUE"""),45814.6458333333)</f>
        <v>45814.6458333333</v>
      </c>
      <c r="H51" s="48">
        <f>IFERROR(__xludf.DUMMYFUNCTION("""COMPUTED_VALUE"""),1478.9)</f>
        <v>1478.9</v>
      </c>
      <c r="I51" s="47">
        <f>IFERROR(__xludf.DUMMYFUNCTION("""COMPUTED_VALUE"""),45814.6458333333)</f>
        <v>45814.6458333333</v>
      </c>
      <c r="J51" s="48">
        <f>IFERROR(__xludf.DUMMYFUNCTION("""COMPUTED_VALUE"""),1453.7)</f>
        <v>1453.7</v>
      </c>
      <c r="K51" s="3">
        <f t="shared" si="2"/>
        <v>0</v>
      </c>
      <c r="L51" s="3">
        <f t="shared" si="3"/>
        <v>0</v>
      </c>
      <c r="AF51" s="48">
        <f>'Adani Enterprises'!AF51</f>
        <v>0</v>
      </c>
      <c r="AG51" s="48">
        <f>'Adani Enterprises'!AG51</f>
        <v>0</v>
      </c>
      <c r="AH51" s="48">
        <f>'Adani Enterprises'!AH51</f>
        <v>0</v>
      </c>
      <c r="AI51" s="48">
        <f>'Adani Enterprises'!AI51</f>
        <v>0</v>
      </c>
      <c r="AJ51" s="48">
        <f>'Adani Enterprises'!AJ51</f>
        <v>0</v>
      </c>
      <c r="AK51" s="48">
        <f>'Adani Enterprises'!AK51</f>
        <v>0</v>
      </c>
      <c r="AL51" s="48">
        <f>'Adani Enterprises'!AL51</f>
        <v>0</v>
      </c>
    </row>
    <row r="52" customHeight="1" spans="1:38">
      <c r="A52" s="47">
        <f>IFERROR(__xludf.DUMMYFUNCTION("""COMPUTED_VALUE"""),45817.6458333333)</f>
        <v>45817.6458333333</v>
      </c>
      <c r="B52" s="48">
        <f>IFERROR(__xludf.DUMMYFUNCTION("""COMPUTED_VALUE"""),1467.1)</f>
        <v>1467.1</v>
      </c>
      <c r="C52" s="47">
        <f>IFERROR(__xludf.DUMMYFUNCTION("""COMPUTED_VALUE"""),45817.6458333333)</f>
        <v>45817.6458333333</v>
      </c>
      <c r="D52" s="48">
        <f>IFERROR(__xludf.DUMMYFUNCTION("""COMPUTED_VALUE"""),1482)</f>
        <v>1482</v>
      </c>
      <c r="E52" s="47">
        <f>IFERROR(__xludf.DUMMYFUNCTION("""COMPUTED_VALUE"""),45817.6458333333)</f>
        <v>45817.6458333333</v>
      </c>
      <c r="F52" s="48">
        <f>IFERROR(__xludf.DUMMYFUNCTION("""COMPUTED_VALUE"""),1493331)</f>
        <v>1493331</v>
      </c>
      <c r="G52" s="47">
        <f>IFERROR(__xludf.DUMMYFUNCTION("""COMPUTED_VALUE"""),45817.6458333333)</f>
        <v>45817.6458333333</v>
      </c>
      <c r="H52" s="48">
        <f>IFERROR(__xludf.DUMMYFUNCTION("""COMPUTED_VALUE"""),1484)</f>
        <v>1484</v>
      </c>
      <c r="I52" s="47">
        <f>IFERROR(__xludf.DUMMYFUNCTION("""COMPUTED_VALUE"""),45817.6458333333)</f>
        <v>45817.6458333333</v>
      </c>
      <c r="J52" s="48">
        <f>IFERROR(__xludf.DUMMYFUNCTION("""COMPUTED_VALUE"""),1463.1)</f>
        <v>1463.1</v>
      </c>
      <c r="K52" s="3">
        <f t="shared" si="2"/>
        <v>0</v>
      </c>
      <c r="L52" s="3">
        <f t="shared" si="3"/>
        <v>0</v>
      </c>
      <c r="AF52" s="48">
        <f>'Adani Enterprises'!AF52</f>
        <v>0</v>
      </c>
      <c r="AG52" s="48">
        <f>'Adani Enterprises'!AG52</f>
        <v>0</v>
      </c>
      <c r="AH52" s="48">
        <f>'Adani Enterprises'!AH52</f>
        <v>0</v>
      </c>
      <c r="AI52" s="48">
        <f>'Adani Enterprises'!AI52</f>
        <v>0</v>
      </c>
      <c r="AJ52" s="48">
        <f>'Adani Enterprises'!AJ52</f>
        <v>0</v>
      </c>
      <c r="AK52" s="48">
        <f>'Adani Enterprises'!AK52</f>
        <v>0</v>
      </c>
      <c r="AL52" s="48">
        <f>'Adani Enterprises'!AL52</f>
        <v>0</v>
      </c>
    </row>
    <row r="53" customHeight="1" spans="1:38">
      <c r="A53" s="47">
        <f>IFERROR(__xludf.DUMMYFUNCTION("""COMPUTED_VALUE"""),45818.6458333333)</f>
        <v>45818.6458333333</v>
      </c>
      <c r="B53" s="48">
        <f>IFERROR(__xludf.DUMMYFUNCTION("""COMPUTED_VALUE"""),1473.8)</f>
        <v>1473.8</v>
      </c>
      <c r="C53" s="47">
        <f>IFERROR(__xludf.DUMMYFUNCTION("""COMPUTED_VALUE"""),45818.6458333333)</f>
        <v>45818.6458333333</v>
      </c>
      <c r="D53" s="48">
        <f>IFERROR(__xludf.DUMMYFUNCTION("""COMPUTED_VALUE"""),1472)</f>
        <v>1472</v>
      </c>
      <c r="E53" s="47">
        <f>IFERROR(__xludf.DUMMYFUNCTION("""COMPUTED_VALUE"""),45818.6458333333)</f>
        <v>45818.6458333333</v>
      </c>
      <c r="F53" s="48">
        <f>IFERROR(__xludf.DUMMYFUNCTION("""COMPUTED_VALUE"""),2125187)</f>
        <v>2125187</v>
      </c>
      <c r="G53" s="47">
        <f>IFERROR(__xludf.DUMMYFUNCTION("""COMPUTED_VALUE"""),45818.6458333333)</f>
        <v>45818.6458333333</v>
      </c>
      <c r="H53" s="48">
        <f>IFERROR(__xludf.DUMMYFUNCTION("""COMPUTED_VALUE"""),1494)</f>
        <v>1494</v>
      </c>
      <c r="I53" s="47">
        <f>IFERROR(__xludf.DUMMYFUNCTION("""COMPUTED_VALUE"""),45818.6458333333)</f>
        <v>45818.6458333333</v>
      </c>
      <c r="J53" s="48">
        <f>IFERROR(__xludf.DUMMYFUNCTION("""COMPUTED_VALUE"""),1469.8)</f>
        <v>1469.8</v>
      </c>
      <c r="K53" s="3">
        <f t="shared" si="2"/>
        <v>1473.8</v>
      </c>
      <c r="L53" s="3">
        <f t="shared" si="3"/>
        <v>0</v>
      </c>
      <c r="AF53" s="48">
        <f>'Adani Enterprises'!AF53</f>
        <v>0</v>
      </c>
      <c r="AG53" s="48">
        <f>'Adani Enterprises'!AG53</f>
        <v>0</v>
      </c>
      <c r="AH53" s="48">
        <f>'Adani Enterprises'!AH53</f>
        <v>0</v>
      </c>
      <c r="AI53" s="48">
        <f>'Adani Enterprises'!AI53</f>
        <v>0</v>
      </c>
      <c r="AJ53" s="48">
        <f>'Adani Enterprises'!AJ53</f>
        <v>0</v>
      </c>
      <c r="AK53" s="48">
        <f>'Adani Enterprises'!AK53</f>
        <v>0</v>
      </c>
      <c r="AL53" s="48">
        <f>'Adani Enterprises'!AL53</f>
        <v>0</v>
      </c>
    </row>
    <row r="54" customHeight="1" spans="1:38">
      <c r="A54" s="47">
        <f>IFERROR(__xludf.DUMMYFUNCTION("""COMPUTED_VALUE"""),45819.6458333333)</f>
        <v>45819.6458333333</v>
      </c>
      <c r="B54" s="48">
        <f>IFERROR(__xludf.DUMMYFUNCTION("""COMPUTED_VALUE"""),1456.4)</f>
        <v>1456.4</v>
      </c>
      <c r="C54" s="47">
        <f>IFERROR(__xludf.DUMMYFUNCTION("""COMPUTED_VALUE"""),45819.6458333333)</f>
        <v>45819.6458333333</v>
      </c>
      <c r="D54" s="48">
        <f>IFERROR(__xludf.DUMMYFUNCTION("""COMPUTED_VALUE"""),1473.8)</f>
        <v>1473.8</v>
      </c>
      <c r="E54" s="47">
        <f>IFERROR(__xludf.DUMMYFUNCTION("""COMPUTED_VALUE"""),45819.6458333333)</f>
        <v>45819.6458333333</v>
      </c>
      <c r="F54" s="48">
        <f>IFERROR(__xludf.DUMMYFUNCTION("""COMPUTED_VALUE"""),2192673)</f>
        <v>2192673</v>
      </c>
      <c r="G54" s="47">
        <f>IFERROR(__xludf.DUMMYFUNCTION("""COMPUTED_VALUE"""),45819.6458333333)</f>
        <v>45819.6458333333</v>
      </c>
      <c r="H54" s="48">
        <f>IFERROR(__xludf.DUMMYFUNCTION("""COMPUTED_VALUE"""),1476)</f>
        <v>1476</v>
      </c>
      <c r="I54" s="47">
        <f>IFERROR(__xludf.DUMMYFUNCTION("""COMPUTED_VALUE"""),45819.6458333333)</f>
        <v>45819.6458333333</v>
      </c>
      <c r="J54" s="48">
        <f>IFERROR(__xludf.DUMMYFUNCTION("""COMPUTED_VALUE"""),1448.8)</f>
        <v>1448.8</v>
      </c>
      <c r="K54" s="3">
        <f t="shared" si="2"/>
        <v>0</v>
      </c>
      <c r="L54" s="3">
        <f t="shared" si="3"/>
        <v>0</v>
      </c>
      <c r="AF54" s="48">
        <f>'Adani Enterprises'!AF54</f>
        <v>0</v>
      </c>
      <c r="AG54" s="48">
        <f>'Adani Enterprises'!AG54</f>
        <v>0</v>
      </c>
      <c r="AH54" s="48">
        <f>'Adani Enterprises'!AH54</f>
        <v>0</v>
      </c>
      <c r="AI54" s="48">
        <f>'Adani Enterprises'!AI54</f>
        <v>0</v>
      </c>
      <c r="AJ54" s="48">
        <f>'Adani Enterprises'!AJ54</f>
        <v>0</v>
      </c>
      <c r="AK54" s="48">
        <f>'Adani Enterprises'!AK54</f>
        <v>0</v>
      </c>
      <c r="AL54" s="48">
        <f>'Adani Enterprises'!AL54</f>
        <v>0</v>
      </c>
    </row>
    <row r="55" customHeight="1" spans="1:38">
      <c r="A55" s="47">
        <f>IFERROR(__xludf.DUMMYFUNCTION("""COMPUTED_VALUE"""),45820.6458333333)</f>
        <v>45820.6458333333</v>
      </c>
      <c r="B55" s="48">
        <f>IFERROR(__xludf.DUMMYFUNCTION("""COMPUTED_VALUE"""),1445.8)</f>
        <v>1445.8</v>
      </c>
      <c r="C55" s="47">
        <f>IFERROR(__xludf.DUMMYFUNCTION("""COMPUTED_VALUE"""),45820.6458333333)</f>
        <v>45820.6458333333</v>
      </c>
      <c r="D55" s="48">
        <f>IFERROR(__xludf.DUMMYFUNCTION("""COMPUTED_VALUE"""),1459.8)</f>
        <v>1459.8</v>
      </c>
      <c r="E55" s="47">
        <f>IFERROR(__xludf.DUMMYFUNCTION("""COMPUTED_VALUE"""),45820.6458333333)</f>
        <v>45820.6458333333</v>
      </c>
      <c r="F55" s="48">
        <f>IFERROR(__xludf.DUMMYFUNCTION("""COMPUTED_VALUE"""),2192452)</f>
        <v>2192452</v>
      </c>
      <c r="G55" s="47">
        <f>IFERROR(__xludf.DUMMYFUNCTION("""COMPUTED_VALUE"""),45820.6458333333)</f>
        <v>45820.6458333333</v>
      </c>
      <c r="H55" s="48">
        <f>IFERROR(__xludf.DUMMYFUNCTION("""COMPUTED_VALUE"""),1465.6)</f>
        <v>1465.6</v>
      </c>
      <c r="I55" s="47">
        <f>IFERROR(__xludf.DUMMYFUNCTION("""COMPUTED_VALUE"""),45820.6458333333)</f>
        <v>45820.6458333333</v>
      </c>
      <c r="J55" s="48">
        <f>IFERROR(__xludf.DUMMYFUNCTION("""COMPUTED_VALUE"""),1440.1)</f>
        <v>1440.1</v>
      </c>
      <c r="K55" s="3">
        <f t="shared" si="2"/>
        <v>0</v>
      </c>
      <c r="L55" s="3">
        <f t="shared" si="3"/>
        <v>0</v>
      </c>
      <c r="AF55" s="48">
        <f>'Adani Enterprises'!AF55</f>
        <v>0</v>
      </c>
      <c r="AG55" s="48">
        <f>'Adani Enterprises'!AG55</f>
        <v>0</v>
      </c>
      <c r="AH55" s="48">
        <f>'Adani Enterprises'!AH55</f>
        <v>0</v>
      </c>
      <c r="AI55" s="48">
        <f>'Adani Enterprises'!AI55</f>
        <v>0</v>
      </c>
      <c r="AJ55" s="48">
        <f>'Adani Enterprises'!AJ55</f>
        <v>0</v>
      </c>
      <c r="AK55" s="48">
        <f>'Adani Enterprises'!AK55</f>
        <v>0</v>
      </c>
      <c r="AL55" s="48">
        <f>'Adani Enterprises'!AL55</f>
        <v>0</v>
      </c>
    </row>
    <row r="56" customHeight="1" spans="1:38">
      <c r="A56" s="47">
        <f>IFERROR(__xludf.DUMMYFUNCTION("""COMPUTED_VALUE"""),45821.6458333333)</f>
        <v>45821.6458333333</v>
      </c>
      <c r="B56" s="48">
        <f>IFERROR(__xludf.DUMMYFUNCTION("""COMPUTED_VALUE"""),1405)</f>
        <v>1405</v>
      </c>
      <c r="C56" s="47">
        <f>IFERROR(__xludf.DUMMYFUNCTION("""COMPUTED_VALUE"""),45821.6458333333)</f>
        <v>45821.6458333333</v>
      </c>
      <c r="D56" s="48">
        <f>IFERROR(__xludf.DUMMYFUNCTION("""COMPUTED_VALUE"""),1405)</f>
        <v>1405</v>
      </c>
      <c r="E56" s="47">
        <f>IFERROR(__xludf.DUMMYFUNCTION("""COMPUTED_VALUE"""),45821.6458333333)</f>
        <v>45821.6458333333</v>
      </c>
      <c r="F56" s="48">
        <f>IFERROR(__xludf.DUMMYFUNCTION("""COMPUTED_VALUE"""),3380550)</f>
        <v>3380550</v>
      </c>
      <c r="G56" s="47">
        <f>IFERROR(__xludf.DUMMYFUNCTION("""COMPUTED_VALUE"""),45821.6458333333)</f>
        <v>45821.6458333333</v>
      </c>
      <c r="H56" s="48">
        <f>IFERROR(__xludf.DUMMYFUNCTION("""COMPUTED_VALUE"""),1423.8)</f>
        <v>1423.8</v>
      </c>
      <c r="I56" s="47">
        <f>IFERROR(__xludf.DUMMYFUNCTION("""COMPUTED_VALUE"""),45821.6458333333)</f>
        <v>45821.6458333333</v>
      </c>
      <c r="J56" s="48">
        <f>IFERROR(__xludf.DUMMYFUNCTION("""COMPUTED_VALUE"""),1397.1)</f>
        <v>1397.1</v>
      </c>
      <c r="K56" s="3">
        <f t="shared" si="2"/>
        <v>0</v>
      </c>
      <c r="L56" s="3">
        <f t="shared" si="3"/>
        <v>0</v>
      </c>
      <c r="AF56" s="48">
        <f>'Adani Enterprises'!AF56</f>
        <v>0</v>
      </c>
      <c r="AG56" s="48">
        <f>'Adani Enterprises'!AG56</f>
        <v>0</v>
      </c>
      <c r="AH56" s="48">
        <f>'Adani Enterprises'!AH56</f>
        <v>0</v>
      </c>
      <c r="AI56" s="48">
        <f>'Adani Enterprises'!AI56</f>
        <v>0</v>
      </c>
      <c r="AJ56" s="48">
        <f>'Adani Enterprises'!AJ56</f>
        <v>0</v>
      </c>
      <c r="AK56" s="48">
        <f>'Adani Enterprises'!AK56</f>
        <v>0</v>
      </c>
      <c r="AL56" s="48">
        <f>'Adani Enterprises'!AL56</f>
        <v>0</v>
      </c>
    </row>
    <row r="57" customHeight="1" spans="1:38">
      <c r="A57" s="47">
        <f>IFERROR(__xludf.DUMMYFUNCTION("""COMPUTED_VALUE"""),45824.6458333333)</f>
        <v>45824.6458333333</v>
      </c>
      <c r="B57" s="48">
        <f>IFERROR(__xludf.DUMMYFUNCTION("""COMPUTED_VALUE"""),1400.6)</f>
        <v>1400.6</v>
      </c>
      <c r="C57" s="47">
        <f>IFERROR(__xludf.DUMMYFUNCTION("""COMPUTED_VALUE"""),45824.6458333333)</f>
        <v>45824.6458333333</v>
      </c>
      <c r="D57" s="48">
        <f>IFERROR(__xludf.DUMMYFUNCTION("""COMPUTED_VALUE"""),1389)</f>
        <v>1389</v>
      </c>
      <c r="E57" s="47">
        <f>IFERROR(__xludf.DUMMYFUNCTION("""COMPUTED_VALUE"""),45824.6458333333)</f>
        <v>45824.6458333333</v>
      </c>
      <c r="F57" s="48">
        <f>IFERROR(__xludf.DUMMYFUNCTION("""COMPUTED_VALUE"""),2823300)</f>
        <v>2823300</v>
      </c>
      <c r="G57" s="47">
        <f>IFERROR(__xludf.DUMMYFUNCTION("""COMPUTED_VALUE"""),45824.6458333333)</f>
        <v>45824.6458333333</v>
      </c>
      <c r="H57" s="48">
        <f>IFERROR(__xludf.DUMMYFUNCTION("""COMPUTED_VALUE"""),1411.2)</f>
        <v>1411.2</v>
      </c>
      <c r="I57" s="47">
        <f>IFERROR(__xludf.DUMMYFUNCTION("""COMPUTED_VALUE"""),45824.6458333333)</f>
        <v>45824.6458333333</v>
      </c>
      <c r="J57" s="48">
        <f>IFERROR(__xludf.DUMMYFUNCTION("""COMPUTED_VALUE"""),1375)</f>
        <v>1375</v>
      </c>
      <c r="K57" s="3">
        <f t="shared" si="2"/>
        <v>0</v>
      </c>
      <c r="L57" s="3">
        <f t="shared" si="3"/>
        <v>0</v>
      </c>
      <c r="AF57" s="48">
        <f>'Adani Enterprises'!AF57</f>
        <v>0</v>
      </c>
      <c r="AG57" s="48">
        <f>'Adani Enterprises'!AG57</f>
        <v>0</v>
      </c>
      <c r="AH57" s="48">
        <f>'Adani Enterprises'!AH57</f>
        <v>0</v>
      </c>
      <c r="AI57" s="48">
        <f>'Adani Enterprises'!AI57</f>
        <v>0</v>
      </c>
      <c r="AJ57" s="48">
        <f>'Adani Enterprises'!AJ57</f>
        <v>0</v>
      </c>
      <c r="AK57" s="48">
        <f>'Adani Enterprises'!AK57</f>
        <v>0</v>
      </c>
      <c r="AL57" s="48">
        <f>'Adani Enterprises'!AL57</f>
        <v>0</v>
      </c>
    </row>
    <row r="58" customHeight="1" spans="1:38">
      <c r="A58" s="47">
        <f>IFERROR(__xludf.DUMMYFUNCTION("""COMPUTED_VALUE"""),45825.6458333333)</f>
        <v>45825.6458333333</v>
      </c>
      <c r="B58" s="48">
        <f>IFERROR(__xludf.DUMMYFUNCTION("""COMPUTED_VALUE"""),1392.3)</f>
        <v>1392.3</v>
      </c>
      <c r="C58" s="47">
        <f>IFERROR(__xludf.DUMMYFUNCTION("""COMPUTED_VALUE"""),45825.6458333333)</f>
        <v>45825.6458333333</v>
      </c>
      <c r="D58" s="48">
        <f>IFERROR(__xludf.DUMMYFUNCTION("""COMPUTED_VALUE"""),1400.5)</f>
        <v>1400.5</v>
      </c>
      <c r="E58" s="47">
        <f>IFERROR(__xludf.DUMMYFUNCTION("""COMPUTED_VALUE"""),45825.6458333333)</f>
        <v>45825.6458333333</v>
      </c>
      <c r="F58" s="48">
        <f>IFERROR(__xludf.DUMMYFUNCTION("""COMPUTED_VALUE"""),1571621)</f>
        <v>1571621</v>
      </c>
      <c r="G58" s="47">
        <f>IFERROR(__xludf.DUMMYFUNCTION("""COMPUTED_VALUE"""),45825.6458333333)</f>
        <v>45825.6458333333</v>
      </c>
      <c r="H58" s="48">
        <f>IFERROR(__xludf.DUMMYFUNCTION("""COMPUTED_VALUE"""),1414.8)</f>
        <v>1414.8</v>
      </c>
      <c r="I58" s="47">
        <f>IFERROR(__xludf.DUMMYFUNCTION("""COMPUTED_VALUE"""),45825.6458333333)</f>
        <v>45825.6458333333</v>
      </c>
      <c r="J58" s="48">
        <f>IFERROR(__xludf.DUMMYFUNCTION("""COMPUTED_VALUE"""),1384)</f>
        <v>1384</v>
      </c>
      <c r="K58" s="3">
        <f t="shared" si="2"/>
        <v>0</v>
      </c>
      <c r="L58" s="3">
        <f t="shared" si="3"/>
        <v>0</v>
      </c>
      <c r="AF58" s="48">
        <f>'Adani Enterprises'!AF58</f>
        <v>0</v>
      </c>
      <c r="AG58" s="48">
        <f>'Adani Enterprises'!AG58</f>
        <v>0</v>
      </c>
      <c r="AH58" s="48">
        <f>'Adani Enterprises'!AH58</f>
        <v>0</v>
      </c>
      <c r="AI58" s="48">
        <f>'Adani Enterprises'!AI58</f>
        <v>0</v>
      </c>
      <c r="AJ58" s="48">
        <f>'Adani Enterprises'!AJ58</f>
        <v>0</v>
      </c>
      <c r="AK58" s="48">
        <f>'Adani Enterprises'!AK58</f>
        <v>0</v>
      </c>
      <c r="AL58" s="48">
        <f>'Adani Enterprises'!AL58</f>
        <v>0</v>
      </c>
    </row>
    <row r="59" customHeight="1" spans="1:38">
      <c r="A59" s="47">
        <f>IFERROR(__xludf.DUMMYFUNCTION("""COMPUTED_VALUE"""),45826.6458333333)</f>
        <v>45826.6458333333</v>
      </c>
      <c r="B59" s="48">
        <f>IFERROR(__xludf.DUMMYFUNCTION("""COMPUTED_VALUE"""),1372.6)</f>
        <v>1372.6</v>
      </c>
      <c r="C59" s="47">
        <f>IFERROR(__xludf.DUMMYFUNCTION("""COMPUTED_VALUE"""),45826.6458333333)</f>
        <v>45826.6458333333</v>
      </c>
      <c r="D59" s="48">
        <f>IFERROR(__xludf.DUMMYFUNCTION("""COMPUTED_VALUE"""),1387)</f>
        <v>1387</v>
      </c>
      <c r="E59" s="47">
        <f>IFERROR(__xludf.DUMMYFUNCTION("""COMPUTED_VALUE"""),45826.6458333333)</f>
        <v>45826.6458333333</v>
      </c>
      <c r="F59" s="48">
        <f>IFERROR(__xludf.DUMMYFUNCTION("""COMPUTED_VALUE"""),1732093)</f>
        <v>1732093</v>
      </c>
      <c r="G59" s="47">
        <f>IFERROR(__xludf.DUMMYFUNCTION("""COMPUTED_VALUE"""),45826.6458333333)</f>
        <v>45826.6458333333</v>
      </c>
      <c r="H59" s="48">
        <f>IFERROR(__xludf.DUMMYFUNCTION("""COMPUTED_VALUE"""),1395.2)</f>
        <v>1395.2</v>
      </c>
      <c r="I59" s="47">
        <f>IFERROR(__xludf.DUMMYFUNCTION("""COMPUTED_VALUE"""),45826.6458333333)</f>
        <v>45826.6458333333</v>
      </c>
      <c r="J59" s="48">
        <f>IFERROR(__xludf.DUMMYFUNCTION("""COMPUTED_VALUE"""),1365.2)</f>
        <v>1365.2</v>
      </c>
      <c r="K59" s="3">
        <f t="shared" si="2"/>
        <v>0</v>
      </c>
      <c r="L59" s="3">
        <f t="shared" si="3"/>
        <v>0</v>
      </c>
      <c r="AF59" s="48">
        <f>'Adani Enterprises'!AF59</f>
        <v>0</v>
      </c>
      <c r="AG59" s="48">
        <f>'Adani Enterprises'!AG59</f>
        <v>0</v>
      </c>
      <c r="AH59" s="48">
        <f>'Adani Enterprises'!AH59</f>
        <v>0</v>
      </c>
      <c r="AI59" s="48">
        <f>'Adani Enterprises'!AI59</f>
        <v>0</v>
      </c>
      <c r="AJ59" s="48">
        <f>'Adani Enterprises'!AJ59</f>
        <v>0</v>
      </c>
      <c r="AK59" s="48">
        <f>'Adani Enterprises'!AK59</f>
        <v>0</v>
      </c>
      <c r="AL59" s="48">
        <f>'Adani Enterprises'!AL59</f>
        <v>0</v>
      </c>
    </row>
    <row r="60" customHeight="1" spans="1:38">
      <c r="A60" s="47">
        <f>IFERROR(__xludf.DUMMYFUNCTION("""COMPUTED_VALUE"""),45827.6458333333)</f>
        <v>45827.6458333333</v>
      </c>
      <c r="B60" s="48">
        <f>IFERROR(__xludf.DUMMYFUNCTION("""COMPUTED_VALUE"""),1338)</f>
        <v>1338</v>
      </c>
      <c r="C60" s="47">
        <f>IFERROR(__xludf.DUMMYFUNCTION("""COMPUTED_VALUE"""),45827.6458333333)</f>
        <v>45827.6458333333</v>
      </c>
      <c r="D60" s="48">
        <f>IFERROR(__xludf.DUMMYFUNCTION("""COMPUTED_VALUE"""),1370.5)</f>
        <v>1370.5</v>
      </c>
      <c r="E60" s="47">
        <f>IFERROR(__xludf.DUMMYFUNCTION("""COMPUTED_VALUE"""),45827.6458333333)</f>
        <v>45827.6458333333</v>
      </c>
      <c r="F60" s="48">
        <f>IFERROR(__xludf.DUMMYFUNCTION("""COMPUTED_VALUE"""),2950283)</f>
        <v>2950283</v>
      </c>
      <c r="G60" s="47">
        <f>IFERROR(__xludf.DUMMYFUNCTION("""COMPUTED_VALUE"""),45827.6458333333)</f>
        <v>45827.6458333333</v>
      </c>
      <c r="H60" s="48">
        <f>IFERROR(__xludf.DUMMYFUNCTION("""COMPUTED_VALUE"""),1372.6)</f>
        <v>1372.6</v>
      </c>
      <c r="I60" s="47">
        <f>IFERROR(__xludf.DUMMYFUNCTION("""COMPUTED_VALUE"""),45827.6458333333)</f>
        <v>45827.6458333333</v>
      </c>
      <c r="J60" s="48">
        <f>IFERROR(__xludf.DUMMYFUNCTION("""COMPUTED_VALUE"""),1331.6)</f>
        <v>1331.6</v>
      </c>
      <c r="K60" s="3">
        <f t="shared" si="2"/>
        <v>0</v>
      </c>
      <c r="L60" s="3">
        <f t="shared" si="3"/>
        <v>1338</v>
      </c>
      <c r="AF60" s="48">
        <f>'Adani Enterprises'!AF60</f>
        <v>0</v>
      </c>
      <c r="AG60" s="48">
        <f>'Adani Enterprises'!AG60</f>
        <v>0</v>
      </c>
      <c r="AH60" s="48">
        <f>'Adani Enterprises'!AH60</f>
        <v>0</v>
      </c>
      <c r="AI60" s="48">
        <f>'Adani Enterprises'!AI60</f>
        <v>0</v>
      </c>
      <c r="AJ60" s="48">
        <f>'Adani Enterprises'!AJ60</f>
        <v>0</v>
      </c>
      <c r="AK60" s="48">
        <f>'Adani Enterprises'!AK60</f>
        <v>0</v>
      </c>
      <c r="AL60" s="48">
        <f>'Adani Enterprises'!AL60</f>
        <v>0</v>
      </c>
    </row>
    <row r="61" customHeight="1" spans="1:38">
      <c r="A61" s="47">
        <f>IFERROR(__xludf.DUMMYFUNCTION("""COMPUTED_VALUE"""),45828.6458333333)</f>
        <v>45828.6458333333</v>
      </c>
      <c r="B61" s="48">
        <f>IFERROR(__xludf.DUMMYFUNCTION("""COMPUTED_VALUE"""),1349.3)</f>
        <v>1349.3</v>
      </c>
      <c r="C61" s="47">
        <f>IFERROR(__xludf.DUMMYFUNCTION("""COMPUTED_VALUE"""),45828.6458333333)</f>
        <v>45828.6458333333</v>
      </c>
      <c r="D61" s="48">
        <f>IFERROR(__xludf.DUMMYFUNCTION("""COMPUTED_VALUE"""),1338)</f>
        <v>1338</v>
      </c>
      <c r="E61" s="47">
        <f>IFERROR(__xludf.DUMMYFUNCTION("""COMPUTED_VALUE"""),45828.6458333333)</f>
        <v>45828.6458333333</v>
      </c>
      <c r="F61" s="48">
        <f>IFERROR(__xludf.DUMMYFUNCTION("""COMPUTED_VALUE"""),4541583)</f>
        <v>4541583</v>
      </c>
      <c r="G61" s="47">
        <f>IFERROR(__xludf.DUMMYFUNCTION("""COMPUTED_VALUE"""),45828.6458333333)</f>
        <v>45828.6458333333</v>
      </c>
      <c r="H61" s="48">
        <f>IFERROR(__xludf.DUMMYFUNCTION("""COMPUTED_VALUE"""),1356.7)</f>
        <v>1356.7</v>
      </c>
      <c r="I61" s="47">
        <f>IFERROR(__xludf.DUMMYFUNCTION("""COMPUTED_VALUE"""),45828.6458333333)</f>
        <v>45828.6458333333</v>
      </c>
      <c r="J61" s="48">
        <f>IFERROR(__xludf.DUMMYFUNCTION("""COMPUTED_VALUE"""),1334.6)</f>
        <v>1334.6</v>
      </c>
      <c r="K61" s="3">
        <f t="shared" si="2"/>
        <v>0</v>
      </c>
      <c r="L61" s="3">
        <f t="shared" si="3"/>
        <v>0</v>
      </c>
      <c r="AF61" s="48">
        <f>'Adani Enterprises'!AF61</f>
        <v>0</v>
      </c>
      <c r="AG61" s="48">
        <f>'Adani Enterprises'!AG61</f>
        <v>0</v>
      </c>
      <c r="AH61" s="48">
        <f>'Adani Enterprises'!AH61</f>
        <v>0</v>
      </c>
      <c r="AI61" s="48">
        <f>'Adani Enterprises'!AI61</f>
        <v>0</v>
      </c>
      <c r="AJ61" s="48">
        <f>'Adani Enterprises'!AJ61</f>
        <v>0</v>
      </c>
      <c r="AK61" s="48">
        <f>'Adani Enterprises'!AK61</f>
        <v>0</v>
      </c>
      <c r="AL61" s="48">
        <f>'Adani Enterprises'!AL61</f>
        <v>0</v>
      </c>
    </row>
    <row r="62" customHeight="1" spans="1:38">
      <c r="A62" s="47">
        <f>IFERROR(__xludf.DUMMYFUNCTION("""COMPUTED_VALUE"""),45831.6458333333)</f>
        <v>45831.6458333333</v>
      </c>
      <c r="B62" s="48">
        <f>IFERROR(__xludf.DUMMYFUNCTION("""COMPUTED_VALUE"""),1354.8)</f>
        <v>1354.8</v>
      </c>
      <c r="C62" s="47">
        <f>IFERROR(__xludf.DUMMYFUNCTION("""COMPUTED_VALUE"""),45831.6458333333)</f>
        <v>45831.6458333333</v>
      </c>
      <c r="D62" s="48">
        <f>IFERROR(__xludf.DUMMYFUNCTION("""COMPUTED_VALUE"""),1341)</f>
        <v>1341</v>
      </c>
      <c r="E62" s="47">
        <f>IFERROR(__xludf.DUMMYFUNCTION("""COMPUTED_VALUE"""),45831.6458333333)</f>
        <v>45831.6458333333</v>
      </c>
      <c r="F62" s="48">
        <f>IFERROR(__xludf.DUMMYFUNCTION("""COMPUTED_VALUE"""),3921155)</f>
        <v>3921155</v>
      </c>
      <c r="G62" s="47">
        <f>IFERROR(__xludf.DUMMYFUNCTION("""COMPUTED_VALUE"""),45831.6458333333)</f>
        <v>45831.6458333333</v>
      </c>
      <c r="H62" s="48">
        <f>IFERROR(__xludf.DUMMYFUNCTION("""COMPUTED_VALUE"""),1364.9)</f>
        <v>1364.9</v>
      </c>
      <c r="I62" s="47">
        <f>IFERROR(__xludf.DUMMYFUNCTION("""COMPUTED_VALUE"""),45831.6458333333)</f>
        <v>45831.6458333333</v>
      </c>
      <c r="J62" s="48">
        <f>IFERROR(__xludf.DUMMYFUNCTION("""COMPUTED_VALUE"""),1335.7)</f>
        <v>1335.7</v>
      </c>
      <c r="K62" s="3">
        <f t="shared" si="2"/>
        <v>0</v>
      </c>
      <c r="L62" s="3">
        <f t="shared" si="3"/>
        <v>0</v>
      </c>
      <c r="AF62" s="48">
        <f>'Adani Enterprises'!AF62</f>
        <v>0</v>
      </c>
      <c r="AG62" s="48">
        <f>'Adani Enterprises'!AG62</f>
        <v>0</v>
      </c>
      <c r="AH62" s="48">
        <f>'Adani Enterprises'!AH62</f>
        <v>0</v>
      </c>
      <c r="AI62" s="48">
        <f>'Adani Enterprises'!AI62</f>
        <v>0</v>
      </c>
      <c r="AJ62" s="48">
        <f>'Adani Enterprises'!AJ62</f>
        <v>0</v>
      </c>
      <c r="AK62" s="48">
        <f>'Adani Enterprises'!AK62</f>
        <v>0</v>
      </c>
      <c r="AL62" s="48">
        <f>'Adani Enterprises'!AL62</f>
        <v>0</v>
      </c>
    </row>
    <row r="63" customHeight="1" spans="1:38">
      <c r="A63" s="47">
        <f>IFERROR(__xludf.DUMMYFUNCTION("""COMPUTED_VALUE"""),45832.6458333333)</f>
        <v>45832.6458333333</v>
      </c>
      <c r="B63" s="48">
        <f>IFERROR(__xludf.DUMMYFUNCTION("""COMPUTED_VALUE"""),1389.5)</f>
        <v>1389.5</v>
      </c>
      <c r="C63" s="47">
        <f>IFERROR(__xludf.DUMMYFUNCTION("""COMPUTED_VALUE"""),45832.6458333333)</f>
        <v>45832.6458333333</v>
      </c>
      <c r="D63" s="48">
        <f>IFERROR(__xludf.DUMMYFUNCTION("""COMPUTED_VALUE"""),1395.1)</f>
        <v>1395.1</v>
      </c>
      <c r="E63" s="47">
        <f>IFERROR(__xludf.DUMMYFUNCTION("""COMPUTED_VALUE"""),45832.6458333333)</f>
        <v>45832.6458333333</v>
      </c>
      <c r="F63" s="48">
        <f>IFERROR(__xludf.DUMMYFUNCTION("""COMPUTED_VALUE"""),7635176)</f>
        <v>7635176</v>
      </c>
      <c r="G63" s="47">
        <f>IFERROR(__xludf.DUMMYFUNCTION("""COMPUTED_VALUE"""),45832.6458333333)</f>
        <v>45832.6458333333</v>
      </c>
      <c r="H63" s="48">
        <f>IFERROR(__xludf.DUMMYFUNCTION("""COMPUTED_VALUE"""),1418.7)</f>
        <v>1418.7</v>
      </c>
      <c r="I63" s="47">
        <f>IFERROR(__xludf.DUMMYFUNCTION("""COMPUTED_VALUE"""),45832.6458333333)</f>
        <v>45832.6458333333</v>
      </c>
      <c r="J63" s="48">
        <f>IFERROR(__xludf.DUMMYFUNCTION("""COMPUTED_VALUE"""),1385.1)</f>
        <v>1385.1</v>
      </c>
      <c r="K63" s="3">
        <f t="shared" si="2"/>
        <v>0</v>
      </c>
      <c r="L63" s="3">
        <f t="shared" si="3"/>
        <v>0</v>
      </c>
      <c r="AF63" s="48">
        <f>'Adani Enterprises'!AF63</f>
        <v>0</v>
      </c>
      <c r="AG63" s="48">
        <f>'Adani Enterprises'!AG63</f>
        <v>0</v>
      </c>
      <c r="AH63" s="48">
        <f>'Adani Enterprises'!AH63</f>
        <v>0</v>
      </c>
      <c r="AI63" s="48">
        <f>'Adani Enterprises'!AI63</f>
        <v>0</v>
      </c>
      <c r="AJ63" s="48">
        <f>'Adani Enterprises'!AJ63</f>
        <v>0</v>
      </c>
      <c r="AK63" s="48">
        <f>'Adani Enterprises'!AK63</f>
        <v>0</v>
      </c>
      <c r="AL63" s="48">
        <f>'Adani Enterprises'!AL63</f>
        <v>0</v>
      </c>
    </row>
    <row r="64" customHeight="1" spans="1:38">
      <c r="A64" s="47">
        <f>IFERROR(__xludf.DUMMYFUNCTION("""COMPUTED_VALUE"""),45833.6458333333)</f>
        <v>45833.6458333333</v>
      </c>
      <c r="B64" s="48">
        <f>IFERROR(__xludf.DUMMYFUNCTION("""COMPUTED_VALUE"""),1393.1)</f>
        <v>1393.1</v>
      </c>
      <c r="C64" s="47">
        <f>IFERROR(__xludf.DUMMYFUNCTION("""COMPUTED_VALUE"""),45833.6458333333)</f>
        <v>45833.6458333333</v>
      </c>
      <c r="D64" s="48">
        <f>IFERROR(__xludf.DUMMYFUNCTION("""COMPUTED_VALUE"""),1399.7)</f>
        <v>1399.7</v>
      </c>
      <c r="E64" s="47">
        <f>IFERROR(__xludf.DUMMYFUNCTION("""COMPUTED_VALUE"""),45833.6458333333)</f>
        <v>45833.6458333333</v>
      </c>
      <c r="F64" s="48">
        <f>IFERROR(__xludf.DUMMYFUNCTION("""COMPUTED_VALUE"""),1915989)</f>
        <v>1915989</v>
      </c>
      <c r="G64" s="47">
        <f>IFERROR(__xludf.DUMMYFUNCTION("""COMPUTED_VALUE"""),45833.6458333333)</f>
        <v>45833.6458333333</v>
      </c>
      <c r="H64" s="48">
        <f>IFERROR(__xludf.DUMMYFUNCTION("""COMPUTED_VALUE"""),1404)</f>
        <v>1404</v>
      </c>
      <c r="I64" s="47">
        <f>IFERROR(__xludf.DUMMYFUNCTION("""COMPUTED_VALUE"""),45833.6458333333)</f>
        <v>45833.6458333333</v>
      </c>
      <c r="J64" s="48">
        <f>IFERROR(__xludf.DUMMYFUNCTION("""COMPUTED_VALUE"""),1385.5)</f>
        <v>1385.5</v>
      </c>
      <c r="K64" s="3">
        <f t="shared" si="2"/>
        <v>0</v>
      </c>
      <c r="L64" s="3">
        <f t="shared" si="3"/>
        <v>0</v>
      </c>
      <c r="AF64" s="48">
        <f>'Adani Enterprises'!AF64</f>
        <v>0</v>
      </c>
      <c r="AG64" s="48">
        <f>'Adani Enterprises'!AG64</f>
        <v>0</v>
      </c>
      <c r="AH64" s="48">
        <f>'Adani Enterprises'!AH64</f>
        <v>0</v>
      </c>
      <c r="AI64" s="48">
        <f>'Adani Enterprises'!AI64</f>
        <v>0</v>
      </c>
      <c r="AJ64" s="48">
        <f>'Adani Enterprises'!AJ64</f>
        <v>0</v>
      </c>
      <c r="AK64" s="48">
        <f>'Adani Enterprises'!AK64</f>
        <v>0</v>
      </c>
      <c r="AL64" s="48">
        <f>'Adani Enterprises'!AL64</f>
        <v>0</v>
      </c>
    </row>
    <row r="65" customHeight="1" spans="1:38">
      <c r="A65" s="47">
        <f>IFERROR(__xludf.DUMMYFUNCTION("""COMPUTED_VALUE"""),45834.6458333333)</f>
        <v>45834.6458333333</v>
      </c>
      <c r="B65" s="48">
        <f>IFERROR(__xludf.DUMMYFUNCTION("""COMPUTED_VALUE"""),1429.3)</f>
        <v>1429.3</v>
      </c>
      <c r="C65" s="47">
        <f>IFERROR(__xludf.DUMMYFUNCTION("""COMPUTED_VALUE"""),45834.6458333333)</f>
        <v>45834.6458333333</v>
      </c>
      <c r="D65" s="48">
        <f>IFERROR(__xludf.DUMMYFUNCTION("""COMPUTED_VALUE"""),1399)</f>
        <v>1399</v>
      </c>
      <c r="E65" s="47">
        <f>IFERROR(__xludf.DUMMYFUNCTION("""COMPUTED_VALUE"""),45834.6458333333)</f>
        <v>45834.6458333333</v>
      </c>
      <c r="F65" s="48">
        <f>IFERROR(__xludf.DUMMYFUNCTION("""COMPUTED_VALUE"""),2877806)</f>
        <v>2877806</v>
      </c>
      <c r="G65" s="47">
        <f>IFERROR(__xludf.DUMMYFUNCTION("""COMPUTED_VALUE"""),45834.6458333333)</f>
        <v>45834.6458333333</v>
      </c>
      <c r="H65" s="48">
        <f>IFERROR(__xludf.DUMMYFUNCTION("""COMPUTED_VALUE"""),1433)</f>
        <v>1433</v>
      </c>
      <c r="I65" s="47">
        <f>IFERROR(__xludf.DUMMYFUNCTION("""COMPUTED_VALUE"""),45834.6458333333)</f>
        <v>45834.6458333333</v>
      </c>
      <c r="J65" s="48">
        <f>IFERROR(__xludf.DUMMYFUNCTION("""COMPUTED_VALUE"""),1395.2)</f>
        <v>1395.2</v>
      </c>
      <c r="K65" s="3">
        <f t="shared" si="2"/>
        <v>0</v>
      </c>
      <c r="L65" s="3">
        <f t="shared" si="3"/>
        <v>0</v>
      </c>
      <c r="AF65" s="48">
        <f>'Adani Enterprises'!AF65</f>
        <v>0</v>
      </c>
      <c r="AG65" s="48">
        <f>'Adani Enterprises'!AG65</f>
        <v>0</v>
      </c>
      <c r="AH65" s="48">
        <f>'Adani Enterprises'!AH65</f>
        <v>0</v>
      </c>
      <c r="AI65" s="48">
        <f>'Adani Enterprises'!AI65</f>
        <v>0</v>
      </c>
      <c r="AJ65" s="48">
        <f>'Adani Enterprises'!AJ65</f>
        <v>0</v>
      </c>
      <c r="AK65" s="48">
        <f>'Adani Enterprises'!AK65</f>
        <v>0</v>
      </c>
      <c r="AL65" s="48">
        <f>'Adani Enterprises'!AL65</f>
        <v>0</v>
      </c>
    </row>
    <row r="66" customHeight="1" spans="1:38">
      <c r="A66" s="47">
        <f>IFERROR(__xludf.DUMMYFUNCTION("""COMPUTED_VALUE"""),45835.6458333333)</f>
        <v>45835.6458333333</v>
      </c>
      <c r="B66" s="48">
        <f>IFERROR(__xludf.DUMMYFUNCTION("""COMPUTED_VALUE"""),1440.2)</f>
        <v>1440.2</v>
      </c>
      <c r="C66" s="47">
        <f>IFERROR(__xludf.DUMMYFUNCTION("""COMPUTED_VALUE"""),45835.6458333333)</f>
        <v>45835.6458333333</v>
      </c>
      <c r="D66" s="48">
        <f>IFERROR(__xludf.DUMMYFUNCTION("""COMPUTED_VALUE"""),1434.9)</f>
        <v>1434.9</v>
      </c>
      <c r="E66" s="47">
        <f>IFERROR(__xludf.DUMMYFUNCTION("""COMPUTED_VALUE"""),45835.6458333333)</f>
        <v>45835.6458333333</v>
      </c>
      <c r="F66" s="48">
        <f>IFERROR(__xludf.DUMMYFUNCTION("""COMPUTED_VALUE"""),2888390)</f>
        <v>2888390</v>
      </c>
      <c r="G66" s="47">
        <f>IFERROR(__xludf.DUMMYFUNCTION("""COMPUTED_VALUE"""),45835.6458333333)</f>
        <v>45835.6458333333</v>
      </c>
      <c r="H66" s="48">
        <f>IFERROR(__xludf.DUMMYFUNCTION("""COMPUTED_VALUE"""),1456.8)</f>
        <v>1456.8</v>
      </c>
      <c r="I66" s="47">
        <f>IFERROR(__xludf.DUMMYFUNCTION("""COMPUTED_VALUE"""),45835.6458333333)</f>
        <v>45835.6458333333</v>
      </c>
      <c r="J66" s="48">
        <f>IFERROR(__xludf.DUMMYFUNCTION("""COMPUTED_VALUE"""),1427)</f>
        <v>1427</v>
      </c>
      <c r="K66" s="3">
        <f t="shared" si="2"/>
        <v>0</v>
      </c>
      <c r="L66" s="3">
        <f t="shared" si="3"/>
        <v>0</v>
      </c>
      <c r="AF66" s="48">
        <f>'Adani Enterprises'!AF66</f>
        <v>0</v>
      </c>
      <c r="AG66" s="48">
        <f>'Adani Enterprises'!AG66</f>
        <v>0</v>
      </c>
      <c r="AH66" s="48">
        <f>'Adani Enterprises'!AH66</f>
        <v>0</v>
      </c>
      <c r="AI66" s="48">
        <f>'Adani Enterprises'!AI66</f>
        <v>0</v>
      </c>
      <c r="AJ66" s="48">
        <f>'Adani Enterprises'!AJ66</f>
        <v>0</v>
      </c>
      <c r="AK66" s="48">
        <f>'Adani Enterprises'!AK66</f>
        <v>0</v>
      </c>
      <c r="AL66" s="48">
        <f>'Adani Enterprises'!AL66</f>
        <v>0</v>
      </c>
    </row>
    <row r="67" customHeight="1" spans="1:38">
      <c r="A67" s="47">
        <f>IFERROR(__xludf.DUMMYFUNCTION("""COMPUTED_VALUE"""),45838.6458333333)</f>
        <v>45838.6458333333</v>
      </c>
      <c r="B67" s="48">
        <f>IFERROR(__xludf.DUMMYFUNCTION("""COMPUTED_VALUE"""),1450.2)</f>
        <v>1450.2</v>
      </c>
      <c r="C67" s="47">
        <f>IFERROR(__xludf.DUMMYFUNCTION("""COMPUTED_VALUE"""),45838.6458333333)</f>
        <v>45838.6458333333</v>
      </c>
      <c r="D67" s="48">
        <f>IFERROR(__xludf.DUMMYFUNCTION("""COMPUTED_VALUE"""),1440.8)</f>
        <v>1440.8</v>
      </c>
      <c r="E67" s="47">
        <f>IFERROR(__xludf.DUMMYFUNCTION("""COMPUTED_VALUE"""),45838.6458333333)</f>
        <v>45838.6458333333</v>
      </c>
      <c r="F67" s="48">
        <f>IFERROR(__xludf.DUMMYFUNCTION("""COMPUTED_VALUE"""),1586196)</f>
        <v>1586196</v>
      </c>
      <c r="G67" s="47">
        <f>IFERROR(__xludf.DUMMYFUNCTION("""COMPUTED_VALUE"""),45838.6458333333)</f>
        <v>45838.6458333333</v>
      </c>
      <c r="H67" s="48">
        <f>IFERROR(__xludf.DUMMYFUNCTION("""COMPUTED_VALUE"""),1453.5)</f>
        <v>1453.5</v>
      </c>
      <c r="I67" s="47">
        <f>IFERROR(__xludf.DUMMYFUNCTION("""COMPUTED_VALUE"""),45838.6458333333)</f>
        <v>45838.6458333333</v>
      </c>
      <c r="J67" s="48">
        <f>IFERROR(__xludf.DUMMYFUNCTION("""COMPUTED_VALUE"""),1432.7)</f>
        <v>1432.7</v>
      </c>
      <c r="K67" s="3">
        <f t="shared" si="2"/>
        <v>1450.2</v>
      </c>
      <c r="L67" s="3">
        <f t="shared" si="3"/>
        <v>0</v>
      </c>
      <c r="AF67" s="48">
        <f>'Adani Enterprises'!AF67</f>
        <v>0</v>
      </c>
      <c r="AG67" s="48">
        <f>'Adani Enterprises'!AG67</f>
        <v>0</v>
      </c>
      <c r="AH67" s="48">
        <f>'Adani Enterprises'!AH67</f>
        <v>0</v>
      </c>
      <c r="AI67" s="48">
        <f>'Adani Enterprises'!AI67</f>
        <v>0</v>
      </c>
      <c r="AJ67" s="48">
        <f>'Adani Enterprises'!AJ67</f>
        <v>0</v>
      </c>
      <c r="AK67" s="48">
        <f>'Adani Enterprises'!AK67</f>
        <v>0</v>
      </c>
      <c r="AL67" s="48">
        <f>'Adani Enterprises'!AL67</f>
        <v>0</v>
      </c>
    </row>
    <row r="68" customHeight="1" spans="1:38">
      <c r="A68" s="47">
        <f>IFERROR(__xludf.DUMMYFUNCTION("""COMPUTED_VALUE"""),45839.6458333333)</f>
        <v>45839.6458333333</v>
      </c>
      <c r="B68" s="48">
        <f>IFERROR(__xludf.DUMMYFUNCTION("""COMPUTED_VALUE"""),1447)</f>
        <v>1447</v>
      </c>
      <c r="C68" s="47">
        <f>IFERROR(__xludf.DUMMYFUNCTION("""COMPUTED_VALUE"""),45839.6458333333)</f>
        <v>45839.6458333333</v>
      </c>
      <c r="D68" s="48">
        <f>IFERROR(__xludf.DUMMYFUNCTION("""COMPUTED_VALUE"""),1450.3)</f>
        <v>1450.3</v>
      </c>
      <c r="E68" s="47">
        <f>IFERROR(__xludf.DUMMYFUNCTION("""COMPUTED_VALUE"""),45839.6458333333)</f>
        <v>45839.6458333333</v>
      </c>
      <c r="F68" s="48">
        <f>IFERROR(__xludf.DUMMYFUNCTION("""COMPUTED_VALUE"""),2134736)</f>
        <v>2134736</v>
      </c>
      <c r="G68" s="47">
        <f>IFERROR(__xludf.DUMMYFUNCTION("""COMPUTED_VALUE"""),45839.6458333333)</f>
        <v>45839.6458333333</v>
      </c>
      <c r="H68" s="48">
        <f>IFERROR(__xludf.DUMMYFUNCTION("""COMPUTED_VALUE"""),1459.8)</f>
        <v>1459.8</v>
      </c>
      <c r="I68" s="47">
        <f>IFERROR(__xludf.DUMMYFUNCTION("""COMPUTED_VALUE"""),45839.6458333333)</f>
        <v>45839.6458333333</v>
      </c>
      <c r="J68" s="48">
        <f>IFERROR(__xludf.DUMMYFUNCTION("""COMPUTED_VALUE"""),1442)</f>
        <v>1442</v>
      </c>
      <c r="K68" s="3">
        <f t="shared" si="2"/>
        <v>0</v>
      </c>
      <c r="L68" s="3">
        <f t="shared" si="3"/>
        <v>0</v>
      </c>
      <c r="AF68" s="48">
        <f>'Adani Enterprises'!AF68</f>
        <v>0</v>
      </c>
      <c r="AG68" s="48">
        <f>'Adani Enterprises'!AG68</f>
        <v>0</v>
      </c>
      <c r="AH68" s="48">
        <f>'Adani Enterprises'!AH68</f>
        <v>0</v>
      </c>
      <c r="AI68" s="48">
        <f>'Adani Enterprises'!AI68</f>
        <v>0</v>
      </c>
      <c r="AJ68" s="48">
        <f>'Adani Enterprises'!AJ68</f>
        <v>0</v>
      </c>
      <c r="AK68" s="48">
        <f>'Adani Enterprises'!AK68</f>
        <v>0</v>
      </c>
      <c r="AL68" s="48">
        <f>'Adani Enterprises'!AL68</f>
        <v>0</v>
      </c>
    </row>
    <row r="69" customHeight="1" spans="1:38">
      <c r="A69" s="47">
        <f>IFERROR(__xludf.DUMMYFUNCTION("""COMPUTED_VALUE"""),45840.6458333333)</f>
        <v>45840.6458333333</v>
      </c>
      <c r="B69" s="48">
        <f>IFERROR(__xludf.DUMMYFUNCTION("""COMPUTED_VALUE"""),1443.9)</f>
        <v>1443.9</v>
      </c>
      <c r="C69" s="47">
        <f>IFERROR(__xludf.DUMMYFUNCTION("""COMPUTED_VALUE"""),45840.6458333333)</f>
        <v>45840.6458333333</v>
      </c>
      <c r="D69" s="48">
        <f>IFERROR(__xludf.DUMMYFUNCTION("""COMPUTED_VALUE"""),1458)</f>
        <v>1458</v>
      </c>
      <c r="E69" s="47">
        <f>IFERROR(__xludf.DUMMYFUNCTION("""COMPUTED_VALUE"""),45840.6458333333)</f>
        <v>45840.6458333333</v>
      </c>
      <c r="F69" s="48">
        <f>IFERROR(__xludf.DUMMYFUNCTION("""COMPUTED_VALUE"""),1219600)</f>
        <v>1219600</v>
      </c>
      <c r="G69" s="47">
        <f>IFERROR(__xludf.DUMMYFUNCTION("""COMPUTED_VALUE"""),45840.6458333333)</f>
        <v>45840.6458333333</v>
      </c>
      <c r="H69" s="48">
        <f>IFERROR(__xludf.DUMMYFUNCTION("""COMPUTED_VALUE"""),1458)</f>
        <v>1458</v>
      </c>
      <c r="I69" s="47">
        <f>IFERROR(__xludf.DUMMYFUNCTION("""COMPUTED_VALUE"""),45840.6458333333)</f>
        <v>45840.6458333333</v>
      </c>
      <c r="J69" s="48">
        <f>IFERROR(__xludf.DUMMYFUNCTION("""COMPUTED_VALUE"""),1440)</f>
        <v>1440</v>
      </c>
      <c r="K69" s="3">
        <f t="shared" si="2"/>
        <v>0</v>
      </c>
      <c r="L69" s="3">
        <f t="shared" si="3"/>
        <v>0</v>
      </c>
      <c r="AF69" s="48">
        <f>'Adani Enterprises'!AF69</f>
        <v>0</v>
      </c>
      <c r="AG69" s="48">
        <f>'Adani Enterprises'!AG69</f>
        <v>0</v>
      </c>
      <c r="AH69" s="48">
        <f>'Adani Enterprises'!AH69</f>
        <v>0</v>
      </c>
      <c r="AI69" s="48">
        <f>'Adani Enterprises'!AI69</f>
        <v>0</v>
      </c>
      <c r="AJ69" s="48">
        <f>'Adani Enterprises'!AJ69</f>
        <v>0</v>
      </c>
      <c r="AK69" s="48">
        <f>'Adani Enterprises'!AK69</f>
        <v>0</v>
      </c>
      <c r="AL69" s="48">
        <f>'Adani Enterprises'!AL69</f>
        <v>0</v>
      </c>
    </row>
    <row r="70" customHeight="1" spans="1:38">
      <c r="A70" s="47">
        <f>IFERROR(__xludf.DUMMYFUNCTION("""COMPUTED_VALUE"""),45841.6458333333)</f>
        <v>45841.6458333333</v>
      </c>
      <c r="B70" s="48">
        <f>IFERROR(__xludf.DUMMYFUNCTION("""COMPUTED_VALUE"""),1431.1)</f>
        <v>1431.1</v>
      </c>
      <c r="C70" s="47">
        <f>IFERROR(__xludf.DUMMYFUNCTION("""COMPUTED_VALUE"""),45841.6458333333)</f>
        <v>45841.6458333333</v>
      </c>
      <c r="D70" s="48">
        <f>IFERROR(__xludf.DUMMYFUNCTION("""COMPUTED_VALUE"""),1444)</f>
        <v>1444</v>
      </c>
      <c r="E70" s="47">
        <f>IFERROR(__xludf.DUMMYFUNCTION("""COMPUTED_VALUE"""),45841.6458333333)</f>
        <v>45841.6458333333</v>
      </c>
      <c r="F70" s="48">
        <f>IFERROR(__xludf.DUMMYFUNCTION("""COMPUTED_VALUE"""),978007)</f>
        <v>978007</v>
      </c>
      <c r="G70" s="47">
        <f>IFERROR(__xludf.DUMMYFUNCTION("""COMPUTED_VALUE"""),45841.6458333333)</f>
        <v>45841.6458333333</v>
      </c>
      <c r="H70" s="48">
        <f>IFERROR(__xludf.DUMMYFUNCTION("""COMPUTED_VALUE"""),1451.1)</f>
        <v>1451.1</v>
      </c>
      <c r="I70" s="47">
        <f>IFERROR(__xludf.DUMMYFUNCTION("""COMPUTED_VALUE"""),45841.6458333333)</f>
        <v>45841.6458333333</v>
      </c>
      <c r="J70" s="48">
        <f>IFERROR(__xludf.DUMMYFUNCTION("""COMPUTED_VALUE"""),1426.7)</f>
        <v>1426.7</v>
      </c>
      <c r="K70" s="3">
        <f t="shared" si="2"/>
        <v>0</v>
      </c>
      <c r="L70" s="3">
        <f t="shared" si="3"/>
        <v>0</v>
      </c>
      <c r="AF70" s="48">
        <f>'Adani Enterprises'!AF70</f>
        <v>0</v>
      </c>
      <c r="AG70" s="48">
        <f>'Adani Enterprises'!AG70</f>
        <v>0</v>
      </c>
      <c r="AH70" s="48">
        <f>'Adani Enterprises'!AH70</f>
        <v>0</v>
      </c>
      <c r="AI70" s="48">
        <f>'Adani Enterprises'!AI70</f>
        <v>0</v>
      </c>
      <c r="AJ70" s="48">
        <f>'Adani Enterprises'!AJ70</f>
        <v>0</v>
      </c>
      <c r="AK70" s="48">
        <f>'Adani Enterprises'!AK70</f>
        <v>0</v>
      </c>
      <c r="AL70" s="48">
        <f>'Adani Enterprises'!AL70</f>
        <v>0</v>
      </c>
    </row>
    <row r="71" customHeight="1" spans="1:38">
      <c r="A71" s="47">
        <f>IFERROR(__xludf.DUMMYFUNCTION("""COMPUTED_VALUE"""),45842.6458333333)</f>
        <v>45842.6458333333</v>
      </c>
      <c r="B71" s="48">
        <f>IFERROR(__xludf.DUMMYFUNCTION("""COMPUTED_VALUE"""),1424.4)</f>
        <v>1424.4</v>
      </c>
      <c r="C71" s="47">
        <f>IFERROR(__xludf.DUMMYFUNCTION("""COMPUTED_VALUE"""),45842.6458333333)</f>
        <v>45842.6458333333</v>
      </c>
      <c r="D71" s="48">
        <f>IFERROR(__xludf.DUMMYFUNCTION("""COMPUTED_VALUE"""),1432)</f>
        <v>1432</v>
      </c>
      <c r="E71" s="47">
        <f>IFERROR(__xludf.DUMMYFUNCTION("""COMPUTED_VALUE"""),45842.6458333333)</f>
        <v>45842.6458333333</v>
      </c>
      <c r="F71" s="48">
        <f>IFERROR(__xludf.DUMMYFUNCTION("""COMPUTED_VALUE"""),608462)</f>
        <v>608462</v>
      </c>
      <c r="G71" s="47">
        <f>IFERROR(__xludf.DUMMYFUNCTION("""COMPUTED_VALUE"""),45842.6458333333)</f>
        <v>45842.6458333333</v>
      </c>
      <c r="H71" s="48">
        <f>IFERROR(__xludf.DUMMYFUNCTION("""COMPUTED_VALUE"""),1439.9)</f>
        <v>1439.9</v>
      </c>
      <c r="I71" s="47">
        <f>IFERROR(__xludf.DUMMYFUNCTION("""COMPUTED_VALUE"""),45842.6458333333)</f>
        <v>45842.6458333333</v>
      </c>
      <c r="J71" s="48">
        <f>IFERROR(__xludf.DUMMYFUNCTION("""COMPUTED_VALUE"""),1416.6)</f>
        <v>1416.6</v>
      </c>
      <c r="K71" s="3">
        <f t="shared" si="2"/>
        <v>0</v>
      </c>
      <c r="L71" s="3">
        <f t="shared" si="3"/>
        <v>1424.4</v>
      </c>
      <c r="AF71" s="48">
        <f>'Adani Enterprises'!AF71</f>
        <v>0</v>
      </c>
      <c r="AG71" s="48">
        <f>'Adani Enterprises'!AG71</f>
        <v>0</v>
      </c>
      <c r="AH71" s="48">
        <f>'Adani Enterprises'!AH71</f>
        <v>0</v>
      </c>
      <c r="AI71" s="48">
        <f>'Adani Enterprises'!AI71</f>
        <v>0</v>
      </c>
      <c r="AJ71" s="48">
        <f>'Adani Enterprises'!AJ71</f>
        <v>0</v>
      </c>
      <c r="AK71" s="48">
        <f>'Adani Enterprises'!AK71</f>
        <v>0</v>
      </c>
      <c r="AL71" s="48">
        <f>'Adani Enterprises'!AL71</f>
        <v>0</v>
      </c>
    </row>
    <row r="72" customHeight="1" spans="1:38">
      <c r="A72" s="47">
        <f>IFERROR(__xludf.DUMMYFUNCTION("""COMPUTED_VALUE"""),45845.6458333333)</f>
        <v>45845.6458333333</v>
      </c>
      <c r="B72" s="48">
        <f>IFERROR(__xludf.DUMMYFUNCTION("""COMPUTED_VALUE"""),1435.6)</f>
        <v>1435.6</v>
      </c>
      <c r="C72" s="47">
        <f>IFERROR(__xludf.DUMMYFUNCTION("""COMPUTED_VALUE"""),45845.6458333333)</f>
        <v>45845.6458333333</v>
      </c>
      <c r="D72" s="48">
        <f>IFERROR(__xludf.DUMMYFUNCTION("""COMPUTED_VALUE"""),1424.4)</f>
        <v>1424.4</v>
      </c>
      <c r="E72" s="47">
        <f>IFERROR(__xludf.DUMMYFUNCTION("""COMPUTED_VALUE"""),45845.6458333333)</f>
        <v>45845.6458333333</v>
      </c>
      <c r="F72" s="48">
        <f>IFERROR(__xludf.DUMMYFUNCTION("""COMPUTED_VALUE"""),764520)</f>
        <v>764520</v>
      </c>
      <c r="G72" s="47">
        <f>IFERROR(__xludf.DUMMYFUNCTION("""COMPUTED_VALUE"""),45845.6458333333)</f>
        <v>45845.6458333333</v>
      </c>
      <c r="H72" s="48">
        <f>IFERROR(__xludf.DUMMYFUNCTION("""COMPUTED_VALUE"""),1437.8)</f>
        <v>1437.8</v>
      </c>
      <c r="I72" s="47">
        <f>IFERROR(__xludf.DUMMYFUNCTION("""COMPUTED_VALUE"""),45845.6458333333)</f>
        <v>45845.6458333333</v>
      </c>
      <c r="J72" s="48">
        <f>IFERROR(__xludf.DUMMYFUNCTION("""COMPUTED_VALUE"""),1417)</f>
        <v>1417</v>
      </c>
      <c r="K72" s="3">
        <f t="shared" si="2"/>
        <v>0</v>
      </c>
      <c r="L72" s="3">
        <f t="shared" si="3"/>
        <v>0</v>
      </c>
      <c r="AF72" s="48">
        <f>'Adani Enterprises'!AF72</f>
        <v>0</v>
      </c>
      <c r="AG72" s="48">
        <f>'Adani Enterprises'!AG72</f>
        <v>0</v>
      </c>
      <c r="AH72" s="48">
        <f>'Adani Enterprises'!AH72</f>
        <v>0</v>
      </c>
      <c r="AI72" s="48">
        <f>'Adani Enterprises'!AI72</f>
        <v>0</v>
      </c>
      <c r="AJ72" s="48">
        <f>'Adani Enterprises'!AJ72</f>
        <v>0</v>
      </c>
      <c r="AK72" s="48">
        <f>'Adani Enterprises'!AK72</f>
        <v>0</v>
      </c>
      <c r="AL72" s="48">
        <f>'Adani Enterprises'!AL72</f>
        <v>0</v>
      </c>
    </row>
    <row r="73" customHeight="1" spans="1:38">
      <c r="A73" s="47">
        <f>IFERROR(__xludf.DUMMYFUNCTION("""COMPUTED_VALUE"""),45846.6458333333)</f>
        <v>45846.6458333333</v>
      </c>
      <c r="B73" s="48">
        <f>IFERROR(__xludf.DUMMYFUNCTION("""COMPUTED_VALUE"""),1448.5)</f>
        <v>1448.5</v>
      </c>
      <c r="C73" s="47">
        <f>IFERROR(__xludf.DUMMYFUNCTION("""COMPUTED_VALUE"""),45846.6458333333)</f>
        <v>45846.6458333333</v>
      </c>
      <c r="D73" s="48">
        <f>IFERROR(__xludf.DUMMYFUNCTION("""COMPUTED_VALUE"""),1438)</f>
        <v>1438</v>
      </c>
      <c r="E73" s="47">
        <f>IFERROR(__xludf.DUMMYFUNCTION("""COMPUTED_VALUE"""),45846.6458333333)</f>
        <v>45846.6458333333</v>
      </c>
      <c r="F73" s="48">
        <f>IFERROR(__xludf.DUMMYFUNCTION("""COMPUTED_VALUE"""),824935)</f>
        <v>824935</v>
      </c>
      <c r="G73" s="47">
        <f>IFERROR(__xludf.DUMMYFUNCTION("""COMPUTED_VALUE"""),45846.6458333333)</f>
        <v>45846.6458333333</v>
      </c>
      <c r="H73" s="48">
        <f>IFERROR(__xludf.DUMMYFUNCTION("""COMPUTED_VALUE"""),1449.9)</f>
        <v>1449.9</v>
      </c>
      <c r="I73" s="47">
        <f>IFERROR(__xludf.DUMMYFUNCTION("""COMPUTED_VALUE"""),45846.6458333333)</f>
        <v>45846.6458333333</v>
      </c>
      <c r="J73" s="48">
        <f>IFERROR(__xludf.DUMMYFUNCTION("""COMPUTED_VALUE"""),1430)</f>
        <v>1430</v>
      </c>
      <c r="K73" s="3">
        <f t="shared" si="2"/>
        <v>0</v>
      </c>
      <c r="L73" s="3">
        <f t="shared" si="3"/>
        <v>0</v>
      </c>
      <c r="AF73" s="48">
        <f>'Adani Enterprises'!AF73</f>
        <v>0</v>
      </c>
      <c r="AG73" s="48">
        <f>'Adani Enterprises'!AG73</f>
        <v>0</v>
      </c>
      <c r="AH73" s="48">
        <f>'Adani Enterprises'!AH73</f>
        <v>0</v>
      </c>
      <c r="AI73" s="48">
        <f>'Adani Enterprises'!AI73</f>
        <v>0</v>
      </c>
      <c r="AJ73" s="48">
        <f>'Adani Enterprises'!AJ73</f>
        <v>0</v>
      </c>
      <c r="AK73" s="48">
        <f>'Adani Enterprises'!AK73</f>
        <v>0</v>
      </c>
      <c r="AL73" s="48">
        <f>'Adani Enterprises'!AL73</f>
        <v>0</v>
      </c>
    </row>
    <row r="74" customHeight="1" spans="1:38">
      <c r="A74" s="47">
        <f>IFERROR(__xludf.DUMMYFUNCTION("""COMPUTED_VALUE"""),45847.6458333333)</f>
        <v>45847.6458333333</v>
      </c>
      <c r="B74" s="48">
        <f>IFERROR(__xludf.DUMMYFUNCTION("""COMPUTED_VALUE"""),1443)</f>
        <v>1443</v>
      </c>
      <c r="C74" s="47">
        <f>IFERROR(__xludf.DUMMYFUNCTION("""COMPUTED_VALUE"""),45847.6458333333)</f>
        <v>45847.6458333333</v>
      </c>
      <c r="D74" s="48">
        <f>IFERROR(__xludf.DUMMYFUNCTION("""COMPUTED_VALUE"""),1448.4)</f>
        <v>1448.4</v>
      </c>
      <c r="E74" s="47">
        <f>IFERROR(__xludf.DUMMYFUNCTION("""COMPUTED_VALUE"""),45847.6458333333)</f>
        <v>45847.6458333333</v>
      </c>
      <c r="F74" s="48">
        <f>IFERROR(__xludf.DUMMYFUNCTION("""COMPUTED_VALUE"""),1008636)</f>
        <v>1008636</v>
      </c>
      <c r="G74" s="47">
        <f>IFERROR(__xludf.DUMMYFUNCTION("""COMPUTED_VALUE"""),45847.6458333333)</f>
        <v>45847.6458333333</v>
      </c>
      <c r="H74" s="48">
        <f>IFERROR(__xludf.DUMMYFUNCTION("""COMPUTED_VALUE"""),1455.8)</f>
        <v>1455.8</v>
      </c>
      <c r="I74" s="47">
        <f>IFERROR(__xludf.DUMMYFUNCTION("""COMPUTED_VALUE"""),45847.6458333333)</f>
        <v>45847.6458333333</v>
      </c>
      <c r="J74" s="48">
        <f>IFERROR(__xludf.DUMMYFUNCTION("""COMPUTED_VALUE"""),1438.3)</f>
        <v>1438.3</v>
      </c>
      <c r="K74" s="3">
        <f t="shared" si="2"/>
        <v>0</v>
      </c>
      <c r="L74" s="3">
        <f t="shared" si="3"/>
        <v>0</v>
      </c>
      <c r="AF74" s="48">
        <f>'Adani Enterprises'!AF74</f>
        <v>0</v>
      </c>
      <c r="AG74" s="48">
        <f>'Adani Enterprises'!AG74</f>
        <v>0</v>
      </c>
      <c r="AH74" s="48">
        <f>'Adani Enterprises'!AH74</f>
        <v>0</v>
      </c>
      <c r="AI74" s="48">
        <f>'Adani Enterprises'!AI74</f>
        <v>0</v>
      </c>
      <c r="AJ74" s="48">
        <f>'Adani Enterprises'!AJ74</f>
        <v>0</v>
      </c>
      <c r="AK74" s="48">
        <f>'Adani Enterprises'!AK74</f>
        <v>0</v>
      </c>
      <c r="AL74" s="48">
        <f>'Adani Enterprises'!AL74</f>
        <v>0</v>
      </c>
    </row>
    <row r="75" customHeight="1" spans="1:38">
      <c r="A75" s="47">
        <f>IFERROR(__xludf.DUMMYFUNCTION("""COMPUTED_VALUE"""),45848.6458333333)</f>
        <v>45848.6458333333</v>
      </c>
      <c r="B75" s="48">
        <f>IFERROR(__xludf.DUMMYFUNCTION("""COMPUTED_VALUE"""),1443.1)</f>
        <v>1443.1</v>
      </c>
      <c r="C75" s="47">
        <f>IFERROR(__xludf.DUMMYFUNCTION("""COMPUTED_VALUE"""),45848.6458333333)</f>
        <v>45848.6458333333</v>
      </c>
      <c r="D75" s="48">
        <f>IFERROR(__xludf.DUMMYFUNCTION("""COMPUTED_VALUE"""),1444)</f>
        <v>1444</v>
      </c>
      <c r="E75" s="47">
        <f>IFERROR(__xludf.DUMMYFUNCTION("""COMPUTED_VALUE"""),45848.6458333333)</f>
        <v>45848.6458333333</v>
      </c>
      <c r="F75" s="48">
        <f>IFERROR(__xludf.DUMMYFUNCTION("""COMPUTED_VALUE"""),1035509)</f>
        <v>1035509</v>
      </c>
      <c r="G75" s="47">
        <f>IFERROR(__xludf.DUMMYFUNCTION("""COMPUTED_VALUE"""),45848.6458333333)</f>
        <v>45848.6458333333</v>
      </c>
      <c r="H75" s="48">
        <f>IFERROR(__xludf.DUMMYFUNCTION("""COMPUTED_VALUE"""),1450.2)</f>
        <v>1450.2</v>
      </c>
      <c r="I75" s="47">
        <f>IFERROR(__xludf.DUMMYFUNCTION("""COMPUTED_VALUE"""),45848.6458333333)</f>
        <v>45848.6458333333</v>
      </c>
      <c r="J75" s="48">
        <f>IFERROR(__xludf.DUMMYFUNCTION("""COMPUTED_VALUE"""),1437.2)</f>
        <v>1437.2</v>
      </c>
      <c r="K75" s="3">
        <f t="shared" si="2"/>
        <v>0</v>
      </c>
      <c r="L75" s="3">
        <f t="shared" si="3"/>
        <v>0</v>
      </c>
      <c r="AF75" s="48">
        <f>'Adani Enterprises'!AF75</f>
        <v>0</v>
      </c>
      <c r="AG75" s="48">
        <f>'Adani Enterprises'!AG75</f>
        <v>0</v>
      </c>
      <c r="AH75" s="48">
        <f>'Adani Enterprises'!AH75</f>
        <v>0</v>
      </c>
      <c r="AI75" s="48">
        <f>'Adani Enterprises'!AI75</f>
        <v>0</v>
      </c>
      <c r="AJ75" s="48">
        <f>'Adani Enterprises'!AJ75</f>
        <v>0</v>
      </c>
      <c r="AK75" s="48">
        <f>'Adani Enterprises'!AK75</f>
        <v>0</v>
      </c>
      <c r="AL75" s="48">
        <f>'Adani Enterprises'!AL75</f>
        <v>0</v>
      </c>
    </row>
    <row r="76" customHeight="1" spans="1:38">
      <c r="A76" s="47">
        <f>IFERROR(__xludf.DUMMYFUNCTION("""COMPUTED_VALUE"""),45849.6458333333)</f>
        <v>45849.6458333333</v>
      </c>
      <c r="B76" s="48">
        <f>IFERROR(__xludf.DUMMYFUNCTION("""COMPUTED_VALUE"""),1431.7)</f>
        <v>1431.7</v>
      </c>
      <c r="C76" s="47">
        <f>IFERROR(__xludf.DUMMYFUNCTION("""COMPUTED_VALUE"""),45849.6458333333)</f>
        <v>45849.6458333333</v>
      </c>
      <c r="D76" s="48">
        <f>IFERROR(__xludf.DUMMYFUNCTION("""COMPUTED_VALUE"""),1444)</f>
        <v>1444</v>
      </c>
      <c r="E76" s="47">
        <f>IFERROR(__xludf.DUMMYFUNCTION("""COMPUTED_VALUE"""),45849.6458333333)</f>
        <v>45849.6458333333</v>
      </c>
      <c r="F76" s="48">
        <f>IFERROR(__xludf.DUMMYFUNCTION("""COMPUTED_VALUE"""),819864)</f>
        <v>819864</v>
      </c>
      <c r="G76" s="47">
        <f>IFERROR(__xludf.DUMMYFUNCTION("""COMPUTED_VALUE"""),45849.6458333333)</f>
        <v>45849.6458333333</v>
      </c>
      <c r="H76" s="48">
        <f>IFERROR(__xludf.DUMMYFUNCTION("""COMPUTED_VALUE"""),1453.9)</f>
        <v>1453.9</v>
      </c>
      <c r="I76" s="47">
        <f>IFERROR(__xludf.DUMMYFUNCTION("""COMPUTED_VALUE"""),45849.6458333333)</f>
        <v>45849.6458333333</v>
      </c>
      <c r="J76" s="48">
        <f>IFERROR(__xludf.DUMMYFUNCTION("""COMPUTED_VALUE"""),1428.3)</f>
        <v>1428.3</v>
      </c>
      <c r="K76" s="3">
        <f t="shared" si="2"/>
        <v>0</v>
      </c>
      <c r="L76" s="3">
        <f t="shared" si="3"/>
        <v>0</v>
      </c>
      <c r="AF76" s="48">
        <f>'Adani Enterprises'!AF76</f>
        <v>0</v>
      </c>
      <c r="AG76" s="48">
        <f>'Adani Enterprises'!AG76</f>
        <v>0</v>
      </c>
      <c r="AH76" s="48">
        <f>'Adani Enterprises'!AH76</f>
        <v>0</v>
      </c>
      <c r="AI76" s="48">
        <f>'Adani Enterprises'!AI76</f>
        <v>0</v>
      </c>
      <c r="AJ76" s="48">
        <f>'Adani Enterprises'!AJ76</f>
        <v>0</v>
      </c>
      <c r="AK76" s="48">
        <f>'Adani Enterprises'!AK76</f>
        <v>0</v>
      </c>
      <c r="AL76" s="48">
        <f>'Adani Enterprises'!AL76</f>
        <v>0</v>
      </c>
    </row>
    <row r="77" customHeight="1" spans="1:38">
      <c r="A77" s="47">
        <f>IFERROR(__xludf.DUMMYFUNCTION("""COMPUTED_VALUE"""),45852.6458333333)</f>
        <v>45852.6458333333</v>
      </c>
      <c r="B77" s="48">
        <f>IFERROR(__xludf.DUMMYFUNCTION("""COMPUTED_VALUE"""),1433)</f>
        <v>1433</v>
      </c>
      <c r="C77" s="47">
        <f>IFERROR(__xludf.DUMMYFUNCTION("""COMPUTED_VALUE"""),45852.6458333333)</f>
        <v>45852.6458333333</v>
      </c>
      <c r="D77" s="48">
        <f>IFERROR(__xludf.DUMMYFUNCTION("""COMPUTED_VALUE"""),1432)</f>
        <v>1432</v>
      </c>
      <c r="E77" s="47">
        <f>IFERROR(__xludf.DUMMYFUNCTION("""COMPUTED_VALUE"""),45852.6458333333)</f>
        <v>45852.6458333333</v>
      </c>
      <c r="F77" s="48">
        <f>IFERROR(__xludf.DUMMYFUNCTION("""COMPUTED_VALUE"""),718442)</f>
        <v>718442</v>
      </c>
      <c r="G77" s="47">
        <f>IFERROR(__xludf.DUMMYFUNCTION("""COMPUTED_VALUE"""),45852.6458333333)</f>
        <v>45852.6458333333</v>
      </c>
      <c r="H77" s="48">
        <f>IFERROR(__xludf.DUMMYFUNCTION("""COMPUTED_VALUE"""),1446.5)</f>
        <v>1446.5</v>
      </c>
      <c r="I77" s="47">
        <f>IFERROR(__xludf.DUMMYFUNCTION("""COMPUTED_VALUE"""),45852.6458333333)</f>
        <v>45852.6458333333</v>
      </c>
      <c r="J77" s="48">
        <f>IFERROR(__xludf.DUMMYFUNCTION("""COMPUTED_VALUE"""),1426.1)</f>
        <v>1426.1</v>
      </c>
      <c r="K77" s="3">
        <f t="shared" si="2"/>
        <v>0</v>
      </c>
      <c r="L77" s="3">
        <f t="shared" si="3"/>
        <v>0</v>
      </c>
      <c r="AF77" s="48">
        <f>'Adani Enterprises'!AF77</f>
        <v>0</v>
      </c>
      <c r="AG77" s="48">
        <f>'Adani Enterprises'!AG77</f>
        <v>0</v>
      </c>
      <c r="AH77" s="48">
        <f>'Adani Enterprises'!AH77</f>
        <v>0</v>
      </c>
      <c r="AI77" s="48">
        <f>'Adani Enterprises'!AI77</f>
        <v>0</v>
      </c>
      <c r="AJ77" s="48">
        <f>'Adani Enterprises'!AJ77</f>
        <v>0</v>
      </c>
      <c r="AK77" s="48">
        <f>'Adani Enterprises'!AK77</f>
        <v>0</v>
      </c>
      <c r="AL77" s="48">
        <f>'Adani Enterprises'!AL77</f>
        <v>0</v>
      </c>
    </row>
    <row r="78" customHeight="1" spans="1:38">
      <c r="A78" s="47">
        <f>IFERROR(__xludf.DUMMYFUNCTION("""COMPUTED_VALUE"""),45853.6458333333)</f>
        <v>45853.6458333333</v>
      </c>
      <c r="B78" s="48">
        <f>IFERROR(__xludf.DUMMYFUNCTION("""COMPUTED_VALUE"""),1445.1)</f>
        <v>1445.1</v>
      </c>
      <c r="C78" s="47">
        <f>IFERROR(__xludf.DUMMYFUNCTION("""COMPUTED_VALUE"""),45853.6458333333)</f>
        <v>45853.6458333333</v>
      </c>
      <c r="D78" s="48">
        <f>IFERROR(__xludf.DUMMYFUNCTION("""COMPUTED_VALUE"""),1434.4)</f>
        <v>1434.4</v>
      </c>
      <c r="E78" s="47">
        <f>IFERROR(__xludf.DUMMYFUNCTION("""COMPUTED_VALUE"""),45853.6458333333)</f>
        <v>45853.6458333333</v>
      </c>
      <c r="F78" s="48">
        <f>IFERROR(__xludf.DUMMYFUNCTION("""COMPUTED_VALUE"""),735108)</f>
        <v>735108</v>
      </c>
      <c r="G78" s="47">
        <f>IFERROR(__xludf.DUMMYFUNCTION("""COMPUTED_VALUE"""),45853.6458333333)</f>
        <v>45853.6458333333</v>
      </c>
      <c r="H78" s="48">
        <f>IFERROR(__xludf.DUMMYFUNCTION("""COMPUTED_VALUE"""),1449.3)</f>
        <v>1449.3</v>
      </c>
      <c r="I78" s="47">
        <f>IFERROR(__xludf.DUMMYFUNCTION("""COMPUTED_VALUE"""),45853.6458333333)</f>
        <v>45853.6458333333</v>
      </c>
      <c r="J78" s="48">
        <f>IFERROR(__xludf.DUMMYFUNCTION("""COMPUTED_VALUE"""),1429)</f>
        <v>1429</v>
      </c>
      <c r="K78" s="3">
        <f t="shared" si="2"/>
        <v>0</v>
      </c>
      <c r="L78" s="3">
        <f t="shared" si="3"/>
        <v>0</v>
      </c>
      <c r="AF78" s="48">
        <f>'Adani Enterprises'!AF78</f>
        <v>0</v>
      </c>
      <c r="AG78" s="48">
        <f>'Adani Enterprises'!AG78</f>
        <v>0</v>
      </c>
      <c r="AH78" s="48">
        <f>'Adani Enterprises'!AH78</f>
        <v>0</v>
      </c>
      <c r="AI78" s="48">
        <f>'Adani Enterprises'!AI78</f>
        <v>0</v>
      </c>
      <c r="AJ78" s="48">
        <f>'Adani Enterprises'!AJ78</f>
        <v>0</v>
      </c>
      <c r="AK78" s="48">
        <f>'Adani Enterprises'!AK78</f>
        <v>0</v>
      </c>
      <c r="AL78" s="48">
        <f>'Adani Enterprises'!AL78</f>
        <v>0</v>
      </c>
    </row>
    <row r="79" customHeight="1" spans="1:38">
      <c r="A79" s="47">
        <f>IFERROR(__xludf.DUMMYFUNCTION("""COMPUTED_VALUE"""),45854.6458333333)</f>
        <v>45854.6458333333</v>
      </c>
      <c r="B79" s="48">
        <f>IFERROR(__xludf.DUMMYFUNCTION("""COMPUTED_VALUE"""),1456.7)</f>
        <v>1456.7</v>
      </c>
      <c r="C79" s="47">
        <f>IFERROR(__xludf.DUMMYFUNCTION("""COMPUTED_VALUE"""),45854.6458333333)</f>
        <v>45854.6458333333</v>
      </c>
      <c r="D79" s="48">
        <f>IFERROR(__xludf.DUMMYFUNCTION("""COMPUTED_VALUE"""),1447.5)</f>
        <v>1447.5</v>
      </c>
      <c r="E79" s="47">
        <f>IFERROR(__xludf.DUMMYFUNCTION("""COMPUTED_VALUE"""),45854.6458333333)</f>
        <v>45854.6458333333</v>
      </c>
      <c r="F79" s="48">
        <f>IFERROR(__xludf.DUMMYFUNCTION("""COMPUTED_VALUE"""),2488981)</f>
        <v>2488981</v>
      </c>
      <c r="G79" s="47">
        <f>IFERROR(__xludf.DUMMYFUNCTION("""COMPUTED_VALUE"""),45854.6458333333)</f>
        <v>45854.6458333333</v>
      </c>
      <c r="H79" s="48">
        <f>IFERROR(__xludf.DUMMYFUNCTION("""COMPUTED_VALUE"""),1474)</f>
        <v>1474</v>
      </c>
      <c r="I79" s="47">
        <f>IFERROR(__xludf.DUMMYFUNCTION("""COMPUTED_VALUE"""),45854.6458333333)</f>
        <v>45854.6458333333</v>
      </c>
      <c r="J79" s="48">
        <f>IFERROR(__xludf.DUMMYFUNCTION("""COMPUTED_VALUE"""),1442.9)</f>
        <v>1442.9</v>
      </c>
      <c r="K79" s="3">
        <f t="shared" si="2"/>
        <v>1456.7</v>
      </c>
      <c r="L79" s="3">
        <f t="shared" si="3"/>
        <v>0</v>
      </c>
      <c r="AF79" s="48">
        <f>'Adani Enterprises'!AF79</f>
        <v>0</v>
      </c>
      <c r="AG79" s="48">
        <f>'Adani Enterprises'!AG79</f>
        <v>0</v>
      </c>
      <c r="AH79" s="48">
        <f>'Adani Enterprises'!AH79</f>
        <v>0</v>
      </c>
      <c r="AI79" s="48">
        <f>'Adani Enterprises'!AI79</f>
        <v>0</v>
      </c>
      <c r="AJ79" s="48">
        <f>'Adani Enterprises'!AJ79</f>
        <v>0</v>
      </c>
      <c r="AK79" s="48">
        <f>'Adani Enterprises'!AK79</f>
        <v>0</v>
      </c>
      <c r="AL79" s="48">
        <f>'Adani Enterprises'!AL79</f>
        <v>0</v>
      </c>
    </row>
    <row r="80" customHeight="1" spans="1:38">
      <c r="A80" s="47">
        <f>IFERROR(__xludf.DUMMYFUNCTION("""COMPUTED_VALUE"""),45855.6458333333)</f>
        <v>45855.6458333333</v>
      </c>
      <c r="B80" s="48">
        <f>IFERROR(__xludf.DUMMYFUNCTION("""COMPUTED_VALUE"""),1452.5)</f>
        <v>1452.5</v>
      </c>
      <c r="C80" s="47">
        <f>IFERROR(__xludf.DUMMYFUNCTION("""COMPUTED_VALUE"""),45855.6458333333)</f>
        <v>45855.6458333333</v>
      </c>
      <c r="D80" s="48">
        <f>IFERROR(__xludf.DUMMYFUNCTION("""COMPUTED_VALUE"""),1455)</f>
        <v>1455</v>
      </c>
      <c r="E80" s="47">
        <f>IFERROR(__xludf.DUMMYFUNCTION("""COMPUTED_VALUE"""),45855.6458333333)</f>
        <v>45855.6458333333</v>
      </c>
      <c r="F80" s="48">
        <f>IFERROR(__xludf.DUMMYFUNCTION("""COMPUTED_VALUE"""),1168071)</f>
        <v>1168071</v>
      </c>
      <c r="G80" s="47">
        <f>IFERROR(__xludf.DUMMYFUNCTION("""COMPUTED_VALUE"""),45855.6458333333)</f>
        <v>45855.6458333333</v>
      </c>
      <c r="H80" s="48">
        <f>IFERROR(__xludf.DUMMYFUNCTION("""COMPUTED_VALUE"""),1464)</f>
        <v>1464</v>
      </c>
      <c r="I80" s="47">
        <f>IFERROR(__xludf.DUMMYFUNCTION("""COMPUTED_VALUE"""),45855.6458333333)</f>
        <v>45855.6458333333</v>
      </c>
      <c r="J80" s="48">
        <f>IFERROR(__xludf.DUMMYFUNCTION("""COMPUTED_VALUE"""),1448.9)</f>
        <v>1448.9</v>
      </c>
      <c r="K80" s="3">
        <f t="shared" si="2"/>
        <v>0</v>
      </c>
      <c r="L80" s="3">
        <f t="shared" si="3"/>
        <v>0</v>
      </c>
      <c r="AF80" s="48">
        <f>'Adani Enterprises'!AF80</f>
        <v>0</v>
      </c>
      <c r="AG80" s="48">
        <f>'Adani Enterprises'!AG80</f>
        <v>0</v>
      </c>
      <c r="AH80" s="48">
        <f>'Adani Enterprises'!AH80</f>
        <v>0</v>
      </c>
      <c r="AI80" s="48">
        <f>'Adani Enterprises'!AI80</f>
        <v>0</v>
      </c>
      <c r="AJ80" s="48">
        <f>'Adani Enterprises'!AJ80</f>
        <v>0</v>
      </c>
      <c r="AK80" s="48">
        <f>'Adani Enterprises'!AK80</f>
        <v>0</v>
      </c>
      <c r="AL80" s="48">
        <f>'Adani Enterprises'!AL80</f>
        <v>0</v>
      </c>
    </row>
    <row r="81" customHeight="1" spans="1:38">
      <c r="A81" s="47">
        <f>IFERROR(__xludf.DUMMYFUNCTION("""COMPUTED_VALUE"""),45856.6458333333)</f>
        <v>45856.6458333333</v>
      </c>
      <c r="B81" s="48">
        <f>IFERROR(__xludf.DUMMYFUNCTION("""COMPUTED_VALUE"""),1443.1)</f>
        <v>1443.1</v>
      </c>
      <c r="C81" s="47">
        <f>IFERROR(__xludf.DUMMYFUNCTION("""COMPUTED_VALUE"""),45856.6458333333)</f>
        <v>45856.6458333333</v>
      </c>
      <c r="D81" s="48">
        <f>IFERROR(__xludf.DUMMYFUNCTION("""COMPUTED_VALUE"""),1452.4)</f>
        <v>1452.4</v>
      </c>
      <c r="E81" s="47">
        <f>IFERROR(__xludf.DUMMYFUNCTION("""COMPUTED_VALUE"""),45856.6458333333)</f>
        <v>45856.6458333333</v>
      </c>
      <c r="F81" s="48">
        <f>IFERROR(__xludf.DUMMYFUNCTION("""COMPUTED_VALUE"""),1147990)</f>
        <v>1147990</v>
      </c>
      <c r="G81" s="47">
        <f>IFERROR(__xludf.DUMMYFUNCTION("""COMPUTED_VALUE"""),45856.6458333333)</f>
        <v>45856.6458333333</v>
      </c>
      <c r="H81" s="48">
        <f>IFERROR(__xludf.DUMMYFUNCTION("""COMPUTED_VALUE"""),1456.5)</f>
        <v>1456.5</v>
      </c>
      <c r="I81" s="47">
        <f>IFERROR(__xludf.DUMMYFUNCTION("""COMPUTED_VALUE"""),45856.6458333333)</f>
        <v>45856.6458333333</v>
      </c>
      <c r="J81" s="48">
        <f>IFERROR(__xludf.DUMMYFUNCTION("""COMPUTED_VALUE"""),1429.1)</f>
        <v>1429.1</v>
      </c>
      <c r="K81" s="3">
        <f t="shared" si="2"/>
        <v>0</v>
      </c>
      <c r="L81" s="3">
        <f t="shared" si="3"/>
        <v>0</v>
      </c>
      <c r="AF81" s="48">
        <f>'Adani Enterprises'!AF81</f>
        <v>0</v>
      </c>
      <c r="AG81" s="48">
        <f>'Adani Enterprises'!AG81</f>
        <v>0</v>
      </c>
      <c r="AH81" s="48">
        <f>'Adani Enterprises'!AH81</f>
        <v>0</v>
      </c>
      <c r="AI81" s="48">
        <f>'Adani Enterprises'!AI81</f>
        <v>0</v>
      </c>
      <c r="AJ81" s="48">
        <f>'Adani Enterprises'!AJ81</f>
        <v>0</v>
      </c>
      <c r="AK81" s="48">
        <f>'Adani Enterprises'!AK81</f>
        <v>0</v>
      </c>
      <c r="AL81" s="48">
        <f>'Adani Enterprises'!AL81</f>
        <v>0</v>
      </c>
    </row>
    <row r="82" customHeight="1" spans="1:38">
      <c r="A82" s="47">
        <f>IFERROR(__xludf.DUMMYFUNCTION("""COMPUTED_VALUE"""),45859.6458333333)</f>
        <v>45859.6458333333</v>
      </c>
      <c r="B82" s="48">
        <f>IFERROR(__xludf.DUMMYFUNCTION("""COMPUTED_VALUE"""),1450.5)</f>
        <v>1450.5</v>
      </c>
      <c r="C82" s="47">
        <f>IFERROR(__xludf.DUMMYFUNCTION("""COMPUTED_VALUE"""),45859.6458333333)</f>
        <v>45859.6458333333</v>
      </c>
      <c r="D82" s="48">
        <f>IFERROR(__xludf.DUMMYFUNCTION("""COMPUTED_VALUE"""),1442.1)</f>
        <v>1442.1</v>
      </c>
      <c r="E82" s="47">
        <f>IFERROR(__xludf.DUMMYFUNCTION("""COMPUTED_VALUE"""),45859.6458333333)</f>
        <v>45859.6458333333</v>
      </c>
      <c r="F82" s="48">
        <f>IFERROR(__xludf.DUMMYFUNCTION("""COMPUTED_VALUE"""),815780)</f>
        <v>815780</v>
      </c>
      <c r="G82" s="47">
        <f>IFERROR(__xludf.DUMMYFUNCTION("""COMPUTED_VALUE"""),45859.6458333333)</f>
        <v>45859.6458333333</v>
      </c>
      <c r="H82" s="48">
        <f>IFERROR(__xludf.DUMMYFUNCTION("""COMPUTED_VALUE"""),1453.1)</f>
        <v>1453.1</v>
      </c>
      <c r="I82" s="47">
        <f>IFERROR(__xludf.DUMMYFUNCTION("""COMPUTED_VALUE"""),45859.6458333333)</f>
        <v>45859.6458333333</v>
      </c>
      <c r="J82" s="48">
        <f>IFERROR(__xludf.DUMMYFUNCTION("""COMPUTED_VALUE"""),1430)</f>
        <v>1430</v>
      </c>
      <c r="K82" s="3">
        <f t="shared" si="2"/>
        <v>0</v>
      </c>
      <c r="L82" s="3">
        <f t="shared" si="3"/>
        <v>0</v>
      </c>
      <c r="AF82" s="48">
        <f>'Adani Enterprises'!AF82</f>
        <v>0</v>
      </c>
      <c r="AG82" s="48">
        <f>'Adani Enterprises'!AG82</f>
        <v>0</v>
      </c>
      <c r="AH82" s="48">
        <f>'Adani Enterprises'!AH82</f>
        <v>0</v>
      </c>
      <c r="AI82" s="48">
        <f>'Adani Enterprises'!AI82</f>
        <v>0</v>
      </c>
      <c r="AJ82" s="48">
        <f>'Adani Enterprises'!AJ82</f>
        <v>0</v>
      </c>
      <c r="AK82" s="48">
        <f>'Adani Enterprises'!AK82</f>
        <v>0</v>
      </c>
      <c r="AL82" s="48">
        <f>'Adani Enterprises'!AL82</f>
        <v>0</v>
      </c>
    </row>
    <row r="83" customHeight="1" spans="1:38">
      <c r="A83" s="47">
        <f>IFERROR(__xludf.DUMMYFUNCTION("""COMPUTED_VALUE"""),45860.6458333333)</f>
        <v>45860.6458333333</v>
      </c>
      <c r="B83" s="48">
        <f>IFERROR(__xludf.DUMMYFUNCTION("""COMPUTED_VALUE"""),1420.7)</f>
        <v>1420.7</v>
      </c>
      <c r="C83" s="47">
        <f>IFERROR(__xludf.DUMMYFUNCTION("""COMPUTED_VALUE"""),45860.6458333333)</f>
        <v>45860.6458333333</v>
      </c>
      <c r="D83" s="48">
        <f>IFERROR(__xludf.DUMMYFUNCTION("""COMPUTED_VALUE"""),1454.5)</f>
        <v>1454.5</v>
      </c>
      <c r="E83" s="47">
        <f>IFERROR(__xludf.DUMMYFUNCTION("""COMPUTED_VALUE"""),45860.6458333333)</f>
        <v>45860.6458333333</v>
      </c>
      <c r="F83" s="48">
        <f>IFERROR(__xludf.DUMMYFUNCTION("""COMPUTED_VALUE"""),976668)</f>
        <v>976668</v>
      </c>
      <c r="G83" s="47">
        <f>IFERROR(__xludf.DUMMYFUNCTION("""COMPUTED_VALUE"""),45860.6458333333)</f>
        <v>45860.6458333333</v>
      </c>
      <c r="H83" s="48">
        <f>IFERROR(__xludf.DUMMYFUNCTION("""COMPUTED_VALUE"""),1454.5)</f>
        <v>1454.5</v>
      </c>
      <c r="I83" s="47">
        <f>IFERROR(__xludf.DUMMYFUNCTION("""COMPUTED_VALUE"""),45860.6458333333)</f>
        <v>45860.6458333333</v>
      </c>
      <c r="J83" s="48">
        <f>IFERROR(__xludf.DUMMYFUNCTION("""COMPUTED_VALUE"""),1417.1)</f>
        <v>1417.1</v>
      </c>
      <c r="K83" s="3">
        <f t="shared" si="2"/>
        <v>0</v>
      </c>
      <c r="L83" s="3">
        <f t="shared" si="3"/>
        <v>0</v>
      </c>
      <c r="AF83" s="48">
        <f>'Adani Enterprises'!AF83</f>
        <v>0</v>
      </c>
      <c r="AG83" s="48">
        <f>'Adani Enterprises'!AG83</f>
        <v>0</v>
      </c>
      <c r="AH83" s="48">
        <f>'Adani Enterprises'!AH83</f>
        <v>0</v>
      </c>
      <c r="AI83" s="48">
        <f>'Adani Enterprises'!AI83</f>
        <v>0</v>
      </c>
      <c r="AJ83" s="48">
        <f>'Adani Enterprises'!AJ83</f>
        <v>0</v>
      </c>
      <c r="AK83" s="48">
        <f>'Adani Enterprises'!AK83</f>
        <v>0</v>
      </c>
      <c r="AL83" s="48">
        <f>'Adani Enterprises'!AL83</f>
        <v>0</v>
      </c>
    </row>
    <row r="84" customHeight="1" spans="1:38">
      <c r="A84" s="47">
        <f>IFERROR(__xludf.DUMMYFUNCTION("""COMPUTED_VALUE"""),45861.6458333333)</f>
        <v>45861.6458333333</v>
      </c>
      <c r="B84" s="48">
        <f>IFERROR(__xludf.DUMMYFUNCTION("""COMPUTED_VALUE"""),1420.8)</f>
        <v>1420.8</v>
      </c>
      <c r="C84" s="47">
        <f>IFERROR(__xludf.DUMMYFUNCTION("""COMPUTED_VALUE"""),45861.6458333333)</f>
        <v>45861.6458333333</v>
      </c>
      <c r="D84" s="48">
        <f>IFERROR(__xludf.DUMMYFUNCTION("""COMPUTED_VALUE"""),1430)</f>
        <v>1430</v>
      </c>
      <c r="E84" s="47">
        <f>IFERROR(__xludf.DUMMYFUNCTION("""COMPUTED_VALUE"""),45861.6458333333)</f>
        <v>45861.6458333333</v>
      </c>
      <c r="F84" s="48">
        <f>IFERROR(__xludf.DUMMYFUNCTION("""COMPUTED_VALUE"""),740816)</f>
        <v>740816</v>
      </c>
      <c r="G84" s="47">
        <f>IFERROR(__xludf.DUMMYFUNCTION("""COMPUTED_VALUE"""),45861.6458333333)</f>
        <v>45861.6458333333</v>
      </c>
      <c r="H84" s="48">
        <f>IFERROR(__xludf.DUMMYFUNCTION("""COMPUTED_VALUE"""),1438.5)</f>
        <v>1438.5</v>
      </c>
      <c r="I84" s="47">
        <f>IFERROR(__xludf.DUMMYFUNCTION("""COMPUTED_VALUE"""),45861.6458333333)</f>
        <v>45861.6458333333</v>
      </c>
      <c r="J84" s="48">
        <f>IFERROR(__xludf.DUMMYFUNCTION("""COMPUTED_VALUE"""),1419)</f>
        <v>1419</v>
      </c>
      <c r="K84" s="3">
        <f t="shared" si="2"/>
        <v>0</v>
      </c>
      <c r="L84" s="3">
        <f t="shared" si="3"/>
        <v>0</v>
      </c>
      <c r="AF84" s="48">
        <f>'Adani Enterprises'!AF84</f>
        <v>0</v>
      </c>
      <c r="AG84" s="48">
        <f>'Adani Enterprises'!AG84</f>
        <v>0</v>
      </c>
      <c r="AH84" s="48">
        <f>'Adani Enterprises'!AH84</f>
        <v>0</v>
      </c>
      <c r="AI84" s="48">
        <f>'Adani Enterprises'!AI84</f>
        <v>0</v>
      </c>
      <c r="AJ84" s="48">
        <f>'Adani Enterprises'!AJ84</f>
        <v>0</v>
      </c>
      <c r="AK84" s="48">
        <f>'Adani Enterprises'!AK84</f>
        <v>0</v>
      </c>
      <c r="AL84" s="48">
        <f>'Adani Enterprises'!AL84</f>
        <v>0</v>
      </c>
    </row>
    <row r="85" customHeight="1" spans="1:38">
      <c r="A85" s="47">
        <f>IFERROR(__xludf.DUMMYFUNCTION("""COMPUTED_VALUE"""),45862.6458333333)</f>
        <v>45862.6458333333</v>
      </c>
      <c r="B85" s="48">
        <f>IFERROR(__xludf.DUMMYFUNCTION("""COMPUTED_VALUE"""),1411.6)</f>
        <v>1411.6</v>
      </c>
      <c r="C85" s="47">
        <f>IFERROR(__xludf.DUMMYFUNCTION("""COMPUTED_VALUE"""),45862.6458333333)</f>
        <v>45862.6458333333</v>
      </c>
      <c r="D85" s="48">
        <f>IFERROR(__xludf.DUMMYFUNCTION("""COMPUTED_VALUE"""),1423.2)</f>
        <v>1423.2</v>
      </c>
      <c r="E85" s="47">
        <f>IFERROR(__xludf.DUMMYFUNCTION("""COMPUTED_VALUE"""),45862.6458333333)</f>
        <v>45862.6458333333</v>
      </c>
      <c r="F85" s="48">
        <f>IFERROR(__xludf.DUMMYFUNCTION("""COMPUTED_VALUE"""),598011)</f>
        <v>598011</v>
      </c>
      <c r="G85" s="47">
        <f>IFERROR(__xludf.DUMMYFUNCTION("""COMPUTED_VALUE"""),45862.6458333333)</f>
        <v>45862.6458333333</v>
      </c>
      <c r="H85" s="48">
        <f>IFERROR(__xludf.DUMMYFUNCTION("""COMPUTED_VALUE"""),1426)</f>
        <v>1426</v>
      </c>
      <c r="I85" s="47">
        <f>IFERROR(__xludf.DUMMYFUNCTION("""COMPUTED_VALUE"""),45862.6458333333)</f>
        <v>45862.6458333333</v>
      </c>
      <c r="J85" s="48">
        <f>IFERROR(__xludf.DUMMYFUNCTION("""COMPUTED_VALUE"""),1405)</f>
        <v>1405</v>
      </c>
      <c r="K85" s="3">
        <f t="shared" si="2"/>
        <v>0</v>
      </c>
      <c r="L85" s="3">
        <f t="shared" si="3"/>
        <v>0</v>
      </c>
      <c r="AF85" s="48">
        <f>'Adani Enterprises'!AF85</f>
        <v>0</v>
      </c>
      <c r="AG85" s="48">
        <f>'Adani Enterprises'!AG85</f>
        <v>0</v>
      </c>
      <c r="AH85" s="48">
        <f>'Adani Enterprises'!AH85</f>
        <v>0</v>
      </c>
      <c r="AI85" s="48">
        <f>'Adani Enterprises'!AI85</f>
        <v>0</v>
      </c>
      <c r="AJ85" s="48">
        <f>'Adani Enterprises'!AJ85</f>
        <v>0</v>
      </c>
      <c r="AK85" s="48">
        <f>'Adani Enterprises'!AK85</f>
        <v>0</v>
      </c>
      <c r="AL85" s="48">
        <f>'Adani Enterprises'!AL85</f>
        <v>0</v>
      </c>
    </row>
    <row r="86" customHeight="1" spans="1:38">
      <c r="A86" s="47">
        <f>IFERROR(__xludf.DUMMYFUNCTION("""COMPUTED_VALUE"""),45863.6458333333)</f>
        <v>45863.6458333333</v>
      </c>
      <c r="B86" s="48">
        <f>IFERROR(__xludf.DUMMYFUNCTION("""COMPUTED_VALUE"""),1396.3)</f>
        <v>1396.3</v>
      </c>
      <c r="C86" s="47">
        <f>IFERROR(__xludf.DUMMYFUNCTION("""COMPUTED_VALUE"""),45863.6458333333)</f>
        <v>45863.6458333333</v>
      </c>
      <c r="D86" s="48">
        <f>IFERROR(__xludf.DUMMYFUNCTION("""COMPUTED_VALUE"""),1411.7)</f>
        <v>1411.7</v>
      </c>
      <c r="E86" s="47">
        <f>IFERROR(__xludf.DUMMYFUNCTION("""COMPUTED_VALUE"""),45863.6458333333)</f>
        <v>45863.6458333333</v>
      </c>
      <c r="F86" s="48">
        <f>IFERROR(__xludf.DUMMYFUNCTION("""COMPUTED_VALUE"""),744410)</f>
        <v>744410</v>
      </c>
      <c r="G86" s="47">
        <f>IFERROR(__xludf.DUMMYFUNCTION("""COMPUTED_VALUE"""),45863.6458333333)</f>
        <v>45863.6458333333</v>
      </c>
      <c r="H86" s="48">
        <f>IFERROR(__xludf.DUMMYFUNCTION("""COMPUTED_VALUE"""),1416.7)</f>
        <v>1416.7</v>
      </c>
      <c r="I86" s="47">
        <f>IFERROR(__xludf.DUMMYFUNCTION("""COMPUTED_VALUE"""),45863.6458333333)</f>
        <v>45863.6458333333</v>
      </c>
      <c r="J86" s="48">
        <f>IFERROR(__xludf.DUMMYFUNCTION("""COMPUTED_VALUE"""),1390)</f>
        <v>1390</v>
      </c>
      <c r="K86" s="3">
        <f t="shared" si="2"/>
        <v>0</v>
      </c>
      <c r="L86" s="3">
        <f t="shared" si="3"/>
        <v>0</v>
      </c>
      <c r="AF86" s="48">
        <f>'Adani Enterprises'!AF86</f>
        <v>0</v>
      </c>
      <c r="AG86" s="48">
        <f>'Adani Enterprises'!AG86</f>
        <v>0</v>
      </c>
      <c r="AH86" s="48">
        <f>'Adani Enterprises'!AH86</f>
        <v>0</v>
      </c>
      <c r="AI86" s="48">
        <f>'Adani Enterprises'!AI86</f>
        <v>0</v>
      </c>
      <c r="AJ86" s="48">
        <f>'Adani Enterprises'!AJ86</f>
        <v>0</v>
      </c>
      <c r="AK86" s="48">
        <f>'Adani Enterprises'!AK86</f>
        <v>0</v>
      </c>
      <c r="AL86" s="48">
        <f>'Adani Enterprises'!AL86</f>
        <v>0</v>
      </c>
    </row>
    <row r="87" customHeight="1" spans="1:38">
      <c r="A87" s="47">
        <f>IFERROR(__xludf.DUMMYFUNCTION("""COMPUTED_VALUE"""),45866.6458333333)</f>
        <v>45866.6458333333</v>
      </c>
      <c r="B87" s="48">
        <f>IFERROR(__xludf.DUMMYFUNCTION("""COMPUTED_VALUE"""),1376)</f>
        <v>1376</v>
      </c>
      <c r="C87" s="47">
        <f>IFERROR(__xludf.DUMMYFUNCTION("""COMPUTED_VALUE"""),45866.6458333333)</f>
        <v>45866.6458333333</v>
      </c>
      <c r="D87" s="48">
        <f>IFERROR(__xludf.DUMMYFUNCTION("""COMPUTED_VALUE"""),1396.3)</f>
        <v>1396.3</v>
      </c>
      <c r="E87" s="47">
        <f>IFERROR(__xludf.DUMMYFUNCTION("""COMPUTED_VALUE"""),45866.6458333333)</f>
        <v>45866.6458333333</v>
      </c>
      <c r="F87" s="48">
        <f>IFERROR(__xludf.DUMMYFUNCTION("""COMPUTED_VALUE"""),790020)</f>
        <v>790020</v>
      </c>
      <c r="G87" s="47">
        <f>IFERROR(__xludf.DUMMYFUNCTION("""COMPUTED_VALUE"""),45866.6458333333)</f>
        <v>45866.6458333333</v>
      </c>
      <c r="H87" s="48">
        <f>IFERROR(__xludf.DUMMYFUNCTION("""COMPUTED_VALUE"""),1404.1)</f>
        <v>1404.1</v>
      </c>
      <c r="I87" s="47">
        <f>IFERROR(__xludf.DUMMYFUNCTION("""COMPUTED_VALUE"""),45866.6458333333)</f>
        <v>45866.6458333333</v>
      </c>
      <c r="J87" s="48">
        <f>IFERROR(__xludf.DUMMYFUNCTION("""COMPUTED_VALUE"""),1373.5)</f>
        <v>1373.5</v>
      </c>
      <c r="K87" s="3">
        <f t="shared" si="2"/>
        <v>0</v>
      </c>
      <c r="L87" s="3">
        <f t="shared" si="3"/>
        <v>0</v>
      </c>
      <c r="AF87" s="48">
        <f>'Adani Enterprises'!AF87</f>
        <v>0</v>
      </c>
      <c r="AG87" s="48">
        <f>'Adani Enterprises'!AG87</f>
        <v>0</v>
      </c>
      <c r="AH87" s="48">
        <f>'Adani Enterprises'!AH87</f>
        <v>0</v>
      </c>
      <c r="AI87" s="48">
        <f>'Adani Enterprises'!AI87</f>
        <v>0</v>
      </c>
      <c r="AJ87" s="48">
        <f>'Adani Enterprises'!AJ87</f>
        <v>0</v>
      </c>
      <c r="AK87" s="48">
        <f>'Adani Enterprises'!AK87</f>
        <v>0</v>
      </c>
      <c r="AL87" s="48">
        <f>'Adani Enterprises'!AL87</f>
        <v>0</v>
      </c>
    </row>
    <row r="88" customHeight="1" spans="1:38">
      <c r="A88" s="47">
        <f>IFERROR(__xludf.DUMMYFUNCTION("""COMPUTED_VALUE"""),45867.6458333333)</f>
        <v>45867.6458333333</v>
      </c>
      <c r="B88" s="48">
        <f>IFERROR(__xludf.DUMMYFUNCTION("""COMPUTED_VALUE"""),1395.9)</f>
        <v>1395.9</v>
      </c>
      <c r="C88" s="47">
        <f>IFERROR(__xludf.DUMMYFUNCTION("""COMPUTED_VALUE"""),45867.6458333333)</f>
        <v>45867.6458333333</v>
      </c>
      <c r="D88" s="48">
        <f>IFERROR(__xludf.DUMMYFUNCTION("""COMPUTED_VALUE"""),1376)</f>
        <v>1376</v>
      </c>
      <c r="E88" s="47">
        <f>IFERROR(__xludf.DUMMYFUNCTION("""COMPUTED_VALUE"""),45867.6458333333)</f>
        <v>45867.6458333333</v>
      </c>
      <c r="F88" s="48">
        <f>IFERROR(__xludf.DUMMYFUNCTION("""COMPUTED_VALUE"""),782760)</f>
        <v>782760</v>
      </c>
      <c r="G88" s="47">
        <f>IFERROR(__xludf.DUMMYFUNCTION("""COMPUTED_VALUE"""),45867.6458333333)</f>
        <v>45867.6458333333</v>
      </c>
      <c r="H88" s="48">
        <f>IFERROR(__xludf.DUMMYFUNCTION("""COMPUTED_VALUE"""),1398.7)</f>
        <v>1398.7</v>
      </c>
      <c r="I88" s="47">
        <f>IFERROR(__xludf.DUMMYFUNCTION("""COMPUTED_VALUE"""),45867.6458333333)</f>
        <v>45867.6458333333</v>
      </c>
      <c r="J88" s="48">
        <f>IFERROR(__xludf.DUMMYFUNCTION("""COMPUTED_VALUE"""),1373.6)</f>
        <v>1373.6</v>
      </c>
      <c r="K88" s="3">
        <f t="shared" si="2"/>
        <v>0</v>
      </c>
      <c r="L88" s="3">
        <f t="shared" si="3"/>
        <v>0</v>
      </c>
      <c r="AF88" s="48">
        <f>'Adani Enterprises'!AF88</f>
        <v>0</v>
      </c>
      <c r="AG88" s="48">
        <f>'Adani Enterprises'!AG88</f>
        <v>0</v>
      </c>
      <c r="AH88" s="48">
        <f>'Adani Enterprises'!AH88</f>
        <v>0</v>
      </c>
      <c r="AI88" s="48">
        <f>'Adani Enterprises'!AI88</f>
        <v>0</v>
      </c>
      <c r="AJ88" s="48">
        <f>'Adani Enterprises'!AJ88</f>
        <v>0</v>
      </c>
      <c r="AK88" s="48">
        <f>'Adani Enterprises'!AK88</f>
        <v>0</v>
      </c>
      <c r="AL88" s="48">
        <f>'Adani Enterprises'!AL88</f>
        <v>0</v>
      </c>
    </row>
    <row r="89" customHeight="1" spans="1:38">
      <c r="A89" s="47">
        <f>IFERROR(__xludf.DUMMYFUNCTION("""COMPUTED_VALUE"""),45868.6458333333)</f>
        <v>45868.6458333333</v>
      </c>
      <c r="B89" s="48">
        <f>IFERROR(__xludf.DUMMYFUNCTION("""COMPUTED_VALUE"""),1394)</f>
        <v>1394</v>
      </c>
      <c r="C89" s="47">
        <f>IFERROR(__xludf.DUMMYFUNCTION("""COMPUTED_VALUE"""),45868.6458333333)</f>
        <v>45868.6458333333</v>
      </c>
      <c r="D89" s="48">
        <f>IFERROR(__xludf.DUMMYFUNCTION("""COMPUTED_VALUE"""),1398.8)</f>
        <v>1398.8</v>
      </c>
      <c r="E89" s="47">
        <f>IFERROR(__xludf.DUMMYFUNCTION("""COMPUTED_VALUE"""),45868.6458333333)</f>
        <v>45868.6458333333</v>
      </c>
      <c r="F89" s="48">
        <f>IFERROR(__xludf.DUMMYFUNCTION("""COMPUTED_VALUE"""),627316)</f>
        <v>627316</v>
      </c>
      <c r="G89" s="47">
        <f>IFERROR(__xludf.DUMMYFUNCTION("""COMPUTED_VALUE"""),45868.6458333333)</f>
        <v>45868.6458333333</v>
      </c>
      <c r="H89" s="48">
        <f>IFERROR(__xludf.DUMMYFUNCTION("""COMPUTED_VALUE"""),1403.1)</f>
        <v>1403.1</v>
      </c>
      <c r="I89" s="47">
        <f>IFERROR(__xludf.DUMMYFUNCTION("""COMPUTED_VALUE"""),45868.6458333333)</f>
        <v>45868.6458333333</v>
      </c>
      <c r="J89" s="48">
        <f>IFERROR(__xludf.DUMMYFUNCTION("""COMPUTED_VALUE"""),1391.5)</f>
        <v>1391.5</v>
      </c>
      <c r="K89" s="3">
        <f t="shared" si="2"/>
        <v>0</v>
      </c>
      <c r="L89" s="3">
        <f t="shared" si="3"/>
        <v>0</v>
      </c>
      <c r="AF89" s="48">
        <f>'Adani Enterprises'!AF89</f>
        <v>0</v>
      </c>
      <c r="AG89" s="48">
        <f>'Adani Enterprises'!AG89</f>
        <v>0</v>
      </c>
      <c r="AH89" s="48">
        <f>'Adani Enterprises'!AH89</f>
        <v>0</v>
      </c>
      <c r="AI89" s="48">
        <f>'Adani Enterprises'!AI89</f>
        <v>0</v>
      </c>
      <c r="AJ89" s="48">
        <f>'Adani Enterprises'!AJ89</f>
        <v>0</v>
      </c>
      <c r="AK89" s="48">
        <f>'Adani Enterprises'!AK89</f>
        <v>0</v>
      </c>
      <c r="AL89" s="48">
        <f>'Adani Enterprises'!AL89</f>
        <v>0</v>
      </c>
    </row>
    <row r="90" customHeight="1" spans="1:38">
      <c r="A90" s="47">
        <f>IFERROR(__xludf.DUMMYFUNCTION("""COMPUTED_VALUE"""),45869.6458333333)</f>
        <v>45869.6458333333</v>
      </c>
      <c r="B90" s="48">
        <f>IFERROR(__xludf.DUMMYFUNCTION("""COMPUTED_VALUE"""),1373.1)</f>
        <v>1373.1</v>
      </c>
      <c r="C90" s="47">
        <f>IFERROR(__xludf.DUMMYFUNCTION("""COMPUTED_VALUE"""),45869.6458333333)</f>
        <v>45869.6458333333</v>
      </c>
      <c r="D90" s="48">
        <f>IFERROR(__xludf.DUMMYFUNCTION("""COMPUTED_VALUE"""),1382.1)</f>
        <v>1382.1</v>
      </c>
      <c r="E90" s="47">
        <f>IFERROR(__xludf.DUMMYFUNCTION("""COMPUTED_VALUE"""),45869.6458333333)</f>
        <v>45869.6458333333</v>
      </c>
      <c r="F90" s="48">
        <f>IFERROR(__xludf.DUMMYFUNCTION("""COMPUTED_VALUE"""),1412892)</f>
        <v>1412892</v>
      </c>
      <c r="G90" s="47">
        <f>IFERROR(__xludf.DUMMYFUNCTION("""COMPUTED_VALUE"""),45869.6458333333)</f>
        <v>45869.6458333333</v>
      </c>
      <c r="H90" s="48">
        <f>IFERROR(__xludf.DUMMYFUNCTION("""COMPUTED_VALUE"""),1395.8)</f>
        <v>1395.8</v>
      </c>
      <c r="I90" s="47">
        <f>IFERROR(__xludf.DUMMYFUNCTION("""COMPUTED_VALUE"""),45869.6458333333)</f>
        <v>45869.6458333333</v>
      </c>
      <c r="J90" s="48">
        <f>IFERROR(__xludf.DUMMYFUNCTION("""COMPUTED_VALUE"""),1370.3)</f>
        <v>1370.3</v>
      </c>
      <c r="K90" s="3">
        <f t="shared" si="2"/>
        <v>0</v>
      </c>
      <c r="L90" s="3">
        <f t="shared" si="3"/>
        <v>0</v>
      </c>
      <c r="AF90" s="48">
        <f>'Adani Enterprises'!AF90</f>
        <v>0</v>
      </c>
      <c r="AG90" s="48">
        <f>'Adani Enterprises'!AG90</f>
        <v>0</v>
      </c>
      <c r="AH90" s="48">
        <f>'Adani Enterprises'!AH90</f>
        <v>0</v>
      </c>
      <c r="AI90" s="48">
        <f>'Adani Enterprises'!AI90</f>
        <v>0</v>
      </c>
      <c r="AJ90" s="48">
        <f>'Adani Enterprises'!AJ90</f>
        <v>0</v>
      </c>
      <c r="AK90" s="48">
        <f>'Adani Enterprises'!AK90</f>
        <v>0</v>
      </c>
      <c r="AL90" s="48">
        <f>'Adani Enterprises'!AL90</f>
        <v>0</v>
      </c>
    </row>
    <row r="91" customHeight="1" spans="1:38">
      <c r="A91" s="47">
        <f>IFERROR(__xludf.DUMMYFUNCTION("""COMPUTED_VALUE"""),45870.6458333333)</f>
        <v>45870.6458333333</v>
      </c>
      <c r="B91" s="48">
        <f>IFERROR(__xludf.DUMMYFUNCTION("""COMPUTED_VALUE"""),1347.1)</f>
        <v>1347.1</v>
      </c>
      <c r="C91" s="47">
        <f>IFERROR(__xludf.DUMMYFUNCTION("""COMPUTED_VALUE"""),45870.6458333333)</f>
        <v>45870.6458333333</v>
      </c>
      <c r="D91" s="48">
        <f>IFERROR(__xludf.DUMMYFUNCTION("""COMPUTED_VALUE"""),1371)</f>
        <v>1371</v>
      </c>
      <c r="E91" s="47">
        <f>IFERROR(__xludf.DUMMYFUNCTION("""COMPUTED_VALUE"""),45870.6458333333)</f>
        <v>45870.6458333333</v>
      </c>
      <c r="F91" s="48">
        <f>IFERROR(__xludf.DUMMYFUNCTION("""COMPUTED_VALUE"""),1239941)</f>
        <v>1239941</v>
      </c>
      <c r="G91" s="47">
        <f>IFERROR(__xludf.DUMMYFUNCTION("""COMPUTED_VALUE"""),45870.6458333333)</f>
        <v>45870.6458333333</v>
      </c>
      <c r="H91" s="48">
        <f>IFERROR(__xludf.DUMMYFUNCTION("""COMPUTED_VALUE"""),1375.9)</f>
        <v>1375.9</v>
      </c>
      <c r="I91" s="47">
        <f>IFERROR(__xludf.DUMMYFUNCTION("""COMPUTED_VALUE"""),45870.6458333333)</f>
        <v>45870.6458333333</v>
      </c>
      <c r="J91" s="48">
        <f>IFERROR(__xludf.DUMMYFUNCTION("""COMPUTED_VALUE"""),1342.8)</f>
        <v>1342.8</v>
      </c>
      <c r="K91" s="3">
        <f t="shared" si="2"/>
        <v>0</v>
      </c>
      <c r="L91" s="3">
        <f t="shared" si="3"/>
        <v>0</v>
      </c>
      <c r="AF91" s="48">
        <f>'Adani Enterprises'!AF91</f>
        <v>0</v>
      </c>
      <c r="AG91" s="48">
        <f>'Adani Enterprises'!AG91</f>
        <v>0</v>
      </c>
      <c r="AH91" s="48">
        <f>'Adani Enterprises'!AH91</f>
        <v>0</v>
      </c>
      <c r="AI91" s="48">
        <f>'Adani Enterprises'!AI91</f>
        <v>0</v>
      </c>
      <c r="AJ91" s="48">
        <f>'Adani Enterprises'!AJ91</f>
        <v>0</v>
      </c>
      <c r="AK91" s="48">
        <f>'Adani Enterprises'!AK91</f>
        <v>0</v>
      </c>
      <c r="AL91" s="48">
        <f>'Adani Enterprises'!AL91</f>
        <v>0</v>
      </c>
    </row>
    <row r="92" customHeight="1" spans="1:38">
      <c r="A92" s="47">
        <f>IFERROR(__xludf.DUMMYFUNCTION("""COMPUTED_VALUE"""),45873.6458333333)</f>
        <v>45873.6458333333</v>
      </c>
      <c r="B92" s="48">
        <f>IFERROR(__xludf.DUMMYFUNCTION("""COMPUTED_VALUE"""),1388.9)</f>
        <v>1388.9</v>
      </c>
      <c r="C92" s="47">
        <f>IFERROR(__xludf.DUMMYFUNCTION("""COMPUTED_VALUE"""),45873.6458333333)</f>
        <v>45873.6458333333</v>
      </c>
      <c r="D92" s="48">
        <f>IFERROR(__xludf.DUMMYFUNCTION("""COMPUTED_VALUE"""),1349.8)</f>
        <v>1349.8</v>
      </c>
      <c r="E92" s="47">
        <f>IFERROR(__xludf.DUMMYFUNCTION("""COMPUTED_VALUE"""),45873.6458333333)</f>
        <v>45873.6458333333</v>
      </c>
      <c r="F92" s="48">
        <f>IFERROR(__xludf.DUMMYFUNCTION("""COMPUTED_VALUE"""),1368323)</f>
        <v>1368323</v>
      </c>
      <c r="G92" s="47">
        <f>IFERROR(__xludf.DUMMYFUNCTION("""COMPUTED_VALUE"""),45873.6458333333)</f>
        <v>45873.6458333333</v>
      </c>
      <c r="H92" s="48">
        <f>IFERROR(__xludf.DUMMYFUNCTION("""COMPUTED_VALUE"""),1397)</f>
        <v>1397</v>
      </c>
      <c r="I92" s="47">
        <f>IFERROR(__xludf.DUMMYFUNCTION("""COMPUTED_VALUE"""),45873.6458333333)</f>
        <v>45873.6458333333</v>
      </c>
      <c r="J92" s="48">
        <f>IFERROR(__xludf.DUMMYFUNCTION("""COMPUTED_VALUE"""),1345.2)</f>
        <v>1345.2</v>
      </c>
      <c r="K92" s="3">
        <f t="shared" si="2"/>
        <v>0</v>
      </c>
      <c r="L92" s="3">
        <f t="shared" si="3"/>
        <v>0</v>
      </c>
      <c r="AF92" s="48">
        <f>'Adani Enterprises'!AF92</f>
        <v>0</v>
      </c>
      <c r="AG92" s="48">
        <f>'Adani Enterprises'!AG92</f>
        <v>0</v>
      </c>
      <c r="AH92" s="48">
        <f>'Adani Enterprises'!AH92</f>
        <v>0</v>
      </c>
      <c r="AI92" s="48">
        <f>'Adani Enterprises'!AI92</f>
        <v>0</v>
      </c>
      <c r="AJ92" s="48">
        <f>'Adani Enterprises'!AJ92</f>
        <v>0</v>
      </c>
      <c r="AK92" s="48">
        <f>'Adani Enterprises'!AK92</f>
        <v>0</v>
      </c>
      <c r="AL92" s="48">
        <f>'Adani Enterprises'!AL92</f>
        <v>0</v>
      </c>
    </row>
    <row r="93" customHeight="1" spans="1:38">
      <c r="A93" s="47">
        <f>IFERROR(__xludf.DUMMYFUNCTION("""COMPUTED_VALUE"""),45874.6458333333)</f>
        <v>45874.6458333333</v>
      </c>
      <c r="B93" s="48">
        <f>IFERROR(__xludf.DUMMYFUNCTION("""COMPUTED_VALUE"""),1358.1)</f>
        <v>1358.1</v>
      </c>
      <c r="C93" s="47">
        <f>IFERROR(__xludf.DUMMYFUNCTION("""COMPUTED_VALUE"""),45874.6458333333)</f>
        <v>45874.6458333333</v>
      </c>
      <c r="D93" s="48">
        <f>IFERROR(__xludf.DUMMYFUNCTION("""COMPUTED_VALUE"""),1392)</f>
        <v>1392</v>
      </c>
      <c r="E93" s="47">
        <f>IFERROR(__xludf.DUMMYFUNCTION("""COMPUTED_VALUE"""),45874.6458333333)</f>
        <v>45874.6458333333</v>
      </c>
      <c r="F93" s="48">
        <f>IFERROR(__xludf.DUMMYFUNCTION("""COMPUTED_VALUE"""),3000067)</f>
        <v>3000067</v>
      </c>
      <c r="G93" s="47">
        <f>IFERROR(__xludf.DUMMYFUNCTION("""COMPUTED_VALUE"""),45874.6458333333)</f>
        <v>45874.6458333333</v>
      </c>
      <c r="H93" s="48">
        <f>IFERROR(__xludf.DUMMYFUNCTION("""COMPUTED_VALUE"""),1394.2)</f>
        <v>1394.2</v>
      </c>
      <c r="I93" s="47">
        <f>IFERROR(__xludf.DUMMYFUNCTION("""COMPUTED_VALUE"""),45874.6458333333)</f>
        <v>45874.6458333333</v>
      </c>
      <c r="J93" s="48">
        <f>IFERROR(__xludf.DUMMYFUNCTION("""COMPUTED_VALUE"""),1346)</f>
        <v>1346</v>
      </c>
      <c r="K93" s="3">
        <f t="shared" si="2"/>
        <v>0</v>
      </c>
      <c r="L93" s="3">
        <f t="shared" si="3"/>
        <v>0</v>
      </c>
      <c r="AF93" s="48">
        <f>'Adani Enterprises'!AF93</f>
        <v>0</v>
      </c>
      <c r="AG93" s="48">
        <f>'Adani Enterprises'!AG93</f>
        <v>0</v>
      </c>
      <c r="AH93" s="48">
        <f>'Adani Enterprises'!AH93</f>
        <v>0</v>
      </c>
      <c r="AI93" s="48">
        <f>'Adani Enterprises'!AI93</f>
        <v>0</v>
      </c>
      <c r="AJ93" s="48">
        <f>'Adani Enterprises'!AJ93</f>
        <v>0</v>
      </c>
      <c r="AK93" s="48">
        <f>'Adani Enterprises'!AK93</f>
        <v>0</v>
      </c>
      <c r="AL93" s="48">
        <f>'Adani Enterprises'!AL93</f>
        <v>0</v>
      </c>
    </row>
    <row r="94" customHeight="1" spans="1:38">
      <c r="A94" s="47">
        <f>IFERROR(__xludf.DUMMYFUNCTION("""COMPUTED_VALUE"""),45875.6458333333)</f>
        <v>45875.6458333333</v>
      </c>
      <c r="B94" s="48">
        <f>IFERROR(__xludf.DUMMYFUNCTION("""COMPUTED_VALUE"""),1367.1)</f>
        <v>1367.1</v>
      </c>
      <c r="C94" s="47">
        <f>IFERROR(__xludf.DUMMYFUNCTION("""COMPUTED_VALUE"""),45875.6458333333)</f>
        <v>45875.6458333333</v>
      </c>
      <c r="D94" s="48">
        <f>IFERROR(__xludf.DUMMYFUNCTION("""COMPUTED_VALUE"""),1374)</f>
        <v>1374</v>
      </c>
      <c r="E94" s="47">
        <f>IFERROR(__xludf.DUMMYFUNCTION("""COMPUTED_VALUE"""),45875.6458333333)</f>
        <v>45875.6458333333</v>
      </c>
      <c r="F94" s="48">
        <f>IFERROR(__xludf.DUMMYFUNCTION("""COMPUTED_VALUE"""),2293293)</f>
        <v>2293293</v>
      </c>
      <c r="G94" s="47">
        <f>IFERROR(__xludf.DUMMYFUNCTION("""COMPUTED_VALUE"""),45875.6458333333)</f>
        <v>45875.6458333333</v>
      </c>
      <c r="H94" s="48">
        <f>IFERROR(__xludf.DUMMYFUNCTION("""COMPUTED_VALUE"""),1386.9)</f>
        <v>1386.9</v>
      </c>
      <c r="I94" s="47">
        <f>IFERROR(__xludf.DUMMYFUNCTION("""COMPUTED_VALUE"""),45875.6458333333)</f>
        <v>45875.6458333333</v>
      </c>
      <c r="J94" s="48">
        <f>IFERROR(__xludf.DUMMYFUNCTION("""COMPUTED_VALUE"""),1358.1)</f>
        <v>1358.1</v>
      </c>
      <c r="K94" s="3">
        <f t="shared" si="2"/>
        <v>0</v>
      </c>
      <c r="L94" s="3">
        <f t="shared" si="3"/>
        <v>0</v>
      </c>
      <c r="AF94" s="48">
        <f>'Adani Enterprises'!AF94</f>
        <v>0</v>
      </c>
      <c r="AG94" s="48">
        <f>'Adani Enterprises'!AG94</f>
        <v>0</v>
      </c>
      <c r="AH94" s="48">
        <f>'Adani Enterprises'!AH94</f>
        <v>0</v>
      </c>
      <c r="AI94" s="48">
        <f>'Adani Enterprises'!AI94</f>
        <v>0</v>
      </c>
      <c r="AJ94" s="48">
        <f>'Adani Enterprises'!AJ94</f>
        <v>0</v>
      </c>
      <c r="AK94" s="48">
        <f>'Adani Enterprises'!AK94</f>
        <v>0</v>
      </c>
      <c r="AL94" s="48">
        <f>'Adani Enterprises'!AL94</f>
        <v>0</v>
      </c>
    </row>
    <row r="95" customHeight="1" spans="1:38">
      <c r="A95" s="47">
        <f>IFERROR(__xludf.DUMMYFUNCTION("""COMPUTED_VALUE"""),45876.6458333333)</f>
        <v>45876.6458333333</v>
      </c>
      <c r="B95" s="48">
        <f>IFERROR(__xludf.DUMMYFUNCTION("""COMPUTED_VALUE"""),1345.4)</f>
        <v>1345.4</v>
      </c>
      <c r="C95" s="47">
        <f>IFERROR(__xludf.DUMMYFUNCTION("""COMPUTED_VALUE"""),45876.6458333333)</f>
        <v>45876.6458333333</v>
      </c>
      <c r="D95" s="48">
        <f>IFERROR(__xludf.DUMMYFUNCTION("""COMPUTED_VALUE"""),1351)</f>
        <v>1351</v>
      </c>
      <c r="E95" s="47">
        <f>IFERROR(__xludf.DUMMYFUNCTION("""COMPUTED_VALUE"""),45876.6458333333)</f>
        <v>45876.6458333333</v>
      </c>
      <c r="F95" s="48">
        <f>IFERROR(__xludf.DUMMYFUNCTION("""COMPUTED_VALUE"""),2857406)</f>
        <v>2857406</v>
      </c>
      <c r="G95" s="47">
        <f>IFERROR(__xludf.DUMMYFUNCTION("""COMPUTED_VALUE"""),45876.6458333333)</f>
        <v>45876.6458333333</v>
      </c>
      <c r="H95" s="48">
        <f>IFERROR(__xludf.DUMMYFUNCTION("""COMPUTED_VALUE"""),1357.9)</f>
        <v>1357.9</v>
      </c>
      <c r="I95" s="47">
        <f>IFERROR(__xludf.DUMMYFUNCTION("""COMPUTED_VALUE"""),45876.6458333333)</f>
        <v>45876.6458333333</v>
      </c>
      <c r="J95" s="48">
        <f>IFERROR(__xludf.DUMMYFUNCTION("""COMPUTED_VALUE"""),1315)</f>
        <v>1315</v>
      </c>
      <c r="K95" s="3">
        <f t="shared" si="2"/>
        <v>0</v>
      </c>
      <c r="L95" s="3">
        <f t="shared" si="3"/>
        <v>0</v>
      </c>
      <c r="AF95" s="48">
        <f>'Adani Enterprises'!AF95</f>
        <v>0</v>
      </c>
      <c r="AG95" s="48">
        <f>'Adani Enterprises'!AG95</f>
        <v>0</v>
      </c>
      <c r="AH95" s="48">
        <f>'Adani Enterprises'!AH95</f>
        <v>0</v>
      </c>
      <c r="AI95" s="48">
        <f>'Adani Enterprises'!AI95</f>
        <v>0</v>
      </c>
      <c r="AJ95" s="48">
        <f>'Adani Enterprises'!AJ95</f>
        <v>0</v>
      </c>
      <c r="AK95" s="48">
        <f>'Adani Enterprises'!AK95</f>
        <v>0</v>
      </c>
      <c r="AL95" s="48">
        <f>'Adani Enterprises'!AL95</f>
        <v>0</v>
      </c>
    </row>
    <row r="96" customHeight="1" spans="1:38">
      <c r="A96" s="47">
        <f>IFERROR(__xludf.DUMMYFUNCTION("""COMPUTED_VALUE"""),45877.6458333333)</f>
        <v>45877.6458333333</v>
      </c>
      <c r="B96" s="48">
        <f>IFERROR(__xludf.DUMMYFUNCTION("""COMPUTED_VALUE"""),1325)</f>
        <v>1325</v>
      </c>
      <c r="C96" s="47">
        <f>IFERROR(__xludf.DUMMYFUNCTION("""COMPUTED_VALUE"""),45877.6458333333)</f>
        <v>45877.6458333333</v>
      </c>
      <c r="D96" s="48">
        <f>IFERROR(__xludf.DUMMYFUNCTION("""COMPUTED_VALUE"""),1345.4)</f>
        <v>1345.4</v>
      </c>
      <c r="E96" s="47">
        <f>IFERROR(__xludf.DUMMYFUNCTION("""COMPUTED_VALUE"""),45877.6458333333)</f>
        <v>45877.6458333333</v>
      </c>
      <c r="F96" s="48">
        <f>IFERROR(__xludf.DUMMYFUNCTION("""COMPUTED_VALUE"""),1561061)</f>
        <v>1561061</v>
      </c>
      <c r="G96" s="47">
        <f>IFERROR(__xludf.DUMMYFUNCTION("""COMPUTED_VALUE"""),45877.6458333333)</f>
        <v>45877.6458333333</v>
      </c>
      <c r="H96" s="48">
        <f>IFERROR(__xludf.DUMMYFUNCTION("""COMPUTED_VALUE"""),1356.9)</f>
        <v>1356.9</v>
      </c>
      <c r="I96" s="47">
        <f>IFERROR(__xludf.DUMMYFUNCTION("""COMPUTED_VALUE"""),45877.6458333333)</f>
        <v>45877.6458333333</v>
      </c>
      <c r="J96" s="48">
        <f>IFERROR(__xludf.DUMMYFUNCTION("""COMPUTED_VALUE"""),1317.7)</f>
        <v>1317.7</v>
      </c>
      <c r="K96" s="3">
        <f t="shared" si="2"/>
        <v>0</v>
      </c>
      <c r="L96" s="3">
        <f t="shared" si="3"/>
        <v>0</v>
      </c>
      <c r="AF96" s="48">
        <f>'Adani Enterprises'!AF96</f>
        <v>0</v>
      </c>
      <c r="AG96" s="48">
        <f>'Adani Enterprises'!AG96</f>
        <v>0</v>
      </c>
      <c r="AH96" s="48">
        <f>'Adani Enterprises'!AH96</f>
        <v>0</v>
      </c>
      <c r="AI96" s="48">
        <f>'Adani Enterprises'!AI96</f>
        <v>0</v>
      </c>
      <c r="AJ96" s="48">
        <f>'Adani Enterprises'!AJ96</f>
        <v>0</v>
      </c>
      <c r="AK96" s="48">
        <f>'Adani Enterprises'!AK96</f>
        <v>0</v>
      </c>
      <c r="AL96" s="48">
        <f>'Adani Enterprises'!AL96</f>
        <v>0</v>
      </c>
    </row>
    <row r="97" customHeight="1" spans="1:38">
      <c r="A97" s="47">
        <f>IFERROR(__xludf.DUMMYFUNCTION("""COMPUTED_VALUE"""),45880.6458333333)</f>
        <v>45880.6458333333</v>
      </c>
      <c r="B97" s="48">
        <f>IFERROR(__xludf.DUMMYFUNCTION("""COMPUTED_VALUE"""),1339.4)</f>
        <v>1339.4</v>
      </c>
      <c r="C97" s="47">
        <f>IFERROR(__xludf.DUMMYFUNCTION("""COMPUTED_VALUE"""),45880.6458333333)</f>
        <v>45880.6458333333</v>
      </c>
      <c r="D97" s="48">
        <f>IFERROR(__xludf.DUMMYFUNCTION("""COMPUTED_VALUE"""),1325)</f>
        <v>1325</v>
      </c>
      <c r="E97" s="47">
        <f>IFERROR(__xludf.DUMMYFUNCTION("""COMPUTED_VALUE"""),45880.6458333333)</f>
        <v>45880.6458333333</v>
      </c>
      <c r="F97" s="48">
        <f>IFERROR(__xludf.DUMMYFUNCTION("""COMPUTED_VALUE"""),2053173)</f>
        <v>2053173</v>
      </c>
      <c r="G97" s="47">
        <f>IFERROR(__xludf.DUMMYFUNCTION("""COMPUTED_VALUE"""),45880.6458333333)</f>
        <v>45880.6458333333</v>
      </c>
      <c r="H97" s="48">
        <f>IFERROR(__xludf.DUMMYFUNCTION("""COMPUTED_VALUE"""),1348.3)</f>
        <v>1348.3</v>
      </c>
      <c r="I97" s="47">
        <f>IFERROR(__xludf.DUMMYFUNCTION("""COMPUTED_VALUE"""),45880.6458333333)</f>
        <v>45880.6458333333</v>
      </c>
      <c r="J97" s="48">
        <f>IFERROR(__xludf.DUMMYFUNCTION("""COMPUTED_VALUE"""),1313.7)</f>
        <v>1313.7</v>
      </c>
      <c r="K97" s="3">
        <f t="shared" si="2"/>
        <v>0</v>
      </c>
      <c r="L97" s="3">
        <f t="shared" si="3"/>
        <v>0</v>
      </c>
      <c r="AF97" s="48">
        <f>'Adani Enterprises'!AF97</f>
        <v>0</v>
      </c>
      <c r="AG97" s="48">
        <f>'Adani Enterprises'!AG97</f>
        <v>0</v>
      </c>
      <c r="AH97" s="48">
        <f>'Adani Enterprises'!AH97</f>
        <v>0</v>
      </c>
      <c r="AI97" s="48">
        <f>'Adani Enterprises'!AI97</f>
        <v>0</v>
      </c>
      <c r="AJ97" s="48">
        <f>'Adani Enterprises'!AJ97</f>
        <v>0</v>
      </c>
      <c r="AK97" s="48">
        <f>'Adani Enterprises'!AK97</f>
        <v>0</v>
      </c>
      <c r="AL97" s="48">
        <f>'Adani Enterprises'!AL97</f>
        <v>0</v>
      </c>
    </row>
    <row r="98" customHeight="1" spans="1:38">
      <c r="A98" s="47">
        <f>IFERROR(__xludf.DUMMYFUNCTION("""COMPUTED_VALUE"""),45881.6458333333)</f>
        <v>45881.6458333333</v>
      </c>
      <c r="B98" s="48">
        <f>IFERROR(__xludf.DUMMYFUNCTION("""COMPUTED_VALUE"""),1330.5)</f>
        <v>1330.5</v>
      </c>
      <c r="C98" s="47">
        <f>IFERROR(__xludf.DUMMYFUNCTION("""COMPUTED_VALUE"""),45881.6458333333)</f>
        <v>45881.6458333333</v>
      </c>
      <c r="D98" s="48">
        <f>IFERROR(__xludf.DUMMYFUNCTION("""COMPUTED_VALUE"""),1342)</f>
        <v>1342</v>
      </c>
      <c r="E98" s="47">
        <f>IFERROR(__xludf.DUMMYFUNCTION("""COMPUTED_VALUE"""),45881.6458333333)</f>
        <v>45881.6458333333</v>
      </c>
      <c r="F98" s="48">
        <f>IFERROR(__xludf.DUMMYFUNCTION("""COMPUTED_VALUE"""),1260241)</f>
        <v>1260241</v>
      </c>
      <c r="G98" s="47">
        <f>IFERROR(__xludf.DUMMYFUNCTION("""COMPUTED_VALUE"""),45881.6458333333)</f>
        <v>45881.6458333333</v>
      </c>
      <c r="H98" s="48">
        <f>IFERROR(__xludf.DUMMYFUNCTION("""COMPUTED_VALUE"""),1349.6)</f>
        <v>1349.6</v>
      </c>
      <c r="I98" s="47">
        <f>IFERROR(__xludf.DUMMYFUNCTION("""COMPUTED_VALUE"""),45881.6458333333)</f>
        <v>45881.6458333333</v>
      </c>
      <c r="J98" s="48">
        <f>IFERROR(__xludf.DUMMYFUNCTION("""COMPUTED_VALUE"""),1328.2)</f>
        <v>1328.2</v>
      </c>
      <c r="K98" s="3">
        <f t="shared" si="2"/>
        <v>0</v>
      </c>
      <c r="L98" s="3">
        <f t="shared" si="3"/>
        <v>0</v>
      </c>
      <c r="AF98" s="48">
        <f>'Adani Enterprises'!AF98</f>
        <v>0</v>
      </c>
      <c r="AG98" s="48">
        <f>'Adani Enterprises'!AG98</f>
        <v>0</v>
      </c>
      <c r="AH98" s="48">
        <f>'Adani Enterprises'!AH98</f>
        <v>0</v>
      </c>
      <c r="AI98" s="48">
        <f>'Adani Enterprises'!AI98</f>
        <v>0</v>
      </c>
      <c r="AJ98" s="48">
        <f>'Adani Enterprises'!AJ98</f>
        <v>0</v>
      </c>
      <c r="AK98" s="48">
        <f>'Adani Enterprises'!AK98</f>
        <v>0</v>
      </c>
      <c r="AL98" s="48">
        <f>'Adani Enterprises'!AL98</f>
        <v>0</v>
      </c>
    </row>
    <row r="99" customHeight="1" spans="1:38">
      <c r="A99" s="47">
        <f>IFERROR(__xludf.DUMMYFUNCTION("""COMPUTED_VALUE"""),45882.6458333333)</f>
        <v>45882.6458333333</v>
      </c>
      <c r="B99" s="48">
        <f>IFERROR(__xludf.DUMMYFUNCTION("""COMPUTED_VALUE"""),1319.6)</f>
        <v>1319.6</v>
      </c>
      <c r="C99" s="47">
        <f>IFERROR(__xludf.DUMMYFUNCTION("""COMPUTED_VALUE"""),45882.6458333333)</f>
        <v>45882.6458333333</v>
      </c>
      <c r="D99" s="48">
        <f>IFERROR(__xludf.DUMMYFUNCTION("""COMPUTED_VALUE"""),1335.2)</f>
        <v>1335.2</v>
      </c>
      <c r="E99" s="47">
        <f>IFERROR(__xludf.DUMMYFUNCTION("""COMPUTED_VALUE"""),45882.6458333333)</f>
        <v>45882.6458333333</v>
      </c>
      <c r="F99" s="48">
        <f>IFERROR(__xludf.DUMMYFUNCTION("""COMPUTED_VALUE"""),1205658)</f>
        <v>1205658</v>
      </c>
      <c r="G99" s="47">
        <f>IFERROR(__xludf.DUMMYFUNCTION("""COMPUTED_VALUE"""),45882.6458333333)</f>
        <v>45882.6458333333</v>
      </c>
      <c r="H99" s="48">
        <f>IFERROR(__xludf.DUMMYFUNCTION("""COMPUTED_VALUE"""),1339.3)</f>
        <v>1339.3</v>
      </c>
      <c r="I99" s="47">
        <f>IFERROR(__xludf.DUMMYFUNCTION("""COMPUTED_VALUE"""),45882.6458333333)</f>
        <v>45882.6458333333</v>
      </c>
      <c r="J99" s="48">
        <f>IFERROR(__xludf.DUMMYFUNCTION("""COMPUTED_VALUE"""),1316.6)</f>
        <v>1316.6</v>
      </c>
      <c r="K99" s="3">
        <f t="shared" si="2"/>
        <v>0</v>
      </c>
      <c r="L99" s="3">
        <f t="shared" si="3"/>
        <v>0</v>
      </c>
      <c r="AF99" s="48">
        <f>'Adani Enterprises'!AF99</f>
        <v>0</v>
      </c>
      <c r="AG99" s="48">
        <f>'Adani Enterprises'!AG99</f>
        <v>0</v>
      </c>
      <c r="AH99" s="48">
        <f>'Adani Enterprises'!AH99</f>
        <v>0</v>
      </c>
      <c r="AI99" s="48">
        <f>'Adani Enterprises'!AI99</f>
        <v>0</v>
      </c>
      <c r="AJ99" s="48">
        <f>'Adani Enterprises'!AJ99</f>
        <v>0</v>
      </c>
      <c r="AK99" s="48">
        <f>'Adani Enterprises'!AK99</f>
        <v>0</v>
      </c>
      <c r="AL99" s="48">
        <f>'Adani Enterprises'!AL99</f>
        <v>0</v>
      </c>
    </row>
    <row r="100" customHeight="1" spans="1:38">
      <c r="A100" s="47">
        <f>IFERROR(__xludf.DUMMYFUNCTION("""COMPUTED_VALUE"""),45883.6458333333)</f>
        <v>45883.6458333333</v>
      </c>
      <c r="B100" s="48">
        <f>IFERROR(__xludf.DUMMYFUNCTION("""COMPUTED_VALUE"""),1300.3)</f>
        <v>1300.3</v>
      </c>
      <c r="C100" s="47">
        <f>IFERROR(__xludf.DUMMYFUNCTION("""COMPUTED_VALUE"""),45883.6458333333)</f>
        <v>45883.6458333333</v>
      </c>
      <c r="D100" s="48">
        <f>IFERROR(__xludf.DUMMYFUNCTION("""COMPUTED_VALUE"""),1324.8)</f>
        <v>1324.8</v>
      </c>
      <c r="E100" s="47">
        <f>IFERROR(__xludf.DUMMYFUNCTION("""COMPUTED_VALUE"""),45883.6458333333)</f>
        <v>45883.6458333333</v>
      </c>
      <c r="F100" s="48">
        <f>IFERROR(__xludf.DUMMYFUNCTION("""COMPUTED_VALUE"""),2298528)</f>
        <v>2298528</v>
      </c>
      <c r="G100" s="47">
        <f>IFERROR(__xludf.DUMMYFUNCTION("""COMPUTED_VALUE"""),45883.6458333333)</f>
        <v>45883.6458333333</v>
      </c>
      <c r="H100" s="48">
        <f>IFERROR(__xludf.DUMMYFUNCTION("""COMPUTED_VALUE"""),1329)</f>
        <v>1329</v>
      </c>
      <c r="I100" s="47">
        <f>IFERROR(__xludf.DUMMYFUNCTION("""COMPUTED_VALUE"""),45883.6458333333)</f>
        <v>45883.6458333333</v>
      </c>
      <c r="J100" s="48">
        <f>IFERROR(__xludf.DUMMYFUNCTION("""COMPUTED_VALUE"""),1290.5)</f>
        <v>1290.5</v>
      </c>
      <c r="K100" s="3">
        <f t="shared" si="2"/>
        <v>0</v>
      </c>
      <c r="L100" s="3">
        <f t="shared" si="3"/>
        <v>1300.3</v>
      </c>
      <c r="AF100" s="48">
        <f>'Adani Enterprises'!AF100</f>
        <v>0</v>
      </c>
      <c r="AG100" s="48">
        <f>'Adani Enterprises'!AG100</f>
        <v>0</v>
      </c>
      <c r="AH100" s="48">
        <f>'Adani Enterprises'!AH100</f>
        <v>0</v>
      </c>
      <c r="AI100" s="48">
        <f>'Adani Enterprises'!AI100</f>
        <v>0</v>
      </c>
      <c r="AJ100" s="48">
        <f>'Adani Enterprises'!AJ100</f>
        <v>0</v>
      </c>
      <c r="AK100" s="48">
        <f>'Adani Enterprises'!AK100</f>
        <v>0</v>
      </c>
      <c r="AL100" s="48">
        <f>'Adani Enterprises'!AL100</f>
        <v>0</v>
      </c>
    </row>
    <row r="101" customHeight="1" spans="1:38">
      <c r="A101" s="47">
        <f>IFERROR(__xludf.DUMMYFUNCTION("""COMPUTED_VALUE"""),45887.6458333333)</f>
        <v>45887.6458333333</v>
      </c>
      <c r="B101" s="48">
        <f>IFERROR(__xludf.DUMMYFUNCTION("""COMPUTED_VALUE"""),1327.2)</f>
        <v>1327.2</v>
      </c>
      <c r="C101" s="47">
        <f>IFERROR(__xludf.DUMMYFUNCTION("""COMPUTED_VALUE"""),45887.6458333333)</f>
        <v>45887.6458333333</v>
      </c>
      <c r="D101" s="48">
        <f>IFERROR(__xludf.DUMMYFUNCTION("""COMPUTED_VALUE"""),1321.9)</f>
        <v>1321.9</v>
      </c>
      <c r="E101" s="47">
        <f>IFERROR(__xludf.DUMMYFUNCTION("""COMPUTED_VALUE"""),45887.6458333333)</f>
        <v>45887.6458333333</v>
      </c>
      <c r="F101" s="48">
        <f>IFERROR(__xludf.DUMMYFUNCTION("""COMPUTED_VALUE"""),10225114)</f>
        <v>10225114</v>
      </c>
      <c r="G101" s="47">
        <f>IFERROR(__xludf.DUMMYFUNCTION("""COMPUTED_VALUE"""),45887.6458333333)</f>
        <v>45887.6458333333</v>
      </c>
      <c r="H101" s="48">
        <f>IFERROR(__xludf.DUMMYFUNCTION("""COMPUTED_VALUE"""),1332)</f>
        <v>1332</v>
      </c>
      <c r="I101" s="47">
        <f>IFERROR(__xludf.DUMMYFUNCTION("""COMPUTED_VALUE"""),45887.6458333333)</f>
        <v>45887.6458333333</v>
      </c>
      <c r="J101" s="48">
        <f>IFERROR(__xludf.DUMMYFUNCTION("""COMPUTED_VALUE"""),1295)</f>
        <v>1295</v>
      </c>
      <c r="K101" s="3">
        <f t="shared" si="2"/>
        <v>0</v>
      </c>
      <c r="L101" s="3">
        <f t="shared" si="3"/>
        <v>0</v>
      </c>
      <c r="AF101" s="48">
        <f>'Adani Enterprises'!AF101</f>
        <v>0</v>
      </c>
      <c r="AG101" s="48">
        <f>'Adani Enterprises'!AG101</f>
        <v>0</v>
      </c>
      <c r="AH101" s="48">
        <f>'Adani Enterprises'!AH101</f>
        <v>0</v>
      </c>
      <c r="AI101" s="48">
        <f>'Adani Enterprises'!AI101</f>
        <v>0</v>
      </c>
      <c r="AJ101" s="48">
        <f>'Adani Enterprises'!AJ101</f>
        <v>0</v>
      </c>
      <c r="AK101" s="48">
        <f>'Adani Enterprises'!AK101</f>
        <v>0</v>
      </c>
      <c r="AL101" s="48">
        <f>'Adani Enterprises'!AL101</f>
        <v>0</v>
      </c>
    </row>
    <row r="102" customHeight="1" spans="1:38">
      <c r="A102" s="47">
        <f>IFERROR(__xludf.DUMMYFUNCTION("""COMPUTED_VALUE"""),45888.6458333333)</f>
        <v>45888.6458333333</v>
      </c>
      <c r="B102" s="48">
        <f>IFERROR(__xludf.DUMMYFUNCTION("""COMPUTED_VALUE"""),1369.4)</f>
        <v>1369.4</v>
      </c>
      <c r="C102" s="47">
        <f>IFERROR(__xludf.DUMMYFUNCTION("""COMPUTED_VALUE"""),45888.6458333333)</f>
        <v>45888.6458333333</v>
      </c>
      <c r="D102" s="48">
        <f>IFERROR(__xludf.DUMMYFUNCTION("""COMPUTED_VALUE"""),1332)</f>
        <v>1332</v>
      </c>
      <c r="E102" s="47">
        <f>IFERROR(__xludf.DUMMYFUNCTION("""COMPUTED_VALUE"""),45888.6458333333)</f>
        <v>45888.6458333333</v>
      </c>
      <c r="F102" s="48">
        <f>IFERROR(__xludf.DUMMYFUNCTION("""COMPUTED_VALUE"""),3150673)</f>
        <v>3150673</v>
      </c>
      <c r="G102" s="47">
        <f>IFERROR(__xludf.DUMMYFUNCTION("""COMPUTED_VALUE"""),45888.6458333333)</f>
        <v>45888.6458333333</v>
      </c>
      <c r="H102" s="48">
        <f>IFERROR(__xludf.DUMMYFUNCTION("""COMPUTED_VALUE"""),1371.7)</f>
        <v>1371.7</v>
      </c>
      <c r="I102" s="47">
        <f>IFERROR(__xludf.DUMMYFUNCTION("""COMPUTED_VALUE"""),45888.6458333333)</f>
        <v>45888.6458333333</v>
      </c>
      <c r="J102" s="48">
        <f>IFERROR(__xludf.DUMMYFUNCTION("""COMPUTED_VALUE"""),1325)</f>
        <v>1325</v>
      </c>
      <c r="K102" s="3">
        <f t="shared" si="2"/>
        <v>0</v>
      </c>
      <c r="L102" s="3">
        <f t="shared" si="3"/>
        <v>0</v>
      </c>
      <c r="AF102" s="48">
        <f>'Adani Enterprises'!AF102</f>
        <v>0</v>
      </c>
      <c r="AG102" s="48">
        <f>'Adani Enterprises'!AG102</f>
        <v>0</v>
      </c>
      <c r="AH102" s="48">
        <f>'Adani Enterprises'!AH102</f>
        <v>0</v>
      </c>
      <c r="AI102" s="48">
        <f>'Adani Enterprises'!AI102</f>
        <v>0</v>
      </c>
      <c r="AJ102" s="48">
        <f>'Adani Enterprises'!AJ102</f>
        <v>0</v>
      </c>
      <c r="AK102" s="48">
        <f>'Adani Enterprises'!AK102</f>
        <v>0</v>
      </c>
      <c r="AL102" s="48">
        <f>'Adani Enterprises'!AL102</f>
        <v>0</v>
      </c>
    </row>
    <row r="103" customHeight="1" spans="1:38">
      <c r="A103" s="47">
        <f>IFERROR(__xludf.DUMMYFUNCTION("""COMPUTED_VALUE"""),45889.6458333333)</f>
        <v>45889.6458333333</v>
      </c>
      <c r="B103" s="48">
        <f>IFERROR(__xludf.DUMMYFUNCTION("""COMPUTED_VALUE"""),1370.6)</f>
        <v>1370.6</v>
      </c>
      <c r="C103" s="47">
        <f>IFERROR(__xludf.DUMMYFUNCTION("""COMPUTED_VALUE"""),45889.6458333333)</f>
        <v>45889.6458333333</v>
      </c>
      <c r="D103" s="48">
        <f>IFERROR(__xludf.DUMMYFUNCTION("""COMPUTED_VALUE"""),1369.4)</f>
        <v>1369.4</v>
      </c>
      <c r="E103" s="47">
        <f>IFERROR(__xludf.DUMMYFUNCTION("""COMPUTED_VALUE"""),45889.6458333333)</f>
        <v>45889.6458333333</v>
      </c>
      <c r="F103" s="48">
        <f>IFERROR(__xludf.DUMMYFUNCTION("""COMPUTED_VALUE"""),1594619)</f>
        <v>1594619</v>
      </c>
      <c r="G103" s="47">
        <f>IFERROR(__xludf.DUMMYFUNCTION("""COMPUTED_VALUE"""),45889.6458333333)</f>
        <v>45889.6458333333</v>
      </c>
      <c r="H103" s="48">
        <f>IFERROR(__xludf.DUMMYFUNCTION("""COMPUTED_VALUE"""),1374.6)</f>
        <v>1374.6</v>
      </c>
      <c r="I103" s="47">
        <f>IFERROR(__xludf.DUMMYFUNCTION("""COMPUTED_VALUE"""),45889.6458333333)</f>
        <v>45889.6458333333</v>
      </c>
      <c r="J103" s="48">
        <f>IFERROR(__xludf.DUMMYFUNCTION("""COMPUTED_VALUE"""),1358)</f>
        <v>1358</v>
      </c>
      <c r="K103" s="3">
        <f t="shared" si="2"/>
        <v>1370.6</v>
      </c>
      <c r="L103" s="3">
        <f t="shared" si="3"/>
        <v>0</v>
      </c>
      <c r="AF103" s="48">
        <f>'Adani Enterprises'!AF103</f>
        <v>0</v>
      </c>
      <c r="AG103" s="48">
        <f>'Adani Enterprises'!AG103</f>
        <v>0</v>
      </c>
      <c r="AH103" s="48">
        <f>'Adani Enterprises'!AH103</f>
        <v>0</v>
      </c>
      <c r="AI103" s="48">
        <f>'Adani Enterprises'!AI103</f>
        <v>0</v>
      </c>
      <c r="AJ103" s="48">
        <f>'Adani Enterprises'!AJ103</f>
        <v>0</v>
      </c>
      <c r="AK103" s="48">
        <f>'Adani Enterprises'!AK103</f>
        <v>0</v>
      </c>
      <c r="AL103" s="48">
        <f>'Adani Enterprises'!AL103</f>
        <v>0</v>
      </c>
    </row>
    <row r="104" customHeight="1" spans="1:38">
      <c r="A104" s="47">
        <f>IFERROR(__xludf.DUMMYFUNCTION("""COMPUTED_VALUE"""),45890.6458333333)</f>
        <v>45890.6458333333</v>
      </c>
      <c r="B104" s="48">
        <f>IFERROR(__xludf.DUMMYFUNCTION("""COMPUTED_VALUE"""),1361.8)</f>
        <v>1361.8</v>
      </c>
      <c r="C104" s="47">
        <f>IFERROR(__xludf.DUMMYFUNCTION("""COMPUTED_VALUE"""),45890.6458333333)</f>
        <v>45890.6458333333</v>
      </c>
      <c r="D104" s="48">
        <f>IFERROR(__xludf.DUMMYFUNCTION("""COMPUTED_VALUE"""),1371.1)</f>
        <v>1371.1</v>
      </c>
      <c r="E104" s="47">
        <f>IFERROR(__xludf.DUMMYFUNCTION("""COMPUTED_VALUE"""),45890.6458333333)</f>
        <v>45890.6458333333</v>
      </c>
      <c r="F104" s="48">
        <f>IFERROR(__xludf.DUMMYFUNCTION("""COMPUTED_VALUE"""),1227167)</f>
        <v>1227167</v>
      </c>
      <c r="G104" s="47">
        <f>IFERROR(__xludf.DUMMYFUNCTION("""COMPUTED_VALUE"""),45890.6458333333)</f>
        <v>45890.6458333333</v>
      </c>
      <c r="H104" s="48">
        <f>IFERROR(__xludf.DUMMYFUNCTION("""COMPUTED_VALUE"""),1377.8)</f>
        <v>1377.8</v>
      </c>
      <c r="I104" s="47">
        <f>IFERROR(__xludf.DUMMYFUNCTION("""COMPUTED_VALUE"""),45890.6458333333)</f>
        <v>45890.6458333333</v>
      </c>
      <c r="J104" s="48">
        <f>IFERROR(__xludf.DUMMYFUNCTION("""COMPUTED_VALUE"""),1355.3)</f>
        <v>1355.3</v>
      </c>
      <c r="K104" s="3">
        <f t="shared" si="2"/>
        <v>0</v>
      </c>
      <c r="L104" s="3">
        <f t="shared" si="3"/>
        <v>0</v>
      </c>
      <c r="AF104" s="48">
        <f>'Adani Enterprises'!AF104</f>
        <v>0</v>
      </c>
      <c r="AG104" s="48">
        <f>'Adani Enterprises'!AG104</f>
        <v>0</v>
      </c>
      <c r="AH104" s="48">
        <f>'Adani Enterprises'!AH104</f>
        <v>0</v>
      </c>
      <c r="AI104" s="48">
        <f>'Adani Enterprises'!AI104</f>
        <v>0</v>
      </c>
      <c r="AJ104" s="48">
        <f>'Adani Enterprises'!AJ104</f>
        <v>0</v>
      </c>
      <c r="AK104" s="48">
        <f>'Adani Enterprises'!AK104</f>
        <v>0</v>
      </c>
      <c r="AL104" s="48">
        <f>'Adani Enterprises'!AL104</f>
        <v>0</v>
      </c>
    </row>
    <row r="105" customHeight="1" spans="1:38">
      <c r="A105" s="47">
        <f>IFERROR(__xludf.DUMMYFUNCTION("""COMPUTED_VALUE"""),45891.6458333333)</f>
        <v>45891.6458333333</v>
      </c>
      <c r="B105" s="48">
        <f>IFERROR(__xludf.DUMMYFUNCTION("""COMPUTED_VALUE"""),1341.2)</f>
        <v>1341.2</v>
      </c>
      <c r="C105" s="47">
        <f>IFERROR(__xludf.DUMMYFUNCTION("""COMPUTED_VALUE"""),45891.6458333333)</f>
        <v>45891.6458333333</v>
      </c>
      <c r="D105" s="48">
        <f>IFERROR(__xludf.DUMMYFUNCTION("""COMPUTED_VALUE"""),1364)</f>
        <v>1364</v>
      </c>
      <c r="E105" s="47">
        <f>IFERROR(__xludf.DUMMYFUNCTION("""COMPUTED_VALUE"""),45891.6458333333)</f>
        <v>45891.6458333333</v>
      </c>
      <c r="F105" s="48">
        <f>IFERROR(__xludf.DUMMYFUNCTION("""COMPUTED_VALUE"""),1210284)</f>
        <v>1210284</v>
      </c>
      <c r="G105" s="47">
        <f>IFERROR(__xludf.DUMMYFUNCTION("""COMPUTED_VALUE"""),45891.6458333333)</f>
        <v>45891.6458333333</v>
      </c>
      <c r="H105" s="48">
        <f>IFERROR(__xludf.DUMMYFUNCTION("""COMPUTED_VALUE"""),1364)</f>
        <v>1364</v>
      </c>
      <c r="I105" s="47">
        <f>IFERROR(__xludf.DUMMYFUNCTION("""COMPUTED_VALUE"""),45891.6458333333)</f>
        <v>45891.6458333333</v>
      </c>
      <c r="J105" s="48">
        <f>IFERROR(__xludf.DUMMYFUNCTION("""COMPUTED_VALUE"""),1338.2)</f>
        <v>1338.2</v>
      </c>
      <c r="K105" s="3">
        <f t="shared" si="2"/>
        <v>0</v>
      </c>
      <c r="L105" s="3">
        <f t="shared" si="3"/>
        <v>0</v>
      </c>
      <c r="AF105" s="48">
        <f>'Adani Enterprises'!AF105</f>
        <v>0</v>
      </c>
      <c r="AG105" s="48">
        <f>'Adani Enterprises'!AG105</f>
        <v>0</v>
      </c>
      <c r="AH105" s="48">
        <f>'Adani Enterprises'!AH105</f>
        <v>0</v>
      </c>
      <c r="AI105" s="48">
        <f>'Adani Enterprises'!AI105</f>
        <v>0</v>
      </c>
      <c r="AJ105" s="48">
        <f>'Adani Enterprises'!AJ105</f>
        <v>0</v>
      </c>
      <c r="AK105" s="48">
        <f>'Adani Enterprises'!AK105</f>
        <v>0</v>
      </c>
      <c r="AL105" s="48">
        <f>'Adani Enterprises'!AL105</f>
        <v>0</v>
      </c>
    </row>
    <row r="106" customHeight="1" spans="1:38">
      <c r="A106" s="47">
        <f>IFERROR(__xludf.DUMMYFUNCTION("""COMPUTED_VALUE"""),45894.6458333333)</f>
        <v>45894.6458333333</v>
      </c>
      <c r="B106" s="48">
        <f>IFERROR(__xludf.DUMMYFUNCTION("""COMPUTED_VALUE"""),1340.4)</f>
        <v>1340.4</v>
      </c>
      <c r="C106" s="47">
        <f>IFERROR(__xludf.DUMMYFUNCTION("""COMPUTED_VALUE"""),45894.6458333333)</f>
        <v>45894.6458333333</v>
      </c>
      <c r="D106" s="48">
        <f>IFERROR(__xludf.DUMMYFUNCTION("""COMPUTED_VALUE"""),1341.3)</f>
        <v>1341.3</v>
      </c>
      <c r="E106" s="47">
        <f>IFERROR(__xludf.DUMMYFUNCTION("""COMPUTED_VALUE"""),45894.6458333333)</f>
        <v>45894.6458333333</v>
      </c>
      <c r="F106" s="48">
        <f>IFERROR(__xludf.DUMMYFUNCTION("""COMPUTED_VALUE"""),1214246)</f>
        <v>1214246</v>
      </c>
      <c r="G106" s="47">
        <f>IFERROR(__xludf.DUMMYFUNCTION("""COMPUTED_VALUE"""),45894.6458333333)</f>
        <v>45894.6458333333</v>
      </c>
      <c r="H106" s="48">
        <f>IFERROR(__xludf.DUMMYFUNCTION("""COMPUTED_VALUE"""),1348.9)</f>
        <v>1348.9</v>
      </c>
      <c r="I106" s="47">
        <f>IFERROR(__xludf.DUMMYFUNCTION("""COMPUTED_VALUE"""),45894.6458333333)</f>
        <v>45894.6458333333</v>
      </c>
      <c r="J106" s="48">
        <f>IFERROR(__xludf.DUMMYFUNCTION("""COMPUTED_VALUE"""),1332.5)</f>
        <v>1332.5</v>
      </c>
      <c r="K106" s="3">
        <f t="shared" si="2"/>
        <v>0</v>
      </c>
      <c r="L106" s="3">
        <f t="shared" si="3"/>
        <v>0</v>
      </c>
      <c r="AF106" s="48">
        <f>'Adani Enterprises'!AF106</f>
        <v>0</v>
      </c>
      <c r="AG106" s="48">
        <f>'Adani Enterprises'!AG106</f>
        <v>0</v>
      </c>
      <c r="AH106" s="48">
        <f>'Adani Enterprises'!AH106</f>
        <v>0</v>
      </c>
      <c r="AI106" s="48">
        <f>'Adani Enterprises'!AI106</f>
        <v>0</v>
      </c>
      <c r="AJ106" s="48">
        <f>'Adani Enterprises'!AJ106</f>
        <v>0</v>
      </c>
      <c r="AK106" s="48">
        <f>'Adani Enterprises'!AK106</f>
        <v>0</v>
      </c>
      <c r="AL106" s="48">
        <f>'Adani Enterprises'!AL106</f>
        <v>0</v>
      </c>
    </row>
    <row r="107" customHeight="1" spans="1:38">
      <c r="A107" s="47">
        <f>IFERROR(__xludf.DUMMYFUNCTION("""COMPUTED_VALUE"""),45895.6458333333)</f>
        <v>45895.6458333333</v>
      </c>
      <c r="B107" s="48">
        <f>IFERROR(__xludf.DUMMYFUNCTION("""COMPUTED_VALUE"""),1315.4)</f>
        <v>1315.4</v>
      </c>
      <c r="C107" s="47">
        <f>IFERROR(__xludf.DUMMYFUNCTION("""COMPUTED_VALUE"""),45895.6458333333)</f>
        <v>45895.6458333333</v>
      </c>
      <c r="D107" s="48">
        <f>IFERROR(__xludf.DUMMYFUNCTION("""COMPUTED_VALUE"""),1335.2)</f>
        <v>1335.2</v>
      </c>
      <c r="E107" s="47">
        <f>IFERROR(__xludf.DUMMYFUNCTION("""COMPUTED_VALUE"""),45895.6458333333)</f>
        <v>45895.6458333333</v>
      </c>
      <c r="F107" s="48">
        <f>IFERROR(__xludf.DUMMYFUNCTION("""COMPUTED_VALUE"""),1652272)</f>
        <v>1652272</v>
      </c>
      <c r="G107" s="47">
        <f>IFERROR(__xludf.DUMMYFUNCTION("""COMPUTED_VALUE"""),45895.6458333333)</f>
        <v>45895.6458333333</v>
      </c>
      <c r="H107" s="48">
        <f>IFERROR(__xludf.DUMMYFUNCTION("""COMPUTED_VALUE"""),1339.9)</f>
        <v>1339.9</v>
      </c>
      <c r="I107" s="47">
        <f>IFERROR(__xludf.DUMMYFUNCTION("""COMPUTED_VALUE"""),45895.6458333333)</f>
        <v>45895.6458333333</v>
      </c>
      <c r="J107" s="48">
        <f>IFERROR(__xludf.DUMMYFUNCTION("""COMPUTED_VALUE"""),1310)</f>
        <v>1310</v>
      </c>
      <c r="K107" s="3">
        <f t="shared" si="2"/>
        <v>0</v>
      </c>
      <c r="L107" s="3">
        <f t="shared" si="3"/>
        <v>0</v>
      </c>
      <c r="AF107" s="48">
        <f>'Adani Enterprises'!AF107</f>
        <v>0</v>
      </c>
      <c r="AG107" s="48">
        <f>'Adani Enterprises'!AG107</f>
        <v>0</v>
      </c>
      <c r="AH107" s="48">
        <f>'Adani Enterprises'!AH107</f>
        <v>0</v>
      </c>
      <c r="AI107" s="48">
        <f>'Adani Enterprises'!AI107</f>
        <v>0</v>
      </c>
      <c r="AJ107" s="48">
        <f>'Adani Enterprises'!AJ107</f>
        <v>0</v>
      </c>
      <c r="AK107" s="48">
        <f>'Adani Enterprises'!AK107</f>
        <v>0</v>
      </c>
      <c r="AL107" s="48">
        <f>'Adani Enterprises'!AL107</f>
        <v>0</v>
      </c>
    </row>
    <row r="108" customHeight="1" spans="1:38">
      <c r="A108" s="47">
        <f>IFERROR(__xludf.DUMMYFUNCTION("""COMPUTED_VALUE"""),45897.6458333333)</f>
        <v>45897.6458333333</v>
      </c>
      <c r="B108" s="48">
        <f>IFERROR(__xludf.DUMMYFUNCTION("""COMPUTED_VALUE"""),1315.4)</f>
        <v>1315.4</v>
      </c>
      <c r="C108" s="47">
        <f>IFERROR(__xludf.DUMMYFUNCTION("""COMPUTED_VALUE"""),45897.6458333333)</f>
        <v>45897.6458333333</v>
      </c>
      <c r="D108" s="48">
        <f>IFERROR(__xludf.DUMMYFUNCTION("""COMPUTED_VALUE"""),1316.9)</f>
        <v>1316.9</v>
      </c>
      <c r="E108" s="47">
        <f>IFERROR(__xludf.DUMMYFUNCTION("""COMPUTED_VALUE"""),45897.6458333333)</f>
        <v>45897.6458333333</v>
      </c>
      <c r="F108" s="48">
        <f>IFERROR(__xludf.DUMMYFUNCTION("""COMPUTED_VALUE"""),1785681)</f>
        <v>1785681</v>
      </c>
      <c r="G108" s="47">
        <f>IFERROR(__xludf.DUMMYFUNCTION("""COMPUTED_VALUE"""),45897.6458333333)</f>
        <v>45897.6458333333</v>
      </c>
      <c r="H108" s="48">
        <f>IFERROR(__xludf.DUMMYFUNCTION("""COMPUTED_VALUE"""),1338.8)</f>
        <v>1338.8</v>
      </c>
      <c r="I108" s="47">
        <f>IFERROR(__xludf.DUMMYFUNCTION("""COMPUTED_VALUE"""),45897.6458333333)</f>
        <v>45897.6458333333</v>
      </c>
      <c r="J108" s="48">
        <f>IFERROR(__xludf.DUMMYFUNCTION("""COMPUTED_VALUE"""),1311.2)</f>
        <v>1311.2</v>
      </c>
      <c r="K108" s="3">
        <f t="shared" si="2"/>
        <v>0</v>
      </c>
      <c r="L108" s="3">
        <f t="shared" si="3"/>
        <v>0</v>
      </c>
      <c r="AF108" s="48">
        <f>'Adani Enterprises'!AF108</f>
        <v>0</v>
      </c>
      <c r="AG108" s="48">
        <f>'Adani Enterprises'!AG108</f>
        <v>0</v>
      </c>
      <c r="AH108" s="48">
        <f>'Adani Enterprises'!AH108</f>
        <v>0</v>
      </c>
      <c r="AI108" s="48">
        <f>'Adani Enterprises'!AI108</f>
        <v>0</v>
      </c>
      <c r="AJ108" s="48">
        <f>'Adani Enterprises'!AJ108</f>
        <v>0</v>
      </c>
      <c r="AK108" s="48">
        <f>'Adani Enterprises'!AK108</f>
        <v>0</v>
      </c>
      <c r="AL108" s="48">
        <f>'Adani Enterprises'!AL108</f>
        <v>0</v>
      </c>
    </row>
    <row r="109" customHeight="1" spans="1:38">
      <c r="A109" s="47">
        <f>IFERROR(__xludf.DUMMYFUNCTION("""COMPUTED_VALUE"""),45898.6458333333)</f>
        <v>45898.6458333333</v>
      </c>
      <c r="B109" s="48">
        <f>IFERROR(__xludf.DUMMYFUNCTION("""COMPUTED_VALUE"""),1312.8)</f>
        <v>1312.8</v>
      </c>
      <c r="C109" s="47">
        <f>IFERROR(__xludf.DUMMYFUNCTION("""COMPUTED_VALUE"""),45898.6458333333)</f>
        <v>45898.6458333333</v>
      </c>
      <c r="D109" s="48">
        <f>IFERROR(__xludf.DUMMYFUNCTION("""COMPUTED_VALUE"""),1318)</f>
        <v>1318</v>
      </c>
      <c r="E109" s="47">
        <f>IFERROR(__xludf.DUMMYFUNCTION("""COMPUTED_VALUE"""),45898.6458333333)</f>
        <v>45898.6458333333</v>
      </c>
      <c r="F109" s="48">
        <f>IFERROR(__xludf.DUMMYFUNCTION("""COMPUTED_VALUE"""),1592903)</f>
        <v>1592903</v>
      </c>
      <c r="G109" s="47">
        <f>IFERROR(__xludf.DUMMYFUNCTION("""COMPUTED_VALUE"""),45898.6458333333)</f>
        <v>45898.6458333333</v>
      </c>
      <c r="H109" s="48">
        <f>IFERROR(__xludf.DUMMYFUNCTION("""COMPUTED_VALUE"""),1322.9)</f>
        <v>1322.9</v>
      </c>
      <c r="I109" s="47">
        <f>IFERROR(__xludf.DUMMYFUNCTION("""COMPUTED_VALUE"""),45898.6458333333)</f>
        <v>45898.6458333333</v>
      </c>
      <c r="J109" s="48">
        <f>IFERROR(__xludf.DUMMYFUNCTION("""COMPUTED_VALUE"""),1303)</f>
        <v>1303</v>
      </c>
      <c r="K109" s="3">
        <f t="shared" si="2"/>
        <v>0</v>
      </c>
      <c r="L109" s="3">
        <f t="shared" si="3"/>
        <v>1312.8</v>
      </c>
      <c r="AF109" s="48">
        <f>'Adani Enterprises'!AF109</f>
        <v>0</v>
      </c>
      <c r="AG109" s="48">
        <f>'Adani Enterprises'!AG109</f>
        <v>0</v>
      </c>
      <c r="AH109" s="48">
        <f>'Adani Enterprises'!AH109</f>
        <v>0</v>
      </c>
      <c r="AI109" s="48">
        <f>'Adani Enterprises'!AI109</f>
        <v>0</v>
      </c>
      <c r="AJ109" s="48">
        <f>'Adani Enterprises'!AJ109</f>
        <v>0</v>
      </c>
      <c r="AK109" s="48">
        <f>'Adani Enterprises'!AK109</f>
        <v>0</v>
      </c>
      <c r="AL109" s="48">
        <f>'Adani Enterprises'!AL109</f>
        <v>0</v>
      </c>
    </row>
    <row r="110" customHeight="1" spans="1:38">
      <c r="A110" s="47">
        <f>IFERROR(__xludf.DUMMYFUNCTION("""COMPUTED_VALUE"""),45901.6458333333)</f>
        <v>45901.6458333333</v>
      </c>
      <c r="B110" s="48">
        <f>IFERROR(__xludf.DUMMYFUNCTION("""COMPUTED_VALUE"""),1335.3)</f>
        <v>1335.3</v>
      </c>
      <c r="C110" s="47">
        <f>IFERROR(__xludf.DUMMYFUNCTION("""COMPUTED_VALUE"""),45901.6458333333)</f>
        <v>45901.6458333333</v>
      </c>
      <c r="D110" s="48">
        <f>IFERROR(__xludf.DUMMYFUNCTION("""COMPUTED_VALUE"""),1318.3)</f>
        <v>1318.3</v>
      </c>
      <c r="E110" s="47">
        <f>IFERROR(__xludf.DUMMYFUNCTION("""COMPUTED_VALUE"""),45901.6458333333)</f>
        <v>45901.6458333333</v>
      </c>
      <c r="F110" s="48">
        <f>IFERROR(__xludf.DUMMYFUNCTION("""COMPUTED_VALUE"""),983914)</f>
        <v>983914</v>
      </c>
      <c r="G110" s="47">
        <f>IFERROR(__xludf.DUMMYFUNCTION("""COMPUTED_VALUE"""),45901.6458333333)</f>
        <v>45901.6458333333</v>
      </c>
      <c r="H110" s="48">
        <f>IFERROR(__xludf.DUMMYFUNCTION("""COMPUTED_VALUE"""),1338.5)</f>
        <v>1338.5</v>
      </c>
      <c r="I110" s="47">
        <f>IFERROR(__xludf.DUMMYFUNCTION("""COMPUTED_VALUE"""),45901.6458333333)</f>
        <v>45901.6458333333</v>
      </c>
      <c r="J110" s="48">
        <f>IFERROR(__xludf.DUMMYFUNCTION("""COMPUTED_VALUE"""),1316.1)</f>
        <v>1316.1</v>
      </c>
      <c r="K110" s="3">
        <f t="shared" si="2"/>
        <v>0</v>
      </c>
      <c r="L110" s="3">
        <f t="shared" si="3"/>
        <v>0</v>
      </c>
      <c r="AF110" s="48">
        <f>'Adani Enterprises'!AF110</f>
        <v>0</v>
      </c>
      <c r="AG110" s="48">
        <f>'Adani Enterprises'!AG110</f>
        <v>0</v>
      </c>
      <c r="AH110" s="48">
        <f>'Adani Enterprises'!AH110</f>
        <v>0</v>
      </c>
      <c r="AI110" s="48">
        <f>'Adani Enterprises'!AI110</f>
        <v>0</v>
      </c>
      <c r="AJ110" s="48">
        <f>'Adani Enterprises'!AJ110</f>
        <v>0</v>
      </c>
      <c r="AK110" s="48">
        <f>'Adani Enterprises'!AK110</f>
        <v>0</v>
      </c>
      <c r="AL110" s="48">
        <f>'Adani Enterprises'!AL110</f>
        <v>0</v>
      </c>
    </row>
    <row r="111" customHeight="1" spans="1:38">
      <c r="A111" s="47">
        <f>IFERROR(__xludf.DUMMYFUNCTION("""COMPUTED_VALUE"""),45902.6458333333)</f>
        <v>45902.6458333333</v>
      </c>
      <c r="B111" s="48">
        <f>IFERROR(__xludf.DUMMYFUNCTION("""COMPUTED_VALUE"""),1336.2)</f>
        <v>1336.2</v>
      </c>
      <c r="C111" s="47">
        <f>IFERROR(__xludf.DUMMYFUNCTION("""COMPUTED_VALUE"""),45902.6458333333)</f>
        <v>45902.6458333333</v>
      </c>
      <c r="D111" s="48">
        <f>IFERROR(__xludf.DUMMYFUNCTION("""COMPUTED_VALUE"""),1340.9)</f>
        <v>1340.9</v>
      </c>
      <c r="E111" s="47">
        <f>IFERROR(__xludf.DUMMYFUNCTION("""COMPUTED_VALUE"""),45902.6458333333)</f>
        <v>45902.6458333333</v>
      </c>
      <c r="F111" s="48">
        <f>IFERROR(__xludf.DUMMYFUNCTION("""COMPUTED_VALUE"""),1495993)</f>
        <v>1495993</v>
      </c>
      <c r="G111" s="47">
        <f>IFERROR(__xludf.DUMMYFUNCTION("""COMPUTED_VALUE"""),45902.6458333333)</f>
        <v>45902.6458333333</v>
      </c>
      <c r="H111" s="48">
        <f>IFERROR(__xludf.DUMMYFUNCTION("""COMPUTED_VALUE"""),1348.8)</f>
        <v>1348.8</v>
      </c>
      <c r="I111" s="47">
        <f>IFERROR(__xludf.DUMMYFUNCTION("""COMPUTED_VALUE"""),45902.6458333333)</f>
        <v>45902.6458333333</v>
      </c>
      <c r="J111" s="48">
        <f>IFERROR(__xludf.DUMMYFUNCTION("""COMPUTED_VALUE"""),1328.2)</f>
        <v>1328.2</v>
      </c>
      <c r="K111" s="3">
        <f t="shared" si="2"/>
        <v>0</v>
      </c>
      <c r="L111" s="3">
        <f t="shared" si="3"/>
        <v>0</v>
      </c>
      <c r="AF111" s="48">
        <f>'Adani Enterprises'!AF111</f>
        <v>0</v>
      </c>
      <c r="AG111" s="48">
        <f>'Adani Enterprises'!AG111</f>
        <v>0</v>
      </c>
      <c r="AH111" s="48">
        <f>'Adani Enterprises'!AH111</f>
        <v>0</v>
      </c>
      <c r="AI111" s="48">
        <f>'Adani Enterprises'!AI111</f>
        <v>0</v>
      </c>
      <c r="AJ111" s="48">
        <f>'Adani Enterprises'!AJ111</f>
        <v>0</v>
      </c>
      <c r="AK111" s="48">
        <f>'Adani Enterprises'!AK111</f>
        <v>0</v>
      </c>
      <c r="AL111" s="48">
        <f>'Adani Enterprises'!AL111</f>
        <v>0</v>
      </c>
    </row>
    <row r="112" customHeight="1" spans="1:38">
      <c r="A112" s="47">
        <f>IFERROR(__xludf.DUMMYFUNCTION("""COMPUTED_VALUE"""),45903.6458333333)</f>
        <v>45903.6458333333</v>
      </c>
      <c r="B112" s="48">
        <f>IFERROR(__xludf.DUMMYFUNCTION("""COMPUTED_VALUE"""),1332.4)</f>
        <v>1332.4</v>
      </c>
      <c r="C112" s="47">
        <f>IFERROR(__xludf.DUMMYFUNCTION("""COMPUTED_VALUE"""),45903.6458333333)</f>
        <v>45903.6458333333</v>
      </c>
      <c r="D112" s="48">
        <f>IFERROR(__xludf.DUMMYFUNCTION("""COMPUTED_VALUE"""),1338)</f>
        <v>1338</v>
      </c>
      <c r="E112" s="47">
        <f>IFERROR(__xludf.DUMMYFUNCTION("""COMPUTED_VALUE"""),45903.6458333333)</f>
        <v>45903.6458333333</v>
      </c>
      <c r="F112" s="48">
        <f>IFERROR(__xludf.DUMMYFUNCTION("""COMPUTED_VALUE"""),1774676)</f>
        <v>1774676</v>
      </c>
      <c r="G112" s="47">
        <f>IFERROR(__xludf.DUMMYFUNCTION("""COMPUTED_VALUE"""),45903.6458333333)</f>
        <v>45903.6458333333</v>
      </c>
      <c r="H112" s="48">
        <f>IFERROR(__xludf.DUMMYFUNCTION("""COMPUTED_VALUE"""),1344.8)</f>
        <v>1344.8</v>
      </c>
      <c r="I112" s="47">
        <f>IFERROR(__xludf.DUMMYFUNCTION("""COMPUTED_VALUE"""),45903.6458333333)</f>
        <v>45903.6458333333</v>
      </c>
      <c r="J112" s="48">
        <f>IFERROR(__xludf.DUMMYFUNCTION("""COMPUTED_VALUE"""),1327.6)</f>
        <v>1327.6</v>
      </c>
      <c r="K112" s="3">
        <f t="shared" si="2"/>
        <v>0</v>
      </c>
      <c r="L112" s="3">
        <f t="shared" si="3"/>
        <v>0</v>
      </c>
      <c r="AF112" s="48">
        <f>'Adani Enterprises'!AF112</f>
        <v>0</v>
      </c>
      <c r="AG112" s="48">
        <f>'Adani Enterprises'!AG112</f>
        <v>0</v>
      </c>
      <c r="AH112" s="48">
        <f>'Adani Enterprises'!AH112</f>
        <v>0</v>
      </c>
      <c r="AI112" s="48">
        <f>'Adani Enterprises'!AI112</f>
        <v>0</v>
      </c>
      <c r="AJ112" s="48">
        <f>'Adani Enterprises'!AJ112</f>
        <v>0</v>
      </c>
      <c r="AK112" s="48">
        <f>'Adani Enterprises'!AK112</f>
        <v>0</v>
      </c>
      <c r="AL112" s="48">
        <f>'Adani Enterprises'!AL112</f>
        <v>0</v>
      </c>
    </row>
    <row r="113" customHeight="1" spans="1:38">
      <c r="A113" s="47">
        <f>IFERROR(__xludf.DUMMYFUNCTION("""COMPUTED_VALUE"""),45904.6458333333)</f>
        <v>45904.6458333333</v>
      </c>
      <c r="B113" s="48">
        <f>IFERROR(__xludf.DUMMYFUNCTION("""COMPUTED_VALUE"""),1328.2)</f>
        <v>1328.2</v>
      </c>
      <c r="C113" s="47">
        <f>IFERROR(__xludf.DUMMYFUNCTION("""COMPUTED_VALUE"""),45904.6458333333)</f>
        <v>45904.6458333333</v>
      </c>
      <c r="D113" s="48">
        <f>IFERROR(__xludf.DUMMYFUNCTION("""COMPUTED_VALUE"""),1338)</f>
        <v>1338</v>
      </c>
      <c r="E113" s="47">
        <f>IFERROR(__xludf.DUMMYFUNCTION("""COMPUTED_VALUE"""),45904.6458333333)</f>
        <v>45904.6458333333</v>
      </c>
      <c r="F113" s="48">
        <f>IFERROR(__xludf.DUMMYFUNCTION("""COMPUTED_VALUE"""),1350147)</f>
        <v>1350147</v>
      </c>
      <c r="G113" s="47">
        <f>IFERROR(__xludf.DUMMYFUNCTION("""COMPUTED_VALUE"""),45904.6458333333)</f>
        <v>45904.6458333333</v>
      </c>
      <c r="H113" s="48">
        <f>IFERROR(__xludf.DUMMYFUNCTION("""COMPUTED_VALUE"""),1348)</f>
        <v>1348</v>
      </c>
      <c r="I113" s="47">
        <f>IFERROR(__xludf.DUMMYFUNCTION("""COMPUTED_VALUE"""),45904.6458333333)</f>
        <v>45904.6458333333</v>
      </c>
      <c r="J113" s="48">
        <f>IFERROR(__xludf.DUMMYFUNCTION("""COMPUTED_VALUE"""),1326)</f>
        <v>1326</v>
      </c>
      <c r="K113" s="3">
        <f t="shared" si="2"/>
        <v>0</v>
      </c>
      <c r="L113" s="3">
        <f t="shared" si="3"/>
        <v>0</v>
      </c>
      <c r="AF113" s="48">
        <f>'Adani Enterprises'!AF113</f>
        <v>0</v>
      </c>
      <c r="AG113" s="48">
        <f>'Adani Enterprises'!AG113</f>
        <v>0</v>
      </c>
      <c r="AH113" s="48">
        <f>'Adani Enterprises'!AH113</f>
        <v>0</v>
      </c>
      <c r="AI113" s="48">
        <f>'Adani Enterprises'!AI113</f>
        <v>0</v>
      </c>
      <c r="AJ113" s="48">
        <f>'Adani Enterprises'!AJ113</f>
        <v>0</v>
      </c>
      <c r="AK113" s="48">
        <f>'Adani Enterprises'!AK113</f>
        <v>0</v>
      </c>
      <c r="AL113" s="48">
        <f>'Adani Enterprises'!AL113</f>
        <v>0</v>
      </c>
    </row>
    <row r="114" customHeight="1" spans="1:38">
      <c r="A114" s="47">
        <f>IFERROR(__xludf.DUMMYFUNCTION("""COMPUTED_VALUE"""),45905.6458333333)</f>
        <v>45905.6458333333</v>
      </c>
      <c r="B114" s="48">
        <f>IFERROR(__xludf.DUMMYFUNCTION("""COMPUTED_VALUE"""),1321.8)</f>
        <v>1321.8</v>
      </c>
      <c r="C114" s="47">
        <f>IFERROR(__xludf.DUMMYFUNCTION("""COMPUTED_VALUE"""),45905.6458333333)</f>
        <v>45905.6458333333</v>
      </c>
      <c r="D114" s="48">
        <f>IFERROR(__xludf.DUMMYFUNCTION("""COMPUTED_VALUE"""),1330)</f>
        <v>1330</v>
      </c>
      <c r="E114" s="47">
        <f>IFERROR(__xludf.DUMMYFUNCTION("""COMPUTED_VALUE"""),45905.6458333333)</f>
        <v>45905.6458333333</v>
      </c>
      <c r="F114" s="48">
        <f>IFERROR(__xludf.DUMMYFUNCTION("""COMPUTED_VALUE"""),1135666)</f>
        <v>1135666</v>
      </c>
      <c r="G114" s="47">
        <f>IFERROR(__xludf.DUMMYFUNCTION("""COMPUTED_VALUE"""),45905.6458333333)</f>
        <v>45905.6458333333</v>
      </c>
      <c r="H114" s="48">
        <f>IFERROR(__xludf.DUMMYFUNCTION("""COMPUTED_VALUE"""),1335.7)</f>
        <v>1335.7</v>
      </c>
      <c r="I114" s="47">
        <f>IFERROR(__xludf.DUMMYFUNCTION("""COMPUTED_VALUE"""),45905.6458333333)</f>
        <v>45905.6458333333</v>
      </c>
      <c r="J114" s="48">
        <f>IFERROR(__xludf.DUMMYFUNCTION("""COMPUTED_VALUE"""),1312.8)</f>
        <v>1312.8</v>
      </c>
      <c r="K114" s="3">
        <f t="shared" si="2"/>
        <v>0</v>
      </c>
      <c r="L114" s="3">
        <f t="shared" si="3"/>
        <v>0</v>
      </c>
      <c r="AF114" s="48">
        <f>'Adani Enterprises'!AF114</f>
        <v>0</v>
      </c>
      <c r="AG114" s="48">
        <f>'Adani Enterprises'!AG114</f>
        <v>0</v>
      </c>
      <c r="AH114" s="48">
        <f>'Adani Enterprises'!AH114</f>
        <v>0</v>
      </c>
      <c r="AI114" s="48">
        <f>'Adani Enterprises'!AI114</f>
        <v>0</v>
      </c>
      <c r="AJ114" s="48">
        <f>'Adani Enterprises'!AJ114</f>
        <v>0</v>
      </c>
      <c r="AK114" s="48">
        <f>'Adani Enterprises'!AK114</f>
        <v>0</v>
      </c>
      <c r="AL114" s="48">
        <f>'Adani Enterprises'!AL114</f>
        <v>0</v>
      </c>
    </row>
    <row r="115" customHeight="1" spans="1:38">
      <c r="A115" s="47">
        <f>IFERROR(__xludf.DUMMYFUNCTION("""COMPUTED_VALUE"""),45908.6458333333)</f>
        <v>45908.6458333333</v>
      </c>
      <c r="B115" s="48">
        <f>IFERROR(__xludf.DUMMYFUNCTION("""COMPUTED_VALUE"""),1348.3)</f>
        <v>1348.3</v>
      </c>
      <c r="C115" s="47">
        <f>IFERROR(__xludf.DUMMYFUNCTION("""COMPUTED_VALUE"""),45908.6458333333)</f>
        <v>45908.6458333333</v>
      </c>
      <c r="D115" s="48">
        <f>IFERROR(__xludf.DUMMYFUNCTION("""COMPUTED_VALUE"""),1321.9)</f>
        <v>1321.9</v>
      </c>
      <c r="E115" s="47">
        <f>IFERROR(__xludf.DUMMYFUNCTION("""COMPUTED_VALUE"""),45908.6458333333)</f>
        <v>45908.6458333333</v>
      </c>
      <c r="F115" s="48">
        <f>IFERROR(__xludf.DUMMYFUNCTION("""COMPUTED_VALUE"""),1445628)</f>
        <v>1445628</v>
      </c>
      <c r="G115" s="47">
        <f>IFERROR(__xludf.DUMMYFUNCTION("""COMPUTED_VALUE"""),45908.6458333333)</f>
        <v>45908.6458333333</v>
      </c>
      <c r="H115" s="48">
        <f>IFERROR(__xludf.DUMMYFUNCTION("""COMPUTED_VALUE"""),1363.4)</f>
        <v>1363.4</v>
      </c>
      <c r="I115" s="47">
        <f>IFERROR(__xludf.DUMMYFUNCTION("""COMPUTED_VALUE"""),45908.6458333333)</f>
        <v>45908.6458333333</v>
      </c>
      <c r="J115" s="48">
        <f>IFERROR(__xludf.DUMMYFUNCTION("""COMPUTED_VALUE"""),1321.9)</f>
        <v>1321.9</v>
      </c>
      <c r="K115" s="3">
        <f t="shared" si="2"/>
        <v>0</v>
      </c>
      <c r="L115" s="3">
        <f t="shared" si="3"/>
        <v>0</v>
      </c>
      <c r="AF115" s="48">
        <f>'Adani Enterprises'!AF115</f>
        <v>0</v>
      </c>
      <c r="AG115" s="48">
        <f>'Adani Enterprises'!AG115</f>
        <v>0</v>
      </c>
      <c r="AH115" s="48">
        <f>'Adani Enterprises'!AH115</f>
        <v>0</v>
      </c>
      <c r="AI115" s="48">
        <f>'Adani Enterprises'!AI115</f>
        <v>0</v>
      </c>
      <c r="AJ115" s="48">
        <f>'Adani Enterprises'!AJ115</f>
        <v>0</v>
      </c>
      <c r="AK115" s="48">
        <f>'Adani Enterprises'!AK115</f>
        <v>0</v>
      </c>
      <c r="AL115" s="48">
        <f>'Adani Enterprises'!AL115</f>
        <v>0</v>
      </c>
    </row>
    <row r="116" customHeight="1" spans="1:38">
      <c r="A116" s="47">
        <f>IFERROR(__xludf.DUMMYFUNCTION("""COMPUTED_VALUE"""),45909.6458333333)</f>
        <v>45909.6458333333</v>
      </c>
      <c r="B116" s="48">
        <f>IFERROR(__xludf.DUMMYFUNCTION("""COMPUTED_VALUE"""),1380.9)</f>
        <v>1380.9</v>
      </c>
      <c r="C116" s="47">
        <f>IFERROR(__xludf.DUMMYFUNCTION("""COMPUTED_VALUE"""),45909.6458333333)</f>
        <v>45909.6458333333</v>
      </c>
      <c r="D116" s="48">
        <f>IFERROR(__xludf.DUMMYFUNCTION("""COMPUTED_VALUE"""),1354.7)</f>
        <v>1354.7</v>
      </c>
      <c r="E116" s="47">
        <f>IFERROR(__xludf.DUMMYFUNCTION("""COMPUTED_VALUE"""),45909.6458333333)</f>
        <v>45909.6458333333</v>
      </c>
      <c r="F116" s="48">
        <f>IFERROR(__xludf.DUMMYFUNCTION("""COMPUTED_VALUE"""),3515252)</f>
        <v>3515252</v>
      </c>
      <c r="G116" s="47">
        <f>IFERROR(__xludf.DUMMYFUNCTION("""COMPUTED_VALUE"""),45909.6458333333)</f>
        <v>45909.6458333333</v>
      </c>
      <c r="H116" s="48">
        <f>IFERROR(__xludf.DUMMYFUNCTION("""COMPUTED_VALUE"""),1385)</f>
        <v>1385</v>
      </c>
      <c r="I116" s="47">
        <f>IFERROR(__xludf.DUMMYFUNCTION("""COMPUTED_VALUE"""),45909.6458333333)</f>
        <v>45909.6458333333</v>
      </c>
      <c r="J116" s="48">
        <f>IFERROR(__xludf.DUMMYFUNCTION("""COMPUTED_VALUE"""),1348.3)</f>
        <v>1348.3</v>
      </c>
      <c r="K116" s="3">
        <f t="shared" si="2"/>
        <v>0</v>
      </c>
      <c r="L116" s="3">
        <f t="shared" si="3"/>
        <v>0</v>
      </c>
      <c r="AF116" s="48">
        <f>'Adani Enterprises'!AF116</f>
        <v>0</v>
      </c>
      <c r="AG116" s="48">
        <f>'Adani Enterprises'!AG116</f>
        <v>0</v>
      </c>
      <c r="AH116" s="48">
        <f>'Adani Enterprises'!AH116</f>
        <v>0</v>
      </c>
      <c r="AI116" s="48">
        <f>'Adani Enterprises'!AI116</f>
        <v>0</v>
      </c>
      <c r="AJ116" s="48">
        <f>'Adani Enterprises'!AJ116</f>
        <v>0</v>
      </c>
      <c r="AK116" s="48">
        <f>'Adani Enterprises'!AK116</f>
        <v>0</v>
      </c>
      <c r="AL116" s="48">
        <f>'Adani Enterprises'!AL116</f>
        <v>0</v>
      </c>
    </row>
    <row r="117" customHeight="1" spans="1:38">
      <c r="A117" s="47">
        <f>IFERROR(__xludf.DUMMYFUNCTION("""COMPUTED_VALUE"""),45910.6458333333)</f>
        <v>45910.6458333333</v>
      </c>
      <c r="B117" s="48">
        <f>IFERROR(__xludf.DUMMYFUNCTION("""COMPUTED_VALUE"""),1389.1)</f>
        <v>1389.1</v>
      </c>
      <c r="C117" s="47">
        <f>IFERROR(__xludf.DUMMYFUNCTION("""COMPUTED_VALUE"""),45910.6458333333)</f>
        <v>45910.6458333333</v>
      </c>
      <c r="D117" s="48">
        <f>IFERROR(__xludf.DUMMYFUNCTION("""COMPUTED_VALUE"""),1400)</f>
        <v>1400</v>
      </c>
      <c r="E117" s="47">
        <f>IFERROR(__xludf.DUMMYFUNCTION("""COMPUTED_VALUE"""),45910.6458333333)</f>
        <v>45910.6458333333</v>
      </c>
      <c r="F117" s="48">
        <f>IFERROR(__xludf.DUMMYFUNCTION("""COMPUTED_VALUE"""),2553605)</f>
        <v>2553605</v>
      </c>
      <c r="G117" s="47">
        <f>IFERROR(__xludf.DUMMYFUNCTION("""COMPUTED_VALUE"""),45910.6458333333)</f>
        <v>45910.6458333333</v>
      </c>
      <c r="H117" s="48">
        <f>IFERROR(__xludf.DUMMYFUNCTION("""COMPUTED_VALUE"""),1404.9)</f>
        <v>1404.9</v>
      </c>
      <c r="I117" s="47">
        <f>IFERROR(__xludf.DUMMYFUNCTION("""COMPUTED_VALUE"""),45910.6458333333)</f>
        <v>45910.6458333333</v>
      </c>
      <c r="J117" s="48">
        <f>IFERROR(__xludf.DUMMYFUNCTION("""COMPUTED_VALUE"""),1385)</f>
        <v>1385</v>
      </c>
      <c r="K117" s="3">
        <f t="shared" si="2"/>
        <v>0</v>
      </c>
      <c r="L117" s="3">
        <f t="shared" si="3"/>
        <v>0</v>
      </c>
      <c r="AF117" s="48">
        <f>'Adani Enterprises'!AF117</f>
        <v>0</v>
      </c>
      <c r="AG117" s="48">
        <f>'Adani Enterprises'!AG117</f>
        <v>0</v>
      </c>
      <c r="AH117" s="48">
        <f>'Adani Enterprises'!AH117</f>
        <v>0</v>
      </c>
      <c r="AI117" s="48">
        <f>'Adani Enterprises'!AI117</f>
        <v>0</v>
      </c>
      <c r="AJ117" s="48">
        <f>'Adani Enterprises'!AJ117</f>
        <v>0</v>
      </c>
      <c r="AK117" s="48">
        <f>'Adani Enterprises'!AK117</f>
        <v>0</v>
      </c>
      <c r="AL117" s="48">
        <f>'Adani Enterprises'!AL117</f>
        <v>0</v>
      </c>
    </row>
    <row r="118" customHeight="1" spans="1:38">
      <c r="A118" s="47">
        <f>IFERROR(__xludf.DUMMYFUNCTION("""COMPUTED_VALUE"""),45911.6458333333)</f>
        <v>45911.6458333333</v>
      </c>
      <c r="B118" s="48">
        <f>IFERROR(__xludf.DUMMYFUNCTION("""COMPUTED_VALUE"""),1393.1)</f>
        <v>1393.1</v>
      </c>
      <c r="C118" s="47">
        <f>IFERROR(__xludf.DUMMYFUNCTION("""COMPUTED_VALUE"""),45911.6458333333)</f>
        <v>45911.6458333333</v>
      </c>
      <c r="D118" s="48">
        <f>IFERROR(__xludf.DUMMYFUNCTION("""COMPUTED_VALUE"""),1404.9)</f>
        <v>1404.9</v>
      </c>
      <c r="E118" s="47">
        <f>IFERROR(__xludf.DUMMYFUNCTION("""COMPUTED_VALUE"""),45911.6458333333)</f>
        <v>45911.6458333333</v>
      </c>
      <c r="F118" s="48">
        <f>IFERROR(__xludf.DUMMYFUNCTION("""COMPUTED_VALUE"""),4041646)</f>
        <v>4041646</v>
      </c>
      <c r="G118" s="47">
        <f>IFERROR(__xludf.DUMMYFUNCTION("""COMPUTED_VALUE"""),45911.6458333333)</f>
        <v>45911.6458333333</v>
      </c>
      <c r="H118" s="48">
        <f>IFERROR(__xludf.DUMMYFUNCTION("""COMPUTED_VALUE"""),1423.1)</f>
        <v>1423.1</v>
      </c>
      <c r="I118" s="47">
        <f>IFERROR(__xludf.DUMMYFUNCTION("""COMPUTED_VALUE"""),45911.6458333333)</f>
        <v>45911.6458333333</v>
      </c>
      <c r="J118" s="48">
        <f>IFERROR(__xludf.DUMMYFUNCTION("""COMPUTED_VALUE"""),1388)</f>
        <v>1388</v>
      </c>
      <c r="K118" s="3">
        <f t="shared" si="2"/>
        <v>0</v>
      </c>
      <c r="L118" s="3">
        <f t="shared" si="3"/>
        <v>0</v>
      </c>
      <c r="AF118" s="48">
        <f>'Adani Enterprises'!AF118</f>
        <v>0</v>
      </c>
      <c r="AG118" s="48">
        <f>'Adani Enterprises'!AG118</f>
        <v>0</v>
      </c>
      <c r="AH118" s="48">
        <f>'Adani Enterprises'!AH118</f>
        <v>0</v>
      </c>
      <c r="AI118" s="48">
        <f>'Adani Enterprises'!AI118</f>
        <v>0</v>
      </c>
      <c r="AJ118" s="48">
        <f>'Adani Enterprises'!AJ118</f>
        <v>0</v>
      </c>
      <c r="AK118" s="48">
        <f>'Adani Enterprises'!AK118</f>
        <v>0</v>
      </c>
      <c r="AL118" s="48">
        <f>'Adani Enterprises'!AL118</f>
        <v>0</v>
      </c>
    </row>
    <row r="119" customHeight="1" spans="1:38">
      <c r="A119" s="47">
        <f>IFERROR(__xludf.DUMMYFUNCTION("""COMPUTED_VALUE"""),45912.6458333333)</f>
        <v>45912.6458333333</v>
      </c>
      <c r="B119" s="48">
        <f>IFERROR(__xludf.DUMMYFUNCTION("""COMPUTED_VALUE"""),1393.1)</f>
        <v>1393.1</v>
      </c>
      <c r="C119" s="47">
        <f>IFERROR(__xludf.DUMMYFUNCTION("""COMPUTED_VALUE"""),45912.6458333333)</f>
        <v>45912.6458333333</v>
      </c>
      <c r="D119" s="48">
        <f>IFERROR(__xludf.DUMMYFUNCTION("""COMPUTED_VALUE"""),1395.5)</f>
        <v>1395.5</v>
      </c>
      <c r="E119" s="47">
        <f>IFERROR(__xludf.DUMMYFUNCTION("""COMPUTED_VALUE"""),45912.6458333333)</f>
        <v>45912.6458333333</v>
      </c>
      <c r="F119" s="48">
        <f>IFERROR(__xludf.DUMMYFUNCTION("""COMPUTED_VALUE"""),1466190)</f>
        <v>1466190</v>
      </c>
      <c r="G119" s="47">
        <f>IFERROR(__xludf.DUMMYFUNCTION("""COMPUTED_VALUE"""),45912.6458333333)</f>
        <v>45912.6458333333</v>
      </c>
      <c r="H119" s="48">
        <f>IFERROR(__xludf.DUMMYFUNCTION("""COMPUTED_VALUE"""),1406.5)</f>
        <v>1406.5</v>
      </c>
      <c r="I119" s="47">
        <f>IFERROR(__xludf.DUMMYFUNCTION("""COMPUTED_VALUE"""),45912.6458333333)</f>
        <v>45912.6458333333</v>
      </c>
      <c r="J119" s="48">
        <f>IFERROR(__xludf.DUMMYFUNCTION("""COMPUTED_VALUE"""),1391.1)</f>
        <v>1391.1</v>
      </c>
      <c r="K119" s="3">
        <f t="shared" si="2"/>
        <v>0</v>
      </c>
      <c r="L119" s="3">
        <f t="shared" si="3"/>
        <v>0</v>
      </c>
      <c r="AF119" s="48">
        <f>'Adani Enterprises'!AF119</f>
        <v>0</v>
      </c>
      <c r="AG119" s="48">
        <f>'Adani Enterprises'!AG119</f>
        <v>0</v>
      </c>
      <c r="AH119" s="48">
        <f>'Adani Enterprises'!AH119</f>
        <v>0</v>
      </c>
      <c r="AI119" s="48">
        <f>'Adani Enterprises'!AI119</f>
        <v>0</v>
      </c>
      <c r="AJ119" s="48">
        <f>'Adani Enterprises'!AJ119</f>
        <v>0</v>
      </c>
      <c r="AK119" s="48">
        <f>'Adani Enterprises'!AK119</f>
        <v>0</v>
      </c>
      <c r="AL119" s="48">
        <f>'Adani Enterprises'!AL119</f>
        <v>0</v>
      </c>
    </row>
    <row r="120" customHeight="1" spans="1:38">
      <c r="A120" s="47">
        <f>IFERROR(__xludf.DUMMYFUNCTION("""COMPUTED_VALUE"""),45915.6458333333)</f>
        <v>45915.6458333333</v>
      </c>
      <c r="B120" s="48">
        <f>IFERROR(__xludf.DUMMYFUNCTION("""COMPUTED_VALUE"""),1395.2)</f>
        <v>1395.2</v>
      </c>
      <c r="C120" s="47">
        <f>IFERROR(__xludf.DUMMYFUNCTION("""COMPUTED_VALUE"""),45915.6458333333)</f>
        <v>45915.6458333333</v>
      </c>
      <c r="D120" s="48">
        <f>IFERROR(__xludf.DUMMYFUNCTION("""COMPUTED_VALUE"""),1393.1)</f>
        <v>1393.1</v>
      </c>
      <c r="E120" s="47">
        <f>IFERROR(__xludf.DUMMYFUNCTION("""COMPUTED_VALUE"""),45915.6458333333)</f>
        <v>45915.6458333333</v>
      </c>
      <c r="F120" s="48">
        <f>IFERROR(__xludf.DUMMYFUNCTION("""COMPUTED_VALUE"""),1254831)</f>
        <v>1254831</v>
      </c>
      <c r="G120" s="47">
        <f>IFERROR(__xludf.DUMMYFUNCTION("""COMPUTED_VALUE"""),45915.6458333333)</f>
        <v>45915.6458333333</v>
      </c>
      <c r="H120" s="48">
        <f>IFERROR(__xludf.DUMMYFUNCTION("""COMPUTED_VALUE"""),1409)</f>
        <v>1409</v>
      </c>
      <c r="I120" s="47">
        <f>IFERROR(__xludf.DUMMYFUNCTION("""COMPUTED_VALUE"""),45915.6458333333)</f>
        <v>45915.6458333333</v>
      </c>
      <c r="J120" s="48">
        <f>IFERROR(__xludf.DUMMYFUNCTION("""COMPUTED_VALUE"""),1392.2)</f>
        <v>1392.2</v>
      </c>
      <c r="K120" s="3">
        <f t="shared" si="2"/>
        <v>0</v>
      </c>
      <c r="L120" s="3">
        <f t="shared" si="3"/>
        <v>0</v>
      </c>
      <c r="AF120" s="48">
        <f>'Adani Enterprises'!AF120</f>
        <v>0</v>
      </c>
      <c r="AG120" s="48">
        <f>'Adani Enterprises'!AG120</f>
        <v>0</v>
      </c>
      <c r="AH120" s="48">
        <f>'Adani Enterprises'!AH120</f>
        <v>0</v>
      </c>
      <c r="AI120" s="48">
        <f>'Adani Enterprises'!AI120</f>
        <v>0</v>
      </c>
      <c r="AJ120" s="48">
        <f>'Adani Enterprises'!AJ120</f>
        <v>0</v>
      </c>
      <c r="AK120" s="48">
        <f>'Adani Enterprises'!AK120</f>
        <v>0</v>
      </c>
      <c r="AL120" s="48">
        <f>'Adani Enterprises'!AL120</f>
        <v>0</v>
      </c>
    </row>
    <row r="121" customHeight="1" spans="1:38">
      <c r="A121" s="47">
        <f>IFERROR(__xludf.DUMMYFUNCTION("""COMPUTED_VALUE"""),45916.6458333333)</f>
        <v>45916.6458333333</v>
      </c>
      <c r="B121" s="48">
        <f>IFERROR(__xludf.DUMMYFUNCTION("""COMPUTED_VALUE"""),1408.2)</f>
        <v>1408.2</v>
      </c>
      <c r="C121" s="47">
        <f>IFERROR(__xludf.DUMMYFUNCTION("""COMPUTED_VALUE"""),45916.6458333333)</f>
        <v>45916.6458333333</v>
      </c>
      <c r="D121" s="48">
        <f>IFERROR(__xludf.DUMMYFUNCTION("""COMPUTED_VALUE"""),1400)</f>
        <v>1400</v>
      </c>
      <c r="E121" s="47">
        <f>IFERROR(__xludf.DUMMYFUNCTION("""COMPUTED_VALUE"""),45916.6458333333)</f>
        <v>45916.6458333333</v>
      </c>
      <c r="F121" s="48">
        <f>IFERROR(__xludf.DUMMYFUNCTION("""COMPUTED_VALUE"""),1636246)</f>
        <v>1636246</v>
      </c>
      <c r="G121" s="47">
        <f>IFERROR(__xludf.DUMMYFUNCTION("""COMPUTED_VALUE"""),45916.6458333333)</f>
        <v>45916.6458333333</v>
      </c>
      <c r="H121" s="48">
        <f>IFERROR(__xludf.DUMMYFUNCTION("""COMPUTED_VALUE"""),1412.6)</f>
        <v>1412.6</v>
      </c>
      <c r="I121" s="47">
        <f>IFERROR(__xludf.DUMMYFUNCTION("""COMPUTED_VALUE"""),45916.6458333333)</f>
        <v>45916.6458333333</v>
      </c>
      <c r="J121" s="48">
        <f>IFERROR(__xludf.DUMMYFUNCTION("""COMPUTED_VALUE"""),1396.6)</f>
        <v>1396.6</v>
      </c>
      <c r="K121" s="3">
        <f t="shared" si="2"/>
        <v>0</v>
      </c>
      <c r="L121" s="3">
        <f t="shared" si="3"/>
        <v>0</v>
      </c>
      <c r="AF121" s="48">
        <f>'Adani Enterprises'!AF121</f>
        <v>0</v>
      </c>
      <c r="AG121" s="48">
        <f>'Adani Enterprises'!AG121</f>
        <v>0</v>
      </c>
      <c r="AH121" s="48">
        <f>'Adani Enterprises'!AH121</f>
        <v>0</v>
      </c>
      <c r="AI121" s="48">
        <f>'Adani Enterprises'!AI121</f>
        <v>0</v>
      </c>
      <c r="AJ121" s="48">
        <f>'Adani Enterprises'!AJ121</f>
        <v>0</v>
      </c>
      <c r="AK121" s="48">
        <f>'Adani Enterprises'!AK121</f>
        <v>0</v>
      </c>
      <c r="AL121" s="48">
        <f>'Adani Enterprises'!AL121</f>
        <v>0</v>
      </c>
    </row>
    <row r="122" customHeight="1" spans="1:38">
      <c r="A122" s="47">
        <f>IFERROR(__xludf.DUMMYFUNCTION("""COMPUTED_VALUE"""),45917.6458333333)</f>
        <v>45917.6458333333</v>
      </c>
      <c r="B122" s="48">
        <f>IFERROR(__xludf.DUMMYFUNCTION("""COMPUTED_VALUE"""),1406.1)</f>
        <v>1406.1</v>
      </c>
      <c r="C122" s="47">
        <f>IFERROR(__xludf.DUMMYFUNCTION("""COMPUTED_VALUE"""),45917.6458333333)</f>
        <v>45917.6458333333</v>
      </c>
      <c r="D122" s="48">
        <f>IFERROR(__xludf.DUMMYFUNCTION("""COMPUTED_VALUE"""),1410)</f>
        <v>1410</v>
      </c>
      <c r="E122" s="47">
        <f>IFERROR(__xludf.DUMMYFUNCTION("""COMPUTED_VALUE"""),45917.6458333333)</f>
        <v>45917.6458333333</v>
      </c>
      <c r="F122" s="48">
        <f>IFERROR(__xludf.DUMMYFUNCTION("""COMPUTED_VALUE"""),1062568)</f>
        <v>1062568</v>
      </c>
      <c r="G122" s="47">
        <f>IFERROR(__xludf.DUMMYFUNCTION("""COMPUTED_VALUE"""),45917.6458333333)</f>
        <v>45917.6458333333</v>
      </c>
      <c r="H122" s="48">
        <f>IFERROR(__xludf.DUMMYFUNCTION("""COMPUTED_VALUE"""),1413.1)</f>
        <v>1413.1</v>
      </c>
      <c r="I122" s="47">
        <f>IFERROR(__xludf.DUMMYFUNCTION("""COMPUTED_VALUE"""),45917.6458333333)</f>
        <v>45917.6458333333</v>
      </c>
      <c r="J122" s="48">
        <f>IFERROR(__xludf.DUMMYFUNCTION("""COMPUTED_VALUE"""),1396.2)</f>
        <v>1396.2</v>
      </c>
      <c r="K122" s="3">
        <f t="shared" si="2"/>
        <v>0</v>
      </c>
      <c r="L122" s="3">
        <f t="shared" si="3"/>
        <v>0</v>
      </c>
      <c r="AF122" s="48">
        <f>'Adani Enterprises'!AF122</f>
        <v>0</v>
      </c>
      <c r="AG122" s="48">
        <f>'Adani Enterprises'!AG122</f>
        <v>0</v>
      </c>
      <c r="AH122" s="48">
        <f>'Adani Enterprises'!AH122</f>
        <v>0</v>
      </c>
      <c r="AI122" s="48">
        <f>'Adani Enterprises'!AI122</f>
        <v>0</v>
      </c>
      <c r="AJ122" s="48">
        <f>'Adani Enterprises'!AJ122</f>
        <v>0</v>
      </c>
      <c r="AK122" s="48">
        <f>'Adani Enterprises'!AK122</f>
        <v>0</v>
      </c>
      <c r="AL122" s="48">
        <f>'Adani Enterprises'!AL122</f>
        <v>0</v>
      </c>
    </row>
    <row r="123" customHeight="1" spans="1:38">
      <c r="A123" s="47">
        <f>IFERROR(__xludf.DUMMYFUNCTION("""COMPUTED_VALUE"""),45918.6458333333)</f>
        <v>45918.6458333333</v>
      </c>
      <c r="B123" s="48">
        <f>IFERROR(__xludf.DUMMYFUNCTION("""COMPUTED_VALUE"""),1412.8)</f>
        <v>1412.8</v>
      </c>
      <c r="C123" s="47">
        <f>IFERROR(__xludf.DUMMYFUNCTION("""COMPUTED_VALUE"""),45918.6458333333)</f>
        <v>45918.6458333333</v>
      </c>
      <c r="D123" s="48">
        <f>IFERROR(__xludf.DUMMYFUNCTION("""COMPUTED_VALUE"""),1410)</f>
        <v>1410</v>
      </c>
      <c r="E123" s="47">
        <f>IFERROR(__xludf.DUMMYFUNCTION("""COMPUTED_VALUE"""),45918.6458333333)</f>
        <v>45918.6458333333</v>
      </c>
      <c r="F123" s="48">
        <f>IFERROR(__xludf.DUMMYFUNCTION("""COMPUTED_VALUE"""),1416920)</f>
        <v>1416920</v>
      </c>
      <c r="G123" s="47">
        <f>IFERROR(__xludf.DUMMYFUNCTION("""COMPUTED_VALUE"""),45918.6458333333)</f>
        <v>45918.6458333333</v>
      </c>
      <c r="H123" s="48">
        <f>IFERROR(__xludf.DUMMYFUNCTION("""COMPUTED_VALUE"""),1415)</f>
        <v>1415</v>
      </c>
      <c r="I123" s="47">
        <f>IFERROR(__xludf.DUMMYFUNCTION("""COMPUTED_VALUE"""),45918.6458333333)</f>
        <v>45918.6458333333</v>
      </c>
      <c r="J123" s="48">
        <f>IFERROR(__xludf.DUMMYFUNCTION("""COMPUTED_VALUE"""),1401)</f>
        <v>1401</v>
      </c>
      <c r="K123" s="3">
        <f t="shared" si="2"/>
        <v>0</v>
      </c>
      <c r="L123" s="3">
        <f t="shared" si="3"/>
        <v>0</v>
      </c>
      <c r="AF123" s="48">
        <f>'Adani Enterprises'!AF123</f>
        <v>0</v>
      </c>
      <c r="AG123" s="48">
        <f>'Adani Enterprises'!AG123</f>
        <v>0</v>
      </c>
      <c r="AH123" s="48">
        <f>'Adani Enterprises'!AH123</f>
        <v>0</v>
      </c>
      <c r="AI123" s="48">
        <f>'Adani Enterprises'!AI123</f>
        <v>0</v>
      </c>
      <c r="AJ123" s="48">
        <f>'Adani Enterprises'!AJ123</f>
        <v>0</v>
      </c>
      <c r="AK123" s="48">
        <f>'Adani Enterprises'!AK123</f>
        <v>0</v>
      </c>
      <c r="AL123" s="48">
        <f>'Adani Enterprises'!AL123</f>
        <v>0</v>
      </c>
    </row>
    <row r="124" customHeight="1" spans="1:38">
      <c r="A124" s="47">
        <f>IFERROR(__xludf.DUMMYFUNCTION("""COMPUTED_VALUE"""),45919.6458333333)</f>
        <v>45919.6458333333</v>
      </c>
      <c r="B124" s="48">
        <f>IFERROR(__xludf.DUMMYFUNCTION("""COMPUTED_VALUE"""),1427.8)</f>
        <v>1427.8</v>
      </c>
      <c r="C124" s="47">
        <f>IFERROR(__xludf.DUMMYFUNCTION("""COMPUTED_VALUE"""),45919.6458333333)</f>
        <v>45919.6458333333</v>
      </c>
      <c r="D124" s="48">
        <f>IFERROR(__xludf.DUMMYFUNCTION("""COMPUTED_VALUE"""),1447.8)</f>
        <v>1447.8</v>
      </c>
      <c r="E124" s="47">
        <f>IFERROR(__xludf.DUMMYFUNCTION("""COMPUTED_VALUE"""),45919.6458333333)</f>
        <v>45919.6458333333</v>
      </c>
      <c r="F124" s="48">
        <f>IFERROR(__xludf.DUMMYFUNCTION("""COMPUTED_VALUE"""),8069167)</f>
        <v>8069167</v>
      </c>
      <c r="G124" s="47">
        <f>IFERROR(__xludf.DUMMYFUNCTION("""COMPUTED_VALUE"""),45919.6458333333)</f>
        <v>45919.6458333333</v>
      </c>
      <c r="H124" s="48">
        <f>IFERROR(__xludf.DUMMYFUNCTION("""COMPUTED_VALUE"""),1460)</f>
        <v>1460</v>
      </c>
      <c r="I124" s="47">
        <f>IFERROR(__xludf.DUMMYFUNCTION("""COMPUTED_VALUE"""),45919.6458333333)</f>
        <v>45919.6458333333</v>
      </c>
      <c r="J124" s="48">
        <f>IFERROR(__xludf.DUMMYFUNCTION("""COMPUTED_VALUE"""),1425)</f>
        <v>1425</v>
      </c>
      <c r="K124" s="3">
        <f t="shared" si="2"/>
        <v>0</v>
      </c>
      <c r="L124" s="3">
        <f t="shared" si="3"/>
        <v>0</v>
      </c>
      <c r="AF124" s="48">
        <f>'Adani Enterprises'!AF124</f>
        <v>0</v>
      </c>
      <c r="AG124" s="48">
        <f>'Adani Enterprises'!AG124</f>
        <v>0</v>
      </c>
      <c r="AH124" s="48">
        <f>'Adani Enterprises'!AH124</f>
        <v>0</v>
      </c>
      <c r="AI124" s="48">
        <f>'Adani Enterprises'!AI124</f>
        <v>0</v>
      </c>
      <c r="AJ124" s="48">
        <f>'Adani Enterprises'!AJ124</f>
        <v>0</v>
      </c>
      <c r="AK124" s="48">
        <f>'Adani Enterprises'!AK124</f>
        <v>0</v>
      </c>
      <c r="AL124" s="48">
        <f>'Adani Enterprises'!AL124</f>
        <v>0</v>
      </c>
    </row>
    <row r="125" customHeight="1" spans="1:38">
      <c r="A125" s="47">
        <f>IFERROR(__xludf.DUMMYFUNCTION("""COMPUTED_VALUE"""),45922.6458333333)</f>
        <v>45922.6458333333</v>
      </c>
      <c r="B125" s="48">
        <f>IFERROR(__xludf.DUMMYFUNCTION("""COMPUTED_VALUE"""),1444.2)</f>
        <v>1444.2</v>
      </c>
      <c r="C125" s="47">
        <f>IFERROR(__xludf.DUMMYFUNCTION("""COMPUTED_VALUE"""),45922.6458333333)</f>
        <v>45922.6458333333</v>
      </c>
      <c r="D125" s="48">
        <f>IFERROR(__xludf.DUMMYFUNCTION("""COMPUTED_VALUE"""),1433)</f>
        <v>1433</v>
      </c>
      <c r="E125" s="47">
        <f>IFERROR(__xludf.DUMMYFUNCTION("""COMPUTED_VALUE"""),45922.6458333333)</f>
        <v>45922.6458333333</v>
      </c>
      <c r="F125" s="48">
        <f>IFERROR(__xludf.DUMMYFUNCTION("""COMPUTED_VALUE"""),5490489)</f>
        <v>5490489</v>
      </c>
      <c r="G125" s="47">
        <f>IFERROR(__xludf.DUMMYFUNCTION("""COMPUTED_VALUE"""),45922.6458333333)</f>
        <v>45922.6458333333</v>
      </c>
      <c r="H125" s="48">
        <f>IFERROR(__xludf.DUMMYFUNCTION("""COMPUTED_VALUE"""),1461.7)</f>
        <v>1461.7</v>
      </c>
      <c r="I125" s="47">
        <f>IFERROR(__xludf.DUMMYFUNCTION("""COMPUTED_VALUE"""),45922.6458333333)</f>
        <v>45922.6458333333</v>
      </c>
      <c r="J125" s="48">
        <f>IFERROR(__xludf.DUMMYFUNCTION("""COMPUTED_VALUE"""),1425)</f>
        <v>1425</v>
      </c>
      <c r="K125" s="3">
        <f t="shared" si="2"/>
        <v>1444.2</v>
      </c>
      <c r="L125" s="3">
        <f t="shared" si="3"/>
        <v>0</v>
      </c>
      <c r="AF125" s="48">
        <f>'Adani Enterprises'!AF125</f>
        <v>0</v>
      </c>
      <c r="AG125" s="48">
        <f>'Adani Enterprises'!AG125</f>
        <v>0</v>
      </c>
      <c r="AH125" s="48">
        <f>'Adani Enterprises'!AH125</f>
        <v>0</v>
      </c>
      <c r="AI125" s="48">
        <f>'Adani Enterprises'!AI125</f>
        <v>0</v>
      </c>
      <c r="AJ125" s="48">
        <f>'Adani Enterprises'!AJ125</f>
        <v>0</v>
      </c>
      <c r="AK125" s="48">
        <f>'Adani Enterprises'!AK125</f>
        <v>0</v>
      </c>
      <c r="AL125" s="48">
        <f>'Adani Enterprises'!AL125</f>
        <v>0</v>
      </c>
    </row>
    <row r="126" customHeight="1" spans="1:38">
      <c r="A126" s="47">
        <f>IFERROR(__xludf.DUMMYFUNCTION("""COMPUTED_VALUE"""),45923.6458333333)</f>
        <v>45923.6458333333</v>
      </c>
      <c r="B126" s="48">
        <f>IFERROR(__xludf.DUMMYFUNCTION("""COMPUTED_VALUE"""),1441.6)</f>
        <v>1441.6</v>
      </c>
      <c r="C126" s="47">
        <f>IFERROR(__xludf.DUMMYFUNCTION("""COMPUTED_VALUE"""),45923.6458333333)</f>
        <v>45923.6458333333</v>
      </c>
      <c r="D126" s="48">
        <f>IFERROR(__xludf.DUMMYFUNCTION("""COMPUTED_VALUE"""),1453)</f>
        <v>1453</v>
      </c>
      <c r="E126" s="47">
        <f>IFERROR(__xludf.DUMMYFUNCTION("""COMPUTED_VALUE"""),45923.6458333333)</f>
        <v>45923.6458333333</v>
      </c>
      <c r="F126" s="48">
        <f>IFERROR(__xludf.DUMMYFUNCTION("""COMPUTED_VALUE"""),2550337)</f>
        <v>2550337</v>
      </c>
      <c r="G126" s="47">
        <f>IFERROR(__xludf.DUMMYFUNCTION("""COMPUTED_VALUE"""),45923.6458333333)</f>
        <v>45923.6458333333</v>
      </c>
      <c r="H126" s="48">
        <f>IFERROR(__xludf.DUMMYFUNCTION("""COMPUTED_VALUE"""),1455)</f>
        <v>1455</v>
      </c>
      <c r="I126" s="47">
        <f>IFERROR(__xludf.DUMMYFUNCTION("""COMPUTED_VALUE"""),45923.6458333333)</f>
        <v>45923.6458333333</v>
      </c>
      <c r="J126" s="48">
        <f>IFERROR(__xludf.DUMMYFUNCTION("""COMPUTED_VALUE"""),1423.1)</f>
        <v>1423.1</v>
      </c>
      <c r="AF126" s="48">
        <f>'Adani Enterprises'!AF126</f>
        <v>0</v>
      </c>
      <c r="AG126" s="48">
        <f>'Adani Enterprises'!AG126</f>
        <v>0</v>
      </c>
      <c r="AH126" s="48">
        <f>'Adani Enterprises'!AH126</f>
        <v>0</v>
      </c>
      <c r="AI126" s="48">
        <f>'Adani Enterprises'!AI126</f>
        <v>0</v>
      </c>
      <c r="AJ126" s="48">
        <f>'Adani Enterprises'!AJ126</f>
        <v>0</v>
      </c>
      <c r="AK126" s="48">
        <f>'Adani Enterprises'!AK126</f>
        <v>0</v>
      </c>
      <c r="AL126" s="48">
        <f>'Adani Enterprises'!AL126</f>
        <v>0</v>
      </c>
    </row>
    <row r="127" customHeight="1" spans="1:38">
      <c r="A127" s="47">
        <f>IFERROR(__xludf.DUMMYFUNCTION("""COMPUTED_VALUE"""),45924.6458333333)</f>
        <v>45924.6458333333</v>
      </c>
      <c r="B127" s="48">
        <f>IFERROR(__xludf.DUMMYFUNCTION("""COMPUTED_VALUE"""),1431.6)</f>
        <v>1431.6</v>
      </c>
      <c r="C127" s="47">
        <f>IFERROR(__xludf.DUMMYFUNCTION("""COMPUTED_VALUE"""),45924.6458333333)</f>
        <v>45924.6458333333</v>
      </c>
      <c r="D127" s="48">
        <f>IFERROR(__xludf.DUMMYFUNCTION("""COMPUTED_VALUE"""),1445)</f>
        <v>1445</v>
      </c>
      <c r="E127" s="47">
        <f>IFERROR(__xludf.DUMMYFUNCTION("""COMPUTED_VALUE"""),45924.6458333333)</f>
        <v>45924.6458333333</v>
      </c>
      <c r="F127" s="48">
        <f>IFERROR(__xludf.DUMMYFUNCTION("""COMPUTED_VALUE"""),2603193)</f>
        <v>2603193</v>
      </c>
      <c r="G127" s="47">
        <f>IFERROR(__xludf.DUMMYFUNCTION("""COMPUTED_VALUE"""),45924.6458333333)</f>
        <v>45924.6458333333</v>
      </c>
      <c r="H127" s="48">
        <f>IFERROR(__xludf.DUMMYFUNCTION("""COMPUTED_VALUE"""),1452.4)</f>
        <v>1452.4</v>
      </c>
      <c r="I127" s="47">
        <f>IFERROR(__xludf.DUMMYFUNCTION("""COMPUTED_VALUE"""),45924.6458333333)</f>
        <v>45924.6458333333</v>
      </c>
      <c r="J127" s="48">
        <f>IFERROR(__xludf.DUMMYFUNCTION("""COMPUTED_VALUE"""),1429.1)</f>
        <v>1429.1</v>
      </c>
      <c r="AF127" s="48">
        <f>'Adani Enterprises'!AF127</f>
        <v>0</v>
      </c>
      <c r="AG127" s="48">
        <f>'Adani Enterprises'!AG127</f>
        <v>0</v>
      </c>
      <c r="AH127" s="48">
        <f>'Adani Enterprises'!AH127</f>
        <v>0</v>
      </c>
      <c r="AI127" s="48">
        <f>'Adani Enterprises'!AI127</f>
        <v>0</v>
      </c>
      <c r="AJ127" s="48">
        <f>'Adani Enterprises'!AJ127</f>
        <v>0</v>
      </c>
      <c r="AK127" s="48">
        <f>'Adani Enterprises'!AK127</f>
        <v>0</v>
      </c>
      <c r="AL127" s="48">
        <f>'Adani Enterprises'!AL127</f>
        <v>0</v>
      </c>
    </row>
    <row r="128" customHeight="1" spans="1:38">
      <c r="A128" s="47">
        <f>IFERROR(__xludf.DUMMYFUNCTION("""COMPUTED_VALUE"""),45925.6458333333)</f>
        <v>45925.6458333333</v>
      </c>
      <c r="B128" s="48">
        <f>IFERROR(__xludf.DUMMYFUNCTION("""COMPUTED_VALUE"""),1407.2)</f>
        <v>1407.2</v>
      </c>
      <c r="C128" s="47">
        <f>IFERROR(__xludf.DUMMYFUNCTION("""COMPUTED_VALUE"""),45925.6458333333)</f>
        <v>45925.6458333333</v>
      </c>
      <c r="D128" s="48">
        <f>IFERROR(__xludf.DUMMYFUNCTION("""COMPUTED_VALUE"""),1431.7)</f>
        <v>1431.7</v>
      </c>
      <c r="E128" s="47">
        <f>IFERROR(__xludf.DUMMYFUNCTION("""COMPUTED_VALUE"""),45925.6458333333)</f>
        <v>45925.6458333333</v>
      </c>
      <c r="F128" s="48">
        <f>IFERROR(__xludf.DUMMYFUNCTION("""COMPUTED_VALUE"""),1970560)</f>
        <v>1970560</v>
      </c>
      <c r="G128" s="47">
        <f>IFERROR(__xludf.DUMMYFUNCTION("""COMPUTED_VALUE"""),45925.6458333333)</f>
        <v>45925.6458333333</v>
      </c>
      <c r="H128" s="48">
        <f>IFERROR(__xludf.DUMMYFUNCTION("""COMPUTED_VALUE"""),1439.9)</f>
        <v>1439.9</v>
      </c>
      <c r="I128" s="47">
        <f>IFERROR(__xludf.DUMMYFUNCTION("""COMPUTED_VALUE"""),45925.6458333333)</f>
        <v>45925.6458333333</v>
      </c>
      <c r="J128" s="48">
        <f>IFERROR(__xludf.DUMMYFUNCTION("""COMPUTED_VALUE"""),1404.1)</f>
        <v>1404.1</v>
      </c>
      <c r="AF128" s="48">
        <f>'Adani Enterprises'!AF128</f>
        <v>0</v>
      </c>
      <c r="AG128" s="48">
        <f>'Adani Enterprises'!AG128</f>
        <v>0</v>
      </c>
      <c r="AH128" s="48">
        <f>'Adani Enterprises'!AH128</f>
        <v>0</v>
      </c>
      <c r="AI128" s="48">
        <f>'Adani Enterprises'!AI128</f>
        <v>0</v>
      </c>
      <c r="AJ128" s="48">
        <f>'Adani Enterprises'!AJ128</f>
        <v>0</v>
      </c>
      <c r="AK128" s="48">
        <f>'Adani Enterprises'!AK128</f>
        <v>0</v>
      </c>
      <c r="AL128" s="48">
        <f>'Adani Enterprises'!AL128</f>
        <v>0</v>
      </c>
    </row>
    <row r="129" customHeight="1" spans="1:38">
      <c r="A129" s="47">
        <f>IFERROR(__xludf.DUMMYFUNCTION("""COMPUTED_VALUE"""),45926.6458333333)</f>
        <v>45926.6458333333</v>
      </c>
      <c r="B129" s="48">
        <f>IFERROR(__xludf.DUMMYFUNCTION("""COMPUTED_VALUE"""),1392)</f>
        <v>1392</v>
      </c>
      <c r="C129" s="47">
        <f>IFERROR(__xludf.DUMMYFUNCTION("""COMPUTED_VALUE"""),45926.6458333333)</f>
        <v>45926.6458333333</v>
      </c>
      <c r="D129" s="48">
        <f>IFERROR(__xludf.DUMMYFUNCTION("""COMPUTED_VALUE"""),1407.2)</f>
        <v>1407.2</v>
      </c>
      <c r="E129" s="47">
        <f>IFERROR(__xludf.DUMMYFUNCTION("""COMPUTED_VALUE"""),45926.6458333333)</f>
        <v>45926.6458333333</v>
      </c>
      <c r="F129" s="48">
        <f>IFERROR(__xludf.DUMMYFUNCTION("""COMPUTED_VALUE"""),1899079)</f>
        <v>1899079</v>
      </c>
      <c r="G129" s="47">
        <f>IFERROR(__xludf.DUMMYFUNCTION("""COMPUTED_VALUE"""),45926.6458333333)</f>
        <v>45926.6458333333</v>
      </c>
      <c r="H129" s="48">
        <f>IFERROR(__xludf.DUMMYFUNCTION("""COMPUTED_VALUE"""),1416.7)</f>
        <v>1416.7</v>
      </c>
      <c r="I129" s="47">
        <f>IFERROR(__xludf.DUMMYFUNCTION("""COMPUTED_VALUE"""),45926.6458333333)</f>
        <v>45926.6458333333</v>
      </c>
      <c r="J129" s="48">
        <f>IFERROR(__xludf.DUMMYFUNCTION("""COMPUTED_VALUE"""),1390.3)</f>
        <v>1390.3</v>
      </c>
      <c r="K129" s="48">
        <f>'Adani Enterprises'!K129</f>
        <v>0</v>
      </c>
      <c r="L129" s="48">
        <f>'Adani Enterprises'!L129</f>
        <v>0</v>
      </c>
      <c r="M129" s="48">
        <f>'Adani Enterprises'!M129</f>
        <v>0</v>
      </c>
      <c r="N129" s="48">
        <f>'Adani Enterprises'!N129</f>
        <v>0</v>
      </c>
      <c r="O129" s="48">
        <f>'Adani Enterprises'!O129</f>
        <v>0</v>
      </c>
      <c r="P129" s="48">
        <f>'Adani Enterprises'!P129</f>
        <v>0</v>
      </c>
      <c r="Q129" s="48">
        <f>'Adani Enterprises'!Q129</f>
        <v>0</v>
      </c>
      <c r="R129" s="48">
        <f>'Adani Enterprises'!R129</f>
        <v>0</v>
      </c>
      <c r="S129" s="48">
        <f>'Adani Enterprises'!S129</f>
        <v>0</v>
      </c>
      <c r="T129" s="48">
        <f>'Adani Enterprises'!T129</f>
        <v>0</v>
      </c>
      <c r="U129" s="48">
        <f>'Adani Enterprises'!U129</f>
        <v>0</v>
      </c>
      <c r="V129" s="48">
        <f>'Adani Enterprises'!V129</f>
        <v>0</v>
      </c>
      <c r="W129" s="48">
        <f>'Adani Enterprises'!W129</f>
        <v>0</v>
      </c>
      <c r="X129" s="48">
        <f>'Adani Enterprises'!X129</f>
        <v>0</v>
      </c>
      <c r="Y129" s="48">
        <f>'Adani Enterprises'!Y129</f>
        <v>0</v>
      </c>
      <c r="Z129" s="48">
        <f>'Adani Enterprises'!Z129</f>
        <v>0</v>
      </c>
      <c r="AA129" s="48">
        <f>'Adani Enterprises'!AA129</f>
        <v>0</v>
      </c>
      <c r="AB129" s="48">
        <f>'Adani Enterprises'!AB129</f>
        <v>0</v>
      </c>
      <c r="AC129" s="48">
        <f>'Adani Enterprises'!AC129</f>
        <v>0</v>
      </c>
      <c r="AD129" s="48">
        <f>'Adani Enterprises'!AD129</f>
        <v>0</v>
      </c>
      <c r="AE129" s="48">
        <f>'Adani Enterprises'!AE129</f>
        <v>0</v>
      </c>
      <c r="AF129" s="48">
        <f>'Adani Enterprises'!AF129</f>
        <v>0</v>
      </c>
      <c r="AG129" s="48">
        <f>'Adani Enterprises'!AG129</f>
        <v>0</v>
      </c>
      <c r="AH129" s="48">
        <f>'Adani Enterprises'!AH129</f>
        <v>0</v>
      </c>
      <c r="AI129" s="48">
        <f>'Adani Enterprises'!AI129</f>
        <v>0</v>
      </c>
      <c r="AJ129" s="48">
        <f>'Adani Enterprises'!AJ129</f>
        <v>0</v>
      </c>
      <c r="AK129" s="48">
        <f>'Adani Enterprises'!AK129</f>
        <v>0</v>
      </c>
      <c r="AL129" s="48">
        <f>'Adani Enterprises'!AL129</f>
        <v>0</v>
      </c>
    </row>
    <row r="130" customHeight="1" spans="11:38">
      <c r="K130" s="48">
        <f>'Adani Enterprises'!K130</f>
        <v>0</v>
      </c>
      <c r="L130" s="48">
        <f>'Adani Enterprises'!L130</f>
        <v>0</v>
      </c>
      <c r="M130" s="48">
        <f>'Adani Enterprises'!M130</f>
        <v>0</v>
      </c>
      <c r="N130" s="48">
        <f>'Adani Enterprises'!N130</f>
        <v>0</v>
      </c>
      <c r="O130" s="48">
        <f>'Adani Enterprises'!O130</f>
        <v>0</v>
      </c>
      <c r="P130" s="48">
        <f>'Adani Enterprises'!P130</f>
        <v>0</v>
      </c>
      <c r="Q130" s="48">
        <f>'Adani Enterprises'!Q130</f>
        <v>0</v>
      </c>
      <c r="R130" s="48">
        <f>'Adani Enterprises'!R130</f>
        <v>0</v>
      </c>
      <c r="S130" s="48">
        <f>'Adani Enterprises'!S130</f>
        <v>0</v>
      </c>
      <c r="T130" s="48">
        <f>'Adani Enterprises'!T130</f>
        <v>0</v>
      </c>
      <c r="U130" s="48">
        <f>'Adani Enterprises'!U130</f>
        <v>0</v>
      </c>
      <c r="V130" s="48">
        <f>'Adani Enterprises'!V130</f>
        <v>0</v>
      </c>
      <c r="W130" s="48">
        <f>'Adani Enterprises'!W130</f>
        <v>0</v>
      </c>
      <c r="X130" s="48">
        <f>'Adani Enterprises'!X130</f>
        <v>0</v>
      </c>
      <c r="Y130" s="48">
        <f>'Adani Enterprises'!Y130</f>
        <v>0</v>
      </c>
      <c r="Z130" s="48">
        <f>'Adani Enterprises'!Z130</f>
        <v>0</v>
      </c>
      <c r="AA130" s="48">
        <f>'Adani Enterprises'!AA130</f>
        <v>0</v>
      </c>
      <c r="AB130" s="48">
        <f>'Adani Enterprises'!AB130</f>
        <v>0</v>
      </c>
      <c r="AC130" s="48">
        <f>'Adani Enterprises'!AC130</f>
        <v>0</v>
      </c>
      <c r="AD130" s="48">
        <f>'Adani Enterprises'!AD130</f>
        <v>0</v>
      </c>
      <c r="AE130" s="48">
        <f>'Adani Enterprises'!AE130</f>
        <v>0</v>
      </c>
      <c r="AF130" s="48">
        <f>'Adani Enterprises'!AF130</f>
        <v>0</v>
      </c>
      <c r="AG130" s="48">
        <f>'Adani Enterprises'!AG130</f>
        <v>0</v>
      </c>
      <c r="AH130" s="48">
        <f>'Adani Enterprises'!AH130</f>
        <v>0</v>
      </c>
      <c r="AI130" s="48">
        <f>'Adani Enterprises'!AI130</f>
        <v>0</v>
      </c>
      <c r="AJ130" s="48">
        <f>'Adani Enterprises'!AJ130</f>
        <v>0</v>
      </c>
      <c r="AK130" s="48">
        <f>'Adani Enterprises'!AK130</f>
        <v>0</v>
      </c>
      <c r="AL130" s="48">
        <f>'Adani Enterprises'!AL130</f>
        <v>0</v>
      </c>
    </row>
    <row r="131" customHeight="1" spans="1:38">
      <c r="A131" s="48">
        <f>'Adani Enterprises'!A131</f>
        <v>0</v>
      </c>
      <c r="B131" s="48">
        <f>'Adani Enterprises'!B131</f>
        <v>0</v>
      </c>
      <c r="C131" s="48">
        <f>'Adani Enterprises'!C131</f>
        <v>0</v>
      </c>
      <c r="D131" s="48">
        <f>'Adani Enterprises'!D131</f>
        <v>0</v>
      </c>
      <c r="E131" s="48">
        <f>'Adani Enterprises'!E131</f>
        <v>0</v>
      </c>
      <c r="F131" s="48">
        <f>'Adani Enterprises'!F131</f>
        <v>0</v>
      </c>
      <c r="G131" s="48">
        <f>'Adani Enterprises'!G131</f>
        <v>0</v>
      </c>
      <c r="H131" s="48">
        <f>'Adani Enterprises'!H131</f>
        <v>0</v>
      </c>
      <c r="I131" s="48">
        <f>'Adani Enterprises'!I131</f>
        <v>0</v>
      </c>
      <c r="J131" s="48">
        <f>'Adani Enterprises'!J131</f>
        <v>0</v>
      </c>
      <c r="K131" s="48">
        <f>'Adani Enterprises'!K131</f>
        <v>0</v>
      </c>
      <c r="L131" s="48">
        <f>'Adani Enterprises'!L131</f>
        <v>0</v>
      </c>
      <c r="M131" s="48">
        <f>'Adani Enterprises'!M131</f>
        <v>0</v>
      </c>
      <c r="N131" s="48">
        <f>'Adani Enterprises'!N131</f>
        <v>0</v>
      </c>
      <c r="O131" s="48">
        <f>'Adani Enterprises'!O131</f>
        <v>0</v>
      </c>
      <c r="P131" s="48">
        <f>'Adani Enterprises'!P131</f>
        <v>0</v>
      </c>
      <c r="Q131" s="48">
        <f>'Adani Enterprises'!Q131</f>
        <v>0</v>
      </c>
      <c r="R131" s="48">
        <f>'Adani Enterprises'!R131</f>
        <v>0</v>
      </c>
      <c r="S131" s="48">
        <f>'Adani Enterprises'!S131</f>
        <v>0</v>
      </c>
      <c r="T131" s="48">
        <f>'Adani Enterprises'!T131</f>
        <v>0</v>
      </c>
      <c r="U131" s="48">
        <f>'Adani Enterprises'!U131</f>
        <v>0</v>
      </c>
      <c r="V131" s="48">
        <f>'Adani Enterprises'!V131</f>
        <v>0</v>
      </c>
      <c r="W131" s="48">
        <f>'Adani Enterprises'!W131</f>
        <v>0</v>
      </c>
      <c r="X131" s="48">
        <f>'Adani Enterprises'!X131</f>
        <v>0</v>
      </c>
      <c r="Y131" s="48">
        <f>'Adani Enterprises'!Y131</f>
        <v>0</v>
      </c>
      <c r="Z131" s="48">
        <f>'Adani Enterprises'!Z131</f>
        <v>0</v>
      </c>
      <c r="AA131" s="48">
        <f>'Adani Enterprises'!AA131</f>
        <v>0</v>
      </c>
      <c r="AB131" s="48">
        <f>'Adani Enterprises'!AB131</f>
        <v>0</v>
      </c>
      <c r="AC131" s="48">
        <f>'Adani Enterprises'!AC131</f>
        <v>0</v>
      </c>
      <c r="AD131" s="48">
        <f>'Adani Enterprises'!AD131</f>
        <v>0</v>
      </c>
      <c r="AE131" s="48">
        <f>'Adani Enterprises'!AE131</f>
        <v>0</v>
      </c>
      <c r="AF131" s="48">
        <f>'Adani Enterprises'!AF131</f>
        <v>0</v>
      </c>
      <c r="AG131" s="48">
        <f>'Adani Enterprises'!AG131</f>
        <v>0</v>
      </c>
      <c r="AH131" s="48">
        <f>'Adani Enterprises'!AH131</f>
        <v>0</v>
      </c>
      <c r="AI131" s="48">
        <f>'Adani Enterprises'!AI131</f>
        <v>0</v>
      </c>
      <c r="AJ131" s="48">
        <f>'Adani Enterprises'!AJ131</f>
        <v>0</v>
      </c>
      <c r="AK131" s="48">
        <f>'Adani Enterprises'!AK131</f>
        <v>0</v>
      </c>
      <c r="AL131" s="48">
        <f>'Adani Enterprises'!AL131</f>
        <v>0</v>
      </c>
    </row>
    <row r="132" customHeight="1" spans="1:38">
      <c r="A132" s="48">
        <f>'Adani Enterprises'!A132</f>
        <v>0</v>
      </c>
      <c r="B132" s="48">
        <f>'Adani Enterprises'!B132</f>
        <v>0</v>
      </c>
      <c r="C132" s="48">
        <f>'Adani Enterprises'!C132</f>
        <v>0</v>
      </c>
      <c r="D132" s="48">
        <f>'Adani Enterprises'!D132</f>
        <v>0</v>
      </c>
      <c r="E132" s="48">
        <f>'Adani Enterprises'!E132</f>
        <v>0</v>
      </c>
      <c r="F132" s="48">
        <f>'Adani Enterprises'!F132</f>
        <v>0</v>
      </c>
      <c r="G132" s="48">
        <f>'Adani Enterprises'!G132</f>
        <v>0</v>
      </c>
      <c r="H132" s="48">
        <f>'Adani Enterprises'!H132</f>
        <v>0</v>
      </c>
      <c r="I132" s="48">
        <f>'Adani Enterprises'!I132</f>
        <v>0</v>
      </c>
      <c r="J132" s="48">
        <f>'Adani Enterprises'!J132</f>
        <v>0</v>
      </c>
      <c r="K132" s="48">
        <f>'Adani Enterprises'!K132</f>
        <v>0</v>
      </c>
      <c r="L132" s="48">
        <f>'Adani Enterprises'!L132</f>
        <v>0</v>
      </c>
      <c r="M132" s="48">
        <f>'Adani Enterprises'!M132</f>
        <v>0</v>
      </c>
      <c r="N132" s="48">
        <f>'Adani Enterprises'!N132</f>
        <v>0</v>
      </c>
      <c r="O132" s="48">
        <f>'Adani Enterprises'!O132</f>
        <v>0</v>
      </c>
      <c r="P132" s="48">
        <f>'Adani Enterprises'!P132</f>
        <v>0</v>
      </c>
      <c r="Q132" s="48">
        <f>'Adani Enterprises'!Q132</f>
        <v>0</v>
      </c>
      <c r="R132" s="48">
        <f>'Adani Enterprises'!R132</f>
        <v>0</v>
      </c>
      <c r="S132" s="48">
        <f>'Adani Enterprises'!S132</f>
        <v>0</v>
      </c>
      <c r="T132" s="48">
        <f>'Adani Enterprises'!T132</f>
        <v>0</v>
      </c>
      <c r="U132" s="48">
        <f>'Adani Enterprises'!U132</f>
        <v>0</v>
      </c>
      <c r="V132" s="48">
        <f>'Adani Enterprises'!V132</f>
        <v>0</v>
      </c>
      <c r="W132" s="48">
        <f>'Adani Enterprises'!W132</f>
        <v>0</v>
      </c>
      <c r="X132" s="48">
        <f>'Adani Enterprises'!X132</f>
        <v>0</v>
      </c>
      <c r="Y132" s="48">
        <f>'Adani Enterprises'!Y132</f>
        <v>0</v>
      </c>
      <c r="Z132" s="48">
        <f>'Adani Enterprises'!Z132</f>
        <v>0</v>
      </c>
      <c r="AA132" s="48">
        <f>'Adani Enterprises'!AA132</f>
        <v>0</v>
      </c>
      <c r="AB132" s="48">
        <f>'Adani Enterprises'!AB132</f>
        <v>0</v>
      </c>
      <c r="AC132" s="48">
        <f>'Adani Enterprises'!AC132</f>
        <v>0</v>
      </c>
      <c r="AD132" s="48">
        <f>'Adani Enterprises'!AD132</f>
        <v>0</v>
      </c>
      <c r="AE132" s="48">
        <f>'Adani Enterprises'!AE132</f>
        <v>0</v>
      </c>
      <c r="AF132" s="48">
        <f>'Adani Enterprises'!AF132</f>
        <v>0</v>
      </c>
      <c r="AG132" s="48">
        <f>'Adani Enterprises'!AG132</f>
        <v>0</v>
      </c>
      <c r="AH132" s="48">
        <f>'Adani Enterprises'!AH132</f>
        <v>0</v>
      </c>
      <c r="AI132" s="48">
        <f>'Adani Enterprises'!AI132</f>
        <v>0</v>
      </c>
      <c r="AJ132" s="48">
        <f>'Adani Enterprises'!AJ132</f>
        <v>0</v>
      </c>
      <c r="AK132" s="48">
        <f>'Adani Enterprises'!AK132</f>
        <v>0</v>
      </c>
      <c r="AL132" s="48">
        <f>'Adani Enterprises'!AL132</f>
        <v>0</v>
      </c>
    </row>
    <row r="133" customHeight="1" spans="1:38">
      <c r="A133" s="48">
        <f>'Adani Enterprises'!A133</f>
        <v>0</v>
      </c>
      <c r="B133" s="48">
        <f>'Adani Enterprises'!B133</f>
        <v>0</v>
      </c>
      <c r="C133" s="48">
        <f>'Adani Enterprises'!C133</f>
        <v>0</v>
      </c>
      <c r="D133" s="48">
        <f>'Adani Enterprises'!D133</f>
        <v>0</v>
      </c>
      <c r="E133" s="48">
        <f>'Adani Enterprises'!E133</f>
        <v>0</v>
      </c>
      <c r="F133" s="48">
        <f>'Adani Enterprises'!F133</f>
        <v>0</v>
      </c>
      <c r="G133" s="48">
        <f>'Adani Enterprises'!G133</f>
        <v>0</v>
      </c>
      <c r="H133" s="48">
        <f>'Adani Enterprises'!H133</f>
        <v>0</v>
      </c>
      <c r="I133" s="48">
        <f>'Adani Enterprises'!I133</f>
        <v>0</v>
      </c>
      <c r="J133" s="48">
        <f>'Adani Enterprises'!J133</f>
        <v>0</v>
      </c>
      <c r="K133" s="48">
        <f>'Adani Enterprises'!K133</f>
        <v>0</v>
      </c>
      <c r="L133" s="48">
        <f>'Adani Enterprises'!L133</f>
        <v>0</v>
      </c>
      <c r="M133" s="48">
        <f>'Adani Enterprises'!M133</f>
        <v>0</v>
      </c>
      <c r="N133" s="48">
        <f>'Adani Enterprises'!N133</f>
        <v>0</v>
      </c>
      <c r="O133" s="48">
        <f>'Adani Enterprises'!O133</f>
        <v>0</v>
      </c>
      <c r="P133" s="48">
        <f>'Adani Enterprises'!P133</f>
        <v>0</v>
      </c>
      <c r="Q133" s="48">
        <f>'Adani Enterprises'!Q133</f>
        <v>0</v>
      </c>
      <c r="R133" s="48">
        <f>'Adani Enterprises'!R133</f>
        <v>0</v>
      </c>
      <c r="S133" s="48">
        <f>'Adani Enterprises'!S133</f>
        <v>0</v>
      </c>
      <c r="T133" s="48">
        <f>'Adani Enterprises'!T133</f>
        <v>0</v>
      </c>
      <c r="U133" s="48">
        <f>'Adani Enterprises'!U133</f>
        <v>0</v>
      </c>
      <c r="V133" s="48">
        <f>'Adani Enterprises'!V133</f>
        <v>0</v>
      </c>
      <c r="W133" s="48">
        <f>'Adani Enterprises'!W133</f>
        <v>0</v>
      </c>
      <c r="X133" s="48">
        <f>'Adani Enterprises'!X133</f>
        <v>0</v>
      </c>
      <c r="Y133" s="48">
        <f>'Adani Enterprises'!Y133</f>
        <v>0</v>
      </c>
      <c r="Z133" s="48">
        <f>'Adani Enterprises'!Z133</f>
        <v>0</v>
      </c>
      <c r="AA133" s="48">
        <f>'Adani Enterprises'!AA133</f>
        <v>0</v>
      </c>
      <c r="AB133" s="48">
        <f>'Adani Enterprises'!AB133</f>
        <v>0</v>
      </c>
      <c r="AC133" s="48">
        <f>'Adani Enterprises'!AC133</f>
        <v>0</v>
      </c>
      <c r="AD133" s="48">
        <f>'Adani Enterprises'!AD133</f>
        <v>0</v>
      </c>
      <c r="AE133" s="48">
        <f>'Adani Enterprises'!AE133</f>
        <v>0</v>
      </c>
      <c r="AF133" s="48">
        <f>'Adani Enterprises'!AF133</f>
        <v>0</v>
      </c>
      <c r="AG133" s="48">
        <f>'Adani Enterprises'!AG133</f>
        <v>0</v>
      </c>
      <c r="AH133" s="48">
        <f>'Adani Enterprises'!AH133</f>
        <v>0</v>
      </c>
      <c r="AI133" s="48">
        <f>'Adani Enterprises'!AI133</f>
        <v>0</v>
      </c>
      <c r="AJ133" s="48">
        <f>'Adani Enterprises'!AJ133</f>
        <v>0</v>
      </c>
      <c r="AK133" s="48">
        <f>'Adani Enterprises'!AK133</f>
        <v>0</v>
      </c>
      <c r="AL133" s="48">
        <f>'Adani Enterprises'!AL133</f>
        <v>0</v>
      </c>
    </row>
    <row r="134" customHeight="1" spans="1:38">
      <c r="A134" s="48">
        <f>'Adani Enterprises'!A134</f>
        <v>0</v>
      </c>
      <c r="B134" s="48">
        <f>'Adani Enterprises'!B134</f>
        <v>0</v>
      </c>
      <c r="C134" s="48">
        <f>'Adani Enterprises'!C134</f>
        <v>0</v>
      </c>
      <c r="D134" s="48">
        <f>'Adani Enterprises'!D134</f>
        <v>0</v>
      </c>
      <c r="E134" s="48">
        <f>'Adani Enterprises'!E134</f>
        <v>0</v>
      </c>
      <c r="F134" s="48">
        <f>'Adani Enterprises'!F134</f>
        <v>0</v>
      </c>
      <c r="G134" s="48">
        <f>'Adani Enterprises'!G134</f>
        <v>0</v>
      </c>
      <c r="H134" s="48">
        <f>'Adani Enterprises'!H134</f>
        <v>0</v>
      </c>
      <c r="I134" s="48">
        <f>'Adani Enterprises'!I134</f>
        <v>0</v>
      </c>
      <c r="J134" s="48">
        <f>'Adani Enterprises'!J134</f>
        <v>0</v>
      </c>
      <c r="K134" s="48">
        <f>'Adani Enterprises'!K134</f>
        <v>0</v>
      </c>
      <c r="L134" s="48">
        <f>'Adani Enterprises'!L134</f>
        <v>0</v>
      </c>
      <c r="M134" s="48">
        <f>'Adani Enterprises'!M134</f>
        <v>0</v>
      </c>
      <c r="N134" s="48">
        <f>'Adani Enterprises'!N134</f>
        <v>0</v>
      </c>
      <c r="O134" s="48">
        <f>'Adani Enterprises'!O134</f>
        <v>0</v>
      </c>
      <c r="P134" s="48">
        <f>'Adani Enterprises'!P134</f>
        <v>0</v>
      </c>
      <c r="Q134" s="48">
        <f>'Adani Enterprises'!Q134</f>
        <v>0</v>
      </c>
      <c r="R134" s="48">
        <f>'Adani Enterprises'!R134</f>
        <v>0</v>
      </c>
      <c r="S134" s="48">
        <f>'Adani Enterprises'!S134</f>
        <v>0</v>
      </c>
      <c r="T134" s="48">
        <f>'Adani Enterprises'!T134</f>
        <v>0</v>
      </c>
      <c r="U134" s="48">
        <f>'Adani Enterprises'!U134</f>
        <v>0</v>
      </c>
      <c r="V134" s="48">
        <f>'Adani Enterprises'!V134</f>
        <v>0</v>
      </c>
      <c r="W134" s="48">
        <f>'Adani Enterprises'!W134</f>
        <v>0</v>
      </c>
      <c r="X134" s="48">
        <f>'Adani Enterprises'!X134</f>
        <v>0</v>
      </c>
      <c r="Y134" s="48">
        <f>'Adani Enterprises'!Y134</f>
        <v>0</v>
      </c>
      <c r="Z134" s="48">
        <f>'Adani Enterprises'!Z134</f>
        <v>0</v>
      </c>
      <c r="AA134" s="48">
        <f>'Adani Enterprises'!AA134</f>
        <v>0</v>
      </c>
      <c r="AB134" s="48">
        <f>'Adani Enterprises'!AB134</f>
        <v>0</v>
      </c>
      <c r="AC134" s="48">
        <f>'Adani Enterprises'!AC134</f>
        <v>0</v>
      </c>
      <c r="AD134" s="48">
        <f>'Adani Enterprises'!AD134</f>
        <v>0</v>
      </c>
      <c r="AE134" s="48">
        <f>'Adani Enterprises'!AE134</f>
        <v>0</v>
      </c>
      <c r="AF134" s="48">
        <f>'Adani Enterprises'!AF134</f>
        <v>0</v>
      </c>
      <c r="AG134" s="48">
        <f>'Adani Enterprises'!AG134</f>
        <v>0</v>
      </c>
      <c r="AH134" s="48">
        <f>'Adani Enterprises'!AH134</f>
        <v>0</v>
      </c>
      <c r="AI134" s="48">
        <f>'Adani Enterprises'!AI134</f>
        <v>0</v>
      </c>
      <c r="AJ134" s="48">
        <f>'Adani Enterprises'!AJ134</f>
        <v>0</v>
      </c>
      <c r="AK134" s="48">
        <f>'Adani Enterprises'!AK134</f>
        <v>0</v>
      </c>
      <c r="AL134" s="48">
        <f>'Adani Enterprises'!AL134</f>
        <v>0</v>
      </c>
    </row>
    <row r="135" customHeight="1" spans="1:38">
      <c r="A135" s="48">
        <f>'Adani Enterprises'!A135</f>
        <v>0</v>
      </c>
      <c r="B135" s="48">
        <f>'Adani Enterprises'!B135</f>
        <v>0</v>
      </c>
      <c r="C135" s="48">
        <f>'Adani Enterprises'!C135</f>
        <v>0</v>
      </c>
      <c r="D135" s="48">
        <f>'Adani Enterprises'!D135</f>
        <v>0</v>
      </c>
      <c r="E135" s="48">
        <f>'Adani Enterprises'!E135</f>
        <v>0</v>
      </c>
      <c r="F135" s="48">
        <f>'Adani Enterprises'!F135</f>
        <v>0</v>
      </c>
      <c r="G135" s="48">
        <f>'Adani Enterprises'!G135</f>
        <v>0</v>
      </c>
      <c r="H135" s="48">
        <f>'Adani Enterprises'!H135</f>
        <v>0</v>
      </c>
      <c r="I135" s="48">
        <f>'Adani Enterprises'!I135</f>
        <v>0</v>
      </c>
      <c r="J135" s="48">
        <f>'Adani Enterprises'!J135</f>
        <v>0</v>
      </c>
      <c r="K135" s="48">
        <f>'Adani Enterprises'!K135</f>
        <v>0</v>
      </c>
      <c r="L135" s="48">
        <f>'Adani Enterprises'!L135</f>
        <v>0</v>
      </c>
      <c r="M135" s="48">
        <f>'Adani Enterprises'!M135</f>
        <v>0</v>
      </c>
      <c r="N135" s="48">
        <f>'Adani Enterprises'!N135</f>
        <v>0</v>
      </c>
      <c r="O135" s="48">
        <f>'Adani Enterprises'!O135</f>
        <v>0</v>
      </c>
      <c r="P135" s="48">
        <f>'Adani Enterprises'!P135</f>
        <v>0</v>
      </c>
      <c r="Q135" s="48">
        <f>'Adani Enterprises'!Q135</f>
        <v>0</v>
      </c>
      <c r="R135" s="48">
        <f>'Adani Enterprises'!R135</f>
        <v>0</v>
      </c>
      <c r="S135" s="48">
        <f>'Adani Enterprises'!S135</f>
        <v>0</v>
      </c>
      <c r="T135" s="48">
        <f>'Adani Enterprises'!T135</f>
        <v>0</v>
      </c>
      <c r="U135" s="48">
        <f>'Adani Enterprises'!U135</f>
        <v>0</v>
      </c>
      <c r="V135" s="48">
        <f>'Adani Enterprises'!V135</f>
        <v>0</v>
      </c>
      <c r="W135" s="48">
        <f>'Adani Enterprises'!W135</f>
        <v>0</v>
      </c>
      <c r="X135" s="48">
        <f>'Adani Enterprises'!X135</f>
        <v>0</v>
      </c>
      <c r="Y135" s="48">
        <f>'Adani Enterprises'!Y135</f>
        <v>0</v>
      </c>
      <c r="Z135" s="48">
        <f>'Adani Enterprises'!Z135</f>
        <v>0</v>
      </c>
      <c r="AA135" s="48">
        <f>'Adani Enterprises'!AA135</f>
        <v>0</v>
      </c>
      <c r="AB135" s="48">
        <f>'Adani Enterprises'!AB135</f>
        <v>0</v>
      </c>
      <c r="AC135" s="48">
        <f>'Adani Enterprises'!AC135</f>
        <v>0</v>
      </c>
      <c r="AD135" s="48">
        <f>'Adani Enterprises'!AD135</f>
        <v>0</v>
      </c>
      <c r="AE135" s="48">
        <f>'Adani Enterprises'!AE135</f>
        <v>0</v>
      </c>
      <c r="AF135" s="48">
        <f>'Adani Enterprises'!AF135</f>
        <v>0</v>
      </c>
      <c r="AG135" s="48">
        <f>'Adani Enterprises'!AG135</f>
        <v>0</v>
      </c>
      <c r="AH135" s="48">
        <f>'Adani Enterprises'!AH135</f>
        <v>0</v>
      </c>
      <c r="AI135" s="48">
        <f>'Adani Enterprises'!AI135</f>
        <v>0</v>
      </c>
      <c r="AJ135" s="48">
        <f>'Adani Enterprises'!AJ135</f>
        <v>0</v>
      </c>
      <c r="AK135" s="48">
        <f>'Adani Enterprises'!AK135</f>
        <v>0</v>
      </c>
      <c r="AL135" s="48">
        <f>'Adani Enterprises'!AL135</f>
        <v>0</v>
      </c>
    </row>
    <row r="136" customHeight="1" spans="1:38">
      <c r="A136" s="48">
        <f>'Adani Enterprises'!A136</f>
        <v>0</v>
      </c>
      <c r="B136" s="48">
        <f>'Adani Enterprises'!B136</f>
        <v>0</v>
      </c>
      <c r="C136" s="48">
        <f>'Adani Enterprises'!C136</f>
        <v>0</v>
      </c>
      <c r="D136" s="48">
        <f>'Adani Enterprises'!D136</f>
        <v>0</v>
      </c>
      <c r="E136" s="48">
        <f>'Adani Enterprises'!E136</f>
        <v>0</v>
      </c>
      <c r="F136" s="48">
        <f>'Adani Enterprises'!F136</f>
        <v>0</v>
      </c>
      <c r="G136" s="48">
        <f>'Adani Enterprises'!G136</f>
        <v>0</v>
      </c>
      <c r="H136" s="48">
        <f>'Adani Enterprises'!H136</f>
        <v>0</v>
      </c>
      <c r="I136" s="48">
        <f>'Adani Enterprises'!I136</f>
        <v>0</v>
      </c>
      <c r="J136" s="48">
        <f>'Adani Enterprises'!J136</f>
        <v>0</v>
      </c>
      <c r="K136" s="48">
        <f>'Adani Enterprises'!K136</f>
        <v>0</v>
      </c>
      <c r="L136" s="48">
        <f>'Adani Enterprises'!L136</f>
        <v>0</v>
      </c>
      <c r="M136" s="48">
        <f>'Adani Enterprises'!M136</f>
        <v>0</v>
      </c>
      <c r="N136" s="48">
        <f>'Adani Enterprises'!N136</f>
        <v>0</v>
      </c>
      <c r="O136" s="48">
        <f>'Adani Enterprises'!O136</f>
        <v>0</v>
      </c>
      <c r="P136" s="48">
        <f>'Adani Enterprises'!P136</f>
        <v>0</v>
      </c>
      <c r="Q136" s="48">
        <f>'Adani Enterprises'!Q136</f>
        <v>0</v>
      </c>
      <c r="R136" s="48">
        <f>'Adani Enterprises'!R136</f>
        <v>0</v>
      </c>
      <c r="S136" s="48">
        <f>'Adani Enterprises'!S136</f>
        <v>0</v>
      </c>
      <c r="T136" s="48">
        <f>'Adani Enterprises'!T136</f>
        <v>0</v>
      </c>
      <c r="U136" s="48">
        <f>'Adani Enterprises'!U136</f>
        <v>0</v>
      </c>
      <c r="V136" s="48">
        <f>'Adani Enterprises'!V136</f>
        <v>0</v>
      </c>
      <c r="W136" s="48">
        <f>'Adani Enterprises'!W136</f>
        <v>0</v>
      </c>
      <c r="X136" s="48">
        <f>'Adani Enterprises'!X136</f>
        <v>0</v>
      </c>
      <c r="Y136" s="48">
        <f>'Adani Enterprises'!Y136</f>
        <v>0</v>
      </c>
      <c r="Z136" s="48">
        <f>'Adani Enterprises'!Z136</f>
        <v>0</v>
      </c>
      <c r="AA136" s="48">
        <f>'Adani Enterprises'!AA136</f>
        <v>0</v>
      </c>
      <c r="AB136" s="48">
        <f>'Adani Enterprises'!AB136</f>
        <v>0</v>
      </c>
      <c r="AC136" s="48">
        <f>'Adani Enterprises'!AC136</f>
        <v>0</v>
      </c>
      <c r="AD136" s="48">
        <f>'Adani Enterprises'!AD136</f>
        <v>0</v>
      </c>
      <c r="AE136" s="48">
        <f>'Adani Enterprises'!AE136</f>
        <v>0</v>
      </c>
      <c r="AF136" s="48">
        <f>'Adani Enterprises'!AF136</f>
        <v>0</v>
      </c>
      <c r="AG136" s="48">
        <f>'Adani Enterprises'!AG136</f>
        <v>0</v>
      </c>
      <c r="AH136" s="48">
        <f>'Adani Enterprises'!AH136</f>
        <v>0</v>
      </c>
      <c r="AI136" s="48">
        <f>'Adani Enterprises'!AI136</f>
        <v>0</v>
      </c>
      <c r="AJ136" s="48">
        <f>'Adani Enterprises'!AJ136</f>
        <v>0</v>
      </c>
      <c r="AK136" s="48">
        <f>'Adani Enterprises'!AK136</f>
        <v>0</v>
      </c>
      <c r="AL136" s="48">
        <f>'Adani Enterprises'!AL136</f>
        <v>0</v>
      </c>
    </row>
    <row r="137" customHeight="1" spans="1:38">
      <c r="A137" s="48">
        <f>'Adani Enterprises'!A137</f>
        <v>0</v>
      </c>
      <c r="B137" s="48">
        <f>'Adani Enterprises'!B137</f>
        <v>0</v>
      </c>
      <c r="C137" s="48">
        <f>'Adani Enterprises'!C137</f>
        <v>0</v>
      </c>
      <c r="D137" s="48">
        <f>'Adani Enterprises'!D137</f>
        <v>0</v>
      </c>
      <c r="E137" s="48">
        <f>'Adani Enterprises'!E137</f>
        <v>0</v>
      </c>
      <c r="F137" s="48">
        <f>'Adani Enterprises'!F137</f>
        <v>0</v>
      </c>
      <c r="G137" s="48">
        <f>'Adani Enterprises'!G137</f>
        <v>0</v>
      </c>
      <c r="H137" s="48">
        <f>'Adani Enterprises'!H137</f>
        <v>0</v>
      </c>
      <c r="I137" s="48">
        <f>'Adani Enterprises'!I137</f>
        <v>0</v>
      </c>
      <c r="J137" s="48">
        <f>'Adani Enterprises'!J137</f>
        <v>0</v>
      </c>
      <c r="K137" s="48">
        <f>'Adani Enterprises'!K137</f>
        <v>0</v>
      </c>
      <c r="L137" s="48">
        <f>'Adani Enterprises'!L137</f>
        <v>0</v>
      </c>
      <c r="M137" s="48">
        <f>'Adani Enterprises'!M137</f>
        <v>0</v>
      </c>
      <c r="N137" s="48">
        <f>'Adani Enterprises'!N137</f>
        <v>0</v>
      </c>
      <c r="O137" s="48">
        <f>'Adani Enterprises'!O137</f>
        <v>0</v>
      </c>
      <c r="P137" s="48">
        <f>'Adani Enterprises'!P137</f>
        <v>0</v>
      </c>
      <c r="Q137" s="48">
        <f>'Adani Enterprises'!Q137</f>
        <v>0</v>
      </c>
      <c r="R137" s="48">
        <f>'Adani Enterprises'!R137</f>
        <v>0</v>
      </c>
      <c r="S137" s="48">
        <f>'Adani Enterprises'!S137</f>
        <v>0</v>
      </c>
      <c r="T137" s="48">
        <f>'Adani Enterprises'!T137</f>
        <v>0</v>
      </c>
      <c r="U137" s="48">
        <f>'Adani Enterprises'!U137</f>
        <v>0</v>
      </c>
      <c r="V137" s="48">
        <f>'Adani Enterprises'!V137</f>
        <v>0</v>
      </c>
      <c r="W137" s="48">
        <f>'Adani Enterprises'!W137</f>
        <v>0</v>
      </c>
      <c r="X137" s="48">
        <f>'Adani Enterprises'!X137</f>
        <v>0</v>
      </c>
      <c r="Y137" s="48">
        <f>'Adani Enterprises'!Y137</f>
        <v>0</v>
      </c>
      <c r="Z137" s="48">
        <f>'Adani Enterprises'!Z137</f>
        <v>0</v>
      </c>
      <c r="AA137" s="48">
        <f>'Adani Enterprises'!AA137</f>
        <v>0</v>
      </c>
      <c r="AB137" s="48">
        <f>'Adani Enterprises'!AB137</f>
        <v>0</v>
      </c>
      <c r="AC137" s="48">
        <f>'Adani Enterprises'!AC137</f>
        <v>0</v>
      </c>
      <c r="AD137" s="48">
        <f>'Adani Enterprises'!AD137</f>
        <v>0</v>
      </c>
      <c r="AE137" s="48">
        <f>'Adani Enterprises'!AE137</f>
        <v>0</v>
      </c>
      <c r="AF137" s="48">
        <f>'Adani Enterprises'!AF137</f>
        <v>0</v>
      </c>
      <c r="AG137" s="48">
        <f>'Adani Enterprises'!AG137</f>
        <v>0</v>
      </c>
      <c r="AH137" s="48">
        <f>'Adani Enterprises'!AH137</f>
        <v>0</v>
      </c>
      <c r="AI137" s="48">
        <f>'Adani Enterprises'!AI137</f>
        <v>0</v>
      </c>
      <c r="AJ137" s="48">
        <f>'Adani Enterprises'!AJ137</f>
        <v>0</v>
      </c>
      <c r="AK137" s="48">
        <f>'Adani Enterprises'!AK137</f>
        <v>0</v>
      </c>
      <c r="AL137" s="48">
        <f>'Adani Enterprises'!AL137</f>
        <v>0</v>
      </c>
    </row>
    <row r="138" customHeight="1" spans="1:38">
      <c r="A138" s="48">
        <f>'Adani Enterprises'!A138</f>
        <v>0</v>
      </c>
      <c r="B138" s="48">
        <f>'Adani Enterprises'!B138</f>
        <v>0</v>
      </c>
      <c r="C138" s="48">
        <f>'Adani Enterprises'!C138</f>
        <v>0</v>
      </c>
      <c r="D138" s="48">
        <f>'Adani Enterprises'!D138</f>
        <v>0</v>
      </c>
      <c r="E138" s="48">
        <f>'Adani Enterprises'!E138</f>
        <v>0</v>
      </c>
      <c r="F138" s="48">
        <f>'Adani Enterprises'!F138</f>
        <v>0</v>
      </c>
      <c r="G138" s="48">
        <f>'Adani Enterprises'!G138</f>
        <v>0</v>
      </c>
      <c r="H138" s="48">
        <f>'Adani Enterprises'!H138</f>
        <v>0</v>
      </c>
      <c r="I138" s="48">
        <f>'Adani Enterprises'!I138</f>
        <v>0</v>
      </c>
      <c r="J138" s="48">
        <f>'Adani Enterprises'!J138</f>
        <v>0</v>
      </c>
      <c r="K138" s="48">
        <f>'Adani Enterprises'!K138</f>
        <v>0</v>
      </c>
      <c r="L138" s="48">
        <f>'Adani Enterprises'!L138</f>
        <v>0</v>
      </c>
      <c r="M138" s="48">
        <f>'Adani Enterprises'!M138</f>
        <v>0</v>
      </c>
      <c r="N138" s="48">
        <f>'Adani Enterprises'!N138</f>
        <v>0</v>
      </c>
      <c r="O138" s="48">
        <f>'Adani Enterprises'!O138</f>
        <v>0</v>
      </c>
      <c r="P138" s="48">
        <f>'Adani Enterprises'!P138</f>
        <v>0</v>
      </c>
      <c r="Q138" s="48">
        <f>'Adani Enterprises'!Q138</f>
        <v>0</v>
      </c>
      <c r="R138" s="48">
        <f>'Adani Enterprises'!R138</f>
        <v>0</v>
      </c>
      <c r="S138" s="48">
        <f>'Adani Enterprises'!S138</f>
        <v>0</v>
      </c>
      <c r="T138" s="48">
        <f>'Adani Enterprises'!T138</f>
        <v>0</v>
      </c>
      <c r="U138" s="48">
        <f>'Adani Enterprises'!U138</f>
        <v>0</v>
      </c>
      <c r="V138" s="48">
        <f>'Adani Enterprises'!V138</f>
        <v>0</v>
      </c>
      <c r="W138" s="48">
        <f>'Adani Enterprises'!W138</f>
        <v>0</v>
      </c>
      <c r="X138" s="48">
        <f>'Adani Enterprises'!X138</f>
        <v>0</v>
      </c>
      <c r="Y138" s="48">
        <f>'Adani Enterprises'!Y138</f>
        <v>0</v>
      </c>
      <c r="Z138" s="48">
        <f>'Adani Enterprises'!Z138</f>
        <v>0</v>
      </c>
      <c r="AA138" s="48">
        <f>'Adani Enterprises'!AA138</f>
        <v>0</v>
      </c>
      <c r="AB138" s="48">
        <f>'Adani Enterprises'!AB138</f>
        <v>0</v>
      </c>
      <c r="AC138" s="48">
        <f>'Adani Enterprises'!AC138</f>
        <v>0</v>
      </c>
      <c r="AD138" s="48">
        <f>'Adani Enterprises'!AD138</f>
        <v>0</v>
      </c>
      <c r="AE138" s="48">
        <f>'Adani Enterprises'!AE138</f>
        <v>0</v>
      </c>
      <c r="AF138" s="48">
        <f>'Adani Enterprises'!AF138</f>
        <v>0</v>
      </c>
      <c r="AG138" s="48">
        <f>'Adani Enterprises'!AG138</f>
        <v>0</v>
      </c>
      <c r="AH138" s="48">
        <f>'Adani Enterprises'!AH138</f>
        <v>0</v>
      </c>
      <c r="AI138" s="48">
        <f>'Adani Enterprises'!AI138</f>
        <v>0</v>
      </c>
      <c r="AJ138" s="48">
        <f>'Adani Enterprises'!AJ138</f>
        <v>0</v>
      </c>
      <c r="AK138" s="48">
        <f>'Adani Enterprises'!AK138</f>
        <v>0</v>
      </c>
      <c r="AL138" s="48">
        <f>'Adani Enterprises'!AL138</f>
        <v>0</v>
      </c>
    </row>
    <row r="139" customHeight="1" spans="1:38">
      <c r="A139" s="48">
        <f>'Adani Enterprises'!A139</f>
        <v>0</v>
      </c>
      <c r="B139" s="48">
        <f>'Adani Enterprises'!B139</f>
        <v>0</v>
      </c>
      <c r="C139" s="48">
        <f>'Adani Enterprises'!C139</f>
        <v>0</v>
      </c>
      <c r="D139" s="48">
        <f>'Adani Enterprises'!D139</f>
        <v>0</v>
      </c>
      <c r="E139" s="48">
        <f>'Adani Enterprises'!E139</f>
        <v>0</v>
      </c>
      <c r="F139" s="48">
        <f>'Adani Enterprises'!F139</f>
        <v>0</v>
      </c>
      <c r="G139" s="48">
        <f>'Adani Enterprises'!G139</f>
        <v>0</v>
      </c>
      <c r="H139" s="48">
        <f>'Adani Enterprises'!H139</f>
        <v>0</v>
      </c>
      <c r="I139" s="48">
        <f>'Adani Enterprises'!I139</f>
        <v>0</v>
      </c>
      <c r="J139" s="48">
        <f>'Adani Enterprises'!J139</f>
        <v>0</v>
      </c>
      <c r="K139" s="48">
        <f>'Adani Enterprises'!K139</f>
        <v>0</v>
      </c>
      <c r="L139" s="48">
        <f>'Adani Enterprises'!L139</f>
        <v>0</v>
      </c>
      <c r="M139" s="48">
        <f>'Adani Enterprises'!M139</f>
        <v>0</v>
      </c>
      <c r="N139" s="48">
        <f>'Adani Enterprises'!N139</f>
        <v>0</v>
      </c>
      <c r="O139" s="48">
        <f>'Adani Enterprises'!O139</f>
        <v>0</v>
      </c>
      <c r="P139" s="48">
        <f>'Adani Enterprises'!P139</f>
        <v>0</v>
      </c>
      <c r="Q139" s="48">
        <f>'Adani Enterprises'!Q139</f>
        <v>0</v>
      </c>
      <c r="R139" s="48">
        <f>'Adani Enterprises'!R139</f>
        <v>0</v>
      </c>
      <c r="S139" s="48">
        <f>'Adani Enterprises'!S139</f>
        <v>0</v>
      </c>
      <c r="T139" s="48">
        <f>'Adani Enterprises'!T139</f>
        <v>0</v>
      </c>
      <c r="U139" s="48">
        <f>'Adani Enterprises'!U139</f>
        <v>0</v>
      </c>
      <c r="V139" s="48">
        <f>'Adani Enterprises'!V139</f>
        <v>0</v>
      </c>
      <c r="W139" s="48">
        <f>'Adani Enterprises'!W139</f>
        <v>0</v>
      </c>
      <c r="X139" s="48">
        <f>'Adani Enterprises'!X139</f>
        <v>0</v>
      </c>
      <c r="Y139" s="48">
        <f>'Adani Enterprises'!Y139</f>
        <v>0</v>
      </c>
      <c r="Z139" s="48">
        <f>'Adani Enterprises'!Z139</f>
        <v>0</v>
      </c>
      <c r="AA139" s="48">
        <f>'Adani Enterprises'!AA139</f>
        <v>0</v>
      </c>
      <c r="AB139" s="48">
        <f>'Adani Enterprises'!AB139</f>
        <v>0</v>
      </c>
      <c r="AC139" s="48">
        <f>'Adani Enterprises'!AC139</f>
        <v>0</v>
      </c>
      <c r="AD139" s="48">
        <f>'Adani Enterprises'!AD139</f>
        <v>0</v>
      </c>
      <c r="AE139" s="48">
        <f>'Adani Enterprises'!AE139</f>
        <v>0</v>
      </c>
      <c r="AF139" s="48">
        <f>'Adani Enterprises'!AF139</f>
        <v>0</v>
      </c>
      <c r="AG139" s="48">
        <f>'Adani Enterprises'!AG139</f>
        <v>0</v>
      </c>
      <c r="AH139" s="48">
        <f>'Adani Enterprises'!AH139</f>
        <v>0</v>
      </c>
      <c r="AI139" s="48">
        <f>'Adani Enterprises'!AI139</f>
        <v>0</v>
      </c>
      <c r="AJ139" s="48">
        <f>'Adani Enterprises'!AJ139</f>
        <v>0</v>
      </c>
      <c r="AK139" s="48">
        <f>'Adani Enterprises'!AK139</f>
        <v>0</v>
      </c>
      <c r="AL139" s="48">
        <f>'Adani Enterprises'!AL139</f>
        <v>0</v>
      </c>
    </row>
    <row r="140" customHeight="1" spans="1:38">
      <c r="A140" s="48">
        <f>'Adani Enterprises'!A140</f>
        <v>0</v>
      </c>
      <c r="B140" s="48">
        <f>'Adani Enterprises'!B140</f>
        <v>0</v>
      </c>
      <c r="C140" s="48">
        <f>'Adani Enterprises'!C140</f>
        <v>0</v>
      </c>
      <c r="D140" s="48">
        <f>'Adani Enterprises'!D140</f>
        <v>0</v>
      </c>
      <c r="E140" s="48">
        <f>'Adani Enterprises'!E140</f>
        <v>0</v>
      </c>
      <c r="F140" s="48">
        <f>'Adani Enterprises'!F140</f>
        <v>0</v>
      </c>
      <c r="G140" s="48">
        <f>'Adani Enterprises'!G140</f>
        <v>0</v>
      </c>
      <c r="H140" s="48">
        <f>'Adani Enterprises'!H140</f>
        <v>0</v>
      </c>
      <c r="I140" s="48">
        <f>'Adani Enterprises'!I140</f>
        <v>0</v>
      </c>
      <c r="J140" s="48">
        <f>'Adani Enterprises'!J140</f>
        <v>0</v>
      </c>
      <c r="K140" s="48">
        <f>'Adani Enterprises'!K140</f>
        <v>0</v>
      </c>
      <c r="L140" s="48">
        <f>'Adani Enterprises'!L140</f>
        <v>0</v>
      </c>
      <c r="M140" s="48">
        <f>'Adani Enterprises'!M140</f>
        <v>0</v>
      </c>
      <c r="N140" s="48">
        <f>'Adani Enterprises'!N140</f>
        <v>0</v>
      </c>
      <c r="O140" s="48">
        <f>'Adani Enterprises'!O140</f>
        <v>0</v>
      </c>
      <c r="P140" s="48">
        <f>'Adani Enterprises'!P140</f>
        <v>0</v>
      </c>
      <c r="Q140" s="48">
        <f>'Adani Enterprises'!Q140</f>
        <v>0</v>
      </c>
      <c r="R140" s="48">
        <f>'Adani Enterprises'!R140</f>
        <v>0</v>
      </c>
      <c r="S140" s="48">
        <f>'Adani Enterprises'!S140</f>
        <v>0</v>
      </c>
      <c r="T140" s="48">
        <f>'Adani Enterprises'!T140</f>
        <v>0</v>
      </c>
      <c r="U140" s="48">
        <f>'Adani Enterprises'!U140</f>
        <v>0</v>
      </c>
      <c r="V140" s="48">
        <f>'Adani Enterprises'!V140</f>
        <v>0</v>
      </c>
      <c r="W140" s="48">
        <f>'Adani Enterprises'!W140</f>
        <v>0</v>
      </c>
      <c r="X140" s="48">
        <f>'Adani Enterprises'!X140</f>
        <v>0</v>
      </c>
      <c r="Y140" s="48">
        <f>'Adani Enterprises'!Y140</f>
        <v>0</v>
      </c>
      <c r="Z140" s="48">
        <f>'Adani Enterprises'!Z140</f>
        <v>0</v>
      </c>
      <c r="AA140" s="48">
        <f>'Adani Enterprises'!AA140</f>
        <v>0</v>
      </c>
      <c r="AB140" s="48">
        <f>'Adani Enterprises'!AB140</f>
        <v>0</v>
      </c>
      <c r="AC140" s="48">
        <f>'Adani Enterprises'!AC140</f>
        <v>0</v>
      </c>
      <c r="AD140" s="48">
        <f>'Adani Enterprises'!AD140</f>
        <v>0</v>
      </c>
      <c r="AE140" s="48">
        <f>'Adani Enterprises'!AE140</f>
        <v>0</v>
      </c>
      <c r="AF140" s="48">
        <f>'Adani Enterprises'!AF140</f>
        <v>0</v>
      </c>
      <c r="AG140" s="48">
        <f>'Adani Enterprises'!AG140</f>
        <v>0</v>
      </c>
      <c r="AH140" s="48">
        <f>'Adani Enterprises'!AH140</f>
        <v>0</v>
      </c>
      <c r="AI140" s="48">
        <f>'Adani Enterprises'!AI140</f>
        <v>0</v>
      </c>
      <c r="AJ140" s="48">
        <f>'Adani Enterprises'!AJ140</f>
        <v>0</v>
      </c>
      <c r="AK140" s="48">
        <f>'Adani Enterprises'!AK140</f>
        <v>0</v>
      </c>
      <c r="AL140" s="48">
        <f>'Adani Enterprises'!AL140</f>
        <v>0</v>
      </c>
    </row>
    <row r="141" customHeight="1" spans="1:38">
      <c r="A141" s="48">
        <f>'Adani Enterprises'!A141</f>
        <v>0</v>
      </c>
      <c r="B141" s="48">
        <f>'Adani Enterprises'!B141</f>
        <v>0</v>
      </c>
      <c r="C141" s="48">
        <f>'Adani Enterprises'!C141</f>
        <v>0</v>
      </c>
      <c r="D141" s="48">
        <f>'Adani Enterprises'!D141</f>
        <v>0</v>
      </c>
      <c r="E141" s="48">
        <f>'Adani Enterprises'!E141</f>
        <v>0</v>
      </c>
      <c r="F141" s="48">
        <f>'Adani Enterprises'!F141</f>
        <v>0</v>
      </c>
      <c r="G141" s="48">
        <f>'Adani Enterprises'!G141</f>
        <v>0</v>
      </c>
      <c r="H141" s="48">
        <f>'Adani Enterprises'!H141</f>
        <v>0</v>
      </c>
      <c r="I141" s="48">
        <f>'Adani Enterprises'!I141</f>
        <v>0</v>
      </c>
      <c r="J141" s="48">
        <f>'Adani Enterprises'!J141</f>
        <v>0</v>
      </c>
      <c r="K141" s="48">
        <f>'Adani Enterprises'!K141</f>
        <v>0</v>
      </c>
      <c r="L141" s="48">
        <f>'Adani Enterprises'!L141</f>
        <v>0</v>
      </c>
      <c r="M141" s="48">
        <f>'Adani Enterprises'!M141</f>
        <v>0</v>
      </c>
      <c r="N141" s="48">
        <f>'Adani Enterprises'!N141</f>
        <v>0</v>
      </c>
      <c r="O141" s="48">
        <f>'Adani Enterprises'!O141</f>
        <v>0</v>
      </c>
      <c r="P141" s="48">
        <f>'Adani Enterprises'!P141</f>
        <v>0</v>
      </c>
      <c r="Q141" s="48">
        <f>'Adani Enterprises'!Q141</f>
        <v>0</v>
      </c>
      <c r="R141" s="48">
        <f>'Adani Enterprises'!R141</f>
        <v>0</v>
      </c>
      <c r="S141" s="48">
        <f>'Adani Enterprises'!S141</f>
        <v>0</v>
      </c>
      <c r="T141" s="48">
        <f>'Adani Enterprises'!T141</f>
        <v>0</v>
      </c>
      <c r="U141" s="48">
        <f>'Adani Enterprises'!U141</f>
        <v>0</v>
      </c>
      <c r="V141" s="48">
        <f>'Adani Enterprises'!V141</f>
        <v>0</v>
      </c>
      <c r="W141" s="48">
        <f>'Adani Enterprises'!W141</f>
        <v>0</v>
      </c>
      <c r="X141" s="48">
        <f>'Adani Enterprises'!X141</f>
        <v>0</v>
      </c>
      <c r="Y141" s="48">
        <f>'Adani Enterprises'!Y141</f>
        <v>0</v>
      </c>
      <c r="Z141" s="48">
        <f>'Adani Enterprises'!Z141</f>
        <v>0</v>
      </c>
      <c r="AA141" s="48">
        <f>'Adani Enterprises'!AA141</f>
        <v>0</v>
      </c>
      <c r="AB141" s="48">
        <f>'Adani Enterprises'!AB141</f>
        <v>0</v>
      </c>
      <c r="AC141" s="48">
        <f>'Adani Enterprises'!AC141</f>
        <v>0</v>
      </c>
      <c r="AD141" s="48">
        <f>'Adani Enterprises'!AD141</f>
        <v>0</v>
      </c>
      <c r="AE141" s="48">
        <f>'Adani Enterprises'!AE141</f>
        <v>0</v>
      </c>
      <c r="AF141" s="48">
        <f>'Adani Enterprises'!AF141</f>
        <v>0</v>
      </c>
      <c r="AG141" s="48">
        <f>'Adani Enterprises'!AG141</f>
        <v>0</v>
      </c>
      <c r="AH141" s="48">
        <f>'Adani Enterprises'!AH141</f>
        <v>0</v>
      </c>
      <c r="AI141" s="48">
        <f>'Adani Enterprises'!AI141</f>
        <v>0</v>
      </c>
      <c r="AJ141" s="48">
        <f>'Adani Enterprises'!AJ141</f>
        <v>0</v>
      </c>
      <c r="AK141" s="48">
        <f>'Adani Enterprises'!AK141</f>
        <v>0</v>
      </c>
      <c r="AL141" s="48">
        <f>'Adani Enterprises'!AL141</f>
        <v>0</v>
      </c>
    </row>
    <row r="142" customHeight="1" spans="1:38">
      <c r="A142" s="48">
        <f>'Adani Enterprises'!A142</f>
        <v>0</v>
      </c>
      <c r="B142" s="48">
        <f>'Adani Enterprises'!B142</f>
        <v>0</v>
      </c>
      <c r="C142" s="48">
        <f>'Adani Enterprises'!C142</f>
        <v>0</v>
      </c>
      <c r="D142" s="48">
        <f>'Adani Enterprises'!D142</f>
        <v>0</v>
      </c>
      <c r="E142" s="48">
        <f>'Adani Enterprises'!E142</f>
        <v>0</v>
      </c>
      <c r="F142" s="48">
        <f>'Adani Enterprises'!F142</f>
        <v>0</v>
      </c>
      <c r="G142" s="48">
        <f>'Adani Enterprises'!G142</f>
        <v>0</v>
      </c>
      <c r="H142" s="48">
        <f>'Adani Enterprises'!H142</f>
        <v>0</v>
      </c>
      <c r="I142" s="48">
        <f>'Adani Enterprises'!I142</f>
        <v>0</v>
      </c>
      <c r="J142" s="48">
        <f>'Adani Enterprises'!J142</f>
        <v>0</v>
      </c>
      <c r="K142" s="48">
        <f>'Adani Enterprises'!K142</f>
        <v>0</v>
      </c>
      <c r="L142" s="48">
        <f>'Adani Enterprises'!L142</f>
        <v>0</v>
      </c>
      <c r="M142" s="48">
        <f>'Adani Enterprises'!M142</f>
        <v>0</v>
      </c>
      <c r="N142" s="48">
        <f>'Adani Enterprises'!N142</f>
        <v>0</v>
      </c>
      <c r="O142" s="48">
        <f>'Adani Enterprises'!O142</f>
        <v>0</v>
      </c>
      <c r="P142" s="48">
        <f>'Adani Enterprises'!P142</f>
        <v>0</v>
      </c>
      <c r="Q142" s="48">
        <f>'Adani Enterprises'!Q142</f>
        <v>0</v>
      </c>
      <c r="R142" s="48">
        <f>'Adani Enterprises'!R142</f>
        <v>0</v>
      </c>
      <c r="S142" s="48">
        <f>'Adani Enterprises'!S142</f>
        <v>0</v>
      </c>
      <c r="T142" s="48">
        <f>'Adani Enterprises'!T142</f>
        <v>0</v>
      </c>
      <c r="U142" s="48">
        <f>'Adani Enterprises'!U142</f>
        <v>0</v>
      </c>
      <c r="V142" s="48">
        <f>'Adani Enterprises'!V142</f>
        <v>0</v>
      </c>
      <c r="W142" s="48">
        <f>'Adani Enterprises'!W142</f>
        <v>0</v>
      </c>
      <c r="X142" s="48">
        <f>'Adani Enterprises'!X142</f>
        <v>0</v>
      </c>
      <c r="Y142" s="48">
        <f>'Adani Enterprises'!Y142</f>
        <v>0</v>
      </c>
      <c r="Z142" s="48">
        <f>'Adani Enterprises'!Z142</f>
        <v>0</v>
      </c>
      <c r="AA142" s="48">
        <f>'Adani Enterprises'!AA142</f>
        <v>0</v>
      </c>
      <c r="AB142" s="48">
        <f>'Adani Enterprises'!AB142</f>
        <v>0</v>
      </c>
      <c r="AC142" s="48">
        <f>'Adani Enterprises'!AC142</f>
        <v>0</v>
      </c>
      <c r="AD142" s="48">
        <f>'Adani Enterprises'!AD142</f>
        <v>0</v>
      </c>
      <c r="AE142" s="48">
        <f>'Adani Enterprises'!AE142</f>
        <v>0</v>
      </c>
      <c r="AF142" s="48">
        <f>'Adani Enterprises'!AF142</f>
        <v>0</v>
      </c>
      <c r="AG142" s="48">
        <f>'Adani Enterprises'!AG142</f>
        <v>0</v>
      </c>
      <c r="AH142" s="48">
        <f>'Adani Enterprises'!AH142</f>
        <v>0</v>
      </c>
      <c r="AI142" s="48">
        <f>'Adani Enterprises'!AI142</f>
        <v>0</v>
      </c>
      <c r="AJ142" s="48">
        <f>'Adani Enterprises'!AJ142</f>
        <v>0</v>
      </c>
      <c r="AK142" s="48">
        <f>'Adani Enterprises'!AK142</f>
        <v>0</v>
      </c>
      <c r="AL142" s="48">
        <f>'Adani Enterprises'!AL142</f>
        <v>0</v>
      </c>
    </row>
    <row r="143" customHeight="1" spans="1:38">
      <c r="A143" s="48">
        <f>'Adani Enterprises'!A143</f>
        <v>0</v>
      </c>
      <c r="B143" s="48">
        <f>'Adani Enterprises'!B143</f>
        <v>0</v>
      </c>
      <c r="C143" s="48">
        <f>'Adani Enterprises'!C143</f>
        <v>0</v>
      </c>
      <c r="D143" s="48">
        <f>'Adani Enterprises'!D143</f>
        <v>0</v>
      </c>
      <c r="E143" s="48">
        <f>'Adani Enterprises'!E143</f>
        <v>0</v>
      </c>
      <c r="F143" s="48">
        <f>'Adani Enterprises'!F143</f>
        <v>0</v>
      </c>
      <c r="G143" s="48">
        <f>'Adani Enterprises'!G143</f>
        <v>0</v>
      </c>
      <c r="H143" s="48">
        <f>'Adani Enterprises'!H143</f>
        <v>0</v>
      </c>
      <c r="I143" s="48">
        <f>'Adani Enterprises'!I143</f>
        <v>0</v>
      </c>
      <c r="J143" s="48">
        <f>'Adani Enterprises'!J143</f>
        <v>0</v>
      </c>
      <c r="K143" s="48">
        <f>'Adani Enterprises'!K143</f>
        <v>0</v>
      </c>
      <c r="L143" s="48">
        <f>'Adani Enterprises'!L143</f>
        <v>0</v>
      </c>
      <c r="M143" s="48">
        <f>'Adani Enterprises'!M143</f>
        <v>0</v>
      </c>
      <c r="N143" s="48">
        <f>'Adani Enterprises'!N143</f>
        <v>0</v>
      </c>
      <c r="O143" s="48">
        <f>'Adani Enterprises'!O143</f>
        <v>0</v>
      </c>
      <c r="P143" s="48">
        <f>'Adani Enterprises'!P143</f>
        <v>0</v>
      </c>
      <c r="Q143" s="48">
        <f>'Adani Enterprises'!Q143</f>
        <v>0</v>
      </c>
      <c r="R143" s="48">
        <f>'Adani Enterprises'!R143</f>
        <v>0</v>
      </c>
      <c r="S143" s="48">
        <f>'Adani Enterprises'!S143</f>
        <v>0</v>
      </c>
      <c r="T143" s="48">
        <f>'Adani Enterprises'!T143</f>
        <v>0</v>
      </c>
      <c r="U143" s="48">
        <f>'Adani Enterprises'!U143</f>
        <v>0</v>
      </c>
      <c r="V143" s="48">
        <f>'Adani Enterprises'!V143</f>
        <v>0</v>
      </c>
      <c r="W143" s="48">
        <f>'Adani Enterprises'!W143</f>
        <v>0</v>
      </c>
      <c r="X143" s="48">
        <f>'Adani Enterprises'!X143</f>
        <v>0</v>
      </c>
      <c r="Y143" s="48">
        <f>'Adani Enterprises'!Y143</f>
        <v>0</v>
      </c>
      <c r="Z143" s="48">
        <f>'Adani Enterprises'!Z143</f>
        <v>0</v>
      </c>
      <c r="AA143" s="48">
        <f>'Adani Enterprises'!AA143</f>
        <v>0</v>
      </c>
      <c r="AB143" s="48">
        <f>'Adani Enterprises'!AB143</f>
        <v>0</v>
      </c>
      <c r="AC143" s="48">
        <f>'Adani Enterprises'!AC143</f>
        <v>0</v>
      </c>
      <c r="AD143" s="48">
        <f>'Adani Enterprises'!AD143</f>
        <v>0</v>
      </c>
      <c r="AE143" s="48">
        <f>'Adani Enterprises'!AE143</f>
        <v>0</v>
      </c>
      <c r="AF143" s="48">
        <f>'Adani Enterprises'!AF143</f>
        <v>0</v>
      </c>
      <c r="AG143" s="48">
        <f>'Adani Enterprises'!AG143</f>
        <v>0</v>
      </c>
      <c r="AH143" s="48">
        <f>'Adani Enterprises'!AH143</f>
        <v>0</v>
      </c>
      <c r="AI143" s="48">
        <f>'Adani Enterprises'!AI143</f>
        <v>0</v>
      </c>
      <c r="AJ143" s="48">
        <f>'Adani Enterprises'!AJ143</f>
        <v>0</v>
      </c>
      <c r="AK143" s="48">
        <f>'Adani Enterprises'!AK143</f>
        <v>0</v>
      </c>
      <c r="AL143" s="48">
        <f>'Adani Enterprises'!AL143</f>
        <v>0</v>
      </c>
    </row>
    <row r="144" customHeight="1" spans="1:38">
      <c r="A144" s="48">
        <f>'Adani Enterprises'!A144</f>
        <v>0</v>
      </c>
      <c r="B144" s="48">
        <f>'Adani Enterprises'!B144</f>
        <v>0</v>
      </c>
      <c r="C144" s="48">
        <f>'Adani Enterprises'!C144</f>
        <v>0</v>
      </c>
      <c r="D144" s="48">
        <f>'Adani Enterprises'!D144</f>
        <v>0</v>
      </c>
      <c r="E144" s="48">
        <f>'Adani Enterprises'!E144</f>
        <v>0</v>
      </c>
      <c r="F144" s="48">
        <f>'Adani Enterprises'!F144</f>
        <v>0</v>
      </c>
      <c r="G144" s="48">
        <f>'Adani Enterprises'!G144</f>
        <v>0</v>
      </c>
      <c r="H144" s="48">
        <f>'Adani Enterprises'!H144</f>
        <v>0</v>
      </c>
      <c r="I144" s="48">
        <f>'Adani Enterprises'!I144</f>
        <v>0</v>
      </c>
      <c r="J144" s="48">
        <f>'Adani Enterprises'!J144</f>
        <v>0</v>
      </c>
      <c r="K144" s="48">
        <f>'Adani Enterprises'!K144</f>
        <v>0</v>
      </c>
      <c r="L144" s="48">
        <f>'Adani Enterprises'!L144</f>
        <v>0</v>
      </c>
      <c r="M144" s="48">
        <f>'Adani Enterprises'!M144</f>
        <v>0</v>
      </c>
      <c r="N144" s="48">
        <f>'Adani Enterprises'!N144</f>
        <v>0</v>
      </c>
      <c r="O144" s="48">
        <f>'Adani Enterprises'!O144</f>
        <v>0</v>
      </c>
      <c r="P144" s="48">
        <f>'Adani Enterprises'!P144</f>
        <v>0</v>
      </c>
      <c r="Q144" s="48">
        <f>'Adani Enterprises'!Q144</f>
        <v>0</v>
      </c>
      <c r="R144" s="48">
        <f>'Adani Enterprises'!R144</f>
        <v>0</v>
      </c>
      <c r="S144" s="48">
        <f>'Adani Enterprises'!S144</f>
        <v>0</v>
      </c>
      <c r="T144" s="48">
        <f>'Adani Enterprises'!T144</f>
        <v>0</v>
      </c>
      <c r="U144" s="48">
        <f>'Adani Enterprises'!U144</f>
        <v>0</v>
      </c>
      <c r="V144" s="48">
        <f>'Adani Enterprises'!V144</f>
        <v>0</v>
      </c>
      <c r="W144" s="48">
        <f>'Adani Enterprises'!W144</f>
        <v>0</v>
      </c>
      <c r="X144" s="48">
        <f>'Adani Enterprises'!X144</f>
        <v>0</v>
      </c>
      <c r="Y144" s="48">
        <f>'Adani Enterprises'!Y144</f>
        <v>0</v>
      </c>
      <c r="Z144" s="48">
        <f>'Adani Enterprises'!Z144</f>
        <v>0</v>
      </c>
      <c r="AA144" s="48">
        <f>'Adani Enterprises'!AA144</f>
        <v>0</v>
      </c>
      <c r="AB144" s="48">
        <f>'Adani Enterprises'!AB144</f>
        <v>0</v>
      </c>
      <c r="AC144" s="48">
        <f>'Adani Enterprises'!AC144</f>
        <v>0</v>
      </c>
      <c r="AD144" s="48">
        <f>'Adani Enterprises'!AD144</f>
        <v>0</v>
      </c>
      <c r="AE144" s="48">
        <f>'Adani Enterprises'!AE144</f>
        <v>0</v>
      </c>
      <c r="AF144" s="48">
        <f>'Adani Enterprises'!AF144</f>
        <v>0</v>
      </c>
      <c r="AG144" s="48">
        <f>'Adani Enterprises'!AG144</f>
        <v>0</v>
      </c>
      <c r="AH144" s="48">
        <f>'Adani Enterprises'!AH144</f>
        <v>0</v>
      </c>
      <c r="AI144" s="48">
        <f>'Adani Enterprises'!AI144</f>
        <v>0</v>
      </c>
      <c r="AJ144" s="48">
        <f>'Adani Enterprises'!AJ144</f>
        <v>0</v>
      </c>
      <c r="AK144" s="48">
        <f>'Adani Enterprises'!AK144</f>
        <v>0</v>
      </c>
      <c r="AL144" s="48">
        <f>'Adani Enterprises'!AL144</f>
        <v>0</v>
      </c>
    </row>
    <row r="145" customHeight="1" spans="1:38">
      <c r="A145" s="48">
        <f>'Adani Enterprises'!A145</f>
        <v>0</v>
      </c>
      <c r="B145" s="48">
        <f>'Adani Enterprises'!B145</f>
        <v>0</v>
      </c>
      <c r="C145" s="48">
        <f>'Adani Enterprises'!C145</f>
        <v>0</v>
      </c>
      <c r="D145" s="48">
        <f>'Adani Enterprises'!D145</f>
        <v>0</v>
      </c>
      <c r="E145" s="48">
        <f>'Adani Enterprises'!E145</f>
        <v>0</v>
      </c>
      <c r="F145" s="48">
        <f>'Adani Enterprises'!F145</f>
        <v>0</v>
      </c>
      <c r="G145" s="48">
        <f>'Adani Enterprises'!G145</f>
        <v>0</v>
      </c>
      <c r="H145" s="48">
        <f>'Adani Enterprises'!H145</f>
        <v>0</v>
      </c>
      <c r="I145" s="48">
        <f>'Adani Enterprises'!I145</f>
        <v>0</v>
      </c>
      <c r="J145" s="48">
        <f>'Adani Enterprises'!J145</f>
        <v>0</v>
      </c>
      <c r="K145" s="48">
        <f>'Adani Enterprises'!K145</f>
        <v>0</v>
      </c>
      <c r="L145" s="48">
        <f>'Adani Enterprises'!L145</f>
        <v>0</v>
      </c>
      <c r="M145" s="48">
        <f>'Adani Enterprises'!M145</f>
        <v>0</v>
      </c>
      <c r="N145" s="48">
        <f>'Adani Enterprises'!N145</f>
        <v>0</v>
      </c>
      <c r="O145" s="48">
        <f>'Adani Enterprises'!O145</f>
        <v>0</v>
      </c>
      <c r="P145" s="48">
        <f>'Adani Enterprises'!P145</f>
        <v>0</v>
      </c>
      <c r="Q145" s="48">
        <f>'Adani Enterprises'!Q145</f>
        <v>0</v>
      </c>
      <c r="R145" s="48">
        <f>'Adani Enterprises'!R145</f>
        <v>0</v>
      </c>
      <c r="S145" s="48">
        <f>'Adani Enterprises'!S145</f>
        <v>0</v>
      </c>
      <c r="T145" s="48">
        <f>'Adani Enterprises'!T145</f>
        <v>0</v>
      </c>
      <c r="U145" s="48">
        <f>'Adani Enterprises'!U145</f>
        <v>0</v>
      </c>
      <c r="V145" s="48">
        <f>'Adani Enterprises'!V145</f>
        <v>0</v>
      </c>
      <c r="W145" s="48">
        <f>'Adani Enterprises'!W145</f>
        <v>0</v>
      </c>
      <c r="X145" s="48">
        <f>'Adani Enterprises'!X145</f>
        <v>0</v>
      </c>
      <c r="Y145" s="48">
        <f>'Adani Enterprises'!Y145</f>
        <v>0</v>
      </c>
      <c r="Z145" s="48">
        <f>'Adani Enterprises'!Z145</f>
        <v>0</v>
      </c>
      <c r="AA145" s="48">
        <f>'Adani Enterprises'!AA145</f>
        <v>0</v>
      </c>
      <c r="AB145" s="48">
        <f>'Adani Enterprises'!AB145</f>
        <v>0</v>
      </c>
      <c r="AC145" s="48">
        <f>'Adani Enterprises'!AC145</f>
        <v>0</v>
      </c>
      <c r="AD145" s="48">
        <f>'Adani Enterprises'!AD145</f>
        <v>0</v>
      </c>
      <c r="AE145" s="48">
        <f>'Adani Enterprises'!AE145</f>
        <v>0</v>
      </c>
      <c r="AF145" s="48">
        <f>'Adani Enterprises'!AF145</f>
        <v>0</v>
      </c>
      <c r="AG145" s="48">
        <f>'Adani Enterprises'!AG145</f>
        <v>0</v>
      </c>
      <c r="AH145" s="48">
        <f>'Adani Enterprises'!AH145</f>
        <v>0</v>
      </c>
      <c r="AI145" s="48">
        <f>'Adani Enterprises'!AI145</f>
        <v>0</v>
      </c>
      <c r="AJ145" s="48">
        <f>'Adani Enterprises'!AJ145</f>
        <v>0</v>
      </c>
      <c r="AK145" s="48">
        <f>'Adani Enterprises'!AK145</f>
        <v>0</v>
      </c>
      <c r="AL145" s="48">
        <f>'Adani Enterprises'!AL145</f>
        <v>0</v>
      </c>
    </row>
    <row r="146" customHeight="1" spans="1:38">
      <c r="A146" s="48">
        <f>'Adani Enterprises'!A146</f>
        <v>0</v>
      </c>
      <c r="B146" s="48">
        <f>'Adani Enterprises'!B146</f>
        <v>0</v>
      </c>
      <c r="C146" s="48">
        <f>'Adani Enterprises'!C146</f>
        <v>0</v>
      </c>
      <c r="D146" s="48">
        <f>'Adani Enterprises'!D146</f>
        <v>0</v>
      </c>
      <c r="E146" s="48">
        <f>'Adani Enterprises'!E146</f>
        <v>0</v>
      </c>
      <c r="F146" s="48">
        <f>'Adani Enterprises'!F146</f>
        <v>0</v>
      </c>
      <c r="G146" s="48">
        <f>'Adani Enterprises'!G146</f>
        <v>0</v>
      </c>
      <c r="H146" s="48">
        <f>'Adani Enterprises'!H146</f>
        <v>0</v>
      </c>
      <c r="I146" s="48">
        <f>'Adani Enterprises'!I146</f>
        <v>0</v>
      </c>
      <c r="J146" s="48">
        <f>'Adani Enterprises'!J146</f>
        <v>0</v>
      </c>
      <c r="K146" s="48">
        <f>'Adani Enterprises'!K146</f>
        <v>0</v>
      </c>
      <c r="L146" s="48">
        <f>'Adani Enterprises'!L146</f>
        <v>0</v>
      </c>
      <c r="M146" s="48">
        <f>'Adani Enterprises'!M146</f>
        <v>0</v>
      </c>
      <c r="N146" s="48">
        <f>'Adani Enterprises'!N146</f>
        <v>0</v>
      </c>
      <c r="O146" s="48">
        <f>'Adani Enterprises'!O146</f>
        <v>0</v>
      </c>
      <c r="P146" s="48">
        <f>'Adani Enterprises'!P146</f>
        <v>0</v>
      </c>
      <c r="Q146" s="48">
        <f>'Adani Enterprises'!Q146</f>
        <v>0</v>
      </c>
      <c r="R146" s="48">
        <f>'Adani Enterprises'!R146</f>
        <v>0</v>
      </c>
      <c r="S146" s="48">
        <f>'Adani Enterprises'!S146</f>
        <v>0</v>
      </c>
      <c r="T146" s="48">
        <f>'Adani Enterprises'!T146</f>
        <v>0</v>
      </c>
      <c r="U146" s="48">
        <f>'Adani Enterprises'!U146</f>
        <v>0</v>
      </c>
      <c r="V146" s="48">
        <f>'Adani Enterprises'!V146</f>
        <v>0</v>
      </c>
      <c r="W146" s="48">
        <f>'Adani Enterprises'!W146</f>
        <v>0</v>
      </c>
      <c r="X146" s="48">
        <f>'Adani Enterprises'!X146</f>
        <v>0</v>
      </c>
      <c r="Y146" s="48">
        <f>'Adani Enterprises'!Y146</f>
        <v>0</v>
      </c>
      <c r="Z146" s="48">
        <f>'Adani Enterprises'!Z146</f>
        <v>0</v>
      </c>
      <c r="AA146" s="48">
        <f>'Adani Enterprises'!AA146</f>
        <v>0</v>
      </c>
      <c r="AB146" s="48">
        <f>'Adani Enterprises'!AB146</f>
        <v>0</v>
      </c>
      <c r="AC146" s="48">
        <f>'Adani Enterprises'!AC146</f>
        <v>0</v>
      </c>
      <c r="AD146" s="48">
        <f>'Adani Enterprises'!AD146</f>
        <v>0</v>
      </c>
      <c r="AE146" s="48">
        <f>'Adani Enterprises'!AE146</f>
        <v>0</v>
      </c>
      <c r="AF146" s="48">
        <f>'Adani Enterprises'!AF146</f>
        <v>0</v>
      </c>
      <c r="AG146" s="48">
        <f>'Adani Enterprises'!AG146</f>
        <v>0</v>
      </c>
      <c r="AH146" s="48">
        <f>'Adani Enterprises'!AH146</f>
        <v>0</v>
      </c>
      <c r="AI146" s="48">
        <f>'Adani Enterprises'!AI146</f>
        <v>0</v>
      </c>
      <c r="AJ146" s="48">
        <f>'Adani Enterprises'!AJ146</f>
        <v>0</v>
      </c>
      <c r="AK146" s="48">
        <f>'Adani Enterprises'!AK146</f>
        <v>0</v>
      </c>
      <c r="AL146" s="48">
        <f>'Adani Enterprises'!AL146</f>
        <v>0</v>
      </c>
    </row>
    <row r="147" customHeight="1" spans="1:38">
      <c r="A147" s="48">
        <f>'Adani Enterprises'!A147</f>
        <v>0</v>
      </c>
      <c r="B147" s="48">
        <f>'Adani Enterprises'!B147</f>
        <v>0</v>
      </c>
      <c r="C147" s="48">
        <f>'Adani Enterprises'!C147</f>
        <v>0</v>
      </c>
      <c r="D147" s="48">
        <f>'Adani Enterprises'!D147</f>
        <v>0</v>
      </c>
      <c r="E147" s="48">
        <f>'Adani Enterprises'!E147</f>
        <v>0</v>
      </c>
      <c r="F147" s="48">
        <f>'Adani Enterprises'!F147</f>
        <v>0</v>
      </c>
      <c r="G147" s="48">
        <f>'Adani Enterprises'!G147</f>
        <v>0</v>
      </c>
      <c r="H147" s="48">
        <f>'Adani Enterprises'!H147</f>
        <v>0</v>
      </c>
      <c r="I147" s="48">
        <f>'Adani Enterprises'!I147</f>
        <v>0</v>
      </c>
      <c r="J147" s="48">
        <f>'Adani Enterprises'!J147</f>
        <v>0</v>
      </c>
      <c r="K147" s="48">
        <f>'Adani Enterprises'!K147</f>
        <v>0</v>
      </c>
      <c r="L147" s="48">
        <f>'Adani Enterprises'!L147</f>
        <v>0</v>
      </c>
      <c r="M147" s="48">
        <f>'Adani Enterprises'!M147</f>
        <v>0</v>
      </c>
      <c r="N147" s="48">
        <f>'Adani Enterprises'!N147</f>
        <v>0</v>
      </c>
      <c r="O147" s="48">
        <f>'Adani Enterprises'!O147</f>
        <v>0</v>
      </c>
      <c r="P147" s="48">
        <f>'Adani Enterprises'!P147</f>
        <v>0</v>
      </c>
      <c r="Q147" s="48">
        <f>'Adani Enterprises'!Q147</f>
        <v>0</v>
      </c>
      <c r="R147" s="48">
        <f>'Adani Enterprises'!R147</f>
        <v>0</v>
      </c>
      <c r="S147" s="48">
        <f>'Adani Enterprises'!S147</f>
        <v>0</v>
      </c>
      <c r="T147" s="48">
        <f>'Adani Enterprises'!T147</f>
        <v>0</v>
      </c>
      <c r="U147" s="48">
        <f>'Adani Enterprises'!U147</f>
        <v>0</v>
      </c>
      <c r="V147" s="48">
        <f>'Adani Enterprises'!V147</f>
        <v>0</v>
      </c>
      <c r="W147" s="48">
        <f>'Adani Enterprises'!W147</f>
        <v>0</v>
      </c>
      <c r="X147" s="48">
        <f>'Adani Enterprises'!X147</f>
        <v>0</v>
      </c>
      <c r="Y147" s="48">
        <f>'Adani Enterprises'!Y147</f>
        <v>0</v>
      </c>
      <c r="Z147" s="48">
        <f>'Adani Enterprises'!Z147</f>
        <v>0</v>
      </c>
      <c r="AA147" s="48">
        <f>'Adani Enterprises'!AA147</f>
        <v>0</v>
      </c>
      <c r="AB147" s="48">
        <f>'Adani Enterprises'!AB147</f>
        <v>0</v>
      </c>
      <c r="AC147" s="48">
        <f>'Adani Enterprises'!AC147</f>
        <v>0</v>
      </c>
      <c r="AD147" s="48">
        <f>'Adani Enterprises'!AD147</f>
        <v>0</v>
      </c>
      <c r="AE147" s="48">
        <f>'Adani Enterprises'!AE147</f>
        <v>0</v>
      </c>
      <c r="AF147" s="48">
        <f>'Adani Enterprises'!AF147</f>
        <v>0</v>
      </c>
      <c r="AG147" s="48">
        <f>'Adani Enterprises'!AG147</f>
        <v>0</v>
      </c>
      <c r="AH147" s="48">
        <f>'Adani Enterprises'!AH147</f>
        <v>0</v>
      </c>
      <c r="AI147" s="48">
        <f>'Adani Enterprises'!AI147</f>
        <v>0</v>
      </c>
      <c r="AJ147" s="48">
        <f>'Adani Enterprises'!AJ147</f>
        <v>0</v>
      </c>
      <c r="AK147" s="48">
        <f>'Adani Enterprises'!AK147</f>
        <v>0</v>
      </c>
      <c r="AL147" s="48">
        <f>'Adani Enterprises'!AL147</f>
        <v>0</v>
      </c>
    </row>
    <row r="148" customHeight="1" spans="1:38">
      <c r="A148" s="48">
        <f>'Adani Enterprises'!A148</f>
        <v>0</v>
      </c>
      <c r="B148" s="48">
        <f>'Adani Enterprises'!B148</f>
        <v>0</v>
      </c>
      <c r="C148" s="48">
        <f>'Adani Enterprises'!C148</f>
        <v>0</v>
      </c>
      <c r="D148" s="48">
        <f>'Adani Enterprises'!D148</f>
        <v>0</v>
      </c>
      <c r="E148" s="48">
        <f>'Adani Enterprises'!E148</f>
        <v>0</v>
      </c>
      <c r="F148" s="48">
        <f>'Adani Enterprises'!F148</f>
        <v>0</v>
      </c>
      <c r="G148" s="48">
        <f>'Adani Enterprises'!G148</f>
        <v>0</v>
      </c>
      <c r="H148" s="48">
        <f>'Adani Enterprises'!H148</f>
        <v>0</v>
      </c>
      <c r="I148" s="48">
        <f>'Adani Enterprises'!I148</f>
        <v>0</v>
      </c>
      <c r="J148" s="48">
        <f>'Adani Enterprises'!J148</f>
        <v>0</v>
      </c>
      <c r="K148" s="48">
        <f>'Adani Enterprises'!K148</f>
        <v>0</v>
      </c>
      <c r="L148" s="48">
        <f>'Adani Enterprises'!L148</f>
        <v>0</v>
      </c>
      <c r="M148" s="48">
        <f>'Adani Enterprises'!M148</f>
        <v>0</v>
      </c>
      <c r="N148" s="48">
        <f>'Adani Enterprises'!N148</f>
        <v>0</v>
      </c>
      <c r="O148" s="48">
        <f>'Adani Enterprises'!O148</f>
        <v>0</v>
      </c>
      <c r="P148" s="48">
        <f>'Adani Enterprises'!P148</f>
        <v>0</v>
      </c>
      <c r="Q148" s="48">
        <f>'Adani Enterprises'!Q148</f>
        <v>0</v>
      </c>
      <c r="R148" s="48">
        <f>'Adani Enterprises'!R148</f>
        <v>0</v>
      </c>
      <c r="S148" s="48">
        <f>'Adani Enterprises'!S148</f>
        <v>0</v>
      </c>
      <c r="T148" s="48">
        <f>'Adani Enterprises'!T148</f>
        <v>0</v>
      </c>
      <c r="U148" s="48">
        <f>'Adani Enterprises'!U148</f>
        <v>0</v>
      </c>
      <c r="V148" s="48">
        <f>'Adani Enterprises'!V148</f>
        <v>0</v>
      </c>
      <c r="W148" s="48">
        <f>'Adani Enterprises'!W148</f>
        <v>0</v>
      </c>
      <c r="X148" s="48">
        <f>'Adani Enterprises'!X148</f>
        <v>0</v>
      </c>
      <c r="Y148" s="48">
        <f>'Adani Enterprises'!Y148</f>
        <v>0</v>
      </c>
      <c r="Z148" s="48">
        <f>'Adani Enterprises'!Z148</f>
        <v>0</v>
      </c>
      <c r="AA148" s="48">
        <f>'Adani Enterprises'!AA148</f>
        <v>0</v>
      </c>
      <c r="AB148" s="48">
        <f>'Adani Enterprises'!AB148</f>
        <v>0</v>
      </c>
      <c r="AC148" s="48">
        <f>'Adani Enterprises'!AC148</f>
        <v>0</v>
      </c>
      <c r="AD148" s="48">
        <f>'Adani Enterprises'!AD148</f>
        <v>0</v>
      </c>
      <c r="AE148" s="48">
        <f>'Adani Enterprises'!AE148</f>
        <v>0</v>
      </c>
      <c r="AF148" s="48">
        <f>'Adani Enterprises'!AF148</f>
        <v>0</v>
      </c>
      <c r="AG148" s="48">
        <f>'Adani Enterprises'!AG148</f>
        <v>0</v>
      </c>
      <c r="AH148" s="48">
        <f>'Adani Enterprises'!AH148</f>
        <v>0</v>
      </c>
      <c r="AI148" s="48">
        <f>'Adani Enterprises'!AI148</f>
        <v>0</v>
      </c>
      <c r="AJ148" s="48">
        <f>'Adani Enterprises'!AJ148</f>
        <v>0</v>
      </c>
      <c r="AK148" s="48">
        <f>'Adani Enterprises'!AK148</f>
        <v>0</v>
      </c>
      <c r="AL148" s="48">
        <f>'Adani Enterprises'!AL148</f>
        <v>0</v>
      </c>
    </row>
    <row r="149" customHeight="1" spans="1:38">
      <c r="A149" s="48">
        <f>'Adani Enterprises'!A149</f>
        <v>0</v>
      </c>
      <c r="B149" s="48">
        <f>'Adani Enterprises'!B149</f>
        <v>0</v>
      </c>
      <c r="C149" s="48">
        <f>'Adani Enterprises'!C149</f>
        <v>0</v>
      </c>
      <c r="D149" s="48">
        <f>'Adani Enterprises'!D149</f>
        <v>0</v>
      </c>
      <c r="E149" s="48">
        <f>'Adani Enterprises'!E149</f>
        <v>0</v>
      </c>
      <c r="F149" s="48">
        <f>'Adani Enterprises'!F149</f>
        <v>0</v>
      </c>
      <c r="G149" s="48">
        <f>'Adani Enterprises'!G149</f>
        <v>0</v>
      </c>
      <c r="H149" s="48">
        <f>'Adani Enterprises'!H149</f>
        <v>0</v>
      </c>
      <c r="I149" s="48">
        <f>'Adani Enterprises'!I149</f>
        <v>0</v>
      </c>
      <c r="J149" s="48">
        <f>'Adani Enterprises'!J149</f>
        <v>0</v>
      </c>
      <c r="K149" s="48">
        <f>'Adani Enterprises'!K149</f>
        <v>0</v>
      </c>
      <c r="L149" s="48">
        <f>'Adani Enterprises'!L149</f>
        <v>0</v>
      </c>
      <c r="M149" s="48">
        <f>'Adani Enterprises'!M149</f>
        <v>0</v>
      </c>
      <c r="N149" s="48">
        <f>'Adani Enterprises'!N149</f>
        <v>0</v>
      </c>
      <c r="O149" s="48">
        <f>'Adani Enterprises'!O149</f>
        <v>0</v>
      </c>
      <c r="P149" s="48">
        <f>'Adani Enterprises'!P149</f>
        <v>0</v>
      </c>
      <c r="Q149" s="48">
        <f>'Adani Enterprises'!Q149</f>
        <v>0</v>
      </c>
      <c r="R149" s="48">
        <f>'Adani Enterprises'!R149</f>
        <v>0</v>
      </c>
      <c r="S149" s="48">
        <f>'Adani Enterprises'!S149</f>
        <v>0</v>
      </c>
      <c r="T149" s="48">
        <f>'Adani Enterprises'!T149</f>
        <v>0</v>
      </c>
      <c r="U149" s="48">
        <f>'Adani Enterprises'!U149</f>
        <v>0</v>
      </c>
      <c r="V149" s="48">
        <f>'Adani Enterprises'!V149</f>
        <v>0</v>
      </c>
      <c r="W149" s="48">
        <f>'Adani Enterprises'!W149</f>
        <v>0</v>
      </c>
      <c r="X149" s="48">
        <f>'Adani Enterprises'!X149</f>
        <v>0</v>
      </c>
      <c r="Y149" s="48">
        <f>'Adani Enterprises'!Y149</f>
        <v>0</v>
      </c>
      <c r="Z149" s="48">
        <f>'Adani Enterprises'!Z149</f>
        <v>0</v>
      </c>
      <c r="AA149" s="48">
        <f>'Adani Enterprises'!AA149</f>
        <v>0</v>
      </c>
      <c r="AB149" s="48">
        <f>'Adani Enterprises'!AB149</f>
        <v>0</v>
      </c>
      <c r="AC149" s="48">
        <f>'Adani Enterprises'!AC149</f>
        <v>0</v>
      </c>
      <c r="AD149" s="48">
        <f>'Adani Enterprises'!AD149</f>
        <v>0</v>
      </c>
      <c r="AE149" s="48">
        <f>'Adani Enterprises'!AE149</f>
        <v>0</v>
      </c>
      <c r="AF149" s="48">
        <f>'Adani Enterprises'!AF149</f>
        <v>0</v>
      </c>
      <c r="AG149" s="48">
        <f>'Adani Enterprises'!AG149</f>
        <v>0</v>
      </c>
      <c r="AH149" s="48">
        <f>'Adani Enterprises'!AH149</f>
        <v>0</v>
      </c>
      <c r="AI149" s="48">
        <f>'Adani Enterprises'!AI149</f>
        <v>0</v>
      </c>
      <c r="AJ149" s="48">
        <f>'Adani Enterprises'!AJ149</f>
        <v>0</v>
      </c>
      <c r="AK149" s="48">
        <f>'Adani Enterprises'!AK149</f>
        <v>0</v>
      </c>
      <c r="AL149" s="48">
        <f>'Adani Enterprises'!AL149</f>
        <v>0</v>
      </c>
    </row>
    <row r="150" customHeight="1" spans="1:38">
      <c r="A150" s="48">
        <f>'Adani Enterprises'!A150</f>
        <v>0</v>
      </c>
      <c r="B150" s="48">
        <f>'Adani Enterprises'!B150</f>
        <v>0</v>
      </c>
      <c r="C150" s="48">
        <f>'Adani Enterprises'!C150</f>
        <v>0</v>
      </c>
      <c r="D150" s="48">
        <f>'Adani Enterprises'!D150</f>
        <v>0</v>
      </c>
      <c r="E150" s="48">
        <f>'Adani Enterprises'!E150</f>
        <v>0</v>
      </c>
      <c r="F150" s="48">
        <f>'Adani Enterprises'!F150</f>
        <v>0</v>
      </c>
      <c r="G150" s="48">
        <f>'Adani Enterprises'!G150</f>
        <v>0</v>
      </c>
      <c r="H150" s="48">
        <f>'Adani Enterprises'!H150</f>
        <v>0</v>
      </c>
      <c r="I150" s="48">
        <f>'Adani Enterprises'!I150</f>
        <v>0</v>
      </c>
      <c r="J150" s="48">
        <f>'Adani Enterprises'!J150</f>
        <v>0</v>
      </c>
      <c r="K150" s="48">
        <f>'Adani Enterprises'!K150</f>
        <v>0</v>
      </c>
      <c r="L150" s="48">
        <f>'Adani Enterprises'!L150</f>
        <v>0</v>
      </c>
      <c r="M150" s="48">
        <f>'Adani Enterprises'!M150</f>
        <v>0</v>
      </c>
      <c r="N150" s="48">
        <f>'Adani Enterprises'!N150</f>
        <v>0</v>
      </c>
      <c r="O150" s="48">
        <f>'Adani Enterprises'!O150</f>
        <v>0</v>
      </c>
      <c r="P150" s="48">
        <f>'Adani Enterprises'!P150</f>
        <v>0</v>
      </c>
      <c r="Q150" s="48">
        <f>'Adani Enterprises'!Q150</f>
        <v>0</v>
      </c>
      <c r="R150" s="48">
        <f>'Adani Enterprises'!R150</f>
        <v>0</v>
      </c>
      <c r="S150" s="48">
        <f>'Adani Enterprises'!S150</f>
        <v>0</v>
      </c>
      <c r="T150" s="48">
        <f>'Adani Enterprises'!T150</f>
        <v>0</v>
      </c>
      <c r="U150" s="48">
        <f>'Adani Enterprises'!U150</f>
        <v>0</v>
      </c>
      <c r="V150" s="48">
        <f>'Adani Enterprises'!V150</f>
        <v>0</v>
      </c>
      <c r="W150" s="48">
        <f>'Adani Enterprises'!W150</f>
        <v>0</v>
      </c>
      <c r="X150" s="48">
        <f>'Adani Enterprises'!X150</f>
        <v>0</v>
      </c>
      <c r="Y150" s="48">
        <f>'Adani Enterprises'!Y150</f>
        <v>0</v>
      </c>
      <c r="Z150" s="48">
        <f>'Adani Enterprises'!Z150</f>
        <v>0</v>
      </c>
      <c r="AA150" s="48">
        <f>'Adani Enterprises'!AA150</f>
        <v>0</v>
      </c>
      <c r="AB150" s="48">
        <f>'Adani Enterprises'!AB150</f>
        <v>0</v>
      </c>
      <c r="AC150" s="48">
        <f>'Adani Enterprises'!AC150</f>
        <v>0</v>
      </c>
      <c r="AD150" s="48">
        <f>'Adani Enterprises'!AD150</f>
        <v>0</v>
      </c>
      <c r="AE150" s="48">
        <f>'Adani Enterprises'!AE150</f>
        <v>0</v>
      </c>
      <c r="AF150" s="48">
        <f>'Adani Enterprises'!AF150</f>
        <v>0</v>
      </c>
      <c r="AG150" s="48">
        <f>'Adani Enterprises'!AG150</f>
        <v>0</v>
      </c>
      <c r="AH150" s="48">
        <f>'Adani Enterprises'!AH150</f>
        <v>0</v>
      </c>
      <c r="AI150" s="48">
        <f>'Adani Enterprises'!AI150</f>
        <v>0</v>
      </c>
      <c r="AJ150" s="48">
        <f>'Adani Enterprises'!AJ150</f>
        <v>0</v>
      </c>
      <c r="AK150" s="48">
        <f>'Adani Enterprises'!AK150</f>
        <v>0</v>
      </c>
      <c r="AL150" s="48">
        <f>'Adani Enterprises'!AL150</f>
        <v>0</v>
      </c>
    </row>
    <row r="151" customHeight="1" spans="1:38">
      <c r="A151" s="48">
        <f>'Adani Enterprises'!A151</f>
        <v>0</v>
      </c>
      <c r="B151" s="48">
        <f>'Adani Enterprises'!B151</f>
        <v>0</v>
      </c>
      <c r="C151" s="48">
        <f>'Adani Enterprises'!C151</f>
        <v>0</v>
      </c>
      <c r="D151" s="48">
        <f>'Adani Enterprises'!D151</f>
        <v>0</v>
      </c>
      <c r="E151" s="48">
        <f>'Adani Enterprises'!E151</f>
        <v>0</v>
      </c>
      <c r="F151" s="48">
        <f>'Adani Enterprises'!F151</f>
        <v>0</v>
      </c>
      <c r="G151" s="48">
        <f>'Adani Enterprises'!G151</f>
        <v>0</v>
      </c>
      <c r="H151" s="48">
        <f>'Adani Enterprises'!H151</f>
        <v>0</v>
      </c>
      <c r="I151" s="48">
        <f>'Adani Enterprises'!I151</f>
        <v>0</v>
      </c>
      <c r="J151" s="48">
        <f>'Adani Enterprises'!J151</f>
        <v>0</v>
      </c>
      <c r="K151" s="48">
        <f>'Adani Enterprises'!K151</f>
        <v>0</v>
      </c>
      <c r="L151" s="48">
        <f>'Adani Enterprises'!L151</f>
        <v>0</v>
      </c>
      <c r="M151" s="48">
        <f>'Adani Enterprises'!M151</f>
        <v>0</v>
      </c>
      <c r="N151" s="48">
        <f>'Adani Enterprises'!N151</f>
        <v>0</v>
      </c>
      <c r="O151" s="48">
        <f>'Adani Enterprises'!O151</f>
        <v>0</v>
      </c>
      <c r="P151" s="48">
        <f>'Adani Enterprises'!P151</f>
        <v>0</v>
      </c>
      <c r="Q151" s="48">
        <f>'Adani Enterprises'!Q151</f>
        <v>0</v>
      </c>
      <c r="R151" s="48">
        <f>'Adani Enterprises'!R151</f>
        <v>0</v>
      </c>
      <c r="S151" s="48">
        <f>'Adani Enterprises'!S151</f>
        <v>0</v>
      </c>
      <c r="T151" s="48">
        <f>'Adani Enterprises'!T151</f>
        <v>0</v>
      </c>
      <c r="U151" s="48">
        <f>'Adani Enterprises'!U151</f>
        <v>0</v>
      </c>
      <c r="V151" s="48">
        <f>'Adani Enterprises'!V151</f>
        <v>0</v>
      </c>
      <c r="W151" s="48">
        <f>'Adani Enterprises'!W151</f>
        <v>0</v>
      </c>
      <c r="X151" s="48">
        <f>'Adani Enterprises'!X151</f>
        <v>0</v>
      </c>
      <c r="Y151" s="48">
        <f>'Adani Enterprises'!Y151</f>
        <v>0</v>
      </c>
      <c r="Z151" s="48">
        <f>'Adani Enterprises'!Z151</f>
        <v>0</v>
      </c>
      <c r="AA151" s="48">
        <f>'Adani Enterprises'!AA151</f>
        <v>0</v>
      </c>
      <c r="AB151" s="48">
        <f>'Adani Enterprises'!AB151</f>
        <v>0</v>
      </c>
      <c r="AC151" s="48">
        <f>'Adani Enterprises'!AC151</f>
        <v>0</v>
      </c>
      <c r="AD151" s="48">
        <f>'Adani Enterprises'!AD151</f>
        <v>0</v>
      </c>
      <c r="AE151" s="48">
        <f>'Adani Enterprises'!AE151</f>
        <v>0</v>
      </c>
      <c r="AF151" s="48">
        <f>'Adani Enterprises'!AF151</f>
        <v>0</v>
      </c>
      <c r="AG151" s="48">
        <f>'Adani Enterprises'!AG151</f>
        <v>0</v>
      </c>
      <c r="AH151" s="48">
        <f>'Adani Enterprises'!AH151</f>
        <v>0</v>
      </c>
      <c r="AI151" s="48">
        <f>'Adani Enterprises'!AI151</f>
        <v>0</v>
      </c>
      <c r="AJ151" s="48">
        <f>'Adani Enterprises'!AJ151</f>
        <v>0</v>
      </c>
      <c r="AK151" s="48">
        <f>'Adani Enterprises'!AK151</f>
        <v>0</v>
      </c>
      <c r="AL151" s="48">
        <f>'Adani Enterprises'!AL151</f>
        <v>0</v>
      </c>
    </row>
    <row r="152" customHeight="1" spans="1:38">
      <c r="A152" s="48">
        <f>'Adani Enterprises'!A152</f>
        <v>0</v>
      </c>
      <c r="B152" s="48">
        <f>'Adani Enterprises'!B152</f>
        <v>0</v>
      </c>
      <c r="C152" s="48">
        <f>'Adani Enterprises'!C152</f>
        <v>0</v>
      </c>
      <c r="D152" s="48">
        <f>'Adani Enterprises'!D152</f>
        <v>0</v>
      </c>
      <c r="E152" s="48">
        <f>'Adani Enterprises'!E152</f>
        <v>0</v>
      </c>
      <c r="F152" s="48">
        <f>'Adani Enterprises'!F152</f>
        <v>0</v>
      </c>
      <c r="G152" s="48">
        <f>'Adani Enterprises'!G152</f>
        <v>0</v>
      </c>
      <c r="H152" s="48">
        <f>'Adani Enterprises'!H152</f>
        <v>0</v>
      </c>
      <c r="I152" s="48">
        <f>'Adani Enterprises'!I152</f>
        <v>0</v>
      </c>
      <c r="J152" s="48">
        <f>'Adani Enterprises'!J152</f>
        <v>0</v>
      </c>
      <c r="K152" s="48">
        <f>'Adani Enterprises'!K152</f>
        <v>0</v>
      </c>
      <c r="L152" s="48">
        <f>'Adani Enterprises'!L152</f>
        <v>0</v>
      </c>
      <c r="M152" s="48">
        <f>'Adani Enterprises'!M152</f>
        <v>0</v>
      </c>
      <c r="N152" s="48">
        <f>'Adani Enterprises'!N152</f>
        <v>0</v>
      </c>
      <c r="O152" s="48">
        <f>'Adani Enterprises'!O152</f>
        <v>0</v>
      </c>
      <c r="P152" s="48">
        <f>'Adani Enterprises'!P152</f>
        <v>0</v>
      </c>
      <c r="Q152" s="48">
        <f>'Adani Enterprises'!Q152</f>
        <v>0</v>
      </c>
      <c r="R152" s="48">
        <f>'Adani Enterprises'!R152</f>
        <v>0</v>
      </c>
      <c r="S152" s="48">
        <f>'Adani Enterprises'!S152</f>
        <v>0</v>
      </c>
      <c r="T152" s="48">
        <f>'Adani Enterprises'!T152</f>
        <v>0</v>
      </c>
      <c r="U152" s="48">
        <f>'Adani Enterprises'!U152</f>
        <v>0</v>
      </c>
      <c r="V152" s="48">
        <f>'Adani Enterprises'!V152</f>
        <v>0</v>
      </c>
      <c r="W152" s="48">
        <f>'Adani Enterprises'!W152</f>
        <v>0</v>
      </c>
      <c r="X152" s="48">
        <f>'Adani Enterprises'!X152</f>
        <v>0</v>
      </c>
      <c r="Y152" s="48">
        <f>'Adani Enterprises'!Y152</f>
        <v>0</v>
      </c>
      <c r="Z152" s="48">
        <f>'Adani Enterprises'!Z152</f>
        <v>0</v>
      </c>
      <c r="AA152" s="48">
        <f>'Adani Enterprises'!AA152</f>
        <v>0</v>
      </c>
      <c r="AB152" s="48">
        <f>'Adani Enterprises'!AB152</f>
        <v>0</v>
      </c>
      <c r="AC152" s="48">
        <f>'Adani Enterprises'!AC152</f>
        <v>0</v>
      </c>
      <c r="AD152" s="48">
        <f>'Adani Enterprises'!AD152</f>
        <v>0</v>
      </c>
      <c r="AE152" s="48">
        <f>'Adani Enterprises'!AE152</f>
        <v>0</v>
      </c>
      <c r="AF152" s="48">
        <f>'Adani Enterprises'!AF152</f>
        <v>0</v>
      </c>
      <c r="AG152" s="48">
        <f>'Adani Enterprises'!AG152</f>
        <v>0</v>
      </c>
      <c r="AH152" s="48">
        <f>'Adani Enterprises'!AH152</f>
        <v>0</v>
      </c>
      <c r="AI152" s="48">
        <f>'Adani Enterprises'!AI152</f>
        <v>0</v>
      </c>
      <c r="AJ152" s="48">
        <f>'Adani Enterprises'!AJ152</f>
        <v>0</v>
      </c>
      <c r="AK152" s="48">
        <f>'Adani Enterprises'!AK152</f>
        <v>0</v>
      </c>
      <c r="AL152" s="48">
        <f>'Adani Enterprises'!AL152</f>
        <v>0</v>
      </c>
    </row>
    <row r="153" customHeight="1" spans="1:38">
      <c r="A153" s="48">
        <f>'Adani Enterprises'!A153</f>
        <v>0</v>
      </c>
      <c r="B153" s="48">
        <f>'Adani Enterprises'!B153</f>
        <v>0</v>
      </c>
      <c r="C153" s="48">
        <f>'Adani Enterprises'!C153</f>
        <v>0</v>
      </c>
      <c r="D153" s="48">
        <f>'Adani Enterprises'!D153</f>
        <v>0</v>
      </c>
      <c r="E153" s="48">
        <f>'Adani Enterprises'!E153</f>
        <v>0</v>
      </c>
      <c r="F153" s="48">
        <f>'Adani Enterprises'!F153</f>
        <v>0</v>
      </c>
      <c r="G153" s="48">
        <f>'Adani Enterprises'!G153</f>
        <v>0</v>
      </c>
      <c r="H153" s="48">
        <f>'Adani Enterprises'!H153</f>
        <v>0</v>
      </c>
      <c r="I153" s="48">
        <f>'Adani Enterprises'!I153</f>
        <v>0</v>
      </c>
      <c r="J153" s="48">
        <f>'Adani Enterprises'!J153</f>
        <v>0</v>
      </c>
      <c r="K153" s="48">
        <f>'Adani Enterprises'!K153</f>
        <v>0</v>
      </c>
      <c r="L153" s="48">
        <f>'Adani Enterprises'!L153</f>
        <v>0</v>
      </c>
      <c r="M153" s="48">
        <f>'Adani Enterprises'!M153</f>
        <v>0</v>
      </c>
      <c r="N153" s="48">
        <f>'Adani Enterprises'!N153</f>
        <v>0</v>
      </c>
      <c r="O153" s="48">
        <f>'Adani Enterprises'!O153</f>
        <v>0</v>
      </c>
      <c r="P153" s="48">
        <f>'Adani Enterprises'!P153</f>
        <v>0</v>
      </c>
      <c r="Q153" s="48">
        <f>'Adani Enterprises'!Q153</f>
        <v>0</v>
      </c>
      <c r="R153" s="48">
        <f>'Adani Enterprises'!R153</f>
        <v>0</v>
      </c>
      <c r="S153" s="48">
        <f>'Adani Enterprises'!S153</f>
        <v>0</v>
      </c>
      <c r="T153" s="48">
        <f>'Adani Enterprises'!T153</f>
        <v>0</v>
      </c>
      <c r="U153" s="48">
        <f>'Adani Enterprises'!U153</f>
        <v>0</v>
      </c>
      <c r="V153" s="48">
        <f>'Adani Enterprises'!V153</f>
        <v>0</v>
      </c>
      <c r="W153" s="48">
        <f>'Adani Enterprises'!W153</f>
        <v>0</v>
      </c>
      <c r="X153" s="48">
        <f>'Adani Enterprises'!X153</f>
        <v>0</v>
      </c>
      <c r="Y153" s="48">
        <f>'Adani Enterprises'!Y153</f>
        <v>0</v>
      </c>
      <c r="Z153" s="48">
        <f>'Adani Enterprises'!Z153</f>
        <v>0</v>
      </c>
      <c r="AA153" s="48">
        <f>'Adani Enterprises'!AA153</f>
        <v>0</v>
      </c>
      <c r="AB153" s="48">
        <f>'Adani Enterprises'!AB153</f>
        <v>0</v>
      </c>
      <c r="AC153" s="48">
        <f>'Adani Enterprises'!AC153</f>
        <v>0</v>
      </c>
      <c r="AD153" s="48">
        <f>'Adani Enterprises'!AD153</f>
        <v>0</v>
      </c>
      <c r="AE153" s="48">
        <f>'Adani Enterprises'!AE153</f>
        <v>0</v>
      </c>
      <c r="AF153" s="48">
        <f>'Adani Enterprises'!AF153</f>
        <v>0</v>
      </c>
      <c r="AG153" s="48">
        <f>'Adani Enterprises'!AG153</f>
        <v>0</v>
      </c>
      <c r="AH153" s="48">
        <f>'Adani Enterprises'!AH153</f>
        <v>0</v>
      </c>
      <c r="AI153" s="48">
        <f>'Adani Enterprises'!AI153</f>
        <v>0</v>
      </c>
      <c r="AJ153" s="48">
        <f>'Adani Enterprises'!AJ153</f>
        <v>0</v>
      </c>
      <c r="AK153" s="48">
        <f>'Adani Enterprises'!AK153</f>
        <v>0</v>
      </c>
      <c r="AL153" s="48">
        <f>'Adani Enterprises'!AL153</f>
        <v>0</v>
      </c>
    </row>
    <row r="154" customHeight="1" spans="1:38">
      <c r="A154" s="48">
        <f>'Adani Enterprises'!A154</f>
        <v>0</v>
      </c>
      <c r="B154" s="48">
        <f>'Adani Enterprises'!B154</f>
        <v>0</v>
      </c>
      <c r="C154" s="48">
        <f>'Adani Enterprises'!C154</f>
        <v>0</v>
      </c>
      <c r="D154" s="48">
        <f>'Adani Enterprises'!D154</f>
        <v>0</v>
      </c>
      <c r="E154" s="48">
        <f>'Adani Enterprises'!E154</f>
        <v>0</v>
      </c>
      <c r="F154" s="48">
        <f>'Adani Enterprises'!F154</f>
        <v>0</v>
      </c>
      <c r="G154" s="48">
        <f>'Adani Enterprises'!G154</f>
        <v>0</v>
      </c>
      <c r="H154" s="48">
        <f>'Adani Enterprises'!H154</f>
        <v>0</v>
      </c>
      <c r="I154" s="48">
        <f>'Adani Enterprises'!I154</f>
        <v>0</v>
      </c>
      <c r="J154" s="48">
        <f>'Adani Enterprises'!J154</f>
        <v>0</v>
      </c>
      <c r="K154" s="48">
        <f>'Adani Enterprises'!K154</f>
        <v>0</v>
      </c>
      <c r="L154" s="48">
        <f>'Adani Enterprises'!L154</f>
        <v>0</v>
      </c>
      <c r="M154" s="48">
        <f>'Adani Enterprises'!M154</f>
        <v>0</v>
      </c>
      <c r="N154" s="48">
        <f>'Adani Enterprises'!N154</f>
        <v>0</v>
      </c>
      <c r="O154" s="48">
        <f>'Adani Enterprises'!O154</f>
        <v>0</v>
      </c>
      <c r="P154" s="48">
        <f>'Adani Enterprises'!P154</f>
        <v>0</v>
      </c>
      <c r="Q154" s="48">
        <f>'Adani Enterprises'!Q154</f>
        <v>0</v>
      </c>
      <c r="R154" s="48">
        <f>'Adani Enterprises'!R154</f>
        <v>0</v>
      </c>
      <c r="S154" s="48">
        <f>'Adani Enterprises'!S154</f>
        <v>0</v>
      </c>
      <c r="T154" s="48">
        <f>'Adani Enterprises'!T154</f>
        <v>0</v>
      </c>
      <c r="U154" s="48">
        <f>'Adani Enterprises'!U154</f>
        <v>0</v>
      </c>
      <c r="V154" s="48">
        <f>'Adani Enterprises'!V154</f>
        <v>0</v>
      </c>
      <c r="W154" s="48">
        <f>'Adani Enterprises'!W154</f>
        <v>0</v>
      </c>
      <c r="X154" s="48">
        <f>'Adani Enterprises'!X154</f>
        <v>0</v>
      </c>
      <c r="Y154" s="48">
        <f>'Adani Enterprises'!Y154</f>
        <v>0</v>
      </c>
      <c r="Z154" s="48">
        <f>'Adani Enterprises'!Z154</f>
        <v>0</v>
      </c>
      <c r="AA154" s="48">
        <f>'Adani Enterprises'!AA154</f>
        <v>0</v>
      </c>
      <c r="AB154" s="48">
        <f>'Adani Enterprises'!AB154</f>
        <v>0</v>
      </c>
      <c r="AC154" s="48">
        <f>'Adani Enterprises'!AC154</f>
        <v>0</v>
      </c>
      <c r="AD154" s="48">
        <f>'Adani Enterprises'!AD154</f>
        <v>0</v>
      </c>
      <c r="AE154" s="48">
        <f>'Adani Enterprises'!AE154</f>
        <v>0</v>
      </c>
      <c r="AF154" s="48">
        <f>'Adani Enterprises'!AF154</f>
        <v>0</v>
      </c>
      <c r="AG154" s="48">
        <f>'Adani Enterprises'!AG154</f>
        <v>0</v>
      </c>
      <c r="AH154" s="48">
        <f>'Adani Enterprises'!AH154</f>
        <v>0</v>
      </c>
      <c r="AI154" s="48">
        <f>'Adani Enterprises'!AI154</f>
        <v>0</v>
      </c>
      <c r="AJ154" s="48">
        <f>'Adani Enterprises'!AJ154</f>
        <v>0</v>
      </c>
      <c r="AK154" s="48">
        <f>'Adani Enterprises'!AK154</f>
        <v>0</v>
      </c>
      <c r="AL154" s="48">
        <f>'Adani Enterprises'!AL154</f>
        <v>0</v>
      </c>
    </row>
    <row r="155" customHeight="1" spans="1:38">
      <c r="A155" s="48">
        <f>'Adani Enterprises'!A155</f>
        <v>0</v>
      </c>
      <c r="B155" s="48">
        <f>'Adani Enterprises'!B155</f>
        <v>0</v>
      </c>
      <c r="C155" s="48">
        <f>'Adani Enterprises'!C155</f>
        <v>0</v>
      </c>
      <c r="D155" s="48">
        <f>'Adani Enterprises'!D155</f>
        <v>0</v>
      </c>
      <c r="E155" s="48">
        <f>'Adani Enterprises'!E155</f>
        <v>0</v>
      </c>
      <c r="F155" s="48">
        <f>'Adani Enterprises'!F155</f>
        <v>0</v>
      </c>
      <c r="G155" s="48">
        <f>'Adani Enterprises'!G155</f>
        <v>0</v>
      </c>
      <c r="H155" s="48">
        <f>'Adani Enterprises'!H155</f>
        <v>0</v>
      </c>
      <c r="I155" s="48">
        <f>'Adani Enterprises'!I155</f>
        <v>0</v>
      </c>
      <c r="J155" s="48">
        <f>'Adani Enterprises'!J155</f>
        <v>0</v>
      </c>
      <c r="K155" s="48">
        <f>'Adani Enterprises'!K155</f>
        <v>0</v>
      </c>
      <c r="L155" s="48">
        <f>'Adani Enterprises'!L155</f>
        <v>0</v>
      </c>
      <c r="M155" s="48">
        <f>'Adani Enterprises'!M155</f>
        <v>0</v>
      </c>
      <c r="N155" s="48">
        <f>'Adani Enterprises'!N155</f>
        <v>0</v>
      </c>
      <c r="O155" s="48">
        <f>'Adani Enterprises'!O155</f>
        <v>0</v>
      </c>
      <c r="P155" s="48">
        <f>'Adani Enterprises'!P155</f>
        <v>0</v>
      </c>
      <c r="Q155" s="48">
        <f>'Adani Enterprises'!Q155</f>
        <v>0</v>
      </c>
      <c r="R155" s="48">
        <f>'Adani Enterprises'!R155</f>
        <v>0</v>
      </c>
      <c r="S155" s="48">
        <f>'Adani Enterprises'!S155</f>
        <v>0</v>
      </c>
      <c r="T155" s="48">
        <f>'Adani Enterprises'!T155</f>
        <v>0</v>
      </c>
      <c r="U155" s="48">
        <f>'Adani Enterprises'!U155</f>
        <v>0</v>
      </c>
      <c r="V155" s="48">
        <f>'Adani Enterprises'!V155</f>
        <v>0</v>
      </c>
      <c r="W155" s="48">
        <f>'Adani Enterprises'!W155</f>
        <v>0</v>
      </c>
      <c r="X155" s="48">
        <f>'Adani Enterprises'!X155</f>
        <v>0</v>
      </c>
      <c r="Y155" s="48">
        <f>'Adani Enterprises'!Y155</f>
        <v>0</v>
      </c>
      <c r="Z155" s="48">
        <f>'Adani Enterprises'!Z155</f>
        <v>0</v>
      </c>
      <c r="AA155" s="48">
        <f>'Adani Enterprises'!AA155</f>
        <v>0</v>
      </c>
      <c r="AB155" s="48">
        <f>'Adani Enterprises'!AB155</f>
        <v>0</v>
      </c>
      <c r="AC155" s="48">
        <f>'Adani Enterprises'!AC155</f>
        <v>0</v>
      </c>
      <c r="AD155" s="48">
        <f>'Adani Enterprises'!AD155</f>
        <v>0</v>
      </c>
      <c r="AE155" s="48">
        <f>'Adani Enterprises'!AE155</f>
        <v>0</v>
      </c>
      <c r="AF155" s="48">
        <f>'Adani Enterprises'!AF155</f>
        <v>0</v>
      </c>
      <c r="AG155" s="48">
        <f>'Adani Enterprises'!AG155</f>
        <v>0</v>
      </c>
      <c r="AH155" s="48">
        <f>'Adani Enterprises'!AH155</f>
        <v>0</v>
      </c>
      <c r="AI155" s="48">
        <f>'Adani Enterprises'!AI155</f>
        <v>0</v>
      </c>
      <c r="AJ155" s="48">
        <f>'Adani Enterprises'!AJ155</f>
        <v>0</v>
      </c>
      <c r="AK155" s="48">
        <f>'Adani Enterprises'!AK155</f>
        <v>0</v>
      </c>
      <c r="AL155" s="48">
        <f>'Adani Enterprises'!AL155</f>
        <v>0</v>
      </c>
    </row>
    <row r="156" customHeight="1" spans="1:38">
      <c r="A156" s="48">
        <f>'Adani Enterprises'!A156</f>
        <v>0</v>
      </c>
      <c r="B156" s="48">
        <f>'Adani Enterprises'!B156</f>
        <v>0</v>
      </c>
      <c r="C156" s="48">
        <f>'Adani Enterprises'!C156</f>
        <v>0</v>
      </c>
      <c r="D156" s="48">
        <f>'Adani Enterprises'!D156</f>
        <v>0</v>
      </c>
      <c r="E156" s="48">
        <f>'Adani Enterprises'!E156</f>
        <v>0</v>
      </c>
      <c r="F156" s="48">
        <f>'Adani Enterprises'!F156</f>
        <v>0</v>
      </c>
      <c r="G156" s="48">
        <f>'Adani Enterprises'!G156</f>
        <v>0</v>
      </c>
      <c r="H156" s="48">
        <f>'Adani Enterprises'!H156</f>
        <v>0</v>
      </c>
      <c r="I156" s="48">
        <f>'Adani Enterprises'!I156</f>
        <v>0</v>
      </c>
      <c r="J156" s="48">
        <f>'Adani Enterprises'!J156</f>
        <v>0</v>
      </c>
      <c r="K156" s="48">
        <f>'Adani Enterprises'!K156</f>
        <v>0</v>
      </c>
      <c r="L156" s="48">
        <f>'Adani Enterprises'!L156</f>
        <v>0</v>
      </c>
      <c r="M156" s="48">
        <f>'Adani Enterprises'!M156</f>
        <v>0</v>
      </c>
      <c r="N156" s="48">
        <f>'Adani Enterprises'!N156</f>
        <v>0</v>
      </c>
      <c r="O156" s="48">
        <f>'Adani Enterprises'!O156</f>
        <v>0</v>
      </c>
      <c r="P156" s="48">
        <f>'Adani Enterprises'!P156</f>
        <v>0</v>
      </c>
      <c r="Q156" s="48">
        <f>'Adani Enterprises'!Q156</f>
        <v>0</v>
      </c>
      <c r="R156" s="48">
        <f>'Adani Enterprises'!R156</f>
        <v>0</v>
      </c>
      <c r="S156" s="48">
        <f>'Adani Enterprises'!S156</f>
        <v>0</v>
      </c>
      <c r="T156" s="48">
        <f>'Adani Enterprises'!T156</f>
        <v>0</v>
      </c>
      <c r="U156" s="48">
        <f>'Adani Enterprises'!U156</f>
        <v>0</v>
      </c>
      <c r="V156" s="48">
        <f>'Adani Enterprises'!V156</f>
        <v>0</v>
      </c>
      <c r="W156" s="48">
        <f>'Adani Enterprises'!W156</f>
        <v>0</v>
      </c>
      <c r="X156" s="48">
        <f>'Adani Enterprises'!X156</f>
        <v>0</v>
      </c>
      <c r="Y156" s="48">
        <f>'Adani Enterprises'!Y156</f>
        <v>0</v>
      </c>
      <c r="Z156" s="48">
        <f>'Adani Enterprises'!Z156</f>
        <v>0</v>
      </c>
      <c r="AA156" s="48">
        <f>'Adani Enterprises'!AA156</f>
        <v>0</v>
      </c>
      <c r="AB156" s="48">
        <f>'Adani Enterprises'!AB156</f>
        <v>0</v>
      </c>
      <c r="AC156" s="48">
        <f>'Adani Enterprises'!AC156</f>
        <v>0</v>
      </c>
      <c r="AD156" s="48">
        <f>'Adani Enterprises'!AD156</f>
        <v>0</v>
      </c>
      <c r="AE156" s="48">
        <f>'Adani Enterprises'!AE156</f>
        <v>0</v>
      </c>
      <c r="AF156" s="48">
        <f>'Adani Enterprises'!AF156</f>
        <v>0</v>
      </c>
      <c r="AG156" s="48">
        <f>'Adani Enterprises'!AG156</f>
        <v>0</v>
      </c>
      <c r="AH156" s="48">
        <f>'Adani Enterprises'!AH156</f>
        <v>0</v>
      </c>
      <c r="AI156" s="48">
        <f>'Adani Enterprises'!AI156</f>
        <v>0</v>
      </c>
      <c r="AJ156" s="48">
        <f>'Adani Enterprises'!AJ156</f>
        <v>0</v>
      </c>
      <c r="AK156" s="48">
        <f>'Adani Enterprises'!AK156</f>
        <v>0</v>
      </c>
      <c r="AL156" s="48">
        <f>'Adani Enterprises'!AL156</f>
        <v>0</v>
      </c>
    </row>
    <row r="157" customHeight="1" spans="1:38">
      <c r="A157" s="48">
        <f>'Adani Enterprises'!A157</f>
        <v>0</v>
      </c>
      <c r="B157" s="48">
        <f>'Adani Enterprises'!B157</f>
        <v>0</v>
      </c>
      <c r="C157" s="48">
        <f>'Adani Enterprises'!C157</f>
        <v>0</v>
      </c>
      <c r="D157" s="48">
        <f>'Adani Enterprises'!D157</f>
        <v>0</v>
      </c>
      <c r="E157" s="48">
        <f>'Adani Enterprises'!E157</f>
        <v>0</v>
      </c>
      <c r="F157" s="48">
        <f>'Adani Enterprises'!F157</f>
        <v>0</v>
      </c>
      <c r="G157" s="48">
        <f>'Adani Enterprises'!G157</f>
        <v>0</v>
      </c>
      <c r="H157" s="48">
        <f>'Adani Enterprises'!H157</f>
        <v>0</v>
      </c>
      <c r="I157" s="48">
        <f>'Adani Enterprises'!I157</f>
        <v>0</v>
      </c>
      <c r="J157" s="48">
        <f>'Adani Enterprises'!J157</f>
        <v>0</v>
      </c>
      <c r="K157" s="48">
        <f>'Adani Enterprises'!K157</f>
        <v>0</v>
      </c>
      <c r="L157" s="48">
        <f>'Adani Enterprises'!L157</f>
        <v>0</v>
      </c>
      <c r="M157" s="48">
        <f>'Adani Enterprises'!M157</f>
        <v>0</v>
      </c>
      <c r="N157" s="48">
        <f>'Adani Enterprises'!N157</f>
        <v>0</v>
      </c>
      <c r="O157" s="48">
        <f>'Adani Enterprises'!O157</f>
        <v>0</v>
      </c>
      <c r="P157" s="48">
        <f>'Adani Enterprises'!P157</f>
        <v>0</v>
      </c>
      <c r="Q157" s="48">
        <f>'Adani Enterprises'!Q157</f>
        <v>0</v>
      </c>
      <c r="R157" s="48">
        <f>'Adani Enterprises'!R157</f>
        <v>0</v>
      </c>
      <c r="S157" s="48">
        <f>'Adani Enterprises'!S157</f>
        <v>0</v>
      </c>
      <c r="T157" s="48">
        <f>'Adani Enterprises'!T157</f>
        <v>0</v>
      </c>
      <c r="U157" s="48">
        <f>'Adani Enterprises'!U157</f>
        <v>0</v>
      </c>
      <c r="V157" s="48">
        <f>'Adani Enterprises'!V157</f>
        <v>0</v>
      </c>
      <c r="W157" s="48">
        <f>'Adani Enterprises'!W157</f>
        <v>0</v>
      </c>
      <c r="X157" s="48">
        <f>'Adani Enterprises'!X157</f>
        <v>0</v>
      </c>
      <c r="Y157" s="48">
        <f>'Adani Enterprises'!Y157</f>
        <v>0</v>
      </c>
      <c r="Z157" s="48">
        <f>'Adani Enterprises'!Z157</f>
        <v>0</v>
      </c>
      <c r="AA157" s="48">
        <f>'Adani Enterprises'!AA157</f>
        <v>0</v>
      </c>
      <c r="AB157" s="48">
        <f>'Adani Enterprises'!AB157</f>
        <v>0</v>
      </c>
      <c r="AC157" s="48">
        <f>'Adani Enterprises'!AC157</f>
        <v>0</v>
      </c>
      <c r="AD157" s="48">
        <f>'Adani Enterprises'!AD157</f>
        <v>0</v>
      </c>
      <c r="AE157" s="48">
        <f>'Adani Enterprises'!AE157</f>
        <v>0</v>
      </c>
      <c r="AF157" s="48">
        <f>'Adani Enterprises'!AF157</f>
        <v>0</v>
      </c>
      <c r="AG157" s="48">
        <f>'Adani Enterprises'!AG157</f>
        <v>0</v>
      </c>
      <c r="AH157" s="48">
        <f>'Adani Enterprises'!AH157</f>
        <v>0</v>
      </c>
      <c r="AI157" s="48">
        <f>'Adani Enterprises'!AI157</f>
        <v>0</v>
      </c>
      <c r="AJ157" s="48">
        <f>'Adani Enterprises'!AJ157</f>
        <v>0</v>
      </c>
      <c r="AK157" s="48">
        <f>'Adani Enterprises'!AK157</f>
        <v>0</v>
      </c>
      <c r="AL157" s="48">
        <f>'Adani Enterprises'!AL157</f>
        <v>0</v>
      </c>
    </row>
    <row r="158" customHeight="1" spans="1:38">
      <c r="A158" s="48">
        <f>'Adani Enterprises'!A158</f>
        <v>0</v>
      </c>
      <c r="B158" s="48">
        <f>'Adani Enterprises'!B158</f>
        <v>0</v>
      </c>
      <c r="C158" s="48">
        <f>'Adani Enterprises'!C158</f>
        <v>0</v>
      </c>
      <c r="D158" s="48">
        <f>'Adani Enterprises'!D158</f>
        <v>0</v>
      </c>
      <c r="E158" s="48">
        <f>'Adani Enterprises'!E158</f>
        <v>0</v>
      </c>
      <c r="F158" s="48">
        <f>'Adani Enterprises'!F158</f>
        <v>0</v>
      </c>
      <c r="G158" s="48">
        <f>'Adani Enterprises'!G158</f>
        <v>0</v>
      </c>
      <c r="H158" s="48">
        <f>'Adani Enterprises'!H158</f>
        <v>0</v>
      </c>
      <c r="I158" s="48">
        <f>'Adani Enterprises'!I158</f>
        <v>0</v>
      </c>
      <c r="J158" s="48">
        <f>'Adani Enterprises'!J158</f>
        <v>0</v>
      </c>
      <c r="K158" s="48">
        <f>'Adani Enterprises'!K158</f>
        <v>0</v>
      </c>
      <c r="L158" s="48">
        <f>'Adani Enterprises'!L158</f>
        <v>0</v>
      </c>
      <c r="M158" s="48">
        <f>'Adani Enterprises'!M158</f>
        <v>0</v>
      </c>
      <c r="N158" s="48">
        <f>'Adani Enterprises'!N158</f>
        <v>0</v>
      </c>
      <c r="O158" s="48">
        <f>'Adani Enterprises'!O158</f>
        <v>0</v>
      </c>
      <c r="P158" s="48">
        <f>'Adani Enterprises'!P158</f>
        <v>0</v>
      </c>
      <c r="Q158" s="48">
        <f>'Adani Enterprises'!Q158</f>
        <v>0</v>
      </c>
      <c r="R158" s="48">
        <f>'Adani Enterprises'!R158</f>
        <v>0</v>
      </c>
      <c r="S158" s="48">
        <f>'Adani Enterprises'!S158</f>
        <v>0</v>
      </c>
      <c r="T158" s="48">
        <f>'Adani Enterprises'!T158</f>
        <v>0</v>
      </c>
      <c r="U158" s="48">
        <f>'Adani Enterprises'!U158</f>
        <v>0</v>
      </c>
      <c r="V158" s="48">
        <f>'Adani Enterprises'!V158</f>
        <v>0</v>
      </c>
      <c r="W158" s="48">
        <f>'Adani Enterprises'!W158</f>
        <v>0</v>
      </c>
      <c r="X158" s="48">
        <f>'Adani Enterprises'!X158</f>
        <v>0</v>
      </c>
      <c r="Y158" s="48">
        <f>'Adani Enterprises'!Y158</f>
        <v>0</v>
      </c>
      <c r="Z158" s="48">
        <f>'Adani Enterprises'!Z158</f>
        <v>0</v>
      </c>
      <c r="AA158" s="48">
        <f>'Adani Enterprises'!AA158</f>
        <v>0</v>
      </c>
      <c r="AB158" s="48">
        <f>'Adani Enterprises'!AB158</f>
        <v>0</v>
      </c>
      <c r="AC158" s="48">
        <f>'Adani Enterprises'!AC158</f>
        <v>0</v>
      </c>
      <c r="AD158" s="48">
        <f>'Adani Enterprises'!AD158</f>
        <v>0</v>
      </c>
      <c r="AE158" s="48">
        <f>'Adani Enterprises'!AE158</f>
        <v>0</v>
      </c>
      <c r="AF158" s="48">
        <f>'Adani Enterprises'!AF158</f>
        <v>0</v>
      </c>
      <c r="AG158" s="48">
        <f>'Adani Enterprises'!AG158</f>
        <v>0</v>
      </c>
      <c r="AH158" s="48">
        <f>'Adani Enterprises'!AH158</f>
        <v>0</v>
      </c>
      <c r="AI158" s="48">
        <f>'Adani Enterprises'!AI158</f>
        <v>0</v>
      </c>
      <c r="AJ158" s="48">
        <f>'Adani Enterprises'!AJ158</f>
        <v>0</v>
      </c>
      <c r="AK158" s="48">
        <f>'Adani Enterprises'!AK158</f>
        <v>0</v>
      </c>
      <c r="AL158" s="48">
        <f>'Adani Enterprises'!AL158</f>
        <v>0</v>
      </c>
    </row>
    <row r="159" customHeight="1" spans="1:38">
      <c r="A159" s="48">
        <f>'Adani Enterprises'!A159</f>
        <v>0</v>
      </c>
      <c r="B159" s="48">
        <f>'Adani Enterprises'!B159</f>
        <v>0</v>
      </c>
      <c r="C159" s="48">
        <f>'Adani Enterprises'!C159</f>
        <v>0</v>
      </c>
      <c r="D159" s="48">
        <f>'Adani Enterprises'!D159</f>
        <v>0</v>
      </c>
      <c r="E159" s="48">
        <f>'Adani Enterprises'!E159</f>
        <v>0</v>
      </c>
      <c r="F159" s="48">
        <f>'Adani Enterprises'!F159</f>
        <v>0</v>
      </c>
      <c r="G159" s="48">
        <f>'Adani Enterprises'!G159</f>
        <v>0</v>
      </c>
      <c r="H159" s="48">
        <f>'Adani Enterprises'!H159</f>
        <v>0</v>
      </c>
      <c r="I159" s="48">
        <f>'Adani Enterprises'!I159</f>
        <v>0</v>
      </c>
      <c r="J159" s="48">
        <f>'Adani Enterprises'!J159</f>
        <v>0</v>
      </c>
      <c r="K159" s="48">
        <f>'Adani Enterprises'!K159</f>
        <v>0</v>
      </c>
      <c r="L159" s="48">
        <f>'Adani Enterprises'!L159</f>
        <v>0</v>
      </c>
      <c r="M159" s="48">
        <f>'Adani Enterprises'!M159</f>
        <v>0</v>
      </c>
      <c r="N159" s="48">
        <f>'Adani Enterprises'!N159</f>
        <v>0</v>
      </c>
      <c r="O159" s="48">
        <f>'Adani Enterprises'!O159</f>
        <v>0</v>
      </c>
      <c r="P159" s="48">
        <f>'Adani Enterprises'!P159</f>
        <v>0</v>
      </c>
      <c r="Q159" s="48">
        <f>'Adani Enterprises'!Q159</f>
        <v>0</v>
      </c>
      <c r="R159" s="48">
        <f>'Adani Enterprises'!R159</f>
        <v>0</v>
      </c>
      <c r="S159" s="48">
        <f>'Adani Enterprises'!S159</f>
        <v>0</v>
      </c>
      <c r="T159" s="48">
        <f>'Adani Enterprises'!T159</f>
        <v>0</v>
      </c>
      <c r="U159" s="48">
        <f>'Adani Enterprises'!U159</f>
        <v>0</v>
      </c>
      <c r="V159" s="48">
        <f>'Adani Enterprises'!V159</f>
        <v>0</v>
      </c>
      <c r="W159" s="48">
        <f>'Adani Enterprises'!W159</f>
        <v>0</v>
      </c>
      <c r="X159" s="48">
        <f>'Adani Enterprises'!X159</f>
        <v>0</v>
      </c>
      <c r="Y159" s="48">
        <f>'Adani Enterprises'!Y159</f>
        <v>0</v>
      </c>
      <c r="Z159" s="48">
        <f>'Adani Enterprises'!Z159</f>
        <v>0</v>
      </c>
      <c r="AA159" s="48">
        <f>'Adani Enterprises'!AA159</f>
        <v>0</v>
      </c>
      <c r="AB159" s="48">
        <f>'Adani Enterprises'!AB159</f>
        <v>0</v>
      </c>
      <c r="AC159" s="48">
        <f>'Adani Enterprises'!AC159</f>
        <v>0</v>
      </c>
      <c r="AD159" s="48">
        <f>'Adani Enterprises'!AD159</f>
        <v>0</v>
      </c>
      <c r="AE159" s="48">
        <f>'Adani Enterprises'!AE159</f>
        <v>0</v>
      </c>
      <c r="AF159" s="48">
        <f>'Adani Enterprises'!AF159</f>
        <v>0</v>
      </c>
      <c r="AG159" s="48">
        <f>'Adani Enterprises'!AG159</f>
        <v>0</v>
      </c>
      <c r="AH159" s="48">
        <f>'Adani Enterprises'!AH159</f>
        <v>0</v>
      </c>
      <c r="AI159" s="48">
        <f>'Adani Enterprises'!AI159</f>
        <v>0</v>
      </c>
      <c r="AJ159" s="48">
        <f>'Adani Enterprises'!AJ159</f>
        <v>0</v>
      </c>
      <c r="AK159" s="48">
        <f>'Adani Enterprises'!AK159</f>
        <v>0</v>
      </c>
      <c r="AL159" s="48">
        <f>'Adani Enterprises'!AL159</f>
        <v>0</v>
      </c>
    </row>
    <row r="160" customHeight="1" spans="1:38">
      <c r="A160" s="48">
        <f>'Adani Enterprises'!A160</f>
        <v>0</v>
      </c>
      <c r="B160" s="48">
        <f>'Adani Enterprises'!B160</f>
        <v>0</v>
      </c>
      <c r="C160" s="48">
        <f>'Adani Enterprises'!C160</f>
        <v>0</v>
      </c>
      <c r="D160" s="48">
        <f>'Adani Enterprises'!D160</f>
        <v>0</v>
      </c>
      <c r="E160" s="48">
        <f>'Adani Enterprises'!E160</f>
        <v>0</v>
      </c>
      <c r="F160" s="48">
        <f>'Adani Enterprises'!F160</f>
        <v>0</v>
      </c>
      <c r="G160" s="48">
        <f>'Adani Enterprises'!G160</f>
        <v>0</v>
      </c>
      <c r="H160" s="48">
        <f>'Adani Enterprises'!H160</f>
        <v>0</v>
      </c>
      <c r="I160" s="48">
        <f>'Adani Enterprises'!I160</f>
        <v>0</v>
      </c>
      <c r="J160" s="48">
        <f>'Adani Enterprises'!J160</f>
        <v>0</v>
      </c>
      <c r="K160" s="48">
        <f>'Adani Enterprises'!K160</f>
        <v>0</v>
      </c>
      <c r="L160" s="48">
        <f>'Adani Enterprises'!L160</f>
        <v>0</v>
      </c>
      <c r="M160" s="48">
        <f>'Adani Enterprises'!M160</f>
        <v>0</v>
      </c>
      <c r="N160" s="48">
        <f>'Adani Enterprises'!N160</f>
        <v>0</v>
      </c>
      <c r="O160" s="48">
        <f>'Adani Enterprises'!O160</f>
        <v>0</v>
      </c>
      <c r="P160" s="48">
        <f>'Adani Enterprises'!P160</f>
        <v>0</v>
      </c>
      <c r="Q160" s="48">
        <f>'Adani Enterprises'!Q160</f>
        <v>0</v>
      </c>
      <c r="R160" s="48">
        <f>'Adani Enterprises'!R160</f>
        <v>0</v>
      </c>
      <c r="S160" s="48">
        <f>'Adani Enterprises'!S160</f>
        <v>0</v>
      </c>
      <c r="T160" s="48">
        <f>'Adani Enterprises'!T160</f>
        <v>0</v>
      </c>
      <c r="U160" s="48">
        <f>'Adani Enterprises'!U160</f>
        <v>0</v>
      </c>
      <c r="V160" s="48">
        <f>'Adani Enterprises'!V160</f>
        <v>0</v>
      </c>
      <c r="W160" s="48">
        <f>'Adani Enterprises'!W160</f>
        <v>0</v>
      </c>
      <c r="X160" s="48">
        <f>'Adani Enterprises'!X160</f>
        <v>0</v>
      </c>
      <c r="Y160" s="48">
        <f>'Adani Enterprises'!Y160</f>
        <v>0</v>
      </c>
      <c r="Z160" s="48">
        <f>'Adani Enterprises'!Z160</f>
        <v>0</v>
      </c>
      <c r="AA160" s="48">
        <f>'Adani Enterprises'!AA160</f>
        <v>0</v>
      </c>
      <c r="AB160" s="48">
        <f>'Adani Enterprises'!AB160</f>
        <v>0</v>
      </c>
      <c r="AC160" s="48">
        <f>'Adani Enterprises'!AC160</f>
        <v>0</v>
      </c>
      <c r="AD160" s="48">
        <f>'Adani Enterprises'!AD160</f>
        <v>0</v>
      </c>
      <c r="AE160" s="48">
        <f>'Adani Enterprises'!AE160</f>
        <v>0</v>
      </c>
      <c r="AF160" s="48">
        <f>'Adani Enterprises'!AF160</f>
        <v>0</v>
      </c>
      <c r="AG160" s="48">
        <f>'Adani Enterprises'!AG160</f>
        <v>0</v>
      </c>
      <c r="AH160" s="48">
        <f>'Adani Enterprises'!AH160</f>
        <v>0</v>
      </c>
      <c r="AI160" s="48">
        <f>'Adani Enterprises'!AI160</f>
        <v>0</v>
      </c>
      <c r="AJ160" s="48">
        <f>'Adani Enterprises'!AJ160</f>
        <v>0</v>
      </c>
      <c r="AK160" s="48">
        <f>'Adani Enterprises'!AK160</f>
        <v>0</v>
      </c>
      <c r="AL160" s="48">
        <f>'Adani Enterprises'!AL160</f>
        <v>0</v>
      </c>
    </row>
    <row r="161" customHeight="1" spans="1:38">
      <c r="A161" s="48">
        <f>'Adani Enterprises'!A161</f>
        <v>0</v>
      </c>
      <c r="B161" s="48">
        <f>'Adani Enterprises'!B161</f>
        <v>0</v>
      </c>
      <c r="C161" s="48">
        <f>'Adani Enterprises'!C161</f>
        <v>0</v>
      </c>
      <c r="D161" s="48">
        <f>'Adani Enterprises'!D161</f>
        <v>0</v>
      </c>
      <c r="E161" s="48">
        <f>'Adani Enterprises'!E161</f>
        <v>0</v>
      </c>
      <c r="F161" s="48">
        <f>'Adani Enterprises'!F161</f>
        <v>0</v>
      </c>
      <c r="G161" s="48">
        <f>'Adani Enterprises'!G161</f>
        <v>0</v>
      </c>
      <c r="H161" s="48">
        <f>'Adani Enterprises'!H161</f>
        <v>0</v>
      </c>
      <c r="I161" s="48">
        <f>'Adani Enterprises'!I161</f>
        <v>0</v>
      </c>
      <c r="J161" s="48">
        <f>'Adani Enterprises'!J161</f>
        <v>0</v>
      </c>
      <c r="K161" s="48">
        <f>'Adani Enterprises'!K161</f>
        <v>0</v>
      </c>
      <c r="L161" s="48">
        <f>'Adani Enterprises'!L161</f>
        <v>0</v>
      </c>
      <c r="M161" s="48">
        <f>'Adani Enterprises'!M161</f>
        <v>0</v>
      </c>
      <c r="N161" s="48">
        <f>'Adani Enterprises'!N161</f>
        <v>0</v>
      </c>
      <c r="O161" s="48">
        <f>'Adani Enterprises'!O161</f>
        <v>0</v>
      </c>
      <c r="P161" s="48">
        <f>'Adani Enterprises'!P161</f>
        <v>0</v>
      </c>
      <c r="Q161" s="48">
        <f>'Adani Enterprises'!Q161</f>
        <v>0</v>
      </c>
      <c r="R161" s="48">
        <f>'Adani Enterprises'!R161</f>
        <v>0</v>
      </c>
      <c r="S161" s="48">
        <f>'Adani Enterprises'!S161</f>
        <v>0</v>
      </c>
      <c r="T161" s="48">
        <f>'Adani Enterprises'!T161</f>
        <v>0</v>
      </c>
      <c r="U161" s="48">
        <f>'Adani Enterprises'!U161</f>
        <v>0</v>
      </c>
      <c r="V161" s="48">
        <f>'Adani Enterprises'!V161</f>
        <v>0</v>
      </c>
      <c r="W161" s="48">
        <f>'Adani Enterprises'!W161</f>
        <v>0</v>
      </c>
      <c r="X161" s="48">
        <f>'Adani Enterprises'!X161</f>
        <v>0</v>
      </c>
      <c r="Y161" s="48">
        <f>'Adani Enterprises'!Y161</f>
        <v>0</v>
      </c>
      <c r="Z161" s="48">
        <f>'Adani Enterprises'!Z161</f>
        <v>0</v>
      </c>
      <c r="AA161" s="48">
        <f>'Adani Enterprises'!AA161</f>
        <v>0</v>
      </c>
      <c r="AB161" s="48">
        <f>'Adani Enterprises'!AB161</f>
        <v>0</v>
      </c>
      <c r="AC161" s="48">
        <f>'Adani Enterprises'!AC161</f>
        <v>0</v>
      </c>
      <c r="AD161" s="48">
        <f>'Adani Enterprises'!AD161</f>
        <v>0</v>
      </c>
      <c r="AE161" s="48">
        <f>'Adani Enterprises'!AE161</f>
        <v>0</v>
      </c>
      <c r="AF161" s="48">
        <f>'Adani Enterprises'!AF161</f>
        <v>0</v>
      </c>
      <c r="AG161" s="48">
        <f>'Adani Enterprises'!AG161</f>
        <v>0</v>
      </c>
      <c r="AH161" s="48">
        <f>'Adani Enterprises'!AH161</f>
        <v>0</v>
      </c>
      <c r="AI161" s="48">
        <f>'Adani Enterprises'!AI161</f>
        <v>0</v>
      </c>
      <c r="AJ161" s="48">
        <f>'Adani Enterprises'!AJ161</f>
        <v>0</v>
      </c>
      <c r="AK161" s="48">
        <f>'Adani Enterprises'!AK161</f>
        <v>0</v>
      </c>
      <c r="AL161" s="48">
        <f>'Adani Enterprises'!AL161</f>
        <v>0</v>
      </c>
    </row>
    <row r="162" customHeight="1" spans="1:38">
      <c r="A162" s="48">
        <f>'Adani Enterprises'!A162</f>
        <v>0</v>
      </c>
      <c r="B162" s="48">
        <f>'Adani Enterprises'!B162</f>
        <v>0</v>
      </c>
      <c r="C162" s="48">
        <f>'Adani Enterprises'!C162</f>
        <v>0</v>
      </c>
      <c r="D162" s="48">
        <f>'Adani Enterprises'!D162</f>
        <v>0</v>
      </c>
      <c r="E162" s="48">
        <f>'Adani Enterprises'!E162</f>
        <v>0</v>
      </c>
      <c r="F162" s="48">
        <f>'Adani Enterprises'!F162</f>
        <v>0</v>
      </c>
      <c r="G162" s="48">
        <f>'Adani Enterprises'!G162</f>
        <v>0</v>
      </c>
      <c r="H162" s="48">
        <f>'Adani Enterprises'!H162</f>
        <v>0</v>
      </c>
      <c r="I162" s="48">
        <f>'Adani Enterprises'!I162</f>
        <v>0</v>
      </c>
      <c r="J162" s="48">
        <f>'Adani Enterprises'!J162</f>
        <v>0</v>
      </c>
      <c r="K162" s="48">
        <f>'Adani Enterprises'!K162</f>
        <v>0</v>
      </c>
      <c r="L162" s="48">
        <f>'Adani Enterprises'!L162</f>
        <v>0</v>
      </c>
      <c r="M162" s="48">
        <f>'Adani Enterprises'!M162</f>
        <v>0</v>
      </c>
      <c r="N162" s="48">
        <f>'Adani Enterprises'!N162</f>
        <v>0</v>
      </c>
      <c r="O162" s="48">
        <f>'Adani Enterprises'!O162</f>
        <v>0</v>
      </c>
      <c r="P162" s="48">
        <f>'Adani Enterprises'!P162</f>
        <v>0</v>
      </c>
      <c r="Q162" s="48">
        <f>'Adani Enterprises'!Q162</f>
        <v>0</v>
      </c>
      <c r="R162" s="48">
        <f>'Adani Enterprises'!R162</f>
        <v>0</v>
      </c>
      <c r="S162" s="48">
        <f>'Adani Enterprises'!S162</f>
        <v>0</v>
      </c>
      <c r="T162" s="48">
        <f>'Adani Enterprises'!T162</f>
        <v>0</v>
      </c>
      <c r="U162" s="48">
        <f>'Adani Enterprises'!U162</f>
        <v>0</v>
      </c>
      <c r="V162" s="48">
        <f>'Adani Enterprises'!V162</f>
        <v>0</v>
      </c>
      <c r="W162" s="48">
        <f>'Adani Enterprises'!W162</f>
        <v>0</v>
      </c>
      <c r="X162" s="48">
        <f>'Adani Enterprises'!X162</f>
        <v>0</v>
      </c>
      <c r="Y162" s="48">
        <f>'Adani Enterprises'!Y162</f>
        <v>0</v>
      </c>
      <c r="Z162" s="48">
        <f>'Adani Enterprises'!Z162</f>
        <v>0</v>
      </c>
      <c r="AA162" s="48">
        <f>'Adani Enterprises'!AA162</f>
        <v>0</v>
      </c>
      <c r="AB162" s="48">
        <f>'Adani Enterprises'!AB162</f>
        <v>0</v>
      </c>
      <c r="AC162" s="48">
        <f>'Adani Enterprises'!AC162</f>
        <v>0</v>
      </c>
      <c r="AD162" s="48">
        <f>'Adani Enterprises'!AD162</f>
        <v>0</v>
      </c>
      <c r="AE162" s="48">
        <f>'Adani Enterprises'!AE162</f>
        <v>0</v>
      </c>
      <c r="AF162" s="48">
        <f>'Adani Enterprises'!AF162</f>
        <v>0</v>
      </c>
      <c r="AG162" s="48">
        <f>'Adani Enterprises'!AG162</f>
        <v>0</v>
      </c>
      <c r="AH162" s="48">
        <f>'Adani Enterprises'!AH162</f>
        <v>0</v>
      </c>
      <c r="AI162" s="48">
        <f>'Adani Enterprises'!AI162</f>
        <v>0</v>
      </c>
      <c r="AJ162" s="48">
        <f>'Adani Enterprises'!AJ162</f>
        <v>0</v>
      </c>
      <c r="AK162" s="48">
        <f>'Adani Enterprises'!AK162</f>
        <v>0</v>
      </c>
      <c r="AL162" s="48">
        <f>'Adani Enterprises'!AL162</f>
        <v>0</v>
      </c>
    </row>
    <row r="163" customHeight="1" spans="1:38">
      <c r="A163" s="48">
        <f>'Adani Enterprises'!A163</f>
        <v>0</v>
      </c>
      <c r="B163" s="48">
        <f>'Adani Enterprises'!B163</f>
        <v>0</v>
      </c>
      <c r="C163" s="48">
        <f>'Adani Enterprises'!C163</f>
        <v>0</v>
      </c>
      <c r="D163" s="48">
        <f>'Adani Enterprises'!D163</f>
        <v>0</v>
      </c>
      <c r="E163" s="48">
        <f>'Adani Enterprises'!E163</f>
        <v>0</v>
      </c>
      <c r="F163" s="48">
        <f>'Adani Enterprises'!F163</f>
        <v>0</v>
      </c>
      <c r="G163" s="48">
        <f>'Adani Enterprises'!G163</f>
        <v>0</v>
      </c>
      <c r="H163" s="48">
        <f>'Adani Enterprises'!H163</f>
        <v>0</v>
      </c>
      <c r="I163" s="48">
        <f>'Adani Enterprises'!I163</f>
        <v>0</v>
      </c>
      <c r="J163" s="48">
        <f>'Adani Enterprises'!J163</f>
        <v>0</v>
      </c>
      <c r="K163" s="48">
        <f>'Adani Enterprises'!K163</f>
        <v>0</v>
      </c>
      <c r="L163" s="48">
        <f>'Adani Enterprises'!L163</f>
        <v>0</v>
      </c>
      <c r="M163" s="48">
        <f>'Adani Enterprises'!M163</f>
        <v>0</v>
      </c>
      <c r="N163" s="48">
        <f>'Adani Enterprises'!N163</f>
        <v>0</v>
      </c>
      <c r="O163" s="48">
        <f>'Adani Enterprises'!O163</f>
        <v>0</v>
      </c>
      <c r="P163" s="48">
        <f>'Adani Enterprises'!P163</f>
        <v>0</v>
      </c>
      <c r="Q163" s="48">
        <f>'Adani Enterprises'!Q163</f>
        <v>0</v>
      </c>
      <c r="R163" s="48">
        <f>'Adani Enterprises'!R163</f>
        <v>0</v>
      </c>
      <c r="S163" s="48">
        <f>'Adani Enterprises'!S163</f>
        <v>0</v>
      </c>
      <c r="T163" s="48">
        <f>'Adani Enterprises'!T163</f>
        <v>0</v>
      </c>
      <c r="U163" s="48">
        <f>'Adani Enterprises'!U163</f>
        <v>0</v>
      </c>
      <c r="V163" s="48">
        <f>'Adani Enterprises'!V163</f>
        <v>0</v>
      </c>
      <c r="W163" s="48">
        <f>'Adani Enterprises'!W163</f>
        <v>0</v>
      </c>
      <c r="X163" s="48">
        <f>'Adani Enterprises'!X163</f>
        <v>0</v>
      </c>
      <c r="Y163" s="48">
        <f>'Adani Enterprises'!Y163</f>
        <v>0</v>
      </c>
      <c r="Z163" s="48">
        <f>'Adani Enterprises'!Z163</f>
        <v>0</v>
      </c>
      <c r="AA163" s="48">
        <f>'Adani Enterprises'!AA163</f>
        <v>0</v>
      </c>
      <c r="AB163" s="48">
        <f>'Adani Enterprises'!AB163</f>
        <v>0</v>
      </c>
      <c r="AC163" s="48">
        <f>'Adani Enterprises'!AC163</f>
        <v>0</v>
      </c>
      <c r="AD163" s="48">
        <f>'Adani Enterprises'!AD163</f>
        <v>0</v>
      </c>
      <c r="AE163" s="48">
        <f>'Adani Enterprises'!AE163</f>
        <v>0</v>
      </c>
      <c r="AF163" s="48">
        <f>'Adani Enterprises'!AF163</f>
        <v>0</v>
      </c>
      <c r="AG163" s="48">
        <f>'Adani Enterprises'!AG163</f>
        <v>0</v>
      </c>
      <c r="AH163" s="48">
        <f>'Adani Enterprises'!AH163</f>
        <v>0</v>
      </c>
      <c r="AI163" s="48">
        <f>'Adani Enterprises'!AI163</f>
        <v>0</v>
      </c>
      <c r="AJ163" s="48">
        <f>'Adani Enterprises'!AJ163</f>
        <v>0</v>
      </c>
      <c r="AK163" s="48">
        <f>'Adani Enterprises'!AK163</f>
        <v>0</v>
      </c>
      <c r="AL163" s="48">
        <f>'Adani Enterprises'!AL163</f>
        <v>0</v>
      </c>
    </row>
    <row r="164" customHeight="1" spans="1:38">
      <c r="A164" s="48">
        <f>'Adani Enterprises'!A164</f>
        <v>0</v>
      </c>
      <c r="B164" s="48">
        <f>'Adani Enterprises'!B164</f>
        <v>0</v>
      </c>
      <c r="C164" s="48">
        <f>'Adani Enterprises'!C164</f>
        <v>0</v>
      </c>
      <c r="D164" s="48">
        <f>'Adani Enterprises'!D164</f>
        <v>0</v>
      </c>
      <c r="E164" s="48">
        <f>'Adani Enterprises'!E164</f>
        <v>0</v>
      </c>
      <c r="F164" s="48">
        <f>'Adani Enterprises'!F164</f>
        <v>0</v>
      </c>
      <c r="G164" s="48">
        <f>'Adani Enterprises'!G164</f>
        <v>0</v>
      </c>
      <c r="H164" s="48">
        <f>'Adani Enterprises'!H164</f>
        <v>0</v>
      </c>
      <c r="I164" s="48">
        <f>'Adani Enterprises'!I164</f>
        <v>0</v>
      </c>
      <c r="J164" s="48">
        <f>'Adani Enterprises'!J164</f>
        <v>0</v>
      </c>
      <c r="K164" s="48">
        <f>'Adani Enterprises'!K164</f>
        <v>0</v>
      </c>
      <c r="L164" s="48">
        <f>'Adani Enterprises'!L164</f>
        <v>0</v>
      </c>
      <c r="M164" s="48">
        <f>'Adani Enterprises'!M164</f>
        <v>0</v>
      </c>
      <c r="N164" s="48">
        <f>'Adani Enterprises'!N164</f>
        <v>0</v>
      </c>
      <c r="O164" s="48">
        <f>'Adani Enterprises'!O164</f>
        <v>0</v>
      </c>
      <c r="P164" s="48">
        <f>'Adani Enterprises'!P164</f>
        <v>0</v>
      </c>
      <c r="Q164" s="48">
        <f>'Adani Enterprises'!Q164</f>
        <v>0</v>
      </c>
      <c r="R164" s="48">
        <f>'Adani Enterprises'!R164</f>
        <v>0</v>
      </c>
      <c r="S164" s="48">
        <f>'Adani Enterprises'!S164</f>
        <v>0</v>
      </c>
      <c r="T164" s="48">
        <f>'Adani Enterprises'!T164</f>
        <v>0</v>
      </c>
      <c r="U164" s="48">
        <f>'Adani Enterprises'!U164</f>
        <v>0</v>
      </c>
      <c r="V164" s="48">
        <f>'Adani Enterprises'!V164</f>
        <v>0</v>
      </c>
      <c r="W164" s="48">
        <f>'Adani Enterprises'!W164</f>
        <v>0</v>
      </c>
      <c r="X164" s="48">
        <f>'Adani Enterprises'!X164</f>
        <v>0</v>
      </c>
      <c r="Y164" s="48">
        <f>'Adani Enterprises'!Y164</f>
        <v>0</v>
      </c>
      <c r="Z164" s="48">
        <f>'Adani Enterprises'!Z164</f>
        <v>0</v>
      </c>
      <c r="AA164" s="48">
        <f>'Adani Enterprises'!AA164</f>
        <v>0</v>
      </c>
      <c r="AB164" s="48">
        <f>'Adani Enterprises'!AB164</f>
        <v>0</v>
      </c>
      <c r="AC164" s="48">
        <f>'Adani Enterprises'!AC164</f>
        <v>0</v>
      </c>
      <c r="AD164" s="48">
        <f>'Adani Enterprises'!AD164</f>
        <v>0</v>
      </c>
      <c r="AE164" s="48">
        <f>'Adani Enterprises'!AE164</f>
        <v>0</v>
      </c>
      <c r="AF164" s="48">
        <f>'Adani Enterprises'!AF164</f>
        <v>0</v>
      </c>
      <c r="AG164" s="48">
        <f>'Adani Enterprises'!AG164</f>
        <v>0</v>
      </c>
      <c r="AH164" s="48">
        <f>'Adani Enterprises'!AH164</f>
        <v>0</v>
      </c>
      <c r="AI164" s="48">
        <f>'Adani Enterprises'!AI164</f>
        <v>0</v>
      </c>
      <c r="AJ164" s="48">
        <f>'Adani Enterprises'!AJ164</f>
        <v>0</v>
      </c>
      <c r="AK164" s="48">
        <f>'Adani Enterprises'!AK164</f>
        <v>0</v>
      </c>
      <c r="AL164" s="48">
        <f>'Adani Enterprises'!AL164</f>
        <v>0</v>
      </c>
    </row>
    <row r="165" customHeight="1" spans="1:38">
      <c r="A165" s="48">
        <f>'Adani Enterprises'!A165</f>
        <v>0</v>
      </c>
      <c r="B165" s="48">
        <f>'Adani Enterprises'!B165</f>
        <v>0</v>
      </c>
      <c r="C165" s="48">
        <f>'Adani Enterprises'!C165</f>
        <v>0</v>
      </c>
      <c r="D165" s="48">
        <f>'Adani Enterprises'!D165</f>
        <v>0</v>
      </c>
      <c r="E165" s="48">
        <f>'Adani Enterprises'!E165</f>
        <v>0</v>
      </c>
      <c r="F165" s="48">
        <f>'Adani Enterprises'!F165</f>
        <v>0</v>
      </c>
      <c r="G165" s="48">
        <f>'Adani Enterprises'!G165</f>
        <v>0</v>
      </c>
      <c r="H165" s="48">
        <f>'Adani Enterprises'!H165</f>
        <v>0</v>
      </c>
      <c r="I165" s="48">
        <f>'Adani Enterprises'!I165</f>
        <v>0</v>
      </c>
      <c r="J165" s="48">
        <f>'Adani Enterprises'!J165</f>
        <v>0</v>
      </c>
      <c r="K165" s="48">
        <f>'Adani Enterprises'!K165</f>
        <v>0</v>
      </c>
      <c r="L165" s="48">
        <f>'Adani Enterprises'!L165</f>
        <v>0</v>
      </c>
      <c r="M165" s="48">
        <f>'Adani Enterprises'!M165</f>
        <v>0</v>
      </c>
      <c r="N165" s="48">
        <f>'Adani Enterprises'!N165</f>
        <v>0</v>
      </c>
      <c r="O165" s="48">
        <f>'Adani Enterprises'!O165</f>
        <v>0</v>
      </c>
      <c r="P165" s="48">
        <f>'Adani Enterprises'!P165</f>
        <v>0</v>
      </c>
      <c r="Q165" s="48">
        <f>'Adani Enterprises'!Q165</f>
        <v>0</v>
      </c>
      <c r="R165" s="48">
        <f>'Adani Enterprises'!R165</f>
        <v>0</v>
      </c>
      <c r="S165" s="48">
        <f>'Adani Enterprises'!S165</f>
        <v>0</v>
      </c>
      <c r="T165" s="48">
        <f>'Adani Enterprises'!T165</f>
        <v>0</v>
      </c>
      <c r="U165" s="48">
        <f>'Adani Enterprises'!U165</f>
        <v>0</v>
      </c>
      <c r="V165" s="48">
        <f>'Adani Enterprises'!V165</f>
        <v>0</v>
      </c>
      <c r="W165" s="48">
        <f>'Adani Enterprises'!W165</f>
        <v>0</v>
      </c>
      <c r="X165" s="48">
        <f>'Adani Enterprises'!X165</f>
        <v>0</v>
      </c>
      <c r="Y165" s="48">
        <f>'Adani Enterprises'!Y165</f>
        <v>0</v>
      </c>
      <c r="Z165" s="48">
        <f>'Adani Enterprises'!Z165</f>
        <v>0</v>
      </c>
      <c r="AA165" s="48">
        <f>'Adani Enterprises'!AA165</f>
        <v>0</v>
      </c>
      <c r="AB165" s="48">
        <f>'Adani Enterprises'!AB165</f>
        <v>0</v>
      </c>
      <c r="AC165" s="48">
        <f>'Adani Enterprises'!AC165</f>
        <v>0</v>
      </c>
      <c r="AD165" s="48">
        <f>'Adani Enterprises'!AD165</f>
        <v>0</v>
      </c>
      <c r="AE165" s="48">
        <f>'Adani Enterprises'!AE165</f>
        <v>0</v>
      </c>
      <c r="AF165" s="48">
        <f>'Adani Enterprises'!AF165</f>
        <v>0</v>
      </c>
      <c r="AG165" s="48">
        <f>'Adani Enterprises'!AG165</f>
        <v>0</v>
      </c>
      <c r="AH165" s="48">
        <f>'Adani Enterprises'!AH165</f>
        <v>0</v>
      </c>
      <c r="AI165" s="48">
        <f>'Adani Enterprises'!AI165</f>
        <v>0</v>
      </c>
      <c r="AJ165" s="48">
        <f>'Adani Enterprises'!AJ165</f>
        <v>0</v>
      </c>
      <c r="AK165" s="48">
        <f>'Adani Enterprises'!AK165</f>
        <v>0</v>
      </c>
      <c r="AL165" s="48">
        <f>'Adani Enterprises'!AL165</f>
        <v>0</v>
      </c>
    </row>
    <row r="166" customHeight="1" spans="1:38">
      <c r="A166" s="48">
        <f>'Adani Enterprises'!A166</f>
        <v>0</v>
      </c>
      <c r="B166" s="48">
        <f>'Adani Enterprises'!B166</f>
        <v>0</v>
      </c>
      <c r="C166" s="48">
        <f>'Adani Enterprises'!C166</f>
        <v>0</v>
      </c>
      <c r="D166" s="48">
        <f>'Adani Enterprises'!D166</f>
        <v>0</v>
      </c>
      <c r="E166" s="48">
        <f>'Adani Enterprises'!E166</f>
        <v>0</v>
      </c>
      <c r="F166" s="48">
        <f>'Adani Enterprises'!F166</f>
        <v>0</v>
      </c>
      <c r="G166" s="48">
        <f>'Adani Enterprises'!G166</f>
        <v>0</v>
      </c>
      <c r="H166" s="48">
        <f>'Adani Enterprises'!H166</f>
        <v>0</v>
      </c>
      <c r="I166" s="48">
        <f>'Adani Enterprises'!I166</f>
        <v>0</v>
      </c>
      <c r="J166" s="48">
        <f>'Adani Enterprises'!J166</f>
        <v>0</v>
      </c>
      <c r="K166" s="48">
        <f>'Adani Enterprises'!K166</f>
        <v>0</v>
      </c>
      <c r="L166" s="48">
        <f>'Adani Enterprises'!L166</f>
        <v>0</v>
      </c>
      <c r="M166" s="48">
        <f>'Adani Enterprises'!M166</f>
        <v>0</v>
      </c>
      <c r="N166" s="48">
        <f>'Adani Enterprises'!N166</f>
        <v>0</v>
      </c>
      <c r="O166" s="48">
        <f>'Adani Enterprises'!O166</f>
        <v>0</v>
      </c>
      <c r="P166" s="48">
        <f>'Adani Enterprises'!P166</f>
        <v>0</v>
      </c>
      <c r="Q166" s="48">
        <f>'Adani Enterprises'!Q166</f>
        <v>0</v>
      </c>
      <c r="R166" s="48">
        <f>'Adani Enterprises'!R166</f>
        <v>0</v>
      </c>
      <c r="S166" s="48">
        <f>'Adani Enterprises'!S166</f>
        <v>0</v>
      </c>
      <c r="T166" s="48">
        <f>'Adani Enterprises'!T166</f>
        <v>0</v>
      </c>
      <c r="U166" s="48">
        <f>'Adani Enterprises'!U166</f>
        <v>0</v>
      </c>
      <c r="V166" s="48">
        <f>'Adani Enterprises'!V166</f>
        <v>0</v>
      </c>
      <c r="W166" s="48">
        <f>'Adani Enterprises'!W166</f>
        <v>0</v>
      </c>
      <c r="X166" s="48">
        <f>'Adani Enterprises'!X166</f>
        <v>0</v>
      </c>
      <c r="Y166" s="48">
        <f>'Adani Enterprises'!Y166</f>
        <v>0</v>
      </c>
      <c r="Z166" s="48">
        <f>'Adani Enterprises'!Z166</f>
        <v>0</v>
      </c>
      <c r="AA166" s="48">
        <f>'Adani Enterprises'!AA166</f>
        <v>0</v>
      </c>
      <c r="AB166" s="48">
        <f>'Adani Enterprises'!AB166</f>
        <v>0</v>
      </c>
      <c r="AC166" s="48">
        <f>'Adani Enterprises'!AC166</f>
        <v>0</v>
      </c>
      <c r="AD166" s="48">
        <f>'Adani Enterprises'!AD166</f>
        <v>0</v>
      </c>
      <c r="AE166" s="48">
        <f>'Adani Enterprises'!AE166</f>
        <v>0</v>
      </c>
      <c r="AF166" s="48">
        <f>'Adani Enterprises'!AF166</f>
        <v>0</v>
      </c>
      <c r="AG166" s="48">
        <f>'Adani Enterprises'!AG166</f>
        <v>0</v>
      </c>
      <c r="AH166" s="48">
        <f>'Adani Enterprises'!AH166</f>
        <v>0</v>
      </c>
      <c r="AI166" s="48">
        <f>'Adani Enterprises'!AI166</f>
        <v>0</v>
      </c>
      <c r="AJ166" s="48">
        <f>'Adani Enterprises'!AJ166</f>
        <v>0</v>
      </c>
      <c r="AK166" s="48">
        <f>'Adani Enterprises'!AK166</f>
        <v>0</v>
      </c>
      <c r="AL166" s="48">
        <f>'Adani Enterprises'!AL166</f>
        <v>0</v>
      </c>
    </row>
    <row r="167" customHeight="1" spans="1:38">
      <c r="A167" s="48">
        <f>'Adani Enterprises'!A167</f>
        <v>0</v>
      </c>
      <c r="B167" s="48">
        <f>'Adani Enterprises'!B167</f>
        <v>0</v>
      </c>
      <c r="C167" s="48">
        <f>'Adani Enterprises'!C167</f>
        <v>0</v>
      </c>
      <c r="D167" s="48">
        <f>'Adani Enterprises'!D167</f>
        <v>0</v>
      </c>
      <c r="E167" s="48">
        <f>'Adani Enterprises'!E167</f>
        <v>0</v>
      </c>
      <c r="F167" s="48">
        <f>'Adani Enterprises'!F167</f>
        <v>0</v>
      </c>
      <c r="G167" s="48">
        <f>'Adani Enterprises'!G167</f>
        <v>0</v>
      </c>
      <c r="H167" s="48">
        <f>'Adani Enterprises'!H167</f>
        <v>0</v>
      </c>
      <c r="I167" s="48">
        <f>'Adani Enterprises'!I167</f>
        <v>0</v>
      </c>
      <c r="J167" s="48">
        <f>'Adani Enterprises'!J167</f>
        <v>0</v>
      </c>
      <c r="K167" s="48">
        <f>'Adani Enterprises'!K167</f>
        <v>0</v>
      </c>
      <c r="L167" s="48">
        <f>'Adani Enterprises'!L167</f>
        <v>0</v>
      </c>
      <c r="M167" s="48">
        <f>'Adani Enterprises'!M167</f>
        <v>0</v>
      </c>
      <c r="N167" s="48">
        <f>'Adani Enterprises'!N167</f>
        <v>0</v>
      </c>
      <c r="O167" s="48">
        <f>'Adani Enterprises'!O167</f>
        <v>0</v>
      </c>
      <c r="P167" s="48">
        <f>'Adani Enterprises'!P167</f>
        <v>0</v>
      </c>
      <c r="Q167" s="48">
        <f>'Adani Enterprises'!Q167</f>
        <v>0</v>
      </c>
      <c r="R167" s="48">
        <f>'Adani Enterprises'!R167</f>
        <v>0</v>
      </c>
      <c r="S167" s="48">
        <f>'Adani Enterprises'!S167</f>
        <v>0</v>
      </c>
      <c r="T167" s="48">
        <f>'Adani Enterprises'!T167</f>
        <v>0</v>
      </c>
      <c r="U167" s="48">
        <f>'Adani Enterprises'!U167</f>
        <v>0</v>
      </c>
      <c r="V167" s="48">
        <f>'Adani Enterprises'!V167</f>
        <v>0</v>
      </c>
      <c r="W167" s="48">
        <f>'Adani Enterprises'!W167</f>
        <v>0</v>
      </c>
      <c r="X167" s="48">
        <f>'Adani Enterprises'!X167</f>
        <v>0</v>
      </c>
      <c r="Y167" s="48">
        <f>'Adani Enterprises'!Y167</f>
        <v>0</v>
      </c>
      <c r="Z167" s="48">
        <f>'Adani Enterprises'!Z167</f>
        <v>0</v>
      </c>
      <c r="AA167" s="48">
        <f>'Adani Enterprises'!AA167</f>
        <v>0</v>
      </c>
      <c r="AB167" s="48">
        <f>'Adani Enterprises'!AB167</f>
        <v>0</v>
      </c>
      <c r="AC167" s="48">
        <f>'Adani Enterprises'!AC167</f>
        <v>0</v>
      </c>
      <c r="AD167" s="48">
        <f>'Adani Enterprises'!AD167</f>
        <v>0</v>
      </c>
      <c r="AE167" s="48">
        <f>'Adani Enterprises'!AE167</f>
        <v>0</v>
      </c>
      <c r="AF167" s="48">
        <f>'Adani Enterprises'!AF167</f>
        <v>0</v>
      </c>
      <c r="AG167" s="48">
        <f>'Adani Enterprises'!AG167</f>
        <v>0</v>
      </c>
      <c r="AH167" s="48">
        <f>'Adani Enterprises'!AH167</f>
        <v>0</v>
      </c>
      <c r="AI167" s="48">
        <f>'Adani Enterprises'!AI167</f>
        <v>0</v>
      </c>
      <c r="AJ167" s="48">
        <f>'Adani Enterprises'!AJ167</f>
        <v>0</v>
      </c>
      <c r="AK167" s="48">
        <f>'Adani Enterprises'!AK167</f>
        <v>0</v>
      </c>
      <c r="AL167" s="48">
        <f>'Adani Enterprises'!AL167</f>
        <v>0</v>
      </c>
    </row>
    <row r="168" customHeight="1" spans="1:38">
      <c r="A168" s="48">
        <f>'Adani Enterprises'!A168</f>
        <v>0</v>
      </c>
      <c r="B168" s="48">
        <f>'Adani Enterprises'!B168</f>
        <v>0</v>
      </c>
      <c r="C168" s="48">
        <f>'Adani Enterprises'!C168</f>
        <v>0</v>
      </c>
      <c r="D168" s="48">
        <f>'Adani Enterprises'!D168</f>
        <v>0</v>
      </c>
      <c r="E168" s="48">
        <f>'Adani Enterprises'!E168</f>
        <v>0</v>
      </c>
      <c r="F168" s="48">
        <f>'Adani Enterprises'!F168</f>
        <v>0</v>
      </c>
      <c r="G168" s="48">
        <f>'Adani Enterprises'!G168</f>
        <v>0</v>
      </c>
      <c r="H168" s="48">
        <f>'Adani Enterprises'!H168</f>
        <v>0</v>
      </c>
      <c r="I168" s="48">
        <f>'Adani Enterprises'!I168</f>
        <v>0</v>
      </c>
      <c r="J168" s="48">
        <f>'Adani Enterprises'!J168</f>
        <v>0</v>
      </c>
      <c r="K168" s="48">
        <f>'Adani Enterprises'!K168</f>
        <v>0</v>
      </c>
      <c r="L168" s="48">
        <f>'Adani Enterprises'!L168</f>
        <v>0</v>
      </c>
      <c r="M168" s="48">
        <f>'Adani Enterprises'!M168</f>
        <v>0</v>
      </c>
      <c r="N168" s="48">
        <f>'Adani Enterprises'!N168</f>
        <v>0</v>
      </c>
      <c r="O168" s="48">
        <f>'Adani Enterprises'!O168</f>
        <v>0</v>
      </c>
      <c r="P168" s="48">
        <f>'Adani Enterprises'!P168</f>
        <v>0</v>
      </c>
      <c r="Q168" s="48">
        <f>'Adani Enterprises'!Q168</f>
        <v>0</v>
      </c>
      <c r="R168" s="48">
        <f>'Adani Enterprises'!R168</f>
        <v>0</v>
      </c>
      <c r="S168" s="48">
        <f>'Adani Enterprises'!S168</f>
        <v>0</v>
      </c>
      <c r="T168" s="48">
        <f>'Adani Enterprises'!T168</f>
        <v>0</v>
      </c>
      <c r="U168" s="48">
        <f>'Adani Enterprises'!U168</f>
        <v>0</v>
      </c>
      <c r="V168" s="48">
        <f>'Adani Enterprises'!V168</f>
        <v>0</v>
      </c>
      <c r="W168" s="48">
        <f>'Adani Enterprises'!W168</f>
        <v>0</v>
      </c>
      <c r="X168" s="48">
        <f>'Adani Enterprises'!X168</f>
        <v>0</v>
      </c>
      <c r="Y168" s="48">
        <f>'Adani Enterprises'!Y168</f>
        <v>0</v>
      </c>
      <c r="Z168" s="48">
        <f>'Adani Enterprises'!Z168</f>
        <v>0</v>
      </c>
      <c r="AA168" s="48">
        <f>'Adani Enterprises'!AA168</f>
        <v>0</v>
      </c>
      <c r="AB168" s="48">
        <f>'Adani Enterprises'!AB168</f>
        <v>0</v>
      </c>
      <c r="AC168" s="48">
        <f>'Adani Enterprises'!AC168</f>
        <v>0</v>
      </c>
      <c r="AD168" s="48">
        <f>'Adani Enterprises'!AD168</f>
        <v>0</v>
      </c>
      <c r="AE168" s="48">
        <f>'Adani Enterprises'!AE168</f>
        <v>0</v>
      </c>
      <c r="AF168" s="48">
        <f>'Adani Enterprises'!AF168</f>
        <v>0</v>
      </c>
      <c r="AG168" s="48">
        <f>'Adani Enterprises'!AG168</f>
        <v>0</v>
      </c>
      <c r="AH168" s="48">
        <f>'Adani Enterprises'!AH168</f>
        <v>0</v>
      </c>
      <c r="AI168" s="48">
        <f>'Adani Enterprises'!AI168</f>
        <v>0</v>
      </c>
      <c r="AJ168" s="48">
        <f>'Adani Enterprises'!AJ168</f>
        <v>0</v>
      </c>
      <c r="AK168" s="48">
        <f>'Adani Enterprises'!AK168</f>
        <v>0</v>
      </c>
      <c r="AL168" s="48">
        <f>'Adani Enterprises'!AL168</f>
        <v>0</v>
      </c>
    </row>
    <row r="169" customHeight="1" spans="1:38">
      <c r="A169" s="48">
        <f>'Adani Enterprises'!A169</f>
        <v>0</v>
      </c>
      <c r="B169" s="48">
        <f>'Adani Enterprises'!B169</f>
        <v>0</v>
      </c>
      <c r="C169" s="48">
        <f>'Adani Enterprises'!C169</f>
        <v>0</v>
      </c>
      <c r="D169" s="48">
        <f>'Adani Enterprises'!D169</f>
        <v>0</v>
      </c>
      <c r="E169" s="48">
        <f>'Adani Enterprises'!E169</f>
        <v>0</v>
      </c>
      <c r="F169" s="48">
        <f>'Adani Enterprises'!F169</f>
        <v>0</v>
      </c>
      <c r="G169" s="48">
        <f>'Adani Enterprises'!G169</f>
        <v>0</v>
      </c>
      <c r="H169" s="48">
        <f>'Adani Enterprises'!H169</f>
        <v>0</v>
      </c>
      <c r="I169" s="48">
        <f>'Adani Enterprises'!I169</f>
        <v>0</v>
      </c>
      <c r="J169" s="48">
        <f>'Adani Enterprises'!J169</f>
        <v>0</v>
      </c>
      <c r="K169" s="48">
        <f>'Adani Enterprises'!K169</f>
        <v>0</v>
      </c>
      <c r="L169" s="48">
        <f>'Adani Enterprises'!L169</f>
        <v>0</v>
      </c>
      <c r="M169" s="48">
        <f>'Adani Enterprises'!M169</f>
        <v>0</v>
      </c>
      <c r="N169" s="48">
        <f>'Adani Enterprises'!N169</f>
        <v>0</v>
      </c>
      <c r="O169" s="48">
        <f>'Adani Enterprises'!O169</f>
        <v>0</v>
      </c>
      <c r="P169" s="48">
        <f>'Adani Enterprises'!P169</f>
        <v>0</v>
      </c>
      <c r="Q169" s="48">
        <f>'Adani Enterprises'!Q169</f>
        <v>0</v>
      </c>
      <c r="R169" s="48">
        <f>'Adani Enterprises'!R169</f>
        <v>0</v>
      </c>
      <c r="S169" s="48">
        <f>'Adani Enterprises'!S169</f>
        <v>0</v>
      </c>
      <c r="T169" s="48">
        <f>'Adani Enterprises'!T169</f>
        <v>0</v>
      </c>
      <c r="U169" s="48">
        <f>'Adani Enterprises'!U169</f>
        <v>0</v>
      </c>
      <c r="V169" s="48">
        <f>'Adani Enterprises'!V169</f>
        <v>0</v>
      </c>
      <c r="W169" s="48">
        <f>'Adani Enterprises'!W169</f>
        <v>0</v>
      </c>
      <c r="X169" s="48">
        <f>'Adani Enterprises'!X169</f>
        <v>0</v>
      </c>
      <c r="Y169" s="48">
        <f>'Adani Enterprises'!Y169</f>
        <v>0</v>
      </c>
      <c r="Z169" s="48">
        <f>'Adani Enterprises'!Z169</f>
        <v>0</v>
      </c>
      <c r="AA169" s="48">
        <f>'Adani Enterprises'!AA169</f>
        <v>0</v>
      </c>
      <c r="AB169" s="48">
        <f>'Adani Enterprises'!AB169</f>
        <v>0</v>
      </c>
      <c r="AC169" s="48">
        <f>'Adani Enterprises'!AC169</f>
        <v>0</v>
      </c>
      <c r="AD169" s="48">
        <f>'Adani Enterprises'!AD169</f>
        <v>0</v>
      </c>
      <c r="AE169" s="48">
        <f>'Adani Enterprises'!AE169</f>
        <v>0</v>
      </c>
      <c r="AF169" s="48">
        <f>'Adani Enterprises'!AF169</f>
        <v>0</v>
      </c>
      <c r="AG169" s="48">
        <f>'Adani Enterprises'!AG169</f>
        <v>0</v>
      </c>
      <c r="AH169" s="48">
        <f>'Adani Enterprises'!AH169</f>
        <v>0</v>
      </c>
      <c r="AI169" s="48">
        <f>'Adani Enterprises'!AI169</f>
        <v>0</v>
      </c>
      <c r="AJ169" s="48">
        <f>'Adani Enterprises'!AJ169</f>
        <v>0</v>
      </c>
      <c r="AK169" s="48">
        <f>'Adani Enterprises'!AK169</f>
        <v>0</v>
      </c>
      <c r="AL169" s="48">
        <f>'Adani Enterprises'!AL169</f>
        <v>0</v>
      </c>
    </row>
    <row r="170" customHeight="1" spans="1:38">
      <c r="A170" s="48">
        <f>'Adani Enterprises'!A170</f>
        <v>0</v>
      </c>
      <c r="B170" s="48">
        <f>'Adani Enterprises'!B170</f>
        <v>0</v>
      </c>
      <c r="C170" s="48">
        <f>'Adani Enterprises'!C170</f>
        <v>0</v>
      </c>
      <c r="D170" s="48">
        <f>'Adani Enterprises'!D170</f>
        <v>0</v>
      </c>
      <c r="E170" s="48">
        <f>'Adani Enterprises'!E170</f>
        <v>0</v>
      </c>
      <c r="F170" s="48">
        <f>'Adani Enterprises'!F170</f>
        <v>0</v>
      </c>
      <c r="G170" s="48">
        <f>'Adani Enterprises'!G170</f>
        <v>0</v>
      </c>
      <c r="H170" s="48">
        <f>'Adani Enterprises'!H170</f>
        <v>0</v>
      </c>
      <c r="I170" s="48">
        <f>'Adani Enterprises'!I170</f>
        <v>0</v>
      </c>
      <c r="J170" s="48">
        <f>'Adani Enterprises'!J170</f>
        <v>0</v>
      </c>
      <c r="K170" s="48">
        <f>'Adani Enterprises'!K170</f>
        <v>0</v>
      </c>
      <c r="L170" s="48">
        <f>'Adani Enterprises'!L170</f>
        <v>0</v>
      </c>
      <c r="M170" s="48">
        <f>'Adani Enterprises'!M170</f>
        <v>0</v>
      </c>
      <c r="N170" s="48">
        <f>'Adani Enterprises'!N170</f>
        <v>0</v>
      </c>
      <c r="O170" s="48">
        <f>'Adani Enterprises'!O170</f>
        <v>0</v>
      </c>
      <c r="P170" s="48">
        <f>'Adani Enterprises'!P170</f>
        <v>0</v>
      </c>
      <c r="Q170" s="48">
        <f>'Adani Enterprises'!Q170</f>
        <v>0</v>
      </c>
      <c r="R170" s="48">
        <f>'Adani Enterprises'!R170</f>
        <v>0</v>
      </c>
      <c r="S170" s="48">
        <f>'Adani Enterprises'!S170</f>
        <v>0</v>
      </c>
      <c r="T170" s="48">
        <f>'Adani Enterprises'!T170</f>
        <v>0</v>
      </c>
      <c r="U170" s="48">
        <f>'Adani Enterprises'!U170</f>
        <v>0</v>
      </c>
      <c r="V170" s="48">
        <f>'Adani Enterprises'!V170</f>
        <v>0</v>
      </c>
      <c r="W170" s="48">
        <f>'Adani Enterprises'!W170</f>
        <v>0</v>
      </c>
      <c r="X170" s="48">
        <f>'Adani Enterprises'!X170</f>
        <v>0</v>
      </c>
      <c r="Y170" s="48">
        <f>'Adani Enterprises'!Y170</f>
        <v>0</v>
      </c>
      <c r="Z170" s="48">
        <f>'Adani Enterprises'!Z170</f>
        <v>0</v>
      </c>
      <c r="AA170" s="48">
        <f>'Adani Enterprises'!AA170</f>
        <v>0</v>
      </c>
      <c r="AB170" s="48">
        <f>'Adani Enterprises'!AB170</f>
        <v>0</v>
      </c>
      <c r="AC170" s="48">
        <f>'Adani Enterprises'!AC170</f>
        <v>0</v>
      </c>
      <c r="AD170" s="48">
        <f>'Adani Enterprises'!AD170</f>
        <v>0</v>
      </c>
      <c r="AE170" s="48">
        <f>'Adani Enterprises'!AE170</f>
        <v>0</v>
      </c>
      <c r="AF170" s="48">
        <f>'Adani Enterprises'!AF170</f>
        <v>0</v>
      </c>
      <c r="AG170" s="48">
        <f>'Adani Enterprises'!AG170</f>
        <v>0</v>
      </c>
      <c r="AH170" s="48">
        <f>'Adani Enterprises'!AH170</f>
        <v>0</v>
      </c>
      <c r="AI170" s="48">
        <f>'Adani Enterprises'!AI170</f>
        <v>0</v>
      </c>
      <c r="AJ170" s="48">
        <f>'Adani Enterprises'!AJ170</f>
        <v>0</v>
      </c>
      <c r="AK170" s="48">
        <f>'Adani Enterprises'!AK170</f>
        <v>0</v>
      </c>
      <c r="AL170" s="48">
        <f>'Adani Enterprises'!AL170</f>
        <v>0</v>
      </c>
    </row>
    <row r="171" customHeight="1" spans="1:38">
      <c r="A171" s="48">
        <f>'Adani Enterprises'!A171</f>
        <v>0</v>
      </c>
      <c r="B171" s="48">
        <f>'Adani Enterprises'!B171</f>
        <v>0</v>
      </c>
      <c r="C171" s="48">
        <f>'Adani Enterprises'!C171</f>
        <v>0</v>
      </c>
      <c r="D171" s="48">
        <f>'Adani Enterprises'!D171</f>
        <v>0</v>
      </c>
      <c r="E171" s="48">
        <f>'Adani Enterprises'!E171</f>
        <v>0</v>
      </c>
      <c r="F171" s="48">
        <f>'Adani Enterprises'!F171</f>
        <v>0</v>
      </c>
      <c r="G171" s="48">
        <f>'Adani Enterprises'!G171</f>
        <v>0</v>
      </c>
      <c r="H171" s="48">
        <f>'Adani Enterprises'!H171</f>
        <v>0</v>
      </c>
      <c r="I171" s="48">
        <f>'Adani Enterprises'!I171</f>
        <v>0</v>
      </c>
      <c r="J171" s="48">
        <f>'Adani Enterprises'!J171</f>
        <v>0</v>
      </c>
      <c r="K171" s="48">
        <f>'Adani Enterprises'!K171</f>
        <v>0</v>
      </c>
      <c r="L171" s="48">
        <f>'Adani Enterprises'!L171</f>
        <v>0</v>
      </c>
      <c r="M171" s="48">
        <f>'Adani Enterprises'!M171</f>
        <v>0</v>
      </c>
      <c r="N171" s="48">
        <f>'Adani Enterprises'!N171</f>
        <v>0</v>
      </c>
      <c r="O171" s="48">
        <f>'Adani Enterprises'!O171</f>
        <v>0</v>
      </c>
      <c r="P171" s="48">
        <f>'Adani Enterprises'!P171</f>
        <v>0</v>
      </c>
      <c r="Q171" s="48">
        <f>'Adani Enterprises'!Q171</f>
        <v>0</v>
      </c>
      <c r="R171" s="48">
        <f>'Adani Enterprises'!R171</f>
        <v>0</v>
      </c>
      <c r="S171" s="48">
        <f>'Adani Enterprises'!S171</f>
        <v>0</v>
      </c>
      <c r="T171" s="48">
        <f>'Adani Enterprises'!T171</f>
        <v>0</v>
      </c>
      <c r="U171" s="48">
        <f>'Adani Enterprises'!U171</f>
        <v>0</v>
      </c>
      <c r="V171" s="48">
        <f>'Adani Enterprises'!V171</f>
        <v>0</v>
      </c>
      <c r="W171" s="48">
        <f>'Adani Enterprises'!W171</f>
        <v>0</v>
      </c>
      <c r="X171" s="48">
        <f>'Adani Enterprises'!X171</f>
        <v>0</v>
      </c>
      <c r="Y171" s="48">
        <f>'Adani Enterprises'!Y171</f>
        <v>0</v>
      </c>
      <c r="Z171" s="48">
        <f>'Adani Enterprises'!Z171</f>
        <v>0</v>
      </c>
      <c r="AA171" s="48">
        <f>'Adani Enterprises'!AA171</f>
        <v>0</v>
      </c>
      <c r="AB171" s="48">
        <f>'Adani Enterprises'!AB171</f>
        <v>0</v>
      </c>
      <c r="AC171" s="48">
        <f>'Adani Enterprises'!AC171</f>
        <v>0</v>
      </c>
      <c r="AD171" s="48">
        <f>'Adani Enterprises'!AD171</f>
        <v>0</v>
      </c>
      <c r="AE171" s="48">
        <f>'Adani Enterprises'!AE171</f>
        <v>0</v>
      </c>
      <c r="AF171" s="48">
        <f>'Adani Enterprises'!AF171</f>
        <v>0</v>
      </c>
      <c r="AG171" s="48">
        <f>'Adani Enterprises'!AG171</f>
        <v>0</v>
      </c>
      <c r="AH171" s="48">
        <f>'Adani Enterprises'!AH171</f>
        <v>0</v>
      </c>
      <c r="AI171" s="48">
        <f>'Adani Enterprises'!AI171</f>
        <v>0</v>
      </c>
      <c r="AJ171" s="48">
        <f>'Adani Enterprises'!AJ171</f>
        <v>0</v>
      </c>
      <c r="AK171" s="48">
        <f>'Adani Enterprises'!AK171</f>
        <v>0</v>
      </c>
      <c r="AL171" s="48">
        <f>'Adani Enterprises'!AL171</f>
        <v>0</v>
      </c>
    </row>
    <row r="172" customHeight="1" spans="1:38">
      <c r="A172" s="48">
        <f>'Adani Enterprises'!A172</f>
        <v>0</v>
      </c>
      <c r="B172" s="48">
        <f>'Adani Enterprises'!B172</f>
        <v>0</v>
      </c>
      <c r="C172" s="48">
        <f>'Adani Enterprises'!C172</f>
        <v>0</v>
      </c>
      <c r="D172" s="48">
        <f>'Adani Enterprises'!D172</f>
        <v>0</v>
      </c>
      <c r="E172" s="48">
        <f>'Adani Enterprises'!E172</f>
        <v>0</v>
      </c>
      <c r="F172" s="48">
        <f>'Adani Enterprises'!F172</f>
        <v>0</v>
      </c>
      <c r="G172" s="48">
        <f>'Adani Enterprises'!G172</f>
        <v>0</v>
      </c>
      <c r="H172" s="48">
        <f>'Adani Enterprises'!H172</f>
        <v>0</v>
      </c>
      <c r="I172" s="48">
        <f>'Adani Enterprises'!I172</f>
        <v>0</v>
      </c>
      <c r="J172" s="48">
        <f>'Adani Enterprises'!J172</f>
        <v>0</v>
      </c>
      <c r="K172" s="48">
        <f>'Adani Enterprises'!K172</f>
        <v>0</v>
      </c>
      <c r="L172" s="48">
        <f>'Adani Enterprises'!L172</f>
        <v>0</v>
      </c>
      <c r="M172" s="48">
        <f>'Adani Enterprises'!M172</f>
        <v>0</v>
      </c>
      <c r="N172" s="48">
        <f>'Adani Enterprises'!N172</f>
        <v>0</v>
      </c>
      <c r="O172" s="48">
        <f>'Adani Enterprises'!O172</f>
        <v>0</v>
      </c>
      <c r="P172" s="48">
        <f>'Adani Enterprises'!P172</f>
        <v>0</v>
      </c>
      <c r="Q172" s="48">
        <f>'Adani Enterprises'!Q172</f>
        <v>0</v>
      </c>
      <c r="R172" s="48">
        <f>'Adani Enterprises'!R172</f>
        <v>0</v>
      </c>
      <c r="S172" s="48">
        <f>'Adani Enterprises'!S172</f>
        <v>0</v>
      </c>
      <c r="T172" s="48">
        <f>'Adani Enterprises'!T172</f>
        <v>0</v>
      </c>
      <c r="U172" s="48">
        <f>'Adani Enterprises'!U172</f>
        <v>0</v>
      </c>
      <c r="V172" s="48">
        <f>'Adani Enterprises'!V172</f>
        <v>0</v>
      </c>
      <c r="W172" s="48">
        <f>'Adani Enterprises'!W172</f>
        <v>0</v>
      </c>
      <c r="X172" s="48">
        <f>'Adani Enterprises'!X172</f>
        <v>0</v>
      </c>
      <c r="Y172" s="48">
        <f>'Adani Enterprises'!Y172</f>
        <v>0</v>
      </c>
      <c r="Z172" s="48">
        <f>'Adani Enterprises'!Z172</f>
        <v>0</v>
      </c>
      <c r="AA172" s="48">
        <f>'Adani Enterprises'!AA172</f>
        <v>0</v>
      </c>
      <c r="AB172" s="48">
        <f>'Adani Enterprises'!AB172</f>
        <v>0</v>
      </c>
      <c r="AC172" s="48">
        <f>'Adani Enterprises'!AC172</f>
        <v>0</v>
      </c>
      <c r="AD172" s="48">
        <f>'Adani Enterprises'!AD172</f>
        <v>0</v>
      </c>
      <c r="AE172" s="48">
        <f>'Adani Enterprises'!AE172</f>
        <v>0</v>
      </c>
      <c r="AF172" s="48">
        <f>'Adani Enterprises'!AF172</f>
        <v>0</v>
      </c>
      <c r="AG172" s="48">
        <f>'Adani Enterprises'!AG172</f>
        <v>0</v>
      </c>
      <c r="AH172" s="48">
        <f>'Adani Enterprises'!AH172</f>
        <v>0</v>
      </c>
      <c r="AI172" s="48">
        <f>'Adani Enterprises'!AI172</f>
        <v>0</v>
      </c>
      <c r="AJ172" s="48">
        <f>'Adani Enterprises'!AJ172</f>
        <v>0</v>
      </c>
      <c r="AK172" s="48">
        <f>'Adani Enterprises'!AK172</f>
        <v>0</v>
      </c>
      <c r="AL172" s="48">
        <f>'Adani Enterprises'!AL172</f>
        <v>0</v>
      </c>
    </row>
    <row r="173" customHeight="1" spans="1:38">
      <c r="A173" s="48">
        <f>'Adani Enterprises'!A173</f>
        <v>0</v>
      </c>
      <c r="B173" s="48">
        <f>'Adani Enterprises'!B173</f>
        <v>0</v>
      </c>
      <c r="C173" s="48">
        <f>'Adani Enterprises'!C173</f>
        <v>0</v>
      </c>
      <c r="D173" s="48">
        <f>'Adani Enterprises'!D173</f>
        <v>0</v>
      </c>
      <c r="E173" s="48">
        <f>'Adani Enterprises'!E173</f>
        <v>0</v>
      </c>
      <c r="F173" s="48">
        <f>'Adani Enterprises'!F173</f>
        <v>0</v>
      </c>
      <c r="G173" s="48">
        <f>'Adani Enterprises'!G173</f>
        <v>0</v>
      </c>
      <c r="H173" s="48">
        <f>'Adani Enterprises'!H173</f>
        <v>0</v>
      </c>
      <c r="I173" s="48">
        <f>'Adani Enterprises'!I173</f>
        <v>0</v>
      </c>
      <c r="J173" s="48">
        <f>'Adani Enterprises'!J173</f>
        <v>0</v>
      </c>
      <c r="K173" s="48">
        <f>'Adani Enterprises'!K173</f>
        <v>0</v>
      </c>
      <c r="L173" s="48">
        <f>'Adani Enterprises'!L173</f>
        <v>0</v>
      </c>
      <c r="M173" s="48">
        <f>'Adani Enterprises'!M173</f>
        <v>0</v>
      </c>
      <c r="N173" s="48">
        <f>'Adani Enterprises'!N173</f>
        <v>0</v>
      </c>
      <c r="O173" s="48">
        <f>'Adani Enterprises'!O173</f>
        <v>0</v>
      </c>
      <c r="P173" s="48">
        <f>'Adani Enterprises'!P173</f>
        <v>0</v>
      </c>
      <c r="Q173" s="48">
        <f>'Adani Enterprises'!Q173</f>
        <v>0</v>
      </c>
      <c r="R173" s="48">
        <f>'Adani Enterprises'!R173</f>
        <v>0</v>
      </c>
      <c r="S173" s="48">
        <f>'Adani Enterprises'!S173</f>
        <v>0</v>
      </c>
      <c r="T173" s="48">
        <f>'Adani Enterprises'!T173</f>
        <v>0</v>
      </c>
      <c r="U173" s="48">
        <f>'Adani Enterprises'!U173</f>
        <v>0</v>
      </c>
      <c r="V173" s="48">
        <f>'Adani Enterprises'!V173</f>
        <v>0</v>
      </c>
      <c r="W173" s="48">
        <f>'Adani Enterprises'!W173</f>
        <v>0</v>
      </c>
      <c r="X173" s="48">
        <f>'Adani Enterprises'!X173</f>
        <v>0</v>
      </c>
      <c r="Y173" s="48">
        <f>'Adani Enterprises'!Y173</f>
        <v>0</v>
      </c>
      <c r="Z173" s="48">
        <f>'Adani Enterprises'!Z173</f>
        <v>0</v>
      </c>
      <c r="AA173" s="48">
        <f>'Adani Enterprises'!AA173</f>
        <v>0</v>
      </c>
      <c r="AB173" s="48">
        <f>'Adani Enterprises'!AB173</f>
        <v>0</v>
      </c>
      <c r="AC173" s="48">
        <f>'Adani Enterprises'!AC173</f>
        <v>0</v>
      </c>
      <c r="AD173" s="48">
        <f>'Adani Enterprises'!AD173</f>
        <v>0</v>
      </c>
      <c r="AE173" s="48">
        <f>'Adani Enterprises'!AE173</f>
        <v>0</v>
      </c>
      <c r="AF173" s="48">
        <f>'Adani Enterprises'!AF173</f>
        <v>0</v>
      </c>
      <c r="AG173" s="48">
        <f>'Adani Enterprises'!AG173</f>
        <v>0</v>
      </c>
      <c r="AH173" s="48">
        <f>'Adani Enterprises'!AH173</f>
        <v>0</v>
      </c>
      <c r="AI173" s="48">
        <f>'Adani Enterprises'!AI173</f>
        <v>0</v>
      </c>
      <c r="AJ173" s="48">
        <f>'Adani Enterprises'!AJ173</f>
        <v>0</v>
      </c>
      <c r="AK173" s="48">
        <f>'Adani Enterprises'!AK173</f>
        <v>0</v>
      </c>
      <c r="AL173" s="48">
        <f>'Adani Enterprises'!AL173</f>
        <v>0</v>
      </c>
    </row>
    <row r="174" customHeight="1" spans="1:38">
      <c r="A174" s="48">
        <f>'Adani Enterprises'!A174</f>
        <v>0</v>
      </c>
      <c r="B174" s="48">
        <f>'Adani Enterprises'!B174</f>
        <v>0</v>
      </c>
      <c r="C174" s="48">
        <f>'Adani Enterprises'!C174</f>
        <v>0</v>
      </c>
      <c r="D174" s="48">
        <f>'Adani Enterprises'!D174</f>
        <v>0</v>
      </c>
      <c r="E174" s="48">
        <f>'Adani Enterprises'!E174</f>
        <v>0</v>
      </c>
      <c r="F174" s="48">
        <f>'Adani Enterprises'!F174</f>
        <v>0</v>
      </c>
      <c r="G174" s="48">
        <f>'Adani Enterprises'!G174</f>
        <v>0</v>
      </c>
      <c r="H174" s="48">
        <f>'Adani Enterprises'!H174</f>
        <v>0</v>
      </c>
      <c r="I174" s="48">
        <f>'Adani Enterprises'!I174</f>
        <v>0</v>
      </c>
      <c r="J174" s="48">
        <f>'Adani Enterprises'!J174</f>
        <v>0</v>
      </c>
      <c r="K174" s="48">
        <f>'Adani Enterprises'!K174</f>
        <v>0</v>
      </c>
      <c r="L174" s="48">
        <f>'Adani Enterprises'!L174</f>
        <v>0</v>
      </c>
      <c r="M174" s="48">
        <f>'Adani Enterprises'!M174</f>
        <v>0</v>
      </c>
      <c r="N174" s="48">
        <f>'Adani Enterprises'!N174</f>
        <v>0</v>
      </c>
      <c r="O174" s="48">
        <f>'Adani Enterprises'!O174</f>
        <v>0</v>
      </c>
      <c r="P174" s="48">
        <f>'Adani Enterprises'!P174</f>
        <v>0</v>
      </c>
      <c r="Q174" s="48">
        <f>'Adani Enterprises'!Q174</f>
        <v>0</v>
      </c>
      <c r="R174" s="48">
        <f>'Adani Enterprises'!R174</f>
        <v>0</v>
      </c>
      <c r="S174" s="48">
        <f>'Adani Enterprises'!S174</f>
        <v>0</v>
      </c>
      <c r="T174" s="48">
        <f>'Adani Enterprises'!T174</f>
        <v>0</v>
      </c>
      <c r="U174" s="48">
        <f>'Adani Enterprises'!U174</f>
        <v>0</v>
      </c>
      <c r="V174" s="48">
        <f>'Adani Enterprises'!V174</f>
        <v>0</v>
      </c>
      <c r="W174" s="48">
        <f>'Adani Enterprises'!W174</f>
        <v>0</v>
      </c>
      <c r="X174" s="48">
        <f>'Adani Enterprises'!X174</f>
        <v>0</v>
      </c>
      <c r="Y174" s="48">
        <f>'Adani Enterprises'!Y174</f>
        <v>0</v>
      </c>
      <c r="Z174" s="48">
        <f>'Adani Enterprises'!Z174</f>
        <v>0</v>
      </c>
      <c r="AA174" s="48">
        <f>'Adani Enterprises'!AA174</f>
        <v>0</v>
      </c>
      <c r="AB174" s="48">
        <f>'Adani Enterprises'!AB174</f>
        <v>0</v>
      </c>
      <c r="AC174" s="48">
        <f>'Adani Enterprises'!AC174</f>
        <v>0</v>
      </c>
      <c r="AD174" s="48">
        <f>'Adani Enterprises'!AD174</f>
        <v>0</v>
      </c>
      <c r="AE174" s="48">
        <f>'Adani Enterprises'!AE174</f>
        <v>0</v>
      </c>
      <c r="AF174" s="48">
        <f>'Adani Enterprises'!AF174</f>
        <v>0</v>
      </c>
      <c r="AG174" s="48">
        <f>'Adani Enterprises'!AG174</f>
        <v>0</v>
      </c>
      <c r="AH174" s="48">
        <f>'Adani Enterprises'!AH174</f>
        <v>0</v>
      </c>
      <c r="AI174" s="48">
        <f>'Adani Enterprises'!AI174</f>
        <v>0</v>
      </c>
      <c r="AJ174" s="48">
        <f>'Adani Enterprises'!AJ174</f>
        <v>0</v>
      </c>
      <c r="AK174" s="48">
        <f>'Adani Enterprises'!AK174</f>
        <v>0</v>
      </c>
      <c r="AL174" s="48">
        <f>'Adani Enterprises'!AL174</f>
        <v>0</v>
      </c>
    </row>
    <row r="175" customHeight="1" spans="1:38">
      <c r="A175" s="48">
        <f>'Adani Enterprises'!A175</f>
        <v>0</v>
      </c>
      <c r="B175" s="48">
        <f>'Adani Enterprises'!B175</f>
        <v>0</v>
      </c>
      <c r="C175" s="48">
        <f>'Adani Enterprises'!C175</f>
        <v>0</v>
      </c>
      <c r="D175" s="48">
        <f>'Adani Enterprises'!D175</f>
        <v>0</v>
      </c>
      <c r="E175" s="48">
        <f>'Adani Enterprises'!E175</f>
        <v>0</v>
      </c>
      <c r="F175" s="48">
        <f>'Adani Enterprises'!F175</f>
        <v>0</v>
      </c>
      <c r="G175" s="48">
        <f>'Adani Enterprises'!G175</f>
        <v>0</v>
      </c>
      <c r="H175" s="48">
        <f>'Adani Enterprises'!H175</f>
        <v>0</v>
      </c>
      <c r="I175" s="48">
        <f>'Adani Enterprises'!I175</f>
        <v>0</v>
      </c>
      <c r="J175" s="48">
        <f>'Adani Enterprises'!J175</f>
        <v>0</v>
      </c>
      <c r="K175" s="48">
        <f>'Adani Enterprises'!K175</f>
        <v>0</v>
      </c>
      <c r="L175" s="48">
        <f>'Adani Enterprises'!L175</f>
        <v>0</v>
      </c>
      <c r="M175" s="48">
        <f>'Adani Enterprises'!M175</f>
        <v>0</v>
      </c>
      <c r="N175" s="48">
        <f>'Adani Enterprises'!N175</f>
        <v>0</v>
      </c>
      <c r="O175" s="48">
        <f>'Adani Enterprises'!O175</f>
        <v>0</v>
      </c>
      <c r="P175" s="48">
        <f>'Adani Enterprises'!P175</f>
        <v>0</v>
      </c>
      <c r="Q175" s="48">
        <f>'Adani Enterprises'!Q175</f>
        <v>0</v>
      </c>
      <c r="R175" s="48">
        <f>'Adani Enterprises'!R175</f>
        <v>0</v>
      </c>
      <c r="S175" s="48">
        <f>'Adani Enterprises'!S175</f>
        <v>0</v>
      </c>
      <c r="T175" s="48">
        <f>'Adani Enterprises'!T175</f>
        <v>0</v>
      </c>
      <c r="U175" s="48">
        <f>'Adani Enterprises'!U175</f>
        <v>0</v>
      </c>
      <c r="V175" s="48">
        <f>'Adani Enterprises'!V175</f>
        <v>0</v>
      </c>
      <c r="W175" s="48">
        <f>'Adani Enterprises'!W175</f>
        <v>0</v>
      </c>
      <c r="X175" s="48">
        <f>'Adani Enterprises'!X175</f>
        <v>0</v>
      </c>
      <c r="Y175" s="48">
        <f>'Adani Enterprises'!Y175</f>
        <v>0</v>
      </c>
      <c r="Z175" s="48">
        <f>'Adani Enterprises'!Z175</f>
        <v>0</v>
      </c>
      <c r="AA175" s="48">
        <f>'Adani Enterprises'!AA175</f>
        <v>0</v>
      </c>
      <c r="AB175" s="48">
        <f>'Adani Enterprises'!AB175</f>
        <v>0</v>
      </c>
      <c r="AC175" s="48">
        <f>'Adani Enterprises'!AC175</f>
        <v>0</v>
      </c>
      <c r="AD175" s="48">
        <f>'Adani Enterprises'!AD175</f>
        <v>0</v>
      </c>
      <c r="AE175" s="48">
        <f>'Adani Enterprises'!AE175</f>
        <v>0</v>
      </c>
      <c r="AF175" s="48">
        <f>'Adani Enterprises'!AF175</f>
        <v>0</v>
      </c>
      <c r="AG175" s="48">
        <f>'Adani Enterprises'!AG175</f>
        <v>0</v>
      </c>
      <c r="AH175" s="48">
        <f>'Adani Enterprises'!AH175</f>
        <v>0</v>
      </c>
      <c r="AI175" s="48">
        <f>'Adani Enterprises'!AI175</f>
        <v>0</v>
      </c>
      <c r="AJ175" s="48">
        <f>'Adani Enterprises'!AJ175</f>
        <v>0</v>
      </c>
      <c r="AK175" s="48">
        <f>'Adani Enterprises'!AK175</f>
        <v>0</v>
      </c>
      <c r="AL175" s="48">
        <f>'Adani Enterprises'!AL175</f>
        <v>0</v>
      </c>
    </row>
    <row r="176" customHeight="1" spans="1:38">
      <c r="A176" s="48">
        <f>'Adani Enterprises'!A176</f>
        <v>0</v>
      </c>
      <c r="B176" s="48">
        <f>'Adani Enterprises'!B176</f>
        <v>0</v>
      </c>
      <c r="C176" s="48">
        <f>'Adani Enterprises'!C176</f>
        <v>0</v>
      </c>
      <c r="D176" s="48">
        <f>'Adani Enterprises'!D176</f>
        <v>0</v>
      </c>
      <c r="E176" s="48">
        <f>'Adani Enterprises'!E176</f>
        <v>0</v>
      </c>
      <c r="F176" s="48">
        <f>'Adani Enterprises'!F176</f>
        <v>0</v>
      </c>
      <c r="G176" s="48">
        <f>'Adani Enterprises'!G176</f>
        <v>0</v>
      </c>
      <c r="H176" s="48">
        <f>'Adani Enterprises'!H176</f>
        <v>0</v>
      </c>
      <c r="I176" s="48">
        <f>'Adani Enterprises'!I176</f>
        <v>0</v>
      </c>
      <c r="J176" s="48">
        <f>'Adani Enterprises'!J176</f>
        <v>0</v>
      </c>
      <c r="K176" s="48">
        <f>'Adani Enterprises'!K176</f>
        <v>0</v>
      </c>
      <c r="L176" s="48">
        <f>'Adani Enterprises'!L176</f>
        <v>0</v>
      </c>
      <c r="M176" s="48">
        <f>'Adani Enterprises'!M176</f>
        <v>0</v>
      </c>
      <c r="N176" s="48">
        <f>'Adani Enterprises'!N176</f>
        <v>0</v>
      </c>
      <c r="O176" s="48">
        <f>'Adani Enterprises'!O176</f>
        <v>0</v>
      </c>
      <c r="P176" s="48">
        <f>'Adani Enterprises'!P176</f>
        <v>0</v>
      </c>
      <c r="Q176" s="48">
        <f>'Adani Enterprises'!Q176</f>
        <v>0</v>
      </c>
      <c r="R176" s="48">
        <f>'Adani Enterprises'!R176</f>
        <v>0</v>
      </c>
      <c r="S176" s="48">
        <f>'Adani Enterprises'!S176</f>
        <v>0</v>
      </c>
      <c r="T176" s="48">
        <f>'Adani Enterprises'!T176</f>
        <v>0</v>
      </c>
      <c r="U176" s="48">
        <f>'Adani Enterprises'!U176</f>
        <v>0</v>
      </c>
      <c r="V176" s="48">
        <f>'Adani Enterprises'!V176</f>
        <v>0</v>
      </c>
      <c r="W176" s="48">
        <f>'Adani Enterprises'!W176</f>
        <v>0</v>
      </c>
      <c r="X176" s="48">
        <f>'Adani Enterprises'!X176</f>
        <v>0</v>
      </c>
      <c r="Y176" s="48">
        <f>'Adani Enterprises'!Y176</f>
        <v>0</v>
      </c>
      <c r="Z176" s="48">
        <f>'Adani Enterprises'!Z176</f>
        <v>0</v>
      </c>
      <c r="AA176" s="48">
        <f>'Adani Enterprises'!AA176</f>
        <v>0</v>
      </c>
      <c r="AB176" s="48">
        <f>'Adani Enterprises'!AB176</f>
        <v>0</v>
      </c>
      <c r="AC176" s="48">
        <f>'Adani Enterprises'!AC176</f>
        <v>0</v>
      </c>
      <c r="AD176" s="48">
        <f>'Adani Enterprises'!AD176</f>
        <v>0</v>
      </c>
      <c r="AE176" s="48">
        <f>'Adani Enterprises'!AE176</f>
        <v>0</v>
      </c>
      <c r="AF176" s="48">
        <f>'Adani Enterprises'!AF176</f>
        <v>0</v>
      </c>
      <c r="AG176" s="48">
        <f>'Adani Enterprises'!AG176</f>
        <v>0</v>
      </c>
      <c r="AH176" s="48">
        <f>'Adani Enterprises'!AH176</f>
        <v>0</v>
      </c>
      <c r="AI176" s="48">
        <f>'Adani Enterprises'!AI176</f>
        <v>0</v>
      </c>
      <c r="AJ176" s="48">
        <f>'Adani Enterprises'!AJ176</f>
        <v>0</v>
      </c>
      <c r="AK176" s="48">
        <f>'Adani Enterprises'!AK176</f>
        <v>0</v>
      </c>
      <c r="AL176" s="48">
        <f>'Adani Enterprises'!AL176</f>
        <v>0</v>
      </c>
    </row>
    <row r="177" customHeight="1" spans="1:38">
      <c r="A177" s="48">
        <f>'Adani Enterprises'!A177</f>
        <v>0</v>
      </c>
      <c r="B177" s="48">
        <f>'Adani Enterprises'!B177</f>
        <v>0</v>
      </c>
      <c r="C177" s="48">
        <f>'Adani Enterprises'!C177</f>
        <v>0</v>
      </c>
      <c r="D177" s="48">
        <f>'Adani Enterprises'!D177</f>
        <v>0</v>
      </c>
      <c r="E177" s="48">
        <f>'Adani Enterprises'!E177</f>
        <v>0</v>
      </c>
      <c r="F177" s="48">
        <f>'Adani Enterprises'!F177</f>
        <v>0</v>
      </c>
      <c r="G177" s="48">
        <f>'Adani Enterprises'!G177</f>
        <v>0</v>
      </c>
      <c r="H177" s="48">
        <f>'Adani Enterprises'!H177</f>
        <v>0</v>
      </c>
      <c r="I177" s="48">
        <f>'Adani Enterprises'!I177</f>
        <v>0</v>
      </c>
      <c r="J177" s="48">
        <f>'Adani Enterprises'!J177</f>
        <v>0</v>
      </c>
      <c r="K177" s="48">
        <f>'Adani Enterprises'!K177</f>
        <v>0</v>
      </c>
      <c r="L177" s="48">
        <f>'Adani Enterprises'!L177</f>
        <v>0</v>
      </c>
      <c r="M177" s="48">
        <f>'Adani Enterprises'!M177</f>
        <v>0</v>
      </c>
      <c r="N177" s="48">
        <f>'Adani Enterprises'!N177</f>
        <v>0</v>
      </c>
      <c r="O177" s="48">
        <f>'Adani Enterprises'!O177</f>
        <v>0</v>
      </c>
      <c r="P177" s="48">
        <f>'Adani Enterprises'!P177</f>
        <v>0</v>
      </c>
      <c r="Q177" s="48">
        <f>'Adani Enterprises'!Q177</f>
        <v>0</v>
      </c>
      <c r="R177" s="48">
        <f>'Adani Enterprises'!R177</f>
        <v>0</v>
      </c>
      <c r="S177" s="48">
        <f>'Adani Enterprises'!S177</f>
        <v>0</v>
      </c>
      <c r="T177" s="48">
        <f>'Adani Enterprises'!T177</f>
        <v>0</v>
      </c>
      <c r="U177" s="48">
        <f>'Adani Enterprises'!U177</f>
        <v>0</v>
      </c>
      <c r="V177" s="48">
        <f>'Adani Enterprises'!V177</f>
        <v>0</v>
      </c>
      <c r="W177" s="48">
        <f>'Adani Enterprises'!W177</f>
        <v>0</v>
      </c>
      <c r="X177" s="48">
        <f>'Adani Enterprises'!X177</f>
        <v>0</v>
      </c>
      <c r="Y177" s="48">
        <f>'Adani Enterprises'!Y177</f>
        <v>0</v>
      </c>
      <c r="Z177" s="48">
        <f>'Adani Enterprises'!Z177</f>
        <v>0</v>
      </c>
      <c r="AA177" s="48">
        <f>'Adani Enterprises'!AA177</f>
        <v>0</v>
      </c>
      <c r="AB177" s="48">
        <f>'Adani Enterprises'!AB177</f>
        <v>0</v>
      </c>
      <c r="AC177" s="48">
        <f>'Adani Enterprises'!AC177</f>
        <v>0</v>
      </c>
      <c r="AD177" s="48">
        <f>'Adani Enterprises'!AD177</f>
        <v>0</v>
      </c>
      <c r="AE177" s="48">
        <f>'Adani Enterprises'!AE177</f>
        <v>0</v>
      </c>
      <c r="AF177" s="48">
        <f>'Adani Enterprises'!AF177</f>
        <v>0</v>
      </c>
      <c r="AG177" s="48">
        <f>'Adani Enterprises'!AG177</f>
        <v>0</v>
      </c>
      <c r="AH177" s="48">
        <f>'Adani Enterprises'!AH177</f>
        <v>0</v>
      </c>
      <c r="AI177" s="48">
        <f>'Adani Enterprises'!AI177</f>
        <v>0</v>
      </c>
      <c r="AJ177" s="48">
        <f>'Adani Enterprises'!AJ177</f>
        <v>0</v>
      </c>
      <c r="AK177" s="48">
        <f>'Adani Enterprises'!AK177</f>
        <v>0</v>
      </c>
      <c r="AL177" s="48">
        <f>'Adani Enterprises'!AL177</f>
        <v>0</v>
      </c>
    </row>
    <row r="178" customHeight="1" spans="1:38">
      <c r="A178" s="48">
        <f>'Adani Enterprises'!A178</f>
        <v>0</v>
      </c>
      <c r="B178" s="48">
        <f>'Adani Enterprises'!B178</f>
        <v>0</v>
      </c>
      <c r="C178" s="48">
        <f>'Adani Enterprises'!C178</f>
        <v>0</v>
      </c>
      <c r="D178" s="48">
        <f>'Adani Enterprises'!D178</f>
        <v>0</v>
      </c>
      <c r="E178" s="48">
        <f>'Adani Enterprises'!E178</f>
        <v>0</v>
      </c>
      <c r="F178" s="48">
        <f>'Adani Enterprises'!F178</f>
        <v>0</v>
      </c>
      <c r="G178" s="48">
        <f>'Adani Enterprises'!G178</f>
        <v>0</v>
      </c>
      <c r="H178" s="48">
        <f>'Adani Enterprises'!H178</f>
        <v>0</v>
      </c>
      <c r="I178" s="48">
        <f>'Adani Enterprises'!I178</f>
        <v>0</v>
      </c>
      <c r="J178" s="48">
        <f>'Adani Enterprises'!J178</f>
        <v>0</v>
      </c>
      <c r="K178" s="48">
        <f>'Adani Enterprises'!K178</f>
        <v>0</v>
      </c>
      <c r="L178" s="48">
        <f>'Adani Enterprises'!L178</f>
        <v>0</v>
      </c>
      <c r="M178" s="48">
        <f>'Adani Enterprises'!M178</f>
        <v>0</v>
      </c>
      <c r="N178" s="48">
        <f>'Adani Enterprises'!N178</f>
        <v>0</v>
      </c>
      <c r="O178" s="48">
        <f>'Adani Enterprises'!O178</f>
        <v>0</v>
      </c>
      <c r="P178" s="48">
        <f>'Adani Enterprises'!P178</f>
        <v>0</v>
      </c>
      <c r="Q178" s="48">
        <f>'Adani Enterprises'!Q178</f>
        <v>0</v>
      </c>
      <c r="R178" s="48">
        <f>'Adani Enterprises'!R178</f>
        <v>0</v>
      </c>
      <c r="S178" s="48">
        <f>'Adani Enterprises'!S178</f>
        <v>0</v>
      </c>
      <c r="T178" s="48">
        <f>'Adani Enterprises'!T178</f>
        <v>0</v>
      </c>
      <c r="U178" s="48">
        <f>'Adani Enterprises'!U178</f>
        <v>0</v>
      </c>
      <c r="V178" s="48">
        <f>'Adani Enterprises'!V178</f>
        <v>0</v>
      </c>
      <c r="W178" s="48">
        <f>'Adani Enterprises'!W178</f>
        <v>0</v>
      </c>
      <c r="X178" s="48">
        <f>'Adani Enterprises'!X178</f>
        <v>0</v>
      </c>
      <c r="Y178" s="48">
        <f>'Adani Enterprises'!Y178</f>
        <v>0</v>
      </c>
      <c r="Z178" s="48">
        <f>'Adani Enterprises'!Z178</f>
        <v>0</v>
      </c>
      <c r="AA178" s="48">
        <f>'Adani Enterprises'!AA178</f>
        <v>0</v>
      </c>
      <c r="AB178" s="48">
        <f>'Adani Enterprises'!AB178</f>
        <v>0</v>
      </c>
      <c r="AC178" s="48">
        <f>'Adani Enterprises'!AC178</f>
        <v>0</v>
      </c>
      <c r="AD178" s="48">
        <f>'Adani Enterprises'!AD178</f>
        <v>0</v>
      </c>
      <c r="AE178" s="48">
        <f>'Adani Enterprises'!AE178</f>
        <v>0</v>
      </c>
      <c r="AF178" s="48">
        <f>'Adani Enterprises'!AF178</f>
        <v>0</v>
      </c>
      <c r="AG178" s="48">
        <f>'Adani Enterprises'!AG178</f>
        <v>0</v>
      </c>
      <c r="AH178" s="48">
        <f>'Adani Enterprises'!AH178</f>
        <v>0</v>
      </c>
      <c r="AI178" s="48">
        <f>'Adani Enterprises'!AI178</f>
        <v>0</v>
      </c>
      <c r="AJ178" s="48">
        <f>'Adani Enterprises'!AJ178</f>
        <v>0</v>
      </c>
      <c r="AK178" s="48">
        <f>'Adani Enterprises'!AK178</f>
        <v>0</v>
      </c>
      <c r="AL178" s="48">
        <f>'Adani Enterprises'!AL178</f>
        <v>0</v>
      </c>
    </row>
    <row r="179" customHeight="1" spans="1:38">
      <c r="A179" s="48">
        <f>'Adani Enterprises'!A179</f>
        <v>0</v>
      </c>
      <c r="B179" s="48">
        <f>'Adani Enterprises'!B179</f>
        <v>0</v>
      </c>
      <c r="C179" s="48">
        <f>'Adani Enterprises'!C179</f>
        <v>0</v>
      </c>
      <c r="D179" s="48">
        <f>'Adani Enterprises'!D179</f>
        <v>0</v>
      </c>
      <c r="E179" s="48">
        <f>'Adani Enterprises'!E179</f>
        <v>0</v>
      </c>
      <c r="F179" s="48">
        <f>'Adani Enterprises'!F179</f>
        <v>0</v>
      </c>
      <c r="G179" s="48">
        <f>'Adani Enterprises'!G179</f>
        <v>0</v>
      </c>
      <c r="H179" s="48">
        <f>'Adani Enterprises'!H179</f>
        <v>0</v>
      </c>
      <c r="I179" s="48">
        <f>'Adani Enterprises'!I179</f>
        <v>0</v>
      </c>
      <c r="J179" s="48">
        <f>'Adani Enterprises'!J179</f>
        <v>0</v>
      </c>
      <c r="K179" s="48">
        <f>'Adani Enterprises'!K179</f>
        <v>0</v>
      </c>
      <c r="L179" s="48">
        <f>'Adani Enterprises'!L179</f>
        <v>0</v>
      </c>
      <c r="M179" s="48">
        <f>'Adani Enterprises'!M179</f>
        <v>0</v>
      </c>
      <c r="N179" s="48">
        <f>'Adani Enterprises'!N179</f>
        <v>0</v>
      </c>
      <c r="O179" s="48">
        <f>'Adani Enterprises'!O179</f>
        <v>0</v>
      </c>
      <c r="P179" s="48">
        <f>'Adani Enterprises'!P179</f>
        <v>0</v>
      </c>
      <c r="Q179" s="48">
        <f>'Adani Enterprises'!Q179</f>
        <v>0</v>
      </c>
      <c r="R179" s="48">
        <f>'Adani Enterprises'!R179</f>
        <v>0</v>
      </c>
      <c r="S179" s="48">
        <f>'Adani Enterprises'!S179</f>
        <v>0</v>
      </c>
      <c r="T179" s="48">
        <f>'Adani Enterprises'!T179</f>
        <v>0</v>
      </c>
      <c r="U179" s="48">
        <f>'Adani Enterprises'!U179</f>
        <v>0</v>
      </c>
      <c r="V179" s="48">
        <f>'Adani Enterprises'!V179</f>
        <v>0</v>
      </c>
      <c r="W179" s="48">
        <f>'Adani Enterprises'!W179</f>
        <v>0</v>
      </c>
      <c r="X179" s="48">
        <f>'Adani Enterprises'!X179</f>
        <v>0</v>
      </c>
      <c r="Y179" s="48">
        <f>'Adani Enterprises'!Y179</f>
        <v>0</v>
      </c>
      <c r="Z179" s="48">
        <f>'Adani Enterprises'!Z179</f>
        <v>0</v>
      </c>
      <c r="AA179" s="48">
        <f>'Adani Enterprises'!AA179</f>
        <v>0</v>
      </c>
      <c r="AB179" s="48">
        <f>'Adani Enterprises'!AB179</f>
        <v>0</v>
      </c>
      <c r="AC179" s="48">
        <f>'Adani Enterprises'!AC179</f>
        <v>0</v>
      </c>
      <c r="AD179" s="48">
        <f>'Adani Enterprises'!AD179</f>
        <v>0</v>
      </c>
      <c r="AE179" s="48">
        <f>'Adani Enterprises'!AE179</f>
        <v>0</v>
      </c>
      <c r="AF179" s="48">
        <f>'Adani Enterprises'!AF179</f>
        <v>0</v>
      </c>
      <c r="AG179" s="48">
        <f>'Adani Enterprises'!AG179</f>
        <v>0</v>
      </c>
      <c r="AH179" s="48">
        <f>'Adani Enterprises'!AH179</f>
        <v>0</v>
      </c>
      <c r="AI179" s="48">
        <f>'Adani Enterprises'!AI179</f>
        <v>0</v>
      </c>
      <c r="AJ179" s="48">
        <f>'Adani Enterprises'!AJ179</f>
        <v>0</v>
      </c>
      <c r="AK179" s="48">
        <f>'Adani Enterprises'!AK179</f>
        <v>0</v>
      </c>
      <c r="AL179" s="48">
        <f>'Adani Enterprises'!AL179</f>
        <v>0</v>
      </c>
    </row>
    <row r="180" customHeight="1" spans="1:38">
      <c r="A180" s="48">
        <f>'Adani Enterprises'!A180</f>
        <v>0</v>
      </c>
      <c r="B180" s="48">
        <f>'Adani Enterprises'!B180</f>
        <v>0</v>
      </c>
      <c r="C180" s="48">
        <f>'Adani Enterprises'!C180</f>
        <v>0</v>
      </c>
      <c r="D180" s="48">
        <f>'Adani Enterprises'!D180</f>
        <v>0</v>
      </c>
      <c r="E180" s="48">
        <f>'Adani Enterprises'!E180</f>
        <v>0</v>
      </c>
      <c r="F180" s="48">
        <f>'Adani Enterprises'!F180</f>
        <v>0</v>
      </c>
      <c r="G180" s="48">
        <f>'Adani Enterprises'!G180</f>
        <v>0</v>
      </c>
      <c r="H180" s="48">
        <f>'Adani Enterprises'!H180</f>
        <v>0</v>
      </c>
      <c r="I180" s="48">
        <f>'Adani Enterprises'!I180</f>
        <v>0</v>
      </c>
      <c r="J180" s="48">
        <f>'Adani Enterprises'!J180</f>
        <v>0</v>
      </c>
      <c r="K180" s="48">
        <f>'Adani Enterprises'!K180</f>
        <v>0</v>
      </c>
      <c r="L180" s="48">
        <f>'Adani Enterprises'!L180</f>
        <v>0</v>
      </c>
      <c r="M180" s="48">
        <f>'Adani Enterprises'!M180</f>
        <v>0</v>
      </c>
      <c r="N180" s="48">
        <f>'Adani Enterprises'!N180</f>
        <v>0</v>
      </c>
      <c r="O180" s="48">
        <f>'Adani Enterprises'!O180</f>
        <v>0</v>
      </c>
      <c r="P180" s="48">
        <f>'Adani Enterprises'!P180</f>
        <v>0</v>
      </c>
      <c r="Q180" s="48">
        <f>'Adani Enterprises'!Q180</f>
        <v>0</v>
      </c>
      <c r="R180" s="48">
        <f>'Adani Enterprises'!R180</f>
        <v>0</v>
      </c>
      <c r="S180" s="48">
        <f>'Adani Enterprises'!S180</f>
        <v>0</v>
      </c>
      <c r="T180" s="48">
        <f>'Adani Enterprises'!T180</f>
        <v>0</v>
      </c>
      <c r="U180" s="48">
        <f>'Adani Enterprises'!U180</f>
        <v>0</v>
      </c>
      <c r="V180" s="48">
        <f>'Adani Enterprises'!V180</f>
        <v>0</v>
      </c>
      <c r="W180" s="48">
        <f>'Adani Enterprises'!W180</f>
        <v>0</v>
      </c>
      <c r="X180" s="48">
        <f>'Adani Enterprises'!X180</f>
        <v>0</v>
      </c>
      <c r="Y180" s="48">
        <f>'Adani Enterprises'!Y180</f>
        <v>0</v>
      </c>
      <c r="Z180" s="48">
        <f>'Adani Enterprises'!Z180</f>
        <v>0</v>
      </c>
      <c r="AA180" s="48">
        <f>'Adani Enterprises'!AA180</f>
        <v>0</v>
      </c>
      <c r="AB180" s="48">
        <f>'Adani Enterprises'!AB180</f>
        <v>0</v>
      </c>
      <c r="AC180" s="48">
        <f>'Adani Enterprises'!AC180</f>
        <v>0</v>
      </c>
      <c r="AD180" s="48">
        <f>'Adani Enterprises'!AD180</f>
        <v>0</v>
      </c>
      <c r="AE180" s="48">
        <f>'Adani Enterprises'!AE180</f>
        <v>0</v>
      </c>
      <c r="AF180" s="48">
        <f>'Adani Enterprises'!AF180</f>
        <v>0</v>
      </c>
      <c r="AG180" s="48">
        <f>'Adani Enterprises'!AG180</f>
        <v>0</v>
      </c>
      <c r="AH180" s="48">
        <f>'Adani Enterprises'!AH180</f>
        <v>0</v>
      </c>
      <c r="AI180" s="48">
        <f>'Adani Enterprises'!AI180</f>
        <v>0</v>
      </c>
      <c r="AJ180" s="48">
        <f>'Adani Enterprises'!AJ180</f>
        <v>0</v>
      </c>
      <c r="AK180" s="48">
        <f>'Adani Enterprises'!AK180</f>
        <v>0</v>
      </c>
      <c r="AL180" s="48">
        <f>'Adani Enterprises'!AL180</f>
        <v>0</v>
      </c>
    </row>
    <row r="181" customHeight="1" spans="1:38">
      <c r="A181" s="48">
        <f>'Adani Enterprises'!A181</f>
        <v>0</v>
      </c>
      <c r="B181" s="48">
        <f>'Adani Enterprises'!B181</f>
        <v>0</v>
      </c>
      <c r="C181" s="48">
        <f>'Adani Enterprises'!C181</f>
        <v>0</v>
      </c>
      <c r="D181" s="48">
        <f>'Adani Enterprises'!D181</f>
        <v>0</v>
      </c>
      <c r="E181" s="48">
        <f>'Adani Enterprises'!E181</f>
        <v>0</v>
      </c>
      <c r="F181" s="48">
        <f>'Adani Enterprises'!F181</f>
        <v>0</v>
      </c>
      <c r="G181" s="48">
        <f>'Adani Enterprises'!G181</f>
        <v>0</v>
      </c>
      <c r="H181" s="48">
        <f>'Adani Enterprises'!H181</f>
        <v>0</v>
      </c>
      <c r="I181" s="48">
        <f>'Adani Enterprises'!I181</f>
        <v>0</v>
      </c>
      <c r="J181" s="48">
        <f>'Adani Enterprises'!J181</f>
        <v>0</v>
      </c>
      <c r="K181" s="48">
        <f>'Adani Enterprises'!K181</f>
        <v>0</v>
      </c>
      <c r="L181" s="48">
        <f>'Adani Enterprises'!L181</f>
        <v>0</v>
      </c>
      <c r="M181" s="48">
        <f>'Adani Enterprises'!M181</f>
        <v>0</v>
      </c>
      <c r="N181" s="48">
        <f>'Adani Enterprises'!N181</f>
        <v>0</v>
      </c>
      <c r="O181" s="48">
        <f>'Adani Enterprises'!O181</f>
        <v>0</v>
      </c>
      <c r="P181" s="48">
        <f>'Adani Enterprises'!P181</f>
        <v>0</v>
      </c>
      <c r="Q181" s="48">
        <f>'Adani Enterprises'!Q181</f>
        <v>0</v>
      </c>
      <c r="R181" s="48">
        <f>'Adani Enterprises'!R181</f>
        <v>0</v>
      </c>
      <c r="S181" s="48">
        <f>'Adani Enterprises'!S181</f>
        <v>0</v>
      </c>
      <c r="T181" s="48">
        <f>'Adani Enterprises'!T181</f>
        <v>0</v>
      </c>
      <c r="U181" s="48">
        <f>'Adani Enterprises'!U181</f>
        <v>0</v>
      </c>
      <c r="V181" s="48">
        <f>'Adani Enterprises'!V181</f>
        <v>0</v>
      </c>
      <c r="W181" s="48">
        <f>'Adani Enterprises'!W181</f>
        <v>0</v>
      </c>
      <c r="X181" s="48">
        <f>'Adani Enterprises'!X181</f>
        <v>0</v>
      </c>
      <c r="Y181" s="48">
        <f>'Adani Enterprises'!Y181</f>
        <v>0</v>
      </c>
      <c r="Z181" s="48">
        <f>'Adani Enterprises'!Z181</f>
        <v>0</v>
      </c>
      <c r="AA181" s="48">
        <f>'Adani Enterprises'!AA181</f>
        <v>0</v>
      </c>
      <c r="AB181" s="48">
        <f>'Adani Enterprises'!AB181</f>
        <v>0</v>
      </c>
      <c r="AC181" s="48">
        <f>'Adani Enterprises'!AC181</f>
        <v>0</v>
      </c>
      <c r="AD181" s="48">
        <f>'Adani Enterprises'!AD181</f>
        <v>0</v>
      </c>
      <c r="AE181" s="48">
        <f>'Adani Enterprises'!AE181</f>
        <v>0</v>
      </c>
      <c r="AF181" s="48">
        <f>'Adani Enterprises'!AF181</f>
        <v>0</v>
      </c>
      <c r="AG181" s="48">
        <f>'Adani Enterprises'!AG181</f>
        <v>0</v>
      </c>
      <c r="AH181" s="48">
        <f>'Adani Enterprises'!AH181</f>
        <v>0</v>
      </c>
      <c r="AI181" s="48">
        <f>'Adani Enterprises'!AI181</f>
        <v>0</v>
      </c>
      <c r="AJ181" s="48">
        <f>'Adani Enterprises'!AJ181</f>
        <v>0</v>
      </c>
      <c r="AK181" s="48">
        <f>'Adani Enterprises'!AK181</f>
        <v>0</v>
      </c>
      <c r="AL181" s="48">
        <f>'Adani Enterprises'!AL181</f>
        <v>0</v>
      </c>
    </row>
    <row r="182" customHeight="1" spans="1:38">
      <c r="A182" s="48">
        <f>'Adani Enterprises'!A182</f>
        <v>0</v>
      </c>
      <c r="B182" s="48">
        <f>'Adani Enterprises'!B182</f>
        <v>0</v>
      </c>
      <c r="C182" s="48">
        <f>'Adani Enterprises'!C182</f>
        <v>0</v>
      </c>
      <c r="D182" s="48">
        <f>'Adani Enterprises'!D182</f>
        <v>0</v>
      </c>
      <c r="E182" s="48">
        <f>'Adani Enterprises'!E182</f>
        <v>0</v>
      </c>
      <c r="F182" s="48">
        <f>'Adani Enterprises'!F182</f>
        <v>0</v>
      </c>
      <c r="G182" s="48">
        <f>'Adani Enterprises'!G182</f>
        <v>0</v>
      </c>
      <c r="H182" s="48">
        <f>'Adani Enterprises'!H182</f>
        <v>0</v>
      </c>
      <c r="I182" s="48">
        <f>'Adani Enterprises'!I182</f>
        <v>0</v>
      </c>
      <c r="J182" s="48">
        <f>'Adani Enterprises'!J182</f>
        <v>0</v>
      </c>
      <c r="K182" s="48">
        <f>'Adani Enterprises'!K182</f>
        <v>0</v>
      </c>
      <c r="L182" s="48">
        <f>'Adani Enterprises'!L182</f>
        <v>0</v>
      </c>
      <c r="M182" s="48">
        <f>'Adani Enterprises'!M182</f>
        <v>0</v>
      </c>
      <c r="N182" s="48">
        <f>'Adani Enterprises'!N182</f>
        <v>0</v>
      </c>
      <c r="O182" s="48">
        <f>'Adani Enterprises'!O182</f>
        <v>0</v>
      </c>
      <c r="P182" s="48">
        <f>'Adani Enterprises'!P182</f>
        <v>0</v>
      </c>
      <c r="Q182" s="48">
        <f>'Adani Enterprises'!Q182</f>
        <v>0</v>
      </c>
      <c r="R182" s="48">
        <f>'Adani Enterprises'!R182</f>
        <v>0</v>
      </c>
      <c r="S182" s="48">
        <f>'Adani Enterprises'!S182</f>
        <v>0</v>
      </c>
      <c r="T182" s="48">
        <f>'Adani Enterprises'!T182</f>
        <v>0</v>
      </c>
      <c r="U182" s="48">
        <f>'Adani Enterprises'!U182</f>
        <v>0</v>
      </c>
      <c r="V182" s="48">
        <f>'Adani Enterprises'!V182</f>
        <v>0</v>
      </c>
      <c r="W182" s="48">
        <f>'Adani Enterprises'!W182</f>
        <v>0</v>
      </c>
      <c r="X182" s="48">
        <f>'Adani Enterprises'!X182</f>
        <v>0</v>
      </c>
      <c r="Y182" s="48">
        <f>'Adani Enterprises'!Y182</f>
        <v>0</v>
      </c>
      <c r="Z182" s="48">
        <f>'Adani Enterprises'!Z182</f>
        <v>0</v>
      </c>
      <c r="AA182" s="48">
        <f>'Adani Enterprises'!AA182</f>
        <v>0</v>
      </c>
      <c r="AB182" s="48">
        <f>'Adani Enterprises'!AB182</f>
        <v>0</v>
      </c>
      <c r="AC182" s="48">
        <f>'Adani Enterprises'!AC182</f>
        <v>0</v>
      </c>
      <c r="AD182" s="48">
        <f>'Adani Enterprises'!AD182</f>
        <v>0</v>
      </c>
      <c r="AE182" s="48">
        <f>'Adani Enterprises'!AE182</f>
        <v>0</v>
      </c>
      <c r="AF182" s="48">
        <f>'Adani Enterprises'!AF182</f>
        <v>0</v>
      </c>
      <c r="AG182" s="48">
        <f>'Adani Enterprises'!AG182</f>
        <v>0</v>
      </c>
      <c r="AH182" s="48">
        <f>'Adani Enterprises'!AH182</f>
        <v>0</v>
      </c>
      <c r="AI182" s="48">
        <f>'Adani Enterprises'!AI182</f>
        <v>0</v>
      </c>
      <c r="AJ182" s="48">
        <f>'Adani Enterprises'!AJ182</f>
        <v>0</v>
      </c>
      <c r="AK182" s="48">
        <f>'Adani Enterprises'!AK182</f>
        <v>0</v>
      </c>
      <c r="AL182" s="48">
        <f>'Adani Enterprises'!AL182</f>
        <v>0</v>
      </c>
    </row>
    <row r="183" customHeight="1" spans="1:38">
      <c r="A183" s="48">
        <f>'Adani Enterprises'!A183</f>
        <v>0</v>
      </c>
      <c r="B183" s="48">
        <f>'Adani Enterprises'!B183</f>
        <v>0</v>
      </c>
      <c r="C183" s="48">
        <f>'Adani Enterprises'!C183</f>
        <v>0</v>
      </c>
      <c r="D183" s="48">
        <f>'Adani Enterprises'!D183</f>
        <v>0</v>
      </c>
      <c r="E183" s="48">
        <f>'Adani Enterprises'!E183</f>
        <v>0</v>
      </c>
      <c r="F183" s="48">
        <f>'Adani Enterprises'!F183</f>
        <v>0</v>
      </c>
      <c r="G183" s="48">
        <f>'Adani Enterprises'!G183</f>
        <v>0</v>
      </c>
      <c r="H183" s="48">
        <f>'Adani Enterprises'!H183</f>
        <v>0</v>
      </c>
      <c r="I183" s="48">
        <f>'Adani Enterprises'!I183</f>
        <v>0</v>
      </c>
      <c r="J183" s="48">
        <f>'Adani Enterprises'!J183</f>
        <v>0</v>
      </c>
      <c r="K183" s="48">
        <f>'Adani Enterprises'!K183</f>
        <v>0</v>
      </c>
      <c r="L183" s="48">
        <f>'Adani Enterprises'!L183</f>
        <v>0</v>
      </c>
      <c r="M183" s="48">
        <f>'Adani Enterprises'!M183</f>
        <v>0</v>
      </c>
      <c r="N183" s="48">
        <f>'Adani Enterprises'!N183</f>
        <v>0</v>
      </c>
      <c r="O183" s="48">
        <f>'Adani Enterprises'!O183</f>
        <v>0</v>
      </c>
      <c r="P183" s="48">
        <f>'Adani Enterprises'!P183</f>
        <v>0</v>
      </c>
      <c r="Q183" s="48">
        <f>'Adani Enterprises'!Q183</f>
        <v>0</v>
      </c>
      <c r="R183" s="48">
        <f>'Adani Enterprises'!R183</f>
        <v>0</v>
      </c>
      <c r="S183" s="48">
        <f>'Adani Enterprises'!S183</f>
        <v>0</v>
      </c>
      <c r="T183" s="48">
        <f>'Adani Enterprises'!T183</f>
        <v>0</v>
      </c>
      <c r="U183" s="48">
        <f>'Adani Enterprises'!U183</f>
        <v>0</v>
      </c>
      <c r="V183" s="48">
        <f>'Adani Enterprises'!V183</f>
        <v>0</v>
      </c>
      <c r="W183" s="48">
        <f>'Adani Enterprises'!W183</f>
        <v>0</v>
      </c>
      <c r="X183" s="48">
        <f>'Adani Enterprises'!X183</f>
        <v>0</v>
      </c>
      <c r="Y183" s="48">
        <f>'Adani Enterprises'!Y183</f>
        <v>0</v>
      </c>
      <c r="Z183" s="48">
        <f>'Adani Enterprises'!Z183</f>
        <v>0</v>
      </c>
      <c r="AA183" s="48">
        <f>'Adani Enterprises'!AA183</f>
        <v>0</v>
      </c>
      <c r="AB183" s="48">
        <f>'Adani Enterprises'!AB183</f>
        <v>0</v>
      </c>
      <c r="AC183" s="48">
        <f>'Adani Enterprises'!AC183</f>
        <v>0</v>
      </c>
      <c r="AD183" s="48">
        <f>'Adani Enterprises'!AD183</f>
        <v>0</v>
      </c>
      <c r="AE183" s="48">
        <f>'Adani Enterprises'!AE183</f>
        <v>0</v>
      </c>
      <c r="AF183" s="48">
        <f>'Adani Enterprises'!AF183</f>
        <v>0</v>
      </c>
      <c r="AG183" s="48">
        <f>'Adani Enterprises'!AG183</f>
        <v>0</v>
      </c>
      <c r="AH183" s="48">
        <f>'Adani Enterprises'!AH183</f>
        <v>0</v>
      </c>
      <c r="AI183" s="48">
        <f>'Adani Enterprises'!AI183</f>
        <v>0</v>
      </c>
      <c r="AJ183" s="48">
        <f>'Adani Enterprises'!AJ183</f>
        <v>0</v>
      </c>
      <c r="AK183" s="48">
        <f>'Adani Enterprises'!AK183</f>
        <v>0</v>
      </c>
      <c r="AL183" s="48">
        <f>'Adani Enterprises'!AL183</f>
        <v>0</v>
      </c>
    </row>
    <row r="184" customHeight="1" spans="1:38">
      <c r="A184" s="48">
        <f>'Adani Enterprises'!A184</f>
        <v>0</v>
      </c>
      <c r="B184" s="48">
        <f>'Adani Enterprises'!B184</f>
        <v>0</v>
      </c>
      <c r="C184" s="48">
        <f>'Adani Enterprises'!C184</f>
        <v>0</v>
      </c>
      <c r="D184" s="48">
        <f>'Adani Enterprises'!D184</f>
        <v>0</v>
      </c>
      <c r="E184" s="48">
        <f>'Adani Enterprises'!E184</f>
        <v>0</v>
      </c>
      <c r="F184" s="48">
        <f>'Adani Enterprises'!F184</f>
        <v>0</v>
      </c>
      <c r="G184" s="48">
        <f>'Adani Enterprises'!G184</f>
        <v>0</v>
      </c>
      <c r="H184" s="48">
        <f>'Adani Enterprises'!H184</f>
        <v>0</v>
      </c>
      <c r="I184" s="48">
        <f>'Adani Enterprises'!I184</f>
        <v>0</v>
      </c>
      <c r="J184" s="48">
        <f>'Adani Enterprises'!J184</f>
        <v>0</v>
      </c>
      <c r="K184" s="48">
        <f>'Adani Enterprises'!K184</f>
        <v>0</v>
      </c>
      <c r="L184" s="48">
        <f>'Adani Enterprises'!L184</f>
        <v>0</v>
      </c>
      <c r="M184" s="48">
        <f>'Adani Enterprises'!M184</f>
        <v>0</v>
      </c>
      <c r="N184" s="48">
        <f>'Adani Enterprises'!N184</f>
        <v>0</v>
      </c>
      <c r="O184" s="48">
        <f>'Adani Enterprises'!O184</f>
        <v>0</v>
      </c>
      <c r="P184" s="48">
        <f>'Adani Enterprises'!P184</f>
        <v>0</v>
      </c>
      <c r="Q184" s="48">
        <f>'Adani Enterprises'!Q184</f>
        <v>0</v>
      </c>
      <c r="R184" s="48">
        <f>'Adani Enterprises'!R184</f>
        <v>0</v>
      </c>
      <c r="S184" s="48">
        <f>'Adani Enterprises'!S184</f>
        <v>0</v>
      </c>
      <c r="T184" s="48">
        <f>'Adani Enterprises'!T184</f>
        <v>0</v>
      </c>
      <c r="U184" s="48">
        <f>'Adani Enterprises'!U184</f>
        <v>0</v>
      </c>
      <c r="V184" s="48">
        <f>'Adani Enterprises'!V184</f>
        <v>0</v>
      </c>
      <c r="W184" s="48">
        <f>'Adani Enterprises'!W184</f>
        <v>0</v>
      </c>
      <c r="X184" s="48">
        <f>'Adani Enterprises'!X184</f>
        <v>0</v>
      </c>
      <c r="Y184" s="48">
        <f>'Adani Enterprises'!Y184</f>
        <v>0</v>
      </c>
      <c r="Z184" s="48">
        <f>'Adani Enterprises'!Z184</f>
        <v>0</v>
      </c>
      <c r="AA184" s="48">
        <f>'Adani Enterprises'!AA184</f>
        <v>0</v>
      </c>
      <c r="AB184" s="48">
        <f>'Adani Enterprises'!AB184</f>
        <v>0</v>
      </c>
      <c r="AC184" s="48">
        <f>'Adani Enterprises'!AC184</f>
        <v>0</v>
      </c>
      <c r="AD184" s="48">
        <f>'Adani Enterprises'!AD184</f>
        <v>0</v>
      </c>
      <c r="AE184" s="48">
        <f>'Adani Enterprises'!AE184</f>
        <v>0</v>
      </c>
      <c r="AF184" s="48">
        <f>'Adani Enterprises'!AF184</f>
        <v>0</v>
      </c>
      <c r="AG184" s="48">
        <f>'Adani Enterprises'!AG184</f>
        <v>0</v>
      </c>
      <c r="AH184" s="48">
        <f>'Adani Enterprises'!AH184</f>
        <v>0</v>
      </c>
      <c r="AI184" s="48">
        <f>'Adani Enterprises'!AI184</f>
        <v>0</v>
      </c>
      <c r="AJ184" s="48">
        <f>'Adani Enterprises'!AJ184</f>
        <v>0</v>
      </c>
      <c r="AK184" s="48">
        <f>'Adani Enterprises'!AK184</f>
        <v>0</v>
      </c>
      <c r="AL184" s="48">
        <f>'Adani Enterprises'!AL184</f>
        <v>0</v>
      </c>
    </row>
    <row r="185" customHeight="1" spans="1:38">
      <c r="A185" s="48">
        <f>'Adani Enterprises'!A185</f>
        <v>0</v>
      </c>
      <c r="B185" s="48">
        <f>'Adani Enterprises'!B185</f>
        <v>0</v>
      </c>
      <c r="C185" s="48">
        <f>'Adani Enterprises'!C185</f>
        <v>0</v>
      </c>
      <c r="D185" s="48">
        <f>'Adani Enterprises'!D185</f>
        <v>0</v>
      </c>
      <c r="E185" s="48">
        <f>'Adani Enterprises'!E185</f>
        <v>0</v>
      </c>
      <c r="F185" s="48">
        <f>'Adani Enterprises'!F185</f>
        <v>0</v>
      </c>
      <c r="G185" s="48">
        <f>'Adani Enterprises'!G185</f>
        <v>0</v>
      </c>
      <c r="H185" s="48">
        <f>'Adani Enterprises'!H185</f>
        <v>0</v>
      </c>
      <c r="I185" s="48">
        <f>'Adani Enterprises'!I185</f>
        <v>0</v>
      </c>
      <c r="J185" s="48">
        <f>'Adani Enterprises'!J185</f>
        <v>0</v>
      </c>
      <c r="K185" s="48">
        <f>'Adani Enterprises'!K185</f>
        <v>0</v>
      </c>
      <c r="L185" s="48">
        <f>'Adani Enterprises'!L185</f>
        <v>0</v>
      </c>
      <c r="M185" s="48">
        <f>'Adani Enterprises'!M185</f>
        <v>0</v>
      </c>
      <c r="N185" s="48">
        <f>'Adani Enterprises'!N185</f>
        <v>0</v>
      </c>
      <c r="O185" s="48">
        <f>'Adani Enterprises'!O185</f>
        <v>0</v>
      </c>
      <c r="P185" s="48">
        <f>'Adani Enterprises'!P185</f>
        <v>0</v>
      </c>
      <c r="Q185" s="48">
        <f>'Adani Enterprises'!Q185</f>
        <v>0</v>
      </c>
      <c r="R185" s="48">
        <f>'Adani Enterprises'!R185</f>
        <v>0</v>
      </c>
      <c r="S185" s="48">
        <f>'Adani Enterprises'!S185</f>
        <v>0</v>
      </c>
      <c r="T185" s="48">
        <f>'Adani Enterprises'!T185</f>
        <v>0</v>
      </c>
      <c r="U185" s="48">
        <f>'Adani Enterprises'!U185</f>
        <v>0</v>
      </c>
      <c r="V185" s="48">
        <f>'Adani Enterprises'!V185</f>
        <v>0</v>
      </c>
      <c r="W185" s="48">
        <f>'Adani Enterprises'!W185</f>
        <v>0</v>
      </c>
      <c r="X185" s="48">
        <f>'Adani Enterprises'!X185</f>
        <v>0</v>
      </c>
      <c r="Y185" s="48">
        <f>'Adani Enterprises'!Y185</f>
        <v>0</v>
      </c>
      <c r="Z185" s="48">
        <f>'Adani Enterprises'!Z185</f>
        <v>0</v>
      </c>
      <c r="AA185" s="48">
        <f>'Adani Enterprises'!AA185</f>
        <v>0</v>
      </c>
      <c r="AB185" s="48">
        <f>'Adani Enterprises'!AB185</f>
        <v>0</v>
      </c>
      <c r="AC185" s="48">
        <f>'Adani Enterprises'!AC185</f>
        <v>0</v>
      </c>
      <c r="AD185" s="48">
        <f>'Adani Enterprises'!AD185</f>
        <v>0</v>
      </c>
      <c r="AE185" s="48">
        <f>'Adani Enterprises'!AE185</f>
        <v>0</v>
      </c>
      <c r="AF185" s="48">
        <f>'Adani Enterprises'!AF185</f>
        <v>0</v>
      </c>
      <c r="AG185" s="48">
        <f>'Adani Enterprises'!AG185</f>
        <v>0</v>
      </c>
      <c r="AH185" s="48">
        <f>'Adani Enterprises'!AH185</f>
        <v>0</v>
      </c>
      <c r="AI185" s="48">
        <f>'Adani Enterprises'!AI185</f>
        <v>0</v>
      </c>
      <c r="AJ185" s="48">
        <f>'Adani Enterprises'!AJ185</f>
        <v>0</v>
      </c>
      <c r="AK185" s="48">
        <f>'Adani Enterprises'!AK185</f>
        <v>0</v>
      </c>
      <c r="AL185" s="48">
        <f>'Adani Enterprises'!AL185</f>
        <v>0</v>
      </c>
    </row>
    <row r="186" customHeight="1" spans="1:38">
      <c r="A186" s="48">
        <f>'Adani Enterprises'!A186</f>
        <v>0</v>
      </c>
      <c r="B186" s="48">
        <f>'Adani Enterprises'!B186</f>
        <v>0</v>
      </c>
      <c r="C186" s="48">
        <f>'Adani Enterprises'!C186</f>
        <v>0</v>
      </c>
      <c r="D186" s="48">
        <f>'Adani Enterprises'!D186</f>
        <v>0</v>
      </c>
      <c r="E186" s="48">
        <f>'Adani Enterprises'!E186</f>
        <v>0</v>
      </c>
      <c r="F186" s="48">
        <f>'Adani Enterprises'!F186</f>
        <v>0</v>
      </c>
      <c r="G186" s="48">
        <f>'Adani Enterprises'!G186</f>
        <v>0</v>
      </c>
      <c r="H186" s="48">
        <f>'Adani Enterprises'!H186</f>
        <v>0</v>
      </c>
      <c r="I186" s="48">
        <f>'Adani Enterprises'!I186</f>
        <v>0</v>
      </c>
      <c r="J186" s="48">
        <f>'Adani Enterprises'!J186</f>
        <v>0</v>
      </c>
      <c r="K186" s="48">
        <f>'Adani Enterprises'!K186</f>
        <v>0</v>
      </c>
      <c r="L186" s="48">
        <f>'Adani Enterprises'!L186</f>
        <v>0</v>
      </c>
      <c r="M186" s="48">
        <f>'Adani Enterprises'!M186</f>
        <v>0</v>
      </c>
      <c r="N186" s="48">
        <f>'Adani Enterprises'!N186</f>
        <v>0</v>
      </c>
      <c r="O186" s="48">
        <f>'Adani Enterprises'!O186</f>
        <v>0</v>
      </c>
      <c r="P186" s="48">
        <f>'Adani Enterprises'!P186</f>
        <v>0</v>
      </c>
      <c r="Q186" s="48">
        <f>'Adani Enterprises'!Q186</f>
        <v>0</v>
      </c>
      <c r="R186" s="48">
        <f>'Adani Enterprises'!R186</f>
        <v>0</v>
      </c>
      <c r="S186" s="48">
        <f>'Adani Enterprises'!S186</f>
        <v>0</v>
      </c>
      <c r="T186" s="48">
        <f>'Adani Enterprises'!T186</f>
        <v>0</v>
      </c>
      <c r="U186" s="48">
        <f>'Adani Enterprises'!U186</f>
        <v>0</v>
      </c>
      <c r="V186" s="48">
        <f>'Adani Enterprises'!V186</f>
        <v>0</v>
      </c>
      <c r="W186" s="48">
        <f>'Adani Enterprises'!W186</f>
        <v>0</v>
      </c>
      <c r="X186" s="48">
        <f>'Adani Enterprises'!X186</f>
        <v>0</v>
      </c>
      <c r="Y186" s="48">
        <f>'Adani Enterprises'!Y186</f>
        <v>0</v>
      </c>
      <c r="Z186" s="48">
        <f>'Adani Enterprises'!Z186</f>
        <v>0</v>
      </c>
      <c r="AA186" s="48">
        <f>'Adani Enterprises'!AA186</f>
        <v>0</v>
      </c>
      <c r="AB186" s="48">
        <f>'Adani Enterprises'!AB186</f>
        <v>0</v>
      </c>
      <c r="AC186" s="48">
        <f>'Adani Enterprises'!AC186</f>
        <v>0</v>
      </c>
      <c r="AD186" s="48">
        <f>'Adani Enterprises'!AD186</f>
        <v>0</v>
      </c>
      <c r="AE186" s="48">
        <f>'Adani Enterprises'!AE186</f>
        <v>0</v>
      </c>
      <c r="AF186" s="48">
        <f>'Adani Enterprises'!AF186</f>
        <v>0</v>
      </c>
      <c r="AG186" s="48">
        <f>'Adani Enterprises'!AG186</f>
        <v>0</v>
      </c>
      <c r="AH186" s="48">
        <f>'Adani Enterprises'!AH186</f>
        <v>0</v>
      </c>
      <c r="AI186" s="48">
        <f>'Adani Enterprises'!AI186</f>
        <v>0</v>
      </c>
      <c r="AJ186" s="48">
        <f>'Adani Enterprises'!AJ186</f>
        <v>0</v>
      </c>
      <c r="AK186" s="48">
        <f>'Adani Enterprises'!AK186</f>
        <v>0</v>
      </c>
      <c r="AL186" s="48">
        <f>'Adani Enterprises'!AL186</f>
        <v>0</v>
      </c>
    </row>
    <row r="187" customHeight="1" spans="1:38">
      <c r="A187" s="48">
        <f>'Adani Enterprises'!A187</f>
        <v>0</v>
      </c>
      <c r="B187" s="48">
        <f>'Adani Enterprises'!B187</f>
        <v>0</v>
      </c>
      <c r="C187" s="48">
        <f>'Adani Enterprises'!C187</f>
        <v>0</v>
      </c>
      <c r="D187" s="48">
        <f>'Adani Enterprises'!D187</f>
        <v>0</v>
      </c>
      <c r="E187" s="48">
        <f>'Adani Enterprises'!E187</f>
        <v>0</v>
      </c>
      <c r="F187" s="48">
        <f>'Adani Enterprises'!F187</f>
        <v>0</v>
      </c>
      <c r="G187" s="48">
        <f>'Adani Enterprises'!G187</f>
        <v>0</v>
      </c>
      <c r="H187" s="48">
        <f>'Adani Enterprises'!H187</f>
        <v>0</v>
      </c>
      <c r="I187" s="48">
        <f>'Adani Enterprises'!I187</f>
        <v>0</v>
      </c>
      <c r="J187" s="48">
        <f>'Adani Enterprises'!J187</f>
        <v>0</v>
      </c>
      <c r="K187" s="48">
        <f>'Adani Enterprises'!K187</f>
        <v>0</v>
      </c>
      <c r="L187" s="48">
        <f>'Adani Enterprises'!L187</f>
        <v>0</v>
      </c>
      <c r="M187" s="48">
        <f>'Adani Enterprises'!M187</f>
        <v>0</v>
      </c>
      <c r="N187" s="48">
        <f>'Adani Enterprises'!N187</f>
        <v>0</v>
      </c>
      <c r="O187" s="48">
        <f>'Adani Enterprises'!O187</f>
        <v>0</v>
      </c>
      <c r="P187" s="48">
        <f>'Adani Enterprises'!P187</f>
        <v>0</v>
      </c>
      <c r="Q187" s="48">
        <f>'Adani Enterprises'!Q187</f>
        <v>0</v>
      </c>
      <c r="R187" s="48">
        <f>'Adani Enterprises'!R187</f>
        <v>0</v>
      </c>
      <c r="S187" s="48">
        <f>'Adani Enterprises'!S187</f>
        <v>0</v>
      </c>
      <c r="T187" s="48">
        <f>'Adani Enterprises'!T187</f>
        <v>0</v>
      </c>
      <c r="U187" s="48">
        <f>'Adani Enterprises'!U187</f>
        <v>0</v>
      </c>
      <c r="V187" s="48">
        <f>'Adani Enterprises'!V187</f>
        <v>0</v>
      </c>
      <c r="W187" s="48">
        <f>'Adani Enterprises'!W187</f>
        <v>0</v>
      </c>
      <c r="X187" s="48">
        <f>'Adani Enterprises'!X187</f>
        <v>0</v>
      </c>
      <c r="Y187" s="48">
        <f>'Adani Enterprises'!Y187</f>
        <v>0</v>
      </c>
      <c r="Z187" s="48">
        <f>'Adani Enterprises'!Z187</f>
        <v>0</v>
      </c>
      <c r="AA187" s="48">
        <f>'Adani Enterprises'!AA187</f>
        <v>0</v>
      </c>
      <c r="AB187" s="48">
        <f>'Adani Enterprises'!AB187</f>
        <v>0</v>
      </c>
      <c r="AC187" s="48">
        <f>'Adani Enterprises'!AC187</f>
        <v>0</v>
      </c>
      <c r="AD187" s="48">
        <f>'Adani Enterprises'!AD187</f>
        <v>0</v>
      </c>
      <c r="AE187" s="48">
        <f>'Adani Enterprises'!AE187</f>
        <v>0</v>
      </c>
      <c r="AF187" s="48">
        <f>'Adani Enterprises'!AF187</f>
        <v>0</v>
      </c>
      <c r="AG187" s="48">
        <f>'Adani Enterprises'!AG187</f>
        <v>0</v>
      </c>
      <c r="AH187" s="48">
        <f>'Adani Enterprises'!AH187</f>
        <v>0</v>
      </c>
      <c r="AI187" s="48">
        <f>'Adani Enterprises'!AI187</f>
        <v>0</v>
      </c>
      <c r="AJ187" s="48">
        <f>'Adani Enterprises'!AJ187</f>
        <v>0</v>
      </c>
      <c r="AK187" s="48">
        <f>'Adani Enterprises'!AK187</f>
        <v>0</v>
      </c>
      <c r="AL187" s="48">
        <f>'Adani Enterprises'!AL187</f>
        <v>0</v>
      </c>
    </row>
    <row r="188" customHeight="1" spans="1:38">
      <c r="A188" s="48">
        <f>'Adani Enterprises'!A188</f>
        <v>0</v>
      </c>
      <c r="B188" s="48">
        <f>'Adani Enterprises'!B188</f>
        <v>0</v>
      </c>
      <c r="C188" s="48">
        <f>'Adani Enterprises'!C188</f>
        <v>0</v>
      </c>
      <c r="D188" s="48">
        <f>'Adani Enterprises'!D188</f>
        <v>0</v>
      </c>
      <c r="E188" s="48">
        <f>'Adani Enterprises'!E188</f>
        <v>0</v>
      </c>
      <c r="F188" s="48">
        <f>'Adani Enterprises'!F188</f>
        <v>0</v>
      </c>
      <c r="G188" s="48">
        <f>'Adani Enterprises'!G188</f>
        <v>0</v>
      </c>
      <c r="H188" s="48">
        <f>'Adani Enterprises'!H188</f>
        <v>0</v>
      </c>
      <c r="I188" s="48">
        <f>'Adani Enterprises'!I188</f>
        <v>0</v>
      </c>
      <c r="J188" s="48">
        <f>'Adani Enterprises'!J188</f>
        <v>0</v>
      </c>
      <c r="K188" s="48">
        <f>'Adani Enterprises'!K188</f>
        <v>0</v>
      </c>
      <c r="L188" s="48">
        <f>'Adani Enterprises'!L188</f>
        <v>0</v>
      </c>
      <c r="M188" s="48">
        <f>'Adani Enterprises'!M188</f>
        <v>0</v>
      </c>
      <c r="N188" s="48">
        <f>'Adani Enterprises'!N188</f>
        <v>0</v>
      </c>
      <c r="O188" s="48">
        <f>'Adani Enterprises'!O188</f>
        <v>0</v>
      </c>
      <c r="P188" s="48">
        <f>'Adani Enterprises'!P188</f>
        <v>0</v>
      </c>
      <c r="Q188" s="48">
        <f>'Adani Enterprises'!Q188</f>
        <v>0</v>
      </c>
      <c r="R188" s="48">
        <f>'Adani Enterprises'!R188</f>
        <v>0</v>
      </c>
      <c r="S188" s="48">
        <f>'Adani Enterprises'!S188</f>
        <v>0</v>
      </c>
      <c r="T188" s="48">
        <f>'Adani Enterprises'!T188</f>
        <v>0</v>
      </c>
      <c r="U188" s="48">
        <f>'Adani Enterprises'!U188</f>
        <v>0</v>
      </c>
      <c r="V188" s="48">
        <f>'Adani Enterprises'!V188</f>
        <v>0</v>
      </c>
      <c r="W188" s="48">
        <f>'Adani Enterprises'!W188</f>
        <v>0</v>
      </c>
      <c r="X188" s="48">
        <f>'Adani Enterprises'!X188</f>
        <v>0</v>
      </c>
      <c r="Y188" s="48">
        <f>'Adani Enterprises'!Y188</f>
        <v>0</v>
      </c>
      <c r="Z188" s="48">
        <f>'Adani Enterprises'!Z188</f>
        <v>0</v>
      </c>
      <c r="AA188" s="48">
        <f>'Adani Enterprises'!AA188</f>
        <v>0</v>
      </c>
      <c r="AB188" s="48">
        <f>'Adani Enterprises'!AB188</f>
        <v>0</v>
      </c>
      <c r="AC188" s="48">
        <f>'Adani Enterprises'!AC188</f>
        <v>0</v>
      </c>
      <c r="AD188" s="48">
        <f>'Adani Enterprises'!AD188</f>
        <v>0</v>
      </c>
      <c r="AE188" s="48">
        <f>'Adani Enterprises'!AE188</f>
        <v>0</v>
      </c>
      <c r="AF188" s="48">
        <f>'Adani Enterprises'!AF188</f>
        <v>0</v>
      </c>
      <c r="AG188" s="48">
        <f>'Adani Enterprises'!AG188</f>
        <v>0</v>
      </c>
      <c r="AH188" s="48">
        <f>'Adani Enterprises'!AH188</f>
        <v>0</v>
      </c>
      <c r="AI188" s="48">
        <f>'Adani Enterprises'!AI188</f>
        <v>0</v>
      </c>
      <c r="AJ188" s="48">
        <f>'Adani Enterprises'!AJ188</f>
        <v>0</v>
      </c>
      <c r="AK188" s="48">
        <f>'Adani Enterprises'!AK188</f>
        <v>0</v>
      </c>
      <c r="AL188" s="48">
        <f>'Adani Enterprises'!AL188</f>
        <v>0</v>
      </c>
    </row>
    <row r="189" customHeight="1" spans="1:38">
      <c r="A189" s="48">
        <f>'Adani Enterprises'!A189</f>
        <v>0</v>
      </c>
      <c r="B189" s="48">
        <f>'Adani Enterprises'!B189</f>
        <v>0</v>
      </c>
      <c r="C189" s="48">
        <f>'Adani Enterprises'!C189</f>
        <v>0</v>
      </c>
      <c r="D189" s="48">
        <f>'Adani Enterprises'!D189</f>
        <v>0</v>
      </c>
      <c r="E189" s="48">
        <f>'Adani Enterprises'!E189</f>
        <v>0</v>
      </c>
      <c r="F189" s="48">
        <f>'Adani Enterprises'!F189</f>
        <v>0</v>
      </c>
      <c r="G189" s="48">
        <f>'Adani Enterprises'!G189</f>
        <v>0</v>
      </c>
      <c r="H189" s="48">
        <f>'Adani Enterprises'!H189</f>
        <v>0</v>
      </c>
      <c r="I189" s="48">
        <f>'Adani Enterprises'!I189</f>
        <v>0</v>
      </c>
      <c r="J189" s="48">
        <f>'Adani Enterprises'!J189</f>
        <v>0</v>
      </c>
      <c r="K189" s="48">
        <f>'Adani Enterprises'!K189</f>
        <v>0</v>
      </c>
      <c r="L189" s="48">
        <f>'Adani Enterprises'!L189</f>
        <v>0</v>
      </c>
      <c r="M189" s="48">
        <f>'Adani Enterprises'!M189</f>
        <v>0</v>
      </c>
      <c r="N189" s="48">
        <f>'Adani Enterprises'!N189</f>
        <v>0</v>
      </c>
      <c r="O189" s="48">
        <f>'Adani Enterprises'!O189</f>
        <v>0</v>
      </c>
      <c r="P189" s="48">
        <f>'Adani Enterprises'!P189</f>
        <v>0</v>
      </c>
      <c r="Q189" s="48">
        <f>'Adani Enterprises'!Q189</f>
        <v>0</v>
      </c>
      <c r="R189" s="48">
        <f>'Adani Enterprises'!R189</f>
        <v>0</v>
      </c>
      <c r="S189" s="48">
        <f>'Adani Enterprises'!S189</f>
        <v>0</v>
      </c>
      <c r="T189" s="48">
        <f>'Adani Enterprises'!T189</f>
        <v>0</v>
      </c>
      <c r="U189" s="48">
        <f>'Adani Enterprises'!U189</f>
        <v>0</v>
      </c>
      <c r="V189" s="48">
        <f>'Adani Enterprises'!V189</f>
        <v>0</v>
      </c>
      <c r="W189" s="48">
        <f>'Adani Enterprises'!W189</f>
        <v>0</v>
      </c>
      <c r="X189" s="48">
        <f>'Adani Enterprises'!X189</f>
        <v>0</v>
      </c>
      <c r="Y189" s="48">
        <f>'Adani Enterprises'!Y189</f>
        <v>0</v>
      </c>
      <c r="Z189" s="48">
        <f>'Adani Enterprises'!Z189</f>
        <v>0</v>
      </c>
      <c r="AA189" s="48">
        <f>'Adani Enterprises'!AA189</f>
        <v>0</v>
      </c>
      <c r="AB189" s="48">
        <f>'Adani Enterprises'!AB189</f>
        <v>0</v>
      </c>
      <c r="AC189" s="48">
        <f>'Adani Enterprises'!AC189</f>
        <v>0</v>
      </c>
      <c r="AD189" s="48">
        <f>'Adani Enterprises'!AD189</f>
        <v>0</v>
      </c>
      <c r="AE189" s="48">
        <f>'Adani Enterprises'!AE189</f>
        <v>0</v>
      </c>
      <c r="AF189" s="48">
        <f>'Adani Enterprises'!AF189</f>
        <v>0</v>
      </c>
      <c r="AG189" s="48">
        <f>'Adani Enterprises'!AG189</f>
        <v>0</v>
      </c>
      <c r="AH189" s="48">
        <f>'Adani Enterprises'!AH189</f>
        <v>0</v>
      </c>
      <c r="AI189" s="48">
        <f>'Adani Enterprises'!AI189</f>
        <v>0</v>
      </c>
      <c r="AJ189" s="48">
        <f>'Adani Enterprises'!AJ189</f>
        <v>0</v>
      </c>
      <c r="AK189" s="48">
        <f>'Adani Enterprises'!AK189</f>
        <v>0</v>
      </c>
      <c r="AL189" s="48">
        <f>'Adani Enterprises'!AL189</f>
        <v>0</v>
      </c>
    </row>
    <row r="190" customHeight="1" spans="1:38">
      <c r="A190" s="48">
        <f>'Adani Enterprises'!A190</f>
        <v>0</v>
      </c>
      <c r="B190" s="48">
        <f>'Adani Enterprises'!B190</f>
        <v>0</v>
      </c>
      <c r="C190" s="48">
        <f>'Adani Enterprises'!C190</f>
        <v>0</v>
      </c>
      <c r="D190" s="48">
        <f>'Adani Enterprises'!D190</f>
        <v>0</v>
      </c>
      <c r="E190" s="48">
        <f>'Adani Enterprises'!E190</f>
        <v>0</v>
      </c>
      <c r="F190" s="48">
        <f>'Adani Enterprises'!F190</f>
        <v>0</v>
      </c>
      <c r="G190" s="48">
        <f>'Adani Enterprises'!G190</f>
        <v>0</v>
      </c>
      <c r="H190" s="48">
        <f>'Adani Enterprises'!H190</f>
        <v>0</v>
      </c>
      <c r="I190" s="48">
        <f>'Adani Enterprises'!I190</f>
        <v>0</v>
      </c>
      <c r="J190" s="48">
        <f>'Adani Enterprises'!J190</f>
        <v>0</v>
      </c>
      <c r="K190" s="48">
        <f>'Adani Enterprises'!K190</f>
        <v>0</v>
      </c>
      <c r="L190" s="48">
        <f>'Adani Enterprises'!L190</f>
        <v>0</v>
      </c>
      <c r="M190" s="48">
        <f>'Adani Enterprises'!M190</f>
        <v>0</v>
      </c>
      <c r="N190" s="48">
        <f>'Adani Enterprises'!N190</f>
        <v>0</v>
      </c>
      <c r="O190" s="48">
        <f>'Adani Enterprises'!O190</f>
        <v>0</v>
      </c>
      <c r="P190" s="48">
        <f>'Adani Enterprises'!P190</f>
        <v>0</v>
      </c>
      <c r="Q190" s="48">
        <f>'Adani Enterprises'!Q190</f>
        <v>0</v>
      </c>
      <c r="R190" s="48">
        <f>'Adani Enterprises'!R190</f>
        <v>0</v>
      </c>
      <c r="S190" s="48">
        <f>'Adani Enterprises'!S190</f>
        <v>0</v>
      </c>
      <c r="T190" s="48">
        <f>'Adani Enterprises'!T190</f>
        <v>0</v>
      </c>
      <c r="U190" s="48">
        <f>'Adani Enterprises'!U190</f>
        <v>0</v>
      </c>
      <c r="V190" s="48">
        <f>'Adani Enterprises'!V190</f>
        <v>0</v>
      </c>
      <c r="W190" s="48">
        <f>'Adani Enterprises'!W190</f>
        <v>0</v>
      </c>
      <c r="X190" s="48">
        <f>'Adani Enterprises'!X190</f>
        <v>0</v>
      </c>
      <c r="Y190" s="48">
        <f>'Adani Enterprises'!Y190</f>
        <v>0</v>
      </c>
      <c r="Z190" s="48">
        <f>'Adani Enterprises'!Z190</f>
        <v>0</v>
      </c>
      <c r="AA190" s="48">
        <f>'Adani Enterprises'!AA190</f>
        <v>0</v>
      </c>
      <c r="AB190" s="48">
        <f>'Adani Enterprises'!AB190</f>
        <v>0</v>
      </c>
      <c r="AC190" s="48">
        <f>'Adani Enterprises'!AC190</f>
        <v>0</v>
      </c>
      <c r="AD190" s="48">
        <f>'Adani Enterprises'!AD190</f>
        <v>0</v>
      </c>
      <c r="AE190" s="48">
        <f>'Adani Enterprises'!AE190</f>
        <v>0</v>
      </c>
      <c r="AF190" s="48">
        <f>'Adani Enterprises'!AF190</f>
        <v>0</v>
      </c>
      <c r="AG190" s="48">
        <f>'Adani Enterprises'!AG190</f>
        <v>0</v>
      </c>
      <c r="AH190" s="48">
        <f>'Adani Enterprises'!AH190</f>
        <v>0</v>
      </c>
      <c r="AI190" s="48">
        <f>'Adani Enterprises'!AI190</f>
        <v>0</v>
      </c>
      <c r="AJ190" s="48">
        <f>'Adani Enterprises'!AJ190</f>
        <v>0</v>
      </c>
      <c r="AK190" s="48">
        <f>'Adani Enterprises'!AK190</f>
        <v>0</v>
      </c>
      <c r="AL190" s="48">
        <f>'Adani Enterprises'!AL190</f>
        <v>0</v>
      </c>
    </row>
    <row r="191" customHeight="1" spans="1:38">
      <c r="A191" s="48">
        <f>'Adani Enterprises'!A191</f>
        <v>0</v>
      </c>
      <c r="B191" s="48">
        <f>'Adani Enterprises'!B191</f>
        <v>0</v>
      </c>
      <c r="C191" s="48">
        <f>'Adani Enterprises'!C191</f>
        <v>0</v>
      </c>
      <c r="D191" s="48">
        <f>'Adani Enterprises'!D191</f>
        <v>0</v>
      </c>
      <c r="E191" s="48">
        <f>'Adani Enterprises'!E191</f>
        <v>0</v>
      </c>
      <c r="F191" s="48">
        <f>'Adani Enterprises'!F191</f>
        <v>0</v>
      </c>
      <c r="G191" s="48">
        <f>'Adani Enterprises'!G191</f>
        <v>0</v>
      </c>
      <c r="H191" s="48">
        <f>'Adani Enterprises'!H191</f>
        <v>0</v>
      </c>
      <c r="I191" s="48">
        <f>'Adani Enterprises'!I191</f>
        <v>0</v>
      </c>
      <c r="J191" s="48">
        <f>'Adani Enterprises'!J191</f>
        <v>0</v>
      </c>
      <c r="K191" s="48">
        <f>'Adani Enterprises'!K191</f>
        <v>0</v>
      </c>
      <c r="L191" s="48">
        <f>'Adani Enterprises'!L191</f>
        <v>0</v>
      </c>
      <c r="M191" s="48">
        <f>'Adani Enterprises'!M191</f>
        <v>0</v>
      </c>
      <c r="N191" s="48">
        <f>'Adani Enterprises'!N191</f>
        <v>0</v>
      </c>
      <c r="O191" s="48">
        <f>'Adani Enterprises'!O191</f>
        <v>0</v>
      </c>
      <c r="P191" s="48">
        <f>'Adani Enterprises'!P191</f>
        <v>0</v>
      </c>
      <c r="Q191" s="48">
        <f>'Adani Enterprises'!Q191</f>
        <v>0</v>
      </c>
      <c r="R191" s="48">
        <f>'Adani Enterprises'!R191</f>
        <v>0</v>
      </c>
      <c r="S191" s="48">
        <f>'Adani Enterprises'!S191</f>
        <v>0</v>
      </c>
      <c r="T191" s="48">
        <f>'Adani Enterprises'!T191</f>
        <v>0</v>
      </c>
      <c r="U191" s="48">
        <f>'Adani Enterprises'!U191</f>
        <v>0</v>
      </c>
      <c r="V191" s="48">
        <f>'Adani Enterprises'!V191</f>
        <v>0</v>
      </c>
      <c r="W191" s="48">
        <f>'Adani Enterprises'!W191</f>
        <v>0</v>
      </c>
      <c r="X191" s="48">
        <f>'Adani Enterprises'!X191</f>
        <v>0</v>
      </c>
      <c r="Y191" s="48">
        <f>'Adani Enterprises'!Y191</f>
        <v>0</v>
      </c>
      <c r="Z191" s="48">
        <f>'Adani Enterprises'!Z191</f>
        <v>0</v>
      </c>
      <c r="AA191" s="48">
        <f>'Adani Enterprises'!AA191</f>
        <v>0</v>
      </c>
      <c r="AB191" s="48">
        <f>'Adani Enterprises'!AB191</f>
        <v>0</v>
      </c>
      <c r="AC191" s="48">
        <f>'Adani Enterprises'!AC191</f>
        <v>0</v>
      </c>
      <c r="AD191" s="48">
        <f>'Adani Enterprises'!AD191</f>
        <v>0</v>
      </c>
      <c r="AE191" s="48">
        <f>'Adani Enterprises'!AE191</f>
        <v>0</v>
      </c>
      <c r="AF191" s="48">
        <f>'Adani Enterprises'!AF191</f>
        <v>0</v>
      </c>
      <c r="AG191" s="48">
        <f>'Adani Enterprises'!AG191</f>
        <v>0</v>
      </c>
      <c r="AH191" s="48">
        <f>'Adani Enterprises'!AH191</f>
        <v>0</v>
      </c>
      <c r="AI191" s="48">
        <f>'Adani Enterprises'!AI191</f>
        <v>0</v>
      </c>
      <c r="AJ191" s="48">
        <f>'Adani Enterprises'!AJ191</f>
        <v>0</v>
      </c>
      <c r="AK191" s="48">
        <f>'Adani Enterprises'!AK191</f>
        <v>0</v>
      </c>
      <c r="AL191" s="48">
        <f>'Adani Enterprises'!AL191</f>
        <v>0</v>
      </c>
    </row>
    <row r="192" customHeight="1" spans="1:38">
      <c r="A192" s="48">
        <f>'Adani Enterprises'!A192</f>
        <v>0</v>
      </c>
      <c r="B192" s="48">
        <f>'Adani Enterprises'!B192</f>
        <v>0</v>
      </c>
      <c r="C192" s="48">
        <f>'Adani Enterprises'!C192</f>
        <v>0</v>
      </c>
      <c r="D192" s="48">
        <f>'Adani Enterprises'!D192</f>
        <v>0</v>
      </c>
      <c r="E192" s="48">
        <f>'Adani Enterprises'!E192</f>
        <v>0</v>
      </c>
      <c r="F192" s="48">
        <f>'Adani Enterprises'!F192</f>
        <v>0</v>
      </c>
      <c r="G192" s="48">
        <f>'Adani Enterprises'!G192</f>
        <v>0</v>
      </c>
      <c r="H192" s="48">
        <f>'Adani Enterprises'!H192</f>
        <v>0</v>
      </c>
      <c r="I192" s="48">
        <f>'Adani Enterprises'!I192</f>
        <v>0</v>
      </c>
      <c r="J192" s="48">
        <f>'Adani Enterprises'!J192</f>
        <v>0</v>
      </c>
      <c r="K192" s="48">
        <f>'Adani Enterprises'!K192</f>
        <v>0</v>
      </c>
      <c r="L192" s="48">
        <f>'Adani Enterprises'!L192</f>
        <v>0</v>
      </c>
      <c r="M192" s="48">
        <f>'Adani Enterprises'!M192</f>
        <v>0</v>
      </c>
      <c r="N192" s="48">
        <f>'Adani Enterprises'!N192</f>
        <v>0</v>
      </c>
      <c r="O192" s="48">
        <f>'Adani Enterprises'!O192</f>
        <v>0</v>
      </c>
      <c r="P192" s="48">
        <f>'Adani Enterprises'!P192</f>
        <v>0</v>
      </c>
      <c r="Q192" s="48">
        <f>'Adani Enterprises'!Q192</f>
        <v>0</v>
      </c>
      <c r="R192" s="48">
        <f>'Adani Enterprises'!R192</f>
        <v>0</v>
      </c>
      <c r="S192" s="48">
        <f>'Adani Enterprises'!S192</f>
        <v>0</v>
      </c>
      <c r="T192" s="48">
        <f>'Adani Enterprises'!T192</f>
        <v>0</v>
      </c>
      <c r="U192" s="48">
        <f>'Adani Enterprises'!U192</f>
        <v>0</v>
      </c>
      <c r="V192" s="48">
        <f>'Adani Enterprises'!V192</f>
        <v>0</v>
      </c>
      <c r="W192" s="48">
        <f>'Adani Enterprises'!W192</f>
        <v>0</v>
      </c>
      <c r="X192" s="48">
        <f>'Adani Enterprises'!X192</f>
        <v>0</v>
      </c>
      <c r="Y192" s="48">
        <f>'Adani Enterprises'!Y192</f>
        <v>0</v>
      </c>
      <c r="Z192" s="48">
        <f>'Adani Enterprises'!Z192</f>
        <v>0</v>
      </c>
      <c r="AA192" s="48">
        <f>'Adani Enterprises'!AA192</f>
        <v>0</v>
      </c>
      <c r="AB192" s="48">
        <f>'Adani Enterprises'!AB192</f>
        <v>0</v>
      </c>
      <c r="AC192" s="48">
        <f>'Adani Enterprises'!AC192</f>
        <v>0</v>
      </c>
      <c r="AD192" s="48">
        <f>'Adani Enterprises'!AD192</f>
        <v>0</v>
      </c>
      <c r="AE192" s="48">
        <f>'Adani Enterprises'!AE192</f>
        <v>0</v>
      </c>
      <c r="AF192" s="48">
        <f>'Adani Enterprises'!AF192</f>
        <v>0</v>
      </c>
      <c r="AG192" s="48">
        <f>'Adani Enterprises'!AG192</f>
        <v>0</v>
      </c>
      <c r="AH192" s="48">
        <f>'Adani Enterprises'!AH192</f>
        <v>0</v>
      </c>
      <c r="AI192" s="48">
        <f>'Adani Enterprises'!AI192</f>
        <v>0</v>
      </c>
      <c r="AJ192" s="48">
        <f>'Adani Enterprises'!AJ192</f>
        <v>0</v>
      </c>
      <c r="AK192" s="48">
        <f>'Adani Enterprises'!AK192</f>
        <v>0</v>
      </c>
      <c r="AL192" s="48">
        <f>'Adani Enterprises'!AL192</f>
        <v>0</v>
      </c>
    </row>
    <row r="193" customHeight="1" spans="1:38">
      <c r="A193" s="48">
        <f>'Adani Enterprises'!A193</f>
        <v>0</v>
      </c>
      <c r="B193" s="48">
        <f>'Adani Enterprises'!B193</f>
        <v>0</v>
      </c>
      <c r="C193" s="48">
        <f>'Adani Enterprises'!C193</f>
        <v>0</v>
      </c>
      <c r="D193" s="48">
        <f>'Adani Enterprises'!D193</f>
        <v>0</v>
      </c>
      <c r="E193" s="48">
        <f>'Adani Enterprises'!E193</f>
        <v>0</v>
      </c>
      <c r="F193" s="48">
        <f>'Adani Enterprises'!F193</f>
        <v>0</v>
      </c>
      <c r="G193" s="48">
        <f>'Adani Enterprises'!G193</f>
        <v>0</v>
      </c>
      <c r="H193" s="48">
        <f>'Adani Enterprises'!H193</f>
        <v>0</v>
      </c>
      <c r="I193" s="48">
        <f>'Adani Enterprises'!I193</f>
        <v>0</v>
      </c>
      <c r="J193" s="48">
        <f>'Adani Enterprises'!J193</f>
        <v>0</v>
      </c>
      <c r="K193" s="48">
        <f>'Adani Enterprises'!K193</f>
        <v>0</v>
      </c>
      <c r="L193" s="48">
        <f>'Adani Enterprises'!L193</f>
        <v>0</v>
      </c>
      <c r="M193" s="48">
        <f>'Adani Enterprises'!M193</f>
        <v>0</v>
      </c>
      <c r="N193" s="48">
        <f>'Adani Enterprises'!N193</f>
        <v>0</v>
      </c>
      <c r="O193" s="48">
        <f>'Adani Enterprises'!O193</f>
        <v>0</v>
      </c>
      <c r="P193" s="48">
        <f>'Adani Enterprises'!P193</f>
        <v>0</v>
      </c>
      <c r="Q193" s="48">
        <f>'Adani Enterprises'!Q193</f>
        <v>0</v>
      </c>
      <c r="R193" s="48">
        <f>'Adani Enterprises'!R193</f>
        <v>0</v>
      </c>
      <c r="S193" s="48">
        <f>'Adani Enterprises'!S193</f>
        <v>0</v>
      </c>
      <c r="T193" s="48">
        <f>'Adani Enterprises'!T193</f>
        <v>0</v>
      </c>
      <c r="U193" s="48">
        <f>'Adani Enterprises'!U193</f>
        <v>0</v>
      </c>
      <c r="V193" s="48">
        <f>'Adani Enterprises'!V193</f>
        <v>0</v>
      </c>
      <c r="W193" s="48">
        <f>'Adani Enterprises'!W193</f>
        <v>0</v>
      </c>
      <c r="X193" s="48">
        <f>'Adani Enterprises'!X193</f>
        <v>0</v>
      </c>
      <c r="Y193" s="48">
        <f>'Adani Enterprises'!Y193</f>
        <v>0</v>
      </c>
      <c r="Z193" s="48">
        <f>'Adani Enterprises'!Z193</f>
        <v>0</v>
      </c>
      <c r="AA193" s="48">
        <f>'Adani Enterprises'!AA193</f>
        <v>0</v>
      </c>
      <c r="AB193" s="48">
        <f>'Adani Enterprises'!AB193</f>
        <v>0</v>
      </c>
      <c r="AC193" s="48">
        <f>'Adani Enterprises'!AC193</f>
        <v>0</v>
      </c>
      <c r="AD193" s="48">
        <f>'Adani Enterprises'!AD193</f>
        <v>0</v>
      </c>
      <c r="AE193" s="48">
        <f>'Adani Enterprises'!AE193</f>
        <v>0</v>
      </c>
      <c r="AF193" s="48">
        <f>'Adani Enterprises'!AF193</f>
        <v>0</v>
      </c>
      <c r="AG193" s="48">
        <f>'Adani Enterprises'!AG193</f>
        <v>0</v>
      </c>
      <c r="AH193" s="48">
        <f>'Adani Enterprises'!AH193</f>
        <v>0</v>
      </c>
      <c r="AI193" s="48">
        <f>'Adani Enterprises'!AI193</f>
        <v>0</v>
      </c>
      <c r="AJ193" s="48">
        <f>'Adani Enterprises'!AJ193</f>
        <v>0</v>
      </c>
      <c r="AK193" s="48">
        <f>'Adani Enterprises'!AK193</f>
        <v>0</v>
      </c>
      <c r="AL193" s="48">
        <f>'Adani Enterprises'!AL193</f>
        <v>0</v>
      </c>
    </row>
    <row r="194" customHeight="1" spans="1:38">
      <c r="A194" s="48">
        <f>'Adani Enterprises'!A194</f>
        <v>0</v>
      </c>
      <c r="B194" s="48">
        <f>'Adani Enterprises'!B194</f>
        <v>0</v>
      </c>
      <c r="C194" s="48">
        <f>'Adani Enterprises'!C194</f>
        <v>0</v>
      </c>
      <c r="D194" s="48">
        <f>'Adani Enterprises'!D194</f>
        <v>0</v>
      </c>
      <c r="E194" s="48">
        <f>'Adani Enterprises'!E194</f>
        <v>0</v>
      </c>
      <c r="F194" s="48">
        <f>'Adani Enterprises'!F194</f>
        <v>0</v>
      </c>
      <c r="G194" s="48">
        <f>'Adani Enterprises'!G194</f>
        <v>0</v>
      </c>
      <c r="H194" s="48">
        <f>'Adani Enterprises'!H194</f>
        <v>0</v>
      </c>
      <c r="I194" s="48">
        <f>'Adani Enterprises'!I194</f>
        <v>0</v>
      </c>
      <c r="J194" s="48">
        <f>'Adani Enterprises'!J194</f>
        <v>0</v>
      </c>
      <c r="K194" s="48">
        <f>'Adani Enterprises'!K194</f>
        <v>0</v>
      </c>
      <c r="L194" s="48">
        <f>'Adani Enterprises'!L194</f>
        <v>0</v>
      </c>
      <c r="M194" s="48">
        <f>'Adani Enterprises'!M194</f>
        <v>0</v>
      </c>
      <c r="N194" s="48">
        <f>'Adani Enterprises'!N194</f>
        <v>0</v>
      </c>
      <c r="O194" s="48">
        <f>'Adani Enterprises'!O194</f>
        <v>0</v>
      </c>
      <c r="P194" s="48">
        <f>'Adani Enterprises'!P194</f>
        <v>0</v>
      </c>
      <c r="Q194" s="48">
        <f>'Adani Enterprises'!Q194</f>
        <v>0</v>
      </c>
      <c r="R194" s="48">
        <f>'Adani Enterprises'!R194</f>
        <v>0</v>
      </c>
      <c r="S194" s="48">
        <f>'Adani Enterprises'!S194</f>
        <v>0</v>
      </c>
      <c r="T194" s="48">
        <f>'Adani Enterprises'!T194</f>
        <v>0</v>
      </c>
      <c r="U194" s="48">
        <f>'Adani Enterprises'!U194</f>
        <v>0</v>
      </c>
      <c r="V194" s="48">
        <f>'Adani Enterprises'!V194</f>
        <v>0</v>
      </c>
      <c r="W194" s="48">
        <f>'Adani Enterprises'!W194</f>
        <v>0</v>
      </c>
      <c r="X194" s="48">
        <f>'Adani Enterprises'!X194</f>
        <v>0</v>
      </c>
      <c r="Y194" s="48">
        <f>'Adani Enterprises'!Y194</f>
        <v>0</v>
      </c>
      <c r="Z194" s="48">
        <f>'Adani Enterprises'!Z194</f>
        <v>0</v>
      </c>
      <c r="AA194" s="48">
        <f>'Adani Enterprises'!AA194</f>
        <v>0</v>
      </c>
      <c r="AB194" s="48">
        <f>'Adani Enterprises'!AB194</f>
        <v>0</v>
      </c>
      <c r="AC194" s="48">
        <f>'Adani Enterprises'!AC194</f>
        <v>0</v>
      </c>
      <c r="AD194" s="48">
        <f>'Adani Enterprises'!AD194</f>
        <v>0</v>
      </c>
      <c r="AE194" s="48">
        <f>'Adani Enterprises'!AE194</f>
        <v>0</v>
      </c>
      <c r="AF194" s="48">
        <f>'Adani Enterprises'!AF194</f>
        <v>0</v>
      </c>
      <c r="AG194" s="48">
        <f>'Adani Enterprises'!AG194</f>
        <v>0</v>
      </c>
      <c r="AH194" s="48">
        <f>'Adani Enterprises'!AH194</f>
        <v>0</v>
      </c>
      <c r="AI194" s="48">
        <f>'Adani Enterprises'!AI194</f>
        <v>0</v>
      </c>
      <c r="AJ194" s="48">
        <f>'Adani Enterprises'!AJ194</f>
        <v>0</v>
      </c>
      <c r="AK194" s="48">
        <f>'Adani Enterprises'!AK194</f>
        <v>0</v>
      </c>
      <c r="AL194" s="48">
        <f>'Adani Enterprises'!AL194</f>
        <v>0</v>
      </c>
    </row>
    <row r="195" customHeight="1" spans="1:38">
      <c r="A195" s="48">
        <f>'Adani Enterprises'!A195</f>
        <v>0</v>
      </c>
      <c r="B195" s="48">
        <f>'Adani Enterprises'!B195</f>
        <v>0</v>
      </c>
      <c r="C195" s="48">
        <f>'Adani Enterprises'!C195</f>
        <v>0</v>
      </c>
      <c r="D195" s="48">
        <f>'Adani Enterprises'!D195</f>
        <v>0</v>
      </c>
      <c r="E195" s="48">
        <f>'Adani Enterprises'!E195</f>
        <v>0</v>
      </c>
      <c r="F195" s="48">
        <f>'Adani Enterprises'!F195</f>
        <v>0</v>
      </c>
      <c r="G195" s="48">
        <f>'Adani Enterprises'!G195</f>
        <v>0</v>
      </c>
      <c r="H195" s="48">
        <f>'Adani Enterprises'!H195</f>
        <v>0</v>
      </c>
      <c r="I195" s="48">
        <f>'Adani Enterprises'!I195</f>
        <v>0</v>
      </c>
      <c r="J195" s="48">
        <f>'Adani Enterprises'!J195</f>
        <v>0</v>
      </c>
      <c r="K195" s="48">
        <f>'Adani Enterprises'!K195</f>
        <v>0</v>
      </c>
      <c r="L195" s="48">
        <f>'Adani Enterprises'!L195</f>
        <v>0</v>
      </c>
      <c r="M195" s="48">
        <f>'Adani Enterprises'!M195</f>
        <v>0</v>
      </c>
      <c r="N195" s="48">
        <f>'Adani Enterprises'!N195</f>
        <v>0</v>
      </c>
      <c r="O195" s="48">
        <f>'Adani Enterprises'!O195</f>
        <v>0</v>
      </c>
      <c r="P195" s="48">
        <f>'Adani Enterprises'!P195</f>
        <v>0</v>
      </c>
      <c r="Q195" s="48">
        <f>'Adani Enterprises'!Q195</f>
        <v>0</v>
      </c>
      <c r="R195" s="48">
        <f>'Adani Enterprises'!R195</f>
        <v>0</v>
      </c>
      <c r="S195" s="48">
        <f>'Adani Enterprises'!S195</f>
        <v>0</v>
      </c>
      <c r="T195" s="48">
        <f>'Adani Enterprises'!T195</f>
        <v>0</v>
      </c>
      <c r="U195" s="48">
        <f>'Adani Enterprises'!U195</f>
        <v>0</v>
      </c>
      <c r="V195" s="48">
        <f>'Adani Enterprises'!V195</f>
        <v>0</v>
      </c>
      <c r="W195" s="48">
        <f>'Adani Enterprises'!W195</f>
        <v>0</v>
      </c>
      <c r="X195" s="48">
        <f>'Adani Enterprises'!X195</f>
        <v>0</v>
      </c>
      <c r="Y195" s="48">
        <f>'Adani Enterprises'!Y195</f>
        <v>0</v>
      </c>
      <c r="Z195" s="48">
        <f>'Adani Enterprises'!Z195</f>
        <v>0</v>
      </c>
      <c r="AA195" s="48">
        <f>'Adani Enterprises'!AA195</f>
        <v>0</v>
      </c>
      <c r="AB195" s="48">
        <f>'Adani Enterprises'!AB195</f>
        <v>0</v>
      </c>
      <c r="AC195" s="48">
        <f>'Adani Enterprises'!AC195</f>
        <v>0</v>
      </c>
      <c r="AD195" s="48">
        <f>'Adani Enterprises'!AD195</f>
        <v>0</v>
      </c>
      <c r="AE195" s="48">
        <f>'Adani Enterprises'!AE195</f>
        <v>0</v>
      </c>
      <c r="AF195" s="48">
        <f>'Adani Enterprises'!AF195</f>
        <v>0</v>
      </c>
      <c r="AG195" s="48">
        <f>'Adani Enterprises'!AG195</f>
        <v>0</v>
      </c>
      <c r="AH195" s="48">
        <f>'Adani Enterprises'!AH195</f>
        <v>0</v>
      </c>
      <c r="AI195" s="48">
        <f>'Adani Enterprises'!AI195</f>
        <v>0</v>
      </c>
      <c r="AJ195" s="48">
        <f>'Adani Enterprises'!AJ195</f>
        <v>0</v>
      </c>
      <c r="AK195" s="48">
        <f>'Adani Enterprises'!AK195</f>
        <v>0</v>
      </c>
      <c r="AL195" s="48">
        <f>'Adani Enterprises'!AL195</f>
        <v>0</v>
      </c>
    </row>
    <row r="196" customHeight="1" spans="1:38">
      <c r="A196" s="48">
        <f>'Adani Enterprises'!A196</f>
        <v>0</v>
      </c>
      <c r="B196" s="48">
        <f>'Adani Enterprises'!B196</f>
        <v>0</v>
      </c>
      <c r="C196" s="48">
        <f>'Adani Enterprises'!C196</f>
        <v>0</v>
      </c>
      <c r="D196" s="48">
        <f>'Adani Enterprises'!D196</f>
        <v>0</v>
      </c>
      <c r="E196" s="48">
        <f>'Adani Enterprises'!E196</f>
        <v>0</v>
      </c>
      <c r="F196" s="48">
        <f>'Adani Enterprises'!F196</f>
        <v>0</v>
      </c>
      <c r="G196" s="48">
        <f>'Adani Enterprises'!G196</f>
        <v>0</v>
      </c>
      <c r="H196" s="48">
        <f>'Adani Enterprises'!H196</f>
        <v>0</v>
      </c>
      <c r="I196" s="48">
        <f>'Adani Enterprises'!I196</f>
        <v>0</v>
      </c>
      <c r="J196" s="48">
        <f>'Adani Enterprises'!J196</f>
        <v>0</v>
      </c>
      <c r="K196" s="48">
        <f>'Adani Enterprises'!K196</f>
        <v>0</v>
      </c>
      <c r="L196" s="48">
        <f>'Adani Enterprises'!L196</f>
        <v>0</v>
      </c>
      <c r="M196" s="48">
        <f>'Adani Enterprises'!M196</f>
        <v>0</v>
      </c>
      <c r="N196" s="48">
        <f>'Adani Enterprises'!N196</f>
        <v>0</v>
      </c>
      <c r="O196" s="48">
        <f>'Adani Enterprises'!O196</f>
        <v>0</v>
      </c>
      <c r="P196" s="48">
        <f>'Adani Enterprises'!P196</f>
        <v>0</v>
      </c>
      <c r="Q196" s="48">
        <f>'Adani Enterprises'!Q196</f>
        <v>0</v>
      </c>
      <c r="R196" s="48">
        <f>'Adani Enterprises'!R196</f>
        <v>0</v>
      </c>
      <c r="S196" s="48">
        <f>'Adani Enterprises'!S196</f>
        <v>0</v>
      </c>
      <c r="T196" s="48">
        <f>'Adani Enterprises'!T196</f>
        <v>0</v>
      </c>
      <c r="U196" s="48">
        <f>'Adani Enterprises'!U196</f>
        <v>0</v>
      </c>
      <c r="V196" s="48">
        <f>'Adani Enterprises'!V196</f>
        <v>0</v>
      </c>
      <c r="W196" s="48">
        <f>'Adani Enterprises'!W196</f>
        <v>0</v>
      </c>
      <c r="X196" s="48">
        <f>'Adani Enterprises'!X196</f>
        <v>0</v>
      </c>
      <c r="Y196" s="48">
        <f>'Adani Enterprises'!Y196</f>
        <v>0</v>
      </c>
      <c r="Z196" s="48">
        <f>'Adani Enterprises'!Z196</f>
        <v>0</v>
      </c>
      <c r="AA196" s="48">
        <f>'Adani Enterprises'!AA196</f>
        <v>0</v>
      </c>
      <c r="AB196" s="48">
        <f>'Adani Enterprises'!AB196</f>
        <v>0</v>
      </c>
      <c r="AC196" s="48">
        <f>'Adani Enterprises'!AC196</f>
        <v>0</v>
      </c>
      <c r="AD196" s="48">
        <f>'Adani Enterprises'!AD196</f>
        <v>0</v>
      </c>
      <c r="AE196" s="48">
        <f>'Adani Enterprises'!AE196</f>
        <v>0</v>
      </c>
      <c r="AF196" s="48">
        <f>'Adani Enterprises'!AF196</f>
        <v>0</v>
      </c>
      <c r="AG196" s="48">
        <f>'Adani Enterprises'!AG196</f>
        <v>0</v>
      </c>
      <c r="AH196" s="48">
        <f>'Adani Enterprises'!AH196</f>
        <v>0</v>
      </c>
      <c r="AI196" s="48">
        <f>'Adani Enterprises'!AI196</f>
        <v>0</v>
      </c>
      <c r="AJ196" s="48">
        <f>'Adani Enterprises'!AJ196</f>
        <v>0</v>
      </c>
      <c r="AK196" s="48">
        <f>'Adani Enterprises'!AK196</f>
        <v>0</v>
      </c>
      <c r="AL196" s="48">
        <f>'Adani Enterprises'!AL196</f>
        <v>0</v>
      </c>
    </row>
    <row r="197" customHeight="1" spans="1:38">
      <c r="A197" s="48">
        <f>'Adani Enterprises'!A197</f>
        <v>0</v>
      </c>
      <c r="B197" s="48">
        <f>'Adani Enterprises'!B197</f>
        <v>0</v>
      </c>
      <c r="C197" s="48">
        <f>'Adani Enterprises'!C197</f>
        <v>0</v>
      </c>
      <c r="D197" s="48">
        <f>'Adani Enterprises'!D197</f>
        <v>0</v>
      </c>
      <c r="E197" s="48">
        <f>'Adani Enterprises'!E197</f>
        <v>0</v>
      </c>
      <c r="F197" s="48">
        <f>'Adani Enterprises'!F197</f>
        <v>0</v>
      </c>
      <c r="G197" s="48">
        <f>'Adani Enterprises'!G197</f>
        <v>0</v>
      </c>
      <c r="H197" s="48">
        <f>'Adani Enterprises'!H197</f>
        <v>0</v>
      </c>
      <c r="I197" s="48">
        <f>'Adani Enterprises'!I197</f>
        <v>0</v>
      </c>
      <c r="J197" s="48">
        <f>'Adani Enterprises'!J197</f>
        <v>0</v>
      </c>
      <c r="K197" s="48">
        <f>'Adani Enterprises'!K197</f>
        <v>0</v>
      </c>
      <c r="L197" s="48">
        <f>'Adani Enterprises'!L197</f>
        <v>0</v>
      </c>
      <c r="M197" s="48">
        <f>'Adani Enterprises'!M197</f>
        <v>0</v>
      </c>
      <c r="N197" s="48">
        <f>'Adani Enterprises'!N197</f>
        <v>0</v>
      </c>
      <c r="O197" s="48">
        <f>'Adani Enterprises'!O197</f>
        <v>0</v>
      </c>
      <c r="P197" s="48">
        <f>'Adani Enterprises'!P197</f>
        <v>0</v>
      </c>
      <c r="Q197" s="48">
        <f>'Adani Enterprises'!Q197</f>
        <v>0</v>
      </c>
      <c r="R197" s="48">
        <f>'Adani Enterprises'!R197</f>
        <v>0</v>
      </c>
      <c r="S197" s="48">
        <f>'Adani Enterprises'!S197</f>
        <v>0</v>
      </c>
      <c r="T197" s="48">
        <f>'Adani Enterprises'!T197</f>
        <v>0</v>
      </c>
      <c r="U197" s="48">
        <f>'Adani Enterprises'!U197</f>
        <v>0</v>
      </c>
      <c r="V197" s="48">
        <f>'Adani Enterprises'!V197</f>
        <v>0</v>
      </c>
      <c r="W197" s="48">
        <f>'Adani Enterprises'!W197</f>
        <v>0</v>
      </c>
      <c r="X197" s="48">
        <f>'Adani Enterprises'!X197</f>
        <v>0</v>
      </c>
      <c r="Y197" s="48">
        <f>'Adani Enterprises'!Y197</f>
        <v>0</v>
      </c>
      <c r="Z197" s="48">
        <f>'Adani Enterprises'!Z197</f>
        <v>0</v>
      </c>
      <c r="AA197" s="48">
        <f>'Adani Enterprises'!AA197</f>
        <v>0</v>
      </c>
      <c r="AB197" s="48">
        <f>'Adani Enterprises'!AB197</f>
        <v>0</v>
      </c>
      <c r="AC197" s="48">
        <f>'Adani Enterprises'!AC197</f>
        <v>0</v>
      </c>
      <c r="AD197" s="48">
        <f>'Adani Enterprises'!AD197</f>
        <v>0</v>
      </c>
      <c r="AE197" s="48">
        <f>'Adani Enterprises'!AE197</f>
        <v>0</v>
      </c>
      <c r="AF197" s="48">
        <f>'Adani Enterprises'!AF197</f>
        <v>0</v>
      </c>
      <c r="AG197" s="48">
        <f>'Adani Enterprises'!AG197</f>
        <v>0</v>
      </c>
      <c r="AH197" s="48">
        <f>'Adani Enterprises'!AH197</f>
        <v>0</v>
      </c>
      <c r="AI197" s="48">
        <f>'Adani Enterprises'!AI197</f>
        <v>0</v>
      </c>
      <c r="AJ197" s="48">
        <f>'Adani Enterprises'!AJ197</f>
        <v>0</v>
      </c>
      <c r="AK197" s="48">
        <f>'Adani Enterprises'!AK197</f>
        <v>0</v>
      </c>
      <c r="AL197" s="48">
        <f>'Adani Enterprises'!AL197</f>
        <v>0</v>
      </c>
    </row>
    <row r="198" customHeight="1" spans="1:38">
      <c r="A198" s="48">
        <f>'Adani Enterprises'!A198</f>
        <v>0</v>
      </c>
      <c r="B198" s="48">
        <f>'Adani Enterprises'!B198</f>
        <v>0</v>
      </c>
      <c r="C198" s="48">
        <f>'Adani Enterprises'!C198</f>
        <v>0</v>
      </c>
      <c r="D198" s="48">
        <f>'Adani Enterprises'!D198</f>
        <v>0</v>
      </c>
      <c r="E198" s="48">
        <f>'Adani Enterprises'!E198</f>
        <v>0</v>
      </c>
      <c r="F198" s="48">
        <f>'Adani Enterprises'!F198</f>
        <v>0</v>
      </c>
      <c r="G198" s="48">
        <f>'Adani Enterprises'!G198</f>
        <v>0</v>
      </c>
      <c r="H198" s="48">
        <f>'Adani Enterprises'!H198</f>
        <v>0</v>
      </c>
      <c r="I198" s="48">
        <f>'Adani Enterprises'!I198</f>
        <v>0</v>
      </c>
      <c r="J198" s="48">
        <f>'Adani Enterprises'!J198</f>
        <v>0</v>
      </c>
      <c r="K198" s="48">
        <f>'Adani Enterprises'!K198</f>
        <v>0</v>
      </c>
      <c r="L198" s="48">
        <f>'Adani Enterprises'!L198</f>
        <v>0</v>
      </c>
      <c r="M198" s="48">
        <f>'Adani Enterprises'!M198</f>
        <v>0</v>
      </c>
      <c r="N198" s="48">
        <f>'Adani Enterprises'!N198</f>
        <v>0</v>
      </c>
      <c r="O198" s="48">
        <f>'Adani Enterprises'!O198</f>
        <v>0</v>
      </c>
      <c r="P198" s="48">
        <f>'Adani Enterprises'!P198</f>
        <v>0</v>
      </c>
      <c r="Q198" s="48">
        <f>'Adani Enterprises'!Q198</f>
        <v>0</v>
      </c>
      <c r="R198" s="48">
        <f>'Adani Enterprises'!R198</f>
        <v>0</v>
      </c>
      <c r="S198" s="48">
        <f>'Adani Enterprises'!S198</f>
        <v>0</v>
      </c>
      <c r="T198" s="48">
        <f>'Adani Enterprises'!T198</f>
        <v>0</v>
      </c>
      <c r="U198" s="48">
        <f>'Adani Enterprises'!U198</f>
        <v>0</v>
      </c>
      <c r="V198" s="48">
        <f>'Adani Enterprises'!V198</f>
        <v>0</v>
      </c>
      <c r="W198" s="48">
        <f>'Adani Enterprises'!W198</f>
        <v>0</v>
      </c>
      <c r="X198" s="48">
        <f>'Adani Enterprises'!X198</f>
        <v>0</v>
      </c>
      <c r="Y198" s="48">
        <f>'Adani Enterprises'!Y198</f>
        <v>0</v>
      </c>
      <c r="Z198" s="48">
        <f>'Adani Enterprises'!Z198</f>
        <v>0</v>
      </c>
      <c r="AA198" s="48">
        <f>'Adani Enterprises'!AA198</f>
        <v>0</v>
      </c>
      <c r="AB198" s="48">
        <f>'Adani Enterprises'!AB198</f>
        <v>0</v>
      </c>
      <c r="AC198" s="48">
        <f>'Adani Enterprises'!AC198</f>
        <v>0</v>
      </c>
      <c r="AD198" s="48">
        <f>'Adani Enterprises'!AD198</f>
        <v>0</v>
      </c>
      <c r="AE198" s="48">
        <f>'Adani Enterprises'!AE198</f>
        <v>0</v>
      </c>
      <c r="AF198" s="48">
        <f>'Adani Enterprises'!AF198</f>
        <v>0</v>
      </c>
      <c r="AG198" s="48">
        <f>'Adani Enterprises'!AG198</f>
        <v>0</v>
      </c>
      <c r="AH198" s="48">
        <f>'Adani Enterprises'!AH198</f>
        <v>0</v>
      </c>
      <c r="AI198" s="48">
        <f>'Adani Enterprises'!AI198</f>
        <v>0</v>
      </c>
      <c r="AJ198" s="48">
        <f>'Adani Enterprises'!AJ198</f>
        <v>0</v>
      </c>
      <c r="AK198" s="48">
        <f>'Adani Enterprises'!AK198</f>
        <v>0</v>
      </c>
      <c r="AL198" s="48">
        <f>'Adani Enterprises'!AL198</f>
        <v>0</v>
      </c>
    </row>
    <row r="199" customHeight="1" spans="1:38">
      <c r="A199" s="48">
        <f>'Adani Enterprises'!A199</f>
        <v>0</v>
      </c>
      <c r="B199" s="48">
        <f>'Adani Enterprises'!B199</f>
        <v>0</v>
      </c>
      <c r="C199" s="48">
        <f>'Adani Enterprises'!C199</f>
        <v>0</v>
      </c>
      <c r="D199" s="48">
        <f>'Adani Enterprises'!D199</f>
        <v>0</v>
      </c>
      <c r="E199" s="48">
        <f>'Adani Enterprises'!E199</f>
        <v>0</v>
      </c>
      <c r="F199" s="48">
        <f>'Adani Enterprises'!F199</f>
        <v>0</v>
      </c>
      <c r="G199" s="48">
        <f>'Adani Enterprises'!G199</f>
        <v>0</v>
      </c>
      <c r="H199" s="48">
        <f>'Adani Enterprises'!H199</f>
        <v>0</v>
      </c>
      <c r="I199" s="48">
        <f>'Adani Enterprises'!I199</f>
        <v>0</v>
      </c>
      <c r="J199" s="48">
        <f>'Adani Enterprises'!J199</f>
        <v>0</v>
      </c>
      <c r="K199" s="48">
        <f>'Adani Enterprises'!K199</f>
        <v>0</v>
      </c>
      <c r="L199" s="48">
        <f>'Adani Enterprises'!L199</f>
        <v>0</v>
      </c>
      <c r="M199" s="48">
        <f>'Adani Enterprises'!M199</f>
        <v>0</v>
      </c>
      <c r="N199" s="48">
        <f>'Adani Enterprises'!N199</f>
        <v>0</v>
      </c>
      <c r="O199" s="48">
        <f>'Adani Enterprises'!O199</f>
        <v>0</v>
      </c>
      <c r="P199" s="48">
        <f>'Adani Enterprises'!P199</f>
        <v>0</v>
      </c>
      <c r="Q199" s="48">
        <f>'Adani Enterprises'!Q199</f>
        <v>0</v>
      </c>
      <c r="R199" s="48">
        <f>'Adani Enterprises'!R199</f>
        <v>0</v>
      </c>
      <c r="S199" s="48">
        <f>'Adani Enterprises'!S199</f>
        <v>0</v>
      </c>
      <c r="T199" s="48">
        <f>'Adani Enterprises'!T199</f>
        <v>0</v>
      </c>
      <c r="U199" s="48">
        <f>'Adani Enterprises'!U199</f>
        <v>0</v>
      </c>
      <c r="V199" s="48">
        <f>'Adani Enterprises'!V199</f>
        <v>0</v>
      </c>
      <c r="W199" s="48">
        <f>'Adani Enterprises'!W199</f>
        <v>0</v>
      </c>
      <c r="X199" s="48">
        <f>'Adani Enterprises'!X199</f>
        <v>0</v>
      </c>
      <c r="Y199" s="48">
        <f>'Adani Enterprises'!Y199</f>
        <v>0</v>
      </c>
      <c r="Z199" s="48">
        <f>'Adani Enterprises'!Z199</f>
        <v>0</v>
      </c>
      <c r="AA199" s="48">
        <f>'Adani Enterprises'!AA199</f>
        <v>0</v>
      </c>
      <c r="AB199" s="48">
        <f>'Adani Enterprises'!AB199</f>
        <v>0</v>
      </c>
      <c r="AC199" s="48">
        <f>'Adani Enterprises'!AC199</f>
        <v>0</v>
      </c>
      <c r="AD199" s="48">
        <f>'Adani Enterprises'!AD199</f>
        <v>0</v>
      </c>
      <c r="AE199" s="48">
        <f>'Adani Enterprises'!AE199</f>
        <v>0</v>
      </c>
      <c r="AF199" s="48">
        <f>'Adani Enterprises'!AF199</f>
        <v>0</v>
      </c>
      <c r="AG199" s="48">
        <f>'Adani Enterprises'!AG199</f>
        <v>0</v>
      </c>
      <c r="AH199" s="48">
        <f>'Adani Enterprises'!AH199</f>
        <v>0</v>
      </c>
      <c r="AI199" s="48">
        <f>'Adani Enterprises'!AI199</f>
        <v>0</v>
      </c>
      <c r="AJ199" s="48">
        <f>'Adani Enterprises'!AJ199</f>
        <v>0</v>
      </c>
      <c r="AK199" s="48">
        <f>'Adani Enterprises'!AK199</f>
        <v>0</v>
      </c>
      <c r="AL199" s="48">
        <f>'Adani Enterprises'!AL199</f>
        <v>0</v>
      </c>
    </row>
    <row r="200" customHeight="1" spans="1:38">
      <c r="A200" s="48">
        <f>'Adani Enterprises'!A200</f>
        <v>0</v>
      </c>
      <c r="B200" s="48">
        <f>'Adani Enterprises'!B200</f>
        <v>0</v>
      </c>
      <c r="C200" s="48">
        <f>'Adani Enterprises'!C200</f>
        <v>0</v>
      </c>
      <c r="D200" s="48">
        <f>'Adani Enterprises'!D200</f>
        <v>0</v>
      </c>
      <c r="E200" s="48">
        <f>'Adani Enterprises'!E200</f>
        <v>0</v>
      </c>
      <c r="F200" s="48">
        <f>'Adani Enterprises'!F200</f>
        <v>0</v>
      </c>
      <c r="G200" s="48">
        <f>'Adani Enterprises'!G200</f>
        <v>0</v>
      </c>
      <c r="H200" s="48">
        <f>'Adani Enterprises'!H200</f>
        <v>0</v>
      </c>
      <c r="I200" s="48">
        <f>'Adani Enterprises'!I200</f>
        <v>0</v>
      </c>
      <c r="J200" s="48">
        <f>'Adani Enterprises'!J200</f>
        <v>0</v>
      </c>
      <c r="K200" s="48">
        <f>'Adani Enterprises'!K200</f>
        <v>0</v>
      </c>
      <c r="L200" s="48">
        <f>'Adani Enterprises'!L200</f>
        <v>0</v>
      </c>
      <c r="M200" s="48">
        <f>'Adani Enterprises'!M200</f>
        <v>0</v>
      </c>
      <c r="N200" s="48">
        <f>'Adani Enterprises'!N200</f>
        <v>0</v>
      </c>
      <c r="O200" s="48">
        <f>'Adani Enterprises'!O200</f>
        <v>0</v>
      </c>
      <c r="P200" s="48">
        <f>'Adani Enterprises'!P200</f>
        <v>0</v>
      </c>
      <c r="Q200" s="48">
        <f>'Adani Enterprises'!Q200</f>
        <v>0</v>
      </c>
      <c r="R200" s="48">
        <f>'Adani Enterprises'!R200</f>
        <v>0</v>
      </c>
      <c r="S200" s="48">
        <f>'Adani Enterprises'!S200</f>
        <v>0</v>
      </c>
      <c r="T200" s="48">
        <f>'Adani Enterprises'!T200</f>
        <v>0</v>
      </c>
      <c r="U200" s="48">
        <f>'Adani Enterprises'!U200</f>
        <v>0</v>
      </c>
      <c r="V200" s="48">
        <f>'Adani Enterprises'!V200</f>
        <v>0</v>
      </c>
      <c r="W200" s="48">
        <f>'Adani Enterprises'!W200</f>
        <v>0</v>
      </c>
      <c r="X200" s="48">
        <f>'Adani Enterprises'!X200</f>
        <v>0</v>
      </c>
      <c r="Y200" s="48">
        <f>'Adani Enterprises'!Y200</f>
        <v>0</v>
      </c>
      <c r="Z200" s="48">
        <f>'Adani Enterprises'!Z200</f>
        <v>0</v>
      </c>
      <c r="AA200" s="48">
        <f>'Adani Enterprises'!AA200</f>
        <v>0</v>
      </c>
      <c r="AB200" s="48">
        <f>'Adani Enterprises'!AB200</f>
        <v>0</v>
      </c>
      <c r="AC200" s="48">
        <f>'Adani Enterprises'!AC200</f>
        <v>0</v>
      </c>
      <c r="AD200" s="48">
        <f>'Adani Enterprises'!AD200</f>
        <v>0</v>
      </c>
      <c r="AE200" s="48">
        <f>'Adani Enterprises'!AE200</f>
        <v>0</v>
      </c>
      <c r="AF200" s="48">
        <f>'Adani Enterprises'!AF200</f>
        <v>0</v>
      </c>
      <c r="AG200" s="48">
        <f>'Adani Enterprises'!AG200</f>
        <v>0</v>
      </c>
      <c r="AH200" s="48">
        <f>'Adani Enterprises'!AH200</f>
        <v>0</v>
      </c>
      <c r="AI200" s="48">
        <f>'Adani Enterprises'!AI200</f>
        <v>0</v>
      </c>
      <c r="AJ200" s="48">
        <f>'Adani Enterprises'!AJ200</f>
        <v>0</v>
      </c>
      <c r="AK200" s="48">
        <f>'Adani Enterprises'!AK200</f>
        <v>0</v>
      </c>
      <c r="AL200" s="48">
        <f>'Adani Enterprises'!AL200</f>
        <v>0</v>
      </c>
    </row>
    <row r="201" customHeight="1" spans="1:38">
      <c r="A201" s="48">
        <f>'Adani Enterprises'!A201</f>
        <v>0</v>
      </c>
      <c r="B201" s="48">
        <f>'Adani Enterprises'!B201</f>
        <v>0</v>
      </c>
      <c r="C201" s="48">
        <f>'Adani Enterprises'!C201</f>
        <v>0</v>
      </c>
      <c r="D201" s="48">
        <f>'Adani Enterprises'!D201</f>
        <v>0</v>
      </c>
      <c r="E201" s="48">
        <f>'Adani Enterprises'!E201</f>
        <v>0</v>
      </c>
      <c r="F201" s="48">
        <f>'Adani Enterprises'!F201</f>
        <v>0</v>
      </c>
      <c r="G201" s="48">
        <f>'Adani Enterprises'!G201</f>
        <v>0</v>
      </c>
      <c r="H201" s="48">
        <f>'Adani Enterprises'!H201</f>
        <v>0</v>
      </c>
      <c r="I201" s="48">
        <f>'Adani Enterprises'!I201</f>
        <v>0</v>
      </c>
      <c r="J201" s="48">
        <f>'Adani Enterprises'!J201</f>
        <v>0</v>
      </c>
      <c r="K201" s="48">
        <f>'Adani Enterprises'!K201</f>
        <v>0</v>
      </c>
      <c r="L201" s="48">
        <f>'Adani Enterprises'!L201</f>
        <v>0</v>
      </c>
      <c r="M201" s="48">
        <f>'Adani Enterprises'!M201</f>
        <v>0</v>
      </c>
      <c r="N201" s="48">
        <f>'Adani Enterprises'!N201</f>
        <v>0</v>
      </c>
      <c r="O201" s="48">
        <f>'Adani Enterprises'!O201</f>
        <v>0</v>
      </c>
      <c r="P201" s="48">
        <f>'Adani Enterprises'!P201</f>
        <v>0</v>
      </c>
      <c r="Q201" s="48">
        <f>'Adani Enterprises'!Q201</f>
        <v>0</v>
      </c>
      <c r="R201" s="48">
        <f>'Adani Enterprises'!R201</f>
        <v>0</v>
      </c>
      <c r="S201" s="48">
        <f>'Adani Enterprises'!S201</f>
        <v>0</v>
      </c>
      <c r="T201" s="48">
        <f>'Adani Enterprises'!T201</f>
        <v>0</v>
      </c>
      <c r="U201" s="48">
        <f>'Adani Enterprises'!U201</f>
        <v>0</v>
      </c>
      <c r="V201" s="48">
        <f>'Adani Enterprises'!V201</f>
        <v>0</v>
      </c>
      <c r="W201" s="48">
        <f>'Adani Enterprises'!W201</f>
        <v>0</v>
      </c>
      <c r="X201" s="48">
        <f>'Adani Enterprises'!X201</f>
        <v>0</v>
      </c>
      <c r="Y201" s="48">
        <f>'Adani Enterprises'!Y201</f>
        <v>0</v>
      </c>
      <c r="Z201" s="48">
        <f>'Adani Enterprises'!Z201</f>
        <v>0</v>
      </c>
      <c r="AA201" s="48">
        <f>'Adani Enterprises'!AA201</f>
        <v>0</v>
      </c>
      <c r="AB201" s="48">
        <f>'Adani Enterprises'!AB201</f>
        <v>0</v>
      </c>
      <c r="AC201" s="48">
        <f>'Adani Enterprises'!AC201</f>
        <v>0</v>
      </c>
      <c r="AD201" s="48">
        <f>'Adani Enterprises'!AD201</f>
        <v>0</v>
      </c>
      <c r="AE201" s="48">
        <f>'Adani Enterprises'!AE201</f>
        <v>0</v>
      </c>
      <c r="AF201" s="48">
        <f>'Adani Enterprises'!AF201</f>
        <v>0</v>
      </c>
      <c r="AG201" s="48">
        <f>'Adani Enterprises'!AG201</f>
        <v>0</v>
      </c>
      <c r="AH201" s="48">
        <f>'Adani Enterprises'!AH201</f>
        <v>0</v>
      </c>
      <c r="AI201" s="48">
        <f>'Adani Enterprises'!AI201</f>
        <v>0</v>
      </c>
      <c r="AJ201" s="48">
        <f>'Adani Enterprises'!AJ201</f>
        <v>0</v>
      </c>
      <c r="AK201" s="48">
        <f>'Adani Enterprises'!AK201</f>
        <v>0</v>
      </c>
      <c r="AL201" s="48">
        <f>'Adani Enterprises'!AL201</f>
        <v>0</v>
      </c>
    </row>
    <row r="202" customHeight="1" spans="1:38">
      <c r="A202" s="48">
        <f>'Adani Enterprises'!A202</f>
        <v>0</v>
      </c>
      <c r="B202" s="48">
        <f>'Adani Enterprises'!B202</f>
        <v>0</v>
      </c>
      <c r="C202" s="48">
        <f>'Adani Enterprises'!C202</f>
        <v>0</v>
      </c>
      <c r="D202" s="48">
        <f>'Adani Enterprises'!D202</f>
        <v>0</v>
      </c>
      <c r="E202" s="48">
        <f>'Adani Enterprises'!E202</f>
        <v>0</v>
      </c>
      <c r="F202" s="48">
        <f>'Adani Enterprises'!F202</f>
        <v>0</v>
      </c>
      <c r="G202" s="48">
        <f>'Adani Enterprises'!G202</f>
        <v>0</v>
      </c>
      <c r="H202" s="48">
        <f>'Adani Enterprises'!H202</f>
        <v>0</v>
      </c>
      <c r="I202" s="48">
        <f>'Adani Enterprises'!I202</f>
        <v>0</v>
      </c>
      <c r="J202" s="48">
        <f>'Adani Enterprises'!J202</f>
        <v>0</v>
      </c>
      <c r="K202" s="48">
        <f>'Adani Enterprises'!K202</f>
        <v>0</v>
      </c>
      <c r="L202" s="48">
        <f>'Adani Enterprises'!L202</f>
        <v>0</v>
      </c>
      <c r="M202" s="48">
        <f>'Adani Enterprises'!M202</f>
        <v>0</v>
      </c>
      <c r="N202" s="48">
        <f>'Adani Enterprises'!N202</f>
        <v>0</v>
      </c>
      <c r="O202" s="48">
        <f>'Adani Enterprises'!O202</f>
        <v>0</v>
      </c>
      <c r="P202" s="48">
        <f>'Adani Enterprises'!P202</f>
        <v>0</v>
      </c>
      <c r="Q202" s="48">
        <f>'Adani Enterprises'!Q202</f>
        <v>0</v>
      </c>
      <c r="R202" s="48">
        <f>'Adani Enterprises'!R202</f>
        <v>0</v>
      </c>
      <c r="S202" s="48">
        <f>'Adani Enterprises'!S202</f>
        <v>0</v>
      </c>
      <c r="T202" s="48">
        <f>'Adani Enterprises'!T202</f>
        <v>0</v>
      </c>
      <c r="U202" s="48">
        <f>'Adani Enterprises'!U202</f>
        <v>0</v>
      </c>
      <c r="V202" s="48">
        <f>'Adani Enterprises'!V202</f>
        <v>0</v>
      </c>
      <c r="W202" s="48">
        <f>'Adani Enterprises'!W202</f>
        <v>0</v>
      </c>
      <c r="X202" s="48">
        <f>'Adani Enterprises'!X202</f>
        <v>0</v>
      </c>
      <c r="Y202" s="48">
        <f>'Adani Enterprises'!Y202</f>
        <v>0</v>
      </c>
      <c r="Z202" s="48">
        <f>'Adani Enterprises'!Z202</f>
        <v>0</v>
      </c>
      <c r="AA202" s="48">
        <f>'Adani Enterprises'!AA202</f>
        <v>0</v>
      </c>
      <c r="AB202" s="48">
        <f>'Adani Enterprises'!AB202</f>
        <v>0</v>
      </c>
      <c r="AC202" s="48">
        <f>'Adani Enterprises'!AC202</f>
        <v>0</v>
      </c>
      <c r="AD202" s="48">
        <f>'Adani Enterprises'!AD202</f>
        <v>0</v>
      </c>
      <c r="AE202" s="48">
        <f>'Adani Enterprises'!AE202</f>
        <v>0</v>
      </c>
      <c r="AF202" s="48">
        <f>'Adani Enterprises'!AF202</f>
        <v>0</v>
      </c>
      <c r="AG202" s="48">
        <f>'Adani Enterprises'!AG202</f>
        <v>0</v>
      </c>
      <c r="AH202" s="48">
        <f>'Adani Enterprises'!AH202</f>
        <v>0</v>
      </c>
      <c r="AI202" s="48">
        <f>'Adani Enterprises'!AI202</f>
        <v>0</v>
      </c>
      <c r="AJ202" s="48">
        <f>'Adani Enterprises'!AJ202</f>
        <v>0</v>
      </c>
      <c r="AK202" s="48">
        <f>'Adani Enterprises'!AK202</f>
        <v>0</v>
      </c>
      <c r="AL202" s="48">
        <f>'Adani Enterprises'!AL202</f>
        <v>0</v>
      </c>
    </row>
    <row r="203" customHeight="1" spans="1:38">
      <c r="A203" s="48">
        <f>'Adani Enterprises'!A203</f>
        <v>0</v>
      </c>
      <c r="B203" s="48">
        <f>'Adani Enterprises'!B203</f>
        <v>0</v>
      </c>
      <c r="C203" s="48">
        <f>'Adani Enterprises'!C203</f>
        <v>0</v>
      </c>
      <c r="D203" s="48">
        <f>'Adani Enterprises'!D203</f>
        <v>0</v>
      </c>
      <c r="E203" s="48">
        <f>'Adani Enterprises'!E203</f>
        <v>0</v>
      </c>
      <c r="F203" s="48">
        <f>'Adani Enterprises'!F203</f>
        <v>0</v>
      </c>
      <c r="G203" s="48">
        <f>'Adani Enterprises'!G203</f>
        <v>0</v>
      </c>
      <c r="H203" s="48">
        <f>'Adani Enterprises'!H203</f>
        <v>0</v>
      </c>
      <c r="I203" s="48">
        <f>'Adani Enterprises'!I203</f>
        <v>0</v>
      </c>
      <c r="J203" s="48">
        <f>'Adani Enterprises'!J203</f>
        <v>0</v>
      </c>
      <c r="K203" s="48">
        <f>'Adani Enterprises'!K203</f>
        <v>0</v>
      </c>
      <c r="L203" s="48">
        <f>'Adani Enterprises'!L203</f>
        <v>0</v>
      </c>
      <c r="M203" s="48">
        <f>'Adani Enterprises'!M203</f>
        <v>0</v>
      </c>
      <c r="N203" s="48">
        <f>'Adani Enterprises'!N203</f>
        <v>0</v>
      </c>
      <c r="O203" s="48">
        <f>'Adani Enterprises'!O203</f>
        <v>0</v>
      </c>
      <c r="P203" s="48">
        <f>'Adani Enterprises'!P203</f>
        <v>0</v>
      </c>
      <c r="Q203" s="48">
        <f>'Adani Enterprises'!Q203</f>
        <v>0</v>
      </c>
      <c r="R203" s="48">
        <f>'Adani Enterprises'!R203</f>
        <v>0</v>
      </c>
      <c r="S203" s="48">
        <f>'Adani Enterprises'!S203</f>
        <v>0</v>
      </c>
      <c r="T203" s="48">
        <f>'Adani Enterprises'!T203</f>
        <v>0</v>
      </c>
      <c r="U203" s="48">
        <f>'Adani Enterprises'!U203</f>
        <v>0</v>
      </c>
      <c r="V203" s="48">
        <f>'Adani Enterprises'!V203</f>
        <v>0</v>
      </c>
      <c r="W203" s="48">
        <f>'Adani Enterprises'!W203</f>
        <v>0</v>
      </c>
      <c r="X203" s="48">
        <f>'Adani Enterprises'!X203</f>
        <v>0</v>
      </c>
      <c r="Y203" s="48">
        <f>'Adani Enterprises'!Y203</f>
        <v>0</v>
      </c>
      <c r="Z203" s="48">
        <f>'Adani Enterprises'!Z203</f>
        <v>0</v>
      </c>
      <c r="AA203" s="48">
        <f>'Adani Enterprises'!AA203</f>
        <v>0</v>
      </c>
      <c r="AB203" s="48">
        <f>'Adani Enterprises'!AB203</f>
        <v>0</v>
      </c>
      <c r="AC203" s="48">
        <f>'Adani Enterprises'!AC203</f>
        <v>0</v>
      </c>
      <c r="AD203" s="48">
        <f>'Adani Enterprises'!AD203</f>
        <v>0</v>
      </c>
      <c r="AE203" s="48">
        <f>'Adani Enterprises'!AE203</f>
        <v>0</v>
      </c>
      <c r="AF203" s="48">
        <f>'Adani Enterprises'!AF203</f>
        <v>0</v>
      </c>
      <c r="AG203" s="48">
        <f>'Adani Enterprises'!AG203</f>
        <v>0</v>
      </c>
      <c r="AH203" s="48">
        <f>'Adani Enterprises'!AH203</f>
        <v>0</v>
      </c>
      <c r="AI203" s="48">
        <f>'Adani Enterprises'!AI203</f>
        <v>0</v>
      </c>
      <c r="AJ203" s="48">
        <f>'Adani Enterprises'!AJ203</f>
        <v>0</v>
      </c>
      <c r="AK203" s="48">
        <f>'Adani Enterprises'!AK203</f>
        <v>0</v>
      </c>
      <c r="AL203" s="48">
        <f>'Adani Enterprises'!AL203</f>
        <v>0</v>
      </c>
    </row>
    <row r="204" customHeight="1" spans="1:38">
      <c r="A204" s="48">
        <f>'Adani Enterprises'!A204</f>
        <v>0</v>
      </c>
      <c r="B204" s="48">
        <f>'Adani Enterprises'!B204</f>
        <v>0</v>
      </c>
      <c r="C204" s="48">
        <f>'Adani Enterprises'!C204</f>
        <v>0</v>
      </c>
      <c r="D204" s="48">
        <f>'Adani Enterprises'!D204</f>
        <v>0</v>
      </c>
      <c r="E204" s="48">
        <f>'Adani Enterprises'!E204</f>
        <v>0</v>
      </c>
      <c r="F204" s="48">
        <f>'Adani Enterprises'!F204</f>
        <v>0</v>
      </c>
      <c r="G204" s="48">
        <f>'Adani Enterprises'!G204</f>
        <v>0</v>
      </c>
      <c r="H204" s="48">
        <f>'Adani Enterprises'!H204</f>
        <v>0</v>
      </c>
      <c r="I204" s="48">
        <f>'Adani Enterprises'!I204</f>
        <v>0</v>
      </c>
      <c r="J204" s="48">
        <f>'Adani Enterprises'!J204</f>
        <v>0</v>
      </c>
      <c r="K204" s="48">
        <f>'Adani Enterprises'!K204</f>
        <v>0</v>
      </c>
      <c r="L204" s="48">
        <f>'Adani Enterprises'!L204</f>
        <v>0</v>
      </c>
      <c r="M204" s="48">
        <f>'Adani Enterprises'!M204</f>
        <v>0</v>
      </c>
      <c r="N204" s="48">
        <f>'Adani Enterprises'!N204</f>
        <v>0</v>
      </c>
      <c r="O204" s="48">
        <f>'Adani Enterprises'!O204</f>
        <v>0</v>
      </c>
      <c r="P204" s="48">
        <f>'Adani Enterprises'!P204</f>
        <v>0</v>
      </c>
      <c r="Q204" s="48">
        <f>'Adani Enterprises'!Q204</f>
        <v>0</v>
      </c>
      <c r="R204" s="48">
        <f>'Adani Enterprises'!R204</f>
        <v>0</v>
      </c>
      <c r="S204" s="48">
        <f>'Adani Enterprises'!S204</f>
        <v>0</v>
      </c>
      <c r="T204" s="48">
        <f>'Adani Enterprises'!T204</f>
        <v>0</v>
      </c>
      <c r="U204" s="48">
        <f>'Adani Enterprises'!U204</f>
        <v>0</v>
      </c>
      <c r="V204" s="48">
        <f>'Adani Enterprises'!V204</f>
        <v>0</v>
      </c>
      <c r="W204" s="48">
        <f>'Adani Enterprises'!W204</f>
        <v>0</v>
      </c>
      <c r="X204" s="48">
        <f>'Adani Enterprises'!X204</f>
        <v>0</v>
      </c>
      <c r="Y204" s="48">
        <f>'Adani Enterprises'!Y204</f>
        <v>0</v>
      </c>
      <c r="Z204" s="48">
        <f>'Adani Enterprises'!Z204</f>
        <v>0</v>
      </c>
      <c r="AA204" s="48">
        <f>'Adani Enterprises'!AA204</f>
        <v>0</v>
      </c>
      <c r="AB204" s="48">
        <f>'Adani Enterprises'!AB204</f>
        <v>0</v>
      </c>
      <c r="AC204" s="48">
        <f>'Adani Enterprises'!AC204</f>
        <v>0</v>
      </c>
      <c r="AD204" s="48">
        <f>'Adani Enterprises'!AD204</f>
        <v>0</v>
      </c>
      <c r="AE204" s="48">
        <f>'Adani Enterprises'!AE204</f>
        <v>0</v>
      </c>
      <c r="AF204" s="48">
        <f>'Adani Enterprises'!AF204</f>
        <v>0</v>
      </c>
      <c r="AG204" s="48">
        <f>'Adani Enterprises'!AG204</f>
        <v>0</v>
      </c>
      <c r="AH204" s="48">
        <f>'Adani Enterprises'!AH204</f>
        <v>0</v>
      </c>
      <c r="AI204" s="48">
        <f>'Adani Enterprises'!AI204</f>
        <v>0</v>
      </c>
      <c r="AJ204" s="48">
        <f>'Adani Enterprises'!AJ204</f>
        <v>0</v>
      </c>
      <c r="AK204" s="48">
        <f>'Adani Enterprises'!AK204</f>
        <v>0</v>
      </c>
      <c r="AL204" s="48">
        <f>'Adani Enterprises'!AL204</f>
        <v>0</v>
      </c>
    </row>
    <row r="205" customHeight="1" spans="1:38">
      <c r="A205" s="48">
        <f>'Adani Enterprises'!A205</f>
        <v>0</v>
      </c>
      <c r="B205" s="48">
        <f>'Adani Enterprises'!B205</f>
        <v>0</v>
      </c>
      <c r="C205" s="48">
        <f>'Adani Enterprises'!C205</f>
        <v>0</v>
      </c>
      <c r="D205" s="48">
        <f>'Adani Enterprises'!D205</f>
        <v>0</v>
      </c>
      <c r="E205" s="48">
        <f>'Adani Enterprises'!E205</f>
        <v>0</v>
      </c>
      <c r="F205" s="48">
        <f>'Adani Enterprises'!F205</f>
        <v>0</v>
      </c>
      <c r="G205" s="48">
        <f>'Adani Enterprises'!G205</f>
        <v>0</v>
      </c>
      <c r="H205" s="48">
        <f>'Adani Enterprises'!H205</f>
        <v>0</v>
      </c>
      <c r="I205" s="48">
        <f>'Adani Enterprises'!I205</f>
        <v>0</v>
      </c>
      <c r="J205" s="48">
        <f>'Adani Enterprises'!J205</f>
        <v>0</v>
      </c>
      <c r="K205" s="48">
        <f>'Adani Enterprises'!K205</f>
        <v>0</v>
      </c>
      <c r="L205" s="48">
        <f>'Adani Enterprises'!L205</f>
        <v>0</v>
      </c>
      <c r="M205" s="48">
        <f>'Adani Enterprises'!M205</f>
        <v>0</v>
      </c>
      <c r="N205" s="48">
        <f>'Adani Enterprises'!N205</f>
        <v>0</v>
      </c>
      <c r="O205" s="48">
        <f>'Adani Enterprises'!O205</f>
        <v>0</v>
      </c>
      <c r="P205" s="48">
        <f>'Adani Enterprises'!P205</f>
        <v>0</v>
      </c>
      <c r="Q205" s="48">
        <f>'Adani Enterprises'!Q205</f>
        <v>0</v>
      </c>
      <c r="R205" s="48">
        <f>'Adani Enterprises'!R205</f>
        <v>0</v>
      </c>
      <c r="S205" s="48">
        <f>'Adani Enterprises'!S205</f>
        <v>0</v>
      </c>
      <c r="T205" s="48">
        <f>'Adani Enterprises'!T205</f>
        <v>0</v>
      </c>
      <c r="U205" s="48">
        <f>'Adani Enterprises'!U205</f>
        <v>0</v>
      </c>
      <c r="V205" s="48">
        <f>'Adani Enterprises'!V205</f>
        <v>0</v>
      </c>
      <c r="W205" s="48">
        <f>'Adani Enterprises'!W205</f>
        <v>0</v>
      </c>
      <c r="X205" s="48">
        <f>'Adani Enterprises'!X205</f>
        <v>0</v>
      </c>
      <c r="Y205" s="48">
        <f>'Adani Enterprises'!Y205</f>
        <v>0</v>
      </c>
      <c r="Z205" s="48">
        <f>'Adani Enterprises'!Z205</f>
        <v>0</v>
      </c>
      <c r="AA205" s="48">
        <f>'Adani Enterprises'!AA205</f>
        <v>0</v>
      </c>
      <c r="AB205" s="48">
        <f>'Adani Enterprises'!AB205</f>
        <v>0</v>
      </c>
      <c r="AC205" s="48">
        <f>'Adani Enterprises'!AC205</f>
        <v>0</v>
      </c>
      <c r="AD205" s="48">
        <f>'Adani Enterprises'!AD205</f>
        <v>0</v>
      </c>
      <c r="AE205" s="48">
        <f>'Adani Enterprises'!AE205</f>
        <v>0</v>
      </c>
      <c r="AF205" s="48">
        <f>'Adani Enterprises'!AF205</f>
        <v>0</v>
      </c>
      <c r="AG205" s="48">
        <f>'Adani Enterprises'!AG205</f>
        <v>0</v>
      </c>
      <c r="AH205" s="48">
        <f>'Adani Enterprises'!AH205</f>
        <v>0</v>
      </c>
      <c r="AI205" s="48">
        <f>'Adani Enterprises'!AI205</f>
        <v>0</v>
      </c>
      <c r="AJ205" s="48">
        <f>'Adani Enterprises'!AJ205</f>
        <v>0</v>
      </c>
      <c r="AK205" s="48">
        <f>'Adani Enterprises'!AK205</f>
        <v>0</v>
      </c>
      <c r="AL205" s="48">
        <f>'Adani Enterprises'!AL205</f>
        <v>0</v>
      </c>
    </row>
    <row r="206" customHeight="1" spans="1:38">
      <c r="A206" s="48">
        <f>'Adani Enterprises'!A206</f>
        <v>0</v>
      </c>
      <c r="B206" s="48">
        <f>'Adani Enterprises'!B206</f>
        <v>0</v>
      </c>
      <c r="C206" s="48">
        <f>'Adani Enterprises'!C206</f>
        <v>0</v>
      </c>
      <c r="D206" s="48">
        <f>'Adani Enterprises'!D206</f>
        <v>0</v>
      </c>
      <c r="E206" s="48">
        <f>'Adani Enterprises'!E206</f>
        <v>0</v>
      </c>
      <c r="F206" s="48">
        <f>'Adani Enterprises'!F206</f>
        <v>0</v>
      </c>
      <c r="G206" s="48">
        <f>'Adani Enterprises'!G206</f>
        <v>0</v>
      </c>
      <c r="H206" s="48">
        <f>'Adani Enterprises'!H206</f>
        <v>0</v>
      </c>
      <c r="I206" s="48">
        <f>'Adani Enterprises'!I206</f>
        <v>0</v>
      </c>
      <c r="J206" s="48">
        <f>'Adani Enterprises'!J206</f>
        <v>0</v>
      </c>
      <c r="K206" s="48">
        <f>'Adani Enterprises'!K206</f>
        <v>0</v>
      </c>
      <c r="L206" s="48">
        <f>'Adani Enterprises'!L206</f>
        <v>0</v>
      </c>
      <c r="M206" s="48">
        <f>'Adani Enterprises'!M206</f>
        <v>0</v>
      </c>
      <c r="N206" s="48">
        <f>'Adani Enterprises'!N206</f>
        <v>0</v>
      </c>
      <c r="O206" s="48">
        <f>'Adani Enterprises'!O206</f>
        <v>0</v>
      </c>
      <c r="P206" s="48">
        <f>'Adani Enterprises'!P206</f>
        <v>0</v>
      </c>
      <c r="Q206" s="48">
        <f>'Adani Enterprises'!Q206</f>
        <v>0</v>
      </c>
      <c r="R206" s="48">
        <f>'Adani Enterprises'!R206</f>
        <v>0</v>
      </c>
      <c r="S206" s="48">
        <f>'Adani Enterprises'!S206</f>
        <v>0</v>
      </c>
      <c r="T206" s="48">
        <f>'Adani Enterprises'!T206</f>
        <v>0</v>
      </c>
      <c r="U206" s="48">
        <f>'Adani Enterprises'!U206</f>
        <v>0</v>
      </c>
      <c r="V206" s="48">
        <f>'Adani Enterprises'!V206</f>
        <v>0</v>
      </c>
      <c r="W206" s="48">
        <f>'Adani Enterprises'!W206</f>
        <v>0</v>
      </c>
      <c r="X206" s="48">
        <f>'Adani Enterprises'!X206</f>
        <v>0</v>
      </c>
      <c r="Y206" s="48">
        <f>'Adani Enterprises'!Y206</f>
        <v>0</v>
      </c>
      <c r="Z206" s="48">
        <f>'Adani Enterprises'!Z206</f>
        <v>0</v>
      </c>
      <c r="AA206" s="48">
        <f>'Adani Enterprises'!AA206</f>
        <v>0</v>
      </c>
      <c r="AB206" s="48">
        <f>'Adani Enterprises'!AB206</f>
        <v>0</v>
      </c>
      <c r="AC206" s="48">
        <f>'Adani Enterprises'!AC206</f>
        <v>0</v>
      </c>
      <c r="AD206" s="48">
        <f>'Adani Enterprises'!AD206</f>
        <v>0</v>
      </c>
      <c r="AE206" s="48">
        <f>'Adani Enterprises'!AE206</f>
        <v>0</v>
      </c>
      <c r="AF206" s="48">
        <f>'Adani Enterprises'!AF206</f>
        <v>0</v>
      </c>
      <c r="AG206" s="48">
        <f>'Adani Enterprises'!AG206</f>
        <v>0</v>
      </c>
      <c r="AH206" s="48">
        <f>'Adani Enterprises'!AH206</f>
        <v>0</v>
      </c>
      <c r="AI206" s="48">
        <f>'Adani Enterprises'!AI206</f>
        <v>0</v>
      </c>
      <c r="AJ206" s="48">
        <f>'Adani Enterprises'!AJ206</f>
        <v>0</v>
      </c>
      <c r="AK206" s="48">
        <f>'Adani Enterprises'!AK206</f>
        <v>0</v>
      </c>
      <c r="AL206" s="48">
        <f>'Adani Enterprises'!AL206</f>
        <v>0</v>
      </c>
    </row>
    <row r="207" customHeight="1" spans="1:38">
      <c r="A207" s="48">
        <f>'Adani Enterprises'!A207</f>
        <v>0</v>
      </c>
      <c r="B207" s="48">
        <f>'Adani Enterprises'!B207</f>
        <v>0</v>
      </c>
      <c r="C207" s="48">
        <f>'Adani Enterprises'!C207</f>
        <v>0</v>
      </c>
      <c r="D207" s="48">
        <f>'Adani Enterprises'!D207</f>
        <v>0</v>
      </c>
      <c r="E207" s="48">
        <f>'Adani Enterprises'!E207</f>
        <v>0</v>
      </c>
      <c r="F207" s="48">
        <f>'Adani Enterprises'!F207</f>
        <v>0</v>
      </c>
      <c r="G207" s="48">
        <f>'Adani Enterprises'!G207</f>
        <v>0</v>
      </c>
      <c r="H207" s="48">
        <f>'Adani Enterprises'!H207</f>
        <v>0</v>
      </c>
      <c r="I207" s="48">
        <f>'Adani Enterprises'!I207</f>
        <v>0</v>
      </c>
      <c r="J207" s="48">
        <f>'Adani Enterprises'!J207</f>
        <v>0</v>
      </c>
      <c r="K207" s="48">
        <f>'Adani Enterprises'!K207</f>
        <v>0</v>
      </c>
      <c r="L207" s="48">
        <f>'Adani Enterprises'!L207</f>
        <v>0</v>
      </c>
      <c r="M207" s="48">
        <f>'Adani Enterprises'!M207</f>
        <v>0</v>
      </c>
      <c r="N207" s="48">
        <f>'Adani Enterprises'!N207</f>
        <v>0</v>
      </c>
      <c r="O207" s="48">
        <f>'Adani Enterprises'!O207</f>
        <v>0</v>
      </c>
      <c r="P207" s="48">
        <f>'Adani Enterprises'!P207</f>
        <v>0</v>
      </c>
      <c r="Q207" s="48">
        <f>'Adani Enterprises'!Q207</f>
        <v>0</v>
      </c>
      <c r="R207" s="48">
        <f>'Adani Enterprises'!R207</f>
        <v>0</v>
      </c>
      <c r="S207" s="48">
        <f>'Adani Enterprises'!S207</f>
        <v>0</v>
      </c>
      <c r="T207" s="48">
        <f>'Adani Enterprises'!T207</f>
        <v>0</v>
      </c>
      <c r="U207" s="48">
        <f>'Adani Enterprises'!U207</f>
        <v>0</v>
      </c>
      <c r="V207" s="48">
        <f>'Adani Enterprises'!V207</f>
        <v>0</v>
      </c>
      <c r="W207" s="48">
        <f>'Adani Enterprises'!W207</f>
        <v>0</v>
      </c>
      <c r="X207" s="48">
        <f>'Adani Enterprises'!X207</f>
        <v>0</v>
      </c>
      <c r="Y207" s="48">
        <f>'Adani Enterprises'!Y207</f>
        <v>0</v>
      </c>
      <c r="Z207" s="48">
        <f>'Adani Enterprises'!Z207</f>
        <v>0</v>
      </c>
      <c r="AA207" s="48">
        <f>'Adani Enterprises'!AA207</f>
        <v>0</v>
      </c>
      <c r="AB207" s="48">
        <f>'Adani Enterprises'!AB207</f>
        <v>0</v>
      </c>
      <c r="AC207" s="48">
        <f>'Adani Enterprises'!AC207</f>
        <v>0</v>
      </c>
      <c r="AD207" s="48">
        <f>'Adani Enterprises'!AD207</f>
        <v>0</v>
      </c>
      <c r="AE207" s="48">
        <f>'Adani Enterprises'!AE207</f>
        <v>0</v>
      </c>
      <c r="AF207" s="48">
        <f>'Adani Enterprises'!AF207</f>
        <v>0</v>
      </c>
      <c r="AG207" s="48">
        <f>'Adani Enterprises'!AG207</f>
        <v>0</v>
      </c>
      <c r="AH207" s="48">
        <f>'Adani Enterprises'!AH207</f>
        <v>0</v>
      </c>
      <c r="AI207" s="48">
        <f>'Adani Enterprises'!AI207</f>
        <v>0</v>
      </c>
      <c r="AJ207" s="48">
        <f>'Adani Enterprises'!AJ207</f>
        <v>0</v>
      </c>
      <c r="AK207" s="48">
        <f>'Adani Enterprises'!AK207</f>
        <v>0</v>
      </c>
      <c r="AL207" s="48">
        <f>'Adani Enterprises'!AL207</f>
        <v>0</v>
      </c>
    </row>
    <row r="208" customHeight="1" spans="1:38">
      <c r="A208" s="48">
        <f>'Adani Enterprises'!A208</f>
        <v>0</v>
      </c>
      <c r="B208" s="48">
        <f>'Adani Enterprises'!B208</f>
        <v>0</v>
      </c>
      <c r="C208" s="48">
        <f>'Adani Enterprises'!C208</f>
        <v>0</v>
      </c>
      <c r="D208" s="48">
        <f>'Adani Enterprises'!D208</f>
        <v>0</v>
      </c>
      <c r="E208" s="48">
        <f>'Adani Enterprises'!E208</f>
        <v>0</v>
      </c>
      <c r="F208" s="48">
        <f>'Adani Enterprises'!F208</f>
        <v>0</v>
      </c>
      <c r="G208" s="48">
        <f>'Adani Enterprises'!G208</f>
        <v>0</v>
      </c>
      <c r="H208" s="48">
        <f>'Adani Enterprises'!H208</f>
        <v>0</v>
      </c>
      <c r="I208" s="48">
        <f>'Adani Enterprises'!I208</f>
        <v>0</v>
      </c>
      <c r="J208" s="48">
        <f>'Adani Enterprises'!J208</f>
        <v>0</v>
      </c>
      <c r="K208" s="48">
        <f>'Adani Enterprises'!K208</f>
        <v>0</v>
      </c>
      <c r="L208" s="48">
        <f>'Adani Enterprises'!L208</f>
        <v>0</v>
      </c>
      <c r="M208" s="48">
        <f>'Adani Enterprises'!M208</f>
        <v>0</v>
      </c>
      <c r="N208" s="48">
        <f>'Adani Enterprises'!N208</f>
        <v>0</v>
      </c>
      <c r="O208" s="48">
        <f>'Adani Enterprises'!O208</f>
        <v>0</v>
      </c>
      <c r="P208" s="48">
        <f>'Adani Enterprises'!P208</f>
        <v>0</v>
      </c>
      <c r="Q208" s="48">
        <f>'Adani Enterprises'!Q208</f>
        <v>0</v>
      </c>
      <c r="R208" s="48">
        <f>'Adani Enterprises'!R208</f>
        <v>0</v>
      </c>
      <c r="S208" s="48">
        <f>'Adani Enterprises'!S208</f>
        <v>0</v>
      </c>
      <c r="T208" s="48">
        <f>'Adani Enterprises'!T208</f>
        <v>0</v>
      </c>
      <c r="U208" s="48">
        <f>'Adani Enterprises'!U208</f>
        <v>0</v>
      </c>
      <c r="V208" s="48">
        <f>'Adani Enterprises'!V208</f>
        <v>0</v>
      </c>
      <c r="W208" s="48">
        <f>'Adani Enterprises'!W208</f>
        <v>0</v>
      </c>
      <c r="X208" s="48">
        <f>'Adani Enterprises'!X208</f>
        <v>0</v>
      </c>
      <c r="Y208" s="48">
        <f>'Adani Enterprises'!Y208</f>
        <v>0</v>
      </c>
      <c r="Z208" s="48">
        <f>'Adani Enterprises'!Z208</f>
        <v>0</v>
      </c>
      <c r="AA208" s="48">
        <f>'Adani Enterprises'!AA208</f>
        <v>0</v>
      </c>
      <c r="AB208" s="48">
        <f>'Adani Enterprises'!AB208</f>
        <v>0</v>
      </c>
      <c r="AC208" s="48">
        <f>'Adani Enterprises'!AC208</f>
        <v>0</v>
      </c>
      <c r="AD208" s="48">
        <f>'Adani Enterprises'!AD208</f>
        <v>0</v>
      </c>
      <c r="AE208" s="48">
        <f>'Adani Enterprises'!AE208</f>
        <v>0</v>
      </c>
      <c r="AF208" s="48">
        <f>'Adani Enterprises'!AF208</f>
        <v>0</v>
      </c>
      <c r="AG208" s="48">
        <f>'Adani Enterprises'!AG208</f>
        <v>0</v>
      </c>
      <c r="AH208" s="48">
        <f>'Adani Enterprises'!AH208</f>
        <v>0</v>
      </c>
      <c r="AI208" s="48">
        <f>'Adani Enterprises'!AI208</f>
        <v>0</v>
      </c>
      <c r="AJ208" s="48">
        <f>'Adani Enterprises'!AJ208</f>
        <v>0</v>
      </c>
      <c r="AK208" s="48">
        <f>'Adani Enterprises'!AK208</f>
        <v>0</v>
      </c>
      <c r="AL208" s="48">
        <f>'Adani Enterprises'!AL208</f>
        <v>0</v>
      </c>
    </row>
    <row r="209" customHeight="1" spans="1:38">
      <c r="A209" s="48">
        <f>'Adani Enterprises'!A209</f>
        <v>0</v>
      </c>
      <c r="B209" s="48">
        <f>'Adani Enterprises'!B209</f>
        <v>0</v>
      </c>
      <c r="C209" s="48">
        <f>'Adani Enterprises'!C209</f>
        <v>0</v>
      </c>
      <c r="D209" s="48">
        <f>'Adani Enterprises'!D209</f>
        <v>0</v>
      </c>
      <c r="E209" s="48">
        <f>'Adani Enterprises'!E209</f>
        <v>0</v>
      </c>
      <c r="F209" s="48">
        <f>'Adani Enterprises'!F209</f>
        <v>0</v>
      </c>
      <c r="G209" s="48">
        <f>'Adani Enterprises'!G209</f>
        <v>0</v>
      </c>
      <c r="H209" s="48">
        <f>'Adani Enterprises'!H209</f>
        <v>0</v>
      </c>
      <c r="I209" s="48">
        <f>'Adani Enterprises'!I209</f>
        <v>0</v>
      </c>
      <c r="J209" s="48">
        <f>'Adani Enterprises'!J209</f>
        <v>0</v>
      </c>
      <c r="K209" s="48">
        <f>'Adani Enterprises'!K209</f>
        <v>0</v>
      </c>
      <c r="L209" s="48">
        <f>'Adani Enterprises'!L209</f>
        <v>0</v>
      </c>
      <c r="M209" s="48">
        <f>'Adani Enterprises'!M209</f>
        <v>0</v>
      </c>
      <c r="N209" s="48">
        <f>'Adani Enterprises'!N209</f>
        <v>0</v>
      </c>
      <c r="O209" s="48">
        <f>'Adani Enterprises'!O209</f>
        <v>0</v>
      </c>
      <c r="P209" s="48">
        <f>'Adani Enterprises'!P209</f>
        <v>0</v>
      </c>
      <c r="Q209" s="48">
        <f>'Adani Enterprises'!Q209</f>
        <v>0</v>
      </c>
      <c r="R209" s="48">
        <f>'Adani Enterprises'!R209</f>
        <v>0</v>
      </c>
      <c r="S209" s="48">
        <f>'Adani Enterprises'!S209</f>
        <v>0</v>
      </c>
      <c r="T209" s="48">
        <f>'Adani Enterprises'!T209</f>
        <v>0</v>
      </c>
      <c r="U209" s="48">
        <f>'Adani Enterprises'!U209</f>
        <v>0</v>
      </c>
      <c r="V209" s="48">
        <f>'Adani Enterprises'!V209</f>
        <v>0</v>
      </c>
      <c r="W209" s="48">
        <f>'Adani Enterprises'!W209</f>
        <v>0</v>
      </c>
      <c r="X209" s="48">
        <f>'Adani Enterprises'!X209</f>
        <v>0</v>
      </c>
      <c r="Y209" s="48">
        <f>'Adani Enterprises'!Y209</f>
        <v>0</v>
      </c>
      <c r="Z209" s="48">
        <f>'Adani Enterprises'!Z209</f>
        <v>0</v>
      </c>
      <c r="AA209" s="48">
        <f>'Adani Enterprises'!AA209</f>
        <v>0</v>
      </c>
      <c r="AB209" s="48">
        <f>'Adani Enterprises'!AB209</f>
        <v>0</v>
      </c>
      <c r="AC209" s="48">
        <f>'Adani Enterprises'!AC209</f>
        <v>0</v>
      </c>
      <c r="AD209" s="48">
        <f>'Adani Enterprises'!AD209</f>
        <v>0</v>
      </c>
      <c r="AE209" s="48">
        <f>'Adani Enterprises'!AE209</f>
        <v>0</v>
      </c>
      <c r="AF209" s="48">
        <f>'Adani Enterprises'!AF209</f>
        <v>0</v>
      </c>
      <c r="AG209" s="48">
        <f>'Adani Enterprises'!AG209</f>
        <v>0</v>
      </c>
      <c r="AH209" s="48">
        <f>'Adani Enterprises'!AH209</f>
        <v>0</v>
      </c>
      <c r="AI209" s="48">
        <f>'Adani Enterprises'!AI209</f>
        <v>0</v>
      </c>
      <c r="AJ209" s="48">
        <f>'Adani Enterprises'!AJ209</f>
        <v>0</v>
      </c>
      <c r="AK209" s="48">
        <f>'Adani Enterprises'!AK209</f>
        <v>0</v>
      </c>
      <c r="AL209" s="48">
        <f>'Adani Enterprises'!AL209</f>
        <v>0</v>
      </c>
    </row>
    <row r="210" customHeight="1" spans="1:38">
      <c r="A210" s="48">
        <f>'Adani Enterprises'!A210</f>
        <v>0</v>
      </c>
      <c r="B210" s="48">
        <f>'Adani Enterprises'!B210</f>
        <v>0</v>
      </c>
      <c r="C210" s="48">
        <f>'Adani Enterprises'!C210</f>
        <v>0</v>
      </c>
      <c r="D210" s="48">
        <f>'Adani Enterprises'!D210</f>
        <v>0</v>
      </c>
      <c r="E210" s="48">
        <f>'Adani Enterprises'!E210</f>
        <v>0</v>
      </c>
      <c r="F210" s="48">
        <f>'Adani Enterprises'!F210</f>
        <v>0</v>
      </c>
      <c r="G210" s="48">
        <f>'Adani Enterprises'!G210</f>
        <v>0</v>
      </c>
      <c r="H210" s="48">
        <f>'Adani Enterprises'!H210</f>
        <v>0</v>
      </c>
      <c r="I210" s="48">
        <f>'Adani Enterprises'!I210</f>
        <v>0</v>
      </c>
      <c r="J210" s="48">
        <f>'Adani Enterprises'!J210</f>
        <v>0</v>
      </c>
      <c r="K210" s="48">
        <f>'Adani Enterprises'!K210</f>
        <v>0</v>
      </c>
      <c r="L210" s="48">
        <f>'Adani Enterprises'!L210</f>
        <v>0</v>
      </c>
      <c r="M210" s="48">
        <f>'Adani Enterprises'!M210</f>
        <v>0</v>
      </c>
      <c r="N210" s="48">
        <f>'Adani Enterprises'!N210</f>
        <v>0</v>
      </c>
      <c r="O210" s="48">
        <f>'Adani Enterprises'!O210</f>
        <v>0</v>
      </c>
      <c r="P210" s="48">
        <f>'Adani Enterprises'!P210</f>
        <v>0</v>
      </c>
      <c r="Q210" s="48">
        <f>'Adani Enterprises'!Q210</f>
        <v>0</v>
      </c>
      <c r="R210" s="48">
        <f>'Adani Enterprises'!R210</f>
        <v>0</v>
      </c>
      <c r="S210" s="48">
        <f>'Adani Enterprises'!S210</f>
        <v>0</v>
      </c>
      <c r="T210" s="48">
        <f>'Adani Enterprises'!T210</f>
        <v>0</v>
      </c>
      <c r="U210" s="48">
        <f>'Adani Enterprises'!U210</f>
        <v>0</v>
      </c>
      <c r="V210" s="48">
        <f>'Adani Enterprises'!V210</f>
        <v>0</v>
      </c>
      <c r="W210" s="48">
        <f>'Adani Enterprises'!W210</f>
        <v>0</v>
      </c>
      <c r="X210" s="48">
        <f>'Adani Enterprises'!X210</f>
        <v>0</v>
      </c>
      <c r="Y210" s="48">
        <f>'Adani Enterprises'!Y210</f>
        <v>0</v>
      </c>
      <c r="Z210" s="48">
        <f>'Adani Enterprises'!Z210</f>
        <v>0</v>
      </c>
      <c r="AA210" s="48">
        <f>'Adani Enterprises'!AA210</f>
        <v>0</v>
      </c>
      <c r="AB210" s="48">
        <f>'Adani Enterprises'!AB210</f>
        <v>0</v>
      </c>
      <c r="AC210" s="48">
        <f>'Adani Enterprises'!AC210</f>
        <v>0</v>
      </c>
      <c r="AD210" s="48">
        <f>'Adani Enterprises'!AD210</f>
        <v>0</v>
      </c>
      <c r="AE210" s="48">
        <f>'Adani Enterprises'!AE210</f>
        <v>0</v>
      </c>
      <c r="AF210" s="48">
        <f>'Adani Enterprises'!AF210</f>
        <v>0</v>
      </c>
      <c r="AG210" s="48">
        <f>'Adani Enterprises'!AG210</f>
        <v>0</v>
      </c>
      <c r="AH210" s="48">
        <f>'Adani Enterprises'!AH210</f>
        <v>0</v>
      </c>
      <c r="AI210" s="48">
        <f>'Adani Enterprises'!AI210</f>
        <v>0</v>
      </c>
      <c r="AJ210" s="48">
        <f>'Adani Enterprises'!AJ210</f>
        <v>0</v>
      </c>
      <c r="AK210" s="48">
        <f>'Adani Enterprises'!AK210</f>
        <v>0</v>
      </c>
      <c r="AL210" s="48">
        <f>'Adani Enterprises'!AL210</f>
        <v>0</v>
      </c>
    </row>
    <row r="211" customHeight="1" spans="1:38">
      <c r="A211" s="48">
        <f>'Adani Enterprises'!A211</f>
        <v>0</v>
      </c>
      <c r="B211" s="48">
        <f>'Adani Enterprises'!B211</f>
        <v>0</v>
      </c>
      <c r="C211" s="48">
        <f>'Adani Enterprises'!C211</f>
        <v>0</v>
      </c>
      <c r="D211" s="48">
        <f>'Adani Enterprises'!D211</f>
        <v>0</v>
      </c>
      <c r="E211" s="48">
        <f>'Adani Enterprises'!E211</f>
        <v>0</v>
      </c>
      <c r="F211" s="48">
        <f>'Adani Enterprises'!F211</f>
        <v>0</v>
      </c>
      <c r="G211" s="48">
        <f>'Adani Enterprises'!G211</f>
        <v>0</v>
      </c>
      <c r="H211" s="48">
        <f>'Adani Enterprises'!H211</f>
        <v>0</v>
      </c>
      <c r="I211" s="48">
        <f>'Adani Enterprises'!I211</f>
        <v>0</v>
      </c>
      <c r="J211" s="48">
        <f>'Adani Enterprises'!J211</f>
        <v>0</v>
      </c>
      <c r="K211" s="48">
        <f>'Adani Enterprises'!K211</f>
        <v>0</v>
      </c>
      <c r="L211" s="48">
        <f>'Adani Enterprises'!L211</f>
        <v>0</v>
      </c>
      <c r="M211" s="48">
        <f>'Adani Enterprises'!M211</f>
        <v>0</v>
      </c>
      <c r="N211" s="48">
        <f>'Adani Enterprises'!N211</f>
        <v>0</v>
      </c>
      <c r="O211" s="48">
        <f>'Adani Enterprises'!O211</f>
        <v>0</v>
      </c>
      <c r="P211" s="48">
        <f>'Adani Enterprises'!P211</f>
        <v>0</v>
      </c>
      <c r="Q211" s="48">
        <f>'Adani Enterprises'!Q211</f>
        <v>0</v>
      </c>
      <c r="R211" s="48">
        <f>'Adani Enterprises'!R211</f>
        <v>0</v>
      </c>
      <c r="S211" s="48">
        <f>'Adani Enterprises'!S211</f>
        <v>0</v>
      </c>
      <c r="T211" s="48">
        <f>'Adani Enterprises'!T211</f>
        <v>0</v>
      </c>
      <c r="U211" s="48">
        <f>'Adani Enterprises'!U211</f>
        <v>0</v>
      </c>
      <c r="V211" s="48">
        <f>'Adani Enterprises'!V211</f>
        <v>0</v>
      </c>
      <c r="W211" s="48">
        <f>'Adani Enterprises'!W211</f>
        <v>0</v>
      </c>
      <c r="X211" s="48">
        <f>'Adani Enterprises'!X211</f>
        <v>0</v>
      </c>
      <c r="Y211" s="48">
        <f>'Adani Enterprises'!Y211</f>
        <v>0</v>
      </c>
      <c r="Z211" s="48">
        <f>'Adani Enterprises'!Z211</f>
        <v>0</v>
      </c>
      <c r="AA211" s="48">
        <f>'Adani Enterprises'!AA211</f>
        <v>0</v>
      </c>
      <c r="AB211" s="48">
        <f>'Adani Enterprises'!AB211</f>
        <v>0</v>
      </c>
      <c r="AC211" s="48">
        <f>'Adani Enterprises'!AC211</f>
        <v>0</v>
      </c>
      <c r="AD211" s="48">
        <f>'Adani Enterprises'!AD211</f>
        <v>0</v>
      </c>
      <c r="AE211" s="48">
        <f>'Adani Enterprises'!AE211</f>
        <v>0</v>
      </c>
      <c r="AF211" s="48">
        <f>'Adani Enterprises'!AF211</f>
        <v>0</v>
      </c>
      <c r="AG211" s="48">
        <f>'Adani Enterprises'!AG211</f>
        <v>0</v>
      </c>
      <c r="AH211" s="48">
        <f>'Adani Enterprises'!AH211</f>
        <v>0</v>
      </c>
      <c r="AI211" s="48">
        <f>'Adani Enterprises'!AI211</f>
        <v>0</v>
      </c>
      <c r="AJ211" s="48">
        <f>'Adani Enterprises'!AJ211</f>
        <v>0</v>
      </c>
      <c r="AK211" s="48">
        <f>'Adani Enterprises'!AK211</f>
        <v>0</v>
      </c>
      <c r="AL211" s="48">
        <f>'Adani Enterprises'!AL211</f>
        <v>0</v>
      </c>
    </row>
    <row r="212" customHeight="1" spans="1:38">
      <c r="A212" s="48">
        <f>'Adani Enterprises'!A212</f>
        <v>0</v>
      </c>
      <c r="B212" s="48">
        <f>'Adani Enterprises'!B212</f>
        <v>0</v>
      </c>
      <c r="C212" s="48">
        <f>'Adani Enterprises'!C212</f>
        <v>0</v>
      </c>
      <c r="D212" s="48">
        <f>'Adani Enterprises'!D212</f>
        <v>0</v>
      </c>
      <c r="E212" s="48">
        <f>'Adani Enterprises'!E212</f>
        <v>0</v>
      </c>
      <c r="F212" s="48">
        <f>'Adani Enterprises'!F212</f>
        <v>0</v>
      </c>
      <c r="G212" s="48">
        <f>'Adani Enterprises'!G212</f>
        <v>0</v>
      </c>
      <c r="H212" s="48">
        <f>'Adani Enterprises'!H212</f>
        <v>0</v>
      </c>
      <c r="I212" s="48">
        <f>'Adani Enterprises'!I212</f>
        <v>0</v>
      </c>
      <c r="J212" s="48">
        <f>'Adani Enterprises'!J212</f>
        <v>0</v>
      </c>
      <c r="K212" s="48">
        <f>'Adani Enterprises'!K212</f>
        <v>0</v>
      </c>
      <c r="L212" s="48">
        <f>'Adani Enterprises'!L212</f>
        <v>0</v>
      </c>
      <c r="M212" s="48">
        <f>'Adani Enterprises'!M212</f>
        <v>0</v>
      </c>
      <c r="N212" s="48">
        <f>'Adani Enterprises'!N212</f>
        <v>0</v>
      </c>
      <c r="O212" s="48">
        <f>'Adani Enterprises'!O212</f>
        <v>0</v>
      </c>
      <c r="P212" s="48">
        <f>'Adani Enterprises'!P212</f>
        <v>0</v>
      </c>
      <c r="Q212" s="48">
        <f>'Adani Enterprises'!Q212</f>
        <v>0</v>
      </c>
      <c r="R212" s="48">
        <f>'Adani Enterprises'!R212</f>
        <v>0</v>
      </c>
      <c r="S212" s="48">
        <f>'Adani Enterprises'!S212</f>
        <v>0</v>
      </c>
      <c r="T212" s="48">
        <f>'Adani Enterprises'!T212</f>
        <v>0</v>
      </c>
      <c r="U212" s="48">
        <f>'Adani Enterprises'!U212</f>
        <v>0</v>
      </c>
      <c r="V212" s="48">
        <f>'Adani Enterprises'!V212</f>
        <v>0</v>
      </c>
      <c r="W212" s="48">
        <f>'Adani Enterprises'!W212</f>
        <v>0</v>
      </c>
      <c r="X212" s="48">
        <f>'Adani Enterprises'!X212</f>
        <v>0</v>
      </c>
      <c r="Y212" s="48">
        <f>'Adani Enterprises'!Y212</f>
        <v>0</v>
      </c>
      <c r="Z212" s="48">
        <f>'Adani Enterprises'!Z212</f>
        <v>0</v>
      </c>
      <c r="AA212" s="48">
        <f>'Adani Enterprises'!AA212</f>
        <v>0</v>
      </c>
      <c r="AB212" s="48">
        <f>'Adani Enterprises'!AB212</f>
        <v>0</v>
      </c>
      <c r="AC212" s="48">
        <f>'Adani Enterprises'!AC212</f>
        <v>0</v>
      </c>
      <c r="AD212" s="48">
        <f>'Adani Enterprises'!AD212</f>
        <v>0</v>
      </c>
      <c r="AE212" s="48">
        <f>'Adani Enterprises'!AE212</f>
        <v>0</v>
      </c>
      <c r="AF212" s="48">
        <f>'Adani Enterprises'!AF212</f>
        <v>0</v>
      </c>
      <c r="AG212" s="48">
        <f>'Adani Enterprises'!AG212</f>
        <v>0</v>
      </c>
      <c r="AH212" s="48">
        <f>'Adani Enterprises'!AH212</f>
        <v>0</v>
      </c>
      <c r="AI212" s="48">
        <f>'Adani Enterprises'!AI212</f>
        <v>0</v>
      </c>
      <c r="AJ212" s="48">
        <f>'Adani Enterprises'!AJ212</f>
        <v>0</v>
      </c>
      <c r="AK212" s="48">
        <f>'Adani Enterprises'!AK212</f>
        <v>0</v>
      </c>
      <c r="AL212" s="48">
        <f>'Adani Enterprises'!AL212</f>
        <v>0</v>
      </c>
    </row>
    <row r="213" customHeight="1" spans="1:38">
      <c r="A213" s="48">
        <f>'Adani Enterprises'!A213</f>
        <v>0</v>
      </c>
      <c r="B213" s="48">
        <f>'Adani Enterprises'!B213</f>
        <v>0</v>
      </c>
      <c r="C213" s="48">
        <f>'Adani Enterprises'!C213</f>
        <v>0</v>
      </c>
      <c r="D213" s="48">
        <f>'Adani Enterprises'!D213</f>
        <v>0</v>
      </c>
      <c r="E213" s="48">
        <f>'Adani Enterprises'!E213</f>
        <v>0</v>
      </c>
      <c r="F213" s="48">
        <f>'Adani Enterprises'!F213</f>
        <v>0</v>
      </c>
      <c r="G213" s="48">
        <f>'Adani Enterprises'!G213</f>
        <v>0</v>
      </c>
      <c r="H213" s="48">
        <f>'Adani Enterprises'!H213</f>
        <v>0</v>
      </c>
      <c r="I213" s="48">
        <f>'Adani Enterprises'!I213</f>
        <v>0</v>
      </c>
      <c r="J213" s="48">
        <f>'Adani Enterprises'!J213</f>
        <v>0</v>
      </c>
      <c r="K213" s="48">
        <f>'Adani Enterprises'!K213</f>
        <v>0</v>
      </c>
      <c r="L213" s="48">
        <f>'Adani Enterprises'!L213</f>
        <v>0</v>
      </c>
      <c r="M213" s="48">
        <f>'Adani Enterprises'!M213</f>
        <v>0</v>
      </c>
      <c r="N213" s="48">
        <f>'Adani Enterprises'!N213</f>
        <v>0</v>
      </c>
      <c r="O213" s="48">
        <f>'Adani Enterprises'!O213</f>
        <v>0</v>
      </c>
      <c r="P213" s="48">
        <f>'Adani Enterprises'!P213</f>
        <v>0</v>
      </c>
      <c r="Q213" s="48">
        <f>'Adani Enterprises'!Q213</f>
        <v>0</v>
      </c>
      <c r="R213" s="48">
        <f>'Adani Enterprises'!R213</f>
        <v>0</v>
      </c>
      <c r="S213" s="48">
        <f>'Adani Enterprises'!S213</f>
        <v>0</v>
      </c>
      <c r="T213" s="48">
        <f>'Adani Enterprises'!T213</f>
        <v>0</v>
      </c>
      <c r="U213" s="48">
        <f>'Adani Enterprises'!U213</f>
        <v>0</v>
      </c>
      <c r="V213" s="48">
        <f>'Adani Enterprises'!V213</f>
        <v>0</v>
      </c>
      <c r="W213" s="48">
        <f>'Adani Enterprises'!W213</f>
        <v>0</v>
      </c>
      <c r="X213" s="48">
        <f>'Adani Enterprises'!X213</f>
        <v>0</v>
      </c>
      <c r="Y213" s="48">
        <f>'Adani Enterprises'!Y213</f>
        <v>0</v>
      </c>
      <c r="Z213" s="48">
        <f>'Adani Enterprises'!Z213</f>
        <v>0</v>
      </c>
      <c r="AA213" s="48">
        <f>'Adani Enterprises'!AA213</f>
        <v>0</v>
      </c>
      <c r="AB213" s="48">
        <f>'Adani Enterprises'!AB213</f>
        <v>0</v>
      </c>
      <c r="AC213" s="48">
        <f>'Adani Enterprises'!AC213</f>
        <v>0</v>
      </c>
      <c r="AD213" s="48">
        <f>'Adani Enterprises'!AD213</f>
        <v>0</v>
      </c>
      <c r="AE213" s="48">
        <f>'Adani Enterprises'!AE213</f>
        <v>0</v>
      </c>
      <c r="AF213" s="48">
        <f>'Adani Enterprises'!AF213</f>
        <v>0</v>
      </c>
      <c r="AG213" s="48">
        <f>'Adani Enterprises'!AG213</f>
        <v>0</v>
      </c>
      <c r="AH213" s="48">
        <f>'Adani Enterprises'!AH213</f>
        <v>0</v>
      </c>
      <c r="AI213" s="48">
        <f>'Adani Enterprises'!AI213</f>
        <v>0</v>
      </c>
      <c r="AJ213" s="48">
        <f>'Adani Enterprises'!AJ213</f>
        <v>0</v>
      </c>
      <c r="AK213" s="48">
        <f>'Adani Enterprises'!AK213</f>
        <v>0</v>
      </c>
      <c r="AL213" s="48">
        <f>'Adani Enterprises'!AL213</f>
        <v>0</v>
      </c>
    </row>
    <row r="214" customHeight="1" spans="1:38">
      <c r="A214" s="48">
        <f>'Adani Enterprises'!A214</f>
        <v>0</v>
      </c>
      <c r="B214" s="48">
        <f>'Adani Enterprises'!B214</f>
        <v>0</v>
      </c>
      <c r="C214" s="48">
        <f>'Adani Enterprises'!C214</f>
        <v>0</v>
      </c>
      <c r="D214" s="48">
        <f>'Adani Enterprises'!D214</f>
        <v>0</v>
      </c>
      <c r="E214" s="48">
        <f>'Adani Enterprises'!E214</f>
        <v>0</v>
      </c>
      <c r="F214" s="48">
        <f>'Adani Enterprises'!F214</f>
        <v>0</v>
      </c>
      <c r="G214" s="48">
        <f>'Adani Enterprises'!G214</f>
        <v>0</v>
      </c>
      <c r="H214" s="48">
        <f>'Adani Enterprises'!H214</f>
        <v>0</v>
      </c>
      <c r="I214" s="48">
        <f>'Adani Enterprises'!I214</f>
        <v>0</v>
      </c>
      <c r="J214" s="48">
        <f>'Adani Enterprises'!J214</f>
        <v>0</v>
      </c>
      <c r="K214" s="48">
        <f>'Adani Enterprises'!K214</f>
        <v>0</v>
      </c>
      <c r="L214" s="48">
        <f>'Adani Enterprises'!L214</f>
        <v>0</v>
      </c>
      <c r="M214" s="48">
        <f>'Adani Enterprises'!M214</f>
        <v>0</v>
      </c>
      <c r="N214" s="48">
        <f>'Adani Enterprises'!N214</f>
        <v>0</v>
      </c>
      <c r="O214" s="48">
        <f>'Adani Enterprises'!O214</f>
        <v>0</v>
      </c>
      <c r="P214" s="48">
        <f>'Adani Enterprises'!P214</f>
        <v>0</v>
      </c>
      <c r="Q214" s="48">
        <f>'Adani Enterprises'!Q214</f>
        <v>0</v>
      </c>
      <c r="R214" s="48">
        <f>'Adani Enterprises'!R214</f>
        <v>0</v>
      </c>
      <c r="S214" s="48">
        <f>'Adani Enterprises'!S214</f>
        <v>0</v>
      </c>
      <c r="T214" s="48">
        <f>'Adani Enterprises'!T214</f>
        <v>0</v>
      </c>
      <c r="U214" s="48">
        <f>'Adani Enterprises'!U214</f>
        <v>0</v>
      </c>
      <c r="V214" s="48">
        <f>'Adani Enterprises'!V214</f>
        <v>0</v>
      </c>
      <c r="W214" s="48">
        <f>'Adani Enterprises'!W214</f>
        <v>0</v>
      </c>
      <c r="X214" s="48">
        <f>'Adani Enterprises'!X214</f>
        <v>0</v>
      </c>
      <c r="Y214" s="48">
        <f>'Adani Enterprises'!Y214</f>
        <v>0</v>
      </c>
      <c r="Z214" s="48">
        <f>'Adani Enterprises'!Z214</f>
        <v>0</v>
      </c>
      <c r="AA214" s="48">
        <f>'Adani Enterprises'!AA214</f>
        <v>0</v>
      </c>
      <c r="AB214" s="48">
        <f>'Adani Enterprises'!AB214</f>
        <v>0</v>
      </c>
      <c r="AC214" s="48">
        <f>'Adani Enterprises'!AC214</f>
        <v>0</v>
      </c>
      <c r="AD214" s="48">
        <f>'Adani Enterprises'!AD214</f>
        <v>0</v>
      </c>
      <c r="AE214" s="48">
        <f>'Adani Enterprises'!AE214</f>
        <v>0</v>
      </c>
      <c r="AF214" s="48">
        <f>'Adani Enterprises'!AF214</f>
        <v>0</v>
      </c>
      <c r="AG214" s="48">
        <f>'Adani Enterprises'!AG214</f>
        <v>0</v>
      </c>
      <c r="AH214" s="48">
        <f>'Adani Enterprises'!AH214</f>
        <v>0</v>
      </c>
      <c r="AI214" s="48">
        <f>'Adani Enterprises'!AI214</f>
        <v>0</v>
      </c>
      <c r="AJ214" s="48">
        <f>'Adani Enterprises'!AJ214</f>
        <v>0</v>
      </c>
      <c r="AK214" s="48">
        <f>'Adani Enterprises'!AK214</f>
        <v>0</v>
      </c>
      <c r="AL214" s="48">
        <f>'Adani Enterprises'!AL214</f>
        <v>0</v>
      </c>
    </row>
    <row r="215" customHeight="1" spans="1:38">
      <c r="A215" s="48">
        <f>'Adani Enterprises'!A215</f>
        <v>0</v>
      </c>
      <c r="B215" s="48">
        <f>'Adani Enterprises'!B215</f>
        <v>0</v>
      </c>
      <c r="C215" s="48">
        <f>'Adani Enterprises'!C215</f>
        <v>0</v>
      </c>
      <c r="D215" s="48">
        <f>'Adani Enterprises'!D215</f>
        <v>0</v>
      </c>
      <c r="E215" s="48">
        <f>'Adani Enterprises'!E215</f>
        <v>0</v>
      </c>
      <c r="F215" s="48">
        <f>'Adani Enterprises'!F215</f>
        <v>0</v>
      </c>
      <c r="G215" s="48">
        <f>'Adani Enterprises'!G215</f>
        <v>0</v>
      </c>
      <c r="H215" s="48">
        <f>'Adani Enterprises'!H215</f>
        <v>0</v>
      </c>
      <c r="I215" s="48">
        <f>'Adani Enterprises'!I215</f>
        <v>0</v>
      </c>
      <c r="J215" s="48">
        <f>'Adani Enterprises'!J215</f>
        <v>0</v>
      </c>
      <c r="K215" s="48">
        <f>'Adani Enterprises'!K215</f>
        <v>0</v>
      </c>
      <c r="L215" s="48">
        <f>'Adani Enterprises'!L215</f>
        <v>0</v>
      </c>
      <c r="M215" s="48">
        <f>'Adani Enterprises'!M215</f>
        <v>0</v>
      </c>
      <c r="N215" s="48">
        <f>'Adani Enterprises'!N215</f>
        <v>0</v>
      </c>
      <c r="O215" s="48">
        <f>'Adani Enterprises'!O215</f>
        <v>0</v>
      </c>
      <c r="P215" s="48">
        <f>'Adani Enterprises'!P215</f>
        <v>0</v>
      </c>
      <c r="Q215" s="48">
        <f>'Adani Enterprises'!Q215</f>
        <v>0</v>
      </c>
      <c r="R215" s="48">
        <f>'Adani Enterprises'!R215</f>
        <v>0</v>
      </c>
      <c r="S215" s="48">
        <f>'Adani Enterprises'!S215</f>
        <v>0</v>
      </c>
      <c r="T215" s="48">
        <f>'Adani Enterprises'!T215</f>
        <v>0</v>
      </c>
      <c r="U215" s="48">
        <f>'Adani Enterprises'!U215</f>
        <v>0</v>
      </c>
      <c r="V215" s="48">
        <f>'Adani Enterprises'!V215</f>
        <v>0</v>
      </c>
      <c r="W215" s="48">
        <f>'Adani Enterprises'!W215</f>
        <v>0</v>
      </c>
      <c r="X215" s="48">
        <f>'Adani Enterprises'!X215</f>
        <v>0</v>
      </c>
      <c r="Y215" s="48">
        <f>'Adani Enterprises'!Y215</f>
        <v>0</v>
      </c>
      <c r="Z215" s="48">
        <f>'Adani Enterprises'!Z215</f>
        <v>0</v>
      </c>
      <c r="AA215" s="48">
        <f>'Adani Enterprises'!AA215</f>
        <v>0</v>
      </c>
      <c r="AB215" s="48">
        <f>'Adani Enterprises'!AB215</f>
        <v>0</v>
      </c>
      <c r="AC215" s="48">
        <f>'Adani Enterprises'!AC215</f>
        <v>0</v>
      </c>
      <c r="AD215" s="48">
        <f>'Adani Enterprises'!AD215</f>
        <v>0</v>
      </c>
      <c r="AE215" s="48">
        <f>'Adani Enterprises'!AE215</f>
        <v>0</v>
      </c>
      <c r="AF215" s="48">
        <f>'Adani Enterprises'!AF215</f>
        <v>0</v>
      </c>
      <c r="AG215" s="48">
        <f>'Adani Enterprises'!AG215</f>
        <v>0</v>
      </c>
      <c r="AH215" s="48">
        <f>'Adani Enterprises'!AH215</f>
        <v>0</v>
      </c>
      <c r="AI215" s="48">
        <f>'Adani Enterprises'!AI215</f>
        <v>0</v>
      </c>
      <c r="AJ215" s="48">
        <f>'Adani Enterprises'!AJ215</f>
        <v>0</v>
      </c>
      <c r="AK215" s="48">
        <f>'Adani Enterprises'!AK215</f>
        <v>0</v>
      </c>
      <c r="AL215" s="48">
        <f>'Adani Enterprises'!AL215</f>
        <v>0</v>
      </c>
    </row>
    <row r="216" customHeight="1" spans="1:38">
      <c r="A216" s="48">
        <f>'Adani Enterprises'!A216</f>
        <v>0</v>
      </c>
      <c r="B216" s="48">
        <f>'Adani Enterprises'!B216</f>
        <v>0</v>
      </c>
      <c r="C216" s="48">
        <f>'Adani Enterprises'!C216</f>
        <v>0</v>
      </c>
      <c r="D216" s="48">
        <f>'Adani Enterprises'!D216</f>
        <v>0</v>
      </c>
      <c r="E216" s="48">
        <f>'Adani Enterprises'!E216</f>
        <v>0</v>
      </c>
      <c r="F216" s="48">
        <f>'Adani Enterprises'!F216</f>
        <v>0</v>
      </c>
      <c r="G216" s="48">
        <f>'Adani Enterprises'!G216</f>
        <v>0</v>
      </c>
      <c r="H216" s="48">
        <f>'Adani Enterprises'!H216</f>
        <v>0</v>
      </c>
      <c r="I216" s="48">
        <f>'Adani Enterprises'!I216</f>
        <v>0</v>
      </c>
      <c r="J216" s="48">
        <f>'Adani Enterprises'!J216</f>
        <v>0</v>
      </c>
      <c r="K216" s="48">
        <f>'Adani Enterprises'!K216</f>
        <v>0</v>
      </c>
      <c r="L216" s="48">
        <f>'Adani Enterprises'!L216</f>
        <v>0</v>
      </c>
      <c r="M216" s="48">
        <f>'Adani Enterprises'!M216</f>
        <v>0</v>
      </c>
      <c r="N216" s="48">
        <f>'Adani Enterprises'!N216</f>
        <v>0</v>
      </c>
      <c r="O216" s="48">
        <f>'Adani Enterprises'!O216</f>
        <v>0</v>
      </c>
      <c r="P216" s="48">
        <f>'Adani Enterprises'!P216</f>
        <v>0</v>
      </c>
      <c r="Q216" s="48">
        <f>'Adani Enterprises'!Q216</f>
        <v>0</v>
      </c>
      <c r="R216" s="48">
        <f>'Adani Enterprises'!R216</f>
        <v>0</v>
      </c>
      <c r="S216" s="48">
        <f>'Adani Enterprises'!S216</f>
        <v>0</v>
      </c>
      <c r="T216" s="48">
        <f>'Adani Enterprises'!T216</f>
        <v>0</v>
      </c>
      <c r="U216" s="48">
        <f>'Adani Enterprises'!U216</f>
        <v>0</v>
      </c>
      <c r="V216" s="48">
        <f>'Adani Enterprises'!V216</f>
        <v>0</v>
      </c>
      <c r="W216" s="48">
        <f>'Adani Enterprises'!W216</f>
        <v>0</v>
      </c>
      <c r="X216" s="48">
        <f>'Adani Enterprises'!X216</f>
        <v>0</v>
      </c>
      <c r="Y216" s="48">
        <f>'Adani Enterprises'!Y216</f>
        <v>0</v>
      </c>
      <c r="Z216" s="48">
        <f>'Adani Enterprises'!Z216</f>
        <v>0</v>
      </c>
      <c r="AA216" s="48">
        <f>'Adani Enterprises'!AA216</f>
        <v>0</v>
      </c>
      <c r="AB216" s="48">
        <f>'Adani Enterprises'!AB216</f>
        <v>0</v>
      </c>
      <c r="AC216" s="48">
        <f>'Adani Enterprises'!AC216</f>
        <v>0</v>
      </c>
      <c r="AD216" s="48">
        <f>'Adani Enterprises'!AD216</f>
        <v>0</v>
      </c>
      <c r="AE216" s="48">
        <f>'Adani Enterprises'!AE216</f>
        <v>0</v>
      </c>
      <c r="AF216" s="48">
        <f>'Adani Enterprises'!AF216</f>
        <v>0</v>
      </c>
      <c r="AG216" s="48">
        <f>'Adani Enterprises'!AG216</f>
        <v>0</v>
      </c>
      <c r="AH216" s="48">
        <f>'Adani Enterprises'!AH216</f>
        <v>0</v>
      </c>
      <c r="AI216" s="48">
        <f>'Adani Enterprises'!AI216</f>
        <v>0</v>
      </c>
      <c r="AJ216" s="48">
        <f>'Adani Enterprises'!AJ216</f>
        <v>0</v>
      </c>
      <c r="AK216" s="48">
        <f>'Adani Enterprises'!AK216</f>
        <v>0</v>
      </c>
      <c r="AL216" s="48">
        <f>'Adani Enterprises'!AL216</f>
        <v>0</v>
      </c>
    </row>
    <row r="217" customHeight="1" spans="1:38">
      <c r="A217" s="48">
        <f>'Adani Enterprises'!A217</f>
        <v>0</v>
      </c>
      <c r="B217" s="48">
        <f>'Adani Enterprises'!B217</f>
        <v>0</v>
      </c>
      <c r="C217" s="48">
        <f>'Adani Enterprises'!C217</f>
        <v>0</v>
      </c>
      <c r="D217" s="48">
        <f>'Adani Enterprises'!D217</f>
        <v>0</v>
      </c>
      <c r="E217" s="48">
        <f>'Adani Enterprises'!E217</f>
        <v>0</v>
      </c>
      <c r="F217" s="48">
        <f>'Adani Enterprises'!F217</f>
        <v>0</v>
      </c>
      <c r="G217" s="48">
        <f>'Adani Enterprises'!G217</f>
        <v>0</v>
      </c>
      <c r="H217" s="48">
        <f>'Adani Enterprises'!H217</f>
        <v>0</v>
      </c>
      <c r="I217" s="48">
        <f>'Adani Enterprises'!I217</f>
        <v>0</v>
      </c>
      <c r="J217" s="48">
        <f>'Adani Enterprises'!J217</f>
        <v>0</v>
      </c>
      <c r="K217" s="48">
        <f>'Adani Enterprises'!K217</f>
        <v>0</v>
      </c>
      <c r="L217" s="48">
        <f>'Adani Enterprises'!L217</f>
        <v>0</v>
      </c>
      <c r="M217" s="48">
        <f>'Adani Enterprises'!M217</f>
        <v>0</v>
      </c>
      <c r="N217" s="48">
        <f>'Adani Enterprises'!N217</f>
        <v>0</v>
      </c>
      <c r="O217" s="48">
        <f>'Adani Enterprises'!O217</f>
        <v>0</v>
      </c>
      <c r="P217" s="48">
        <f>'Adani Enterprises'!P217</f>
        <v>0</v>
      </c>
      <c r="Q217" s="48">
        <f>'Adani Enterprises'!Q217</f>
        <v>0</v>
      </c>
      <c r="R217" s="48">
        <f>'Adani Enterprises'!R217</f>
        <v>0</v>
      </c>
      <c r="S217" s="48">
        <f>'Adani Enterprises'!S217</f>
        <v>0</v>
      </c>
      <c r="T217" s="48">
        <f>'Adani Enterprises'!T217</f>
        <v>0</v>
      </c>
      <c r="U217" s="48">
        <f>'Adani Enterprises'!U217</f>
        <v>0</v>
      </c>
      <c r="V217" s="48">
        <f>'Adani Enterprises'!V217</f>
        <v>0</v>
      </c>
      <c r="W217" s="48">
        <f>'Adani Enterprises'!W217</f>
        <v>0</v>
      </c>
      <c r="X217" s="48">
        <f>'Adani Enterprises'!X217</f>
        <v>0</v>
      </c>
      <c r="Y217" s="48">
        <f>'Adani Enterprises'!Y217</f>
        <v>0</v>
      </c>
      <c r="Z217" s="48">
        <f>'Adani Enterprises'!Z217</f>
        <v>0</v>
      </c>
      <c r="AA217" s="48">
        <f>'Adani Enterprises'!AA217</f>
        <v>0</v>
      </c>
      <c r="AB217" s="48">
        <f>'Adani Enterprises'!AB217</f>
        <v>0</v>
      </c>
      <c r="AC217" s="48">
        <f>'Adani Enterprises'!AC217</f>
        <v>0</v>
      </c>
      <c r="AD217" s="48">
        <f>'Adani Enterprises'!AD217</f>
        <v>0</v>
      </c>
      <c r="AE217" s="48">
        <f>'Adani Enterprises'!AE217</f>
        <v>0</v>
      </c>
      <c r="AF217" s="48">
        <f>'Adani Enterprises'!AF217</f>
        <v>0</v>
      </c>
      <c r="AG217" s="48">
        <f>'Adani Enterprises'!AG217</f>
        <v>0</v>
      </c>
      <c r="AH217" s="48">
        <f>'Adani Enterprises'!AH217</f>
        <v>0</v>
      </c>
      <c r="AI217" s="48">
        <f>'Adani Enterprises'!AI217</f>
        <v>0</v>
      </c>
      <c r="AJ217" s="48">
        <f>'Adani Enterprises'!AJ217</f>
        <v>0</v>
      </c>
      <c r="AK217" s="48">
        <f>'Adani Enterprises'!AK217</f>
        <v>0</v>
      </c>
      <c r="AL217" s="48">
        <f>'Adani Enterprises'!AL217</f>
        <v>0</v>
      </c>
    </row>
    <row r="218" customHeight="1" spans="1:38">
      <c r="A218" s="48">
        <f>'Adani Enterprises'!A218</f>
        <v>0</v>
      </c>
      <c r="B218" s="48">
        <f>'Adani Enterprises'!B218</f>
        <v>0</v>
      </c>
      <c r="C218" s="48">
        <f>'Adani Enterprises'!C218</f>
        <v>0</v>
      </c>
      <c r="D218" s="48">
        <f>'Adani Enterprises'!D218</f>
        <v>0</v>
      </c>
      <c r="E218" s="48">
        <f>'Adani Enterprises'!E218</f>
        <v>0</v>
      </c>
      <c r="F218" s="48">
        <f>'Adani Enterprises'!F218</f>
        <v>0</v>
      </c>
      <c r="G218" s="48">
        <f>'Adani Enterprises'!G218</f>
        <v>0</v>
      </c>
      <c r="H218" s="48">
        <f>'Adani Enterprises'!H218</f>
        <v>0</v>
      </c>
      <c r="I218" s="48">
        <f>'Adani Enterprises'!I218</f>
        <v>0</v>
      </c>
      <c r="J218" s="48">
        <f>'Adani Enterprises'!J218</f>
        <v>0</v>
      </c>
      <c r="K218" s="48">
        <f>'Adani Enterprises'!K218</f>
        <v>0</v>
      </c>
      <c r="L218" s="48">
        <f>'Adani Enterprises'!L218</f>
        <v>0</v>
      </c>
      <c r="M218" s="48">
        <f>'Adani Enterprises'!M218</f>
        <v>0</v>
      </c>
      <c r="N218" s="48">
        <f>'Adani Enterprises'!N218</f>
        <v>0</v>
      </c>
      <c r="O218" s="48">
        <f>'Adani Enterprises'!O218</f>
        <v>0</v>
      </c>
      <c r="P218" s="48">
        <f>'Adani Enterprises'!P218</f>
        <v>0</v>
      </c>
      <c r="Q218" s="48">
        <f>'Adani Enterprises'!Q218</f>
        <v>0</v>
      </c>
      <c r="R218" s="48">
        <f>'Adani Enterprises'!R218</f>
        <v>0</v>
      </c>
      <c r="S218" s="48">
        <f>'Adani Enterprises'!S218</f>
        <v>0</v>
      </c>
      <c r="T218" s="48">
        <f>'Adani Enterprises'!T218</f>
        <v>0</v>
      </c>
      <c r="U218" s="48">
        <f>'Adani Enterprises'!U218</f>
        <v>0</v>
      </c>
      <c r="V218" s="48">
        <f>'Adani Enterprises'!V218</f>
        <v>0</v>
      </c>
      <c r="W218" s="48">
        <f>'Adani Enterprises'!W218</f>
        <v>0</v>
      </c>
      <c r="X218" s="48">
        <f>'Adani Enterprises'!X218</f>
        <v>0</v>
      </c>
      <c r="Y218" s="48">
        <f>'Adani Enterprises'!Y218</f>
        <v>0</v>
      </c>
      <c r="Z218" s="48">
        <f>'Adani Enterprises'!Z218</f>
        <v>0</v>
      </c>
      <c r="AA218" s="48">
        <f>'Adani Enterprises'!AA218</f>
        <v>0</v>
      </c>
      <c r="AB218" s="48">
        <f>'Adani Enterprises'!AB218</f>
        <v>0</v>
      </c>
      <c r="AC218" s="48">
        <f>'Adani Enterprises'!AC218</f>
        <v>0</v>
      </c>
      <c r="AD218" s="48">
        <f>'Adani Enterprises'!AD218</f>
        <v>0</v>
      </c>
      <c r="AE218" s="48">
        <f>'Adani Enterprises'!AE218</f>
        <v>0</v>
      </c>
      <c r="AF218" s="48">
        <f>'Adani Enterprises'!AF218</f>
        <v>0</v>
      </c>
      <c r="AG218" s="48">
        <f>'Adani Enterprises'!AG218</f>
        <v>0</v>
      </c>
      <c r="AH218" s="48">
        <f>'Adani Enterprises'!AH218</f>
        <v>0</v>
      </c>
      <c r="AI218" s="48">
        <f>'Adani Enterprises'!AI218</f>
        <v>0</v>
      </c>
      <c r="AJ218" s="48">
        <f>'Adani Enterprises'!AJ218</f>
        <v>0</v>
      </c>
      <c r="AK218" s="48">
        <f>'Adani Enterprises'!AK218</f>
        <v>0</v>
      </c>
      <c r="AL218" s="48">
        <f>'Adani Enterprises'!AL218</f>
        <v>0</v>
      </c>
    </row>
    <row r="219" customHeight="1" spans="1:38">
      <c r="A219" s="48">
        <f>'Adani Enterprises'!A219</f>
        <v>0</v>
      </c>
      <c r="B219" s="48">
        <f>'Adani Enterprises'!B219</f>
        <v>0</v>
      </c>
      <c r="C219" s="48">
        <f>'Adani Enterprises'!C219</f>
        <v>0</v>
      </c>
      <c r="D219" s="48">
        <f>'Adani Enterprises'!D219</f>
        <v>0</v>
      </c>
      <c r="E219" s="48">
        <f>'Adani Enterprises'!E219</f>
        <v>0</v>
      </c>
      <c r="F219" s="48">
        <f>'Adani Enterprises'!F219</f>
        <v>0</v>
      </c>
      <c r="G219" s="48">
        <f>'Adani Enterprises'!G219</f>
        <v>0</v>
      </c>
      <c r="H219" s="48">
        <f>'Adani Enterprises'!H219</f>
        <v>0</v>
      </c>
      <c r="I219" s="48">
        <f>'Adani Enterprises'!I219</f>
        <v>0</v>
      </c>
      <c r="J219" s="48">
        <f>'Adani Enterprises'!J219</f>
        <v>0</v>
      </c>
      <c r="K219" s="48">
        <f>'Adani Enterprises'!K219</f>
        <v>0</v>
      </c>
      <c r="L219" s="48">
        <f>'Adani Enterprises'!L219</f>
        <v>0</v>
      </c>
      <c r="M219" s="48">
        <f>'Adani Enterprises'!M219</f>
        <v>0</v>
      </c>
      <c r="N219" s="48">
        <f>'Adani Enterprises'!N219</f>
        <v>0</v>
      </c>
      <c r="O219" s="48">
        <f>'Adani Enterprises'!O219</f>
        <v>0</v>
      </c>
      <c r="P219" s="48">
        <f>'Adani Enterprises'!P219</f>
        <v>0</v>
      </c>
      <c r="Q219" s="48">
        <f>'Adani Enterprises'!Q219</f>
        <v>0</v>
      </c>
      <c r="R219" s="48">
        <f>'Adani Enterprises'!R219</f>
        <v>0</v>
      </c>
      <c r="S219" s="48">
        <f>'Adani Enterprises'!S219</f>
        <v>0</v>
      </c>
      <c r="T219" s="48">
        <f>'Adani Enterprises'!T219</f>
        <v>0</v>
      </c>
      <c r="U219" s="48">
        <f>'Adani Enterprises'!U219</f>
        <v>0</v>
      </c>
      <c r="V219" s="48">
        <f>'Adani Enterprises'!V219</f>
        <v>0</v>
      </c>
      <c r="W219" s="48">
        <f>'Adani Enterprises'!W219</f>
        <v>0</v>
      </c>
      <c r="X219" s="48">
        <f>'Adani Enterprises'!X219</f>
        <v>0</v>
      </c>
      <c r="Y219" s="48">
        <f>'Adani Enterprises'!Y219</f>
        <v>0</v>
      </c>
      <c r="Z219" s="48">
        <f>'Adani Enterprises'!Z219</f>
        <v>0</v>
      </c>
      <c r="AA219" s="48">
        <f>'Adani Enterprises'!AA219</f>
        <v>0</v>
      </c>
      <c r="AB219" s="48">
        <f>'Adani Enterprises'!AB219</f>
        <v>0</v>
      </c>
      <c r="AC219" s="48">
        <f>'Adani Enterprises'!AC219</f>
        <v>0</v>
      </c>
      <c r="AD219" s="48">
        <f>'Adani Enterprises'!AD219</f>
        <v>0</v>
      </c>
      <c r="AE219" s="48">
        <f>'Adani Enterprises'!AE219</f>
        <v>0</v>
      </c>
      <c r="AF219" s="48">
        <f>'Adani Enterprises'!AF219</f>
        <v>0</v>
      </c>
      <c r="AG219" s="48">
        <f>'Adani Enterprises'!AG219</f>
        <v>0</v>
      </c>
      <c r="AH219" s="48">
        <f>'Adani Enterprises'!AH219</f>
        <v>0</v>
      </c>
      <c r="AI219" s="48">
        <f>'Adani Enterprises'!AI219</f>
        <v>0</v>
      </c>
      <c r="AJ219" s="48">
        <f>'Adani Enterprises'!AJ219</f>
        <v>0</v>
      </c>
      <c r="AK219" s="48">
        <f>'Adani Enterprises'!AK219</f>
        <v>0</v>
      </c>
      <c r="AL219" s="48">
        <f>'Adani Enterprises'!AL219</f>
        <v>0</v>
      </c>
    </row>
    <row r="220" customHeight="1" spans="1:38">
      <c r="A220" s="48">
        <f>'Adani Enterprises'!A220</f>
        <v>0</v>
      </c>
      <c r="B220" s="48">
        <f>'Adani Enterprises'!B220</f>
        <v>0</v>
      </c>
      <c r="C220" s="48">
        <f>'Adani Enterprises'!C220</f>
        <v>0</v>
      </c>
      <c r="D220" s="48">
        <f>'Adani Enterprises'!D220</f>
        <v>0</v>
      </c>
      <c r="E220" s="48">
        <f>'Adani Enterprises'!E220</f>
        <v>0</v>
      </c>
      <c r="F220" s="48">
        <f>'Adani Enterprises'!F220</f>
        <v>0</v>
      </c>
      <c r="G220" s="48">
        <f>'Adani Enterprises'!G220</f>
        <v>0</v>
      </c>
      <c r="H220" s="48">
        <f>'Adani Enterprises'!H220</f>
        <v>0</v>
      </c>
      <c r="I220" s="48">
        <f>'Adani Enterprises'!I220</f>
        <v>0</v>
      </c>
      <c r="J220" s="48">
        <f>'Adani Enterprises'!J220</f>
        <v>0</v>
      </c>
      <c r="K220" s="48">
        <f>'Adani Enterprises'!K220</f>
        <v>0</v>
      </c>
      <c r="L220" s="48">
        <f>'Adani Enterprises'!L220</f>
        <v>0</v>
      </c>
      <c r="M220" s="48">
        <f>'Adani Enterprises'!M220</f>
        <v>0</v>
      </c>
      <c r="N220" s="48">
        <f>'Adani Enterprises'!N220</f>
        <v>0</v>
      </c>
      <c r="O220" s="48">
        <f>'Adani Enterprises'!O220</f>
        <v>0</v>
      </c>
      <c r="P220" s="48">
        <f>'Adani Enterprises'!P220</f>
        <v>0</v>
      </c>
      <c r="Q220" s="48">
        <f>'Adani Enterprises'!Q220</f>
        <v>0</v>
      </c>
      <c r="R220" s="48">
        <f>'Adani Enterprises'!R220</f>
        <v>0</v>
      </c>
      <c r="S220" s="48">
        <f>'Adani Enterprises'!S220</f>
        <v>0</v>
      </c>
      <c r="T220" s="48">
        <f>'Adani Enterprises'!T220</f>
        <v>0</v>
      </c>
      <c r="U220" s="48">
        <f>'Adani Enterprises'!U220</f>
        <v>0</v>
      </c>
      <c r="V220" s="48">
        <f>'Adani Enterprises'!V220</f>
        <v>0</v>
      </c>
      <c r="W220" s="48">
        <f>'Adani Enterprises'!W220</f>
        <v>0</v>
      </c>
      <c r="X220" s="48">
        <f>'Adani Enterprises'!X220</f>
        <v>0</v>
      </c>
      <c r="Y220" s="48">
        <f>'Adani Enterprises'!Y220</f>
        <v>0</v>
      </c>
      <c r="Z220" s="48">
        <f>'Adani Enterprises'!Z220</f>
        <v>0</v>
      </c>
      <c r="AA220" s="48">
        <f>'Adani Enterprises'!AA220</f>
        <v>0</v>
      </c>
      <c r="AB220" s="48">
        <f>'Adani Enterprises'!AB220</f>
        <v>0</v>
      </c>
      <c r="AC220" s="48">
        <f>'Adani Enterprises'!AC220</f>
        <v>0</v>
      </c>
      <c r="AD220" s="48">
        <f>'Adani Enterprises'!AD220</f>
        <v>0</v>
      </c>
      <c r="AE220" s="48">
        <f>'Adani Enterprises'!AE220</f>
        <v>0</v>
      </c>
      <c r="AF220" s="48">
        <f>'Adani Enterprises'!AF220</f>
        <v>0</v>
      </c>
      <c r="AG220" s="48">
        <f>'Adani Enterprises'!AG220</f>
        <v>0</v>
      </c>
      <c r="AH220" s="48">
        <f>'Adani Enterprises'!AH220</f>
        <v>0</v>
      </c>
      <c r="AI220" s="48">
        <f>'Adani Enterprises'!AI220</f>
        <v>0</v>
      </c>
      <c r="AJ220" s="48">
        <f>'Adani Enterprises'!AJ220</f>
        <v>0</v>
      </c>
      <c r="AK220" s="48">
        <f>'Adani Enterprises'!AK220</f>
        <v>0</v>
      </c>
      <c r="AL220" s="48">
        <f>'Adani Enterprises'!AL220</f>
        <v>0</v>
      </c>
    </row>
    <row r="221" customHeight="1" spans="1:38">
      <c r="A221" s="48">
        <f>'Adani Enterprises'!A221</f>
        <v>0</v>
      </c>
      <c r="B221" s="48">
        <f>'Adani Enterprises'!B221</f>
        <v>0</v>
      </c>
      <c r="C221" s="48">
        <f>'Adani Enterprises'!C221</f>
        <v>0</v>
      </c>
      <c r="D221" s="48">
        <f>'Adani Enterprises'!D221</f>
        <v>0</v>
      </c>
      <c r="E221" s="48">
        <f>'Adani Enterprises'!E221</f>
        <v>0</v>
      </c>
      <c r="F221" s="48">
        <f>'Adani Enterprises'!F221</f>
        <v>0</v>
      </c>
      <c r="G221" s="48">
        <f>'Adani Enterprises'!G221</f>
        <v>0</v>
      </c>
      <c r="H221" s="48">
        <f>'Adani Enterprises'!H221</f>
        <v>0</v>
      </c>
      <c r="I221" s="48">
        <f>'Adani Enterprises'!I221</f>
        <v>0</v>
      </c>
      <c r="J221" s="48">
        <f>'Adani Enterprises'!J221</f>
        <v>0</v>
      </c>
      <c r="K221" s="48">
        <f>'Adani Enterprises'!K221</f>
        <v>0</v>
      </c>
      <c r="L221" s="48">
        <f>'Adani Enterprises'!L221</f>
        <v>0</v>
      </c>
      <c r="M221" s="48">
        <f>'Adani Enterprises'!M221</f>
        <v>0</v>
      </c>
      <c r="N221" s="48">
        <f>'Adani Enterprises'!N221</f>
        <v>0</v>
      </c>
      <c r="O221" s="48">
        <f>'Adani Enterprises'!O221</f>
        <v>0</v>
      </c>
      <c r="P221" s="48">
        <f>'Adani Enterprises'!P221</f>
        <v>0</v>
      </c>
      <c r="Q221" s="48">
        <f>'Adani Enterprises'!Q221</f>
        <v>0</v>
      </c>
      <c r="R221" s="48">
        <f>'Adani Enterprises'!R221</f>
        <v>0</v>
      </c>
      <c r="S221" s="48">
        <f>'Adani Enterprises'!S221</f>
        <v>0</v>
      </c>
      <c r="T221" s="48">
        <f>'Adani Enterprises'!T221</f>
        <v>0</v>
      </c>
      <c r="U221" s="48">
        <f>'Adani Enterprises'!U221</f>
        <v>0</v>
      </c>
      <c r="V221" s="48">
        <f>'Adani Enterprises'!V221</f>
        <v>0</v>
      </c>
      <c r="W221" s="48">
        <f>'Adani Enterprises'!W221</f>
        <v>0</v>
      </c>
      <c r="X221" s="48">
        <f>'Adani Enterprises'!X221</f>
        <v>0</v>
      </c>
      <c r="Y221" s="48">
        <f>'Adani Enterprises'!Y221</f>
        <v>0</v>
      </c>
      <c r="Z221" s="48">
        <f>'Adani Enterprises'!Z221</f>
        <v>0</v>
      </c>
      <c r="AA221" s="48">
        <f>'Adani Enterprises'!AA221</f>
        <v>0</v>
      </c>
      <c r="AB221" s="48">
        <f>'Adani Enterprises'!AB221</f>
        <v>0</v>
      </c>
      <c r="AC221" s="48">
        <f>'Adani Enterprises'!AC221</f>
        <v>0</v>
      </c>
      <c r="AD221" s="48">
        <f>'Adani Enterprises'!AD221</f>
        <v>0</v>
      </c>
      <c r="AE221" s="48">
        <f>'Adani Enterprises'!AE221</f>
        <v>0</v>
      </c>
      <c r="AF221" s="48">
        <f>'Adani Enterprises'!AF221</f>
        <v>0</v>
      </c>
      <c r="AG221" s="48">
        <f>'Adani Enterprises'!AG221</f>
        <v>0</v>
      </c>
      <c r="AH221" s="48">
        <f>'Adani Enterprises'!AH221</f>
        <v>0</v>
      </c>
      <c r="AI221" s="48">
        <f>'Adani Enterprises'!AI221</f>
        <v>0</v>
      </c>
      <c r="AJ221" s="48">
        <f>'Adani Enterprises'!AJ221</f>
        <v>0</v>
      </c>
      <c r="AK221" s="48">
        <f>'Adani Enterprises'!AK221</f>
        <v>0</v>
      </c>
      <c r="AL221" s="48">
        <f>'Adani Enterprises'!AL221</f>
        <v>0</v>
      </c>
    </row>
    <row r="222" customHeight="1" spans="1:38">
      <c r="A222" s="48">
        <f>'Adani Enterprises'!A222</f>
        <v>0</v>
      </c>
      <c r="B222" s="48">
        <f>'Adani Enterprises'!B222</f>
        <v>0</v>
      </c>
      <c r="C222" s="48">
        <f>'Adani Enterprises'!C222</f>
        <v>0</v>
      </c>
      <c r="D222" s="48">
        <f>'Adani Enterprises'!D222</f>
        <v>0</v>
      </c>
      <c r="E222" s="48">
        <f>'Adani Enterprises'!E222</f>
        <v>0</v>
      </c>
      <c r="F222" s="48">
        <f>'Adani Enterprises'!F222</f>
        <v>0</v>
      </c>
      <c r="G222" s="48">
        <f>'Adani Enterprises'!G222</f>
        <v>0</v>
      </c>
      <c r="H222" s="48">
        <f>'Adani Enterprises'!H222</f>
        <v>0</v>
      </c>
      <c r="I222" s="48">
        <f>'Adani Enterprises'!I222</f>
        <v>0</v>
      </c>
      <c r="J222" s="48">
        <f>'Adani Enterprises'!J222</f>
        <v>0</v>
      </c>
      <c r="K222" s="48">
        <f>'Adani Enterprises'!K222</f>
        <v>0</v>
      </c>
      <c r="L222" s="48">
        <f>'Adani Enterprises'!L222</f>
        <v>0</v>
      </c>
      <c r="M222" s="48">
        <f>'Adani Enterprises'!M222</f>
        <v>0</v>
      </c>
      <c r="N222" s="48">
        <f>'Adani Enterprises'!N222</f>
        <v>0</v>
      </c>
      <c r="O222" s="48">
        <f>'Adani Enterprises'!O222</f>
        <v>0</v>
      </c>
      <c r="P222" s="48">
        <f>'Adani Enterprises'!P222</f>
        <v>0</v>
      </c>
      <c r="Q222" s="48">
        <f>'Adani Enterprises'!Q222</f>
        <v>0</v>
      </c>
      <c r="R222" s="48">
        <f>'Adani Enterprises'!R222</f>
        <v>0</v>
      </c>
      <c r="S222" s="48">
        <f>'Adani Enterprises'!S222</f>
        <v>0</v>
      </c>
      <c r="T222" s="48">
        <f>'Adani Enterprises'!T222</f>
        <v>0</v>
      </c>
      <c r="U222" s="48">
        <f>'Adani Enterprises'!U222</f>
        <v>0</v>
      </c>
      <c r="V222" s="48">
        <f>'Adani Enterprises'!V222</f>
        <v>0</v>
      </c>
      <c r="W222" s="48">
        <f>'Adani Enterprises'!W222</f>
        <v>0</v>
      </c>
      <c r="X222" s="48">
        <f>'Adani Enterprises'!X222</f>
        <v>0</v>
      </c>
      <c r="Y222" s="48">
        <f>'Adani Enterprises'!Y222</f>
        <v>0</v>
      </c>
      <c r="Z222" s="48">
        <f>'Adani Enterprises'!Z222</f>
        <v>0</v>
      </c>
      <c r="AA222" s="48">
        <f>'Adani Enterprises'!AA222</f>
        <v>0</v>
      </c>
      <c r="AB222" s="48">
        <f>'Adani Enterprises'!AB222</f>
        <v>0</v>
      </c>
      <c r="AC222" s="48">
        <f>'Adani Enterprises'!AC222</f>
        <v>0</v>
      </c>
      <c r="AD222" s="48">
        <f>'Adani Enterprises'!AD222</f>
        <v>0</v>
      </c>
      <c r="AE222" s="48">
        <f>'Adani Enterprises'!AE222</f>
        <v>0</v>
      </c>
      <c r="AF222" s="48">
        <f>'Adani Enterprises'!AF222</f>
        <v>0</v>
      </c>
      <c r="AG222" s="48">
        <f>'Adani Enterprises'!AG222</f>
        <v>0</v>
      </c>
      <c r="AH222" s="48">
        <f>'Adani Enterprises'!AH222</f>
        <v>0</v>
      </c>
      <c r="AI222" s="48">
        <f>'Adani Enterprises'!AI222</f>
        <v>0</v>
      </c>
      <c r="AJ222" s="48">
        <f>'Adani Enterprises'!AJ222</f>
        <v>0</v>
      </c>
      <c r="AK222" s="48">
        <f>'Adani Enterprises'!AK222</f>
        <v>0</v>
      </c>
      <c r="AL222" s="48">
        <f>'Adani Enterprises'!AL222</f>
        <v>0</v>
      </c>
    </row>
    <row r="223" customHeight="1" spans="1:38">
      <c r="A223" s="48">
        <f>'Adani Enterprises'!A223</f>
        <v>0</v>
      </c>
      <c r="B223" s="48">
        <f>'Adani Enterprises'!B223</f>
        <v>0</v>
      </c>
      <c r="C223" s="48">
        <f>'Adani Enterprises'!C223</f>
        <v>0</v>
      </c>
      <c r="D223" s="48">
        <f>'Adani Enterprises'!D223</f>
        <v>0</v>
      </c>
      <c r="E223" s="48">
        <f>'Adani Enterprises'!E223</f>
        <v>0</v>
      </c>
      <c r="F223" s="48">
        <f>'Adani Enterprises'!F223</f>
        <v>0</v>
      </c>
      <c r="G223" s="48">
        <f>'Adani Enterprises'!G223</f>
        <v>0</v>
      </c>
      <c r="H223" s="48">
        <f>'Adani Enterprises'!H223</f>
        <v>0</v>
      </c>
      <c r="I223" s="48">
        <f>'Adani Enterprises'!I223</f>
        <v>0</v>
      </c>
      <c r="J223" s="48">
        <f>'Adani Enterprises'!J223</f>
        <v>0</v>
      </c>
      <c r="K223" s="48">
        <f>'Adani Enterprises'!K223</f>
        <v>0</v>
      </c>
      <c r="L223" s="48">
        <f>'Adani Enterprises'!L223</f>
        <v>0</v>
      </c>
      <c r="M223" s="48">
        <f>'Adani Enterprises'!M223</f>
        <v>0</v>
      </c>
      <c r="N223" s="48">
        <f>'Adani Enterprises'!N223</f>
        <v>0</v>
      </c>
      <c r="O223" s="48">
        <f>'Adani Enterprises'!O223</f>
        <v>0</v>
      </c>
      <c r="P223" s="48">
        <f>'Adani Enterprises'!P223</f>
        <v>0</v>
      </c>
      <c r="Q223" s="48">
        <f>'Adani Enterprises'!Q223</f>
        <v>0</v>
      </c>
      <c r="R223" s="48">
        <f>'Adani Enterprises'!R223</f>
        <v>0</v>
      </c>
      <c r="S223" s="48">
        <f>'Adani Enterprises'!S223</f>
        <v>0</v>
      </c>
      <c r="T223" s="48">
        <f>'Adani Enterprises'!T223</f>
        <v>0</v>
      </c>
      <c r="U223" s="48">
        <f>'Adani Enterprises'!U223</f>
        <v>0</v>
      </c>
      <c r="V223" s="48">
        <f>'Adani Enterprises'!V223</f>
        <v>0</v>
      </c>
      <c r="W223" s="48">
        <f>'Adani Enterprises'!W223</f>
        <v>0</v>
      </c>
      <c r="X223" s="48">
        <f>'Adani Enterprises'!X223</f>
        <v>0</v>
      </c>
      <c r="Y223" s="48">
        <f>'Adani Enterprises'!Y223</f>
        <v>0</v>
      </c>
      <c r="Z223" s="48">
        <f>'Adani Enterprises'!Z223</f>
        <v>0</v>
      </c>
      <c r="AA223" s="48">
        <f>'Adani Enterprises'!AA223</f>
        <v>0</v>
      </c>
      <c r="AB223" s="48">
        <f>'Adani Enterprises'!AB223</f>
        <v>0</v>
      </c>
      <c r="AC223" s="48">
        <f>'Adani Enterprises'!AC223</f>
        <v>0</v>
      </c>
      <c r="AD223" s="48">
        <f>'Adani Enterprises'!AD223</f>
        <v>0</v>
      </c>
      <c r="AE223" s="48">
        <f>'Adani Enterprises'!AE223</f>
        <v>0</v>
      </c>
      <c r="AF223" s="48">
        <f>'Adani Enterprises'!AF223</f>
        <v>0</v>
      </c>
      <c r="AG223" s="48">
        <f>'Adani Enterprises'!AG223</f>
        <v>0</v>
      </c>
      <c r="AH223" s="48">
        <f>'Adani Enterprises'!AH223</f>
        <v>0</v>
      </c>
      <c r="AI223" s="48">
        <f>'Adani Enterprises'!AI223</f>
        <v>0</v>
      </c>
      <c r="AJ223" s="48">
        <f>'Adani Enterprises'!AJ223</f>
        <v>0</v>
      </c>
      <c r="AK223" s="48">
        <f>'Adani Enterprises'!AK223</f>
        <v>0</v>
      </c>
      <c r="AL223" s="48">
        <f>'Adani Enterprises'!AL223</f>
        <v>0</v>
      </c>
    </row>
    <row r="224" customHeight="1" spans="1:38">
      <c r="A224" s="48">
        <f>'Adani Enterprises'!A224</f>
        <v>0</v>
      </c>
      <c r="B224" s="48">
        <f>'Adani Enterprises'!B224</f>
        <v>0</v>
      </c>
      <c r="C224" s="48">
        <f>'Adani Enterprises'!C224</f>
        <v>0</v>
      </c>
      <c r="D224" s="48">
        <f>'Adani Enterprises'!D224</f>
        <v>0</v>
      </c>
      <c r="E224" s="48">
        <f>'Adani Enterprises'!E224</f>
        <v>0</v>
      </c>
      <c r="F224" s="48">
        <f>'Adani Enterprises'!F224</f>
        <v>0</v>
      </c>
      <c r="G224" s="48">
        <f>'Adani Enterprises'!G224</f>
        <v>0</v>
      </c>
      <c r="H224" s="48">
        <f>'Adani Enterprises'!H224</f>
        <v>0</v>
      </c>
      <c r="I224" s="48">
        <f>'Adani Enterprises'!I224</f>
        <v>0</v>
      </c>
      <c r="J224" s="48">
        <f>'Adani Enterprises'!J224</f>
        <v>0</v>
      </c>
      <c r="K224" s="48">
        <f>'Adani Enterprises'!K224</f>
        <v>0</v>
      </c>
      <c r="L224" s="48">
        <f>'Adani Enterprises'!L224</f>
        <v>0</v>
      </c>
      <c r="M224" s="48">
        <f>'Adani Enterprises'!M224</f>
        <v>0</v>
      </c>
      <c r="N224" s="48">
        <f>'Adani Enterprises'!N224</f>
        <v>0</v>
      </c>
      <c r="O224" s="48">
        <f>'Adani Enterprises'!O224</f>
        <v>0</v>
      </c>
      <c r="P224" s="48">
        <f>'Adani Enterprises'!P224</f>
        <v>0</v>
      </c>
      <c r="Q224" s="48">
        <f>'Adani Enterprises'!Q224</f>
        <v>0</v>
      </c>
      <c r="R224" s="48">
        <f>'Adani Enterprises'!R224</f>
        <v>0</v>
      </c>
      <c r="S224" s="48">
        <f>'Adani Enterprises'!S224</f>
        <v>0</v>
      </c>
      <c r="T224" s="48">
        <f>'Adani Enterprises'!T224</f>
        <v>0</v>
      </c>
      <c r="U224" s="48">
        <f>'Adani Enterprises'!U224</f>
        <v>0</v>
      </c>
      <c r="V224" s="48">
        <f>'Adani Enterprises'!V224</f>
        <v>0</v>
      </c>
      <c r="W224" s="48">
        <f>'Adani Enterprises'!W224</f>
        <v>0</v>
      </c>
      <c r="X224" s="48">
        <f>'Adani Enterprises'!X224</f>
        <v>0</v>
      </c>
      <c r="Y224" s="48">
        <f>'Adani Enterprises'!Y224</f>
        <v>0</v>
      </c>
      <c r="Z224" s="48">
        <f>'Adani Enterprises'!Z224</f>
        <v>0</v>
      </c>
      <c r="AA224" s="48">
        <f>'Adani Enterprises'!AA224</f>
        <v>0</v>
      </c>
      <c r="AB224" s="48">
        <f>'Adani Enterprises'!AB224</f>
        <v>0</v>
      </c>
      <c r="AC224" s="48">
        <f>'Adani Enterprises'!AC224</f>
        <v>0</v>
      </c>
      <c r="AD224" s="48">
        <f>'Adani Enterprises'!AD224</f>
        <v>0</v>
      </c>
      <c r="AE224" s="48">
        <f>'Adani Enterprises'!AE224</f>
        <v>0</v>
      </c>
      <c r="AF224" s="48">
        <f>'Adani Enterprises'!AF224</f>
        <v>0</v>
      </c>
      <c r="AG224" s="48">
        <f>'Adani Enterprises'!AG224</f>
        <v>0</v>
      </c>
      <c r="AH224" s="48">
        <f>'Adani Enterprises'!AH224</f>
        <v>0</v>
      </c>
      <c r="AI224" s="48">
        <f>'Adani Enterprises'!AI224</f>
        <v>0</v>
      </c>
      <c r="AJ224" s="48">
        <f>'Adani Enterprises'!AJ224</f>
        <v>0</v>
      </c>
      <c r="AK224" s="48">
        <f>'Adani Enterprises'!AK224</f>
        <v>0</v>
      </c>
      <c r="AL224" s="48">
        <f>'Adani Enterprises'!AL224</f>
        <v>0</v>
      </c>
    </row>
    <row r="225" customHeight="1" spans="1:38">
      <c r="A225" s="48">
        <f>'Adani Enterprises'!A225</f>
        <v>0</v>
      </c>
      <c r="B225" s="48">
        <f>'Adani Enterprises'!B225</f>
        <v>0</v>
      </c>
      <c r="C225" s="48">
        <f>'Adani Enterprises'!C225</f>
        <v>0</v>
      </c>
      <c r="D225" s="48">
        <f>'Adani Enterprises'!D225</f>
        <v>0</v>
      </c>
      <c r="E225" s="48">
        <f>'Adani Enterprises'!E225</f>
        <v>0</v>
      </c>
      <c r="F225" s="48">
        <f>'Adani Enterprises'!F225</f>
        <v>0</v>
      </c>
      <c r="G225" s="48">
        <f>'Adani Enterprises'!G225</f>
        <v>0</v>
      </c>
      <c r="H225" s="48">
        <f>'Adani Enterprises'!H225</f>
        <v>0</v>
      </c>
      <c r="I225" s="48">
        <f>'Adani Enterprises'!I225</f>
        <v>0</v>
      </c>
      <c r="J225" s="48">
        <f>'Adani Enterprises'!J225</f>
        <v>0</v>
      </c>
      <c r="K225" s="48">
        <f>'Adani Enterprises'!K225</f>
        <v>0</v>
      </c>
      <c r="L225" s="48">
        <f>'Adani Enterprises'!L225</f>
        <v>0</v>
      </c>
      <c r="M225" s="48">
        <f>'Adani Enterprises'!M225</f>
        <v>0</v>
      </c>
      <c r="N225" s="48">
        <f>'Adani Enterprises'!N225</f>
        <v>0</v>
      </c>
      <c r="O225" s="48">
        <f>'Adani Enterprises'!O225</f>
        <v>0</v>
      </c>
      <c r="P225" s="48">
        <f>'Adani Enterprises'!P225</f>
        <v>0</v>
      </c>
      <c r="Q225" s="48">
        <f>'Adani Enterprises'!Q225</f>
        <v>0</v>
      </c>
      <c r="R225" s="48">
        <f>'Adani Enterprises'!R225</f>
        <v>0</v>
      </c>
      <c r="S225" s="48">
        <f>'Adani Enterprises'!S225</f>
        <v>0</v>
      </c>
      <c r="T225" s="48">
        <f>'Adani Enterprises'!T225</f>
        <v>0</v>
      </c>
      <c r="U225" s="48">
        <f>'Adani Enterprises'!U225</f>
        <v>0</v>
      </c>
      <c r="V225" s="48">
        <f>'Adani Enterprises'!V225</f>
        <v>0</v>
      </c>
      <c r="W225" s="48">
        <f>'Adani Enterprises'!W225</f>
        <v>0</v>
      </c>
      <c r="X225" s="48">
        <f>'Adani Enterprises'!X225</f>
        <v>0</v>
      </c>
      <c r="Y225" s="48">
        <f>'Adani Enterprises'!Y225</f>
        <v>0</v>
      </c>
      <c r="Z225" s="48">
        <f>'Adani Enterprises'!Z225</f>
        <v>0</v>
      </c>
      <c r="AA225" s="48">
        <f>'Adani Enterprises'!AA225</f>
        <v>0</v>
      </c>
      <c r="AB225" s="48">
        <f>'Adani Enterprises'!AB225</f>
        <v>0</v>
      </c>
      <c r="AC225" s="48">
        <f>'Adani Enterprises'!AC225</f>
        <v>0</v>
      </c>
      <c r="AD225" s="48">
        <f>'Adani Enterprises'!AD225</f>
        <v>0</v>
      </c>
      <c r="AE225" s="48">
        <f>'Adani Enterprises'!AE225</f>
        <v>0</v>
      </c>
      <c r="AF225" s="48">
        <f>'Adani Enterprises'!AF225</f>
        <v>0</v>
      </c>
      <c r="AG225" s="48">
        <f>'Adani Enterprises'!AG225</f>
        <v>0</v>
      </c>
      <c r="AH225" s="48">
        <f>'Adani Enterprises'!AH225</f>
        <v>0</v>
      </c>
      <c r="AI225" s="48">
        <f>'Adani Enterprises'!AI225</f>
        <v>0</v>
      </c>
      <c r="AJ225" s="48">
        <f>'Adani Enterprises'!AJ225</f>
        <v>0</v>
      </c>
      <c r="AK225" s="48">
        <f>'Adani Enterprises'!AK225</f>
        <v>0</v>
      </c>
      <c r="AL225" s="48">
        <f>'Adani Enterprises'!AL225</f>
        <v>0</v>
      </c>
    </row>
    <row r="226" customHeight="1" spans="1:38">
      <c r="A226" s="48">
        <f>'Adani Enterprises'!A226</f>
        <v>0</v>
      </c>
      <c r="B226" s="48">
        <f>'Adani Enterprises'!B226</f>
        <v>0</v>
      </c>
      <c r="C226" s="48">
        <f>'Adani Enterprises'!C226</f>
        <v>0</v>
      </c>
      <c r="D226" s="48">
        <f>'Adani Enterprises'!D226</f>
        <v>0</v>
      </c>
      <c r="E226" s="48">
        <f>'Adani Enterprises'!E226</f>
        <v>0</v>
      </c>
      <c r="F226" s="48">
        <f>'Adani Enterprises'!F226</f>
        <v>0</v>
      </c>
      <c r="G226" s="48">
        <f>'Adani Enterprises'!G226</f>
        <v>0</v>
      </c>
      <c r="H226" s="48">
        <f>'Adani Enterprises'!H226</f>
        <v>0</v>
      </c>
      <c r="I226" s="48">
        <f>'Adani Enterprises'!I226</f>
        <v>0</v>
      </c>
      <c r="J226" s="48">
        <f>'Adani Enterprises'!J226</f>
        <v>0</v>
      </c>
      <c r="K226" s="48">
        <f>'Adani Enterprises'!K226</f>
        <v>0</v>
      </c>
      <c r="L226" s="48">
        <f>'Adani Enterprises'!L226</f>
        <v>0</v>
      </c>
      <c r="M226" s="48">
        <f>'Adani Enterprises'!M226</f>
        <v>0</v>
      </c>
      <c r="N226" s="48">
        <f>'Adani Enterprises'!N226</f>
        <v>0</v>
      </c>
      <c r="O226" s="48">
        <f>'Adani Enterprises'!O226</f>
        <v>0</v>
      </c>
      <c r="P226" s="48">
        <f>'Adani Enterprises'!P226</f>
        <v>0</v>
      </c>
      <c r="Q226" s="48">
        <f>'Adani Enterprises'!Q226</f>
        <v>0</v>
      </c>
      <c r="R226" s="48">
        <f>'Adani Enterprises'!R226</f>
        <v>0</v>
      </c>
      <c r="S226" s="48">
        <f>'Adani Enterprises'!S226</f>
        <v>0</v>
      </c>
      <c r="T226" s="48">
        <f>'Adani Enterprises'!T226</f>
        <v>0</v>
      </c>
      <c r="U226" s="48">
        <f>'Adani Enterprises'!U226</f>
        <v>0</v>
      </c>
      <c r="V226" s="48">
        <f>'Adani Enterprises'!V226</f>
        <v>0</v>
      </c>
      <c r="W226" s="48">
        <f>'Adani Enterprises'!W226</f>
        <v>0</v>
      </c>
      <c r="X226" s="48">
        <f>'Adani Enterprises'!X226</f>
        <v>0</v>
      </c>
      <c r="Y226" s="48">
        <f>'Adani Enterprises'!Y226</f>
        <v>0</v>
      </c>
      <c r="Z226" s="48">
        <f>'Adani Enterprises'!Z226</f>
        <v>0</v>
      </c>
      <c r="AA226" s="48">
        <f>'Adani Enterprises'!AA226</f>
        <v>0</v>
      </c>
      <c r="AB226" s="48">
        <f>'Adani Enterprises'!AB226</f>
        <v>0</v>
      </c>
      <c r="AC226" s="48">
        <f>'Adani Enterprises'!AC226</f>
        <v>0</v>
      </c>
      <c r="AD226" s="48">
        <f>'Adani Enterprises'!AD226</f>
        <v>0</v>
      </c>
      <c r="AE226" s="48">
        <f>'Adani Enterprises'!AE226</f>
        <v>0</v>
      </c>
      <c r="AF226" s="48">
        <f>'Adani Enterprises'!AF226</f>
        <v>0</v>
      </c>
      <c r="AG226" s="48">
        <f>'Adani Enterprises'!AG226</f>
        <v>0</v>
      </c>
      <c r="AH226" s="48">
        <f>'Adani Enterprises'!AH226</f>
        <v>0</v>
      </c>
      <c r="AI226" s="48">
        <f>'Adani Enterprises'!AI226</f>
        <v>0</v>
      </c>
      <c r="AJ226" s="48">
        <f>'Adani Enterprises'!AJ226</f>
        <v>0</v>
      </c>
      <c r="AK226" s="48">
        <f>'Adani Enterprises'!AK226</f>
        <v>0</v>
      </c>
      <c r="AL226" s="48">
        <f>'Adani Enterprises'!AL226</f>
        <v>0</v>
      </c>
    </row>
    <row r="227" customHeight="1" spans="1:38">
      <c r="A227" s="48">
        <f>'Adani Enterprises'!A227</f>
        <v>0</v>
      </c>
      <c r="B227" s="48">
        <f>'Adani Enterprises'!B227</f>
        <v>0</v>
      </c>
      <c r="C227" s="48">
        <f>'Adani Enterprises'!C227</f>
        <v>0</v>
      </c>
      <c r="D227" s="48">
        <f>'Adani Enterprises'!D227</f>
        <v>0</v>
      </c>
      <c r="E227" s="48">
        <f>'Adani Enterprises'!E227</f>
        <v>0</v>
      </c>
      <c r="F227" s="48">
        <f>'Adani Enterprises'!F227</f>
        <v>0</v>
      </c>
      <c r="G227" s="48">
        <f>'Adani Enterprises'!G227</f>
        <v>0</v>
      </c>
      <c r="H227" s="48">
        <f>'Adani Enterprises'!H227</f>
        <v>0</v>
      </c>
      <c r="I227" s="48">
        <f>'Adani Enterprises'!I227</f>
        <v>0</v>
      </c>
      <c r="J227" s="48">
        <f>'Adani Enterprises'!J227</f>
        <v>0</v>
      </c>
      <c r="K227" s="48">
        <f>'Adani Enterprises'!K227</f>
        <v>0</v>
      </c>
      <c r="L227" s="48">
        <f>'Adani Enterprises'!L227</f>
        <v>0</v>
      </c>
      <c r="M227" s="48">
        <f>'Adani Enterprises'!M227</f>
        <v>0</v>
      </c>
      <c r="N227" s="48">
        <f>'Adani Enterprises'!N227</f>
        <v>0</v>
      </c>
      <c r="O227" s="48">
        <f>'Adani Enterprises'!O227</f>
        <v>0</v>
      </c>
      <c r="P227" s="48">
        <f>'Adani Enterprises'!P227</f>
        <v>0</v>
      </c>
      <c r="Q227" s="48">
        <f>'Adani Enterprises'!Q227</f>
        <v>0</v>
      </c>
      <c r="R227" s="48">
        <f>'Adani Enterprises'!R227</f>
        <v>0</v>
      </c>
      <c r="S227" s="48">
        <f>'Adani Enterprises'!S227</f>
        <v>0</v>
      </c>
      <c r="T227" s="48">
        <f>'Adani Enterprises'!T227</f>
        <v>0</v>
      </c>
      <c r="U227" s="48">
        <f>'Adani Enterprises'!U227</f>
        <v>0</v>
      </c>
      <c r="V227" s="48">
        <f>'Adani Enterprises'!V227</f>
        <v>0</v>
      </c>
      <c r="W227" s="48">
        <f>'Adani Enterprises'!W227</f>
        <v>0</v>
      </c>
      <c r="X227" s="48">
        <f>'Adani Enterprises'!X227</f>
        <v>0</v>
      </c>
      <c r="Y227" s="48">
        <f>'Adani Enterprises'!Y227</f>
        <v>0</v>
      </c>
      <c r="Z227" s="48">
        <f>'Adani Enterprises'!Z227</f>
        <v>0</v>
      </c>
      <c r="AA227" s="48">
        <f>'Adani Enterprises'!AA227</f>
        <v>0</v>
      </c>
      <c r="AB227" s="48">
        <f>'Adani Enterprises'!AB227</f>
        <v>0</v>
      </c>
      <c r="AC227" s="48">
        <f>'Adani Enterprises'!AC227</f>
        <v>0</v>
      </c>
      <c r="AD227" s="48">
        <f>'Adani Enterprises'!AD227</f>
        <v>0</v>
      </c>
      <c r="AE227" s="48">
        <f>'Adani Enterprises'!AE227</f>
        <v>0</v>
      </c>
      <c r="AF227" s="48">
        <f>'Adani Enterprises'!AF227</f>
        <v>0</v>
      </c>
      <c r="AG227" s="48">
        <f>'Adani Enterprises'!AG227</f>
        <v>0</v>
      </c>
      <c r="AH227" s="48">
        <f>'Adani Enterprises'!AH227</f>
        <v>0</v>
      </c>
      <c r="AI227" s="48">
        <f>'Adani Enterprises'!AI227</f>
        <v>0</v>
      </c>
      <c r="AJ227" s="48">
        <f>'Adani Enterprises'!AJ227</f>
        <v>0</v>
      </c>
      <c r="AK227" s="48">
        <f>'Adani Enterprises'!AK227</f>
        <v>0</v>
      </c>
      <c r="AL227" s="48">
        <f>'Adani Enterprises'!AL227</f>
        <v>0</v>
      </c>
    </row>
    <row r="228" customHeight="1" spans="1:38">
      <c r="A228" s="48">
        <f>'Adani Enterprises'!A228</f>
        <v>0</v>
      </c>
      <c r="B228" s="48">
        <f>'Adani Enterprises'!B228</f>
        <v>0</v>
      </c>
      <c r="C228" s="48">
        <f>'Adani Enterprises'!C228</f>
        <v>0</v>
      </c>
      <c r="D228" s="48">
        <f>'Adani Enterprises'!D228</f>
        <v>0</v>
      </c>
      <c r="E228" s="48">
        <f>'Adani Enterprises'!E228</f>
        <v>0</v>
      </c>
      <c r="F228" s="48">
        <f>'Adani Enterprises'!F228</f>
        <v>0</v>
      </c>
      <c r="G228" s="48">
        <f>'Adani Enterprises'!G228</f>
        <v>0</v>
      </c>
      <c r="H228" s="48">
        <f>'Adani Enterprises'!H228</f>
        <v>0</v>
      </c>
      <c r="I228" s="48">
        <f>'Adani Enterprises'!I228</f>
        <v>0</v>
      </c>
      <c r="J228" s="48">
        <f>'Adani Enterprises'!J228</f>
        <v>0</v>
      </c>
      <c r="K228" s="48">
        <f>'Adani Enterprises'!K228</f>
        <v>0</v>
      </c>
      <c r="L228" s="48">
        <f>'Adani Enterprises'!L228</f>
        <v>0</v>
      </c>
      <c r="M228" s="48">
        <f>'Adani Enterprises'!M228</f>
        <v>0</v>
      </c>
      <c r="N228" s="48">
        <f>'Adani Enterprises'!N228</f>
        <v>0</v>
      </c>
      <c r="O228" s="48">
        <f>'Adani Enterprises'!O228</f>
        <v>0</v>
      </c>
      <c r="P228" s="48">
        <f>'Adani Enterprises'!P228</f>
        <v>0</v>
      </c>
      <c r="Q228" s="48">
        <f>'Adani Enterprises'!Q228</f>
        <v>0</v>
      </c>
      <c r="R228" s="48">
        <f>'Adani Enterprises'!R228</f>
        <v>0</v>
      </c>
      <c r="S228" s="48">
        <f>'Adani Enterprises'!S228</f>
        <v>0</v>
      </c>
      <c r="T228" s="48">
        <f>'Adani Enterprises'!T228</f>
        <v>0</v>
      </c>
      <c r="U228" s="48">
        <f>'Adani Enterprises'!U228</f>
        <v>0</v>
      </c>
      <c r="V228" s="48">
        <f>'Adani Enterprises'!V228</f>
        <v>0</v>
      </c>
      <c r="W228" s="48">
        <f>'Adani Enterprises'!W228</f>
        <v>0</v>
      </c>
      <c r="X228" s="48">
        <f>'Adani Enterprises'!X228</f>
        <v>0</v>
      </c>
      <c r="Y228" s="48">
        <f>'Adani Enterprises'!Y228</f>
        <v>0</v>
      </c>
      <c r="Z228" s="48">
        <f>'Adani Enterprises'!Z228</f>
        <v>0</v>
      </c>
      <c r="AA228" s="48">
        <f>'Adani Enterprises'!AA228</f>
        <v>0</v>
      </c>
      <c r="AB228" s="48">
        <f>'Adani Enterprises'!AB228</f>
        <v>0</v>
      </c>
      <c r="AC228" s="48">
        <f>'Adani Enterprises'!AC228</f>
        <v>0</v>
      </c>
      <c r="AD228" s="48">
        <f>'Adani Enterprises'!AD228</f>
        <v>0</v>
      </c>
      <c r="AE228" s="48">
        <f>'Adani Enterprises'!AE228</f>
        <v>0</v>
      </c>
      <c r="AF228" s="48">
        <f>'Adani Enterprises'!AF228</f>
        <v>0</v>
      </c>
      <c r="AG228" s="48">
        <f>'Adani Enterprises'!AG228</f>
        <v>0</v>
      </c>
      <c r="AH228" s="48">
        <f>'Adani Enterprises'!AH228</f>
        <v>0</v>
      </c>
      <c r="AI228" s="48">
        <f>'Adani Enterprises'!AI228</f>
        <v>0</v>
      </c>
      <c r="AJ228" s="48">
        <f>'Adani Enterprises'!AJ228</f>
        <v>0</v>
      </c>
      <c r="AK228" s="48">
        <f>'Adani Enterprises'!AK228</f>
        <v>0</v>
      </c>
      <c r="AL228" s="48">
        <f>'Adani Enterprises'!AL228</f>
        <v>0</v>
      </c>
    </row>
    <row r="229" customHeight="1" spans="1:38">
      <c r="A229" s="48">
        <f>'Adani Enterprises'!A229</f>
        <v>0</v>
      </c>
      <c r="B229" s="48">
        <f>'Adani Enterprises'!B229</f>
        <v>0</v>
      </c>
      <c r="C229" s="48">
        <f>'Adani Enterprises'!C229</f>
        <v>0</v>
      </c>
      <c r="D229" s="48">
        <f>'Adani Enterprises'!D229</f>
        <v>0</v>
      </c>
      <c r="E229" s="48">
        <f>'Adani Enterprises'!E229</f>
        <v>0</v>
      </c>
      <c r="F229" s="48">
        <f>'Adani Enterprises'!F229</f>
        <v>0</v>
      </c>
      <c r="G229" s="48">
        <f>'Adani Enterprises'!G229</f>
        <v>0</v>
      </c>
      <c r="H229" s="48">
        <f>'Adani Enterprises'!H229</f>
        <v>0</v>
      </c>
      <c r="I229" s="48">
        <f>'Adani Enterprises'!I229</f>
        <v>0</v>
      </c>
      <c r="J229" s="48">
        <f>'Adani Enterprises'!J229</f>
        <v>0</v>
      </c>
      <c r="K229" s="48">
        <f>'Adani Enterprises'!K229</f>
        <v>0</v>
      </c>
      <c r="L229" s="48">
        <f>'Adani Enterprises'!L229</f>
        <v>0</v>
      </c>
      <c r="M229" s="48">
        <f>'Adani Enterprises'!M229</f>
        <v>0</v>
      </c>
      <c r="N229" s="48">
        <f>'Adani Enterprises'!N229</f>
        <v>0</v>
      </c>
      <c r="O229" s="48">
        <f>'Adani Enterprises'!O229</f>
        <v>0</v>
      </c>
      <c r="P229" s="48">
        <f>'Adani Enterprises'!P229</f>
        <v>0</v>
      </c>
      <c r="Q229" s="48">
        <f>'Adani Enterprises'!Q229</f>
        <v>0</v>
      </c>
      <c r="R229" s="48">
        <f>'Adani Enterprises'!R229</f>
        <v>0</v>
      </c>
      <c r="S229" s="48">
        <f>'Adani Enterprises'!S229</f>
        <v>0</v>
      </c>
      <c r="T229" s="48">
        <f>'Adani Enterprises'!T229</f>
        <v>0</v>
      </c>
      <c r="U229" s="48">
        <f>'Adani Enterprises'!U229</f>
        <v>0</v>
      </c>
      <c r="V229" s="48">
        <f>'Adani Enterprises'!V229</f>
        <v>0</v>
      </c>
      <c r="W229" s="48">
        <f>'Adani Enterprises'!W229</f>
        <v>0</v>
      </c>
      <c r="X229" s="48">
        <f>'Adani Enterprises'!X229</f>
        <v>0</v>
      </c>
      <c r="Y229" s="48">
        <f>'Adani Enterprises'!Y229</f>
        <v>0</v>
      </c>
      <c r="Z229" s="48">
        <f>'Adani Enterprises'!Z229</f>
        <v>0</v>
      </c>
      <c r="AA229" s="48">
        <f>'Adani Enterprises'!AA229</f>
        <v>0</v>
      </c>
      <c r="AB229" s="48">
        <f>'Adani Enterprises'!AB229</f>
        <v>0</v>
      </c>
      <c r="AC229" s="48">
        <f>'Adani Enterprises'!AC229</f>
        <v>0</v>
      </c>
      <c r="AD229" s="48">
        <f>'Adani Enterprises'!AD229</f>
        <v>0</v>
      </c>
      <c r="AE229" s="48">
        <f>'Adani Enterprises'!AE229</f>
        <v>0</v>
      </c>
      <c r="AF229" s="48">
        <f>'Adani Enterprises'!AF229</f>
        <v>0</v>
      </c>
      <c r="AG229" s="48">
        <f>'Adani Enterprises'!AG229</f>
        <v>0</v>
      </c>
      <c r="AH229" s="48">
        <f>'Adani Enterprises'!AH229</f>
        <v>0</v>
      </c>
      <c r="AI229" s="48">
        <f>'Adani Enterprises'!AI229</f>
        <v>0</v>
      </c>
      <c r="AJ229" s="48">
        <f>'Adani Enterprises'!AJ229</f>
        <v>0</v>
      </c>
      <c r="AK229" s="48">
        <f>'Adani Enterprises'!AK229</f>
        <v>0</v>
      </c>
      <c r="AL229" s="48">
        <f>'Adani Enterprises'!AL229</f>
        <v>0</v>
      </c>
    </row>
    <row r="230" customHeight="1" spans="1:38">
      <c r="A230" s="48">
        <f>'Adani Enterprises'!A230</f>
        <v>0</v>
      </c>
      <c r="B230" s="48">
        <f>'Adani Enterprises'!B230</f>
        <v>0</v>
      </c>
      <c r="C230" s="48">
        <f>'Adani Enterprises'!C230</f>
        <v>0</v>
      </c>
      <c r="D230" s="48">
        <f>'Adani Enterprises'!D230</f>
        <v>0</v>
      </c>
      <c r="E230" s="48">
        <f>'Adani Enterprises'!E230</f>
        <v>0</v>
      </c>
      <c r="F230" s="48">
        <f>'Adani Enterprises'!F230</f>
        <v>0</v>
      </c>
      <c r="G230" s="48">
        <f>'Adani Enterprises'!G230</f>
        <v>0</v>
      </c>
      <c r="H230" s="48">
        <f>'Adani Enterprises'!H230</f>
        <v>0</v>
      </c>
      <c r="I230" s="48">
        <f>'Adani Enterprises'!I230</f>
        <v>0</v>
      </c>
      <c r="J230" s="48">
        <f>'Adani Enterprises'!J230</f>
        <v>0</v>
      </c>
      <c r="K230" s="48">
        <f>'Adani Enterprises'!K230</f>
        <v>0</v>
      </c>
      <c r="L230" s="48">
        <f>'Adani Enterprises'!L230</f>
        <v>0</v>
      </c>
      <c r="M230" s="48">
        <f>'Adani Enterprises'!M230</f>
        <v>0</v>
      </c>
      <c r="N230" s="48">
        <f>'Adani Enterprises'!N230</f>
        <v>0</v>
      </c>
      <c r="O230" s="48">
        <f>'Adani Enterprises'!O230</f>
        <v>0</v>
      </c>
      <c r="P230" s="48">
        <f>'Adani Enterprises'!P230</f>
        <v>0</v>
      </c>
      <c r="Q230" s="48">
        <f>'Adani Enterprises'!Q230</f>
        <v>0</v>
      </c>
      <c r="R230" s="48">
        <f>'Adani Enterprises'!R230</f>
        <v>0</v>
      </c>
      <c r="S230" s="48">
        <f>'Adani Enterprises'!S230</f>
        <v>0</v>
      </c>
      <c r="T230" s="48">
        <f>'Adani Enterprises'!T230</f>
        <v>0</v>
      </c>
      <c r="U230" s="48">
        <f>'Adani Enterprises'!U230</f>
        <v>0</v>
      </c>
      <c r="V230" s="48">
        <f>'Adani Enterprises'!V230</f>
        <v>0</v>
      </c>
      <c r="W230" s="48">
        <f>'Adani Enterprises'!W230</f>
        <v>0</v>
      </c>
      <c r="X230" s="48">
        <f>'Adani Enterprises'!X230</f>
        <v>0</v>
      </c>
      <c r="Y230" s="48">
        <f>'Adani Enterprises'!Y230</f>
        <v>0</v>
      </c>
      <c r="Z230" s="48">
        <f>'Adani Enterprises'!Z230</f>
        <v>0</v>
      </c>
      <c r="AA230" s="48">
        <f>'Adani Enterprises'!AA230</f>
        <v>0</v>
      </c>
      <c r="AB230" s="48">
        <f>'Adani Enterprises'!AB230</f>
        <v>0</v>
      </c>
      <c r="AC230" s="48">
        <f>'Adani Enterprises'!AC230</f>
        <v>0</v>
      </c>
      <c r="AD230" s="48">
        <f>'Adani Enterprises'!AD230</f>
        <v>0</v>
      </c>
      <c r="AE230" s="48">
        <f>'Adani Enterprises'!AE230</f>
        <v>0</v>
      </c>
      <c r="AF230" s="48">
        <f>'Adani Enterprises'!AF230</f>
        <v>0</v>
      </c>
      <c r="AG230" s="48">
        <f>'Adani Enterprises'!AG230</f>
        <v>0</v>
      </c>
      <c r="AH230" s="48">
        <f>'Adani Enterprises'!AH230</f>
        <v>0</v>
      </c>
      <c r="AI230" s="48">
        <f>'Adani Enterprises'!AI230</f>
        <v>0</v>
      </c>
      <c r="AJ230" s="48">
        <f>'Adani Enterprises'!AJ230</f>
        <v>0</v>
      </c>
      <c r="AK230" s="48">
        <f>'Adani Enterprises'!AK230</f>
        <v>0</v>
      </c>
      <c r="AL230" s="48">
        <f>'Adani Enterprises'!AL230</f>
        <v>0</v>
      </c>
    </row>
    <row r="231" customHeight="1" spans="1:38">
      <c r="A231" s="48">
        <f>'Adani Enterprises'!A231</f>
        <v>0</v>
      </c>
      <c r="B231" s="48">
        <f>'Adani Enterprises'!B231</f>
        <v>0</v>
      </c>
      <c r="C231" s="48">
        <f>'Adani Enterprises'!C231</f>
        <v>0</v>
      </c>
      <c r="D231" s="48">
        <f>'Adani Enterprises'!D231</f>
        <v>0</v>
      </c>
      <c r="E231" s="48">
        <f>'Adani Enterprises'!E231</f>
        <v>0</v>
      </c>
      <c r="F231" s="48">
        <f>'Adani Enterprises'!F231</f>
        <v>0</v>
      </c>
      <c r="G231" s="48">
        <f>'Adani Enterprises'!G231</f>
        <v>0</v>
      </c>
      <c r="H231" s="48">
        <f>'Adani Enterprises'!H231</f>
        <v>0</v>
      </c>
      <c r="I231" s="48">
        <f>'Adani Enterprises'!I231</f>
        <v>0</v>
      </c>
      <c r="J231" s="48">
        <f>'Adani Enterprises'!J231</f>
        <v>0</v>
      </c>
      <c r="K231" s="48">
        <f>'Adani Enterprises'!K231</f>
        <v>0</v>
      </c>
      <c r="L231" s="48">
        <f>'Adani Enterprises'!L231</f>
        <v>0</v>
      </c>
      <c r="M231" s="48">
        <f>'Adani Enterprises'!M231</f>
        <v>0</v>
      </c>
      <c r="N231" s="48">
        <f>'Adani Enterprises'!N231</f>
        <v>0</v>
      </c>
      <c r="O231" s="48">
        <f>'Adani Enterprises'!O231</f>
        <v>0</v>
      </c>
      <c r="P231" s="48">
        <f>'Adani Enterprises'!P231</f>
        <v>0</v>
      </c>
      <c r="Q231" s="48">
        <f>'Adani Enterprises'!Q231</f>
        <v>0</v>
      </c>
      <c r="R231" s="48">
        <f>'Adani Enterprises'!R231</f>
        <v>0</v>
      </c>
      <c r="S231" s="48">
        <f>'Adani Enterprises'!S231</f>
        <v>0</v>
      </c>
      <c r="T231" s="48">
        <f>'Adani Enterprises'!T231</f>
        <v>0</v>
      </c>
      <c r="U231" s="48">
        <f>'Adani Enterprises'!U231</f>
        <v>0</v>
      </c>
      <c r="V231" s="48">
        <f>'Adani Enterprises'!V231</f>
        <v>0</v>
      </c>
      <c r="W231" s="48">
        <f>'Adani Enterprises'!W231</f>
        <v>0</v>
      </c>
      <c r="X231" s="48">
        <f>'Adani Enterprises'!X231</f>
        <v>0</v>
      </c>
      <c r="Y231" s="48">
        <f>'Adani Enterprises'!Y231</f>
        <v>0</v>
      </c>
      <c r="Z231" s="48">
        <f>'Adani Enterprises'!Z231</f>
        <v>0</v>
      </c>
      <c r="AA231" s="48">
        <f>'Adani Enterprises'!AA231</f>
        <v>0</v>
      </c>
      <c r="AB231" s="48">
        <f>'Adani Enterprises'!AB231</f>
        <v>0</v>
      </c>
      <c r="AC231" s="48">
        <f>'Adani Enterprises'!AC231</f>
        <v>0</v>
      </c>
      <c r="AD231" s="48">
        <f>'Adani Enterprises'!AD231</f>
        <v>0</v>
      </c>
      <c r="AE231" s="48">
        <f>'Adani Enterprises'!AE231</f>
        <v>0</v>
      </c>
      <c r="AF231" s="48">
        <f>'Adani Enterprises'!AF231</f>
        <v>0</v>
      </c>
      <c r="AG231" s="48">
        <f>'Adani Enterprises'!AG231</f>
        <v>0</v>
      </c>
      <c r="AH231" s="48">
        <f>'Adani Enterprises'!AH231</f>
        <v>0</v>
      </c>
      <c r="AI231" s="48">
        <f>'Adani Enterprises'!AI231</f>
        <v>0</v>
      </c>
      <c r="AJ231" s="48">
        <f>'Adani Enterprises'!AJ231</f>
        <v>0</v>
      </c>
      <c r="AK231" s="48">
        <f>'Adani Enterprises'!AK231</f>
        <v>0</v>
      </c>
      <c r="AL231" s="48">
        <f>'Adani Enterprises'!AL231</f>
        <v>0</v>
      </c>
    </row>
    <row r="232" customHeight="1" spans="1:38">
      <c r="A232" s="48">
        <f>'Adani Enterprises'!A232</f>
        <v>0</v>
      </c>
      <c r="B232" s="48">
        <f>'Adani Enterprises'!B232</f>
        <v>0</v>
      </c>
      <c r="C232" s="48">
        <f>'Adani Enterprises'!C232</f>
        <v>0</v>
      </c>
      <c r="D232" s="48">
        <f>'Adani Enterprises'!D232</f>
        <v>0</v>
      </c>
      <c r="E232" s="48">
        <f>'Adani Enterprises'!E232</f>
        <v>0</v>
      </c>
      <c r="F232" s="48">
        <f>'Adani Enterprises'!F232</f>
        <v>0</v>
      </c>
      <c r="G232" s="48">
        <f>'Adani Enterprises'!G232</f>
        <v>0</v>
      </c>
      <c r="H232" s="48">
        <f>'Adani Enterprises'!H232</f>
        <v>0</v>
      </c>
      <c r="I232" s="48">
        <f>'Adani Enterprises'!I232</f>
        <v>0</v>
      </c>
      <c r="J232" s="48">
        <f>'Adani Enterprises'!J232</f>
        <v>0</v>
      </c>
      <c r="K232" s="48">
        <f>'Adani Enterprises'!K232</f>
        <v>0</v>
      </c>
      <c r="L232" s="48">
        <f>'Adani Enterprises'!L232</f>
        <v>0</v>
      </c>
      <c r="M232" s="48">
        <f>'Adani Enterprises'!M232</f>
        <v>0</v>
      </c>
      <c r="N232" s="48">
        <f>'Adani Enterprises'!N232</f>
        <v>0</v>
      </c>
      <c r="O232" s="48">
        <f>'Adani Enterprises'!O232</f>
        <v>0</v>
      </c>
      <c r="P232" s="48">
        <f>'Adani Enterprises'!P232</f>
        <v>0</v>
      </c>
      <c r="Q232" s="48">
        <f>'Adani Enterprises'!Q232</f>
        <v>0</v>
      </c>
      <c r="R232" s="48">
        <f>'Adani Enterprises'!R232</f>
        <v>0</v>
      </c>
      <c r="S232" s="48">
        <f>'Adani Enterprises'!S232</f>
        <v>0</v>
      </c>
      <c r="T232" s="48">
        <f>'Adani Enterprises'!T232</f>
        <v>0</v>
      </c>
      <c r="U232" s="48">
        <f>'Adani Enterprises'!U232</f>
        <v>0</v>
      </c>
      <c r="V232" s="48">
        <f>'Adani Enterprises'!V232</f>
        <v>0</v>
      </c>
      <c r="W232" s="48">
        <f>'Adani Enterprises'!W232</f>
        <v>0</v>
      </c>
      <c r="X232" s="48">
        <f>'Adani Enterprises'!X232</f>
        <v>0</v>
      </c>
      <c r="Y232" s="48">
        <f>'Adani Enterprises'!Y232</f>
        <v>0</v>
      </c>
      <c r="Z232" s="48">
        <f>'Adani Enterprises'!Z232</f>
        <v>0</v>
      </c>
      <c r="AA232" s="48">
        <f>'Adani Enterprises'!AA232</f>
        <v>0</v>
      </c>
      <c r="AB232" s="48">
        <f>'Adani Enterprises'!AB232</f>
        <v>0</v>
      </c>
      <c r="AC232" s="48">
        <f>'Adani Enterprises'!AC232</f>
        <v>0</v>
      </c>
      <c r="AD232" s="48">
        <f>'Adani Enterprises'!AD232</f>
        <v>0</v>
      </c>
      <c r="AE232" s="48">
        <f>'Adani Enterprises'!AE232</f>
        <v>0</v>
      </c>
      <c r="AF232" s="48">
        <f>'Adani Enterprises'!AF232</f>
        <v>0</v>
      </c>
      <c r="AG232" s="48">
        <f>'Adani Enterprises'!AG232</f>
        <v>0</v>
      </c>
      <c r="AH232" s="48">
        <f>'Adani Enterprises'!AH232</f>
        <v>0</v>
      </c>
      <c r="AI232" s="48">
        <f>'Adani Enterprises'!AI232</f>
        <v>0</v>
      </c>
      <c r="AJ232" s="48">
        <f>'Adani Enterprises'!AJ232</f>
        <v>0</v>
      </c>
      <c r="AK232" s="48">
        <f>'Adani Enterprises'!AK232</f>
        <v>0</v>
      </c>
      <c r="AL232" s="48">
        <f>'Adani Enterprises'!AL232</f>
        <v>0</v>
      </c>
    </row>
    <row r="233" customHeight="1" spans="1:38">
      <c r="A233" s="48">
        <f>'Adani Enterprises'!A233</f>
        <v>0</v>
      </c>
      <c r="B233" s="48">
        <f>'Adani Enterprises'!B233</f>
        <v>0</v>
      </c>
      <c r="C233" s="48">
        <f>'Adani Enterprises'!C233</f>
        <v>0</v>
      </c>
      <c r="D233" s="48">
        <f>'Adani Enterprises'!D233</f>
        <v>0</v>
      </c>
      <c r="E233" s="48">
        <f>'Adani Enterprises'!E233</f>
        <v>0</v>
      </c>
      <c r="F233" s="48">
        <f>'Adani Enterprises'!F233</f>
        <v>0</v>
      </c>
      <c r="G233" s="48">
        <f>'Adani Enterprises'!G233</f>
        <v>0</v>
      </c>
      <c r="H233" s="48">
        <f>'Adani Enterprises'!H233</f>
        <v>0</v>
      </c>
      <c r="I233" s="48">
        <f>'Adani Enterprises'!I233</f>
        <v>0</v>
      </c>
      <c r="J233" s="48">
        <f>'Adani Enterprises'!J233</f>
        <v>0</v>
      </c>
      <c r="K233" s="48">
        <f>'Adani Enterprises'!K233</f>
        <v>0</v>
      </c>
      <c r="L233" s="48">
        <f>'Adani Enterprises'!L233</f>
        <v>0</v>
      </c>
      <c r="M233" s="48">
        <f>'Adani Enterprises'!M233</f>
        <v>0</v>
      </c>
      <c r="N233" s="48">
        <f>'Adani Enterprises'!N233</f>
        <v>0</v>
      </c>
      <c r="O233" s="48">
        <f>'Adani Enterprises'!O233</f>
        <v>0</v>
      </c>
      <c r="P233" s="48">
        <f>'Adani Enterprises'!P233</f>
        <v>0</v>
      </c>
      <c r="Q233" s="48">
        <f>'Adani Enterprises'!Q233</f>
        <v>0</v>
      </c>
      <c r="R233" s="48">
        <f>'Adani Enterprises'!R233</f>
        <v>0</v>
      </c>
      <c r="S233" s="48">
        <f>'Adani Enterprises'!S233</f>
        <v>0</v>
      </c>
      <c r="T233" s="48">
        <f>'Adani Enterprises'!T233</f>
        <v>0</v>
      </c>
      <c r="U233" s="48">
        <f>'Adani Enterprises'!U233</f>
        <v>0</v>
      </c>
      <c r="V233" s="48">
        <f>'Adani Enterprises'!V233</f>
        <v>0</v>
      </c>
      <c r="W233" s="48">
        <f>'Adani Enterprises'!W233</f>
        <v>0</v>
      </c>
      <c r="X233" s="48">
        <f>'Adani Enterprises'!X233</f>
        <v>0</v>
      </c>
      <c r="Y233" s="48">
        <f>'Adani Enterprises'!Y233</f>
        <v>0</v>
      </c>
      <c r="Z233" s="48">
        <f>'Adani Enterprises'!Z233</f>
        <v>0</v>
      </c>
      <c r="AA233" s="48">
        <f>'Adani Enterprises'!AA233</f>
        <v>0</v>
      </c>
      <c r="AB233" s="48">
        <f>'Adani Enterprises'!AB233</f>
        <v>0</v>
      </c>
      <c r="AC233" s="48">
        <f>'Adani Enterprises'!AC233</f>
        <v>0</v>
      </c>
      <c r="AD233" s="48">
        <f>'Adani Enterprises'!AD233</f>
        <v>0</v>
      </c>
      <c r="AE233" s="48">
        <f>'Adani Enterprises'!AE233</f>
        <v>0</v>
      </c>
      <c r="AF233" s="48">
        <f>'Adani Enterprises'!AF233</f>
        <v>0</v>
      </c>
      <c r="AG233" s="48">
        <f>'Adani Enterprises'!AG233</f>
        <v>0</v>
      </c>
      <c r="AH233" s="48">
        <f>'Adani Enterprises'!AH233</f>
        <v>0</v>
      </c>
      <c r="AI233" s="48">
        <f>'Adani Enterprises'!AI233</f>
        <v>0</v>
      </c>
      <c r="AJ233" s="48">
        <f>'Adani Enterprises'!AJ233</f>
        <v>0</v>
      </c>
      <c r="AK233" s="48">
        <f>'Adani Enterprises'!AK233</f>
        <v>0</v>
      </c>
      <c r="AL233" s="48">
        <f>'Adani Enterprises'!AL233</f>
        <v>0</v>
      </c>
    </row>
    <row r="234" customHeight="1" spans="1:38">
      <c r="A234" s="48">
        <f>'Adani Enterprises'!A234</f>
        <v>0</v>
      </c>
      <c r="B234" s="48">
        <f>'Adani Enterprises'!B234</f>
        <v>0</v>
      </c>
      <c r="C234" s="48">
        <f>'Adani Enterprises'!C234</f>
        <v>0</v>
      </c>
      <c r="D234" s="48">
        <f>'Adani Enterprises'!D234</f>
        <v>0</v>
      </c>
      <c r="E234" s="48">
        <f>'Adani Enterprises'!E234</f>
        <v>0</v>
      </c>
      <c r="F234" s="48">
        <f>'Adani Enterprises'!F234</f>
        <v>0</v>
      </c>
      <c r="G234" s="48">
        <f>'Adani Enterprises'!G234</f>
        <v>0</v>
      </c>
      <c r="H234" s="48">
        <f>'Adani Enterprises'!H234</f>
        <v>0</v>
      </c>
      <c r="I234" s="48">
        <f>'Adani Enterprises'!I234</f>
        <v>0</v>
      </c>
      <c r="J234" s="48">
        <f>'Adani Enterprises'!J234</f>
        <v>0</v>
      </c>
      <c r="K234" s="48">
        <f>'Adani Enterprises'!K234</f>
        <v>0</v>
      </c>
      <c r="L234" s="48">
        <f>'Adani Enterprises'!L234</f>
        <v>0</v>
      </c>
      <c r="M234" s="48">
        <f>'Adani Enterprises'!M234</f>
        <v>0</v>
      </c>
      <c r="N234" s="48">
        <f>'Adani Enterprises'!N234</f>
        <v>0</v>
      </c>
      <c r="O234" s="48">
        <f>'Adani Enterprises'!O234</f>
        <v>0</v>
      </c>
      <c r="P234" s="48">
        <f>'Adani Enterprises'!P234</f>
        <v>0</v>
      </c>
      <c r="Q234" s="48">
        <f>'Adani Enterprises'!Q234</f>
        <v>0</v>
      </c>
      <c r="R234" s="48">
        <f>'Adani Enterprises'!R234</f>
        <v>0</v>
      </c>
      <c r="S234" s="48">
        <f>'Adani Enterprises'!S234</f>
        <v>0</v>
      </c>
      <c r="T234" s="48">
        <f>'Adani Enterprises'!T234</f>
        <v>0</v>
      </c>
      <c r="U234" s="48">
        <f>'Adani Enterprises'!U234</f>
        <v>0</v>
      </c>
      <c r="V234" s="48">
        <f>'Adani Enterprises'!V234</f>
        <v>0</v>
      </c>
      <c r="W234" s="48">
        <f>'Adani Enterprises'!W234</f>
        <v>0</v>
      </c>
      <c r="X234" s="48">
        <f>'Adani Enterprises'!X234</f>
        <v>0</v>
      </c>
      <c r="Y234" s="48">
        <f>'Adani Enterprises'!Y234</f>
        <v>0</v>
      </c>
      <c r="Z234" s="48">
        <f>'Adani Enterprises'!Z234</f>
        <v>0</v>
      </c>
      <c r="AA234" s="48">
        <f>'Adani Enterprises'!AA234</f>
        <v>0</v>
      </c>
      <c r="AB234" s="48">
        <f>'Adani Enterprises'!AB234</f>
        <v>0</v>
      </c>
      <c r="AC234" s="48">
        <f>'Adani Enterprises'!AC234</f>
        <v>0</v>
      </c>
      <c r="AD234" s="48">
        <f>'Adani Enterprises'!AD234</f>
        <v>0</v>
      </c>
      <c r="AE234" s="48">
        <f>'Adani Enterprises'!AE234</f>
        <v>0</v>
      </c>
      <c r="AF234" s="48">
        <f>'Adani Enterprises'!AF234</f>
        <v>0</v>
      </c>
      <c r="AG234" s="48">
        <f>'Adani Enterprises'!AG234</f>
        <v>0</v>
      </c>
      <c r="AH234" s="48">
        <f>'Adani Enterprises'!AH234</f>
        <v>0</v>
      </c>
      <c r="AI234" s="48">
        <f>'Adani Enterprises'!AI234</f>
        <v>0</v>
      </c>
      <c r="AJ234" s="48">
        <f>'Adani Enterprises'!AJ234</f>
        <v>0</v>
      </c>
      <c r="AK234" s="48">
        <f>'Adani Enterprises'!AK234</f>
        <v>0</v>
      </c>
      <c r="AL234" s="48">
        <f>'Adani Enterprises'!AL234</f>
        <v>0</v>
      </c>
    </row>
    <row r="235" customHeight="1" spans="1:38">
      <c r="A235" s="48">
        <f>'Adani Enterprises'!A235</f>
        <v>0</v>
      </c>
      <c r="B235" s="48">
        <f>'Adani Enterprises'!B235</f>
        <v>0</v>
      </c>
      <c r="C235" s="48">
        <f>'Adani Enterprises'!C235</f>
        <v>0</v>
      </c>
      <c r="D235" s="48">
        <f>'Adani Enterprises'!D235</f>
        <v>0</v>
      </c>
      <c r="E235" s="48">
        <f>'Adani Enterprises'!E235</f>
        <v>0</v>
      </c>
      <c r="F235" s="48">
        <f>'Adani Enterprises'!F235</f>
        <v>0</v>
      </c>
      <c r="G235" s="48">
        <f>'Adani Enterprises'!G235</f>
        <v>0</v>
      </c>
      <c r="H235" s="48">
        <f>'Adani Enterprises'!H235</f>
        <v>0</v>
      </c>
      <c r="I235" s="48">
        <f>'Adani Enterprises'!I235</f>
        <v>0</v>
      </c>
      <c r="J235" s="48">
        <f>'Adani Enterprises'!J235</f>
        <v>0</v>
      </c>
      <c r="K235" s="48">
        <f>'Adani Enterprises'!K235</f>
        <v>0</v>
      </c>
      <c r="L235" s="48">
        <f>'Adani Enterprises'!L235</f>
        <v>0</v>
      </c>
      <c r="M235" s="48">
        <f>'Adani Enterprises'!M235</f>
        <v>0</v>
      </c>
      <c r="N235" s="48">
        <f>'Adani Enterprises'!N235</f>
        <v>0</v>
      </c>
      <c r="O235" s="48">
        <f>'Adani Enterprises'!O235</f>
        <v>0</v>
      </c>
      <c r="P235" s="48">
        <f>'Adani Enterprises'!P235</f>
        <v>0</v>
      </c>
      <c r="Q235" s="48">
        <f>'Adani Enterprises'!Q235</f>
        <v>0</v>
      </c>
      <c r="R235" s="48">
        <f>'Adani Enterprises'!R235</f>
        <v>0</v>
      </c>
      <c r="S235" s="48">
        <f>'Adani Enterprises'!S235</f>
        <v>0</v>
      </c>
      <c r="T235" s="48">
        <f>'Adani Enterprises'!T235</f>
        <v>0</v>
      </c>
      <c r="U235" s="48">
        <f>'Adani Enterprises'!U235</f>
        <v>0</v>
      </c>
      <c r="V235" s="48">
        <f>'Adani Enterprises'!V235</f>
        <v>0</v>
      </c>
      <c r="W235" s="48">
        <f>'Adani Enterprises'!W235</f>
        <v>0</v>
      </c>
      <c r="X235" s="48">
        <f>'Adani Enterprises'!X235</f>
        <v>0</v>
      </c>
      <c r="Y235" s="48">
        <f>'Adani Enterprises'!Y235</f>
        <v>0</v>
      </c>
      <c r="Z235" s="48">
        <f>'Adani Enterprises'!Z235</f>
        <v>0</v>
      </c>
      <c r="AA235" s="48">
        <f>'Adani Enterprises'!AA235</f>
        <v>0</v>
      </c>
      <c r="AB235" s="48">
        <f>'Adani Enterprises'!AB235</f>
        <v>0</v>
      </c>
      <c r="AC235" s="48">
        <f>'Adani Enterprises'!AC235</f>
        <v>0</v>
      </c>
      <c r="AD235" s="48">
        <f>'Adani Enterprises'!AD235</f>
        <v>0</v>
      </c>
      <c r="AE235" s="48">
        <f>'Adani Enterprises'!AE235</f>
        <v>0</v>
      </c>
      <c r="AF235" s="48">
        <f>'Adani Enterprises'!AF235</f>
        <v>0</v>
      </c>
      <c r="AG235" s="48">
        <f>'Adani Enterprises'!AG235</f>
        <v>0</v>
      </c>
      <c r="AH235" s="48">
        <f>'Adani Enterprises'!AH235</f>
        <v>0</v>
      </c>
      <c r="AI235" s="48">
        <f>'Adani Enterprises'!AI235</f>
        <v>0</v>
      </c>
      <c r="AJ235" s="48">
        <f>'Adani Enterprises'!AJ235</f>
        <v>0</v>
      </c>
      <c r="AK235" s="48">
        <f>'Adani Enterprises'!AK235</f>
        <v>0</v>
      </c>
      <c r="AL235" s="48">
        <f>'Adani Enterprises'!AL235</f>
        <v>0</v>
      </c>
    </row>
    <row r="236" customHeight="1" spans="1:38">
      <c r="A236" s="48">
        <f>'Adani Enterprises'!A236</f>
        <v>0</v>
      </c>
      <c r="B236" s="48">
        <f>'Adani Enterprises'!B236</f>
        <v>0</v>
      </c>
      <c r="C236" s="48">
        <f>'Adani Enterprises'!C236</f>
        <v>0</v>
      </c>
      <c r="D236" s="48">
        <f>'Adani Enterprises'!D236</f>
        <v>0</v>
      </c>
      <c r="E236" s="48">
        <f>'Adani Enterprises'!E236</f>
        <v>0</v>
      </c>
      <c r="F236" s="48">
        <f>'Adani Enterprises'!F236</f>
        <v>0</v>
      </c>
      <c r="G236" s="48">
        <f>'Adani Enterprises'!G236</f>
        <v>0</v>
      </c>
      <c r="H236" s="48">
        <f>'Adani Enterprises'!H236</f>
        <v>0</v>
      </c>
      <c r="I236" s="48">
        <f>'Adani Enterprises'!I236</f>
        <v>0</v>
      </c>
      <c r="J236" s="48">
        <f>'Adani Enterprises'!J236</f>
        <v>0</v>
      </c>
      <c r="K236" s="48">
        <f>'Adani Enterprises'!K236</f>
        <v>0</v>
      </c>
      <c r="L236" s="48">
        <f>'Adani Enterprises'!L236</f>
        <v>0</v>
      </c>
      <c r="M236" s="48">
        <f>'Adani Enterprises'!M236</f>
        <v>0</v>
      </c>
      <c r="N236" s="48">
        <f>'Adani Enterprises'!N236</f>
        <v>0</v>
      </c>
      <c r="O236" s="48">
        <f>'Adani Enterprises'!O236</f>
        <v>0</v>
      </c>
      <c r="P236" s="48">
        <f>'Adani Enterprises'!P236</f>
        <v>0</v>
      </c>
      <c r="Q236" s="48">
        <f>'Adani Enterprises'!Q236</f>
        <v>0</v>
      </c>
      <c r="R236" s="48">
        <f>'Adani Enterprises'!R236</f>
        <v>0</v>
      </c>
      <c r="S236" s="48">
        <f>'Adani Enterprises'!S236</f>
        <v>0</v>
      </c>
      <c r="T236" s="48">
        <f>'Adani Enterprises'!T236</f>
        <v>0</v>
      </c>
      <c r="U236" s="48">
        <f>'Adani Enterprises'!U236</f>
        <v>0</v>
      </c>
      <c r="V236" s="48">
        <f>'Adani Enterprises'!V236</f>
        <v>0</v>
      </c>
      <c r="W236" s="48">
        <f>'Adani Enterprises'!W236</f>
        <v>0</v>
      </c>
      <c r="X236" s="48">
        <f>'Adani Enterprises'!X236</f>
        <v>0</v>
      </c>
      <c r="Y236" s="48">
        <f>'Adani Enterprises'!Y236</f>
        <v>0</v>
      </c>
      <c r="Z236" s="48">
        <f>'Adani Enterprises'!Z236</f>
        <v>0</v>
      </c>
      <c r="AA236" s="48">
        <f>'Adani Enterprises'!AA236</f>
        <v>0</v>
      </c>
      <c r="AB236" s="48">
        <f>'Adani Enterprises'!AB236</f>
        <v>0</v>
      </c>
      <c r="AC236" s="48">
        <f>'Adani Enterprises'!AC236</f>
        <v>0</v>
      </c>
      <c r="AD236" s="48">
        <f>'Adani Enterprises'!AD236</f>
        <v>0</v>
      </c>
      <c r="AE236" s="48">
        <f>'Adani Enterprises'!AE236</f>
        <v>0</v>
      </c>
      <c r="AF236" s="48">
        <f>'Adani Enterprises'!AF236</f>
        <v>0</v>
      </c>
      <c r="AG236" s="48">
        <f>'Adani Enterprises'!AG236</f>
        <v>0</v>
      </c>
      <c r="AH236" s="48">
        <f>'Adani Enterprises'!AH236</f>
        <v>0</v>
      </c>
      <c r="AI236" s="48">
        <f>'Adani Enterprises'!AI236</f>
        <v>0</v>
      </c>
      <c r="AJ236" s="48">
        <f>'Adani Enterprises'!AJ236</f>
        <v>0</v>
      </c>
      <c r="AK236" s="48">
        <f>'Adani Enterprises'!AK236</f>
        <v>0</v>
      </c>
      <c r="AL236" s="48">
        <f>'Adani Enterprises'!AL236</f>
        <v>0</v>
      </c>
    </row>
    <row r="237" customHeight="1" spans="1:38">
      <c r="A237" s="48">
        <f>'Adani Enterprises'!A237</f>
        <v>0</v>
      </c>
      <c r="B237" s="48">
        <f>'Adani Enterprises'!B237</f>
        <v>0</v>
      </c>
      <c r="C237" s="48">
        <f>'Adani Enterprises'!C237</f>
        <v>0</v>
      </c>
      <c r="D237" s="48">
        <f>'Adani Enterprises'!D237</f>
        <v>0</v>
      </c>
      <c r="E237" s="48">
        <f>'Adani Enterprises'!E237</f>
        <v>0</v>
      </c>
      <c r="F237" s="48">
        <f>'Adani Enterprises'!F237</f>
        <v>0</v>
      </c>
      <c r="G237" s="48">
        <f>'Adani Enterprises'!G237</f>
        <v>0</v>
      </c>
      <c r="H237" s="48">
        <f>'Adani Enterprises'!H237</f>
        <v>0</v>
      </c>
      <c r="I237" s="48">
        <f>'Adani Enterprises'!I237</f>
        <v>0</v>
      </c>
      <c r="J237" s="48">
        <f>'Adani Enterprises'!J237</f>
        <v>0</v>
      </c>
      <c r="K237" s="48">
        <f>'Adani Enterprises'!K237</f>
        <v>0</v>
      </c>
      <c r="L237" s="48">
        <f>'Adani Enterprises'!L237</f>
        <v>0</v>
      </c>
      <c r="M237" s="48">
        <f>'Adani Enterprises'!M237</f>
        <v>0</v>
      </c>
      <c r="N237" s="48">
        <f>'Adani Enterprises'!N237</f>
        <v>0</v>
      </c>
      <c r="O237" s="48">
        <f>'Adani Enterprises'!O237</f>
        <v>0</v>
      </c>
      <c r="P237" s="48">
        <f>'Adani Enterprises'!P237</f>
        <v>0</v>
      </c>
      <c r="Q237" s="48">
        <f>'Adani Enterprises'!Q237</f>
        <v>0</v>
      </c>
      <c r="R237" s="48">
        <f>'Adani Enterprises'!R237</f>
        <v>0</v>
      </c>
      <c r="S237" s="48">
        <f>'Adani Enterprises'!S237</f>
        <v>0</v>
      </c>
      <c r="T237" s="48">
        <f>'Adani Enterprises'!T237</f>
        <v>0</v>
      </c>
      <c r="U237" s="48">
        <f>'Adani Enterprises'!U237</f>
        <v>0</v>
      </c>
      <c r="V237" s="48">
        <f>'Adani Enterprises'!V237</f>
        <v>0</v>
      </c>
      <c r="W237" s="48">
        <f>'Adani Enterprises'!W237</f>
        <v>0</v>
      </c>
      <c r="X237" s="48">
        <f>'Adani Enterprises'!X237</f>
        <v>0</v>
      </c>
      <c r="Y237" s="48">
        <f>'Adani Enterprises'!Y237</f>
        <v>0</v>
      </c>
      <c r="Z237" s="48">
        <f>'Adani Enterprises'!Z237</f>
        <v>0</v>
      </c>
      <c r="AA237" s="48">
        <f>'Adani Enterprises'!AA237</f>
        <v>0</v>
      </c>
      <c r="AB237" s="48">
        <f>'Adani Enterprises'!AB237</f>
        <v>0</v>
      </c>
      <c r="AC237" s="48">
        <f>'Adani Enterprises'!AC237</f>
        <v>0</v>
      </c>
      <c r="AD237" s="48">
        <f>'Adani Enterprises'!AD237</f>
        <v>0</v>
      </c>
      <c r="AE237" s="48">
        <f>'Adani Enterprises'!AE237</f>
        <v>0</v>
      </c>
      <c r="AF237" s="48">
        <f>'Adani Enterprises'!AF237</f>
        <v>0</v>
      </c>
      <c r="AG237" s="48">
        <f>'Adani Enterprises'!AG237</f>
        <v>0</v>
      </c>
      <c r="AH237" s="48">
        <f>'Adani Enterprises'!AH237</f>
        <v>0</v>
      </c>
      <c r="AI237" s="48">
        <f>'Adani Enterprises'!AI237</f>
        <v>0</v>
      </c>
      <c r="AJ237" s="48">
        <f>'Adani Enterprises'!AJ237</f>
        <v>0</v>
      </c>
      <c r="AK237" s="48">
        <f>'Adani Enterprises'!AK237</f>
        <v>0</v>
      </c>
      <c r="AL237" s="48">
        <f>'Adani Enterprises'!AL237</f>
        <v>0</v>
      </c>
    </row>
    <row r="238" customHeight="1" spans="1:38">
      <c r="A238" s="48">
        <f>'Adani Enterprises'!A238</f>
        <v>0</v>
      </c>
      <c r="B238" s="48">
        <f>'Adani Enterprises'!B238</f>
        <v>0</v>
      </c>
      <c r="C238" s="48">
        <f>'Adani Enterprises'!C238</f>
        <v>0</v>
      </c>
      <c r="D238" s="48">
        <f>'Adani Enterprises'!D238</f>
        <v>0</v>
      </c>
      <c r="E238" s="48">
        <f>'Adani Enterprises'!E238</f>
        <v>0</v>
      </c>
      <c r="F238" s="48">
        <f>'Adani Enterprises'!F238</f>
        <v>0</v>
      </c>
      <c r="G238" s="48">
        <f>'Adani Enterprises'!G238</f>
        <v>0</v>
      </c>
      <c r="H238" s="48">
        <f>'Adani Enterprises'!H238</f>
        <v>0</v>
      </c>
      <c r="I238" s="48">
        <f>'Adani Enterprises'!I238</f>
        <v>0</v>
      </c>
      <c r="J238" s="48">
        <f>'Adani Enterprises'!J238</f>
        <v>0</v>
      </c>
      <c r="K238" s="48">
        <f>'Adani Enterprises'!K238</f>
        <v>0</v>
      </c>
      <c r="L238" s="48">
        <f>'Adani Enterprises'!L238</f>
        <v>0</v>
      </c>
      <c r="M238" s="48">
        <f>'Adani Enterprises'!M238</f>
        <v>0</v>
      </c>
      <c r="N238" s="48">
        <f>'Adani Enterprises'!N238</f>
        <v>0</v>
      </c>
      <c r="O238" s="48">
        <f>'Adani Enterprises'!O238</f>
        <v>0</v>
      </c>
      <c r="P238" s="48">
        <f>'Adani Enterprises'!P238</f>
        <v>0</v>
      </c>
      <c r="Q238" s="48">
        <f>'Adani Enterprises'!Q238</f>
        <v>0</v>
      </c>
      <c r="R238" s="48">
        <f>'Adani Enterprises'!R238</f>
        <v>0</v>
      </c>
      <c r="S238" s="48">
        <f>'Adani Enterprises'!S238</f>
        <v>0</v>
      </c>
      <c r="T238" s="48">
        <f>'Adani Enterprises'!T238</f>
        <v>0</v>
      </c>
      <c r="U238" s="48">
        <f>'Adani Enterprises'!U238</f>
        <v>0</v>
      </c>
      <c r="V238" s="48">
        <f>'Adani Enterprises'!V238</f>
        <v>0</v>
      </c>
      <c r="W238" s="48">
        <f>'Adani Enterprises'!W238</f>
        <v>0</v>
      </c>
      <c r="X238" s="48">
        <f>'Adani Enterprises'!X238</f>
        <v>0</v>
      </c>
      <c r="Y238" s="48">
        <f>'Adani Enterprises'!Y238</f>
        <v>0</v>
      </c>
      <c r="Z238" s="48">
        <f>'Adani Enterprises'!Z238</f>
        <v>0</v>
      </c>
      <c r="AA238" s="48">
        <f>'Adani Enterprises'!AA238</f>
        <v>0</v>
      </c>
      <c r="AB238" s="48">
        <f>'Adani Enterprises'!AB238</f>
        <v>0</v>
      </c>
      <c r="AC238" s="48">
        <f>'Adani Enterprises'!AC238</f>
        <v>0</v>
      </c>
      <c r="AD238" s="48">
        <f>'Adani Enterprises'!AD238</f>
        <v>0</v>
      </c>
      <c r="AE238" s="48">
        <f>'Adani Enterprises'!AE238</f>
        <v>0</v>
      </c>
      <c r="AF238" s="48">
        <f>'Adani Enterprises'!AF238</f>
        <v>0</v>
      </c>
      <c r="AG238" s="48">
        <f>'Adani Enterprises'!AG238</f>
        <v>0</v>
      </c>
      <c r="AH238" s="48">
        <f>'Adani Enterprises'!AH238</f>
        <v>0</v>
      </c>
      <c r="AI238" s="48">
        <f>'Adani Enterprises'!AI238</f>
        <v>0</v>
      </c>
      <c r="AJ238" s="48">
        <f>'Adani Enterprises'!AJ238</f>
        <v>0</v>
      </c>
      <c r="AK238" s="48">
        <f>'Adani Enterprises'!AK238</f>
        <v>0</v>
      </c>
      <c r="AL238" s="48">
        <f>'Adani Enterprises'!AL238</f>
        <v>0</v>
      </c>
    </row>
    <row r="239" customHeight="1" spans="1:38">
      <c r="A239" s="48">
        <f>'Adani Enterprises'!A239</f>
        <v>0</v>
      </c>
      <c r="B239" s="48">
        <f>'Adani Enterprises'!B239</f>
        <v>0</v>
      </c>
      <c r="C239" s="48">
        <f>'Adani Enterprises'!C239</f>
        <v>0</v>
      </c>
      <c r="D239" s="48">
        <f>'Adani Enterprises'!D239</f>
        <v>0</v>
      </c>
      <c r="E239" s="48">
        <f>'Adani Enterprises'!E239</f>
        <v>0</v>
      </c>
      <c r="F239" s="48">
        <f>'Adani Enterprises'!F239</f>
        <v>0</v>
      </c>
      <c r="G239" s="48">
        <f>'Adani Enterprises'!G239</f>
        <v>0</v>
      </c>
      <c r="H239" s="48">
        <f>'Adani Enterprises'!H239</f>
        <v>0</v>
      </c>
      <c r="I239" s="48">
        <f>'Adani Enterprises'!I239</f>
        <v>0</v>
      </c>
      <c r="J239" s="48">
        <f>'Adani Enterprises'!J239</f>
        <v>0</v>
      </c>
      <c r="K239" s="48">
        <f>'Adani Enterprises'!K239</f>
        <v>0</v>
      </c>
      <c r="L239" s="48">
        <f>'Adani Enterprises'!L239</f>
        <v>0</v>
      </c>
      <c r="M239" s="48">
        <f>'Adani Enterprises'!M239</f>
        <v>0</v>
      </c>
      <c r="N239" s="48">
        <f>'Adani Enterprises'!N239</f>
        <v>0</v>
      </c>
      <c r="O239" s="48">
        <f>'Adani Enterprises'!O239</f>
        <v>0</v>
      </c>
      <c r="P239" s="48">
        <f>'Adani Enterprises'!P239</f>
        <v>0</v>
      </c>
      <c r="Q239" s="48">
        <f>'Adani Enterprises'!Q239</f>
        <v>0</v>
      </c>
      <c r="R239" s="48">
        <f>'Adani Enterprises'!R239</f>
        <v>0</v>
      </c>
      <c r="S239" s="48">
        <f>'Adani Enterprises'!S239</f>
        <v>0</v>
      </c>
      <c r="T239" s="48">
        <f>'Adani Enterprises'!T239</f>
        <v>0</v>
      </c>
      <c r="U239" s="48">
        <f>'Adani Enterprises'!U239</f>
        <v>0</v>
      </c>
      <c r="V239" s="48">
        <f>'Adani Enterprises'!V239</f>
        <v>0</v>
      </c>
      <c r="W239" s="48">
        <f>'Adani Enterprises'!W239</f>
        <v>0</v>
      </c>
      <c r="X239" s="48">
        <f>'Adani Enterprises'!X239</f>
        <v>0</v>
      </c>
      <c r="Y239" s="48">
        <f>'Adani Enterprises'!Y239</f>
        <v>0</v>
      </c>
      <c r="Z239" s="48">
        <f>'Adani Enterprises'!Z239</f>
        <v>0</v>
      </c>
      <c r="AA239" s="48">
        <f>'Adani Enterprises'!AA239</f>
        <v>0</v>
      </c>
      <c r="AB239" s="48">
        <f>'Adani Enterprises'!AB239</f>
        <v>0</v>
      </c>
      <c r="AC239" s="48">
        <f>'Adani Enterprises'!AC239</f>
        <v>0</v>
      </c>
      <c r="AD239" s="48">
        <f>'Adani Enterprises'!AD239</f>
        <v>0</v>
      </c>
      <c r="AE239" s="48">
        <f>'Adani Enterprises'!AE239</f>
        <v>0</v>
      </c>
      <c r="AF239" s="48">
        <f>'Adani Enterprises'!AF239</f>
        <v>0</v>
      </c>
      <c r="AG239" s="48">
        <f>'Adani Enterprises'!AG239</f>
        <v>0</v>
      </c>
      <c r="AH239" s="48">
        <f>'Adani Enterprises'!AH239</f>
        <v>0</v>
      </c>
      <c r="AI239" s="48">
        <f>'Adani Enterprises'!AI239</f>
        <v>0</v>
      </c>
      <c r="AJ239" s="48">
        <f>'Adani Enterprises'!AJ239</f>
        <v>0</v>
      </c>
      <c r="AK239" s="48">
        <f>'Adani Enterprises'!AK239</f>
        <v>0</v>
      </c>
      <c r="AL239" s="48">
        <f>'Adani Enterprises'!AL239</f>
        <v>0</v>
      </c>
    </row>
    <row r="240" customHeight="1" spans="1:38">
      <c r="A240" s="48">
        <f>'Adani Enterprises'!A240</f>
        <v>0</v>
      </c>
      <c r="B240" s="48">
        <f>'Adani Enterprises'!B240</f>
        <v>0</v>
      </c>
      <c r="C240" s="48">
        <f>'Adani Enterprises'!C240</f>
        <v>0</v>
      </c>
      <c r="D240" s="48">
        <f>'Adani Enterprises'!D240</f>
        <v>0</v>
      </c>
      <c r="E240" s="48">
        <f>'Adani Enterprises'!E240</f>
        <v>0</v>
      </c>
      <c r="F240" s="48">
        <f>'Adani Enterprises'!F240</f>
        <v>0</v>
      </c>
      <c r="G240" s="48">
        <f>'Adani Enterprises'!G240</f>
        <v>0</v>
      </c>
      <c r="H240" s="48">
        <f>'Adani Enterprises'!H240</f>
        <v>0</v>
      </c>
      <c r="I240" s="48">
        <f>'Adani Enterprises'!I240</f>
        <v>0</v>
      </c>
      <c r="J240" s="48">
        <f>'Adani Enterprises'!J240</f>
        <v>0</v>
      </c>
      <c r="K240" s="48">
        <f>'Adani Enterprises'!K240</f>
        <v>0</v>
      </c>
      <c r="L240" s="48">
        <f>'Adani Enterprises'!L240</f>
        <v>0</v>
      </c>
      <c r="M240" s="48">
        <f>'Adani Enterprises'!M240</f>
        <v>0</v>
      </c>
      <c r="N240" s="48">
        <f>'Adani Enterprises'!N240</f>
        <v>0</v>
      </c>
      <c r="O240" s="48">
        <f>'Adani Enterprises'!O240</f>
        <v>0</v>
      </c>
      <c r="P240" s="48">
        <f>'Adani Enterprises'!P240</f>
        <v>0</v>
      </c>
      <c r="Q240" s="48">
        <f>'Adani Enterprises'!Q240</f>
        <v>0</v>
      </c>
      <c r="R240" s="48">
        <f>'Adani Enterprises'!R240</f>
        <v>0</v>
      </c>
      <c r="S240" s="48">
        <f>'Adani Enterprises'!S240</f>
        <v>0</v>
      </c>
      <c r="T240" s="48">
        <f>'Adani Enterprises'!T240</f>
        <v>0</v>
      </c>
      <c r="U240" s="48">
        <f>'Adani Enterprises'!U240</f>
        <v>0</v>
      </c>
      <c r="V240" s="48">
        <f>'Adani Enterprises'!V240</f>
        <v>0</v>
      </c>
      <c r="W240" s="48">
        <f>'Adani Enterprises'!W240</f>
        <v>0</v>
      </c>
      <c r="X240" s="48">
        <f>'Adani Enterprises'!X240</f>
        <v>0</v>
      </c>
      <c r="Y240" s="48">
        <f>'Adani Enterprises'!Y240</f>
        <v>0</v>
      </c>
      <c r="Z240" s="48">
        <f>'Adani Enterprises'!Z240</f>
        <v>0</v>
      </c>
      <c r="AA240" s="48">
        <f>'Adani Enterprises'!AA240</f>
        <v>0</v>
      </c>
      <c r="AB240" s="48">
        <f>'Adani Enterprises'!AB240</f>
        <v>0</v>
      </c>
      <c r="AC240" s="48">
        <f>'Adani Enterprises'!AC240</f>
        <v>0</v>
      </c>
      <c r="AD240" s="48">
        <f>'Adani Enterprises'!AD240</f>
        <v>0</v>
      </c>
      <c r="AE240" s="48">
        <f>'Adani Enterprises'!AE240</f>
        <v>0</v>
      </c>
      <c r="AF240" s="48">
        <f>'Adani Enterprises'!AF240</f>
        <v>0</v>
      </c>
      <c r="AG240" s="48">
        <f>'Adani Enterprises'!AG240</f>
        <v>0</v>
      </c>
      <c r="AH240" s="48">
        <f>'Adani Enterprises'!AH240</f>
        <v>0</v>
      </c>
      <c r="AI240" s="48">
        <f>'Adani Enterprises'!AI240</f>
        <v>0</v>
      </c>
      <c r="AJ240" s="48">
        <f>'Adani Enterprises'!AJ240</f>
        <v>0</v>
      </c>
      <c r="AK240" s="48">
        <f>'Adani Enterprises'!AK240</f>
        <v>0</v>
      </c>
      <c r="AL240" s="48">
        <f>'Adani Enterprises'!AL240</f>
        <v>0</v>
      </c>
    </row>
    <row r="241" customHeight="1" spans="1:38">
      <c r="A241" s="48">
        <f>'Adani Enterprises'!A241</f>
        <v>0</v>
      </c>
      <c r="B241" s="48">
        <f>'Adani Enterprises'!B241</f>
        <v>0</v>
      </c>
      <c r="C241" s="48">
        <f>'Adani Enterprises'!C241</f>
        <v>0</v>
      </c>
      <c r="D241" s="48">
        <f>'Adani Enterprises'!D241</f>
        <v>0</v>
      </c>
      <c r="E241" s="48">
        <f>'Adani Enterprises'!E241</f>
        <v>0</v>
      </c>
      <c r="F241" s="48">
        <f>'Adani Enterprises'!F241</f>
        <v>0</v>
      </c>
      <c r="G241" s="48">
        <f>'Adani Enterprises'!G241</f>
        <v>0</v>
      </c>
      <c r="H241" s="48">
        <f>'Adani Enterprises'!H241</f>
        <v>0</v>
      </c>
      <c r="I241" s="48">
        <f>'Adani Enterprises'!I241</f>
        <v>0</v>
      </c>
      <c r="J241" s="48">
        <f>'Adani Enterprises'!J241</f>
        <v>0</v>
      </c>
      <c r="K241" s="48">
        <f>'Adani Enterprises'!K241</f>
        <v>0</v>
      </c>
      <c r="L241" s="48">
        <f>'Adani Enterprises'!L241</f>
        <v>0</v>
      </c>
      <c r="M241" s="48">
        <f>'Adani Enterprises'!M241</f>
        <v>0</v>
      </c>
      <c r="N241" s="48">
        <f>'Adani Enterprises'!N241</f>
        <v>0</v>
      </c>
      <c r="O241" s="48">
        <f>'Adani Enterprises'!O241</f>
        <v>0</v>
      </c>
      <c r="P241" s="48">
        <f>'Adani Enterprises'!P241</f>
        <v>0</v>
      </c>
      <c r="Q241" s="48">
        <f>'Adani Enterprises'!Q241</f>
        <v>0</v>
      </c>
      <c r="R241" s="48">
        <f>'Adani Enterprises'!R241</f>
        <v>0</v>
      </c>
      <c r="S241" s="48">
        <f>'Adani Enterprises'!S241</f>
        <v>0</v>
      </c>
      <c r="T241" s="48">
        <f>'Adani Enterprises'!T241</f>
        <v>0</v>
      </c>
      <c r="U241" s="48">
        <f>'Adani Enterprises'!U241</f>
        <v>0</v>
      </c>
      <c r="V241" s="48">
        <f>'Adani Enterprises'!V241</f>
        <v>0</v>
      </c>
      <c r="W241" s="48">
        <f>'Adani Enterprises'!W241</f>
        <v>0</v>
      </c>
      <c r="X241" s="48">
        <f>'Adani Enterprises'!X241</f>
        <v>0</v>
      </c>
      <c r="Y241" s="48">
        <f>'Adani Enterprises'!Y241</f>
        <v>0</v>
      </c>
      <c r="Z241" s="48">
        <f>'Adani Enterprises'!Z241</f>
        <v>0</v>
      </c>
      <c r="AA241" s="48">
        <f>'Adani Enterprises'!AA241</f>
        <v>0</v>
      </c>
      <c r="AB241" s="48">
        <f>'Adani Enterprises'!AB241</f>
        <v>0</v>
      </c>
      <c r="AC241" s="48">
        <f>'Adani Enterprises'!AC241</f>
        <v>0</v>
      </c>
      <c r="AD241" s="48">
        <f>'Adani Enterprises'!AD241</f>
        <v>0</v>
      </c>
      <c r="AE241" s="48">
        <f>'Adani Enterprises'!AE241</f>
        <v>0</v>
      </c>
      <c r="AF241" s="48">
        <f>'Adani Enterprises'!AF241</f>
        <v>0</v>
      </c>
      <c r="AG241" s="48">
        <f>'Adani Enterprises'!AG241</f>
        <v>0</v>
      </c>
      <c r="AH241" s="48">
        <f>'Adani Enterprises'!AH241</f>
        <v>0</v>
      </c>
      <c r="AI241" s="48">
        <f>'Adani Enterprises'!AI241</f>
        <v>0</v>
      </c>
      <c r="AJ241" s="48">
        <f>'Adani Enterprises'!AJ241</f>
        <v>0</v>
      </c>
      <c r="AK241" s="48">
        <f>'Adani Enterprises'!AK241</f>
        <v>0</v>
      </c>
      <c r="AL241" s="48">
        <f>'Adani Enterprises'!AL241</f>
        <v>0</v>
      </c>
    </row>
    <row r="242" customHeight="1" spans="1:38">
      <c r="A242" s="48">
        <f>'Adani Enterprises'!A242</f>
        <v>0</v>
      </c>
      <c r="B242" s="48">
        <f>'Adani Enterprises'!B242</f>
        <v>0</v>
      </c>
      <c r="C242" s="48">
        <f>'Adani Enterprises'!C242</f>
        <v>0</v>
      </c>
      <c r="D242" s="48">
        <f>'Adani Enterprises'!D242</f>
        <v>0</v>
      </c>
      <c r="E242" s="48">
        <f>'Adani Enterprises'!E242</f>
        <v>0</v>
      </c>
      <c r="F242" s="48">
        <f>'Adani Enterprises'!F242</f>
        <v>0</v>
      </c>
      <c r="G242" s="48">
        <f>'Adani Enterprises'!G242</f>
        <v>0</v>
      </c>
      <c r="H242" s="48">
        <f>'Adani Enterprises'!H242</f>
        <v>0</v>
      </c>
      <c r="I242" s="48">
        <f>'Adani Enterprises'!I242</f>
        <v>0</v>
      </c>
      <c r="J242" s="48">
        <f>'Adani Enterprises'!J242</f>
        <v>0</v>
      </c>
      <c r="K242" s="48">
        <f>'Adani Enterprises'!K242</f>
        <v>0</v>
      </c>
      <c r="L242" s="48">
        <f>'Adani Enterprises'!L242</f>
        <v>0</v>
      </c>
      <c r="M242" s="48">
        <f>'Adani Enterprises'!M242</f>
        <v>0</v>
      </c>
      <c r="N242" s="48">
        <f>'Adani Enterprises'!N242</f>
        <v>0</v>
      </c>
      <c r="O242" s="48">
        <f>'Adani Enterprises'!O242</f>
        <v>0</v>
      </c>
      <c r="P242" s="48">
        <f>'Adani Enterprises'!P242</f>
        <v>0</v>
      </c>
      <c r="Q242" s="48">
        <f>'Adani Enterprises'!Q242</f>
        <v>0</v>
      </c>
      <c r="R242" s="48">
        <f>'Adani Enterprises'!R242</f>
        <v>0</v>
      </c>
      <c r="S242" s="48">
        <f>'Adani Enterprises'!S242</f>
        <v>0</v>
      </c>
      <c r="T242" s="48">
        <f>'Adani Enterprises'!T242</f>
        <v>0</v>
      </c>
      <c r="U242" s="48">
        <f>'Adani Enterprises'!U242</f>
        <v>0</v>
      </c>
      <c r="V242" s="48">
        <f>'Adani Enterprises'!V242</f>
        <v>0</v>
      </c>
      <c r="W242" s="48">
        <f>'Adani Enterprises'!W242</f>
        <v>0</v>
      </c>
      <c r="X242" s="48">
        <f>'Adani Enterprises'!X242</f>
        <v>0</v>
      </c>
      <c r="Y242" s="48">
        <f>'Adani Enterprises'!Y242</f>
        <v>0</v>
      </c>
      <c r="Z242" s="48">
        <f>'Adani Enterprises'!Z242</f>
        <v>0</v>
      </c>
      <c r="AA242" s="48">
        <f>'Adani Enterprises'!AA242</f>
        <v>0</v>
      </c>
      <c r="AB242" s="48">
        <f>'Adani Enterprises'!AB242</f>
        <v>0</v>
      </c>
      <c r="AC242" s="48">
        <f>'Adani Enterprises'!AC242</f>
        <v>0</v>
      </c>
      <c r="AD242" s="48">
        <f>'Adani Enterprises'!AD242</f>
        <v>0</v>
      </c>
      <c r="AE242" s="48">
        <f>'Adani Enterprises'!AE242</f>
        <v>0</v>
      </c>
      <c r="AF242" s="48">
        <f>'Adani Enterprises'!AF242</f>
        <v>0</v>
      </c>
      <c r="AG242" s="48">
        <f>'Adani Enterprises'!AG242</f>
        <v>0</v>
      </c>
      <c r="AH242" s="48">
        <f>'Adani Enterprises'!AH242</f>
        <v>0</v>
      </c>
      <c r="AI242" s="48">
        <f>'Adani Enterprises'!AI242</f>
        <v>0</v>
      </c>
      <c r="AJ242" s="48">
        <f>'Adani Enterprises'!AJ242</f>
        <v>0</v>
      </c>
      <c r="AK242" s="48">
        <f>'Adani Enterprises'!AK242</f>
        <v>0</v>
      </c>
      <c r="AL242" s="48">
        <f>'Adani Enterprises'!AL242</f>
        <v>0</v>
      </c>
    </row>
    <row r="243" customHeight="1" spans="1:38">
      <c r="A243" s="48">
        <f>'Adani Enterprises'!A243</f>
        <v>0</v>
      </c>
      <c r="B243" s="48">
        <f>'Adani Enterprises'!B243</f>
        <v>0</v>
      </c>
      <c r="C243" s="48">
        <f>'Adani Enterprises'!C243</f>
        <v>0</v>
      </c>
      <c r="D243" s="48">
        <f>'Adani Enterprises'!D243</f>
        <v>0</v>
      </c>
      <c r="E243" s="48">
        <f>'Adani Enterprises'!E243</f>
        <v>0</v>
      </c>
      <c r="F243" s="48">
        <f>'Adani Enterprises'!F243</f>
        <v>0</v>
      </c>
      <c r="G243" s="48">
        <f>'Adani Enterprises'!G243</f>
        <v>0</v>
      </c>
      <c r="H243" s="48">
        <f>'Adani Enterprises'!H243</f>
        <v>0</v>
      </c>
      <c r="I243" s="48">
        <f>'Adani Enterprises'!I243</f>
        <v>0</v>
      </c>
      <c r="J243" s="48">
        <f>'Adani Enterprises'!J243</f>
        <v>0</v>
      </c>
      <c r="K243" s="48">
        <f>'Adani Enterprises'!K243</f>
        <v>0</v>
      </c>
      <c r="L243" s="48">
        <f>'Adani Enterprises'!L243</f>
        <v>0</v>
      </c>
      <c r="M243" s="48">
        <f>'Adani Enterprises'!M243</f>
        <v>0</v>
      </c>
      <c r="N243" s="48">
        <f>'Adani Enterprises'!N243</f>
        <v>0</v>
      </c>
      <c r="O243" s="48">
        <f>'Adani Enterprises'!O243</f>
        <v>0</v>
      </c>
      <c r="P243" s="48">
        <f>'Adani Enterprises'!P243</f>
        <v>0</v>
      </c>
      <c r="Q243" s="48">
        <f>'Adani Enterprises'!Q243</f>
        <v>0</v>
      </c>
      <c r="R243" s="48">
        <f>'Adani Enterprises'!R243</f>
        <v>0</v>
      </c>
      <c r="S243" s="48">
        <f>'Adani Enterprises'!S243</f>
        <v>0</v>
      </c>
      <c r="T243" s="48">
        <f>'Adani Enterprises'!T243</f>
        <v>0</v>
      </c>
      <c r="U243" s="48">
        <f>'Adani Enterprises'!U243</f>
        <v>0</v>
      </c>
      <c r="V243" s="48">
        <f>'Adani Enterprises'!V243</f>
        <v>0</v>
      </c>
      <c r="W243" s="48">
        <f>'Adani Enterprises'!W243</f>
        <v>0</v>
      </c>
      <c r="X243" s="48">
        <f>'Adani Enterprises'!X243</f>
        <v>0</v>
      </c>
      <c r="Y243" s="48">
        <f>'Adani Enterprises'!Y243</f>
        <v>0</v>
      </c>
      <c r="Z243" s="48">
        <f>'Adani Enterprises'!Z243</f>
        <v>0</v>
      </c>
      <c r="AA243" s="48">
        <f>'Adani Enterprises'!AA243</f>
        <v>0</v>
      </c>
      <c r="AB243" s="48">
        <f>'Adani Enterprises'!AB243</f>
        <v>0</v>
      </c>
      <c r="AC243" s="48">
        <f>'Adani Enterprises'!AC243</f>
        <v>0</v>
      </c>
      <c r="AD243" s="48">
        <f>'Adani Enterprises'!AD243</f>
        <v>0</v>
      </c>
      <c r="AE243" s="48">
        <f>'Adani Enterprises'!AE243</f>
        <v>0</v>
      </c>
      <c r="AF243" s="48">
        <f>'Adani Enterprises'!AF243</f>
        <v>0</v>
      </c>
      <c r="AG243" s="48">
        <f>'Adani Enterprises'!AG243</f>
        <v>0</v>
      </c>
      <c r="AH243" s="48">
        <f>'Adani Enterprises'!AH243</f>
        <v>0</v>
      </c>
      <c r="AI243" s="48">
        <f>'Adani Enterprises'!AI243</f>
        <v>0</v>
      </c>
      <c r="AJ243" s="48">
        <f>'Adani Enterprises'!AJ243</f>
        <v>0</v>
      </c>
      <c r="AK243" s="48">
        <f>'Adani Enterprises'!AK243</f>
        <v>0</v>
      </c>
      <c r="AL243" s="48">
        <f>'Adani Enterprises'!AL243</f>
        <v>0</v>
      </c>
    </row>
    <row r="244" customHeight="1" spans="1:38">
      <c r="A244" s="48">
        <f>'Adani Enterprises'!A244</f>
        <v>0</v>
      </c>
      <c r="B244" s="48">
        <f>'Adani Enterprises'!B244</f>
        <v>0</v>
      </c>
      <c r="C244" s="48">
        <f>'Adani Enterprises'!C244</f>
        <v>0</v>
      </c>
      <c r="D244" s="48">
        <f>'Adani Enterprises'!D244</f>
        <v>0</v>
      </c>
      <c r="E244" s="48">
        <f>'Adani Enterprises'!E244</f>
        <v>0</v>
      </c>
      <c r="F244" s="48">
        <f>'Adani Enterprises'!F244</f>
        <v>0</v>
      </c>
      <c r="G244" s="48">
        <f>'Adani Enterprises'!G244</f>
        <v>0</v>
      </c>
      <c r="H244" s="48">
        <f>'Adani Enterprises'!H244</f>
        <v>0</v>
      </c>
      <c r="I244" s="48">
        <f>'Adani Enterprises'!I244</f>
        <v>0</v>
      </c>
      <c r="J244" s="48">
        <f>'Adani Enterprises'!J244</f>
        <v>0</v>
      </c>
      <c r="K244" s="48">
        <f>'Adani Enterprises'!K244</f>
        <v>0</v>
      </c>
      <c r="L244" s="48">
        <f>'Adani Enterprises'!L244</f>
        <v>0</v>
      </c>
      <c r="M244" s="48">
        <f>'Adani Enterprises'!M244</f>
        <v>0</v>
      </c>
      <c r="N244" s="48">
        <f>'Adani Enterprises'!N244</f>
        <v>0</v>
      </c>
      <c r="O244" s="48">
        <f>'Adani Enterprises'!O244</f>
        <v>0</v>
      </c>
      <c r="P244" s="48">
        <f>'Adani Enterprises'!P244</f>
        <v>0</v>
      </c>
      <c r="Q244" s="48">
        <f>'Adani Enterprises'!Q244</f>
        <v>0</v>
      </c>
      <c r="R244" s="48">
        <f>'Adani Enterprises'!R244</f>
        <v>0</v>
      </c>
      <c r="S244" s="48">
        <f>'Adani Enterprises'!S244</f>
        <v>0</v>
      </c>
      <c r="T244" s="48">
        <f>'Adani Enterprises'!T244</f>
        <v>0</v>
      </c>
      <c r="U244" s="48">
        <f>'Adani Enterprises'!U244</f>
        <v>0</v>
      </c>
      <c r="V244" s="48">
        <f>'Adani Enterprises'!V244</f>
        <v>0</v>
      </c>
      <c r="W244" s="48">
        <f>'Adani Enterprises'!W244</f>
        <v>0</v>
      </c>
      <c r="X244" s="48">
        <f>'Adani Enterprises'!X244</f>
        <v>0</v>
      </c>
      <c r="Y244" s="48">
        <f>'Adani Enterprises'!Y244</f>
        <v>0</v>
      </c>
      <c r="Z244" s="48">
        <f>'Adani Enterprises'!Z244</f>
        <v>0</v>
      </c>
      <c r="AA244" s="48">
        <f>'Adani Enterprises'!AA244</f>
        <v>0</v>
      </c>
      <c r="AB244" s="48">
        <f>'Adani Enterprises'!AB244</f>
        <v>0</v>
      </c>
      <c r="AC244" s="48">
        <f>'Adani Enterprises'!AC244</f>
        <v>0</v>
      </c>
      <c r="AD244" s="48">
        <f>'Adani Enterprises'!AD244</f>
        <v>0</v>
      </c>
      <c r="AE244" s="48">
        <f>'Adani Enterprises'!AE244</f>
        <v>0</v>
      </c>
      <c r="AF244" s="48">
        <f>'Adani Enterprises'!AF244</f>
        <v>0</v>
      </c>
      <c r="AG244" s="48">
        <f>'Adani Enterprises'!AG244</f>
        <v>0</v>
      </c>
      <c r="AH244" s="48">
        <f>'Adani Enterprises'!AH244</f>
        <v>0</v>
      </c>
      <c r="AI244" s="48">
        <f>'Adani Enterprises'!AI244</f>
        <v>0</v>
      </c>
      <c r="AJ244" s="48">
        <f>'Adani Enterprises'!AJ244</f>
        <v>0</v>
      </c>
      <c r="AK244" s="48">
        <f>'Adani Enterprises'!AK244</f>
        <v>0</v>
      </c>
      <c r="AL244" s="48">
        <f>'Adani Enterprises'!AL244</f>
        <v>0</v>
      </c>
    </row>
    <row r="245" customHeight="1" spans="1:38">
      <c r="A245" s="48">
        <f>'Adani Enterprises'!A245</f>
        <v>0</v>
      </c>
      <c r="B245" s="48">
        <f>'Adani Enterprises'!B245</f>
        <v>0</v>
      </c>
      <c r="C245" s="48">
        <f>'Adani Enterprises'!C245</f>
        <v>0</v>
      </c>
      <c r="D245" s="48">
        <f>'Adani Enterprises'!D245</f>
        <v>0</v>
      </c>
      <c r="E245" s="48">
        <f>'Adani Enterprises'!E245</f>
        <v>0</v>
      </c>
      <c r="F245" s="48">
        <f>'Adani Enterprises'!F245</f>
        <v>0</v>
      </c>
      <c r="G245" s="48">
        <f>'Adani Enterprises'!G245</f>
        <v>0</v>
      </c>
      <c r="H245" s="48">
        <f>'Adani Enterprises'!H245</f>
        <v>0</v>
      </c>
      <c r="I245" s="48">
        <f>'Adani Enterprises'!I245</f>
        <v>0</v>
      </c>
      <c r="J245" s="48">
        <f>'Adani Enterprises'!J245</f>
        <v>0</v>
      </c>
      <c r="K245" s="48">
        <f>'Adani Enterprises'!K245</f>
        <v>0</v>
      </c>
      <c r="L245" s="48">
        <f>'Adani Enterprises'!L245</f>
        <v>0</v>
      </c>
      <c r="M245" s="48">
        <f>'Adani Enterprises'!M245</f>
        <v>0</v>
      </c>
      <c r="N245" s="48">
        <f>'Adani Enterprises'!N245</f>
        <v>0</v>
      </c>
      <c r="O245" s="48">
        <f>'Adani Enterprises'!O245</f>
        <v>0</v>
      </c>
      <c r="P245" s="48">
        <f>'Adani Enterprises'!P245</f>
        <v>0</v>
      </c>
      <c r="Q245" s="48">
        <f>'Adani Enterprises'!Q245</f>
        <v>0</v>
      </c>
      <c r="R245" s="48">
        <f>'Adani Enterprises'!R245</f>
        <v>0</v>
      </c>
      <c r="S245" s="48">
        <f>'Adani Enterprises'!S245</f>
        <v>0</v>
      </c>
      <c r="T245" s="48">
        <f>'Adani Enterprises'!T245</f>
        <v>0</v>
      </c>
      <c r="U245" s="48">
        <f>'Adani Enterprises'!U245</f>
        <v>0</v>
      </c>
      <c r="V245" s="48">
        <f>'Adani Enterprises'!V245</f>
        <v>0</v>
      </c>
      <c r="W245" s="48">
        <f>'Adani Enterprises'!W245</f>
        <v>0</v>
      </c>
      <c r="X245" s="48">
        <f>'Adani Enterprises'!X245</f>
        <v>0</v>
      </c>
      <c r="Y245" s="48">
        <f>'Adani Enterprises'!Y245</f>
        <v>0</v>
      </c>
      <c r="Z245" s="48">
        <f>'Adani Enterprises'!Z245</f>
        <v>0</v>
      </c>
      <c r="AA245" s="48">
        <f>'Adani Enterprises'!AA245</f>
        <v>0</v>
      </c>
      <c r="AB245" s="48">
        <f>'Adani Enterprises'!AB245</f>
        <v>0</v>
      </c>
      <c r="AC245" s="48">
        <f>'Adani Enterprises'!AC245</f>
        <v>0</v>
      </c>
      <c r="AD245" s="48">
        <f>'Adani Enterprises'!AD245</f>
        <v>0</v>
      </c>
      <c r="AE245" s="48">
        <f>'Adani Enterprises'!AE245</f>
        <v>0</v>
      </c>
      <c r="AF245" s="48">
        <f>'Adani Enterprises'!AF245</f>
        <v>0</v>
      </c>
      <c r="AG245" s="48">
        <f>'Adani Enterprises'!AG245</f>
        <v>0</v>
      </c>
      <c r="AH245" s="48">
        <f>'Adani Enterprises'!AH245</f>
        <v>0</v>
      </c>
      <c r="AI245" s="48">
        <f>'Adani Enterprises'!AI245</f>
        <v>0</v>
      </c>
      <c r="AJ245" s="48">
        <f>'Adani Enterprises'!AJ245</f>
        <v>0</v>
      </c>
      <c r="AK245" s="48">
        <f>'Adani Enterprises'!AK245</f>
        <v>0</v>
      </c>
      <c r="AL245" s="48">
        <f>'Adani Enterprises'!AL245</f>
        <v>0</v>
      </c>
    </row>
    <row r="246" customHeight="1" spans="1:38">
      <c r="A246" s="48">
        <f>'Adani Enterprises'!A246</f>
        <v>0</v>
      </c>
      <c r="B246" s="48">
        <f>'Adani Enterprises'!B246</f>
        <v>0</v>
      </c>
      <c r="C246" s="48">
        <f>'Adani Enterprises'!C246</f>
        <v>0</v>
      </c>
      <c r="D246" s="48">
        <f>'Adani Enterprises'!D246</f>
        <v>0</v>
      </c>
      <c r="E246" s="48">
        <f>'Adani Enterprises'!E246</f>
        <v>0</v>
      </c>
      <c r="F246" s="48">
        <f>'Adani Enterprises'!F246</f>
        <v>0</v>
      </c>
      <c r="G246" s="48">
        <f>'Adani Enterprises'!G246</f>
        <v>0</v>
      </c>
      <c r="H246" s="48">
        <f>'Adani Enterprises'!H246</f>
        <v>0</v>
      </c>
      <c r="I246" s="48">
        <f>'Adani Enterprises'!I246</f>
        <v>0</v>
      </c>
      <c r="J246" s="48">
        <f>'Adani Enterprises'!J246</f>
        <v>0</v>
      </c>
      <c r="K246" s="48">
        <f>'Adani Enterprises'!K246</f>
        <v>0</v>
      </c>
      <c r="L246" s="48">
        <f>'Adani Enterprises'!L246</f>
        <v>0</v>
      </c>
      <c r="M246" s="48">
        <f>'Adani Enterprises'!M246</f>
        <v>0</v>
      </c>
      <c r="N246" s="48">
        <f>'Adani Enterprises'!N246</f>
        <v>0</v>
      </c>
      <c r="O246" s="48">
        <f>'Adani Enterprises'!O246</f>
        <v>0</v>
      </c>
      <c r="P246" s="48">
        <f>'Adani Enterprises'!P246</f>
        <v>0</v>
      </c>
      <c r="Q246" s="48">
        <f>'Adani Enterprises'!Q246</f>
        <v>0</v>
      </c>
      <c r="R246" s="48">
        <f>'Adani Enterprises'!R246</f>
        <v>0</v>
      </c>
      <c r="S246" s="48">
        <f>'Adani Enterprises'!S246</f>
        <v>0</v>
      </c>
      <c r="T246" s="48">
        <f>'Adani Enterprises'!T246</f>
        <v>0</v>
      </c>
      <c r="U246" s="48">
        <f>'Adani Enterprises'!U246</f>
        <v>0</v>
      </c>
      <c r="V246" s="48">
        <f>'Adani Enterprises'!V246</f>
        <v>0</v>
      </c>
      <c r="W246" s="48">
        <f>'Adani Enterprises'!W246</f>
        <v>0</v>
      </c>
      <c r="X246" s="48">
        <f>'Adani Enterprises'!X246</f>
        <v>0</v>
      </c>
      <c r="Y246" s="48">
        <f>'Adani Enterprises'!Y246</f>
        <v>0</v>
      </c>
      <c r="Z246" s="48">
        <f>'Adani Enterprises'!Z246</f>
        <v>0</v>
      </c>
      <c r="AA246" s="48">
        <f>'Adani Enterprises'!AA246</f>
        <v>0</v>
      </c>
      <c r="AB246" s="48">
        <f>'Adani Enterprises'!AB246</f>
        <v>0</v>
      </c>
      <c r="AC246" s="48">
        <f>'Adani Enterprises'!AC246</f>
        <v>0</v>
      </c>
      <c r="AD246" s="48">
        <f>'Adani Enterprises'!AD246</f>
        <v>0</v>
      </c>
      <c r="AE246" s="48">
        <f>'Adani Enterprises'!AE246</f>
        <v>0</v>
      </c>
      <c r="AF246" s="48">
        <f>'Adani Enterprises'!AF246</f>
        <v>0</v>
      </c>
      <c r="AG246" s="48">
        <f>'Adani Enterprises'!AG246</f>
        <v>0</v>
      </c>
      <c r="AH246" s="48">
        <f>'Adani Enterprises'!AH246</f>
        <v>0</v>
      </c>
      <c r="AI246" s="48">
        <f>'Adani Enterprises'!AI246</f>
        <v>0</v>
      </c>
      <c r="AJ246" s="48">
        <f>'Adani Enterprises'!AJ246</f>
        <v>0</v>
      </c>
      <c r="AK246" s="48">
        <f>'Adani Enterprises'!AK246</f>
        <v>0</v>
      </c>
      <c r="AL246" s="48">
        <f>'Adani Enterprises'!AL246</f>
        <v>0</v>
      </c>
    </row>
    <row r="247" customHeight="1" spans="1:38">
      <c r="A247" s="48">
        <f>'Adani Enterprises'!A247</f>
        <v>0</v>
      </c>
      <c r="B247" s="48">
        <f>'Adani Enterprises'!B247</f>
        <v>0</v>
      </c>
      <c r="C247" s="48">
        <f>'Adani Enterprises'!C247</f>
        <v>0</v>
      </c>
      <c r="D247" s="48">
        <f>'Adani Enterprises'!D247</f>
        <v>0</v>
      </c>
      <c r="E247" s="48">
        <f>'Adani Enterprises'!E247</f>
        <v>0</v>
      </c>
      <c r="F247" s="48">
        <f>'Adani Enterprises'!F247</f>
        <v>0</v>
      </c>
      <c r="G247" s="48">
        <f>'Adani Enterprises'!G247</f>
        <v>0</v>
      </c>
      <c r="H247" s="48">
        <f>'Adani Enterprises'!H247</f>
        <v>0</v>
      </c>
      <c r="I247" s="48">
        <f>'Adani Enterprises'!I247</f>
        <v>0</v>
      </c>
      <c r="J247" s="48">
        <f>'Adani Enterprises'!J247</f>
        <v>0</v>
      </c>
      <c r="K247" s="48">
        <f>'Adani Enterprises'!K247</f>
        <v>0</v>
      </c>
      <c r="L247" s="48">
        <f>'Adani Enterprises'!L247</f>
        <v>0</v>
      </c>
      <c r="M247" s="48">
        <f>'Adani Enterprises'!M247</f>
        <v>0</v>
      </c>
      <c r="N247" s="48">
        <f>'Adani Enterprises'!N247</f>
        <v>0</v>
      </c>
      <c r="O247" s="48">
        <f>'Adani Enterprises'!O247</f>
        <v>0</v>
      </c>
      <c r="P247" s="48">
        <f>'Adani Enterprises'!P247</f>
        <v>0</v>
      </c>
      <c r="Q247" s="48">
        <f>'Adani Enterprises'!Q247</f>
        <v>0</v>
      </c>
      <c r="R247" s="48">
        <f>'Adani Enterprises'!R247</f>
        <v>0</v>
      </c>
      <c r="S247" s="48">
        <f>'Adani Enterprises'!S247</f>
        <v>0</v>
      </c>
      <c r="T247" s="48">
        <f>'Adani Enterprises'!T247</f>
        <v>0</v>
      </c>
      <c r="U247" s="48">
        <f>'Adani Enterprises'!U247</f>
        <v>0</v>
      </c>
      <c r="V247" s="48">
        <f>'Adani Enterprises'!V247</f>
        <v>0</v>
      </c>
      <c r="W247" s="48">
        <f>'Adani Enterprises'!W247</f>
        <v>0</v>
      </c>
      <c r="X247" s="48">
        <f>'Adani Enterprises'!X247</f>
        <v>0</v>
      </c>
      <c r="Y247" s="48">
        <f>'Adani Enterprises'!Y247</f>
        <v>0</v>
      </c>
      <c r="Z247" s="48">
        <f>'Adani Enterprises'!Z247</f>
        <v>0</v>
      </c>
      <c r="AA247" s="48">
        <f>'Adani Enterprises'!AA247</f>
        <v>0</v>
      </c>
      <c r="AB247" s="48">
        <f>'Adani Enterprises'!AB247</f>
        <v>0</v>
      </c>
      <c r="AC247" s="48">
        <f>'Adani Enterprises'!AC247</f>
        <v>0</v>
      </c>
      <c r="AD247" s="48">
        <f>'Adani Enterprises'!AD247</f>
        <v>0</v>
      </c>
      <c r="AE247" s="48">
        <f>'Adani Enterprises'!AE247</f>
        <v>0</v>
      </c>
      <c r="AF247" s="48">
        <f>'Adani Enterprises'!AF247</f>
        <v>0</v>
      </c>
      <c r="AG247" s="48">
        <f>'Adani Enterprises'!AG247</f>
        <v>0</v>
      </c>
      <c r="AH247" s="48">
        <f>'Adani Enterprises'!AH247</f>
        <v>0</v>
      </c>
      <c r="AI247" s="48">
        <f>'Adani Enterprises'!AI247</f>
        <v>0</v>
      </c>
      <c r="AJ247" s="48">
        <f>'Adani Enterprises'!AJ247</f>
        <v>0</v>
      </c>
      <c r="AK247" s="48">
        <f>'Adani Enterprises'!AK247</f>
        <v>0</v>
      </c>
      <c r="AL247" s="48">
        <f>'Adani Enterprises'!AL247</f>
        <v>0</v>
      </c>
    </row>
    <row r="248" customHeight="1" spans="1:38">
      <c r="A248" s="48">
        <f>'Adani Enterprises'!A248</f>
        <v>0</v>
      </c>
      <c r="B248" s="48">
        <f>'Adani Enterprises'!B248</f>
        <v>0</v>
      </c>
      <c r="C248" s="48">
        <f>'Adani Enterprises'!C248</f>
        <v>0</v>
      </c>
      <c r="D248" s="48">
        <f>'Adani Enterprises'!D248</f>
        <v>0</v>
      </c>
      <c r="E248" s="48">
        <f>'Adani Enterprises'!E248</f>
        <v>0</v>
      </c>
      <c r="F248" s="48">
        <f>'Adani Enterprises'!F248</f>
        <v>0</v>
      </c>
      <c r="G248" s="48">
        <f>'Adani Enterprises'!G248</f>
        <v>0</v>
      </c>
      <c r="H248" s="48">
        <f>'Adani Enterprises'!H248</f>
        <v>0</v>
      </c>
      <c r="I248" s="48">
        <f>'Adani Enterprises'!I248</f>
        <v>0</v>
      </c>
      <c r="J248" s="48">
        <f>'Adani Enterprises'!J248</f>
        <v>0</v>
      </c>
      <c r="K248" s="48">
        <f>'Adani Enterprises'!K248</f>
        <v>0</v>
      </c>
      <c r="L248" s="48">
        <f>'Adani Enterprises'!L248</f>
        <v>0</v>
      </c>
      <c r="M248" s="48">
        <f>'Adani Enterprises'!M248</f>
        <v>0</v>
      </c>
      <c r="N248" s="48">
        <f>'Adani Enterprises'!N248</f>
        <v>0</v>
      </c>
      <c r="O248" s="48">
        <f>'Adani Enterprises'!O248</f>
        <v>0</v>
      </c>
      <c r="P248" s="48">
        <f>'Adani Enterprises'!P248</f>
        <v>0</v>
      </c>
      <c r="Q248" s="48">
        <f>'Adani Enterprises'!Q248</f>
        <v>0</v>
      </c>
      <c r="R248" s="48">
        <f>'Adani Enterprises'!R248</f>
        <v>0</v>
      </c>
      <c r="S248" s="48">
        <f>'Adani Enterprises'!S248</f>
        <v>0</v>
      </c>
      <c r="T248" s="48">
        <f>'Adani Enterprises'!T248</f>
        <v>0</v>
      </c>
      <c r="U248" s="48">
        <f>'Adani Enterprises'!U248</f>
        <v>0</v>
      </c>
      <c r="V248" s="48">
        <f>'Adani Enterprises'!V248</f>
        <v>0</v>
      </c>
      <c r="W248" s="48">
        <f>'Adani Enterprises'!W248</f>
        <v>0</v>
      </c>
      <c r="X248" s="48">
        <f>'Adani Enterprises'!X248</f>
        <v>0</v>
      </c>
      <c r="Y248" s="48">
        <f>'Adani Enterprises'!Y248</f>
        <v>0</v>
      </c>
      <c r="Z248" s="48">
        <f>'Adani Enterprises'!Z248</f>
        <v>0</v>
      </c>
      <c r="AA248" s="48">
        <f>'Adani Enterprises'!AA248</f>
        <v>0</v>
      </c>
      <c r="AB248" s="48">
        <f>'Adani Enterprises'!AB248</f>
        <v>0</v>
      </c>
      <c r="AC248" s="48">
        <f>'Adani Enterprises'!AC248</f>
        <v>0</v>
      </c>
      <c r="AD248" s="48">
        <f>'Adani Enterprises'!AD248</f>
        <v>0</v>
      </c>
      <c r="AE248" s="48">
        <f>'Adani Enterprises'!AE248</f>
        <v>0</v>
      </c>
      <c r="AF248" s="48">
        <f>'Adani Enterprises'!AF248</f>
        <v>0</v>
      </c>
      <c r="AG248" s="48">
        <f>'Adani Enterprises'!AG248</f>
        <v>0</v>
      </c>
      <c r="AH248" s="48">
        <f>'Adani Enterprises'!AH248</f>
        <v>0</v>
      </c>
      <c r="AI248" s="48">
        <f>'Adani Enterprises'!AI248</f>
        <v>0</v>
      </c>
      <c r="AJ248" s="48">
        <f>'Adani Enterprises'!AJ248</f>
        <v>0</v>
      </c>
      <c r="AK248" s="48">
        <f>'Adani Enterprises'!AK248</f>
        <v>0</v>
      </c>
      <c r="AL248" s="48">
        <f>'Adani Enterprises'!AL248</f>
        <v>0</v>
      </c>
    </row>
    <row r="249" customHeight="1" spans="1:38">
      <c r="A249" s="48">
        <f>'Adani Enterprises'!A249</f>
        <v>0</v>
      </c>
      <c r="B249" s="48">
        <f>'Adani Enterprises'!B249</f>
        <v>0</v>
      </c>
      <c r="C249" s="48">
        <f>'Adani Enterprises'!C249</f>
        <v>0</v>
      </c>
      <c r="D249" s="48">
        <f>'Adani Enterprises'!D249</f>
        <v>0</v>
      </c>
      <c r="E249" s="48">
        <f>'Adani Enterprises'!E249</f>
        <v>0</v>
      </c>
      <c r="F249" s="48">
        <f>'Adani Enterprises'!F249</f>
        <v>0</v>
      </c>
      <c r="G249" s="48">
        <f>'Adani Enterprises'!G249</f>
        <v>0</v>
      </c>
      <c r="H249" s="48">
        <f>'Adani Enterprises'!H249</f>
        <v>0</v>
      </c>
      <c r="I249" s="48">
        <f>'Adani Enterprises'!I249</f>
        <v>0</v>
      </c>
      <c r="J249" s="48">
        <f>'Adani Enterprises'!J249</f>
        <v>0</v>
      </c>
      <c r="K249" s="48">
        <f>'Adani Enterprises'!K249</f>
        <v>0</v>
      </c>
      <c r="L249" s="48">
        <f>'Adani Enterprises'!L249</f>
        <v>0</v>
      </c>
      <c r="M249" s="48">
        <f>'Adani Enterprises'!M249</f>
        <v>0</v>
      </c>
      <c r="N249" s="48">
        <f>'Adani Enterprises'!N249</f>
        <v>0</v>
      </c>
      <c r="O249" s="48">
        <f>'Adani Enterprises'!O249</f>
        <v>0</v>
      </c>
      <c r="P249" s="48">
        <f>'Adani Enterprises'!P249</f>
        <v>0</v>
      </c>
      <c r="Q249" s="48">
        <f>'Adani Enterprises'!Q249</f>
        <v>0</v>
      </c>
      <c r="R249" s="48">
        <f>'Adani Enterprises'!R249</f>
        <v>0</v>
      </c>
      <c r="S249" s="48">
        <f>'Adani Enterprises'!S249</f>
        <v>0</v>
      </c>
      <c r="T249" s="48">
        <f>'Adani Enterprises'!T249</f>
        <v>0</v>
      </c>
      <c r="U249" s="48">
        <f>'Adani Enterprises'!U249</f>
        <v>0</v>
      </c>
      <c r="V249" s="48">
        <f>'Adani Enterprises'!V249</f>
        <v>0</v>
      </c>
      <c r="W249" s="48">
        <f>'Adani Enterprises'!W249</f>
        <v>0</v>
      </c>
      <c r="X249" s="48">
        <f>'Adani Enterprises'!X249</f>
        <v>0</v>
      </c>
      <c r="Y249" s="48">
        <f>'Adani Enterprises'!Y249</f>
        <v>0</v>
      </c>
      <c r="Z249" s="48">
        <f>'Adani Enterprises'!Z249</f>
        <v>0</v>
      </c>
      <c r="AA249" s="48">
        <f>'Adani Enterprises'!AA249</f>
        <v>0</v>
      </c>
      <c r="AB249" s="48">
        <f>'Adani Enterprises'!AB249</f>
        <v>0</v>
      </c>
      <c r="AC249" s="48">
        <f>'Adani Enterprises'!AC249</f>
        <v>0</v>
      </c>
      <c r="AD249" s="48">
        <f>'Adani Enterprises'!AD249</f>
        <v>0</v>
      </c>
      <c r="AE249" s="48">
        <f>'Adani Enterprises'!AE249</f>
        <v>0</v>
      </c>
      <c r="AF249" s="48">
        <f>'Adani Enterprises'!AF249</f>
        <v>0</v>
      </c>
      <c r="AG249" s="48">
        <f>'Adani Enterprises'!AG249</f>
        <v>0</v>
      </c>
      <c r="AH249" s="48">
        <f>'Adani Enterprises'!AH249</f>
        <v>0</v>
      </c>
      <c r="AI249" s="48">
        <f>'Adani Enterprises'!AI249</f>
        <v>0</v>
      </c>
      <c r="AJ249" s="48">
        <f>'Adani Enterprises'!AJ249</f>
        <v>0</v>
      </c>
      <c r="AK249" s="48">
        <f>'Adani Enterprises'!AK249</f>
        <v>0</v>
      </c>
      <c r="AL249" s="48">
        <f>'Adani Enterprises'!AL249</f>
        <v>0</v>
      </c>
    </row>
    <row r="250" customHeight="1" spans="1:38">
      <c r="A250" s="48">
        <f>'Adani Enterprises'!A250</f>
        <v>0</v>
      </c>
      <c r="B250" s="48">
        <f>'Adani Enterprises'!B250</f>
        <v>0</v>
      </c>
      <c r="C250" s="48">
        <f>'Adani Enterprises'!C250</f>
        <v>0</v>
      </c>
      <c r="D250" s="48">
        <f>'Adani Enterprises'!D250</f>
        <v>0</v>
      </c>
      <c r="E250" s="48">
        <f>'Adani Enterprises'!E250</f>
        <v>0</v>
      </c>
      <c r="F250" s="48">
        <f>'Adani Enterprises'!F250</f>
        <v>0</v>
      </c>
      <c r="G250" s="48">
        <f>'Adani Enterprises'!G250</f>
        <v>0</v>
      </c>
      <c r="H250" s="48">
        <f>'Adani Enterprises'!H250</f>
        <v>0</v>
      </c>
      <c r="I250" s="48">
        <f>'Adani Enterprises'!I250</f>
        <v>0</v>
      </c>
      <c r="J250" s="48">
        <f>'Adani Enterprises'!J250</f>
        <v>0</v>
      </c>
      <c r="K250" s="48">
        <f>'Adani Enterprises'!K250</f>
        <v>0</v>
      </c>
      <c r="L250" s="48">
        <f>'Adani Enterprises'!L250</f>
        <v>0</v>
      </c>
      <c r="M250" s="48">
        <f>'Adani Enterprises'!M250</f>
        <v>0</v>
      </c>
      <c r="N250" s="48">
        <f>'Adani Enterprises'!N250</f>
        <v>0</v>
      </c>
      <c r="O250" s="48">
        <f>'Adani Enterprises'!O250</f>
        <v>0</v>
      </c>
      <c r="P250" s="48">
        <f>'Adani Enterprises'!P250</f>
        <v>0</v>
      </c>
      <c r="Q250" s="48">
        <f>'Adani Enterprises'!Q250</f>
        <v>0</v>
      </c>
      <c r="R250" s="48">
        <f>'Adani Enterprises'!R250</f>
        <v>0</v>
      </c>
      <c r="S250" s="48">
        <f>'Adani Enterprises'!S250</f>
        <v>0</v>
      </c>
      <c r="T250" s="48">
        <f>'Adani Enterprises'!T250</f>
        <v>0</v>
      </c>
      <c r="U250" s="48">
        <f>'Adani Enterprises'!U250</f>
        <v>0</v>
      </c>
      <c r="V250" s="48">
        <f>'Adani Enterprises'!V250</f>
        <v>0</v>
      </c>
      <c r="W250" s="48">
        <f>'Adani Enterprises'!W250</f>
        <v>0</v>
      </c>
      <c r="X250" s="48">
        <f>'Adani Enterprises'!X250</f>
        <v>0</v>
      </c>
      <c r="Y250" s="48">
        <f>'Adani Enterprises'!Y250</f>
        <v>0</v>
      </c>
      <c r="Z250" s="48">
        <f>'Adani Enterprises'!Z250</f>
        <v>0</v>
      </c>
      <c r="AA250" s="48">
        <f>'Adani Enterprises'!AA250</f>
        <v>0</v>
      </c>
      <c r="AB250" s="48">
        <f>'Adani Enterprises'!AB250</f>
        <v>0</v>
      </c>
      <c r="AC250" s="48">
        <f>'Adani Enterprises'!AC250</f>
        <v>0</v>
      </c>
      <c r="AD250" s="48">
        <f>'Adani Enterprises'!AD250</f>
        <v>0</v>
      </c>
      <c r="AE250" s="48">
        <f>'Adani Enterprises'!AE250</f>
        <v>0</v>
      </c>
      <c r="AF250" s="48">
        <f>'Adani Enterprises'!AF250</f>
        <v>0</v>
      </c>
      <c r="AG250" s="48">
        <f>'Adani Enterprises'!AG250</f>
        <v>0</v>
      </c>
      <c r="AH250" s="48">
        <f>'Adani Enterprises'!AH250</f>
        <v>0</v>
      </c>
      <c r="AI250" s="48">
        <f>'Adani Enterprises'!AI250</f>
        <v>0</v>
      </c>
      <c r="AJ250" s="48">
        <f>'Adani Enterprises'!AJ250</f>
        <v>0</v>
      </c>
      <c r="AK250" s="48">
        <f>'Adani Enterprises'!AK250</f>
        <v>0</v>
      </c>
      <c r="AL250" s="48">
        <f>'Adani Enterprises'!AL250</f>
        <v>0</v>
      </c>
    </row>
    <row r="251" customHeight="1" spans="1:38">
      <c r="A251" s="48">
        <f>'Adani Enterprises'!A251</f>
        <v>0</v>
      </c>
      <c r="B251" s="48">
        <f>'Adani Enterprises'!B251</f>
        <v>0</v>
      </c>
      <c r="C251" s="48">
        <f>'Adani Enterprises'!C251</f>
        <v>0</v>
      </c>
      <c r="D251" s="48">
        <f>'Adani Enterprises'!D251</f>
        <v>0</v>
      </c>
      <c r="E251" s="48">
        <f>'Adani Enterprises'!E251</f>
        <v>0</v>
      </c>
      <c r="F251" s="48">
        <f>'Adani Enterprises'!F251</f>
        <v>0</v>
      </c>
      <c r="G251" s="48">
        <f>'Adani Enterprises'!G251</f>
        <v>0</v>
      </c>
      <c r="H251" s="48">
        <f>'Adani Enterprises'!H251</f>
        <v>0</v>
      </c>
      <c r="I251" s="48">
        <f>'Adani Enterprises'!I251</f>
        <v>0</v>
      </c>
      <c r="J251" s="48">
        <f>'Adani Enterprises'!J251</f>
        <v>0</v>
      </c>
      <c r="K251" s="48">
        <f>'Adani Enterprises'!K251</f>
        <v>0</v>
      </c>
      <c r="L251" s="48">
        <f>'Adani Enterprises'!L251</f>
        <v>0</v>
      </c>
      <c r="M251" s="48">
        <f>'Adani Enterprises'!M251</f>
        <v>0</v>
      </c>
      <c r="N251" s="48">
        <f>'Adani Enterprises'!N251</f>
        <v>0</v>
      </c>
      <c r="O251" s="48">
        <f>'Adani Enterprises'!O251</f>
        <v>0</v>
      </c>
      <c r="P251" s="48">
        <f>'Adani Enterprises'!P251</f>
        <v>0</v>
      </c>
      <c r="Q251" s="48">
        <f>'Adani Enterprises'!Q251</f>
        <v>0</v>
      </c>
      <c r="R251" s="48">
        <f>'Adani Enterprises'!R251</f>
        <v>0</v>
      </c>
      <c r="S251" s="48">
        <f>'Adani Enterprises'!S251</f>
        <v>0</v>
      </c>
      <c r="T251" s="48">
        <f>'Adani Enterprises'!T251</f>
        <v>0</v>
      </c>
      <c r="U251" s="48">
        <f>'Adani Enterprises'!U251</f>
        <v>0</v>
      </c>
      <c r="V251" s="48">
        <f>'Adani Enterprises'!V251</f>
        <v>0</v>
      </c>
      <c r="W251" s="48">
        <f>'Adani Enterprises'!W251</f>
        <v>0</v>
      </c>
      <c r="X251" s="48">
        <f>'Adani Enterprises'!X251</f>
        <v>0</v>
      </c>
      <c r="Y251" s="48">
        <f>'Adani Enterprises'!Y251</f>
        <v>0</v>
      </c>
      <c r="Z251" s="48">
        <f>'Adani Enterprises'!Z251</f>
        <v>0</v>
      </c>
      <c r="AA251" s="48">
        <f>'Adani Enterprises'!AA251</f>
        <v>0</v>
      </c>
      <c r="AB251" s="48">
        <f>'Adani Enterprises'!AB251</f>
        <v>0</v>
      </c>
      <c r="AC251" s="48">
        <f>'Adani Enterprises'!AC251</f>
        <v>0</v>
      </c>
      <c r="AD251" s="48">
        <f>'Adani Enterprises'!AD251</f>
        <v>0</v>
      </c>
      <c r="AE251" s="48">
        <f>'Adani Enterprises'!AE251</f>
        <v>0</v>
      </c>
      <c r="AF251" s="48">
        <f>'Adani Enterprises'!AF251</f>
        <v>0</v>
      </c>
      <c r="AG251" s="48">
        <f>'Adani Enterprises'!AG251</f>
        <v>0</v>
      </c>
      <c r="AH251" s="48">
        <f>'Adani Enterprises'!AH251</f>
        <v>0</v>
      </c>
      <c r="AI251" s="48">
        <f>'Adani Enterprises'!AI251</f>
        <v>0</v>
      </c>
      <c r="AJ251" s="48">
        <f>'Adani Enterprises'!AJ251</f>
        <v>0</v>
      </c>
      <c r="AK251" s="48">
        <f>'Adani Enterprises'!AK251</f>
        <v>0</v>
      </c>
      <c r="AL251" s="48">
        <f>'Adani Enterprises'!AL251</f>
        <v>0</v>
      </c>
    </row>
    <row r="252" customHeight="1" spans="1:38">
      <c r="A252" s="48">
        <f>'Adani Enterprises'!A252</f>
        <v>0</v>
      </c>
      <c r="B252" s="48">
        <f>'Adani Enterprises'!B252</f>
        <v>0</v>
      </c>
      <c r="C252" s="48">
        <f>'Adani Enterprises'!C252</f>
        <v>0</v>
      </c>
      <c r="D252" s="48">
        <f>'Adani Enterprises'!D252</f>
        <v>0</v>
      </c>
      <c r="E252" s="48">
        <f>'Adani Enterprises'!E252</f>
        <v>0</v>
      </c>
      <c r="F252" s="48">
        <f>'Adani Enterprises'!F252</f>
        <v>0</v>
      </c>
      <c r="G252" s="48">
        <f>'Adani Enterprises'!G252</f>
        <v>0</v>
      </c>
      <c r="H252" s="48">
        <f>'Adani Enterprises'!H252</f>
        <v>0</v>
      </c>
      <c r="I252" s="48">
        <f>'Adani Enterprises'!I252</f>
        <v>0</v>
      </c>
      <c r="J252" s="48">
        <f>'Adani Enterprises'!J252</f>
        <v>0</v>
      </c>
      <c r="K252" s="48">
        <f>'Adani Enterprises'!K252</f>
        <v>0</v>
      </c>
      <c r="L252" s="48">
        <f>'Adani Enterprises'!L252</f>
        <v>0</v>
      </c>
      <c r="M252" s="48">
        <f>'Adani Enterprises'!M252</f>
        <v>0</v>
      </c>
      <c r="N252" s="48">
        <f>'Adani Enterprises'!N252</f>
        <v>0</v>
      </c>
      <c r="O252" s="48">
        <f>'Adani Enterprises'!O252</f>
        <v>0</v>
      </c>
      <c r="P252" s="48">
        <f>'Adani Enterprises'!P252</f>
        <v>0</v>
      </c>
      <c r="Q252" s="48">
        <f>'Adani Enterprises'!Q252</f>
        <v>0</v>
      </c>
      <c r="R252" s="48">
        <f>'Adani Enterprises'!R252</f>
        <v>0</v>
      </c>
      <c r="S252" s="48">
        <f>'Adani Enterprises'!S252</f>
        <v>0</v>
      </c>
      <c r="T252" s="48">
        <f>'Adani Enterprises'!T252</f>
        <v>0</v>
      </c>
      <c r="U252" s="48">
        <f>'Adani Enterprises'!U252</f>
        <v>0</v>
      </c>
      <c r="V252" s="48">
        <f>'Adani Enterprises'!V252</f>
        <v>0</v>
      </c>
      <c r="W252" s="48">
        <f>'Adani Enterprises'!W252</f>
        <v>0</v>
      </c>
      <c r="X252" s="48">
        <f>'Adani Enterprises'!X252</f>
        <v>0</v>
      </c>
      <c r="Y252" s="48">
        <f>'Adani Enterprises'!Y252</f>
        <v>0</v>
      </c>
      <c r="Z252" s="48">
        <f>'Adani Enterprises'!Z252</f>
        <v>0</v>
      </c>
      <c r="AA252" s="48">
        <f>'Adani Enterprises'!AA252</f>
        <v>0</v>
      </c>
      <c r="AB252" s="48">
        <f>'Adani Enterprises'!AB252</f>
        <v>0</v>
      </c>
      <c r="AC252" s="48">
        <f>'Adani Enterprises'!AC252</f>
        <v>0</v>
      </c>
      <c r="AD252" s="48">
        <f>'Adani Enterprises'!AD252</f>
        <v>0</v>
      </c>
      <c r="AE252" s="48">
        <f>'Adani Enterprises'!AE252</f>
        <v>0</v>
      </c>
      <c r="AF252" s="48">
        <f>'Adani Enterprises'!AF252</f>
        <v>0</v>
      </c>
      <c r="AG252" s="48">
        <f>'Adani Enterprises'!AG252</f>
        <v>0</v>
      </c>
      <c r="AH252" s="48">
        <f>'Adani Enterprises'!AH252</f>
        <v>0</v>
      </c>
      <c r="AI252" s="48">
        <f>'Adani Enterprises'!AI252</f>
        <v>0</v>
      </c>
      <c r="AJ252" s="48">
        <f>'Adani Enterprises'!AJ252</f>
        <v>0</v>
      </c>
      <c r="AK252" s="48">
        <f>'Adani Enterprises'!AK252</f>
        <v>0</v>
      </c>
      <c r="AL252" s="48">
        <f>'Adani Enterprises'!AL252</f>
        <v>0</v>
      </c>
    </row>
    <row r="253" customHeight="1" spans="1:38">
      <c r="A253" s="48">
        <f>'Adani Enterprises'!A253</f>
        <v>0</v>
      </c>
      <c r="B253" s="48">
        <f>'Adani Enterprises'!B253</f>
        <v>0</v>
      </c>
      <c r="C253" s="48">
        <f>'Adani Enterprises'!C253</f>
        <v>0</v>
      </c>
      <c r="D253" s="48">
        <f>'Adani Enterprises'!D253</f>
        <v>0</v>
      </c>
      <c r="E253" s="48">
        <f>'Adani Enterprises'!E253</f>
        <v>0</v>
      </c>
      <c r="F253" s="48">
        <f>'Adani Enterprises'!F253</f>
        <v>0</v>
      </c>
      <c r="G253" s="48">
        <f>'Adani Enterprises'!G253</f>
        <v>0</v>
      </c>
      <c r="H253" s="48">
        <f>'Adani Enterprises'!H253</f>
        <v>0</v>
      </c>
      <c r="I253" s="48">
        <f>'Adani Enterprises'!I253</f>
        <v>0</v>
      </c>
      <c r="J253" s="48">
        <f>'Adani Enterprises'!J253</f>
        <v>0</v>
      </c>
      <c r="K253" s="48">
        <f>'Adani Enterprises'!K253</f>
        <v>0</v>
      </c>
      <c r="L253" s="48">
        <f>'Adani Enterprises'!L253</f>
        <v>0</v>
      </c>
      <c r="M253" s="48">
        <f>'Adani Enterprises'!M253</f>
        <v>0</v>
      </c>
      <c r="N253" s="48">
        <f>'Adani Enterprises'!N253</f>
        <v>0</v>
      </c>
      <c r="O253" s="48">
        <f>'Adani Enterprises'!O253</f>
        <v>0</v>
      </c>
      <c r="P253" s="48">
        <f>'Adani Enterprises'!P253</f>
        <v>0</v>
      </c>
      <c r="Q253" s="48">
        <f>'Adani Enterprises'!Q253</f>
        <v>0</v>
      </c>
      <c r="R253" s="48">
        <f>'Adani Enterprises'!R253</f>
        <v>0</v>
      </c>
      <c r="S253" s="48">
        <f>'Adani Enterprises'!S253</f>
        <v>0</v>
      </c>
      <c r="T253" s="48">
        <f>'Adani Enterprises'!T253</f>
        <v>0</v>
      </c>
      <c r="U253" s="48">
        <f>'Adani Enterprises'!U253</f>
        <v>0</v>
      </c>
      <c r="V253" s="48">
        <f>'Adani Enterprises'!V253</f>
        <v>0</v>
      </c>
      <c r="W253" s="48">
        <f>'Adani Enterprises'!W253</f>
        <v>0</v>
      </c>
      <c r="X253" s="48">
        <f>'Adani Enterprises'!X253</f>
        <v>0</v>
      </c>
      <c r="Y253" s="48">
        <f>'Adani Enterprises'!Y253</f>
        <v>0</v>
      </c>
      <c r="Z253" s="48">
        <f>'Adani Enterprises'!Z253</f>
        <v>0</v>
      </c>
      <c r="AA253" s="48">
        <f>'Adani Enterprises'!AA253</f>
        <v>0</v>
      </c>
      <c r="AB253" s="48">
        <f>'Adani Enterprises'!AB253</f>
        <v>0</v>
      </c>
      <c r="AC253" s="48">
        <f>'Adani Enterprises'!AC253</f>
        <v>0</v>
      </c>
      <c r="AD253" s="48">
        <f>'Adani Enterprises'!AD253</f>
        <v>0</v>
      </c>
      <c r="AE253" s="48">
        <f>'Adani Enterprises'!AE253</f>
        <v>0</v>
      </c>
      <c r="AF253" s="48">
        <f>'Adani Enterprises'!AF253</f>
        <v>0</v>
      </c>
      <c r="AG253" s="48">
        <f>'Adani Enterprises'!AG253</f>
        <v>0</v>
      </c>
      <c r="AH253" s="48">
        <f>'Adani Enterprises'!AH253</f>
        <v>0</v>
      </c>
      <c r="AI253" s="48">
        <f>'Adani Enterprises'!AI253</f>
        <v>0</v>
      </c>
      <c r="AJ253" s="48">
        <f>'Adani Enterprises'!AJ253</f>
        <v>0</v>
      </c>
      <c r="AK253" s="48">
        <f>'Adani Enterprises'!AK253</f>
        <v>0</v>
      </c>
      <c r="AL253" s="48">
        <f>'Adani Enterprises'!AL253</f>
        <v>0</v>
      </c>
    </row>
    <row r="254" customHeight="1" spans="1:38">
      <c r="A254" s="48">
        <f>'Adani Enterprises'!A254</f>
        <v>0</v>
      </c>
      <c r="B254" s="48">
        <f>'Adani Enterprises'!B254</f>
        <v>0</v>
      </c>
      <c r="C254" s="48">
        <f>'Adani Enterprises'!C254</f>
        <v>0</v>
      </c>
      <c r="D254" s="48">
        <f>'Adani Enterprises'!D254</f>
        <v>0</v>
      </c>
      <c r="E254" s="48">
        <f>'Adani Enterprises'!E254</f>
        <v>0</v>
      </c>
      <c r="F254" s="48">
        <f>'Adani Enterprises'!F254</f>
        <v>0</v>
      </c>
      <c r="G254" s="48">
        <f>'Adani Enterprises'!G254</f>
        <v>0</v>
      </c>
      <c r="H254" s="48">
        <f>'Adani Enterprises'!H254</f>
        <v>0</v>
      </c>
      <c r="I254" s="48">
        <f>'Adani Enterprises'!I254</f>
        <v>0</v>
      </c>
      <c r="J254" s="48">
        <f>'Adani Enterprises'!J254</f>
        <v>0</v>
      </c>
      <c r="K254" s="48">
        <f>'Adani Enterprises'!K254</f>
        <v>0</v>
      </c>
      <c r="L254" s="48">
        <f>'Adani Enterprises'!L254</f>
        <v>0</v>
      </c>
      <c r="M254" s="48">
        <f>'Adani Enterprises'!M254</f>
        <v>0</v>
      </c>
      <c r="N254" s="48">
        <f>'Adani Enterprises'!N254</f>
        <v>0</v>
      </c>
      <c r="O254" s="48">
        <f>'Adani Enterprises'!O254</f>
        <v>0</v>
      </c>
      <c r="P254" s="48">
        <f>'Adani Enterprises'!P254</f>
        <v>0</v>
      </c>
      <c r="Q254" s="48">
        <f>'Adani Enterprises'!Q254</f>
        <v>0</v>
      </c>
      <c r="R254" s="48">
        <f>'Adani Enterprises'!R254</f>
        <v>0</v>
      </c>
      <c r="S254" s="48">
        <f>'Adani Enterprises'!S254</f>
        <v>0</v>
      </c>
      <c r="T254" s="48">
        <f>'Adani Enterprises'!T254</f>
        <v>0</v>
      </c>
      <c r="U254" s="48">
        <f>'Adani Enterprises'!U254</f>
        <v>0</v>
      </c>
      <c r="V254" s="48">
        <f>'Adani Enterprises'!V254</f>
        <v>0</v>
      </c>
      <c r="W254" s="48">
        <f>'Adani Enterprises'!W254</f>
        <v>0</v>
      </c>
      <c r="X254" s="48">
        <f>'Adani Enterprises'!X254</f>
        <v>0</v>
      </c>
      <c r="Y254" s="48">
        <f>'Adani Enterprises'!Y254</f>
        <v>0</v>
      </c>
      <c r="Z254" s="48">
        <f>'Adani Enterprises'!Z254</f>
        <v>0</v>
      </c>
      <c r="AA254" s="48">
        <f>'Adani Enterprises'!AA254</f>
        <v>0</v>
      </c>
      <c r="AB254" s="48">
        <f>'Adani Enterprises'!AB254</f>
        <v>0</v>
      </c>
      <c r="AC254" s="48">
        <f>'Adani Enterprises'!AC254</f>
        <v>0</v>
      </c>
      <c r="AD254" s="48">
        <f>'Adani Enterprises'!AD254</f>
        <v>0</v>
      </c>
      <c r="AE254" s="48">
        <f>'Adani Enterprises'!AE254</f>
        <v>0</v>
      </c>
      <c r="AF254" s="48">
        <f>'Adani Enterprises'!AF254</f>
        <v>0</v>
      </c>
      <c r="AG254" s="48">
        <f>'Adani Enterprises'!AG254</f>
        <v>0</v>
      </c>
      <c r="AH254" s="48">
        <f>'Adani Enterprises'!AH254</f>
        <v>0</v>
      </c>
      <c r="AI254" s="48">
        <f>'Adani Enterprises'!AI254</f>
        <v>0</v>
      </c>
      <c r="AJ254" s="48">
        <f>'Adani Enterprises'!AJ254</f>
        <v>0</v>
      </c>
      <c r="AK254" s="48">
        <f>'Adani Enterprises'!AK254</f>
        <v>0</v>
      </c>
      <c r="AL254" s="48">
        <f>'Adani Enterprises'!AL254</f>
        <v>0</v>
      </c>
    </row>
    <row r="255" customHeight="1" spans="1:38">
      <c r="A255" s="48">
        <f>'Adani Enterprises'!A255</f>
        <v>0</v>
      </c>
      <c r="B255" s="48">
        <f>'Adani Enterprises'!B255</f>
        <v>0</v>
      </c>
      <c r="C255" s="48">
        <f>'Adani Enterprises'!C255</f>
        <v>0</v>
      </c>
      <c r="D255" s="48">
        <f>'Adani Enterprises'!D255</f>
        <v>0</v>
      </c>
      <c r="E255" s="48">
        <f>'Adani Enterprises'!E255</f>
        <v>0</v>
      </c>
      <c r="F255" s="48">
        <f>'Adani Enterprises'!F255</f>
        <v>0</v>
      </c>
      <c r="G255" s="48">
        <f>'Adani Enterprises'!G255</f>
        <v>0</v>
      </c>
      <c r="H255" s="48">
        <f>'Adani Enterprises'!H255</f>
        <v>0</v>
      </c>
      <c r="I255" s="48">
        <f>'Adani Enterprises'!I255</f>
        <v>0</v>
      </c>
      <c r="J255" s="48">
        <f>'Adani Enterprises'!J255</f>
        <v>0</v>
      </c>
      <c r="K255" s="48">
        <f>'Adani Enterprises'!K255</f>
        <v>0</v>
      </c>
      <c r="L255" s="48">
        <f>'Adani Enterprises'!L255</f>
        <v>0</v>
      </c>
      <c r="M255" s="48">
        <f>'Adani Enterprises'!M255</f>
        <v>0</v>
      </c>
      <c r="N255" s="48">
        <f>'Adani Enterprises'!N255</f>
        <v>0</v>
      </c>
      <c r="O255" s="48">
        <f>'Adani Enterprises'!O255</f>
        <v>0</v>
      </c>
      <c r="P255" s="48">
        <f>'Adani Enterprises'!P255</f>
        <v>0</v>
      </c>
      <c r="Q255" s="48">
        <f>'Adani Enterprises'!Q255</f>
        <v>0</v>
      </c>
      <c r="R255" s="48">
        <f>'Adani Enterprises'!R255</f>
        <v>0</v>
      </c>
      <c r="S255" s="48">
        <f>'Adani Enterprises'!S255</f>
        <v>0</v>
      </c>
      <c r="T255" s="48">
        <f>'Adani Enterprises'!T255</f>
        <v>0</v>
      </c>
      <c r="U255" s="48">
        <f>'Adani Enterprises'!U255</f>
        <v>0</v>
      </c>
      <c r="V255" s="48">
        <f>'Adani Enterprises'!V255</f>
        <v>0</v>
      </c>
      <c r="W255" s="48">
        <f>'Adani Enterprises'!W255</f>
        <v>0</v>
      </c>
      <c r="X255" s="48">
        <f>'Adani Enterprises'!X255</f>
        <v>0</v>
      </c>
      <c r="Y255" s="48">
        <f>'Adani Enterprises'!Y255</f>
        <v>0</v>
      </c>
      <c r="Z255" s="48">
        <f>'Adani Enterprises'!Z255</f>
        <v>0</v>
      </c>
      <c r="AA255" s="48">
        <f>'Adani Enterprises'!AA255</f>
        <v>0</v>
      </c>
      <c r="AB255" s="48">
        <f>'Adani Enterprises'!AB255</f>
        <v>0</v>
      </c>
      <c r="AC255" s="48">
        <f>'Adani Enterprises'!AC255</f>
        <v>0</v>
      </c>
      <c r="AD255" s="48">
        <f>'Adani Enterprises'!AD255</f>
        <v>0</v>
      </c>
      <c r="AE255" s="48">
        <f>'Adani Enterprises'!AE255</f>
        <v>0</v>
      </c>
      <c r="AF255" s="48">
        <f>'Adani Enterprises'!AF255</f>
        <v>0</v>
      </c>
      <c r="AG255" s="48">
        <f>'Adani Enterprises'!AG255</f>
        <v>0</v>
      </c>
      <c r="AH255" s="48">
        <f>'Adani Enterprises'!AH255</f>
        <v>0</v>
      </c>
      <c r="AI255" s="48">
        <f>'Adani Enterprises'!AI255</f>
        <v>0</v>
      </c>
      <c r="AJ255" s="48">
        <f>'Adani Enterprises'!AJ255</f>
        <v>0</v>
      </c>
      <c r="AK255" s="48">
        <f>'Adani Enterprises'!AK255</f>
        <v>0</v>
      </c>
      <c r="AL255" s="48">
        <f>'Adani Enterprises'!AL255</f>
        <v>0</v>
      </c>
    </row>
    <row r="256" customHeight="1" spans="1:38">
      <c r="A256" s="48">
        <f>'Adani Enterprises'!A256</f>
        <v>0</v>
      </c>
      <c r="B256" s="48">
        <f>'Adani Enterprises'!B256</f>
        <v>0</v>
      </c>
      <c r="C256" s="48">
        <f>'Adani Enterprises'!C256</f>
        <v>0</v>
      </c>
      <c r="D256" s="48">
        <f>'Adani Enterprises'!D256</f>
        <v>0</v>
      </c>
      <c r="E256" s="48">
        <f>'Adani Enterprises'!E256</f>
        <v>0</v>
      </c>
      <c r="F256" s="48">
        <f>'Adani Enterprises'!F256</f>
        <v>0</v>
      </c>
      <c r="G256" s="48">
        <f>'Adani Enterprises'!G256</f>
        <v>0</v>
      </c>
      <c r="H256" s="48">
        <f>'Adani Enterprises'!H256</f>
        <v>0</v>
      </c>
      <c r="I256" s="48">
        <f>'Adani Enterprises'!I256</f>
        <v>0</v>
      </c>
      <c r="J256" s="48">
        <f>'Adani Enterprises'!J256</f>
        <v>0</v>
      </c>
      <c r="K256" s="48">
        <f>'Adani Enterprises'!K256</f>
        <v>0</v>
      </c>
      <c r="L256" s="48">
        <f>'Adani Enterprises'!L256</f>
        <v>0</v>
      </c>
      <c r="M256" s="48">
        <f>'Adani Enterprises'!M256</f>
        <v>0</v>
      </c>
      <c r="N256" s="48">
        <f>'Adani Enterprises'!N256</f>
        <v>0</v>
      </c>
      <c r="O256" s="48">
        <f>'Adani Enterprises'!O256</f>
        <v>0</v>
      </c>
      <c r="P256" s="48">
        <f>'Adani Enterprises'!P256</f>
        <v>0</v>
      </c>
      <c r="Q256" s="48">
        <f>'Adani Enterprises'!Q256</f>
        <v>0</v>
      </c>
      <c r="R256" s="48">
        <f>'Adani Enterprises'!R256</f>
        <v>0</v>
      </c>
      <c r="S256" s="48">
        <f>'Adani Enterprises'!S256</f>
        <v>0</v>
      </c>
      <c r="T256" s="48">
        <f>'Adani Enterprises'!T256</f>
        <v>0</v>
      </c>
      <c r="U256" s="48">
        <f>'Adani Enterprises'!U256</f>
        <v>0</v>
      </c>
      <c r="V256" s="48">
        <f>'Adani Enterprises'!V256</f>
        <v>0</v>
      </c>
      <c r="W256" s="48">
        <f>'Adani Enterprises'!W256</f>
        <v>0</v>
      </c>
      <c r="X256" s="48">
        <f>'Adani Enterprises'!X256</f>
        <v>0</v>
      </c>
      <c r="Y256" s="48">
        <f>'Adani Enterprises'!Y256</f>
        <v>0</v>
      </c>
      <c r="Z256" s="48">
        <f>'Adani Enterprises'!Z256</f>
        <v>0</v>
      </c>
      <c r="AA256" s="48">
        <f>'Adani Enterprises'!AA256</f>
        <v>0</v>
      </c>
      <c r="AB256" s="48">
        <f>'Adani Enterprises'!AB256</f>
        <v>0</v>
      </c>
      <c r="AC256" s="48">
        <f>'Adani Enterprises'!AC256</f>
        <v>0</v>
      </c>
      <c r="AD256" s="48">
        <f>'Adani Enterprises'!AD256</f>
        <v>0</v>
      </c>
      <c r="AE256" s="48">
        <f>'Adani Enterprises'!AE256</f>
        <v>0</v>
      </c>
      <c r="AF256" s="48">
        <f>'Adani Enterprises'!AF256</f>
        <v>0</v>
      </c>
      <c r="AG256" s="48">
        <f>'Adani Enterprises'!AG256</f>
        <v>0</v>
      </c>
      <c r="AH256" s="48">
        <f>'Adani Enterprises'!AH256</f>
        <v>0</v>
      </c>
      <c r="AI256" s="48">
        <f>'Adani Enterprises'!AI256</f>
        <v>0</v>
      </c>
      <c r="AJ256" s="48">
        <f>'Adani Enterprises'!AJ256</f>
        <v>0</v>
      </c>
      <c r="AK256" s="48">
        <f>'Adani Enterprises'!AK256</f>
        <v>0</v>
      </c>
      <c r="AL256" s="48">
        <f>'Adani Enterprises'!AL256</f>
        <v>0</v>
      </c>
    </row>
    <row r="257" customHeight="1" spans="1:38">
      <c r="A257" s="48">
        <f>'Adani Enterprises'!A257</f>
        <v>0</v>
      </c>
      <c r="B257" s="48">
        <f>'Adani Enterprises'!B257</f>
        <v>0</v>
      </c>
      <c r="C257" s="48">
        <f>'Adani Enterprises'!C257</f>
        <v>0</v>
      </c>
      <c r="D257" s="48">
        <f>'Adani Enterprises'!D257</f>
        <v>0</v>
      </c>
      <c r="E257" s="48">
        <f>'Adani Enterprises'!E257</f>
        <v>0</v>
      </c>
      <c r="F257" s="48">
        <f>'Adani Enterprises'!F257</f>
        <v>0</v>
      </c>
      <c r="G257" s="48">
        <f>'Adani Enterprises'!G257</f>
        <v>0</v>
      </c>
      <c r="H257" s="48">
        <f>'Adani Enterprises'!H257</f>
        <v>0</v>
      </c>
      <c r="I257" s="48">
        <f>'Adani Enterprises'!I257</f>
        <v>0</v>
      </c>
      <c r="J257" s="48">
        <f>'Adani Enterprises'!J257</f>
        <v>0</v>
      </c>
      <c r="K257" s="48">
        <f>'Adani Enterprises'!K257</f>
        <v>0</v>
      </c>
      <c r="L257" s="48">
        <f>'Adani Enterprises'!L257</f>
        <v>0</v>
      </c>
      <c r="M257" s="48">
        <f>'Adani Enterprises'!M257</f>
        <v>0</v>
      </c>
      <c r="N257" s="48">
        <f>'Adani Enterprises'!N257</f>
        <v>0</v>
      </c>
      <c r="O257" s="48">
        <f>'Adani Enterprises'!O257</f>
        <v>0</v>
      </c>
      <c r="P257" s="48">
        <f>'Adani Enterprises'!P257</f>
        <v>0</v>
      </c>
      <c r="Q257" s="48">
        <f>'Adani Enterprises'!Q257</f>
        <v>0</v>
      </c>
      <c r="R257" s="48">
        <f>'Adani Enterprises'!R257</f>
        <v>0</v>
      </c>
      <c r="S257" s="48">
        <f>'Adani Enterprises'!S257</f>
        <v>0</v>
      </c>
      <c r="T257" s="48">
        <f>'Adani Enterprises'!T257</f>
        <v>0</v>
      </c>
      <c r="U257" s="48">
        <f>'Adani Enterprises'!U257</f>
        <v>0</v>
      </c>
      <c r="V257" s="48">
        <f>'Adani Enterprises'!V257</f>
        <v>0</v>
      </c>
      <c r="W257" s="48">
        <f>'Adani Enterprises'!W257</f>
        <v>0</v>
      </c>
      <c r="X257" s="48">
        <f>'Adani Enterprises'!X257</f>
        <v>0</v>
      </c>
      <c r="Y257" s="48">
        <f>'Adani Enterprises'!Y257</f>
        <v>0</v>
      </c>
      <c r="Z257" s="48">
        <f>'Adani Enterprises'!Z257</f>
        <v>0</v>
      </c>
      <c r="AA257" s="48">
        <f>'Adani Enterprises'!AA257</f>
        <v>0</v>
      </c>
      <c r="AB257" s="48">
        <f>'Adani Enterprises'!AB257</f>
        <v>0</v>
      </c>
      <c r="AC257" s="48">
        <f>'Adani Enterprises'!AC257</f>
        <v>0</v>
      </c>
      <c r="AD257" s="48">
        <f>'Adani Enterprises'!AD257</f>
        <v>0</v>
      </c>
      <c r="AE257" s="48">
        <f>'Adani Enterprises'!AE257</f>
        <v>0</v>
      </c>
      <c r="AF257" s="48">
        <f>'Adani Enterprises'!AF257</f>
        <v>0</v>
      </c>
      <c r="AG257" s="48">
        <f>'Adani Enterprises'!AG257</f>
        <v>0</v>
      </c>
      <c r="AH257" s="48">
        <f>'Adani Enterprises'!AH257</f>
        <v>0</v>
      </c>
      <c r="AI257" s="48">
        <f>'Adani Enterprises'!AI257</f>
        <v>0</v>
      </c>
      <c r="AJ257" s="48">
        <f>'Adani Enterprises'!AJ257</f>
        <v>0</v>
      </c>
      <c r="AK257" s="48">
        <f>'Adani Enterprises'!AK257</f>
        <v>0</v>
      </c>
      <c r="AL257" s="48">
        <f>'Adani Enterprises'!AL257</f>
        <v>0</v>
      </c>
    </row>
    <row r="258" customHeight="1" spans="1:38">
      <c r="A258" s="48">
        <f>'Adani Enterprises'!A258</f>
        <v>0</v>
      </c>
      <c r="B258" s="48">
        <f>'Adani Enterprises'!B258</f>
        <v>0</v>
      </c>
      <c r="C258" s="48">
        <f>'Adani Enterprises'!C258</f>
        <v>0</v>
      </c>
      <c r="D258" s="48">
        <f>'Adani Enterprises'!D258</f>
        <v>0</v>
      </c>
      <c r="E258" s="48">
        <f>'Adani Enterprises'!E258</f>
        <v>0</v>
      </c>
      <c r="F258" s="48">
        <f>'Adani Enterprises'!F258</f>
        <v>0</v>
      </c>
      <c r="G258" s="48">
        <f>'Adani Enterprises'!G258</f>
        <v>0</v>
      </c>
      <c r="H258" s="48">
        <f>'Adani Enterprises'!H258</f>
        <v>0</v>
      </c>
      <c r="I258" s="48">
        <f>'Adani Enterprises'!I258</f>
        <v>0</v>
      </c>
      <c r="J258" s="48">
        <f>'Adani Enterprises'!J258</f>
        <v>0</v>
      </c>
      <c r="K258" s="48">
        <f>'Adani Enterprises'!K258</f>
        <v>0</v>
      </c>
      <c r="L258" s="48">
        <f>'Adani Enterprises'!L258</f>
        <v>0</v>
      </c>
      <c r="M258" s="48">
        <f>'Adani Enterprises'!M258</f>
        <v>0</v>
      </c>
      <c r="N258" s="48">
        <f>'Adani Enterprises'!N258</f>
        <v>0</v>
      </c>
      <c r="O258" s="48">
        <f>'Adani Enterprises'!O258</f>
        <v>0</v>
      </c>
      <c r="P258" s="48">
        <f>'Adani Enterprises'!P258</f>
        <v>0</v>
      </c>
      <c r="Q258" s="48">
        <f>'Adani Enterprises'!Q258</f>
        <v>0</v>
      </c>
      <c r="R258" s="48">
        <f>'Adani Enterprises'!R258</f>
        <v>0</v>
      </c>
      <c r="S258" s="48">
        <f>'Adani Enterprises'!S258</f>
        <v>0</v>
      </c>
      <c r="T258" s="48">
        <f>'Adani Enterprises'!T258</f>
        <v>0</v>
      </c>
      <c r="U258" s="48">
        <f>'Adani Enterprises'!U258</f>
        <v>0</v>
      </c>
      <c r="V258" s="48">
        <f>'Adani Enterprises'!V258</f>
        <v>0</v>
      </c>
      <c r="W258" s="48">
        <f>'Adani Enterprises'!W258</f>
        <v>0</v>
      </c>
      <c r="X258" s="48">
        <f>'Adani Enterprises'!X258</f>
        <v>0</v>
      </c>
      <c r="Y258" s="48">
        <f>'Adani Enterprises'!Y258</f>
        <v>0</v>
      </c>
      <c r="Z258" s="48">
        <f>'Adani Enterprises'!Z258</f>
        <v>0</v>
      </c>
      <c r="AA258" s="48">
        <f>'Adani Enterprises'!AA258</f>
        <v>0</v>
      </c>
      <c r="AB258" s="48">
        <f>'Adani Enterprises'!AB258</f>
        <v>0</v>
      </c>
      <c r="AC258" s="48">
        <f>'Adani Enterprises'!AC258</f>
        <v>0</v>
      </c>
      <c r="AD258" s="48">
        <f>'Adani Enterprises'!AD258</f>
        <v>0</v>
      </c>
      <c r="AE258" s="48">
        <f>'Adani Enterprises'!AE258</f>
        <v>0</v>
      </c>
      <c r="AF258" s="48">
        <f>'Adani Enterprises'!AF258</f>
        <v>0</v>
      </c>
      <c r="AG258" s="48">
        <f>'Adani Enterprises'!AG258</f>
        <v>0</v>
      </c>
      <c r="AH258" s="48">
        <f>'Adani Enterprises'!AH258</f>
        <v>0</v>
      </c>
      <c r="AI258" s="48">
        <f>'Adani Enterprises'!AI258</f>
        <v>0</v>
      </c>
      <c r="AJ258" s="48">
        <f>'Adani Enterprises'!AJ258</f>
        <v>0</v>
      </c>
      <c r="AK258" s="48">
        <f>'Adani Enterprises'!AK258</f>
        <v>0</v>
      </c>
      <c r="AL258" s="48">
        <f>'Adani Enterprises'!AL258</f>
        <v>0</v>
      </c>
    </row>
    <row r="259" customHeight="1" spans="1:38">
      <c r="A259" s="48">
        <f>'Adani Enterprises'!A259</f>
        <v>0</v>
      </c>
      <c r="B259" s="48">
        <f>'Adani Enterprises'!B259</f>
        <v>0</v>
      </c>
      <c r="C259" s="48">
        <f>'Adani Enterprises'!C259</f>
        <v>0</v>
      </c>
      <c r="D259" s="48">
        <f>'Adani Enterprises'!D259</f>
        <v>0</v>
      </c>
      <c r="E259" s="48">
        <f>'Adani Enterprises'!E259</f>
        <v>0</v>
      </c>
      <c r="F259" s="48">
        <f>'Adani Enterprises'!F259</f>
        <v>0</v>
      </c>
      <c r="G259" s="48">
        <f>'Adani Enterprises'!G259</f>
        <v>0</v>
      </c>
      <c r="H259" s="48">
        <f>'Adani Enterprises'!H259</f>
        <v>0</v>
      </c>
      <c r="I259" s="48">
        <f>'Adani Enterprises'!I259</f>
        <v>0</v>
      </c>
      <c r="J259" s="48">
        <f>'Adani Enterprises'!J259</f>
        <v>0</v>
      </c>
      <c r="K259" s="48">
        <f>'Adani Enterprises'!K259</f>
        <v>0</v>
      </c>
      <c r="L259" s="48">
        <f>'Adani Enterprises'!L259</f>
        <v>0</v>
      </c>
      <c r="M259" s="48">
        <f>'Adani Enterprises'!M259</f>
        <v>0</v>
      </c>
      <c r="N259" s="48">
        <f>'Adani Enterprises'!N259</f>
        <v>0</v>
      </c>
      <c r="O259" s="48">
        <f>'Adani Enterprises'!O259</f>
        <v>0</v>
      </c>
      <c r="P259" s="48">
        <f>'Adani Enterprises'!P259</f>
        <v>0</v>
      </c>
      <c r="Q259" s="48">
        <f>'Adani Enterprises'!Q259</f>
        <v>0</v>
      </c>
      <c r="R259" s="48">
        <f>'Adani Enterprises'!R259</f>
        <v>0</v>
      </c>
      <c r="S259" s="48">
        <f>'Adani Enterprises'!S259</f>
        <v>0</v>
      </c>
      <c r="T259" s="48">
        <f>'Adani Enterprises'!T259</f>
        <v>0</v>
      </c>
      <c r="U259" s="48">
        <f>'Adani Enterprises'!U259</f>
        <v>0</v>
      </c>
      <c r="V259" s="48">
        <f>'Adani Enterprises'!V259</f>
        <v>0</v>
      </c>
      <c r="W259" s="48">
        <f>'Adani Enterprises'!W259</f>
        <v>0</v>
      </c>
      <c r="X259" s="48">
        <f>'Adani Enterprises'!X259</f>
        <v>0</v>
      </c>
      <c r="Y259" s="48">
        <f>'Adani Enterprises'!Y259</f>
        <v>0</v>
      </c>
      <c r="Z259" s="48">
        <f>'Adani Enterprises'!Z259</f>
        <v>0</v>
      </c>
      <c r="AA259" s="48">
        <f>'Adani Enterprises'!AA259</f>
        <v>0</v>
      </c>
      <c r="AB259" s="48">
        <f>'Adani Enterprises'!AB259</f>
        <v>0</v>
      </c>
      <c r="AC259" s="48">
        <f>'Adani Enterprises'!AC259</f>
        <v>0</v>
      </c>
      <c r="AD259" s="48">
        <f>'Adani Enterprises'!AD259</f>
        <v>0</v>
      </c>
      <c r="AE259" s="48">
        <f>'Adani Enterprises'!AE259</f>
        <v>0</v>
      </c>
      <c r="AF259" s="48">
        <f>'Adani Enterprises'!AF259</f>
        <v>0</v>
      </c>
      <c r="AG259" s="48">
        <f>'Adani Enterprises'!AG259</f>
        <v>0</v>
      </c>
      <c r="AH259" s="48">
        <f>'Adani Enterprises'!AH259</f>
        <v>0</v>
      </c>
      <c r="AI259" s="48">
        <f>'Adani Enterprises'!AI259</f>
        <v>0</v>
      </c>
      <c r="AJ259" s="48">
        <f>'Adani Enterprises'!AJ259</f>
        <v>0</v>
      </c>
      <c r="AK259" s="48">
        <f>'Adani Enterprises'!AK259</f>
        <v>0</v>
      </c>
      <c r="AL259" s="48">
        <f>'Adani Enterprises'!AL259</f>
        <v>0</v>
      </c>
    </row>
    <row r="260" customHeight="1" spans="1:38">
      <c r="A260" s="48">
        <f>'Adani Enterprises'!A260</f>
        <v>0</v>
      </c>
      <c r="B260" s="48">
        <f>'Adani Enterprises'!B260</f>
        <v>0</v>
      </c>
      <c r="C260" s="48">
        <f>'Adani Enterprises'!C260</f>
        <v>0</v>
      </c>
      <c r="D260" s="48">
        <f>'Adani Enterprises'!D260</f>
        <v>0</v>
      </c>
      <c r="E260" s="48">
        <f>'Adani Enterprises'!E260</f>
        <v>0</v>
      </c>
      <c r="F260" s="48">
        <f>'Adani Enterprises'!F260</f>
        <v>0</v>
      </c>
      <c r="G260" s="48">
        <f>'Adani Enterprises'!G260</f>
        <v>0</v>
      </c>
      <c r="H260" s="48">
        <f>'Adani Enterprises'!H260</f>
        <v>0</v>
      </c>
      <c r="I260" s="48">
        <f>'Adani Enterprises'!I260</f>
        <v>0</v>
      </c>
      <c r="J260" s="48">
        <f>'Adani Enterprises'!J260</f>
        <v>0</v>
      </c>
      <c r="K260" s="48">
        <f>'Adani Enterprises'!K260</f>
        <v>0</v>
      </c>
      <c r="L260" s="48">
        <f>'Adani Enterprises'!L260</f>
        <v>0</v>
      </c>
      <c r="M260" s="48">
        <f>'Adani Enterprises'!M260</f>
        <v>0</v>
      </c>
      <c r="N260" s="48">
        <f>'Adani Enterprises'!N260</f>
        <v>0</v>
      </c>
      <c r="O260" s="48">
        <f>'Adani Enterprises'!O260</f>
        <v>0</v>
      </c>
      <c r="P260" s="48">
        <f>'Adani Enterprises'!P260</f>
        <v>0</v>
      </c>
      <c r="Q260" s="48">
        <f>'Adani Enterprises'!Q260</f>
        <v>0</v>
      </c>
      <c r="R260" s="48">
        <f>'Adani Enterprises'!R260</f>
        <v>0</v>
      </c>
      <c r="S260" s="48">
        <f>'Adani Enterprises'!S260</f>
        <v>0</v>
      </c>
      <c r="T260" s="48">
        <f>'Adani Enterprises'!T260</f>
        <v>0</v>
      </c>
      <c r="U260" s="48">
        <f>'Adani Enterprises'!U260</f>
        <v>0</v>
      </c>
      <c r="V260" s="48">
        <f>'Adani Enterprises'!V260</f>
        <v>0</v>
      </c>
      <c r="W260" s="48">
        <f>'Adani Enterprises'!W260</f>
        <v>0</v>
      </c>
      <c r="X260" s="48">
        <f>'Adani Enterprises'!X260</f>
        <v>0</v>
      </c>
      <c r="Y260" s="48">
        <f>'Adani Enterprises'!Y260</f>
        <v>0</v>
      </c>
      <c r="Z260" s="48">
        <f>'Adani Enterprises'!Z260</f>
        <v>0</v>
      </c>
      <c r="AA260" s="48">
        <f>'Adani Enterprises'!AA260</f>
        <v>0</v>
      </c>
      <c r="AB260" s="48">
        <f>'Adani Enterprises'!AB260</f>
        <v>0</v>
      </c>
      <c r="AC260" s="48">
        <f>'Adani Enterprises'!AC260</f>
        <v>0</v>
      </c>
      <c r="AD260" s="48">
        <f>'Adani Enterprises'!AD260</f>
        <v>0</v>
      </c>
      <c r="AE260" s="48">
        <f>'Adani Enterprises'!AE260</f>
        <v>0</v>
      </c>
      <c r="AF260" s="48">
        <f>'Adani Enterprises'!AF260</f>
        <v>0</v>
      </c>
      <c r="AG260" s="48">
        <f>'Adani Enterprises'!AG260</f>
        <v>0</v>
      </c>
      <c r="AH260" s="48">
        <f>'Adani Enterprises'!AH260</f>
        <v>0</v>
      </c>
      <c r="AI260" s="48">
        <f>'Adani Enterprises'!AI260</f>
        <v>0</v>
      </c>
      <c r="AJ260" s="48">
        <f>'Adani Enterprises'!AJ260</f>
        <v>0</v>
      </c>
      <c r="AK260" s="48">
        <f>'Adani Enterprises'!AK260</f>
        <v>0</v>
      </c>
      <c r="AL260" s="48">
        <f>'Adani Enterprises'!AL260</f>
        <v>0</v>
      </c>
    </row>
    <row r="261" customHeight="1" spans="1:38">
      <c r="A261" s="48">
        <f>'Adani Enterprises'!A261</f>
        <v>0</v>
      </c>
      <c r="B261" s="48">
        <f>'Adani Enterprises'!B261</f>
        <v>0</v>
      </c>
      <c r="C261" s="48">
        <f>'Adani Enterprises'!C261</f>
        <v>0</v>
      </c>
      <c r="D261" s="48">
        <f>'Adani Enterprises'!D261</f>
        <v>0</v>
      </c>
      <c r="E261" s="48">
        <f>'Adani Enterprises'!E261</f>
        <v>0</v>
      </c>
      <c r="F261" s="48">
        <f>'Adani Enterprises'!F261</f>
        <v>0</v>
      </c>
      <c r="G261" s="48">
        <f>'Adani Enterprises'!G261</f>
        <v>0</v>
      </c>
      <c r="H261" s="48">
        <f>'Adani Enterprises'!H261</f>
        <v>0</v>
      </c>
      <c r="I261" s="48">
        <f>'Adani Enterprises'!I261</f>
        <v>0</v>
      </c>
      <c r="J261" s="48">
        <f>'Adani Enterprises'!J261</f>
        <v>0</v>
      </c>
      <c r="K261" s="48">
        <f>'Adani Enterprises'!K261</f>
        <v>0</v>
      </c>
      <c r="L261" s="48">
        <f>'Adani Enterprises'!L261</f>
        <v>0</v>
      </c>
      <c r="M261" s="48">
        <f>'Adani Enterprises'!M261</f>
        <v>0</v>
      </c>
      <c r="N261" s="48">
        <f>'Adani Enterprises'!N261</f>
        <v>0</v>
      </c>
      <c r="O261" s="48">
        <f>'Adani Enterprises'!O261</f>
        <v>0</v>
      </c>
      <c r="P261" s="48">
        <f>'Adani Enterprises'!P261</f>
        <v>0</v>
      </c>
      <c r="Q261" s="48">
        <f>'Adani Enterprises'!Q261</f>
        <v>0</v>
      </c>
      <c r="R261" s="48">
        <f>'Adani Enterprises'!R261</f>
        <v>0</v>
      </c>
      <c r="S261" s="48">
        <f>'Adani Enterprises'!S261</f>
        <v>0</v>
      </c>
      <c r="T261" s="48">
        <f>'Adani Enterprises'!T261</f>
        <v>0</v>
      </c>
      <c r="U261" s="48">
        <f>'Adani Enterprises'!U261</f>
        <v>0</v>
      </c>
      <c r="V261" s="48">
        <f>'Adani Enterprises'!V261</f>
        <v>0</v>
      </c>
      <c r="W261" s="48">
        <f>'Adani Enterprises'!W261</f>
        <v>0</v>
      </c>
      <c r="X261" s="48">
        <f>'Adani Enterprises'!X261</f>
        <v>0</v>
      </c>
      <c r="Y261" s="48">
        <f>'Adani Enterprises'!Y261</f>
        <v>0</v>
      </c>
      <c r="Z261" s="48">
        <f>'Adani Enterprises'!Z261</f>
        <v>0</v>
      </c>
      <c r="AA261" s="48">
        <f>'Adani Enterprises'!AA261</f>
        <v>0</v>
      </c>
      <c r="AB261" s="48">
        <f>'Adani Enterprises'!AB261</f>
        <v>0</v>
      </c>
      <c r="AC261" s="48">
        <f>'Adani Enterprises'!AC261</f>
        <v>0</v>
      </c>
      <c r="AD261" s="48">
        <f>'Adani Enterprises'!AD261</f>
        <v>0</v>
      </c>
      <c r="AE261" s="48">
        <f>'Adani Enterprises'!AE261</f>
        <v>0</v>
      </c>
      <c r="AF261" s="48">
        <f>'Adani Enterprises'!AF261</f>
        <v>0</v>
      </c>
      <c r="AG261" s="48">
        <f>'Adani Enterprises'!AG261</f>
        <v>0</v>
      </c>
      <c r="AH261" s="48">
        <f>'Adani Enterprises'!AH261</f>
        <v>0</v>
      </c>
      <c r="AI261" s="48">
        <f>'Adani Enterprises'!AI261</f>
        <v>0</v>
      </c>
      <c r="AJ261" s="48">
        <f>'Adani Enterprises'!AJ261</f>
        <v>0</v>
      </c>
      <c r="AK261" s="48">
        <f>'Adani Enterprises'!AK261</f>
        <v>0</v>
      </c>
      <c r="AL261" s="48">
        <f>'Adani Enterprises'!AL261</f>
        <v>0</v>
      </c>
    </row>
    <row r="262" customHeight="1" spans="1:38">
      <c r="A262" s="48">
        <f>'Adani Enterprises'!A262</f>
        <v>0</v>
      </c>
      <c r="B262" s="48">
        <f>'Adani Enterprises'!B262</f>
        <v>0</v>
      </c>
      <c r="C262" s="48">
        <f>'Adani Enterprises'!C262</f>
        <v>0</v>
      </c>
      <c r="D262" s="48">
        <f>'Adani Enterprises'!D262</f>
        <v>0</v>
      </c>
      <c r="E262" s="48">
        <f>'Adani Enterprises'!E262</f>
        <v>0</v>
      </c>
      <c r="F262" s="48">
        <f>'Adani Enterprises'!F262</f>
        <v>0</v>
      </c>
      <c r="G262" s="48">
        <f>'Adani Enterprises'!G262</f>
        <v>0</v>
      </c>
      <c r="H262" s="48">
        <f>'Adani Enterprises'!H262</f>
        <v>0</v>
      </c>
      <c r="I262" s="48">
        <f>'Adani Enterprises'!I262</f>
        <v>0</v>
      </c>
      <c r="J262" s="48">
        <f>'Adani Enterprises'!J262</f>
        <v>0</v>
      </c>
      <c r="K262" s="48">
        <f>'Adani Enterprises'!K262</f>
        <v>0</v>
      </c>
      <c r="L262" s="48">
        <f>'Adani Enterprises'!L262</f>
        <v>0</v>
      </c>
      <c r="M262" s="48">
        <f>'Adani Enterprises'!M262</f>
        <v>0</v>
      </c>
      <c r="N262" s="48">
        <f>'Adani Enterprises'!N262</f>
        <v>0</v>
      </c>
      <c r="O262" s="48">
        <f>'Adani Enterprises'!O262</f>
        <v>0</v>
      </c>
      <c r="P262" s="48">
        <f>'Adani Enterprises'!P262</f>
        <v>0</v>
      </c>
      <c r="Q262" s="48">
        <f>'Adani Enterprises'!Q262</f>
        <v>0</v>
      </c>
      <c r="R262" s="48">
        <f>'Adani Enterprises'!R262</f>
        <v>0</v>
      </c>
      <c r="S262" s="48">
        <f>'Adani Enterprises'!S262</f>
        <v>0</v>
      </c>
      <c r="T262" s="48">
        <f>'Adani Enterprises'!T262</f>
        <v>0</v>
      </c>
      <c r="U262" s="48">
        <f>'Adani Enterprises'!U262</f>
        <v>0</v>
      </c>
      <c r="V262" s="48">
        <f>'Adani Enterprises'!V262</f>
        <v>0</v>
      </c>
      <c r="W262" s="48">
        <f>'Adani Enterprises'!W262</f>
        <v>0</v>
      </c>
      <c r="X262" s="48">
        <f>'Adani Enterprises'!X262</f>
        <v>0</v>
      </c>
      <c r="Y262" s="48">
        <f>'Adani Enterprises'!Y262</f>
        <v>0</v>
      </c>
      <c r="Z262" s="48">
        <f>'Adani Enterprises'!Z262</f>
        <v>0</v>
      </c>
      <c r="AA262" s="48">
        <f>'Adani Enterprises'!AA262</f>
        <v>0</v>
      </c>
      <c r="AB262" s="48">
        <f>'Adani Enterprises'!AB262</f>
        <v>0</v>
      </c>
      <c r="AC262" s="48">
        <f>'Adani Enterprises'!AC262</f>
        <v>0</v>
      </c>
      <c r="AD262" s="48">
        <f>'Adani Enterprises'!AD262</f>
        <v>0</v>
      </c>
      <c r="AE262" s="48">
        <f>'Adani Enterprises'!AE262</f>
        <v>0</v>
      </c>
      <c r="AF262" s="48">
        <f>'Adani Enterprises'!AF262</f>
        <v>0</v>
      </c>
      <c r="AG262" s="48">
        <f>'Adani Enterprises'!AG262</f>
        <v>0</v>
      </c>
      <c r="AH262" s="48">
        <f>'Adani Enterprises'!AH262</f>
        <v>0</v>
      </c>
      <c r="AI262" s="48">
        <f>'Adani Enterprises'!AI262</f>
        <v>0</v>
      </c>
      <c r="AJ262" s="48">
        <f>'Adani Enterprises'!AJ262</f>
        <v>0</v>
      </c>
      <c r="AK262" s="48">
        <f>'Adani Enterprises'!AK262</f>
        <v>0</v>
      </c>
      <c r="AL262" s="48">
        <f>'Adani Enterprises'!AL262</f>
        <v>0</v>
      </c>
    </row>
    <row r="263" customHeight="1" spans="1:38">
      <c r="A263" s="48">
        <f>'Adani Enterprises'!A263</f>
        <v>0</v>
      </c>
      <c r="B263" s="48">
        <f>'Adani Enterprises'!B263</f>
        <v>0</v>
      </c>
      <c r="C263" s="48">
        <f>'Adani Enterprises'!C263</f>
        <v>0</v>
      </c>
      <c r="D263" s="48">
        <f>'Adani Enterprises'!D263</f>
        <v>0</v>
      </c>
      <c r="E263" s="48">
        <f>'Adani Enterprises'!E263</f>
        <v>0</v>
      </c>
      <c r="F263" s="48">
        <f>'Adani Enterprises'!F263</f>
        <v>0</v>
      </c>
      <c r="G263" s="48">
        <f>'Adani Enterprises'!G263</f>
        <v>0</v>
      </c>
      <c r="H263" s="48">
        <f>'Adani Enterprises'!H263</f>
        <v>0</v>
      </c>
      <c r="I263" s="48">
        <f>'Adani Enterprises'!I263</f>
        <v>0</v>
      </c>
      <c r="J263" s="48">
        <f>'Adani Enterprises'!J263</f>
        <v>0</v>
      </c>
      <c r="K263" s="48">
        <f>'Adani Enterprises'!K263</f>
        <v>0</v>
      </c>
      <c r="L263" s="48">
        <f>'Adani Enterprises'!L263</f>
        <v>0</v>
      </c>
      <c r="M263" s="48">
        <f>'Adani Enterprises'!M263</f>
        <v>0</v>
      </c>
      <c r="N263" s="48">
        <f>'Adani Enterprises'!N263</f>
        <v>0</v>
      </c>
      <c r="O263" s="48">
        <f>'Adani Enterprises'!O263</f>
        <v>0</v>
      </c>
      <c r="P263" s="48">
        <f>'Adani Enterprises'!P263</f>
        <v>0</v>
      </c>
      <c r="Q263" s="48">
        <f>'Adani Enterprises'!Q263</f>
        <v>0</v>
      </c>
      <c r="R263" s="48">
        <f>'Adani Enterprises'!R263</f>
        <v>0</v>
      </c>
      <c r="S263" s="48">
        <f>'Adani Enterprises'!S263</f>
        <v>0</v>
      </c>
      <c r="T263" s="48">
        <f>'Adani Enterprises'!T263</f>
        <v>0</v>
      </c>
      <c r="U263" s="48">
        <f>'Adani Enterprises'!U263</f>
        <v>0</v>
      </c>
      <c r="V263" s="48">
        <f>'Adani Enterprises'!V263</f>
        <v>0</v>
      </c>
      <c r="W263" s="48">
        <f>'Adani Enterprises'!W263</f>
        <v>0</v>
      </c>
      <c r="X263" s="48">
        <f>'Adani Enterprises'!X263</f>
        <v>0</v>
      </c>
      <c r="Y263" s="48">
        <f>'Adani Enterprises'!Y263</f>
        <v>0</v>
      </c>
      <c r="Z263" s="48">
        <f>'Adani Enterprises'!Z263</f>
        <v>0</v>
      </c>
      <c r="AA263" s="48">
        <f>'Adani Enterprises'!AA263</f>
        <v>0</v>
      </c>
      <c r="AB263" s="48">
        <f>'Adani Enterprises'!AB263</f>
        <v>0</v>
      </c>
      <c r="AC263" s="48">
        <f>'Adani Enterprises'!AC263</f>
        <v>0</v>
      </c>
      <c r="AD263" s="48">
        <f>'Adani Enterprises'!AD263</f>
        <v>0</v>
      </c>
      <c r="AE263" s="48">
        <f>'Adani Enterprises'!AE263</f>
        <v>0</v>
      </c>
      <c r="AF263" s="48">
        <f>'Adani Enterprises'!AF263</f>
        <v>0</v>
      </c>
      <c r="AG263" s="48">
        <f>'Adani Enterprises'!AG263</f>
        <v>0</v>
      </c>
      <c r="AH263" s="48">
        <f>'Adani Enterprises'!AH263</f>
        <v>0</v>
      </c>
      <c r="AI263" s="48">
        <f>'Adani Enterprises'!AI263</f>
        <v>0</v>
      </c>
      <c r="AJ263" s="48">
        <f>'Adani Enterprises'!AJ263</f>
        <v>0</v>
      </c>
      <c r="AK263" s="48">
        <f>'Adani Enterprises'!AK263</f>
        <v>0</v>
      </c>
      <c r="AL263" s="48">
        <f>'Adani Enterprises'!AL263</f>
        <v>0</v>
      </c>
    </row>
    <row r="264" customHeight="1" spans="1:38">
      <c r="A264" s="48">
        <f>'Adani Enterprises'!A264</f>
        <v>0</v>
      </c>
      <c r="B264" s="48">
        <f>'Adani Enterprises'!B264</f>
        <v>0</v>
      </c>
      <c r="C264" s="48">
        <f>'Adani Enterprises'!C264</f>
        <v>0</v>
      </c>
      <c r="D264" s="48">
        <f>'Adani Enterprises'!D264</f>
        <v>0</v>
      </c>
      <c r="E264" s="48">
        <f>'Adani Enterprises'!E264</f>
        <v>0</v>
      </c>
      <c r="F264" s="48">
        <f>'Adani Enterprises'!F264</f>
        <v>0</v>
      </c>
      <c r="G264" s="48">
        <f>'Adani Enterprises'!G264</f>
        <v>0</v>
      </c>
      <c r="H264" s="48">
        <f>'Adani Enterprises'!H264</f>
        <v>0</v>
      </c>
      <c r="I264" s="48">
        <f>'Adani Enterprises'!I264</f>
        <v>0</v>
      </c>
      <c r="J264" s="48">
        <f>'Adani Enterprises'!J264</f>
        <v>0</v>
      </c>
      <c r="K264" s="48">
        <f>'Adani Enterprises'!K264</f>
        <v>0</v>
      </c>
      <c r="L264" s="48">
        <f>'Adani Enterprises'!L264</f>
        <v>0</v>
      </c>
      <c r="M264" s="48">
        <f>'Adani Enterprises'!M264</f>
        <v>0</v>
      </c>
      <c r="N264" s="48">
        <f>'Adani Enterprises'!N264</f>
        <v>0</v>
      </c>
      <c r="O264" s="48">
        <f>'Adani Enterprises'!O264</f>
        <v>0</v>
      </c>
      <c r="P264" s="48">
        <f>'Adani Enterprises'!P264</f>
        <v>0</v>
      </c>
      <c r="Q264" s="48">
        <f>'Adani Enterprises'!Q264</f>
        <v>0</v>
      </c>
      <c r="R264" s="48">
        <f>'Adani Enterprises'!R264</f>
        <v>0</v>
      </c>
      <c r="S264" s="48">
        <f>'Adani Enterprises'!S264</f>
        <v>0</v>
      </c>
      <c r="T264" s="48">
        <f>'Adani Enterprises'!T264</f>
        <v>0</v>
      </c>
      <c r="U264" s="48">
        <f>'Adani Enterprises'!U264</f>
        <v>0</v>
      </c>
      <c r="V264" s="48">
        <f>'Adani Enterprises'!V264</f>
        <v>0</v>
      </c>
      <c r="W264" s="48">
        <f>'Adani Enterprises'!W264</f>
        <v>0</v>
      </c>
      <c r="X264" s="48">
        <f>'Adani Enterprises'!X264</f>
        <v>0</v>
      </c>
      <c r="Y264" s="48">
        <f>'Adani Enterprises'!Y264</f>
        <v>0</v>
      </c>
      <c r="Z264" s="48">
        <f>'Adani Enterprises'!Z264</f>
        <v>0</v>
      </c>
      <c r="AA264" s="48">
        <f>'Adani Enterprises'!AA264</f>
        <v>0</v>
      </c>
      <c r="AB264" s="48">
        <f>'Adani Enterprises'!AB264</f>
        <v>0</v>
      </c>
      <c r="AC264" s="48">
        <f>'Adani Enterprises'!AC264</f>
        <v>0</v>
      </c>
      <c r="AD264" s="48">
        <f>'Adani Enterprises'!AD264</f>
        <v>0</v>
      </c>
      <c r="AE264" s="48">
        <f>'Adani Enterprises'!AE264</f>
        <v>0</v>
      </c>
      <c r="AF264" s="48">
        <f>'Adani Enterprises'!AF264</f>
        <v>0</v>
      </c>
      <c r="AG264" s="48">
        <f>'Adani Enterprises'!AG264</f>
        <v>0</v>
      </c>
      <c r="AH264" s="48">
        <f>'Adani Enterprises'!AH264</f>
        <v>0</v>
      </c>
      <c r="AI264" s="48">
        <f>'Adani Enterprises'!AI264</f>
        <v>0</v>
      </c>
      <c r="AJ264" s="48">
        <f>'Adani Enterprises'!AJ264</f>
        <v>0</v>
      </c>
      <c r="AK264" s="48">
        <f>'Adani Enterprises'!AK264</f>
        <v>0</v>
      </c>
      <c r="AL264" s="48">
        <f>'Adani Enterprises'!AL264</f>
        <v>0</v>
      </c>
    </row>
    <row r="265" customHeight="1" spans="1:38">
      <c r="A265" s="48">
        <f>'Adani Enterprises'!A265</f>
        <v>0</v>
      </c>
      <c r="B265" s="48">
        <f>'Adani Enterprises'!B265</f>
        <v>0</v>
      </c>
      <c r="C265" s="48">
        <f>'Adani Enterprises'!C265</f>
        <v>0</v>
      </c>
      <c r="D265" s="48">
        <f>'Adani Enterprises'!D265</f>
        <v>0</v>
      </c>
      <c r="E265" s="48">
        <f>'Adani Enterprises'!E265</f>
        <v>0</v>
      </c>
      <c r="F265" s="48">
        <f>'Adani Enterprises'!F265</f>
        <v>0</v>
      </c>
      <c r="G265" s="48">
        <f>'Adani Enterprises'!G265</f>
        <v>0</v>
      </c>
      <c r="H265" s="48">
        <f>'Adani Enterprises'!H265</f>
        <v>0</v>
      </c>
      <c r="I265" s="48">
        <f>'Adani Enterprises'!I265</f>
        <v>0</v>
      </c>
      <c r="J265" s="48">
        <f>'Adani Enterprises'!J265</f>
        <v>0</v>
      </c>
      <c r="K265" s="48">
        <f>'Adani Enterprises'!K265</f>
        <v>0</v>
      </c>
      <c r="L265" s="48">
        <f>'Adani Enterprises'!L265</f>
        <v>0</v>
      </c>
      <c r="M265" s="48">
        <f>'Adani Enterprises'!M265</f>
        <v>0</v>
      </c>
      <c r="N265" s="48">
        <f>'Adani Enterprises'!N265</f>
        <v>0</v>
      </c>
      <c r="O265" s="48">
        <f>'Adani Enterprises'!O265</f>
        <v>0</v>
      </c>
      <c r="P265" s="48">
        <f>'Adani Enterprises'!P265</f>
        <v>0</v>
      </c>
      <c r="Q265" s="48">
        <f>'Adani Enterprises'!Q265</f>
        <v>0</v>
      </c>
      <c r="R265" s="48">
        <f>'Adani Enterprises'!R265</f>
        <v>0</v>
      </c>
      <c r="S265" s="48">
        <f>'Adani Enterprises'!S265</f>
        <v>0</v>
      </c>
      <c r="T265" s="48">
        <f>'Adani Enterprises'!T265</f>
        <v>0</v>
      </c>
      <c r="U265" s="48">
        <f>'Adani Enterprises'!U265</f>
        <v>0</v>
      </c>
      <c r="V265" s="48">
        <f>'Adani Enterprises'!V265</f>
        <v>0</v>
      </c>
      <c r="W265" s="48">
        <f>'Adani Enterprises'!W265</f>
        <v>0</v>
      </c>
      <c r="X265" s="48">
        <f>'Adani Enterprises'!X265</f>
        <v>0</v>
      </c>
      <c r="Y265" s="48">
        <f>'Adani Enterprises'!Y265</f>
        <v>0</v>
      </c>
      <c r="Z265" s="48">
        <f>'Adani Enterprises'!Z265</f>
        <v>0</v>
      </c>
      <c r="AA265" s="48">
        <f>'Adani Enterprises'!AA265</f>
        <v>0</v>
      </c>
      <c r="AB265" s="48">
        <f>'Adani Enterprises'!AB265</f>
        <v>0</v>
      </c>
      <c r="AC265" s="48">
        <f>'Adani Enterprises'!AC265</f>
        <v>0</v>
      </c>
      <c r="AD265" s="48">
        <f>'Adani Enterprises'!AD265</f>
        <v>0</v>
      </c>
      <c r="AE265" s="48">
        <f>'Adani Enterprises'!AE265</f>
        <v>0</v>
      </c>
      <c r="AF265" s="48">
        <f>'Adani Enterprises'!AF265</f>
        <v>0</v>
      </c>
      <c r="AG265" s="48">
        <f>'Adani Enterprises'!AG265</f>
        <v>0</v>
      </c>
      <c r="AH265" s="48">
        <f>'Adani Enterprises'!AH265</f>
        <v>0</v>
      </c>
      <c r="AI265" s="48">
        <f>'Adani Enterprises'!AI265</f>
        <v>0</v>
      </c>
      <c r="AJ265" s="48">
        <f>'Adani Enterprises'!AJ265</f>
        <v>0</v>
      </c>
      <c r="AK265" s="48">
        <f>'Adani Enterprises'!AK265</f>
        <v>0</v>
      </c>
      <c r="AL265" s="48">
        <f>'Adani Enterprises'!AL265</f>
        <v>0</v>
      </c>
    </row>
    <row r="266" customHeight="1" spans="1:38">
      <c r="A266" s="48">
        <f>'Adani Enterprises'!A266</f>
        <v>0</v>
      </c>
      <c r="B266" s="48">
        <f>'Adani Enterprises'!B266</f>
        <v>0</v>
      </c>
      <c r="C266" s="48">
        <f>'Adani Enterprises'!C266</f>
        <v>0</v>
      </c>
      <c r="D266" s="48">
        <f>'Adani Enterprises'!D266</f>
        <v>0</v>
      </c>
      <c r="E266" s="48">
        <f>'Adani Enterprises'!E266</f>
        <v>0</v>
      </c>
      <c r="F266" s="48">
        <f>'Adani Enterprises'!F266</f>
        <v>0</v>
      </c>
      <c r="G266" s="48">
        <f>'Adani Enterprises'!G266</f>
        <v>0</v>
      </c>
      <c r="H266" s="48">
        <f>'Adani Enterprises'!H266</f>
        <v>0</v>
      </c>
      <c r="I266" s="48">
        <f>'Adani Enterprises'!I266</f>
        <v>0</v>
      </c>
      <c r="J266" s="48">
        <f>'Adani Enterprises'!J266</f>
        <v>0</v>
      </c>
      <c r="K266" s="48">
        <f>'Adani Enterprises'!K266</f>
        <v>0</v>
      </c>
      <c r="L266" s="48">
        <f>'Adani Enterprises'!L266</f>
        <v>0</v>
      </c>
      <c r="M266" s="48">
        <f>'Adani Enterprises'!M266</f>
        <v>0</v>
      </c>
      <c r="N266" s="48">
        <f>'Adani Enterprises'!N266</f>
        <v>0</v>
      </c>
      <c r="O266" s="48">
        <f>'Adani Enterprises'!O266</f>
        <v>0</v>
      </c>
      <c r="P266" s="48">
        <f>'Adani Enterprises'!P266</f>
        <v>0</v>
      </c>
      <c r="Q266" s="48">
        <f>'Adani Enterprises'!Q266</f>
        <v>0</v>
      </c>
      <c r="R266" s="48">
        <f>'Adani Enterprises'!R266</f>
        <v>0</v>
      </c>
      <c r="S266" s="48">
        <f>'Adani Enterprises'!S266</f>
        <v>0</v>
      </c>
      <c r="T266" s="48">
        <f>'Adani Enterprises'!T266</f>
        <v>0</v>
      </c>
      <c r="U266" s="48">
        <f>'Adani Enterprises'!U266</f>
        <v>0</v>
      </c>
      <c r="V266" s="48">
        <f>'Adani Enterprises'!V266</f>
        <v>0</v>
      </c>
      <c r="W266" s="48">
        <f>'Adani Enterprises'!W266</f>
        <v>0</v>
      </c>
      <c r="X266" s="48">
        <f>'Adani Enterprises'!X266</f>
        <v>0</v>
      </c>
      <c r="Y266" s="48">
        <f>'Adani Enterprises'!Y266</f>
        <v>0</v>
      </c>
      <c r="Z266" s="48">
        <f>'Adani Enterprises'!Z266</f>
        <v>0</v>
      </c>
      <c r="AA266" s="48">
        <f>'Adani Enterprises'!AA266</f>
        <v>0</v>
      </c>
      <c r="AB266" s="48">
        <f>'Adani Enterprises'!AB266</f>
        <v>0</v>
      </c>
      <c r="AC266" s="48">
        <f>'Adani Enterprises'!AC266</f>
        <v>0</v>
      </c>
      <c r="AD266" s="48">
        <f>'Adani Enterprises'!AD266</f>
        <v>0</v>
      </c>
      <c r="AE266" s="48">
        <f>'Adani Enterprises'!AE266</f>
        <v>0</v>
      </c>
      <c r="AF266" s="48">
        <f>'Adani Enterprises'!AF266</f>
        <v>0</v>
      </c>
      <c r="AG266" s="48">
        <f>'Adani Enterprises'!AG266</f>
        <v>0</v>
      </c>
      <c r="AH266" s="48">
        <f>'Adani Enterprises'!AH266</f>
        <v>0</v>
      </c>
      <c r="AI266" s="48">
        <f>'Adani Enterprises'!AI266</f>
        <v>0</v>
      </c>
      <c r="AJ266" s="48">
        <f>'Adani Enterprises'!AJ266</f>
        <v>0</v>
      </c>
      <c r="AK266" s="48">
        <f>'Adani Enterprises'!AK266</f>
        <v>0</v>
      </c>
      <c r="AL266" s="48">
        <f>'Adani Enterprises'!AL266</f>
        <v>0</v>
      </c>
    </row>
    <row r="267" customHeight="1" spans="1:38">
      <c r="A267" s="48">
        <f>'Adani Enterprises'!A267</f>
        <v>0</v>
      </c>
      <c r="B267" s="48">
        <f>'Adani Enterprises'!B267</f>
        <v>0</v>
      </c>
      <c r="C267" s="48">
        <f>'Adani Enterprises'!C267</f>
        <v>0</v>
      </c>
      <c r="D267" s="48">
        <f>'Adani Enterprises'!D267</f>
        <v>0</v>
      </c>
      <c r="E267" s="48">
        <f>'Adani Enterprises'!E267</f>
        <v>0</v>
      </c>
      <c r="F267" s="48">
        <f>'Adani Enterprises'!F267</f>
        <v>0</v>
      </c>
      <c r="G267" s="48">
        <f>'Adani Enterprises'!G267</f>
        <v>0</v>
      </c>
      <c r="H267" s="48">
        <f>'Adani Enterprises'!H267</f>
        <v>0</v>
      </c>
      <c r="I267" s="48">
        <f>'Adani Enterprises'!I267</f>
        <v>0</v>
      </c>
      <c r="J267" s="48">
        <f>'Adani Enterprises'!J267</f>
        <v>0</v>
      </c>
      <c r="K267" s="48">
        <f>'Adani Enterprises'!K267</f>
        <v>0</v>
      </c>
      <c r="L267" s="48">
        <f>'Adani Enterprises'!L267</f>
        <v>0</v>
      </c>
      <c r="M267" s="48">
        <f>'Adani Enterprises'!M267</f>
        <v>0</v>
      </c>
      <c r="N267" s="48">
        <f>'Adani Enterprises'!N267</f>
        <v>0</v>
      </c>
      <c r="O267" s="48">
        <f>'Adani Enterprises'!O267</f>
        <v>0</v>
      </c>
      <c r="P267" s="48">
        <f>'Adani Enterprises'!P267</f>
        <v>0</v>
      </c>
      <c r="Q267" s="48">
        <f>'Adani Enterprises'!Q267</f>
        <v>0</v>
      </c>
      <c r="R267" s="48">
        <f>'Adani Enterprises'!R267</f>
        <v>0</v>
      </c>
      <c r="S267" s="48">
        <f>'Adani Enterprises'!S267</f>
        <v>0</v>
      </c>
      <c r="T267" s="48">
        <f>'Adani Enterprises'!T267</f>
        <v>0</v>
      </c>
      <c r="U267" s="48">
        <f>'Adani Enterprises'!U267</f>
        <v>0</v>
      </c>
      <c r="V267" s="48">
        <f>'Adani Enterprises'!V267</f>
        <v>0</v>
      </c>
      <c r="W267" s="48">
        <f>'Adani Enterprises'!W267</f>
        <v>0</v>
      </c>
      <c r="X267" s="48">
        <f>'Adani Enterprises'!X267</f>
        <v>0</v>
      </c>
      <c r="Y267" s="48">
        <f>'Adani Enterprises'!Y267</f>
        <v>0</v>
      </c>
      <c r="Z267" s="48">
        <f>'Adani Enterprises'!Z267</f>
        <v>0</v>
      </c>
      <c r="AA267" s="48">
        <f>'Adani Enterprises'!AA267</f>
        <v>0</v>
      </c>
      <c r="AB267" s="48">
        <f>'Adani Enterprises'!AB267</f>
        <v>0</v>
      </c>
      <c r="AC267" s="48">
        <f>'Adani Enterprises'!AC267</f>
        <v>0</v>
      </c>
      <c r="AD267" s="48">
        <f>'Adani Enterprises'!AD267</f>
        <v>0</v>
      </c>
      <c r="AE267" s="48">
        <f>'Adani Enterprises'!AE267</f>
        <v>0</v>
      </c>
      <c r="AF267" s="48">
        <f>'Adani Enterprises'!AF267</f>
        <v>0</v>
      </c>
      <c r="AG267" s="48">
        <f>'Adani Enterprises'!AG267</f>
        <v>0</v>
      </c>
      <c r="AH267" s="48">
        <f>'Adani Enterprises'!AH267</f>
        <v>0</v>
      </c>
      <c r="AI267" s="48">
        <f>'Adani Enterprises'!AI267</f>
        <v>0</v>
      </c>
      <c r="AJ267" s="48">
        <f>'Adani Enterprises'!AJ267</f>
        <v>0</v>
      </c>
      <c r="AK267" s="48">
        <f>'Adani Enterprises'!AK267</f>
        <v>0</v>
      </c>
      <c r="AL267" s="48">
        <f>'Adani Enterprises'!AL267</f>
        <v>0</v>
      </c>
    </row>
    <row r="268" customHeight="1" spans="1:38">
      <c r="A268" s="48">
        <f>'Adani Enterprises'!A268</f>
        <v>0</v>
      </c>
      <c r="B268" s="48">
        <f>'Adani Enterprises'!B268</f>
        <v>0</v>
      </c>
      <c r="C268" s="48">
        <f>'Adani Enterprises'!C268</f>
        <v>0</v>
      </c>
      <c r="D268" s="48">
        <f>'Adani Enterprises'!D268</f>
        <v>0</v>
      </c>
      <c r="E268" s="48">
        <f>'Adani Enterprises'!E268</f>
        <v>0</v>
      </c>
      <c r="F268" s="48">
        <f>'Adani Enterprises'!F268</f>
        <v>0</v>
      </c>
      <c r="G268" s="48">
        <f>'Adani Enterprises'!G268</f>
        <v>0</v>
      </c>
      <c r="H268" s="48">
        <f>'Adani Enterprises'!H268</f>
        <v>0</v>
      </c>
      <c r="I268" s="48">
        <f>'Adani Enterprises'!I268</f>
        <v>0</v>
      </c>
      <c r="J268" s="48">
        <f>'Adani Enterprises'!J268</f>
        <v>0</v>
      </c>
      <c r="K268" s="48">
        <f>'Adani Enterprises'!K268</f>
        <v>0</v>
      </c>
      <c r="L268" s="48">
        <f>'Adani Enterprises'!L268</f>
        <v>0</v>
      </c>
      <c r="M268" s="48">
        <f>'Adani Enterprises'!M268</f>
        <v>0</v>
      </c>
      <c r="N268" s="48">
        <f>'Adani Enterprises'!N268</f>
        <v>0</v>
      </c>
      <c r="O268" s="48">
        <f>'Adani Enterprises'!O268</f>
        <v>0</v>
      </c>
      <c r="P268" s="48">
        <f>'Adani Enterprises'!P268</f>
        <v>0</v>
      </c>
      <c r="Q268" s="48">
        <f>'Adani Enterprises'!Q268</f>
        <v>0</v>
      </c>
      <c r="R268" s="48">
        <f>'Adani Enterprises'!R268</f>
        <v>0</v>
      </c>
      <c r="S268" s="48">
        <f>'Adani Enterprises'!S268</f>
        <v>0</v>
      </c>
      <c r="T268" s="48">
        <f>'Adani Enterprises'!T268</f>
        <v>0</v>
      </c>
      <c r="U268" s="48">
        <f>'Adani Enterprises'!U268</f>
        <v>0</v>
      </c>
      <c r="V268" s="48">
        <f>'Adani Enterprises'!V268</f>
        <v>0</v>
      </c>
      <c r="W268" s="48">
        <f>'Adani Enterprises'!W268</f>
        <v>0</v>
      </c>
      <c r="X268" s="48">
        <f>'Adani Enterprises'!X268</f>
        <v>0</v>
      </c>
      <c r="Y268" s="48">
        <f>'Adani Enterprises'!Y268</f>
        <v>0</v>
      </c>
      <c r="Z268" s="48">
        <f>'Adani Enterprises'!Z268</f>
        <v>0</v>
      </c>
      <c r="AA268" s="48">
        <f>'Adani Enterprises'!AA268</f>
        <v>0</v>
      </c>
      <c r="AB268" s="48">
        <f>'Adani Enterprises'!AB268</f>
        <v>0</v>
      </c>
      <c r="AC268" s="48">
        <f>'Adani Enterprises'!AC268</f>
        <v>0</v>
      </c>
      <c r="AD268" s="48">
        <f>'Adani Enterprises'!AD268</f>
        <v>0</v>
      </c>
      <c r="AE268" s="48">
        <f>'Adani Enterprises'!AE268</f>
        <v>0</v>
      </c>
      <c r="AF268" s="48">
        <f>'Adani Enterprises'!AF268</f>
        <v>0</v>
      </c>
      <c r="AG268" s="48">
        <f>'Adani Enterprises'!AG268</f>
        <v>0</v>
      </c>
      <c r="AH268" s="48">
        <f>'Adani Enterprises'!AH268</f>
        <v>0</v>
      </c>
      <c r="AI268" s="48">
        <f>'Adani Enterprises'!AI268</f>
        <v>0</v>
      </c>
      <c r="AJ268" s="48">
        <f>'Adani Enterprises'!AJ268</f>
        <v>0</v>
      </c>
      <c r="AK268" s="48">
        <f>'Adani Enterprises'!AK268</f>
        <v>0</v>
      </c>
      <c r="AL268" s="48">
        <f>'Adani Enterprises'!AL268</f>
        <v>0</v>
      </c>
    </row>
    <row r="269" customHeight="1" spans="1:38">
      <c r="A269" s="48">
        <f>'Adani Enterprises'!A269</f>
        <v>0</v>
      </c>
      <c r="B269" s="48">
        <f>'Adani Enterprises'!B269</f>
        <v>0</v>
      </c>
      <c r="C269" s="48">
        <f>'Adani Enterprises'!C269</f>
        <v>0</v>
      </c>
      <c r="D269" s="48">
        <f>'Adani Enterprises'!D269</f>
        <v>0</v>
      </c>
      <c r="E269" s="48">
        <f>'Adani Enterprises'!E269</f>
        <v>0</v>
      </c>
      <c r="F269" s="48">
        <f>'Adani Enterprises'!F269</f>
        <v>0</v>
      </c>
      <c r="G269" s="48">
        <f>'Adani Enterprises'!G269</f>
        <v>0</v>
      </c>
      <c r="H269" s="48">
        <f>'Adani Enterprises'!H269</f>
        <v>0</v>
      </c>
      <c r="I269" s="48">
        <f>'Adani Enterprises'!I269</f>
        <v>0</v>
      </c>
      <c r="J269" s="48">
        <f>'Adani Enterprises'!J269</f>
        <v>0</v>
      </c>
      <c r="K269" s="48">
        <f>'Adani Enterprises'!K269</f>
        <v>0</v>
      </c>
      <c r="L269" s="48">
        <f>'Adani Enterprises'!L269</f>
        <v>0</v>
      </c>
      <c r="M269" s="48">
        <f>'Adani Enterprises'!M269</f>
        <v>0</v>
      </c>
      <c r="N269" s="48">
        <f>'Adani Enterprises'!N269</f>
        <v>0</v>
      </c>
      <c r="O269" s="48">
        <f>'Adani Enterprises'!O269</f>
        <v>0</v>
      </c>
      <c r="P269" s="48">
        <f>'Adani Enterprises'!P269</f>
        <v>0</v>
      </c>
      <c r="Q269" s="48">
        <f>'Adani Enterprises'!Q269</f>
        <v>0</v>
      </c>
      <c r="R269" s="48">
        <f>'Adani Enterprises'!R269</f>
        <v>0</v>
      </c>
      <c r="S269" s="48">
        <f>'Adani Enterprises'!S269</f>
        <v>0</v>
      </c>
      <c r="T269" s="48">
        <f>'Adani Enterprises'!T269</f>
        <v>0</v>
      </c>
      <c r="U269" s="48">
        <f>'Adani Enterprises'!U269</f>
        <v>0</v>
      </c>
      <c r="V269" s="48">
        <f>'Adani Enterprises'!V269</f>
        <v>0</v>
      </c>
      <c r="W269" s="48">
        <f>'Adani Enterprises'!W269</f>
        <v>0</v>
      </c>
      <c r="X269" s="48">
        <f>'Adani Enterprises'!X269</f>
        <v>0</v>
      </c>
      <c r="Y269" s="48">
        <f>'Adani Enterprises'!Y269</f>
        <v>0</v>
      </c>
      <c r="Z269" s="48">
        <f>'Adani Enterprises'!Z269</f>
        <v>0</v>
      </c>
      <c r="AA269" s="48">
        <f>'Adani Enterprises'!AA269</f>
        <v>0</v>
      </c>
      <c r="AB269" s="48">
        <f>'Adani Enterprises'!AB269</f>
        <v>0</v>
      </c>
      <c r="AC269" s="48">
        <f>'Adani Enterprises'!AC269</f>
        <v>0</v>
      </c>
      <c r="AD269" s="48">
        <f>'Adani Enterprises'!AD269</f>
        <v>0</v>
      </c>
      <c r="AE269" s="48">
        <f>'Adani Enterprises'!AE269</f>
        <v>0</v>
      </c>
      <c r="AF269" s="48">
        <f>'Adani Enterprises'!AF269</f>
        <v>0</v>
      </c>
      <c r="AG269" s="48">
        <f>'Adani Enterprises'!AG269</f>
        <v>0</v>
      </c>
      <c r="AH269" s="48">
        <f>'Adani Enterprises'!AH269</f>
        <v>0</v>
      </c>
      <c r="AI269" s="48">
        <f>'Adani Enterprises'!AI269</f>
        <v>0</v>
      </c>
      <c r="AJ269" s="48">
        <f>'Adani Enterprises'!AJ269</f>
        <v>0</v>
      </c>
      <c r="AK269" s="48">
        <f>'Adani Enterprises'!AK269</f>
        <v>0</v>
      </c>
      <c r="AL269" s="48">
        <f>'Adani Enterprises'!AL269</f>
        <v>0</v>
      </c>
    </row>
    <row r="270" customHeight="1" spans="1:38">
      <c r="A270" s="48">
        <f>'Adani Enterprises'!A270</f>
        <v>0</v>
      </c>
      <c r="B270" s="48">
        <f>'Adani Enterprises'!B270</f>
        <v>0</v>
      </c>
      <c r="C270" s="48">
        <f>'Adani Enterprises'!C270</f>
        <v>0</v>
      </c>
      <c r="D270" s="48">
        <f>'Adani Enterprises'!D270</f>
        <v>0</v>
      </c>
      <c r="E270" s="48">
        <f>'Adani Enterprises'!E270</f>
        <v>0</v>
      </c>
      <c r="F270" s="48">
        <f>'Adani Enterprises'!F270</f>
        <v>0</v>
      </c>
      <c r="G270" s="48">
        <f>'Adani Enterprises'!G270</f>
        <v>0</v>
      </c>
      <c r="H270" s="48">
        <f>'Adani Enterprises'!H270</f>
        <v>0</v>
      </c>
      <c r="I270" s="48">
        <f>'Adani Enterprises'!I270</f>
        <v>0</v>
      </c>
      <c r="J270" s="48">
        <f>'Adani Enterprises'!J270</f>
        <v>0</v>
      </c>
      <c r="K270" s="48">
        <f>'Adani Enterprises'!K270</f>
        <v>0</v>
      </c>
      <c r="L270" s="48">
        <f>'Adani Enterprises'!L270</f>
        <v>0</v>
      </c>
      <c r="M270" s="48">
        <f>'Adani Enterprises'!M270</f>
        <v>0</v>
      </c>
      <c r="N270" s="48">
        <f>'Adani Enterprises'!N270</f>
        <v>0</v>
      </c>
      <c r="O270" s="48">
        <f>'Adani Enterprises'!O270</f>
        <v>0</v>
      </c>
      <c r="P270" s="48">
        <f>'Adani Enterprises'!P270</f>
        <v>0</v>
      </c>
      <c r="Q270" s="48">
        <f>'Adani Enterprises'!Q270</f>
        <v>0</v>
      </c>
      <c r="R270" s="48">
        <f>'Adani Enterprises'!R270</f>
        <v>0</v>
      </c>
      <c r="S270" s="48">
        <f>'Adani Enterprises'!S270</f>
        <v>0</v>
      </c>
      <c r="T270" s="48">
        <f>'Adani Enterprises'!T270</f>
        <v>0</v>
      </c>
      <c r="U270" s="48">
        <f>'Adani Enterprises'!U270</f>
        <v>0</v>
      </c>
      <c r="V270" s="48">
        <f>'Adani Enterprises'!V270</f>
        <v>0</v>
      </c>
      <c r="W270" s="48">
        <f>'Adani Enterprises'!W270</f>
        <v>0</v>
      </c>
      <c r="X270" s="48">
        <f>'Adani Enterprises'!X270</f>
        <v>0</v>
      </c>
      <c r="Y270" s="48">
        <f>'Adani Enterprises'!Y270</f>
        <v>0</v>
      </c>
      <c r="Z270" s="48">
        <f>'Adani Enterprises'!Z270</f>
        <v>0</v>
      </c>
      <c r="AA270" s="48">
        <f>'Adani Enterprises'!AA270</f>
        <v>0</v>
      </c>
      <c r="AB270" s="48">
        <f>'Adani Enterprises'!AB270</f>
        <v>0</v>
      </c>
      <c r="AC270" s="48">
        <f>'Adani Enterprises'!AC270</f>
        <v>0</v>
      </c>
      <c r="AD270" s="48">
        <f>'Adani Enterprises'!AD270</f>
        <v>0</v>
      </c>
      <c r="AE270" s="48">
        <f>'Adani Enterprises'!AE270</f>
        <v>0</v>
      </c>
      <c r="AF270" s="48">
        <f>'Adani Enterprises'!AF270</f>
        <v>0</v>
      </c>
      <c r="AG270" s="48">
        <f>'Adani Enterprises'!AG270</f>
        <v>0</v>
      </c>
      <c r="AH270" s="48">
        <f>'Adani Enterprises'!AH270</f>
        <v>0</v>
      </c>
      <c r="AI270" s="48">
        <f>'Adani Enterprises'!AI270</f>
        <v>0</v>
      </c>
      <c r="AJ270" s="48">
        <f>'Adani Enterprises'!AJ270</f>
        <v>0</v>
      </c>
      <c r="AK270" s="48">
        <f>'Adani Enterprises'!AK270</f>
        <v>0</v>
      </c>
      <c r="AL270" s="48">
        <f>'Adani Enterprises'!AL270</f>
        <v>0</v>
      </c>
    </row>
    <row r="271" customHeight="1" spans="1:38">
      <c r="A271" s="48">
        <f>'Adani Enterprises'!A271</f>
        <v>0</v>
      </c>
      <c r="B271" s="48">
        <f>'Adani Enterprises'!B271</f>
        <v>0</v>
      </c>
      <c r="C271" s="48">
        <f>'Adani Enterprises'!C271</f>
        <v>0</v>
      </c>
      <c r="D271" s="48">
        <f>'Adani Enterprises'!D271</f>
        <v>0</v>
      </c>
      <c r="E271" s="48">
        <f>'Adani Enterprises'!E271</f>
        <v>0</v>
      </c>
      <c r="F271" s="48">
        <f>'Adani Enterprises'!F271</f>
        <v>0</v>
      </c>
      <c r="G271" s="48">
        <f>'Adani Enterprises'!G271</f>
        <v>0</v>
      </c>
      <c r="H271" s="48">
        <f>'Adani Enterprises'!H271</f>
        <v>0</v>
      </c>
      <c r="I271" s="48">
        <f>'Adani Enterprises'!I271</f>
        <v>0</v>
      </c>
      <c r="J271" s="48">
        <f>'Adani Enterprises'!J271</f>
        <v>0</v>
      </c>
      <c r="K271" s="48">
        <f>'Adani Enterprises'!K271</f>
        <v>0</v>
      </c>
      <c r="L271" s="48">
        <f>'Adani Enterprises'!L271</f>
        <v>0</v>
      </c>
      <c r="M271" s="48">
        <f>'Adani Enterprises'!M271</f>
        <v>0</v>
      </c>
      <c r="N271" s="48">
        <f>'Adani Enterprises'!N271</f>
        <v>0</v>
      </c>
      <c r="O271" s="48">
        <f>'Adani Enterprises'!O271</f>
        <v>0</v>
      </c>
      <c r="P271" s="48">
        <f>'Adani Enterprises'!P271</f>
        <v>0</v>
      </c>
      <c r="Q271" s="48">
        <f>'Adani Enterprises'!Q271</f>
        <v>0</v>
      </c>
      <c r="R271" s="48">
        <f>'Adani Enterprises'!R271</f>
        <v>0</v>
      </c>
      <c r="S271" s="48">
        <f>'Adani Enterprises'!S271</f>
        <v>0</v>
      </c>
      <c r="T271" s="48">
        <f>'Adani Enterprises'!T271</f>
        <v>0</v>
      </c>
      <c r="U271" s="48">
        <f>'Adani Enterprises'!U271</f>
        <v>0</v>
      </c>
      <c r="V271" s="48">
        <f>'Adani Enterprises'!V271</f>
        <v>0</v>
      </c>
      <c r="W271" s="48">
        <f>'Adani Enterprises'!W271</f>
        <v>0</v>
      </c>
      <c r="X271" s="48">
        <f>'Adani Enterprises'!X271</f>
        <v>0</v>
      </c>
      <c r="Y271" s="48">
        <f>'Adani Enterprises'!Y271</f>
        <v>0</v>
      </c>
      <c r="Z271" s="48">
        <f>'Adani Enterprises'!Z271</f>
        <v>0</v>
      </c>
      <c r="AA271" s="48">
        <f>'Adani Enterprises'!AA271</f>
        <v>0</v>
      </c>
      <c r="AB271" s="48">
        <f>'Adani Enterprises'!AB271</f>
        <v>0</v>
      </c>
      <c r="AC271" s="48">
        <f>'Adani Enterprises'!AC271</f>
        <v>0</v>
      </c>
      <c r="AD271" s="48">
        <f>'Adani Enterprises'!AD271</f>
        <v>0</v>
      </c>
      <c r="AE271" s="48">
        <f>'Adani Enterprises'!AE271</f>
        <v>0</v>
      </c>
      <c r="AF271" s="48">
        <f>'Adani Enterprises'!AF271</f>
        <v>0</v>
      </c>
      <c r="AG271" s="48">
        <f>'Adani Enterprises'!AG271</f>
        <v>0</v>
      </c>
      <c r="AH271" s="48">
        <f>'Adani Enterprises'!AH271</f>
        <v>0</v>
      </c>
      <c r="AI271" s="48">
        <f>'Adani Enterprises'!AI271</f>
        <v>0</v>
      </c>
      <c r="AJ271" s="48">
        <f>'Adani Enterprises'!AJ271</f>
        <v>0</v>
      </c>
      <c r="AK271" s="48">
        <f>'Adani Enterprises'!AK271</f>
        <v>0</v>
      </c>
      <c r="AL271" s="48">
        <f>'Adani Enterprises'!AL271</f>
        <v>0</v>
      </c>
    </row>
    <row r="272" customHeight="1" spans="1:38">
      <c r="A272" s="48">
        <f>'Adani Enterprises'!A272</f>
        <v>0</v>
      </c>
      <c r="B272" s="48">
        <f>'Adani Enterprises'!B272</f>
        <v>0</v>
      </c>
      <c r="C272" s="48">
        <f>'Adani Enterprises'!C272</f>
        <v>0</v>
      </c>
      <c r="D272" s="48">
        <f>'Adani Enterprises'!D272</f>
        <v>0</v>
      </c>
      <c r="E272" s="48">
        <f>'Adani Enterprises'!E272</f>
        <v>0</v>
      </c>
      <c r="F272" s="48">
        <f>'Adani Enterprises'!F272</f>
        <v>0</v>
      </c>
      <c r="G272" s="48">
        <f>'Adani Enterprises'!G272</f>
        <v>0</v>
      </c>
      <c r="H272" s="48">
        <f>'Adani Enterprises'!H272</f>
        <v>0</v>
      </c>
      <c r="I272" s="48">
        <f>'Adani Enterprises'!I272</f>
        <v>0</v>
      </c>
      <c r="J272" s="48">
        <f>'Adani Enterprises'!J272</f>
        <v>0</v>
      </c>
      <c r="K272" s="48">
        <f>'Adani Enterprises'!K272</f>
        <v>0</v>
      </c>
      <c r="L272" s="48">
        <f>'Adani Enterprises'!L272</f>
        <v>0</v>
      </c>
      <c r="M272" s="48">
        <f>'Adani Enterprises'!M272</f>
        <v>0</v>
      </c>
      <c r="N272" s="48">
        <f>'Adani Enterprises'!N272</f>
        <v>0</v>
      </c>
      <c r="O272" s="48">
        <f>'Adani Enterprises'!O272</f>
        <v>0</v>
      </c>
      <c r="P272" s="48">
        <f>'Adani Enterprises'!P272</f>
        <v>0</v>
      </c>
      <c r="Q272" s="48">
        <f>'Adani Enterprises'!Q272</f>
        <v>0</v>
      </c>
      <c r="R272" s="48">
        <f>'Adani Enterprises'!R272</f>
        <v>0</v>
      </c>
      <c r="S272" s="48">
        <f>'Adani Enterprises'!S272</f>
        <v>0</v>
      </c>
      <c r="T272" s="48">
        <f>'Adani Enterprises'!T272</f>
        <v>0</v>
      </c>
      <c r="U272" s="48">
        <f>'Adani Enterprises'!U272</f>
        <v>0</v>
      </c>
      <c r="V272" s="48">
        <f>'Adani Enterprises'!V272</f>
        <v>0</v>
      </c>
      <c r="W272" s="48">
        <f>'Adani Enterprises'!W272</f>
        <v>0</v>
      </c>
      <c r="X272" s="48">
        <f>'Adani Enterprises'!X272</f>
        <v>0</v>
      </c>
      <c r="Y272" s="48">
        <f>'Adani Enterprises'!Y272</f>
        <v>0</v>
      </c>
      <c r="Z272" s="48">
        <f>'Adani Enterprises'!Z272</f>
        <v>0</v>
      </c>
      <c r="AA272" s="48">
        <f>'Adani Enterprises'!AA272</f>
        <v>0</v>
      </c>
      <c r="AB272" s="48">
        <f>'Adani Enterprises'!AB272</f>
        <v>0</v>
      </c>
      <c r="AC272" s="48">
        <f>'Adani Enterprises'!AC272</f>
        <v>0</v>
      </c>
      <c r="AD272" s="48">
        <f>'Adani Enterprises'!AD272</f>
        <v>0</v>
      </c>
      <c r="AE272" s="48">
        <f>'Adani Enterprises'!AE272</f>
        <v>0</v>
      </c>
      <c r="AF272" s="48">
        <f>'Adani Enterprises'!AF272</f>
        <v>0</v>
      </c>
      <c r="AG272" s="48">
        <f>'Adani Enterprises'!AG272</f>
        <v>0</v>
      </c>
      <c r="AH272" s="48">
        <f>'Adani Enterprises'!AH272</f>
        <v>0</v>
      </c>
      <c r="AI272" s="48">
        <f>'Adani Enterprises'!AI272</f>
        <v>0</v>
      </c>
      <c r="AJ272" s="48">
        <f>'Adani Enterprises'!AJ272</f>
        <v>0</v>
      </c>
      <c r="AK272" s="48">
        <f>'Adani Enterprises'!AK272</f>
        <v>0</v>
      </c>
      <c r="AL272" s="48">
        <f>'Adani Enterprises'!AL272</f>
        <v>0</v>
      </c>
    </row>
    <row r="273" customHeight="1" spans="1:38">
      <c r="A273" s="48">
        <f>'Adani Enterprises'!A273</f>
        <v>0</v>
      </c>
      <c r="B273" s="48">
        <f>'Adani Enterprises'!B273</f>
        <v>0</v>
      </c>
      <c r="C273" s="48">
        <f>'Adani Enterprises'!C273</f>
        <v>0</v>
      </c>
      <c r="D273" s="48">
        <f>'Adani Enterprises'!D273</f>
        <v>0</v>
      </c>
      <c r="E273" s="48">
        <f>'Adani Enterprises'!E273</f>
        <v>0</v>
      </c>
      <c r="F273" s="48">
        <f>'Adani Enterprises'!F273</f>
        <v>0</v>
      </c>
      <c r="G273" s="48">
        <f>'Adani Enterprises'!G273</f>
        <v>0</v>
      </c>
      <c r="H273" s="48">
        <f>'Adani Enterprises'!H273</f>
        <v>0</v>
      </c>
      <c r="I273" s="48">
        <f>'Adani Enterprises'!I273</f>
        <v>0</v>
      </c>
      <c r="J273" s="48">
        <f>'Adani Enterprises'!J273</f>
        <v>0</v>
      </c>
      <c r="K273" s="48">
        <f>'Adani Enterprises'!K273</f>
        <v>0</v>
      </c>
      <c r="L273" s="48">
        <f>'Adani Enterprises'!L273</f>
        <v>0</v>
      </c>
      <c r="M273" s="48">
        <f>'Adani Enterprises'!M273</f>
        <v>0</v>
      </c>
      <c r="N273" s="48">
        <f>'Adani Enterprises'!N273</f>
        <v>0</v>
      </c>
      <c r="O273" s="48">
        <f>'Adani Enterprises'!O273</f>
        <v>0</v>
      </c>
      <c r="P273" s="48">
        <f>'Adani Enterprises'!P273</f>
        <v>0</v>
      </c>
      <c r="Q273" s="48">
        <f>'Adani Enterprises'!Q273</f>
        <v>0</v>
      </c>
      <c r="R273" s="48">
        <f>'Adani Enterprises'!R273</f>
        <v>0</v>
      </c>
      <c r="S273" s="48">
        <f>'Adani Enterprises'!S273</f>
        <v>0</v>
      </c>
      <c r="T273" s="48">
        <f>'Adani Enterprises'!T273</f>
        <v>0</v>
      </c>
      <c r="U273" s="48">
        <f>'Adani Enterprises'!U273</f>
        <v>0</v>
      </c>
      <c r="V273" s="48">
        <f>'Adani Enterprises'!V273</f>
        <v>0</v>
      </c>
      <c r="W273" s="48">
        <f>'Adani Enterprises'!W273</f>
        <v>0</v>
      </c>
      <c r="X273" s="48">
        <f>'Adani Enterprises'!X273</f>
        <v>0</v>
      </c>
      <c r="Y273" s="48">
        <f>'Adani Enterprises'!Y273</f>
        <v>0</v>
      </c>
      <c r="Z273" s="48">
        <f>'Adani Enterprises'!Z273</f>
        <v>0</v>
      </c>
      <c r="AA273" s="48">
        <f>'Adani Enterprises'!AA273</f>
        <v>0</v>
      </c>
      <c r="AB273" s="48">
        <f>'Adani Enterprises'!AB273</f>
        <v>0</v>
      </c>
      <c r="AC273" s="48">
        <f>'Adani Enterprises'!AC273</f>
        <v>0</v>
      </c>
      <c r="AD273" s="48">
        <f>'Adani Enterprises'!AD273</f>
        <v>0</v>
      </c>
      <c r="AE273" s="48">
        <f>'Adani Enterprises'!AE273</f>
        <v>0</v>
      </c>
      <c r="AF273" s="48">
        <f>'Adani Enterprises'!AF273</f>
        <v>0</v>
      </c>
      <c r="AG273" s="48">
        <f>'Adani Enterprises'!AG273</f>
        <v>0</v>
      </c>
      <c r="AH273" s="48">
        <f>'Adani Enterprises'!AH273</f>
        <v>0</v>
      </c>
      <c r="AI273" s="48">
        <f>'Adani Enterprises'!AI273</f>
        <v>0</v>
      </c>
      <c r="AJ273" s="48">
        <f>'Adani Enterprises'!AJ273</f>
        <v>0</v>
      </c>
      <c r="AK273" s="48">
        <f>'Adani Enterprises'!AK273</f>
        <v>0</v>
      </c>
      <c r="AL273" s="48">
        <f>'Adani Enterprises'!AL273</f>
        <v>0</v>
      </c>
    </row>
    <row r="274" customHeight="1" spans="1:38">
      <c r="A274" s="48">
        <f>'Adani Enterprises'!A274</f>
        <v>0</v>
      </c>
      <c r="B274" s="48">
        <f>'Adani Enterprises'!B274</f>
        <v>0</v>
      </c>
      <c r="C274" s="48">
        <f>'Adani Enterprises'!C274</f>
        <v>0</v>
      </c>
      <c r="D274" s="48">
        <f>'Adani Enterprises'!D274</f>
        <v>0</v>
      </c>
      <c r="E274" s="48">
        <f>'Adani Enterprises'!E274</f>
        <v>0</v>
      </c>
      <c r="F274" s="48">
        <f>'Adani Enterprises'!F274</f>
        <v>0</v>
      </c>
      <c r="G274" s="48">
        <f>'Adani Enterprises'!G274</f>
        <v>0</v>
      </c>
      <c r="H274" s="48">
        <f>'Adani Enterprises'!H274</f>
        <v>0</v>
      </c>
      <c r="I274" s="48">
        <f>'Adani Enterprises'!I274</f>
        <v>0</v>
      </c>
      <c r="J274" s="48">
        <f>'Adani Enterprises'!J274</f>
        <v>0</v>
      </c>
      <c r="K274" s="48">
        <f>'Adani Enterprises'!K274</f>
        <v>0</v>
      </c>
      <c r="L274" s="48">
        <f>'Adani Enterprises'!L274</f>
        <v>0</v>
      </c>
      <c r="M274" s="48">
        <f>'Adani Enterprises'!M274</f>
        <v>0</v>
      </c>
      <c r="N274" s="48">
        <f>'Adani Enterprises'!N274</f>
        <v>0</v>
      </c>
      <c r="O274" s="48">
        <f>'Adani Enterprises'!O274</f>
        <v>0</v>
      </c>
      <c r="P274" s="48">
        <f>'Adani Enterprises'!P274</f>
        <v>0</v>
      </c>
      <c r="Q274" s="48">
        <f>'Adani Enterprises'!Q274</f>
        <v>0</v>
      </c>
      <c r="R274" s="48">
        <f>'Adani Enterprises'!R274</f>
        <v>0</v>
      </c>
      <c r="S274" s="48">
        <f>'Adani Enterprises'!S274</f>
        <v>0</v>
      </c>
      <c r="T274" s="48">
        <f>'Adani Enterprises'!T274</f>
        <v>0</v>
      </c>
      <c r="U274" s="48">
        <f>'Adani Enterprises'!U274</f>
        <v>0</v>
      </c>
      <c r="V274" s="48">
        <f>'Adani Enterprises'!V274</f>
        <v>0</v>
      </c>
      <c r="W274" s="48">
        <f>'Adani Enterprises'!W274</f>
        <v>0</v>
      </c>
      <c r="X274" s="48">
        <f>'Adani Enterprises'!X274</f>
        <v>0</v>
      </c>
      <c r="Y274" s="48">
        <f>'Adani Enterprises'!Y274</f>
        <v>0</v>
      </c>
      <c r="Z274" s="48">
        <f>'Adani Enterprises'!Z274</f>
        <v>0</v>
      </c>
      <c r="AA274" s="48">
        <f>'Adani Enterprises'!AA274</f>
        <v>0</v>
      </c>
      <c r="AB274" s="48">
        <f>'Adani Enterprises'!AB274</f>
        <v>0</v>
      </c>
      <c r="AC274" s="48">
        <f>'Adani Enterprises'!AC274</f>
        <v>0</v>
      </c>
      <c r="AD274" s="48">
        <f>'Adani Enterprises'!AD274</f>
        <v>0</v>
      </c>
      <c r="AE274" s="48">
        <f>'Adani Enterprises'!AE274</f>
        <v>0</v>
      </c>
      <c r="AF274" s="48">
        <f>'Adani Enterprises'!AF274</f>
        <v>0</v>
      </c>
      <c r="AG274" s="48">
        <f>'Adani Enterprises'!AG274</f>
        <v>0</v>
      </c>
      <c r="AH274" s="48">
        <f>'Adani Enterprises'!AH274</f>
        <v>0</v>
      </c>
      <c r="AI274" s="48">
        <f>'Adani Enterprises'!AI274</f>
        <v>0</v>
      </c>
      <c r="AJ274" s="48">
        <f>'Adani Enterprises'!AJ274</f>
        <v>0</v>
      </c>
      <c r="AK274" s="48">
        <f>'Adani Enterprises'!AK274</f>
        <v>0</v>
      </c>
      <c r="AL274" s="48">
        <f>'Adani Enterprises'!AL274</f>
        <v>0</v>
      </c>
    </row>
    <row r="275" customHeight="1" spans="1:38">
      <c r="A275" s="48">
        <f>'Adani Enterprises'!A275</f>
        <v>0</v>
      </c>
      <c r="B275" s="48">
        <f>'Adani Enterprises'!B275</f>
        <v>0</v>
      </c>
      <c r="C275" s="48">
        <f>'Adani Enterprises'!C275</f>
        <v>0</v>
      </c>
      <c r="D275" s="48">
        <f>'Adani Enterprises'!D275</f>
        <v>0</v>
      </c>
      <c r="E275" s="48">
        <f>'Adani Enterprises'!E275</f>
        <v>0</v>
      </c>
      <c r="F275" s="48">
        <f>'Adani Enterprises'!F275</f>
        <v>0</v>
      </c>
      <c r="G275" s="48">
        <f>'Adani Enterprises'!G275</f>
        <v>0</v>
      </c>
      <c r="H275" s="48">
        <f>'Adani Enterprises'!H275</f>
        <v>0</v>
      </c>
      <c r="I275" s="48">
        <f>'Adani Enterprises'!I275</f>
        <v>0</v>
      </c>
      <c r="J275" s="48">
        <f>'Adani Enterprises'!J275</f>
        <v>0</v>
      </c>
      <c r="K275" s="48">
        <f>'Adani Enterprises'!K275</f>
        <v>0</v>
      </c>
      <c r="L275" s="48">
        <f>'Adani Enterprises'!L275</f>
        <v>0</v>
      </c>
      <c r="M275" s="48">
        <f>'Adani Enterprises'!M275</f>
        <v>0</v>
      </c>
      <c r="N275" s="48">
        <f>'Adani Enterprises'!N275</f>
        <v>0</v>
      </c>
      <c r="O275" s="48">
        <f>'Adani Enterprises'!O275</f>
        <v>0</v>
      </c>
      <c r="P275" s="48">
        <f>'Adani Enterprises'!P275</f>
        <v>0</v>
      </c>
      <c r="Q275" s="48">
        <f>'Adani Enterprises'!Q275</f>
        <v>0</v>
      </c>
      <c r="R275" s="48">
        <f>'Adani Enterprises'!R275</f>
        <v>0</v>
      </c>
      <c r="S275" s="48">
        <f>'Adani Enterprises'!S275</f>
        <v>0</v>
      </c>
      <c r="T275" s="48">
        <f>'Adani Enterprises'!T275</f>
        <v>0</v>
      </c>
      <c r="U275" s="48">
        <f>'Adani Enterprises'!U275</f>
        <v>0</v>
      </c>
      <c r="V275" s="48">
        <f>'Adani Enterprises'!V275</f>
        <v>0</v>
      </c>
      <c r="W275" s="48">
        <f>'Adani Enterprises'!W275</f>
        <v>0</v>
      </c>
      <c r="X275" s="48">
        <f>'Adani Enterprises'!X275</f>
        <v>0</v>
      </c>
      <c r="Y275" s="48">
        <f>'Adani Enterprises'!Y275</f>
        <v>0</v>
      </c>
      <c r="Z275" s="48">
        <f>'Adani Enterprises'!Z275</f>
        <v>0</v>
      </c>
      <c r="AA275" s="48">
        <f>'Adani Enterprises'!AA275</f>
        <v>0</v>
      </c>
      <c r="AB275" s="48">
        <f>'Adani Enterprises'!AB275</f>
        <v>0</v>
      </c>
      <c r="AC275" s="48">
        <f>'Adani Enterprises'!AC275</f>
        <v>0</v>
      </c>
      <c r="AD275" s="48">
        <f>'Adani Enterprises'!AD275</f>
        <v>0</v>
      </c>
      <c r="AE275" s="48">
        <f>'Adani Enterprises'!AE275</f>
        <v>0</v>
      </c>
      <c r="AF275" s="48">
        <f>'Adani Enterprises'!AF275</f>
        <v>0</v>
      </c>
      <c r="AG275" s="48">
        <f>'Adani Enterprises'!AG275</f>
        <v>0</v>
      </c>
      <c r="AH275" s="48">
        <f>'Adani Enterprises'!AH275</f>
        <v>0</v>
      </c>
      <c r="AI275" s="48">
        <f>'Adani Enterprises'!AI275</f>
        <v>0</v>
      </c>
      <c r="AJ275" s="48">
        <f>'Adani Enterprises'!AJ275</f>
        <v>0</v>
      </c>
      <c r="AK275" s="48">
        <f>'Adani Enterprises'!AK275</f>
        <v>0</v>
      </c>
      <c r="AL275" s="48">
        <f>'Adani Enterprises'!AL275</f>
        <v>0</v>
      </c>
    </row>
    <row r="276" customHeight="1" spans="1:38">
      <c r="A276" s="48">
        <f>'Adani Enterprises'!A276</f>
        <v>0</v>
      </c>
      <c r="B276" s="48">
        <f>'Adani Enterprises'!B276</f>
        <v>0</v>
      </c>
      <c r="C276" s="48">
        <f>'Adani Enterprises'!C276</f>
        <v>0</v>
      </c>
      <c r="D276" s="48">
        <f>'Adani Enterprises'!D276</f>
        <v>0</v>
      </c>
      <c r="E276" s="48">
        <f>'Adani Enterprises'!E276</f>
        <v>0</v>
      </c>
      <c r="F276" s="48">
        <f>'Adani Enterprises'!F276</f>
        <v>0</v>
      </c>
      <c r="G276" s="48">
        <f>'Adani Enterprises'!G276</f>
        <v>0</v>
      </c>
      <c r="H276" s="48">
        <f>'Adani Enterprises'!H276</f>
        <v>0</v>
      </c>
      <c r="I276" s="48">
        <f>'Adani Enterprises'!I276</f>
        <v>0</v>
      </c>
      <c r="J276" s="48">
        <f>'Adani Enterprises'!J276</f>
        <v>0</v>
      </c>
      <c r="K276" s="48">
        <f>'Adani Enterprises'!K276</f>
        <v>0</v>
      </c>
      <c r="L276" s="48">
        <f>'Adani Enterprises'!L276</f>
        <v>0</v>
      </c>
      <c r="M276" s="48">
        <f>'Adani Enterprises'!M276</f>
        <v>0</v>
      </c>
      <c r="N276" s="48">
        <f>'Adani Enterprises'!N276</f>
        <v>0</v>
      </c>
      <c r="O276" s="48">
        <f>'Adani Enterprises'!O276</f>
        <v>0</v>
      </c>
      <c r="P276" s="48">
        <f>'Adani Enterprises'!P276</f>
        <v>0</v>
      </c>
      <c r="Q276" s="48">
        <f>'Adani Enterprises'!Q276</f>
        <v>0</v>
      </c>
      <c r="R276" s="48">
        <f>'Adani Enterprises'!R276</f>
        <v>0</v>
      </c>
      <c r="S276" s="48">
        <f>'Adani Enterprises'!S276</f>
        <v>0</v>
      </c>
      <c r="T276" s="48">
        <f>'Adani Enterprises'!T276</f>
        <v>0</v>
      </c>
      <c r="U276" s="48">
        <f>'Adani Enterprises'!U276</f>
        <v>0</v>
      </c>
      <c r="V276" s="48">
        <f>'Adani Enterprises'!V276</f>
        <v>0</v>
      </c>
      <c r="W276" s="48">
        <f>'Adani Enterprises'!W276</f>
        <v>0</v>
      </c>
      <c r="X276" s="48">
        <f>'Adani Enterprises'!X276</f>
        <v>0</v>
      </c>
      <c r="Y276" s="48">
        <f>'Adani Enterprises'!Y276</f>
        <v>0</v>
      </c>
      <c r="Z276" s="48">
        <f>'Adani Enterprises'!Z276</f>
        <v>0</v>
      </c>
      <c r="AA276" s="48">
        <f>'Adani Enterprises'!AA276</f>
        <v>0</v>
      </c>
      <c r="AB276" s="48">
        <f>'Adani Enterprises'!AB276</f>
        <v>0</v>
      </c>
      <c r="AC276" s="48">
        <f>'Adani Enterprises'!AC276</f>
        <v>0</v>
      </c>
      <c r="AD276" s="48">
        <f>'Adani Enterprises'!AD276</f>
        <v>0</v>
      </c>
      <c r="AE276" s="48">
        <f>'Adani Enterprises'!AE276</f>
        <v>0</v>
      </c>
      <c r="AF276" s="48">
        <f>'Adani Enterprises'!AF276</f>
        <v>0</v>
      </c>
      <c r="AG276" s="48">
        <f>'Adani Enterprises'!AG276</f>
        <v>0</v>
      </c>
      <c r="AH276" s="48">
        <f>'Adani Enterprises'!AH276</f>
        <v>0</v>
      </c>
      <c r="AI276" s="48">
        <f>'Adani Enterprises'!AI276</f>
        <v>0</v>
      </c>
      <c r="AJ276" s="48">
        <f>'Adani Enterprises'!AJ276</f>
        <v>0</v>
      </c>
      <c r="AK276" s="48">
        <f>'Adani Enterprises'!AK276</f>
        <v>0</v>
      </c>
      <c r="AL276" s="48">
        <f>'Adani Enterprises'!AL276</f>
        <v>0</v>
      </c>
    </row>
    <row r="277" customHeight="1" spans="1:38">
      <c r="A277" s="48">
        <f>'Adani Enterprises'!A277</f>
        <v>0</v>
      </c>
      <c r="B277" s="48">
        <f>'Adani Enterprises'!B277</f>
        <v>0</v>
      </c>
      <c r="C277" s="48">
        <f>'Adani Enterprises'!C277</f>
        <v>0</v>
      </c>
      <c r="D277" s="48">
        <f>'Adani Enterprises'!D277</f>
        <v>0</v>
      </c>
      <c r="E277" s="48">
        <f>'Adani Enterprises'!E277</f>
        <v>0</v>
      </c>
      <c r="F277" s="48">
        <f>'Adani Enterprises'!F277</f>
        <v>0</v>
      </c>
      <c r="G277" s="48">
        <f>'Adani Enterprises'!G277</f>
        <v>0</v>
      </c>
      <c r="H277" s="48">
        <f>'Adani Enterprises'!H277</f>
        <v>0</v>
      </c>
      <c r="I277" s="48">
        <f>'Adani Enterprises'!I277</f>
        <v>0</v>
      </c>
      <c r="J277" s="48">
        <f>'Adani Enterprises'!J277</f>
        <v>0</v>
      </c>
      <c r="K277" s="48">
        <f>'Adani Enterprises'!K277</f>
        <v>0</v>
      </c>
      <c r="L277" s="48">
        <f>'Adani Enterprises'!L277</f>
        <v>0</v>
      </c>
      <c r="M277" s="48">
        <f>'Adani Enterprises'!M277</f>
        <v>0</v>
      </c>
      <c r="N277" s="48">
        <f>'Adani Enterprises'!N277</f>
        <v>0</v>
      </c>
      <c r="O277" s="48">
        <f>'Adani Enterprises'!O277</f>
        <v>0</v>
      </c>
      <c r="P277" s="48">
        <f>'Adani Enterprises'!P277</f>
        <v>0</v>
      </c>
      <c r="Q277" s="48">
        <f>'Adani Enterprises'!Q277</f>
        <v>0</v>
      </c>
      <c r="R277" s="48">
        <f>'Adani Enterprises'!R277</f>
        <v>0</v>
      </c>
      <c r="S277" s="48">
        <f>'Adani Enterprises'!S277</f>
        <v>0</v>
      </c>
      <c r="T277" s="48">
        <f>'Adani Enterprises'!T277</f>
        <v>0</v>
      </c>
      <c r="U277" s="48">
        <f>'Adani Enterprises'!U277</f>
        <v>0</v>
      </c>
      <c r="V277" s="48">
        <f>'Adani Enterprises'!V277</f>
        <v>0</v>
      </c>
      <c r="W277" s="48">
        <f>'Adani Enterprises'!W277</f>
        <v>0</v>
      </c>
      <c r="X277" s="48">
        <f>'Adani Enterprises'!X277</f>
        <v>0</v>
      </c>
      <c r="Y277" s="48">
        <f>'Adani Enterprises'!Y277</f>
        <v>0</v>
      </c>
      <c r="Z277" s="48">
        <f>'Adani Enterprises'!Z277</f>
        <v>0</v>
      </c>
      <c r="AA277" s="48">
        <f>'Adani Enterprises'!AA277</f>
        <v>0</v>
      </c>
      <c r="AB277" s="48">
        <f>'Adani Enterprises'!AB277</f>
        <v>0</v>
      </c>
      <c r="AC277" s="48">
        <f>'Adani Enterprises'!AC277</f>
        <v>0</v>
      </c>
      <c r="AD277" s="48">
        <f>'Adani Enterprises'!AD277</f>
        <v>0</v>
      </c>
      <c r="AE277" s="48">
        <f>'Adani Enterprises'!AE277</f>
        <v>0</v>
      </c>
      <c r="AF277" s="48">
        <f>'Adani Enterprises'!AF277</f>
        <v>0</v>
      </c>
      <c r="AG277" s="48">
        <f>'Adani Enterprises'!AG277</f>
        <v>0</v>
      </c>
      <c r="AH277" s="48">
        <f>'Adani Enterprises'!AH277</f>
        <v>0</v>
      </c>
      <c r="AI277" s="48">
        <f>'Adani Enterprises'!AI277</f>
        <v>0</v>
      </c>
      <c r="AJ277" s="48">
        <f>'Adani Enterprises'!AJ277</f>
        <v>0</v>
      </c>
      <c r="AK277" s="48">
        <f>'Adani Enterprises'!AK277</f>
        <v>0</v>
      </c>
      <c r="AL277" s="48">
        <f>'Adani Enterprises'!AL277</f>
        <v>0</v>
      </c>
    </row>
    <row r="278" customHeight="1" spans="1:38">
      <c r="A278" s="48">
        <f>'Adani Enterprises'!A278</f>
        <v>0</v>
      </c>
      <c r="B278" s="48">
        <f>'Adani Enterprises'!B278</f>
        <v>0</v>
      </c>
      <c r="C278" s="48">
        <f>'Adani Enterprises'!C278</f>
        <v>0</v>
      </c>
      <c r="D278" s="48">
        <f>'Adani Enterprises'!D278</f>
        <v>0</v>
      </c>
      <c r="E278" s="48">
        <f>'Adani Enterprises'!E278</f>
        <v>0</v>
      </c>
      <c r="F278" s="48">
        <f>'Adani Enterprises'!F278</f>
        <v>0</v>
      </c>
      <c r="G278" s="48">
        <f>'Adani Enterprises'!G278</f>
        <v>0</v>
      </c>
      <c r="H278" s="48">
        <f>'Adani Enterprises'!H278</f>
        <v>0</v>
      </c>
      <c r="I278" s="48">
        <f>'Adani Enterprises'!I278</f>
        <v>0</v>
      </c>
      <c r="J278" s="48">
        <f>'Adani Enterprises'!J278</f>
        <v>0</v>
      </c>
      <c r="K278" s="48">
        <f>'Adani Enterprises'!K278</f>
        <v>0</v>
      </c>
      <c r="L278" s="48">
        <f>'Adani Enterprises'!L278</f>
        <v>0</v>
      </c>
      <c r="M278" s="48">
        <f>'Adani Enterprises'!M278</f>
        <v>0</v>
      </c>
      <c r="N278" s="48">
        <f>'Adani Enterprises'!N278</f>
        <v>0</v>
      </c>
      <c r="O278" s="48">
        <f>'Adani Enterprises'!O278</f>
        <v>0</v>
      </c>
      <c r="P278" s="48">
        <f>'Adani Enterprises'!P278</f>
        <v>0</v>
      </c>
      <c r="Q278" s="48">
        <f>'Adani Enterprises'!Q278</f>
        <v>0</v>
      </c>
      <c r="R278" s="48">
        <f>'Adani Enterprises'!R278</f>
        <v>0</v>
      </c>
      <c r="S278" s="48">
        <f>'Adani Enterprises'!S278</f>
        <v>0</v>
      </c>
      <c r="T278" s="48">
        <f>'Adani Enterprises'!T278</f>
        <v>0</v>
      </c>
      <c r="U278" s="48">
        <f>'Adani Enterprises'!U278</f>
        <v>0</v>
      </c>
      <c r="V278" s="48">
        <f>'Adani Enterprises'!V278</f>
        <v>0</v>
      </c>
      <c r="W278" s="48">
        <f>'Adani Enterprises'!W278</f>
        <v>0</v>
      </c>
      <c r="X278" s="48">
        <f>'Adani Enterprises'!X278</f>
        <v>0</v>
      </c>
      <c r="Y278" s="48">
        <f>'Adani Enterprises'!Y278</f>
        <v>0</v>
      </c>
      <c r="Z278" s="48">
        <f>'Adani Enterprises'!Z278</f>
        <v>0</v>
      </c>
      <c r="AA278" s="48">
        <f>'Adani Enterprises'!AA278</f>
        <v>0</v>
      </c>
      <c r="AB278" s="48">
        <f>'Adani Enterprises'!AB278</f>
        <v>0</v>
      </c>
      <c r="AC278" s="48">
        <f>'Adani Enterprises'!AC278</f>
        <v>0</v>
      </c>
      <c r="AD278" s="48">
        <f>'Adani Enterprises'!AD278</f>
        <v>0</v>
      </c>
      <c r="AE278" s="48">
        <f>'Adani Enterprises'!AE278</f>
        <v>0</v>
      </c>
      <c r="AF278" s="48">
        <f>'Adani Enterprises'!AF278</f>
        <v>0</v>
      </c>
      <c r="AG278" s="48">
        <f>'Adani Enterprises'!AG278</f>
        <v>0</v>
      </c>
      <c r="AH278" s="48">
        <f>'Adani Enterprises'!AH278</f>
        <v>0</v>
      </c>
      <c r="AI278" s="48">
        <f>'Adani Enterprises'!AI278</f>
        <v>0</v>
      </c>
      <c r="AJ278" s="48">
        <f>'Adani Enterprises'!AJ278</f>
        <v>0</v>
      </c>
      <c r="AK278" s="48">
        <f>'Adani Enterprises'!AK278</f>
        <v>0</v>
      </c>
      <c r="AL278" s="48">
        <f>'Adani Enterprises'!AL278</f>
        <v>0</v>
      </c>
    </row>
    <row r="279" customHeight="1" spans="1:38">
      <c r="A279" s="48">
        <f>'Adani Enterprises'!A279</f>
        <v>0</v>
      </c>
      <c r="B279" s="48">
        <f>'Adani Enterprises'!B279</f>
        <v>0</v>
      </c>
      <c r="C279" s="48">
        <f>'Adani Enterprises'!C279</f>
        <v>0</v>
      </c>
      <c r="D279" s="48">
        <f>'Adani Enterprises'!D279</f>
        <v>0</v>
      </c>
      <c r="E279" s="48">
        <f>'Adani Enterprises'!E279</f>
        <v>0</v>
      </c>
      <c r="F279" s="48">
        <f>'Adani Enterprises'!F279</f>
        <v>0</v>
      </c>
      <c r="G279" s="48">
        <f>'Adani Enterprises'!G279</f>
        <v>0</v>
      </c>
      <c r="H279" s="48">
        <f>'Adani Enterprises'!H279</f>
        <v>0</v>
      </c>
      <c r="I279" s="48">
        <f>'Adani Enterprises'!I279</f>
        <v>0</v>
      </c>
      <c r="J279" s="48">
        <f>'Adani Enterprises'!J279</f>
        <v>0</v>
      </c>
      <c r="K279" s="48">
        <f>'Adani Enterprises'!K279</f>
        <v>0</v>
      </c>
      <c r="L279" s="48">
        <f>'Adani Enterprises'!L279</f>
        <v>0</v>
      </c>
      <c r="M279" s="48">
        <f>'Adani Enterprises'!M279</f>
        <v>0</v>
      </c>
      <c r="N279" s="48">
        <f>'Adani Enterprises'!N279</f>
        <v>0</v>
      </c>
      <c r="O279" s="48">
        <f>'Adani Enterprises'!O279</f>
        <v>0</v>
      </c>
      <c r="P279" s="48">
        <f>'Adani Enterprises'!P279</f>
        <v>0</v>
      </c>
      <c r="Q279" s="48">
        <f>'Adani Enterprises'!Q279</f>
        <v>0</v>
      </c>
      <c r="R279" s="48">
        <f>'Adani Enterprises'!R279</f>
        <v>0</v>
      </c>
      <c r="S279" s="48">
        <f>'Adani Enterprises'!S279</f>
        <v>0</v>
      </c>
      <c r="T279" s="48">
        <f>'Adani Enterprises'!T279</f>
        <v>0</v>
      </c>
      <c r="U279" s="48">
        <f>'Adani Enterprises'!U279</f>
        <v>0</v>
      </c>
      <c r="V279" s="48">
        <f>'Adani Enterprises'!V279</f>
        <v>0</v>
      </c>
      <c r="W279" s="48">
        <f>'Adani Enterprises'!W279</f>
        <v>0</v>
      </c>
      <c r="X279" s="48">
        <f>'Adani Enterprises'!X279</f>
        <v>0</v>
      </c>
      <c r="Y279" s="48">
        <f>'Adani Enterprises'!Y279</f>
        <v>0</v>
      </c>
      <c r="Z279" s="48">
        <f>'Adani Enterprises'!Z279</f>
        <v>0</v>
      </c>
      <c r="AA279" s="48">
        <f>'Adani Enterprises'!AA279</f>
        <v>0</v>
      </c>
      <c r="AB279" s="48">
        <f>'Adani Enterprises'!AB279</f>
        <v>0</v>
      </c>
      <c r="AC279" s="48">
        <f>'Adani Enterprises'!AC279</f>
        <v>0</v>
      </c>
      <c r="AD279" s="48">
        <f>'Adani Enterprises'!AD279</f>
        <v>0</v>
      </c>
      <c r="AE279" s="48">
        <f>'Adani Enterprises'!AE279</f>
        <v>0</v>
      </c>
      <c r="AF279" s="48">
        <f>'Adani Enterprises'!AF279</f>
        <v>0</v>
      </c>
      <c r="AG279" s="48">
        <f>'Adani Enterprises'!AG279</f>
        <v>0</v>
      </c>
      <c r="AH279" s="48">
        <f>'Adani Enterprises'!AH279</f>
        <v>0</v>
      </c>
      <c r="AI279" s="48">
        <f>'Adani Enterprises'!AI279</f>
        <v>0</v>
      </c>
      <c r="AJ279" s="48">
        <f>'Adani Enterprises'!AJ279</f>
        <v>0</v>
      </c>
      <c r="AK279" s="48">
        <f>'Adani Enterprises'!AK279</f>
        <v>0</v>
      </c>
      <c r="AL279" s="48">
        <f>'Adani Enterprises'!AL279</f>
        <v>0</v>
      </c>
    </row>
    <row r="280" customHeight="1" spans="1:38">
      <c r="A280" s="48">
        <f>'Adani Enterprises'!A280</f>
        <v>0</v>
      </c>
      <c r="B280" s="48">
        <f>'Adani Enterprises'!B280</f>
        <v>0</v>
      </c>
      <c r="C280" s="48">
        <f>'Adani Enterprises'!C280</f>
        <v>0</v>
      </c>
      <c r="D280" s="48">
        <f>'Adani Enterprises'!D280</f>
        <v>0</v>
      </c>
      <c r="E280" s="48">
        <f>'Adani Enterprises'!E280</f>
        <v>0</v>
      </c>
      <c r="F280" s="48">
        <f>'Adani Enterprises'!F280</f>
        <v>0</v>
      </c>
      <c r="G280" s="48">
        <f>'Adani Enterprises'!G280</f>
        <v>0</v>
      </c>
      <c r="H280" s="48">
        <f>'Adani Enterprises'!H280</f>
        <v>0</v>
      </c>
      <c r="I280" s="48">
        <f>'Adani Enterprises'!I280</f>
        <v>0</v>
      </c>
      <c r="J280" s="48">
        <f>'Adani Enterprises'!J280</f>
        <v>0</v>
      </c>
      <c r="K280" s="48">
        <f>'Adani Enterprises'!K280</f>
        <v>0</v>
      </c>
      <c r="L280" s="48">
        <f>'Adani Enterprises'!L280</f>
        <v>0</v>
      </c>
      <c r="M280" s="48">
        <f>'Adani Enterprises'!M280</f>
        <v>0</v>
      </c>
      <c r="N280" s="48">
        <f>'Adani Enterprises'!N280</f>
        <v>0</v>
      </c>
      <c r="O280" s="48">
        <f>'Adani Enterprises'!O280</f>
        <v>0</v>
      </c>
      <c r="P280" s="48">
        <f>'Adani Enterprises'!P280</f>
        <v>0</v>
      </c>
      <c r="Q280" s="48">
        <f>'Adani Enterprises'!Q280</f>
        <v>0</v>
      </c>
      <c r="R280" s="48">
        <f>'Adani Enterprises'!R280</f>
        <v>0</v>
      </c>
      <c r="S280" s="48">
        <f>'Adani Enterprises'!S280</f>
        <v>0</v>
      </c>
      <c r="T280" s="48">
        <f>'Adani Enterprises'!T280</f>
        <v>0</v>
      </c>
      <c r="U280" s="48">
        <f>'Adani Enterprises'!U280</f>
        <v>0</v>
      </c>
      <c r="V280" s="48">
        <f>'Adani Enterprises'!V280</f>
        <v>0</v>
      </c>
      <c r="W280" s="48">
        <f>'Adani Enterprises'!W280</f>
        <v>0</v>
      </c>
      <c r="X280" s="48">
        <f>'Adani Enterprises'!X280</f>
        <v>0</v>
      </c>
      <c r="Y280" s="48">
        <f>'Adani Enterprises'!Y280</f>
        <v>0</v>
      </c>
      <c r="Z280" s="48">
        <f>'Adani Enterprises'!Z280</f>
        <v>0</v>
      </c>
      <c r="AA280" s="48">
        <f>'Adani Enterprises'!AA280</f>
        <v>0</v>
      </c>
      <c r="AB280" s="48">
        <f>'Adani Enterprises'!AB280</f>
        <v>0</v>
      </c>
      <c r="AC280" s="48">
        <f>'Adani Enterprises'!AC280</f>
        <v>0</v>
      </c>
      <c r="AD280" s="48">
        <f>'Adani Enterprises'!AD280</f>
        <v>0</v>
      </c>
      <c r="AE280" s="48">
        <f>'Adani Enterprises'!AE280</f>
        <v>0</v>
      </c>
      <c r="AF280" s="48">
        <f>'Adani Enterprises'!AF280</f>
        <v>0</v>
      </c>
      <c r="AG280" s="48">
        <f>'Adani Enterprises'!AG280</f>
        <v>0</v>
      </c>
      <c r="AH280" s="48">
        <f>'Adani Enterprises'!AH280</f>
        <v>0</v>
      </c>
      <c r="AI280" s="48">
        <f>'Adani Enterprises'!AI280</f>
        <v>0</v>
      </c>
      <c r="AJ280" s="48">
        <f>'Adani Enterprises'!AJ280</f>
        <v>0</v>
      </c>
      <c r="AK280" s="48">
        <f>'Adani Enterprises'!AK280</f>
        <v>0</v>
      </c>
      <c r="AL280" s="48">
        <f>'Adani Enterprises'!AL280</f>
        <v>0</v>
      </c>
    </row>
    <row r="281" customHeight="1" spans="1:38">
      <c r="A281" s="48">
        <f>'Adani Enterprises'!A281</f>
        <v>0</v>
      </c>
      <c r="B281" s="48">
        <f>'Adani Enterprises'!B281</f>
        <v>0</v>
      </c>
      <c r="C281" s="48">
        <f>'Adani Enterprises'!C281</f>
        <v>0</v>
      </c>
      <c r="D281" s="48">
        <f>'Adani Enterprises'!D281</f>
        <v>0</v>
      </c>
      <c r="E281" s="48">
        <f>'Adani Enterprises'!E281</f>
        <v>0</v>
      </c>
      <c r="F281" s="48">
        <f>'Adani Enterprises'!F281</f>
        <v>0</v>
      </c>
      <c r="G281" s="48">
        <f>'Adani Enterprises'!G281</f>
        <v>0</v>
      </c>
      <c r="H281" s="48">
        <f>'Adani Enterprises'!H281</f>
        <v>0</v>
      </c>
      <c r="I281" s="48">
        <f>'Adani Enterprises'!I281</f>
        <v>0</v>
      </c>
      <c r="J281" s="48">
        <f>'Adani Enterprises'!J281</f>
        <v>0</v>
      </c>
      <c r="K281" s="48">
        <f>'Adani Enterprises'!K281</f>
        <v>0</v>
      </c>
      <c r="L281" s="48">
        <f>'Adani Enterprises'!L281</f>
        <v>0</v>
      </c>
      <c r="M281" s="48">
        <f>'Adani Enterprises'!M281</f>
        <v>0</v>
      </c>
      <c r="N281" s="48">
        <f>'Adani Enterprises'!N281</f>
        <v>0</v>
      </c>
      <c r="O281" s="48">
        <f>'Adani Enterprises'!O281</f>
        <v>0</v>
      </c>
      <c r="P281" s="48">
        <f>'Adani Enterprises'!P281</f>
        <v>0</v>
      </c>
      <c r="Q281" s="48">
        <f>'Adani Enterprises'!Q281</f>
        <v>0</v>
      </c>
      <c r="R281" s="48">
        <f>'Adani Enterprises'!R281</f>
        <v>0</v>
      </c>
      <c r="S281" s="48">
        <f>'Adani Enterprises'!S281</f>
        <v>0</v>
      </c>
      <c r="T281" s="48">
        <f>'Adani Enterprises'!T281</f>
        <v>0</v>
      </c>
      <c r="U281" s="48">
        <f>'Adani Enterprises'!U281</f>
        <v>0</v>
      </c>
      <c r="V281" s="48">
        <f>'Adani Enterprises'!V281</f>
        <v>0</v>
      </c>
      <c r="W281" s="48">
        <f>'Adani Enterprises'!W281</f>
        <v>0</v>
      </c>
      <c r="X281" s="48">
        <f>'Adani Enterprises'!X281</f>
        <v>0</v>
      </c>
      <c r="Y281" s="48">
        <f>'Adani Enterprises'!Y281</f>
        <v>0</v>
      </c>
      <c r="Z281" s="48">
        <f>'Adani Enterprises'!Z281</f>
        <v>0</v>
      </c>
      <c r="AA281" s="48">
        <f>'Adani Enterprises'!AA281</f>
        <v>0</v>
      </c>
      <c r="AB281" s="48">
        <f>'Adani Enterprises'!AB281</f>
        <v>0</v>
      </c>
      <c r="AC281" s="48">
        <f>'Adani Enterprises'!AC281</f>
        <v>0</v>
      </c>
      <c r="AD281" s="48">
        <f>'Adani Enterprises'!AD281</f>
        <v>0</v>
      </c>
      <c r="AE281" s="48">
        <f>'Adani Enterprises'!AE281</f>
        <v>0</v>
      </c>
      <c r="AF281" s="48">
        <f>'Adani Enterprises'!AF281</f>
        <v>0</v>
      </c>
      <c r="AG281" s="48">
        <f>'Adani Enterprises'!AG281</f>
        <v>0</v>
      </c>
      <c r="AH281" s="48">
        <f>'Adani Enterprises'!AH281</f>
        <v>0</v>
      </c>
      <c r="AI281" s="48">
        <f>'Adani Enterprises'!AI281</f>
        <v>0</v>
      </c>
      <c r="AJ281" s="48">
        <f>'Adani Enterprises'!AJ281</f>
        <v>0</v>
      </c>
      <c r="AK281" s="48">
        <f>'Adani Enterprises'!AK281</f>
        <v>0</v>
      </c>
      <c r="AL281" s="48">
        <f>'Adani Enterprises'!AL281</f>
        <v>0</v>
      </c>
    </row>
    <row r="282" customHeight="1" spans="1:38">
      <c r="A282" s="48">
        <f>'Adani Enterprises'!A282</f>
        <v>0</v>
      </c>
      <c r="B282" s="48">
        <f>'Adani Enterprises'!B282</f>
        <v>0</v>
      </c>
      <c r="C282" s="48">
        <f>'Adani Enterprises'!C282</f>
        <v>0</v>
      </c>
      <c r="D282" s="48">
        <f>'Adani Enterprises'!D282</f>
        <v>0</v>
      </c>
      <c r="E282" s="48">
        <f>'Adani Enterprises'!E282</f>
        <v>0</v>
      </c>
      <c r="F282" s="48">
        <f>'Adani Enterprises'!F282</f>
        <v>0</v>
      </c>
      <c r="G282" s="48">
        <f>'Adani Enterprises'!G282</f>
        <v>0</v>
      </c>
      <c r="H282" s="48">
        <f>'Adani Enterprises'!H282</f>
        <v>0</v>
      </c>
      <c r="I282" s="48">
        <f>'Adani Enterprises'!I282</f>
        <v>0</v>
      </c>
      <c r="J282" s="48">
        <f>'Adani Enterprises'!J282</f>
        <v>0</v>
      </c>
      <c r="K282" s="48">
        <f>'Adani Enterprises'!K282</f>
        <v>0</v>
      </c>
      <c r="L282" s="48">
        <f>'Adani Enterprises'!L282</f>
        <v>0</v>
      </c>
      <c r="M282" s="48">
        <f>'Adani Enterprises'!M282</f>
        <v>0</v>
      </c>
      <c r="N282" s="48">
        <f>'Adani Enterprises'!N282</f>
        <v>0</v>
      </c>
      <c r="O282" s="48">
        <f>'Adani Enterprises'!O282</f>
        <v>0</v>
      </c>
      <c r="P282" s="48">
        <f>'Adani Enterprises'!P282</f>
        <v>0</v>
      </c>
      <c r="Q282" s="48">
        <f>'Adani Enterprises'!Q282</f>
        <v>0</v>
      </c>
      <c r="R282" s="48">
        <f>'Adani Enterprises'!R282</f>
        <v>0</v>
      </c>
      <c r="S282" s="48">
        <f>'Adani Enterprises'!S282</f>
        <v>0</v>
      </c>
      <c r="T282" s="48">
        <f>'Adani Enterprises'!T282</f>
        <v>0</v>
      </c>
      <c r="U282" s="48">
        <f>'Adani Enterprises'!U282</f>
        <v>0</v>
      </c>
      <c r="V282" s="48">
        <f>'Adani Enterprises'!V282</f>
        <v>0</v>
      </c>
      <c r="W282" s="48">
        <f>'Adani Enterprises'!W282</f>
        <v>0</v>
      </c>
      <c r="X282" s="48">
        <f>'Adani Enterprises'!X282</f>
        <v>0</v>
      </c>
      <c r="Y282" s="48">
        <f>'Adani Enterprises'!Y282</f>
        <v>0</v>
      </c>
      <c r="Z282" s="48">
        <f>'Adani Enterprises'!Z282</f>
        <v>0</v>
      </c>
      <c r="AA282" s="48">
        <f>'Adani Enterprises'!AA282</f>
        <v>0</v>
      </c>
      <c r="AB282" s="48">
        <f>'Adani Enterprises'!AB282</f>
        <v>0</v>
      </c>
      <c r="AC282" s="48">
        <f>'Adani Enterprises'!AC282</f>
        <v>0</v>
      </c>
      <c r="AD282" s="48">
        <f>'Adani Enterprises'!AD282</f>
        <v>0</v>
      </c>
      <c r="AE282" s="48">
        <f>'Adani Enterprises'!AE282</f>
        <v>0</v>
      </c>
      <c r="AF282" s="48">
        <f>'Adani Enterprises'!AF282</f>
        <v>0</v>
      </c>
      <c r="AG282" s="48">
        <f>'Adani Enterprises'!AG282</f>
        <v>0</v>
      </c>
      <c r="AH282" s="48">
        <f>'Adani Enterprises'!AH282</f>
        <v>0</v>
      </c>
      <c r="AI282" s="48">
        <f>'Adani Enterprises'!AI282</f>
        <v>0</v>
      </c>
      <c r="AJ282" s="48">
        <f>'Adani Enterprises'!AJ282</f>
        <v>0</v>
      </c>
      <c r="AK282" s="48">
        <f>'Adani Enterprises'!AK282</f>
        <v>0</v>
      </c>
      <c r="AL282" s="48">
        <f>'Adani Enterprises'!AL282</f>
        <v>0</v>
      </c>
    </row>
    <row r="283" customHeight="1" spans="1:38">
      <c r="A283" s="48">
        <f>'Adani Enterprises'!A283</f>
        <v>0</v>
      </c>
      <c r="B283" s="48">
        <f>'Adani Enterprises'!B283</f>
        <v>0</v>
      </c>
      <c r="C283" s="48">
        <f>'Adani Enterprises'!C283</f>
        <v>0</v>
      </c>
      <c r="D283" s="48">
        <f>'Adani Enterprises'!D283</f>
        <v>0</v>
      </c>
      <c r="E283" s="48">
        <f>'Adani Enterprises'!E283</f>
        <v>0</v>
      </c>
      <c r="F283" s="48">
        <f>'Adani Enterprises'!F283</f>
        <v>0</v>
      </c>
      <c r="G283" s="48">
        <f>'Adani Enterprises'!G283</f>
        <v>0</v>
      </c>
      <c r="H283" s="48">
        <f>'Adani Enterprises'!H283</f>
        <v>0</v>
      </c>
      <c r="I283" s="48">
        <f>'Adani Enterprises'!I283</f>
        <v>0</v>
      </c>
      <c r="J283" s="48">
        <f>'Adani Enterprises'!J283</f>
        <v>0</v>
      </c>
      <c r="K283" s="48">
        <f>'Adani Enterprises'!K283</f>
        <v>0</v>
      </c>
      <c r="L283" s="48">
        <f>'Adani Enterprises'!L283</f>
        <v>0</v>
      </c>
      <c r="M283" s="48">
        <f>'Adani Enterprises'!M283</f>
        <v>0</v>
      </c>
      <c r="N283" s="48">
        <f>'Adani Enterprises'!N283</f>
        <v>0</v>
      </c>
      <c r="O283" s="48">
        <f>'Adani Enterprises'!O283</f>
        <v>0</v>
      </c>
      <c r="P283" s="48">
        <f>'Adani Enterprises'!P283</f>
        <v>0</v>
      </c>
      <c r="Q283" s="48">
        <f>'Adani Enterprises'!Q283</f>
        <v>0</v>
      </c>
      <c r="R283" s="48">
        <f>'Adani Enterprises'!R283</f>
        <v>0</v>
      </c>
      <c r="S283" s="48">
        <f>'Adani Enterprises'!S283</f>
        <v>0</v>
      </c>
      <c r="T283" s="48">
        <f>'Adani Enterprises'!T283</f>
        <v>0</v>
      </c>
      <c r="U283" s="48">
        <f>'Adani Enterprises'!U283</f>
        <v>0</v>
      </c>
      <c r="V283" s="48">
        <f>'Adani Enterprises'!V283</f>
        <v>0</v>
      </c>
      <c r="W283" s="48">
        <f>'Adani Enterprises'!W283</f>
        <v>0</v>
      </c>
      <c r="X283" s="48">
        <f>'Adani Enterprises'!X283</f>
        <v>0</v>
      </c>
      <c r="Y283" s="48">
        <f>'Adani Enterprises'!Y283</f>
        <v>0</v>
      </c>
      <c r="Z283" s="48">
        <f>'Adani Enterprises'!Z283</f>
        <v>0</v>
      </c>
      <c r="AA283" s="48">
        <f>'Adani Enterprises'!AA283</f>
        <v>0</v>
      </c>
      <c r="AB283" s="48">
        <f>'Adani Enterprises'!AB283</f>
        <v>0</v>
      </c>
      <c r="AC283" s="48">
        <f>'Adani Enterprises'!AC283</f>
        <v>0</v>
      </c>
      <c r="AD283" s="48">
        <f>'Adani Enterprises'!AD283</f>
        <v>0</v>
      </c>
      <c r="AE283" s="48">
        <f>'Adani Enterprises'!AE283</f>
        <v>0</v>
      </c>
      <c r="AF283" s="48">
        <f>'Adani Enterprises'!AF283</f>
        <v>0</v>
      </c>
      <c r="AG283" s="48">
        <f>'Adani Enterprises'!AG283</f>
        <v>0</v>
      </c>
      <c r="AH283" s="48">
        <f>'Adani Enterprises'!AH283</f>
        <v>0</v>
      </c>
      <c r="AI283" s="48">
        <f>'Adani Enterprises'!AI283</f>
        <v>0</v>
      </c>
      <c r="AJ283" s="48">
        <f>'Adani Enterprises'!AJ283</f>
        <v>0</v>
      </c>
      <c r="AK283" s="48">
        <f>'Adani Enterprises'!AK283</f>
        <v>0</v>
      </c>
      <c r="AL283" s="48">
        <f>'Adani Enterprises'!AL283</f>
        <v>0</v>
      </c>
    </row>
    <row r="284" customHeight="1" spans="1:38">
      <c r="A284" s="48">
        <f>'Adani Enterprises'!A284</f>
        <v>0</v>
      </c>
      <c r="B284" s="48">
        <f>'Adani Enterprises'!B284</f>
        <v>0</v>
      </c>
      <c r="C284" s="48">
        <f>'Adani Enterprises'!C284</f>
        <v>0</v>
      </c>
      <c r="D284" s="48">
        <f>'Adani Enterprises'!D284</f>
        <v>0</v>
      </c>
      <c r="E284" s="48">
        <f>'Adani Enterprises'!E284</f>
        <v>0</v>
      </c>
      <c r="F284" s="48">
        <f>'Adani Enterprises'!F284</f>
        <v>0</v>
      </c>
      <c r="G284" s="48">
        <f>'Adani Enterprises'!G284</f>
        <v>0</v>
      </c>
      <c r="H284" s="48">
        <f>'Adani Enterprises'!H284</f>
        <v>0</v>
      </c>
      <c r="I284" s="48">
        <f>'Adani Enterprises'!I284</f>
        <v>0</v>
      </c>
      <c r="J284" s="48">
        <f>'Adani Enterprises'!J284</f>
        <v>0</v>
      </c>
      <c r="K284" s="48">
        <f>'Adani Enterprises'!K284</f>
        <v>0</v>
      </c>
      <c r="L284" s="48">
        <f>'Adani Enterprises'!L284</f>
        <v>0</v>
      </c>
      <c r="M284" s="48">
        <f>'Adani Enterprises'!M284</f>
        <v>0</v>
      </c>
      <c r="N284" s="48">
        <f>'Adani Enterprises'!N284</f>
        <v>0</v>
      </c>
      <c r="O284" s="48">
        <f>'Adani Enterprises'!O284</f>
        <v>0</v>
      </c>
      <c r="P284" s="48">
        <f>'Adani Enterprises'!P284</f>
        <v>0</v>
      </c>
      <c r="Q284" s="48">
        <f>'Adani Enterprises'!Q284</f>
        <v>0</v>
      </c>
      <c r="R284" s="48">
        <f>'Adani Enterprises'!R284</f>
        <v>0</v>
      </c>
      <c r="S284" s="48">
        <f>'Adani Enterprises'!S284</f>
        <v>0</v>
      </c>
      <c r="T284" s="48">
        <f>'Adani Enterprises'!T284</f>
        <v>0</v>
      </c>
      <c r="U284" s="48">
        <f>'Adani Enterprises'!U284</f>
        <v>0</v>
      </c>
      <c r="V284" s="48">
        <f>'Adani Enterprises'!V284</f>
        <v>0</v>
      </c>
      <c r="W284" s="48">
        <f>'Adani Enterprises'!W284</f>
        <v>0</v>
      </c>
      <c r="X284" s="48">
        <f>'Adani Enterprises'!X284</f>
        <v>0</v>
      </c>
      <c r="Y284" s="48">
        <f>'Adani Enterprises'!Y284</f>
        <v>0</v>
      </c>
      <c r="Z284" s="48">
        <f>'Adani Enterprises'!Z284</f>
        <v>0</v>
      </c>
      <c r="AA284" s="48">
        <f>'Adani Enterprises'!AA284</f>
        <v>0</v>
      </c>
      <c r="AB284" s="48">
        <f>'Adani Enterprises'!AB284</f>
        <v>0</v>
      </c>
      <c r="AC284" s="48">
        <f>'Adani Enterprises'!AC284</f>
        <v>0</v>
      </c>
      <c r="AD284" s="48">
        <f>'Adani Enterprises'!AD284</f>
        <v>0</v>
      </c>
      <c r="AE284" s="48">
        <f>'Adani Enterprises'!AE284</f>
        <v>0</v>
      </c>
      <c r="AF284" s="48">
        <f>'Adani Enterprises'!AF284</f>
        <v>0</v>
      </c>
      <c r="AG284" s="48">
        <f>'Adani Enterprises'!AG284</f>
        <v>0</v>
      </c>
      <c r="AH284" s="48">
        <f>'Adani Enterprises'!AH284</f>
        <v>0</v>
      </c>
      <c r="AI284" s="48">
        <f>'Adani Enterprises'!AI284</f>
        <v>0</v>
      </c>
      <c r="AJ284" s="48">
        <f>'Adani Enterprises'!AJ284</f>
        <v>0</v>
      </c>
      <c r="AK284" s="48">
        <f>'Adani Enterprises'!AK284</f>
        <v>0</v>
      </c>
      <c r="AL284" s="48">
        <f>'Adani Enterprises'!AL284</f>
        <v>0</v>
      </c>
    </row>
    <row r="285" customHeight="1" spans="1:38">
      <c r="A285" s="48">
        <f>'Adani Enterprises'!A285</f>
        <v>0</v>
      </c>
      <c r="B285" s="48">
        <f>'Adani Enterprises'!B285</f>
        <v>0</v>
      </c>
      <c r="C285" s="48">
        <f>'Adani Enterprises'!C285</f>
        <v>0</v>
      </c>
      <c r="D285" s="48">
        <f>'Adani Enterprises'!D285</f>
        <v>0</v>
      </c>
      <c r="E285" s="48">
        <f>'Adani Enterprises'!E285</f>
        <v>0</v>
      </c>
      <c r="F285" s="48">
        <f>'Adani Enterprises'!F285</f>
        <v>0</v>
      </c>
      <c r="G285" s="48">
        <f>'Adani Enterprises'!G285</f>
        <v>0</v>
      </c>
      <c r="H285" s="48">
        <f>'Adani Enterprises'!H285</f>
        <v>0</v>
      </c>
      <c r="I285" s="48">
        <f>'Adani Enterprises'!I285</f>
        <v>0</v>
      </c>
      <c r="J285" s="48">
        <f>'Adani Enterprises'!J285</f>
        <v>0</v>
      </c>
      <c r="K285" s="48">
        <f>'Adani Enterprises'!K285</f>
        <v>0</v>
      </c>
      <c r="L285" s="48">
        <f>'Adani Enterprises'!L285</f>
        <v>0</v>
      </c>
      <c r="M285" s="48">
        <f>'Adani Enterprises'!M285</f>
        <v>0</v>
      </c>
      <c r="N285" s="48">
        <f>'Adani Enterprises'!N285</f>
        <v>0</v>
      </c>
      <c r="O285" s="48">
        <f>'Adani Enterprises'!O285</f>
        <v>0</v>
      </c>
      <c r="P285" s="48">
        <f>'Adani Enterprises'!P285</f>
        <v>0</v>
      </c>
      <c r="Q285" s="48">
        <f>'Adani Enterprises'!Q285</f>
        <v>0</v>
      </c>
      <c r="R285" s="48">
        <f>'Adani Enterprises'!R285</f>
        <v>0</v>
      </c>
      <c r="S285" s="48">
        <f>'Adani Enterprises'!S285</f>
        <v>0</v>
      </c>
      <c r="T285" s="48">
        <f>'Adani Enterprises'!T285</f>
        <v>0</v>
      </c>
      <c r="U285" s="48">
        <f>'Adani Enterprises'!U285</f>
        <v>0</v>
      </c>
      <c r="V285" s="48">
        <f>'Adani Enterprises'!V285</f>
        <v>0</v>
      </c>
      <c r="W285" s="48">
        <f>'Adani Enterprises'!W285</f>
        <v>0</v>
      </c>
      <c r="X285" s="48">
        <f>'Adani Enterprises'!X285</f>
        <v>0</v>
      </c>
      <c r="Y285" s="48">
        <f>'Adani Enterprises'!Y285</f>
        <v>0</v>
      </c>
      <c r="Z285" s="48">
        <f>'Adani Enterprises'!Z285</f>
        <v>0</v>
      </c>
      <c r="AA285" s="48">
        <f>'Adani Enterprises'!AA285</f>
        <v>0</v>
      </c>
      <c r="AB285" s="48">
        <f>'Adani Enterprises'!AB285</f>
        <v>0</v>
      </c>
      <c r="AC285" s="48">
        <f>'Adani Enterprises'!AC285</f>
        <v>0</v>
      </c>
      <c r="AD285" s="48">
        <f>'Adani Enterprises'!AD285</f>
        <v>0</v>
      </c>
      <c r="AE285" s="48">
        <f>'Adani Enterprises'!AE285</f>
        <v>0</v>
      </c>
      <c r="AF285" s="48">
        <f>'Adani Enterprises'!AF285</f>
        <v>0</v>
      </c>
      <c r="AG285" s="48">
        <f>'Adani Enterprises'!AG285</f>
        <v>0</v>
      </c>
      <c r="AH285" s="48">
        <f>'Adani Enterprises'!AH285</f>
        <v>0</v>
      </c>
      <c r="AI285" s="48">
        <f>'Adani Enterprises'!AI285</f>
        <v>0</v>
      </c>
      <c r="AJ285" s="48">
        <f>'Adani Enterprises'!AJ285</f>
        <v>0</v>
      </c>
      <c r="AK285" s="48">
        <f>'Adani Enterprises'!AK285</f>
        <v>0</v>
      </c>
      <c r="AL285" s="48">
        <f>'Adani Enterprises'!AL285</f>
        <v>0</v>
      </c>
    </row>
    <row r="286" customHeight="1" spans="1:38">
      <c r="A286" s="48">
        <f>'Adani Enterprises'!A286</f>
        <v>0</v>
      </c>
      <c r="B286" s="48">
        <f>'Adani Enterprises'!B286</f>
        <v>0</v>
      </c>
      <c r="C286" s="48">
        <f>'Adani Enterprises'!C286</f>
        <v>0</v>
      </c>
      <c r="D286" s="48">
        <f>'Adani Enterprises'!D286</f>
        <v>0</v>
      </c>
      <c r="E286" s="48">
        <f>'Adani Enterprises'!E286</f>
        <v>0</v>
      </c>
      <c r="F286" s="48">
        <f>'Adani Enterprises'!F286</f>
        <v>0</v>
      </c>
      <c r="G286" s="48">
        <f>'Adani Enterprises'!G286</f>
        <v>0</v>
      </c>
      <c r="H286" s="48">
        <f>'Adani Enterprises'!H286</f>
        <v>0</v>
      </c>
      <c r="I286" s="48">
        <f>'Adani Enterprises'!I286</f>
        <v>0</v>
      </c>
      <c r="J286" s="48">
        <f>'Adani Enterprises'!J286</f>
        <v>0</v>
      </c>
      <c r="K286" s="48">
        <f>'Adani Enterprises'!K286</f>
        <v>0</v>
      </c>
      <c r="L286" s="48">
        <f>'Adani Enterprises'!L286</f>
        <v>0</v>
      </c>
      <c r="M286" s="48">
        <f>'Adani Enterprises'!M286</f>
        <v>0</v>
      </c>
      <c r="N286" s="48">
        <f>'Adani Enterprises'!N286</f>
        <v>0</v>
      </c>
      <c r="O286" s="48">
        <f>'Adani Enterprises'!O286</f>
        <v>0</v>
      </c>
      <c r="P286" s="48">
        <f>'Adani Enterprises'!P286</f>
        <v>0</v>
      </c>
      <c r="Q286" s="48">
        <f>'Adani Enterprises'!Q286</f>
        <v>0</v>
      </c>
      <c r="R286" s="48">
        <f>'Adani Enterprises'!R286</f>
        <v>0</v>
      </c>
      <c r="S286" s="48">
        <f>'Adani Enterprises'!S286</f>
        <v>0</v>
      </c>
      <c r="T286" s="48">
        <f>'Adani Enterprises'!T286</f>
        <v>0</v>
      </c>
      <c r="U286" s="48">
        <f>'Adani Enterprises'!U286</f>
        <v>0</v>
      </c>
      <c r="V286" s="48">
        <f>'Adani Enterprises'!V286</f>
        <v>0</v>
      </c>
      <c r="W286" s="48">
        <f>'Adani Enterprises'!W286</f>
        <v>0</v>
      </c>
      <c r="X286" s="48">
        <f>'Adani Enterprises'!X286</f>
        <v>0</v>
      </c>
      <c r="Y286" s="48">
        <f>'Adani Enterprises'!Y286</f>
        <v>0</v>
      </c>
      <c r="Z286" s="48">
        <f>'Adani Enterprises'!Z286</f>
        <v>0</v>
      </c>
      <c r="AA286" s="48">
        <f>'Adani Enterprises'!AA286</f>
        <v>0</v>
      </c>
      <c r="AB286" s="48">
        <f>'Adani Enterprises'!AB286</f>
        <v>0</v>
      </c>
      <c r="AC286" s="48">
        <f>'Adani Enterprises'!AC286</f>
        <v>0</v>
      </c>
      <c r="AD286" s="48">
        <f>'Adani Enterprises'!AD286</f>
        <v>0</v>
      </c>
      <c r="AE286" s="48">
        <f>'Adani Enterprises'!AE286</f>
        <v>0</v>
      </c>
      <c r="AF286" s="48">
        <f>'Adani Enterprises'!AF286</f>
        <v>0</v>
      </c>
      <c r="AG286" s="48">
        <f>'Adani Enterprises'!AG286</f>
        <v>0</v>
      </c>
      <c r="AH286" s="48">
        <f>'Adani Enterprises'!AH286</f>
        <v>0</v>
      </c>
      <c r="AI286" s="48">
        <f>'Adani Enterprises'!AI286</f>
        <v>0</v>
      </c>
      <c r="AJ286" s="48">
        <f>'Adani Enterprises'!AJ286</f>
        <v>0</v>
      </c>
      <c r="AK286" s="48">
        <f>'Adani Enterprises'!AK286</f>
        <v>0</v>
      </c>
      <c r="AL286" s="48">
        <f>'Adani Enterprises'!AL286</f>
        <v>0</v>
      </c>
    </row>
    <row r="287" customHeight="1" spans="1:38">
      <c r="A287" s="48">
        <f>'Adani Enterprises'!A287</f>
        <v>0</v>
      </c>
      <c r="B287" s="48">
        <f>'Adani Enterprises'!B287</f>
        <v>0</v>
      </c>
      <c r="C287" s="48">
        <f>'Adani Enterprises'!C287</f>
        <v>0</v>
      </c>
      <c r="D287" s="48">
        <f>'Adani Enterprises'!D287</f>
        <v>0</v>
      </c>
      <c r="E287" s="48">
        <f>'Adani Enterprises'!E287</f>
        <v>0</v>
      </c>
      <c r="F287" s="48">
        <f>'Adani Enterprises'!F287</f>
        <v>0</v>
      </c>
      <c r="G287" s="48">
        <f>'Adani Enterprises'!G287</f>
        <v>0</v>
      </c>
      <c r="H287" s="48">
        <f>'Adani Enterprises'!H287</f>
        <v>0</v>
      </c>
      <c r="I287" s="48">
        <f>'Adani Enterprises'!I287</f>
        <v>0</v>
      </c>
      <c r="J287" s="48">
        <f>'Adani Enterprises'!J287</f>
        <v>0</v>
      </c>
      <c r="K287" s="48">
        <f>'Adani Enterprises'!K287</f>
        <v>0</v>
      </c>
      <c r="L287" s="48">
        <f>'Adani Enterprises'!L287</f>
        <v>0</v>
      </c>
      <c r="M287" s="48">
        <f>'Adani Enterprises'!M287</f>
        <v>0</v>
      </c>
      <c r="N287" s="48">
        <f>'Adani Enterprises'!N287</f>
        <v>0</v>
      </c>
      <c r="O287" s="48">
        <f>'Adani Enterprises'!O287</f>
        <v>0</v>
      </c>
      <c r="P287" s="48">
        <f>'Adani Enterprises'!P287</f>
        <v>0</v>
      </c>
      <c r="Q287" s="48">
        <f>'Adani Enterprises'!Q287</f>
        <v>0</v>
      </c>
      <c r="R287" s="48">
        <f>'Adani Enterprises'!R287</f>
        <v>0</v>
      </c>
      <c r="S287" s="48">
        <f>'Adani Enterprises'!S287</f>
        <v>0</v>
      </c>
      <c r="T287" s="48">
        <f>'Adani Enterprises'!T287</f>
        <v>0</v>
      </c>
      <c r="U287" s="48">
        <f>'Adani Enterprises'!U287</f>
        <v>0</v>
      </c>
      <c r="V287" s="48">
        <f>'Adani Enterprises'!V287</f>
        <v>0</v>
      </c>
      <c r="W287" s="48">
        <f>'Adani Enterprises'!W287</f>
        <v>0</v>
      </c>
      <c r="X287" s="48">
        <f>'Adani Enterprises'!X287</f>
        <v>0</v>
      </c>
      <c r="Y287" s="48">
        <f>'Adani Enterprises'!Y287</f>
        <v>0</v>
      </c>
      <c r="Z287" s="48">
        <f>'Adani Enterprises'!Z287</f>
        <v>0</v>
      </c>
      <c r="AA287" s="48">
        <f>'Adani Enterprises'!AA287</f>
        <v>0</v>
      </c>
      <c r="AB287" s="48">
        <f>'Adani Enterprises'!AB287</f>
        <v>0</v>
      </c>
      <c r="AC287" s="48">
        <f>'Adani Enterprises'!AC287</f>
        <v>0</v>
      </c>
      <c r="AD287" s="48">
        <f>'Adani Enterprises'!AD287</f>
        <v>0</v>
      </c>
      <c r="AE287" s="48">
        <f>'Adani Enterprises'!AE287</f>
        <v>0</v>
      </c>
      <c r="AF287" s="48">
        <f>'Adani Enterprises'!AF287</f>
        <v>0</v>
      </c>
      <c r="AG287" s="48">
        <f>'Adani Enterprises'!AG287</f>
        <v>0</v>
      </c>
      <c r="AH287" s="48">
        <f>'Adani Enterprises'!AH287</f>
        <v>0</v>
      </c>
      <c r="AI287" s="48">
        <f>'Adani Enterprises'!AI287</f>
        <v>0</v>
      </c>
      <c r="AJ287" s="48">
        <f>'Adani Enterprises'!AJ287</f>
        <v>0</v>
      </c>
      <c r="AK287" s="48">
        <f>'Adani Enterprises'!AK287</f>
        <v>0</v>
      </c>
      <c r="AL287" s="48">
        <f>'Adani Enterprises'!AL287</f>
        <v>0</v>
      </c>
    </row>
    <row r="288" customHeight="1" spans="1:38">
      <c r="A288" s="48">
        <f>'Adani Enterprises'!A288</f>
        <v>0</v>
      </c>
      <c r="B288" s="48">
        <f>'Adani Enterprises'!B288</f>
        <v>0</v>
      </c>
      <c r="C288" s="48">
        <f>'Adani Enterprises'!C288</f>
        <v>0</v>
      </c>
      <c r="D288" s="48">
        <f>'Adani Enterprises'!D288</f>
        <v>0</v>
      </c>
      <c r="E288" s="48">
        <f>'Adani Enterprises'!E288</f>
        <v>0</v>
      </c>
      <c r="F288" s="48">
        <f>'Adani Enterprises'!F288</f>
        <v>0</v>
      </c>
      <c r="G288" s="48">
        <f>'Adani Enterprises'!G288</f>
        <v>0</v>
      </c>
      <c r="H288" s="48">
        <f>'Adani Enterprises'!H288</f>
        <v>0</v>
      </c>
      <c r="I288" s="48">
        <f>'Adani Enterprises'!I288</f>
        <v>0</v>
      </c>
      <c r="J288" s="48">
        <f>'Adani Enterprises'!J288</f>
        <v>0</v>
      </c>
      <c r="K288" s="48">
        <f>'Adani Enterprises'!K288</f>
        <v>0</v>
      </c>
      <c r="L288" s="48">
        <f>'Adani Enterprises'!L288</f>
        <v>0</v>
      </c>
      <c r="M288" s="48">
        <f>'Adani Enterprises'!M288</f>
        <v>0</v>
      </c>
      <c r="N288" s="48">
        <f>'Adani Enterprises'!N288</f>
        <v>0</v>
      </c>
      <c r="O288" s="48">
        <f>'Adani Enterprises'!O288</f>
        <v>0</v>
      </c>
      <c r="P288" s="48">
        <f>'Adani Enterprises'!P288</f>
        <v>0</v>
      </c>
      <c r="Q288" s="48">
        <f>'Adani Enterprises'!Q288</f>
        <v>0</v>
      </c>
      <c r="R288" s="48">
        <f>'Adani Enterprises'!R288</f>
        <v>0</v>
      </c>
      <c r="S288" s="48">
        <f>'Adani Enterprises'!S288</f>
        <v>0</v>
      </c>
      <c r="T288" s="48">
        <f>'Adani Enterprises'!T288</f>
        <v>0</v>
      </c>
      <c r="U288" s="48">
        <f>'Adani Enterprises'!U288</f>
        <v>0</v>
      </c>
      <c r="V288" s="48">
        <f>'Adani Enterprises'!V288</f>
        <v>0</v>
      </c>
      <c r="W288" s="48">
        <f>'Adani Enterprises'!W288</f>
        <v>0</v>
      </c>
      <c r="X288" s="48">
        <f>'Adani Enterprises'!X288</f>
        <v>0</v>
      </c>
      <c r="Y288" s="48">
        <f>'Adani Enterprises'!Y288</f>
        <v>0</v>
      </c>
      <c r="Z288" s="48">
        <f>'Adani Enterprises'!Z288</f>
        <v>0</v>
      </c>
      <c r="AA288" s="48">
        <f>'Adani Enterprises'!AA288</f>
        <v>0</v>
      </c>
      <c r="AB288" s="48">
        <f>'Adani Enterprises'!AB288</f>
        <v>0</v>
      </c>
      <c r="AC288" s="48">
        <f>'Adani Enterprises'!AC288</f>
        <v>0</v>
      </c>
      <c r="AD288" s="48">
        <f>'Adani Enterprises'!AD288</f>
        <v>0</v>
      </c>
      <c r="AE288" s="48">
        <f>'Adani Enterprises'!AE288</f>
        <v>0</v>
      </c>
      <c r="AF288" s="48">
        <f>'Adani Enterprises'!AF288</f>
        <v>0</v>
      </c>
      <c r="AG288" s="48">
        <f>'Adani Enterprises'!AG288</f>
        <v>0</v>
      </c>
      <c r="AH288" s="48">
        <f>'Adani Enterprises'!AH288</f>
        <v>0</v>
      </c>
      <c r="AI288" s="48">
        <f>'Adani Enterprises'!AI288</f>
        <v>0</v>
      </c>
      <c r="AJ288" s="48">
        <f>'Adani Enterprises'!AJ288</f>
        <v>0</v>
      </c>
      <c r="AK288" s="48">
        <f>'Adani Enterprises'!AK288</f>
        <v>0</v>
      </c>
      <c r="AL288" s="48">
        <f>'Adani Enterprises'!AL288</f>
        <v>0</v>
      </c>
    </row>
    <row r="289" customHeight="1" spans="1:38">
      <c r="A289" s="48">
        <f>'Adani Enterprises'!A289</f>
        <v>0</v>
      </c>
      <c r="B289" s="48">
        <f>'Adani Enterprises'!B289</f>
        <v>0</v>
      </c>
      <c r="C289" s="48">
        <f>'Adani Enterprises'!C289</f>
        <v>0</v>
      </c>
      <c r="D289" s="48">
        <f>'Adani Enterprises'!D289</f>
        <v>0</v>
      </c>
      <c r="E289" s="48">
        <f>'Adani Enterprises'!E289</f>
        <v>0</v>
      </c>
      <c r="F289" s="48">
        <f>'Adani Enterprises'!F289</f>
        <v>0</v>
      </c>
      <c r="G289" s="48">
        <f>'Adani Enterprises'!G289</f>
        <v>0</v>
      </c>
      <c r="H289" s="48">
        <f>'Adani Enterprises'!H289</f>
        <v>0</v>
      </c>
      <c r="I289" s="48">
        <f>'Adani Enterprises'!I289</f>
        <v>0</v>
      </c>
      <c r="J289" s="48">
        <f>'Adani Enterprises'!J289</f>
        <v>0</v>
      </c>
      <c r="K289" s="48">
        <f>'Adani Enterprises'!K289</f>
        <v>0</v>
      </c>
      <c r="L289" s="48">
        <f>'Adani Enterprises'!L289</f>
        <v>0</v>
      </c>
      <c r="M289" s="48">
        <f>'Adani Enterprises'!M289</f>
        <v>0</v>
      </c>
      <c r="N289" s="48">
        <f>'Adani Enterprises'!N289</f>
        <v>0</v>
      </c>
      <c r="O289" s="48">
        <f>'Adani Enterprises'!O289</f>
        <v>0</v>
      </c>
      <c r="P289" s="48">
        <f>'Adani Enterprises'!P289</f>
        <v>0</v>
      </c>
      <c r="Q289" s="48">
        <f>'Adani Enterprises'!Q289</f>
        <v>0</v>
      </c>
      <c r="R289" s="48">
        <f>'Adani Enterprises'!R289</f>
        <v>0</v>
      </c>
      <c r="S289" s="48">
        <f>'Adani Enterprises'!S289</f>
        <v>0</v>
      </c>
      <c r="T289" s="48">
        <f>'Adani Enterprises'!T289</f>
        <v>0</v>
      </c>
      <c r="U289" s="48">
        <f>'Adani Enterprises'!U289</f>
        <v>0</v>
      </c>
      <c r="V289" s="48">
        <f>'Adani Enterprises'!V289</f>
        <v>0</v>
      </c>
      <c r="W289" s="48">
        <f>'Adani Enterprises'!W289</f>
        <v>0</v>
      </c>
      <c r="X289" s="48">
        <f>'Adani Enterprises'!X289</f>
        <v>0</v>
      </c>
      <c r="Y289" s="48">
        <f>'Adani Enterprises'!Y289</f>
        <v>0</v>
      </c>
      <c r="Z289" s="48">
        <f>'Adani Enterprises'!Z289</f>
        <v>0</v>
      </c>
      <c r="AA289" s="48">
        <f>'Adani Enterprises'!AA289</f>
        <v>0</v>
      </c>
      <c r="AB289" s="48">
        <f>'Adani Enterprises'!AB289</f>
        <v>0</v>
      </c>
      <c r="AC289" s="48">
        <f>'Adani Enterprises'!AC289</f>
        <v>0</v>
      </c>
      <c r="AD289" s="48">
        <f>'Adani Enterprises'!AD289</f>
        <v>0</v>
      </c>
      <c r="AE289" s="48">
        <f>'Adani Enterprises'!AE289</f>
        <v>0</v>
      </c>
      <c r="AF289" s="48">
        <f>'Adani Enterprises'!AF289</f>
        <v>0</v>
      </c>
      <c r="AG289" s="48">
        <f>'Adani Enterprises'!AG289</f>
        <v>0</v>
      </c>
      <c r="AH289" s="48">
        <f>'Adani Enterprises'!AH289</f>
        <v>0</v>
      </c>
      <c r="AI289" s="48">
        <f>'Adani Enterprises'!AI289</f>
        <v>0</v>
      </c>
      <c r="AJ289" s="48">
        <f>'Adani Enterprises'!AJ289</f>
        <v>0</v>
      </c>
      <c r="AK289" s="48">
        <f>'Adani Enterprises'!AK289</f>
        <v>0</v>
      </c>
      <c r="AL289" s="48">
        <f>'Adani Enterprises'!AL289</f>
        <v>0</v>
      </c>
    </row>
    <row r="290" customHeight="1" spans="1:38">
      <c r="A290" s="48">
        <f>'Adani Enterprises'!A290</f>
        <v>0</v>
      </c>
      <c r="B290" s="48">
        <f>'Adani Enterprises'!B290</f>
        <v>0</v>
      </c>
      <c r="C290" s="48">
        <f>'Adani Enterprises'!C290</f>
        <v>0</v>
      </c>
      <c r="D290" s="48">
        <f>'Adani Enterprises'!D290</f>
        <v>0</v>
      </c>
      <c r="E290" s="48">
        <f>'Adani Enterprises'!E290</f>
        <v>0</v>
      </c>
      <c r="F290" s="48">
        <f>'Adani Enterprises'!F290</f>
        <v>0</v>
      </c>
      <c r="G290" s="48">
        <f>'Adani Enterprises'!G290</f>
        <v>0</v>
      </c>
      <c r="H290" s="48">
        <f>'Adani Enterprises'!H290</f>
        <v>0</v>
      </c>
      <c r="I290" s="48">
        <f>'Adani Enterprises'!I290</f>
        <v>0</v>
      </c>
      <c r="J290" s="48">
        <f>'Adani Enterprises'!J290</f>
        <v>0</v>
      </c>
      <c r="K290" s="48">
        <f>'Adani Enterprises'!K290</f>
        <v>0</v>
      </c>
      <c r="L290" s="48">
        <f>'Adani Enterprises'!L290</f>
        <v>0</v>
      </c>
      <c r="M290" s="48">
        <f>'Adani Enterprises'!M290</f>
        <v>0</v>
      </c>
      <c r="N290" s="48">
        <f>'Adani Enterprises'!N290</f>
        <v>0</v>
      </c>
      <c r="O290" s="48">
        <f>'Adani Enterprises'!O290</f>
        <v>0</v>
      </c>
      <c r="P290" s="48">
        <f>'Adani Enterprises'!P290</f>
        <v>0</v>
      </c>
      <c r="Q290" s="48">
        <f>'Adani Enterprises'!Q290</f>
        <v>0</v>
      </c>
      <c r="R290" s="48">
        <f>'Adani Enterprises'!R290</f>
        <v>0</v>
      </c>
      <c r="S290" s="48">
        <f>'Adani Enterprises'!S290</f>
        <v>0</v>
      </c>
      <c r="T290" s="48">
        <f>'Adani Enterprises'!T290</f>
        <v>0</v>
      </c>
      <c r="U290" s="48">
        <f>'Adani Enterprises'!U290</f>
        <v>0</v>
      </c>
      <c r="V290" s="48">
        <f>'Adani Enterprises'!V290</f>
        <v>0</v>
      </c>
      <c r="W290" s="48">
        <f>'Adani Enterprises'!W290</f>
        <v>0</v>
      </c>
      <c r="X290" s="48">
        <f>'Adani Enterprises'!X290</f>
        <v>0</v>
      </c>
      <c r="Y290" s="48">
        <f>'Adani Enterprises'!Y290</f>
        <v>0</v>
      </c>
      <c r="Z290" s="48">
        <f>'Adani Enterprises'!Z290</f>
        <v>0</v>
      </c>
      <c r="AA290" s="48">
        <f>'Adani Enterprises'!AA290</f>
        <v>0</v>
      </c>
      <c r="AB290" s="48">
        <f>'Adani Enterprises'!AB290</f>
        <v>0</v>
      </c>
      <c r="AC290" s="48">
        <f>'Adani Enterprises'!AC290</f>
        <v>0</v>
      </c>
      <c r="AD290" s="48">
        <f>'Adani Enterprises'!AD290</f>
        <v>0</v>
      </c>
      <c r="AE290" s="48">
        <f>'Adani Enterprises'!AE290</f>
        <v>0</v>
      </c>
      <c r="AF290" s="48">
        <f>'Adani Enterprises'!AF290</f>
        <v>0</v>
      </c>
      <c r="AG290" s="48">
        <f>'Adani Enterprises'!AG290</f>
        <v>0</v>
      </c>
      <c r="AH290" s="48">
        <f>'Adani Enterprises'!AH290</f>
        <v>0</v>
      </c>
      <c r="AI290" s="48">
        <f>'Adani Enterprises'!AI290</f>
        <v>0</v>
      </c>
      <c r="AJ290" s="48">
        <f>'Adani Enterprises'!AJ290</f>
        <v>0</v>
      </c>
      <c r="AK290" s="48">
        <f>'Adani Enterprises'!AK290</f>
        <v>0</v>
      </c>
      <c r="AL290" s="48">
        <f>'Adani Enterprises'!AL290</f>
        <v>0</v>
      </c>
    </row>
    <row r="291" customHeight="1" spans="1:38">
      <c r="A291" s="48">
        <f>'Adani Enterprises'!A291</f>
        <v>0</v>
      </c>
      <c r="B291" s="48">
        <f>'Adani Enterprises'!B291</f>
        <v>0</v>
      </c>
      <c r="C291" s="48">
        <f>'Adani Enterprises'!C291</f>
        <v>0</v>
      </c>
      <c r="D291" s="48">
        <f>'Adani Enterprises'!D291</f>
        <v>0</v>
      </c>
      <c r="E291" s="48">
        <f>'Adani Enterprises'!E291</f>
        <v>0</v>
      </c>
      <c r="F291" s="48">
        <f>'Adani Enterprises'!F291</f>
        <v>0</v>
      </c>
      <c r="G291" s="48">
        <f>'Adani Enterprises'!G291</f>
        <v>0</v>
      </c>
      <c r="H291" s="48">
        <f>'Adani Enterprises'!H291</f>
        <v>0</v>
      </c>
      <c r="I291" s="48">
        <f>'Adani Enterprises'!I291</f>
        <v>0</v>
      </c>
      <c r="J291" s="48">
        <f>'Adani Enterprises'!J291</f>
        <v>0</v>
      </c>
      <c r="K291" s="48">
        <f>'Adani Enterprises'!K291</f>
        <v>0</v>
      </c>
      <c r="L291" s="48">
        <f>'Adani Enterprises'!L291</f>
        <v>0</v>
      </c>
      <c r="M291" s="48">
        <f>'Adani Enterprises'!M291</f>
        <v>0</v>
      </c>
      <c r="N291" s="48">
        <f>'Adani Enterprises'!N291</f>
        <v>0</v>
      </c>
      <c r="O291" s="48">
        <f>'Adani Enterprises'!O291</f>
        <v>0</v>
      </c>
      <c r="P291" s="48">
        <f>'Adani Enterprises'!P291</f>
        <v>0</v>
      </c>
      <c r="Q291" s="48">
        <f>'Adani Enterprises'!Q291</f>
        <v>0</v>
      </c>
      <c r="R291" s="48">
        <f>'Adani Enterprises'!R291</f>
        <v>0</v>
      </c>
      <c r="S291" s="48">
        <f>'Adani Enterprises'!S291</f>
        <v>0</v>
      </c>
      <c r="T291" s="48">
        <f>'Adani Enterprises'!T291</f>
        <v>0</v>
      </c>
      <c r="U291" s="48">
        <f>'Adani Enterprises'!U291</f>
        <v>0</v>
      </c>
      <c r="V291" s="48">
        <f>'Adani Enterprises'!V291</f>
        <v>0</v>
      </c>
      <c r="W291" s="48">
        <f>'Adani Enterprises'!W291</f>
        <v>0</v>
      </c>
      <c r="X291" s="48">
        <f>'Adani Enterprises'!X291</f>
        <v>0</v>
      </c>
      <c r="Y291" s="48">
        <f>'Adani Enterprises'!Y291</f>
        <v>0</v>
      </c>
      <c r="Z291" s="48">
        <f>'Adani Enterprises'!Z291</f>
        <v>0</v>
      </c>
      <c r="AA291" s="48">
        <f>'Adani Enterprises'!AA291</f>
        <v>0</v>
      </c>
      <c r="AB291" s="48">
        <f>'Adani Enterprises'!AB291</f>
        <v>0</v>
      </c>
      <c r="AC291" s="48">
        <f>'Adani Enterprises'!AC291</f>
        <v>0</v>
      </c>
      <c r="AD291" s="48">
        <f>'Adani Enterprises'!AD291</f>
        <v>0</v>
      </c>
      <c r="AE291" s="48">
        <f>'Adani Enterprises'!AE291</f>
        <v>0</v>
      </c>
      <c r="AF291" s="48">
        <f>'Adani Enterprises'!AF291</f>
        <v>0</v>
      </c>
      <c r="AG291" s="48">
        <f>'Adani Enterprises'!AG291</f>
        <v>0</v>
      </c>
      <c r="AH291" s="48">
        <f>'Adani Enterprises'!AH291</f>
        <v>0</v>
      </c>
      <c r="AI291" s="48">
        <f>'Adani Enterprises'!AI291</f>
        <v>0</v>
      </c>
      <c r="AJ291" s="48">
        <f>'Adani Enterprises'!AJ291</f>
        <v>0</v>
      </c>
      <c r="AK291" s="48">
        <f>'Adani Enterprises'!AK291</f>
        <v>0</v>
      </c>
      <c r="AL291" s="48">
        <f>'Adani Enterprises'!AL291</f>
        <v>0</v>
      </c>
    </row>
    <row r="292" customHeight="1" spans="1:38">
      <c r="A292" s="48">
        <f>'Adani Enterprises'!A292</f>
        <v>0</v>
      </c>
      <c r="B292" s="48">
        <f>'Adani Enterprises'!B292</f>
        <v>0</v>
      </c>
      <c r="C292" s="48">
        <f>'Adani Enterprises'!C292</f>
        <v>0</v>
      </c>
      <c r="D292" s="48">
        <f>'Adani Enterprises'!D292</f>
        <v>0</v>
      </c>
      <c r="E292" s="48">
        <f>'Adani Enterprises'!E292</f>
        <v>0</v>
      </c>
      <c r="F292" s="48">
        <f>'Adani Enterprises'!F292</f>
        <v>0</v>
      </c>
      <c r="G292" s="48">
        <f>'Adani Enterprises'!G292</f>
        <v>0</v>
      </c>
      <c r="H292" s="48">
        <f>'Adani Enterprises'!H292</f>
        <v>0</v>
      </c>
      <c r="I292" s="48">
        <f>'Adani Enterprises'!I292</f>
        <v>0</v>
      </c>
      <c r="J292" s="48">
        <f>'Adani Enterprises'!J292</f>
        <v>0</v>
      </c>
      <c r="K292" s="48">
        <f>'Adani Enterprises'!K292</f>
        <v>0</v>
      </c>
      <c r="L292" s="48">
        <f>'Adani Enterprises'!L292</f>
        <v>0</v>
      </c>
      <c r="M292" s="48">
        <f>'Adani Enterprises'!M292</f>
        <v>0</v>
      </c>
      <c r="N292" s="48">
        <f>'Adani Enterprises'!N292</f>
        <v>0</v>
      </c>
      <c r="O292" s="48">
        <f>'Adani Enterprises'!O292</f>
        <v>0</v>
      </c>
      <c r="P292" s="48">
        <f>'Adani Enterprises'!P292</f>
        <v>0</v>
      </c>
      <c r="Q292" s="48">
        <f>'Adani Enterprises'!Q292</f>
        <v>0</v>
      </c>
      <c r="R292" s="48">
        <f>'Adani Enterprises'!R292</f>
        <v>0</v>
      </c>
      <c r="S292" s="48">
        <f>'Adani Enterprises'!S292</f>
        <v>0</v>
      </c>
      <c r="T292" s="48">
        <f>'Adani Enterprises'!T292</f>
        <v>0</v>
      </c>
      <c r="U292" s="48">
        <f>'Adani Enterprises'!U292</f>
        <v>0</v>
      </c>
      <c r="V292" s="48">
        <f>'Adani Enterprises'!V292</f>
        <v>0</v>
      </c>
      <c r="W292" s="48">
        <f>'Adani Enterprises'!W292</f>
        <v>0</v>
      </c>
      <c r="X292" s="48">
        <f>'Adani Enterprises'!X292</f>
        <v>0</v>
      </c>
      <c r="Y292" s="48">
        <f>'Adani Enterprises'!Y292</f>
        <v>0</v>
      </c>
      <c r="Z292" s="48">
        <f>'Adani Enterprises'!Z292</f>
        <v>0</v>
      </c>
      <c r="AA292" s="48">
        <f>'Adani Enterprises'!AA292</f>
        <v>0</v>
      </c>
      <c r="AB292" s="48">
        <f>'Adani Enterprises'!AB292</f>
        <v>0</v>
      </c>
      <c r="AC292" s="48">
        <f>'Adani Enterprises'!AC292</f>
        <v>0</v>
      </c>
      <c r="AD292" s="48">
        <f>'Adani Enterprises'!AD292</f>
        <v>0</v>
      </c>
      <c r="AE292" s="48">
        <f>'Adani Enterprises'!AE292</f>
        <v>0</v>
      </c>
      <c r="AF292" s="48">
        <f>'Adani Enterprises'!AF292</f>
        <v>0</v>
      </c>
      <c r="AG292" s="48">
        <f>'Adani Enterprises'!AG292</f>
        <v>0</v>
      </c>
      <c r="AH292" s="48">
        <f>'Adani Enterprises'!AH292</f>
        <v>0</v>
      </c>
      <c r="AI292" s="48">
        <f>'Adani Enterprises'!AI292</f>
        <v>0</v>
      </c>
      <c r="AJ292" s="48">
        <f>'Adani Enterprises'!AJ292</f>
        <v>0</v>
      </c>
      <c r="AK292" s="48">
        <f>'Adani Enterprises'!AK292</f>
        <v>0</v>
      </c>
      <c r="AL292" s="48">
        <f>'Adani Enterprises'!AL292</f>
        <v>0</v>
      </c>
    </row>
    <row r="293" customHeight="1" spans="1:38">
      <c r="A293" s="48">
        <f>'Adani Enterprises'!A293</f>
        <v>0</v>
      </c>
      <c r="B293" s="48">
        <f>'Adani Enterprises'!B293</f>
        <v>0</v>
      </c>
      <c r="C293" s="48">
        <f>'Adani Enterprises'!C293</f>
        <v>0</v>
      </c>
      <c r="D293" s="48">
        <f>'Adani Enterprises'!D293</f>
        <v>0</v>
      </c>
      <c r="E293" s="48">
        <f>'Adani Enterprises'!E293</f>
        <v>0</v>
      </c>
      <c r="F293" s="48">
        <f>'Adani Enterprises'!F293</f>
        <v>0</v>
      </c>
      <c r="G293" s="48">
        <f>'Adani Enterprises'!G293</f>
        <v>0</v>
      </c>
      <c r="H293" s="48">
        <f>'Adani Enterprises'!H293</f>
        <v>0</v>
      </c>
      <c r="I293" s="48">
        <f>'Adani Enterprises'!I293</f>
        <v>0</v>
      </c>
      <c r="J293" s="48">
        <f>'Adani Enterprises'!J293</f>
        <v>0</v>
      </c>
      <c r="K293" s="48">
        <f>'Adani Enterprises'!K293</f>
        <v>0</v>
      </c>
      <c r="L293" s="48">
        <f>'Adani Enterprises'!L293</f>
        <v>0</v>
      </c>
      <c r="M293" s="48">
        <f>'Adani Enterprises'!M293</f>
        <v>0</v>
      </c>
      <c r="N293" s="48">
        <f>'Adani Enterprises'!N293</f>
        <v>0</v>
      </c>
      <c r="O293" s="48">
        <f>'Adani Enterprises'!O293</f>
        <v>0</v>
      </c>
      <c r="P293" s="48">
        <f>'Adani Enterprises'!P293</f>
        <v>0</v>
      </c>
      <c r="Q293" s="48">
        <f>'Adani Enterprises'!Q293</f>
        <v>0</v>
      </c>
      <c r="R293" s="48">
        <f>'Adani Enterprises'!R293</f>
        <v>0</v>
      </c>
      <c r="S293" s="48">
        <f>'Adani Enterprises'!S293</f>
        <v>0</v>
      </c>
      <c r="T293" s="48">
        <f>'Adani Enterprises'!T293</f>
        <v>0</v>
      </c>
      <c r="U293" s="48">
        <f>'Adani Enterprises'!U293</f>
        <v>0</v>
      </c>
      <c r="V293" s="48">
        <f>'Adani Enterprises'!V293</f>
        <v>0</v>
      </c>
      <c r="W293" s="48">
        <f>'Adani Enterprises'!W293</f>
        <v>0</v>
      </c>
      <c r="X293" s="48">
        <f>'Adani Enterprises'!X293</f>
        <v>0</v>
      </c>
      <c r="Y293" s="48">
        <f>'Adani Enterprises'!Y293</f>
        <v>0</v>
      </c>
      <c r="Z293" s="48">
        <f>'Adani Enterprises'!Z293</f>
        <v>0</v>
      </c>
      <c r="AA293" s="48">
        <f>'Adani Enterprises'!AA293</f>
        <v>0</v>
      </c>
      <c r="AB293" s="48">
        <f>'Adani Enterprises'!AB293</f>
        <v>0</v>
      </c>
      <c r="AC293" s="48">
        <f>'Adani Enterprises'!AC293</f>
        <v>0</v>
      </c>
      <c r="AD293" s="48">
        <f>'Adani Enterprises'!AD293</f>
        <v>0</v>
      </c>
      <c r="AE293" s="48">
        <f>'Adani Enterprises'!AE293</f>
        <v>0</v>
      </c>
      <c r="AF293" s="48">
        <f>'Adani Enterprises'!AF293</f>
        <v>0</v>
      </c>
      <c r="AG293" s="48">
        <f>'Adani Enterprises'!AG293</f>
        <v>0</v>
      </c>
      <c r="AH293" s="48">
        <f>'Adani Enterprises'!AH293</f>
        <v>0</v>
      </c>
      <c r="AI293" s="48">
        <f>'Adani Enterprises'!AI293</f>
        <v>0</v>
      </c>
      <c r="AJ293" s="48">
        <f>'Adani Enterprises'!AJ293</f>
        <v>0</v>
      </c>
      <c r="AK293" s="48">
        <f>'Adani Enterprises'!AK293</f>
        <v>0</v>
      </c>
      <c r="AL293" s="48">
        <f>'Adani Enterprises'!AL293</f>
        <v>0</v>
      </c>
    </row>
    <row r="294" customHeight="1" spans="1:38">
      <c r="A294" s="48">
        <f>'Adani Enterprises'!A294</f>
        <v>0</v>
      </c>
      <c r="B294" s="48">
        <f>'Adani Enterprises'!B294</f>
        <v>0</v>
      </c>
      <c r="C294" s="48">
        <f>'Adani Enterprises'!C294</f>
        <v>0</v>
      </c>
      <c r="D294" s="48">
        <f>'Adani Enterprises'!D294</f>
        <v>0</v>
      </c>
      <c r="E294" s="48">
        <f>'Adani Enterprises'!E294</f>
        <v>0</v>
      </c>
      <c r="F294" s="48">
        <f>'Adani Enterprises'!F294</f>
        <v>0</v>
      </c>
      <c r="G294" s="48">
        <f>'Adani Enterprises'!G294</f>
        <v>0</v>
      </c>
      <c r="H294" s="48">
        <f>'Adani Enterprises'!H294</f>
        <v>0</v>
      </c>
      <c r="I294" s="48">
        <f>'Adani Enterprises'!I294</f>
        <v>0</v>
      </c>
      <c r="J294" s="48">
        <f>'Adani Enterprises'!J294</f>
        <v>0</v>
      </c>
      <c r="K294" s="48">
        <f>'Adani Enterprises'!K294</f>
        <v>0</v>
      </c>
      <c r="L294" s="48">
        <f>'Adani Enterprises'!L294</f>
        <v>0</v>
      </c>
      <c r="M294" s="48">
        <f>'Adani Enterprises'!M294</f>
        <v>0</v>
      </c>
      <c r="N294" s="48">
        <f>'Adani Enterprises'!N294</f>
        <v>0</v>
      </c>
      <c r="O294" s="48">
        <f>'Adani Enterprises'!O294</f>
        <v>0</v>
      </c>
      <c r="P294" s="48">
        <f>'Adani Enterprises'!P294</f>
        <v>0</v>
      </c>
      <c r="Q294" s="48">
        <f>'Adani Enterprises'!Q294</f>
        <v>0</v>
      </c>
      <c r="R294" s="48">
        <f>'Adani Enterprises'!R294</f>
        <v>0</v>
      </c>
      <c r="S294" s="48">
        <f>'Adani Enterprises'!S294</f>
        <v>0</v>
      </c>
      <c r="T294" s="48">
        <f>'Adani Enterprises'!T294</f>
        <v>0</v>
      </c>
      <c r="U294" s="48">
        <f>'Adani Enterprises'!U294</f>
        <v>0</v>
      </c>
      <c r="V294" s="48">
        <f>'Adani Enterprises'!V294</f>
        <v>0</v>
      </c>
      <c r="W294" s="48">
        <f>'Adani Enterprises'!W294</f>
        <v>0</v>
      </c>
      <c r="X294" s="48">
        <f>'Adani Enterprises'!X294</f>
        <v>0</v>
      </c>
      <c r="Y294" s="48">
        <f>'Adani Enterprises'!Y294</f>
        <v>0</v>
      </c>
      <c r="Z294" s="48">
        <f>'Adani Enterprises'!Z294</f>
        <v>0</v>
      </c>
      <c r="AA294" s="48">
        <f>'Adani Enterprises'!AA294</f>
        <v>0</v>
      </c>
      <c r="AB294" s="48">
        <f>'Adani Enterprises'!AB294</f>
        <v>0</v>
      </c>
      <c r="AC294" s="48">
        <f>'Adani Enterprises'!AC294</f>
        <v>0</v>
      </c>
      <c r="AD294" s="48">
        <f>'Adani Enterprises'!AD294</f>
        <v>0</v>
      </c>
      <c r="AE294" s="48">
        <f>'Adani Enterprises'!AE294</f>
        <v>0</v>
      </c>
      <c r="AF294" s="48">
        <f>'Adani Enterprises'!AF294</f>
        <v>0</v>
      </c>
      <c r="AG294" s="48">
        <f>'Adani Enterprises'!AG294</f>
        <v>0</v>
      </c>
      <c r="AH294" s="48">
        <f>'Adani Enterprises'!AH294</f>
        <v>0</v>
      </c>
      <c r="AI294" s="48">
        <f>'Adani Enterprises'!AI294</f>
        <v>0</v>
      </c>
      <c r="AJ294" s="48">
        <f>'Adani Enterprises'!AJ294</f>
        <v>0</v>
      </c>
      <c r="AK294" s="48">
        <f>'Adani Enterprises'!AK294</f>
        <v>0</v>
      </c>
      <c r="AL294" s="48">
        <f>'Adani Enterprises'!AL294</f>
        <v>0</v>
      </c>
    </row>
    <row r="295" customHeight="1" spans="1:38">
      <c r="A295" s="48">
        <f>'Adani Enterprises'!A295</f>
        <v>0</v>
      </c>
      <c r="B295" s="48">
        <f>'Adani Enterprises'!B295</f>
        <v>0</v>
      </c>
      <c r="C295" s="48">
        <f>'Adani Enterprises'!C295</f>
        <v>0</v>
      </c>
      <c r="D295" s="48">
        <f>'Adani Enterprises'!D295</f>
        <v>0</v>
      </c>
      <c r="E295" s="48">
        <f>'Adani Enterprises'!E295</f>
        <v>0</v>
      </c>
      <c r="F295" s="48">
        <f>'Adani Enterprises'!F295</f>
        <v>0</v>
      </c>
      <c r="G295" s="48">
        <f>'Adani Enterprises'!G295</f>
        <v>0</v>
      </c>
      <c r="H295" s="48">
        <f>'Adani Enterprises'!H295</f>
        <v>0</v>
      </c>
      <c r="I295" s="48">
        <f>'Adani Enterprises'!I295</f>
        <v>0</v>
      </c>
      <c r="J295" s="48">
        <f>'Adani Enterprises'!J295</f>
        <v>0</v>
      </c>
      <c r="K295" s="48">
        <f>'Adani Enterprises'!K295</f>
        <v>0</v>
      </c>
      <c r="L295" s="48">
        <f>'Adani Enterprises'!L295</f>
        <v>0</v>
      </c>
      <c r="M295" s="48">
        <f>'Adani Enterprises'!M295</f>
        <v>0</v>
      </c>
      <c r="N295" s="48">
        <f>'Adani Enterprises'!N295</f>
        <v>0</v>
      </c>
      <c r="O295" s="48">
        <f>'Adani Enterprises'!O295</f>
        <v>0</v>
      </c>
      <c r="P295" s="48">
        <f>'Adani Enterprises'!P295</f>
        <v>0</v>
      </c>
      <c r="Q295" s="48">
        <f>'Adani Enterprises'!Q295</f>
        <v>0</v>
      </c>
      <c r="R295" s="48">
        <f>'Adani Enterprises'!R295</f>
        <v>0</v>
      </c>
      <c r="S295" s="48">
        <f>'Adani Enterprises'!S295</f>
        <v>0</v>
      </c>
      <c r="T295" s="48">
        <f>'Adani Enterprises'!T295</f>
        <v>0</v>
      </c>
      <c r="U295" s="48">
        <f>'Adani Enterprises'!U295</f>
        <v>0</v>
      </c>
      <c r="V295" s="48">
        <f>'Adani Enterprises'!V295</f>
        <v>0</v>
      </c>
      <c r="W295" s="48">
        <f>'Adani Enterprises'!W295</f>
        <v>0</v>
      </c>
      <c r="X295" s="48">
        <f>'Adani Enterprises'!X295</f>
        <v>0</v>
      </c>
      <c r="Y295" s="48">
        <f>'Adani Enterprises'!Y295</f>
        <v>0</v>
      </c>
      <c r="Z295" s="48">
        <f>'Adani Enterprises'!Z295</f>
        <v>0</v>
      </c>
      <c r="AA295" s="48">
        <f>'Adani Enterprises'!AA295</f>
        <v>0</v>
      </c>
      <c r="AB295" s="48">
        <f>'Adani Enterprises'!AB295</f>
        <v>0</v>
      </c>
      <c r="AC295" s="48">
        <f>'Adani Enterprises'!AC295</f>
        <v>0</v>
      </c>
      <c r="AD295" s="48">
        <f>'Adani Enterprises'!AD295</f>
        <v>0</v>
      </c>
      <c r="AE295" s="48">
        <f>'Adani Enterprises'!AE295</f>
        <v>0</v>
      </c>
      <c r="AF295" s="48">
        <f>'Adani Enterprises'!AF295</f>
        <v>0</v>
      </c>
      <c r="AG295" s="48">
        <f>'Adani Enterprises'!AG295</f>
        <v>0</v>
      </c>
      <c r="AH295" s="48">
        <f>'Adani Enterprises'!AH295</f>
        <v>0</v>
      </c>
      <c r="AI295" s="48">
        <f>'Adani Enterprises'!AI295</f>
        <v>0</v>
      </c>
      <c r="AJ295" s="48">
        <f>'Adani Enterprises'!AJ295</f>
        <v>0</v>
      </c>
      <c r="AK295" s="48">
        <f>'Adani Enterprises'!AK295</f>
        <v>0</v>
      </c>
      <c r="AL295" s="48">
        <f>'Adani Enterprises'!AL295</f>
        <v>0</v>
      </c>
    </row>
    <row r="296" customHeight="1" spans="1:38">
      <c r="A296" s="48">
        <f>'Adani Enterprises'!A296</f>
        <v>0</v>
      </c>
      <c r="B296" s="48">
        <f>'Adani Enterprises'!B296</f>
        <v>0</v>
      </c>
      <c r="C296" s="48">
        <f>'Adani Enterprises'!C296</f>
        <v>0</v>
      </c>
      <c r="D296" s="48">
        <f>'Adani Enterprises'!D296</f>
        <v>0</v>
      </c>
      <c r="E296" s="48">
        <f>'Adani Enterprises'!E296</f>
        <v>0</v>
      </c>
      <c r="F296" s="48">
        <f>'Adani Enterprises'!F296</f>
        <v>0</v>
      </c>
      <c r="G296" s="48">
        <f>'Adani Enterprises'!G296</f>
        <v>0</v>
      </c>
      <c r="H296" s="48">
        <f>'Adani Enterprises'!H296</f>
        <v>0</v>
      </c>
      <c r="I296" s="48">
        <f>'Adani Enterprises'!I296</f>
        <v>0</v>
      </c>
      <c r="J296" s="48">
        <f>'Adani Enterprises'!J296</f>
        <v>0</v>
      </c>
      <c r="K296" s="48">
        <f>'Adani Enterprises'!K296</f>
        <v>0</v>
      </c>
      <c r="L296" s="48">
        <f>'Adani Enterprises'!L296</f>
        <v>0</v>
      </c>
      <c r="M296" s="48">
        <f>'Adani Enterprises'!M296</f>
        <v>0</v>
      </c>
      <c r="N296" s="48">
        <f>'Adani Enterprises'!N296</f>
        <v>0</v>
      </c>
      <c r="O296" s="48">
        <f>'Adani Enterprises'!O296</f>
        <v>0</v>
      </c>
      <c r="P296" s="48">
        <f>'Adani Enterprises'!P296</f>
        <v>0</v>
      </c>
      <c r="Q296" s="48">
        <f>'Adani Enterprises'!Q296</f>
        <v>0</v>
      </c>
      <c r="R296" s="48">
        <f>'Adani Enterprises'!R296</f>
        <v>0</v>
      </c>
      <c r="S296" s="48">
        <f>'Adani Enterprises'!S296</f>
        <v>0</v>
      </c>
      <c r="T296" s="48">
        <f>'Adani Enterprises'!T296</f>
        <v>0</v>
      </c>
      <c r="U296" s="48">
        <f>'Adani Enterprises'!U296</f>
        <v>0</v>
      </c>
      <c r="V296" s="48">
        <f>'Adani Enterprises'!V296</f>
        <v>0</v>
      </c>
      <c r="W296" s="48">
        <f>'Adani Enterprises'!W296</f>
        <v>0</v>
      </c>
      <c r="X296" s="48">
        <f>'Adani Enterprises'!X296</f>
        <v>0</v>
      </c>
      <c r="Y296" s="48">
        <f>'Adani Enterprises'!Y296</f>
        <v>0</v>
      </c>
      <c r="Z296" s="48">
        <f>'Adani Enterprises'!Z296</f>
        <v>0</v>
      </c>
      <c r="AA296" s="48">
        <f>'Adani Enterprises'!AA296</f>
        <v>0</v>
      </c>
      <c r="AB296" s="48">
        <f>'Adani Enterprises'!AB296</f>
        <v>0</v>
      </c>
      <c r="AC296" s="48">
        <f>'Adani Enterprises'!AC296</f>
        <v>0</v>
      </c>
      <c r="AD296" s="48">
        <f>'Adani Enterprises'!AD296</f>
        <v>0</v>
      </c>
      <c r="AE296" s="48">
        <f>'Adani Enterprises'!AE296</f>
        <v>0</v>
      </c>
      <c r="AF296" s="48">
        <f>'Adani Enterprises'!AF296</f>
        <v>0</v>
      </c>
      <c r="AG296" s="48">
        <f>'Adani Enterprises'!AG296</f>
        <v>0</v>
      </c>
      <c r="AH296" s="48">
        <f>'Adani Enterprises'!AH296</f>
        <v>0</v>
      </c>
      <c r="AI296" s="48">
        <f>'Adani Enterprises'!AI296</f>
        <v>0</v>
      </c>
      <c r="AJ296" s="48">
        <f>'Adani Enterprises'!AJ296</f>
        <v>0</v>
      </c>
      <c r="AK296" s="48">
        <f>'Adani Enterprises'!AK296</f>
        <v>0</v>
      </c>
      <c r="AL296" s="48">
        <f>'Adani Enterprises'!AL296</f>
        <v>0</v>
      </c>
    </row>
    <row r="297" customHeight="1" spans="1:38">
      <c r="A297" s="48">
        <f>'Adani Enterprises'!A297</f>
        <v>0</v>
      </c>
      <c r="B297" s="48">
        <f>'Adani Enterprises'!B297</f>
        <v>0</v>
      </c>
      <c r="C297" s="48">
        <f>'Adani Enterprises'!C297</f>
        <v>0</v>
      </c>
      <c r="D297" s="48">
        <f>'Adani Enterprises'!D297</f>
        <v>0</v>
      </c>
      <c r="E297" s="48">
        <f>'Adani Enterprises'!E297</f>
        <v>0</v>
      </c>
      <c r="F297" s="48">
        <f>'Adani Enterprises'!F297</f>
        <v>0</v>
      </c>
      <c r="G297" s="48">
        <f>'Adani Enterprises'!G297</f>
        <v>0</v>
      </c>
      <c r="H297" s="48">
        <f>'Adani Enterprises'!H297</f>
        <v>0</v>
      </c>
      <c r="I297" s="48">
        <f>'Adani Enterprises'!I297</f>
        <v>0</v>
      </c>
      <c r="J297" s="48">
        <f>'Adani Enterprises'!J297</f>
        <v>0</v>
      </c>
      <c r="K297" s="48">
        <f>'Adani Enterprises'!K297</f>
        <v>0</v>
      </c>
      <c r="L297" s="48">
        <f>'Adani Enterprises'!L297</f>
        <v>0</v>
      </c>
      <c r="M297" s="48">
        <f>'Adani Enterprises'!M297</f>
        <v>0</v>
      </c>
      <c r="N297" s="48">
        <f>'Adani Enterprises'!N297</f>
        <v>0</v>
      </c>
      <c r="O297" s="48">
        <f>'Adani Enterprises'!O297</f>
        <v>0</v>
      </c>
      <c r="P297" s="48">
        <f>'Adani Enterprises'!P297</f>
        <v>0</v>
      </c>
      <c r="Q297" s="48">
        <f>'Adani Enterprises'!Q297</f>
        <v>0</v>
      </c>
      <c r="R297" s="48">
        <f>'Adani Enterprises'!R297</f>
        <v>0</v>
      </c>
      <c r="S297" s="48">
        <f>'Adani Enterprises'!S297</f>
        <v>0</v>
      </c>
      <c r="T297" s="48">
        <f>'Adani Enterprises'!T297</f>
        <v>0</v>
      </c>
      <c r="U297" s="48">
        <f>'Adani Enterprises'!U297</f>
        <v>0</v>
      </c>
      <c r="V297" s="48">
        <f>'Adani Enterprises'!V297</f>
        <v>0</v>
      </c>
      <c r="W297" s="48">
        <f>'Adani Enterprises'!W297</f>
        <v>0</v>
      </c>
      <c r="X297" s="48">
        <f>'Adani Enterprises'!X297</f>
        <v>0</v>
      </c>
      <c r="Y297" s="48">
        <f>'Adani Enterprises'!Y297</f>
        <v>0</v>
      </c>
      <c r="Z297" s="48">
        <f>'Adani Enterprises'!Z297</f>
        <v>0</v>
      </c>
      <c r="AA297" s="48">
        <f>'Adani Enterprises'!AA297</f>
        <v>0</v>
      </c>
      <c r="AB297" s="48">
        <f>'Adani Enterprises'!AB297</f>
        <v>0</v>
      </c>
      <c r="AC297" s="48">
        <f>'Adani Enterprises'!AC297</f>
        <v>0</v>
      </c>
      <c r="AD297" s="48">
        <f>'Adani Enterprises'!AD297</f>
        <v>0</v>
      </c>
      <c r="AE297" s="48">
        <f>'Adani Enterprises'!AE297</f>
        <v>0</v>
      </c>
      <c r="AF297" s="48">
        <f>'Adani Enterprises'!AF297</f>
        <v>0</v>
      </c>
      <c r="AG297" s="48">
        <f>'Adani Enterprises'!AG297</f>
        <v>0</v>
      </c>
      <c r="AH297" s="48">
        <f>'Adani Enterprises'!AH297</f>
        <v>0</v>
      </c>
      <c r="AI297" s="48">
        <f>'Adani Enterprises'!AI297</f>
        <v>0</v>
      </c>
      <c r="AJ297" s="48">
        <f>'Adani Enterprises'!AJ297</f>
        <v>0</v>
      </c>
      <c r="AK297" s="48">
        <f>'Adani Enterprises'!AK297</f>
        <v>0</v>
      </c>
      <c r="AL297" s="48">
        <f>'Adani Enterprises'!AL297</f>
        <v>0</v>
      </c>
    </row>
    <row r="298" customHeight="1" spans="1:38">
      <c r="A298" s="48">
        <f>'Adani Enterprises'!A298</f>
        <v>0</v>
      </c>
      <c r="B298" s="48">
        <f>'Adani Enterprises'!B298</f>
        <v>0</v>
      </c>
      <c r="C298" s="48">
        <f>'Adani Enterprises'!C298</f>
        <v>0</v>
      </c>
      <c r="D298" s="48">
        <f>'Adani Enterprises'!D298</f>
        <v>0</v>
      </c>
      <c r="E298" s="48">
        <f>'Adani Enterprises'!E298</f>
        <v>0</v>
      </c>
      <c r="F298" s="48">
        <f>'Adani Enterprises'!F298</f>
        <v>0</v>
      </c>
      <c r="G298" s="48">
        <f>'Adani Enterprises'!G298</f>
        <v>0</v>
      </c>
      <c r="H298" s="48">
        <f>'Adani Enterprises'!H298</f>
        <v>0</v>
      </c>
      <c r="I298" s="48">
        <f>'Adani Enterprises'!I298</f>
        <v>0</v>
      </c>
      <c r="J298" s="48">
        <f>'Adani Enterprises'!J298</f>
        <v>0</v>
      </c>
      <c r="K298" s="48">
        <f>'Adani Enterprises'!K298</f>
        <v>0</v>
      </c>
      <c r="L298" s="48">
        <f>'Adani Enterprises'!L298</f>
        <v>0</v>
      </c>
      <c r="M298" s="48">
        <f>'Adani Enterprises'!M298</f>
        <v>0</v>
      </c>
      <c r="N298" s="48">
        <f>'Adani Enterprises'!N298</f>
        <v>0</v>
      </c>
      <c r="O298" s="48">
        <f>'Adani Enterprises'!O298</f>
        <v>0</v>
      </c>
      <c r="P298" s="48">
        <f>'Adani Enterprises'!P298</f>
        <v>0</v>
      </c>
      <c r="Q298" s="48">
        <f>'Adani Enterprises'!Q298</f>
        <v>0</v>
      </c>
      <c r="R298" s="48">
        <f>'Adani Enterprises'!R298</f>
        <v>0</v>
      </c>
      <c r="S298" s="48">
        <f>'Adani Enterprises'!S298</f>
        <v>0</v>
      </c>
      <c r="T298" s="48">
        <f>'Adani Enterprises'!T298</f>
        <v>0</v>
      </c>
      <c r="U298" s="48">
        <f>'Adani Enterprises'!U298</f>
        <v>0</v>
      </c>
      <c r="V298" s="48">
        <f>'Adani Enterprises'!V298</f>
        <v>0</v>
      </c>
      <c r="W298" s="48">
        <f>'Adani Enterprises'!W298</f>
        <v>0</v>
      </c>
      <c r="X298" s="48">
        <f>'Adani Enterprises'!X298</f>
        <v>0</v>
      </c>
      <c r="Y298" s="48">
        <f>'Adani Enterprises'!Y298</f>
        <v>0</v>
      </c>
      <c r="Z298" s="48">
        <f>'Adani Enterprises'!Z298</f>
        <v>0</v>
      </c>
      <c r="AA298" s="48">
        <f>'Adani Enterprises'!AA298</f>
        <v>0</v>
      </c>
      <c r="AB298" s="48">
        <f>'Adani Enterprises'!AB298</f>
        <v>0</v>
      </c>
      <c r="AC298" s="48">
        <f>'Adani Enterprises'!AC298</f>
        <v>0</v>
      </c>
      <c r="AD298" s="48">
        <f>'Adani Enterprises'!AD298</f>
        <v>0</v>
      </c>
      <c r="AE298" s="48">
        <f>'Adani Enterprises'!AE298</f>
        <v>0</v>
      </c>
      <c r="AF298" s="48">
        <f>'Adani Enterprises'!AF298</f>
        <v>0</v>
      </c>
      <c r="AG298" s="48">
        <f>'Adani Enterprises'!AG298</f>
        <v>0</v>
      </c>
      <c r="AH298" s="48">
        <f>'Adani Enterprises'!AH298</f>
        <v>0</v>
      </c>
      <c r="AI298" s="48">
        <f>'Adani Enterprises'!AI298</f>
        <v>0</v>
      </c>
      <c r="AJ298" s="48">
        <f>'Adani Enterprises'!AJ298</f>
        <v>0</v>
      </c>
      <c r="AK298" s="48">
        <f>'Adani Enterprises'!AK298</f>
        <v>0</v>
      </c>
      <c r="AL298" s="48">
        <f>'Adani Enterprises'!AL298</f>
        <v>0</v>
      </c>
    </row>
    <row r="299" customHeight="1" spans="1:38">
      <c r="A299" s="48">
        <f>'Adani Enterprises'!A299</f>
        <v>0</v>
      </c>
      <c r="B299" s="48">
        <f>'Adani Enterprises'!B299</f>
        <v>0</v>
      </c>
      <c r="C299" s="48">
        <f>'Adani Enterprises'!C299</f>
        <v>0</v>
      </c>
      <c r="D299" s="48">
        <f>'Adani Enterprises'!D299</f>
        <v>0</v>
      </c>
      <c r="E299" s="48">
        <f>'Adani Enterprises'!E299</f>
        <v>0</v>
      </c>
      <c r="F299" s="48">
        <f>'Adani Enterprises'!F299</f>
        <v>0</v>
      </c>
      <c r="G299" s="48">
        <f>'Adani Enterprises'!G299</f>
        <v>0</v>
      </c>
      <c r="H299" s="48">
        <f>'Adani Enterprises'!H299</f>
        <v>0</v>
      </c>
      <c r="I299" s="48">
        <f>'Adani Enterprises'!I299</f>
        <v>0</v>
      </c>
      <c r="J299" s="48">
        <f>'Adani Enterprises'!J299</f>
        <v>0</v>
      </c>
      <c r="K299" s="48">
        <f>'Adani Enterprises'!K299</f>
        <v>0</v>
      </c>
      <c r="L299" s="48">
        <f>'Adani Enterprises'!L299</f>
        <v>0</v>
      </c>
      <c r="M299" s="48">
        <f>'Adani Enterprises'!M299</f>
        <v>0</v>
      </c>
      <c r="N299" s="48">
        <f>'Adani Enterprises'!N299</f>
        <v>0</v>
      </c>
      <c r="O299" s="48">
        <f>'Adani Enterprises'!O299</f>
        <v>0</v>
      </c>
      <c r="P299" s="48">
        <f>'Adani Enterprises'!P299</f>
        <v>0</v>
      </c>
      <c r="Q299" s="48">
        <f>'Adani Enterprises'!Q299</f>
        <v>0</v>
      </c>
      <c r="R299" s="48">
        <f>'Adani Enterprises'!R299</f>
        <v>0</v>
      </c>
      <c r="S299" s="48">
        <f>'Adani Enterprises'!S299</f>
        <v>0</v>
      </c>
      <c r="T299" s="48">
        <f>'Adani Enterprises'!T299</f>
        <v>0</v>
      </c>
      <c r="U299" s="48">
        <f>'Adani Enterprises'!U299</f>
        <v>0</v>
      </c>
      <c r="V299" s="48">
        <f>'Adani Enterprises'!V299</f>
        <v>0</v>
      </c>
      <c r="W299" s="48">
        <f>'Adani Enterprises'!W299</f>
        <v>0</v>
      </c>
      <c r="X299" s="48">
        <f>'Adani Enterprises'!X299</f>
        <v>0</v>
      </c>
      <c r="Y299" s="48">
        <f>'Adani Enterprises'!Y299</f>
        <v>0</v>
      </c>
      <c r="Z299" s="48">
        <f>'Adani Enterprises'!Z299</f>
        <v>0</v>
      </c>
      <c r="AA299" s="48">
        <f>'Adani Enterprises'!AA299</f>
        <v>0</v>
      </c>
      <c r="AB299" s="48">
        <f>'Adani Enterprises'!AB299</f>
        <v>0</v>
      </c>
      <c r="AC299" s="48">
        <f>'Adani Enterprises'!AC299</f>
        <v>0</v>
      </c>
      <c r="AD299" s="48">
        <f>'Adani Enterprises'!AD299</f>
        <v>0</v>
      </c>
      <c r="AE299" s="48">
        <f>'Adani Enterprises'!AE299</f>
        <v>0</v>
      </c>
      <c r="AF299" s="48">
        <f>'Adani Enterprises'!AF299</f>
        <v>0</v>
      </c>
      <c r="AG299" s="48">
        <f>'Adani Enterprises'!AG299</f>
        <v>0</v>
      </c>
      <c r="AH299" s="48">
        <f>'Adani Enterprises'!AH299</f>
        <v>0</v>
      </c>
      <c r="AI299" s="48">
        <f>'Adani Enterprises'!AI299</f>
        <v>0</v>
      </c>
      <c r="AJ299" s="48">
        <f>'Adani Enterprises'!AJ299</f>
        <v>0</v>
      </c>
      <c r="AK299" s="48">
        <f>'Adani Enterprises'!AK299</f>
        <v>0</v>
      </c>
      <c r="AL299" s="48">
        <f>'Adani Enterprises'!AL299</f>
        <v>0</v>
      </c>
    </row>
    <row r="300" customHeight="1" spans="1:38">
      <c r="A300" s="48">
        <f>'Adani Enterprises'!A300</f>
        <v>0</v>
      </c>
      <c r="B300" s="48">
        <f>'Adani Enterprises'!B300</f>
        <v>0</v>
      </c>
      <c r="C300" s="48">
        <f>'Adani Enterprises'!C300</f>
        <v>0</v>
      </c>
      <c r="D300" s="48">
        <f>'Adani Enterprises'!D300</f>
        <v>0</v>
      </c>
      <c r="E300" s="48">
        <f>'Adani Enterprises'!E300</f>
        <v>0</v>
      </c>
      <c r="F300" s="48">
        <f>'Adani Enterprises'!F300</f>
        <v>0</v>
      </c>
      <c r="G300" s="48">
        <f>'Adani Enterprises'!G300</f>
        <v>0</v>
      </c>
      <c r="H300" s="48">
        <f>'Adani Enterprises'!H300</f>
        <v>0</v>
      </c>
      <c r="I300" s="48">
        <f>'Adani Enterprises'!I300</f>
        <v>0</v>
      </c>
      <c r="J300" s="48">
        <f>'Adani Enterprises'!J300</f>
        <v>0</v>
      </c>
      <c r="K300" s="48">
        <f>'Adani Enterprises'!K300</f>
        <v>0</v>
      </c>
      <c r="L300" s="48">
        <f>'Adani Enterprises'!L300</f>
        <v>0</v>
      </c>
      <c r="M300" s="48">
        <f>'Adani Enterprises'!M300</f>
        <v>0</v>
      </c>
      <c r="N300" s="48">
        <f>'Adani Enterprises'!N300</f>
        <v>0</v>
      </c>
      <c r="O300" s="48">
        <f>'Adani Enterprises'!O300</f>
        <v>0</v>
      </c>
      <c r="P300" s="48">
        <f>'Adani Enterprises'!P300</f>
        <v>0</v>
      </c>
      <c r="Q300" s="48">
        <f>'Adani Enterprises'!Q300</f>
        <v>0</v>
      </c>
      <c r="R300" s="48">
        <f>'Adani Enterprises'!R300</f>
        <v>0</v>
      </c>
      <c r="S300" s="48">
        <f>'Adani Enterprises'!S300</f>
        <v>0</v>
      </c>
      <c r="T300" s="48">
        <f>'Adani Enterprises'!T300</f>
        <v>0</v>
      </c>
      <c r="U300" s="48">
        <f>'Adani Enterprises'!U300</f>
        <v>0</v>
      </c>
      <c r="V300" s="48">
        <f>'Adani Enterprises'!V300</f>
        <v>0</v>
      </c>
      <c r="W300" s="48">
        <f>'Adani Enterprises'!W300</f>
        <v>0</v>
      </c>
      <c r="X300" s="48">
        <f>'Adani Enterprises'!X300</f>
        <v>0</v>
      </c>
      <c r="Y300" s="48">
        <f>'Adani Enterprises'!Y300</f>
        <v>0</v>
      </c>
      <c r="Z300" s="48">
        <f>'Adani Enterprises'!Z300</f>
        <v>0</v>
      </c>
      <c r="AA300" s="48">
        <f>'Adani Enterprises'!AA300</f>
        <v>0</v>
      </c>
      <c r="AB300" s="48">
        <f>'Adani Enterprises'!AB300</f>
        <v>0</v>
      </c>
      <c r="AC300" s="48">
        <f>'Adani Enterprises'!AC300</f>
        <v>0</v>
      </c>
      <c r="AD300" s="48">
        <f>'Adani Enterprises'!AD300</f>
        <v>0</v>
      </c>
      <c r="AE300" s="48">
        <f>'Adani Enterprises'!AE300</f>
        <v>0</v>
      </c>
      <c r="AF300" s="48">
        <f>'Adani Enterprises'!AF300</f>
        <v>0</v>
      </c>
      <c r="AG300" s="48">
        <f>'Adani Enterprises'!AG300</f>
        <v>0</v>
      </c>
      <c r="AH300" s="48">
        <f>'Adani Enterprises'!AH300</f>
        <v>0</v>
      </c>
      <c r="AI300" s="48">
        <f>'Adani Enterprises'!AI300</f>
        <v>0</v>
      </c>
      <c r="AJ300" s="48">
        <f>'Adani Enterprises'!AJ300</f>
        <v>0</v>
      </c>
      <c r="AK300" s="48">
        <f>'Adani Enterprises'!AK300</f>
        <v>0</v>
      </c>
      <c r="AL300" s="48">
        <f>'Adani Enterprises'!AL300</f>
        <v>0</v>
      </c>
    </row>
    <row r="301" customHeight="1" spans="1:38">
      <c r="A301" s="48">
        <f>'Adani Enterprises'!A301</f>
        <v>0</v>
      </c>
      <c r="B301" s="48">
        <f>'Adani Enterprises'!B301</f>
        <v>0</v>
      </c>
      <c r="C301" s="48">
        <f>'Adani Enterprises'!C301</f>
        <v>0</v>
      </c>
      <c r="D301" s="48">
        <f>'Adani Enterprises'!D301</f>
        <v>0</v>
      </c>
      <c r="E301" s="48">
        <f>'Adani Enterprises'!E301</f>
        <v>0</v>
      </c>
      <c r="F301" s="48">
        <f>'Adani Enterprises'!F301</f>
        <v>0</v>
      </c>
      <c r="G301" s="48">
        <f>'Adani Enterprises'!G301</f>
        <v>0</v>
      </c>
      <c r="H301" s="48">
        <f>'Adani Enterprises'!H301</f>
        <v>0</v>
      </c>
      <c r="I301" s="48">
        <f>'Adani Enterprises'!I301</f>
        <v>0</v>
      </c>
      <c r="J301" s="48">
        <f>'Adani Enterprises'!J301</f>
        <v>0</v>
      </c>
      <c r="K301" s="48">
        <f>'Adani Enterprises'!K301</f>
        <v>0</v>
      </c>
      <c r="L301" s="48">
        <f>'Adani Enterprises'!L301</f>
        <v>0</v>
      </c>
      <c r="M301" s="48">
        <f>'Adani Enterprises'!M301</f>
        <v>0</v>
      </c>
      <c r="N301" s="48">
        <f>'Adani Enterprises'!N301</f>
        <v>0</v>
      </c>
      <c r="O301" s="48">
        <f>'Adani Enterprises'!O301</f>
        <v>0</v>
      </c>
      <c r="P301" s="48">
        <f>'Adani Enterprises'!P301</f>
        <v>0</v>
      </c>
      <c r="Q301" s="48">
        <f>'Adani Enterprises'!Q301</f>
        <v>0</v>
      </c>
      <c r="R301" s="48">
        <f>'Adani Enterprises'!R301</f>
        <v>0</v>
      </c>
      <c r="S301" s="48">
        <f>'Adani Enterprises'!S301</f>
        <v>0</v>
      </c>
      <c r="T301" s="48">
        <f>'Adani Enterprises'!T301</f>
        <v>0</v>
      </c>
      <c r="U301" s="48">
        <f>'Adani Enterprises'!U301</f>
        <v>0</v>
      </c>
      <c r="V301" s="48">
        <f>'Adani Enterprises'!V301</f>
        <v>0</v>
      </c>
      <c r="W301" s="48">
        <f>'Adani Enterprises'!W301</f>
        <v>0</v>
      </c>
      <c r="X301" s="48">
        <f>'Adani Enterprises'!X301</f>
        <v>0</v>
      </c>
      <c r="Y301" s="48">
        <f>'Adani Enterprises'!Y301</f>
        <v>0</v>
      </c>
      <c r="Z301" s="48">
        <f>'Adani Enterprises'!Z301</f>
        <v>0</v>
      </c>
      <c r="AA301" s="48">
        <f>'Adani Enterprises'!AA301</f>
        <v>0</v>
      </c>
      <c r="AB301" s="48">
        <f>'Adani Enterprises'!AB301</f>
        <v>0</v>
      </c>
      <c r="AC301" s="48">
        <f>'Adani Enterprises'!AC301</f>
        <v>0</v>
      </c>
      <c r="AD301" s="48">
        <f>'Adani Enterprises'!AD301</f>
        <v>0</v>
      </c>
      <c r="AE301" s="48">
        <f>'Adani Enterprises'!AE301</f>
        <v>0</v>
      </c>
      <c r="AF301" s="48">
        <f>'Adani Enterprises'!AF301</f>
        <v>0</v>
      </c>
      <c r="AG301" s="48">
        <f>'Adani Enterprises'!AG301</f>
        <v>0</v>
      </c>
      <c r="AH301" s="48">
        <f>'Adani Enterprises'!AH301</f>
        <v>0</v>
      </c>
      <c r="AI301" s="48">
        <f>'Adani Enterprises'!AI301</f>
        <v>0</v>
      </c>
      <c r="AJ301" s="48">
        <f>'Adani Enterprises'!AJ301</f>
        <v>0</v>
      </c>
      <c r="AK301" s="48">
        <f>'Adani Enterprises'!AK301</f>
        <v>0</v>
      </c>
      <c r="AL301" s="48">
        <f>'Adani Enterprises'!AL301</f>
        <v>0</v>
      </c>
    </row>
    <row r="302" customHeight="1" spans="1:38">
      <c r="A302" s="48">
        <f>'Adani Enterprises'!A302</f>
        <v>0</v>
      </c>
      <c r="B302" s="48">
        <f>'Adani Enterprises'!B302</f>
        <v>0</v>
      </c>
      <c r="C302" s="48">
        <f>'Adani Enterprises'!C302</f>
        <v>0</v>
      </c>
      <c r="D302" s="48">
        <f>'Adani Enterprises'!D302</f>
        <v>0</v>
      </c>
      <c r="E302" s="48">
        <f>'Adani Enterprises'!E302</f>
        <v>0</v>
      </c>
      <c r="F302" s="48">
        <f>'Adani Enterprises'!F302</f>
        <v>0</v>
      </c>
      <c r="G302" s="48">
        <f>'Adani Enterprises'!G302</f>
        <v>0</v>
      </c>
      <c r="H302" s="48">
        <f>'Adani Enterprises'!H302</f>
        <v>0</v>
      </c>
      <c r="I302" s="48">
        <f>'Adani Enterprises'!I302</f>
        <v>0</v>
      </c>
      <c r="J302" s="48">
        <f>'Adani Enterprises'!J302</f>
        <v>0</v>
      </c>
      <c r="K302" s="48">
        <f>'Adani Enterprises'!K302</f>
        <v>0</v>
      </c>
      <c r="L302" s="48">
        <f>'Adani Enterprises'!L302</f>
        <v>0</v>
      </c>
      <c r="M302" s="48">
        <f>'Adani Enterprises'!M302</f>
        <v>0</v>
      </c>
      <c r="N302" s="48">
        <f>'Adani Enterprises'!N302</f>
        <v>0</v>
      </c>
      <c r="O302" s="48">
        <f>'Adani Enterprises'!O302</f>
        <v>0</v>
      </c>
      <c r="P302" s="48">
        <f>'Adani Enterprises'!P302</f>
        <v>0</v>
      </c>
      <c r="Q302" s="48">
        <f>'Adani Enterprises'!Q302</f>
        <v>0</v>
      </c>
      <c r="R302" s="48">
        <f>'Adani Enterprises'!R302</f>
        <v>0</v>
      </c>
      <c r="S302" s="48">
        <f>'Adani Enterprises'!S302</f>
        <v>0</v>
      </c>
      <c r="T302" s="48">
        <f>'Adani Enterprises'!T302</f>
        <v>0</v>
      </c>
      <c r="U302" s="48">
        <f>'Adani Enterprises'!U302</f>
        <v>0</v>
      </c>
      <c r="V302" s="48">
        <f>'Adani Enterprises'!V302</f>
        <v>0</v>
      </c>
      <c r="W302" s="48">
        <f>'Adani Enterprises'!W302</f>
        <v>0</v>
      </c>
      <c r="X302" s="48">
        <f>'Adani Enterprises'!X302</f>
        <v>0</v>
      </c>
      <c r="Y302" s="48">
        <f>'Adani Enterprises'!Y302</f>
        <v>0</v>
      </c>
      <c r="Z302" s="48">
        <f>'Adani Enterprises'!Z302</f>
        <v>0</v>
      </c>
      <c r="AA302" s="48">
        <f>'Adani Enterprises'!AA302</f>
        <v>0</v>
      </c>
      <c r="AB302" s="48">
        <f>'Adani Enterprises'!AB302</f>
        <v>0</v>
      </c>
      <c r="AC302" s="48">
        <f>'Adani Enterprises'!AC302</f>
        <v>0</v>
      </c>
      <c r="AD302" s="48">
        <f>'Adani Enterprises'!AD302</f>
        <v>0</v>
      </c>
      <c r="AE302" s="48">
        <f>'Adani Enterprises'!AE302</f>
        <v>0</v>
      </c>
      <c r="AF302" s="48">
        <f>'Adani Enterprises'!AF302</f>
        <v>0</v>
      </c>
      <c r="AG302" s="48">
        <f>'Adani Enterprises'!AG302</f>
        <v>0</v>
      </c>
      <c r="AH302" s="48">
        <f>'Adani Enterprises'!AH302</f>
        <v>0</v>
      </c>
      <c r="AI302" s="48">
        <f>'Adani Enterprises'!AI302</f>
        <v>0</v>
      </c>
      <c r="AJ302" s="48">
        <f>'Adani Enterprises'!AJ302</f>
        <v>0</v>
      </c>
      <c r="AK302" s="48">
        <f>'Adani Enterprises'!AK302</f>
        <v>0</v>
      </c>
      <c r="AL302" s="48">
        <f>'Adani Enterprises'!AL302</f>
        <v>0</v>
      </c>
    </row>
    <row r="303" customHeight="1" spans="1:38">
      <c r="A303" s="48">
        <f>'Adani Enterprises'!A303</f>
        <v>0</v>
      </c>
      <c r="B303" s="48">
        <f>'Adani Enterprises'!B303</f>
        <v>0</v>
      </c>
      <c r="C303" s="48">
        <f>'Adani Enterprises'!C303</f>
        <v>0</v>
      </c>
      <c r="D303" s="48">
        <f>'Adani Enterprises'!D303</f>
        <v>0</v>
      </c>
      <c r="E303" s="48">
        <f>'Adani Enterprises'!E303</f>
        <v>0</v>
      </c>
      <c r="F303" s="48">
        <f>'Adani Enterprises'!F303</f>
        <v>0</v>
      </c>
      <c r="G303" s="48">
        <f>'Adani Enterprises'!G303</f>
        <v>0</v>
      </c>
      <c r="H303" s="48">
        <f>'Adani Enterprises'!H303</f>
        <v>0</v>
      </c>
      <c r="I303" s="48">
        <f>'Adani Enterprises'!I303</f>
        <v>0</v>
      </c>
      <c r="J303" s="48">
        <f>'Adani Enterprises'!J303</f>
        <v>0</v>
      </c>
      <c r="K303" s="48">
        <f>'Adani Enterprises'!K303</f>
        <v>0</v>
      </c>
      <c r="L303" s="48">
        <f>'Adani Enterprises'!L303</f>
        <v>0</v>
      </c>
      <c r="M303" s="48">
        <f>'Adani Enterprises'!M303</f>
        <v>0</v>
      </c>
      <c r="N303" s="48">
        <f>'Adani Enterprises'!N303</f>
        <v>0</v>
      </c>
      <c r="O303" s="48">
        <f>'Adani Enterprises'!O303</f>
        <v>0</v>
      </c>
      <c r="P303" s="48">
        <f>'Adani Enterprises'!P303</f>
        <v>0</v>
      </c>
      <c r="Q303" s="48">
        <f>'Adani Enterprises'!Q303</f>
        <v>0</v>
      </c>
      <c r="R303" s="48">
        <f>'Adani Enterprises'!R303</f>
        <v>0</v>
      </c>
      <c r="S303" s="48">
        <f>'Adani Enterprises'!S303</f>
        <v>0</v>
      </c>
      <c r="T303" s="48">
        <f>'Adani Enterprises'!T303</f>
        <v>0</v>
      </c>
      <c r="U303" s="48">
        <f>'Adani Enterprises'!U303</f>
        <v>0</v>
      </c>
      <c r="V303" s="48">
        <f>'Adani Enterprises'!V303</f>
        <v>0</v>
      </c>
      <c r="W303" s="48">
        <f>'Adani Enterprises'!W303</f>
        <v>0</v>
      </c>
      <c r="X303" s="48">
        <f>'Adani Enterprises'!X303</f>
        <v>0</v>
      </c>
      <c r="Y303" s="48">
        <f>'Adani Enterprises'!Y303</f>
        <v>0</v>
      </c>
      <c r="Z303" s="48">
        <f>'Adani Enterprises'!Z303</f>
        <v>0</v>
      </c>
      <c r="AA303" s="48">
        <f>'Adani Enterprises'!AA303</f>
        <v>0</v>
      </c>
      <c r="AB303" s="48">
        <f>'Adani Enterprises'!AB303</f>
        <v>0</v>
      </c>
      <c r="AC303" s="48">
        <f>'Adani Enterprises'!AC303</f>
        <v>0</v>
      </c>
      <c r="AD303" s="48">
        <f>'Adani Enterprises'!AD303</f>
        <v>0</v>
      </c>
      <c r="AE303" s="48">
        <f>'Adani Enterprises'!AE303</f>
        <v>0</v>
      </c>
      <c r="AF303" s="48">
        <f>'Adani Enterprises'!AF303</f>
        <v>0</v>
      </c>
      <c r="AG303" s="48">
        <f>'Adani Enterprises'!AG303</f>
        <v>0</v>
      </c>
      <c r="AH303" s="48">
        <f>'Adani Enterprises'!AH303</f>
        <v>0</v>
      </c>
      <c r="AI303" s="48">
        <f>'Adani Enterprises'!AI303</f>
        <v>0</v>
      </c>
      <c r="AJ303" s="48">
        <f>'Adani Enterprises'!AJ303</f>
        <v>0</v>
      </c>
      <c r="AK303" s="48">
        <f>'Adani Enterprises'!AK303</f>
        <v>0</v>
      </c>
      <c r="AL303" s="48">
        <f>'Adani Enterprises'!AL303</f>
        <v>0</v>
      </c>
    </row>
    <row r="304" customHeight="1" spans="1:38">
      <c r="A304" s="48">
        <f>'Adani Enterprises'!A304</f>
        <v>0</v>
      </c>
      <c r="B304" s="48">
        <f>'Adani Enterprises'!B304</f>
        <v>0</v>
      </c>
      <c r="C304" s="48">
        <f>'Adani Enterprises'!C304</f>
        <v>0</v>
      </c>
      <c r="D304" s="48">
        <f>'Adani Enterprises'!D304</f>
        <v>0</v>
      </c>
      <c r="E304" s="48">
        <f>'Adani Enterprises'!E304</f>
        <v>0</v>
      </c>
      <c r="F304" s="48">
        <f>'Adani Enterprises'!F304</f>
        <v>0</v>
      </c>
      <c r="G304" s="48">
        <f>'Adani Enterprises'!G304</f>
        <v>0</v>
      </c>
      <c r="H304" s="48">
        <f>'Adani Enterprises'!H304</f>
        <v>0</v>
      </c>
      <c r="I304" s="48">
        <f>'Adani Enterprises'!I304</f>
        <v>0</v>
      </c>
      <c r="J304" s="48">
        <f>'Adani Enterprises'!J304</f>
        <v>0</v>
      </c>
      <c r="K304" s="48">
        <f>'Adani Enterprises'!K304</f>
        <v>0</v>
      </c>
      <c r="L304" s="48">
        <f>'Adani Enterprises'!L304</f>
        <v>0</v>
      </c>
      <c r="M304" s="48">
        <f>'Adani Enterprises'!M304</f>
        <v>0</v>
      </c>
      <c r="N304" s="48">
        <f>'Adani Enterprises'!N304</f>
        <v>0</v>
      </c>
      <c r="O304" s="48">
        <f>'Adani Enterprises'!O304</f>
        <v>0</v>
      </c>
      <c r="P304" s="48">
        <f>'Adani Enterprises'!P304</f>
        <v>0</v>
      </c>
      <c r="Q304" s="48">
        <f>'Adani Enterprises'!Q304</f>
        <v>0</v>
      </c>
      <c r="R304" s="48">
        <f>'Adani Enterprises'!R304</f>
        <v>0</v>
      </c>
      <c r="S304" s="48">
        <f>'Adani Enterprises'!S304</f>
        <v>0</v>
      </c>
      <c r="T304" s="48">
        <f>'Adani Enterprises'!T304</f>
        <v>0</v>
      </c>
      <c r="U304" s="48">
        <f>'Adani Enterprises'!U304</f>
        <v>0</v>
      </c>
      <c r="V304" s="48">
        <f>'Adani Enterprises'!V304</f>
        <v>0</v>
      </c>
      <c r="W304" s="48">
        <f>'Adani Enterprises'!W304</f>
        <v>0</v>
      </c>
      <c r="X304" s="48">
        <f>'Adani Enterprises'!X304</f>
        <v>0</v>
      </c>
      <c r="Y304" s="48">
        <f>'Adani Enterprises'!Y304</f>
        <v>0</v>
      </c>
      <c r="Z304" s="48">
        <f>'Adani Enterprises'!Z304</f>
        <v>0</v>
      </c>
      <c r="AA304" s="48">
        <f>'Adani Enterprises'!AA304</f>
        <v>0</v>
      </c>
      <c r="AB304" s="48">
        <f>'Adani Enterprises'!AB304</f>
        <v>0</v>
      </c>
      <c r="AC304" s="48">
        <f>'Adani Enterprises'!AC304</f>
        <v>0</v>
      </c>
      <c r="AD304" s="48">
        <f>'Adani Enterprises'!AD304</f>
        <v>0</v>
      </c>
      <c r="AE304" s="48">
        <f>'Adani Enterprises'!AE304</f>
        <v>0</v>
      </c>
      <c r="AF304" s="48">
        <f>'Adani Enterprises'!AF304</f>
        <v>0</v>
      </c>
      <c r="AG304" s="48">
        <f>'Adani Enterprises'!AG304</f>
        <v>0</v>
      </c>
      <c r="AH304" s="48">
        <f>'Adani Enterprises'!AH304</f>
        <v>0</v>
      </c>
      <c r="AI304" s="48">
        <f>'Adani Enterprises'!AI304</f>
        <v>0</v>
      </c>
      <c r="AJ304" s="48">
        <f>'Adani Enterprises'!AJ304</f>
        <v>0</v>
      </c>
      <c r="AK304" s="48">
        <f>'Adani Enterprises'!AK304</f>
        <v>0</v>
      </c>
      <c r="AL304" s="48">
        <f>'Adani Enterprises'!AL304</f>
        <v>0</v>
      </c>
    </row>
    <row r="305" customHeight="1" spans="1:38">
      <c r="A305" s="48">
        <f>'Adani Enterprises'!A305</f>
        <v>0</v>
      </c>
      <c r="B305" s="48">
        <f>'Adani Enterprises'!B305</f>
        <v>0</v>
      </c>
      <c r="C305" s="48">
        <f>'Adani Enterprises'!C305</f>
        <v>0</v>
      </c>
      <c r="D305" s="48">
        <f>'Adani Enterprises'!D305</f>
        <v>0</v>
      </c>
      <c r="E305" s="48">
        <f>'Adani Enterprises'!E305</f>
        <v>0</v>
      </c>
      <c r="F305" s="48">
        <f>'Adani Enterprises'!F305</f>
        <v>0</v>
      </c>
      <c r="G305" s="48">
        <f>'Adani Enterprises'!G305</f>
        <v>0</v>
      </c>
      <c r="H305" s="48">
        <f>'Adani Enterprises'!H305</f>
        <v>0</v>
      </c>
      <c r="I305" s="48">
        <f>'Adani Enterprises'!I305</f>
        <v>0</v>
      </c>
      <c r="J305" s="48">
        <f>'Adani Enterprises'!J305</f>
        <v>0</v>
      </c>
      <c r="K305" s="48">
        <f>'Adani Enterprises'!K305</f>
        <v>0</v>
      </c>
      <c r="L305" s="48">
        <f>'Adani Enterprises'!L305</f>
        <v>0</v>
      </c>
      <c r="M305" s="48">
        <f>'Adani Enterprises'!M305</f>
        <v>0</v>
      </c>
      <c r="N305" s="48">
        <f>'Adani Enterprises'!N305</f>
        <v>0</v>
      </c>
      <c r="O305" s="48">
        <f>'Adani Enterprises'!O305</f>
        <v>0</v>
      </c>
      <c r="P305" s="48">
        <f>'Adani Enterprises'!P305</f>
        <v>0</v>
      </c>
      <c r="Q305" s="48">
        <f>'Adani Enterprises'!Q305</f>
        <v>0</v>
      </c>
      <c r="R305" s="48">
        <f>'Adani Enterprises'!R305</f>
        <v>0</v>
      </c>
      <c r="S305" s="48">
        <f>'Adani Enterprises'!S305</f>
        <v>0</v>
      </c>
      <c r="T305" s="48">
        <f>'Adani Enterprises'!T305</f>
        <v>0</v>
      </c>
      <c r="U305" s="48">
        <f>'Adani Enterprises'!U305</f>
        <v>0</v>
      </c>
      <c r="V305" s="48">
        <f>'Adani Enterprises'!V305</f>
        <v>0</v>
      </c>
      <c r="W305" s="48">
        <f>'Adani Enterprises'!W305</f>
        <v>0</v>
      </c>
      <c r="X305" s="48">
        <f>'Adani Enterprises'!X305</f>
        <v>0</v>
      </c>
      <c r="Y305" s="48">
        <f>'Adani Enterprises'!Y305</f>
        <v>0</v>
      </c>
      <c r="Z305" s="48">
        <f>'Adani Enterprises'!Z305</f>
        <v>0</v>
      </c>
      <c r="AA305" s="48">
        <f>'Adani Enterprises'!AA305</f>
        <v>0</v>
      </c>
      <c r="AB305" s="48">
        <f>'Adani Enterprises'!AB305</f>
        <v>0</v>
      </c>
      <c r="AC305" s="48">
        <f>'Adani Enterprises'!AC305</f>
        <v>0</v>
      </c>
      <c r="AD305" s="48">
        <f>'Adani Enterprises'!AD305</f>
        <v>0</v>
      </c>
      <c r="AE305" s="48">
        <f>'Adani Enterprises'!AE305</f>
        <v>0</v>
      </c>
      <c r="AF305" s="48">
        <f>'Adani Enterprises'!AF305</f>
        <v>0</v>
      </c>
      <c r="AG305" s="48">
        <f>'Adani Enterprises'!AG305</f>
        <v>0</v>
      </c>
      <c r="AH305" s="48">
        <f>'Adani Enterprises'!AH305</f>
        <v>0</v>
      </c>
      <c r="AI305" s="48">
        <f>'Adani Enterprises'!AI305</f>
        <v>0</v>
      </c>
      <c r="AJ305" s="48">
        <f>'Adani Enterprises'!AJ305</f>
        <v>0</v>
      </c>
      <c r="AK305" s="48">
        <f>'Adani Enterprises'!AK305</f>
        <v>0</v>
      </c>
      <c r="AL305" s="48">
        <f>'Adani Enterprises'!AL305</f>
        <v>0</v>
      </c>
    </row>
    <row r="306" customHeight="1" spans="1:38">
      <c r="A306" s="48">
        <f>'Adani Enterprises'!A306</f>
        <v>0</v>
      </c>
      <c r="B306" s="48">
        <f>'Adani Enterprises'!B306</f>
        <v>0</v>
      </c>
      <c r="C306" s="48">
        <f>'Adani Enterprises'!C306</f>
        <v>0</v>
      </c>
      <c r="D306" s="48">
        <f>'Adani Enterprises'!D306</f>
        <v>0</v>
      </c>
      <c r="E306" s="48">
        <f>'Adani Enterprises'!E306</f>
        <v>0</v>
      </c>
      <c r="F306" s="48">
        <f>'Adani Enterprises'!F306</f>
        <v>0</v>
      </c>
      <c r="G306" s="48">
        <f>'Adani Enterprises'!G306</f>
        <v>0</v>
      </c>
      <c r="H306" s="48">
        <f>'Adani Enterprises'!H306</f>
        <v>0</v>
      </c>
      <c r="I306" s="48">
        <f>'Adani Enterprises'!I306</f>
        <v>0</v>
      </c>
      <c r="J306" s="48">
        <f>'Adani Enterprises'!J306</f>
        <v>0</v>
      </c>
      <c r="K306" s="48">
        <f>'Adani Enterprises'!K306</f>
        <v>0</v>
      </c>
      <c r="L306" s="48">
        <f>'Adani Enterprises'!L306</f>
        <v>0</v>
      </c>
      <c r="M306" s="48">
        <f>'Adani Enterprises'!M306</f>
        <v>0</v>
      </c>
      <c r="N306" s="48">
        <f>'Adani Enterprises'!N306</f>
        <v>0</v>
      </c>
      <c r="O306" s="48">
        <f>'Adani Enterprises'!O306</f>
        <v>0</v>
      </c>
      <c r="P306" s="48">
        <f>'Adani Enterprises'!P306</f>
        <v>0</v>
      </c>
      <c r="Q306" s="48">
        <f>'Adani Enterprises'!Q306</f>
        <v>0</v>
      </c>
      <c r="R306" s="48">
        <f>'Adani Enterprises'!R306</f>
        <v>0</v>
      </c>
      <c r="S306" s="48">
        <f>'Adani Enterprises'!S306</f>
        <v>0</v>
      </c>
      <c r="T306" s="48">
        <f>'Adani Enterprises'!T306</f>
        <v>0</v>
      </c>
      <c r="U306" s="48">
        <f>'Adani Enterprises'!U306</f>
        <v>0</v>
      </c>
      <c r="V306" s="48">
        <f>'Adani Enterprises'!V306</f>
        <v>0</v>
      </c>
      <c r="W306" s="48">
        <f>'Adani Enterprises'!W306</f>
        <v>0</v>
      </c>
      <c r="X306" s="48">
        <f>'Adani Enterprises'!X306</f>
        <v>0</v>
      </c>
      <c r="Y306" s="48">
        <f>'Adani Enterprises'!Y306</f>
        <v>0</v>
      </c>
      <c r="Z306" s="48">
        <f>'Adani Enterprises'!Z306</f>
        <v>0</v>
      </c>
      <c r="AA306" s="48">
        <f>'Adani Enterprises'!AA306</f>
        <v>0</v>
      </c>
      <c r="AB306" s="48">
        <f>'Adani Enterprises'!AB306</f>
        <v>0</v>
      </c>
      <c r="AC306" s="48">
        <f>'Adani Enterprises'!AC306</f>
        <v>0</v>
      </c>
      <c r="AD306" s="48">
        <f>'Adani Enterprises'!AD306</f>
        <v>0</v>
      </c>
      <c r="AE306" s="48">
        <f>'Adani Enterprises'!AE306</f>
        <v>0</v>
      </c>
      <c r="AF306" s="48">
        <f>'Adani Enterprises'!AF306</f>
        <v>0</v>
      </c>
      <c r="AG306" s="48">
        <f>'Adani Enterprises'!AG306</f>
        <v>0</v>
      </c>
      <c r="AH306" s="48">
        <f>'Adani Enterprises'!AH306</f>
        <v>0</v>
      </c>
      <c r="AI306" s="48">
        <f>'Adani Enterprises'!AI306</f>
        <v>0</v>
      </c>
      <c r="AJ306" s="48">
        <f>'Adani Enterprises'!AJ306</f>
        <v>0</v>
      </c>
      <c r="AK306" s="48">
        <f>'Adani Enterprises'!AK306</f>
        <v>0</v>
      </c>
      <c r="AL306" s="48">
        <f>'Adani Enterprises'!AL306</f>
        <v>0</v>
      </c>
    </row>
    <row r="307" customHeight="1" spans="1:38">
      <c r="A307" s="48">
        <f>'Adani Enterprises'!A307</f>
        <v>0</v>
      </c>
      <c r="B307" s="48">
        <f>'Adani Enterprises'!B307</f>
        <v>0</v>
      </c>
      <c r="C307" s="48">
        <f>'Adani Enterprises'!C307</f>
        <v>0</v>
      </c>
      <c r="D307" s="48">
        <f>'Adani Enterprises'!D307</f>
        <v>0</v>
      </c>
      <c r="E307" s="48">
        <f>'Adani Enterprises'!E307</f>
        <v>0</v>
      </c>
      <c r="F307" s="48">
        <f>'Adani Enterprises'!F307</f>
        <v>0</v>
      </c>
      <c r="G307" s="48">
        <f>'Adani Enterprises'!G307</f>
        <v>0</v>
      </c>
      <c r="H307" s="48">
        <f>'Adani Enterprises'!H307</f>
        <v>0</v>
      </c>
      <c r="I307" s="48">
        <f>'Adani Enterprises'!I307</f>
        <v>0</v>
      </c>
      <c r="J307" s="48">
        <f>'Adani Enterprises'!J307</f>
        <v>0</v>
      </c>
      <c r="K307" s="48">
        <f>'Adani Enterprises'!K307</f>
        <v>0</v>
      </c>
      <c r="L307" s="48">
        <f>'Adani Enterprises'!L307</f>
        <v>0</v>
      </c>
      <c r="M307" s="48">
        <f>'Adani Enterprises'!M307</f>
        <v>0</v>
      </c>
      <c r="N307" s="48">
        <f>'Adani Enterprises'!N307</f>
        <v>0</v>
      </c>
      <c r="O307" s="48">
        <f>'Adani Enterprises'!O307</f>
        <v>0</v>
      </c>
      <c r="P307" s="48">
        <f>'Adani Enterprises'!P307</f>
        <v>0</v>
      </c>
      <c r="Q307" s="48">
        <f>'Adani Enterprises'!Q307</f>
        <v>0</v>
      </c>
      <c r="R307" s="48">
        <f>'Adani Enterprises'!R307</f>
        <v>0</v>
      </c>
      <c r="S307" s="48">
        <f>'Adani Enterprises'!S307</f>
        <v>0</v>
      </c>
      <c r="T307" s="48">
        <f>'Adani Enterprises'!T307</f>
        <v>0</v>
      </c>
      <c r="U307" s="48">
        <f>'Adani Enterprises'!U307</f>
        <v>0</v>
      </c>
      <c r="V307" s="48">
        <f>'Adani Enterprises'!V307</f>
        <v>0</v>
      </c>
      <c r="W307" s="48">
        <f>'Adani Enterprises'!W307</f>
        <v>0</v>
      </c>
      <c r="X307" s="48">
        <f>'Adani Enterprises'!X307</f>
        <v>0</v>
      </c>
      <c r="Y307" s="48">
        <f>'Adani Enterprises'!Y307</f>
        <v>0</v>
      </c>
      <c r="Z307" s="48">
        <f>'Adani Enterprises'!Z307</f>
        <v>0</v>
      </c>
      <c r="AA307" s="48">
        <f>'Adani Enterprises'!AA307</f>
        <v>0</v>
      </c>
      <c r="AB307" s="48">
        <f>'Adani Enterprises'!AB307</f>
        <v>0</v>
      </c>
      <c r="AC307" s="48">
        <f>'Adani Enterprises'!AC307</f>
        <v>0</v>
      </c>
      <c r="AD307" s="48">
        <f>'Adani Enterprises'!AD307</f>
        <v>0</v>
      </c>
      <c r="AE307" s="48">
        <f>'Adani Enterprises'!AE307</f>
        <v>0</v>
      </c>
      <c r="AF307" s="48">
        <f>'Adani Enterprises'!AF307</f>
        <v>0</v>
      </c>
      <c r="AG307" s="48">
        <f>'Adani Enterprises'!AG307</f>
        <v>0</v>
      </c>
      <c r="AH307" s="48">
        <f>'Adani Enterprises'!AH307</f>
        <v>0</v>
      </c>
      <c r="AI307" s="48">
        <f>'Adani Enterprises'!AI307</f>
        <v>0</v>
      </c>
      <c r="AJ307" s="48">
        <f>'Adani Enterprises'!AJ307</f>
        <v>0</v>
      </c>
      <c r="AK307" s="48">
        <f>'Adani Enterprises'!AK307</f>
        <v>0</v>
      </c>
      <c r="AL307" s="48">
        <f>'Adani Enterprises'!AL307</f>
        <v>0</v>
      </c>
    </row>
    <row r="308" customHeight="1" spans="1:38">
      <c r="A308" s="48">
        <f>'Adani Enterprises'!A308</f>
        <v>0</v>
      </c>
      <c r="B308" s="48">
        <f>'Adani Enterprises'!B308</f>
        <v>0</v>
      </c>
      <c r="C308" s="48">
        <f>'Adani Enterprises'!C308</f>
        <v>0</v>
      </c>
      <c r="D308" s="48">
        <f>'Adani Enterprises'!D308</f>
        <v>0</v>
      </c>
      <c r="E308" s="48">
        <f>'Adani Enterprises'!E308</f>
        <v>0</v>
      </c>
      <c r="F308" s="48">
        <f>'Adani Enterprises'!F308</f>
        <v>0</v>
      </c>
      <c r="G308" s="48">
        <f>'Adani Enterprises'!G308</f>
        <v>0</v>
      </c>
      <c r="H308" s="48">
        <f>'Adani Enterprises'!H308</f>
        <v>0</v>
      </c>
      <c r="I308" s="48">
        <f>'Adani Enterprises'!I308</f>
        <v>0</v>
      </c>
      <c r="J308" s="48">
        <f>'Adani Enterprises'!J308</f>
        <v>0</v>
      </c>
      <c r="K308" s="48">
        <f>'Adani Enterprises'!K308</f>
        <v>0</v>
      </c>
      <c r="L308" s="48">
        <f>'Adani Enterprises'!L308</f>
        <v>0</v>
      </c>
      <c r="M308" s="48">
        <f>'Adani Enterprises'!M308</f>
        <v>0</v>
      </c>
      <c r="N308" s="48">
        <f>'Adani Enterprises'!N308</f>
        <v>0</v>
      </c>
      <c r="O308" s="48">
        <f>'Adani Enterprises'!O308</f>
        <v>0</v>
      </c>
      <c r="P308" s="48">
        <f>'Adani Enterprises'!P308</f>
        <v>0</v>
      </c>
      <c r="Q308" s="48">
        <f>'Adani Enterprises'!Q308</f>
        <v>0</v>
      </c>
      <c r="R308" s="48">
        <f>'Adani Enterprises'!R308</f>
        <v>0</v>
      </c>
      <c r="S308" s="48">
        <f>'Adani Enterprises'!S308</f>
        <v>0</v>
      </c>
      <c r="T308" s="48">
        <f>'Adani Enterprises'!T308</f>
        <v>0</v>
      </c>
      <c r="U308" s="48">
        <f>'Adani Enterprises'!U308</f>
        <v>0</v>
      </c>
      <c r="V308" s="48">
        <f>'Adani Enterprises'!V308</f>
        <v>0</v>
      </c>
      <c r="W308" s="48">
        <f>'Adani Enterprises'!W308</f>
        <v>0</v>
      </c>
      <c r="X308" s="48">
        <f>'Adani Enterprises'!X308</f>
        <v>0</v>
      </c>
      <c r="Y308" s="48">
        <f>'Adani Enterprises'!Y308</f>
        <v>0</v>
      </c>
      <c r="Z308" s="48">
        <f>'Adani Enterprises'!Z308</f>
        <v>0</v>
      </c>
      <c r="AA308" s="48">
        <f>'Adani Enterprises'!AA308</f>
        <v>0</v>
      </c>
      <c r="AB308" s="48">
        <f>'Adani Enterprises'!AB308</f>
        <v>0</v>
      </c>
      <c r="AC308" s="48">
        <f>'Adani Enterprises'!AC308</f>
        <v>0</v>
      </c>
      <c r="AD308" s="48">
        <f>'Adani Enterprises'!AD308</f>
        <v>0</v>
      </c>
      <c r="AE308" s="48">
        <f>'Adani Enterprises'!AE308</f>
        <v>0</v>
      </c>
      <c r="AF308" s="48">
        <f>'Adani Enterprises'!AF308</f>
        <v>0</v>
      </c>
      <c r="AG308" s="48">
        <f>'Adani Enterprises'!AG308</f>
        <v>0</v>
      </c>
      <c r="AH308" s="48">
        <f>'Adani Enterprises'!AH308</f>
        <v>0</v>
      </c>
      <c r="AI308" s="48">
        <f>'Adani Enterprises'!AI308</f>
        <v>0</v>
      </c>
      <c r="AJ308" s="48">
        <f>'Adani Enterprises'!AJ308</f>
        <v>0</v>
      </c>
      <c r="AK308" s="48">
        <f>'Adani Enterprises'!AK308</f>
        <v>0</v>
      </c>
      <c r="AL308" s="48">
        <f>'Adani Enterprises'!AL308</f>
        <v>0</v>
      </c>
    </row>
    <row r="309" customHeight="1" spans="1:38">
      <c r="A309" s="48">
        <f>'Adani Enterprises'!A309</f>
        <v>0</v>
      </c>
      <c r="B309" s="48">
        <f>'Adani Enterprises'!B309</f>
        <v>0</v>
      </c>
      <c r="C309" s="48">
        <f>'Adani Enterprises'!C309</f>
        <v>0</v>
      </c>
      <c r="D309" s="48">
        <f>'Adani Enterprises'!D309</f>
        <v>0</v>
      </c>
      <c r="E309" s="48">
        <f>'Adani Enterprises'!E309</f>
        <v>0</v>
      </c>
      <c r="F309" s="48">
        <f>'Adani Enterprises'!F309</f>
        <v>0</v>
      </c>
      <c r="G309" s="48">
        <f>'Adani Enterprises'!G309</f>
        <v>0</v>
      </c>
      <c r="H309" s="48">
        <f>'Adani Enterprises'!H309</f>
        <v>0</v>
      </c>
      <c r="I309" s="48">
        <f>'Adani Enterprises'!I309</f>
        <v>0</v>
      </c>
      <c r="J309" s="48">
        <f>'Adani Enterprises'!J309</f>
        <v>0</v>
      </c>
      <c r="K309" s="48">
        <f>'Adani Enterprises'!K309</f>
        <v>0</v>
      </c>
      <c r="L309" s="48">
        <f>'Adani Enterprises'!L309</f>
        <v>0</v>
      </c>
      <c r="M309" s="48">
        <f>'Adani Enterprises'!M309</f>
        <v>0</v>
      </c>
      <c r="N309" s="48">
        <f>'Adani Enterprises'!N309</f>
        <v>0</v>
      </c>
      <c r="O309" s="48">
        <f>'Adani Enterprises'!O309</f>
        <v>0</v>
      </c>
      <c r="P309" s="48">
        <f>'Adani Enterprises'!P309</f>
        <v>0</v>
      </c>
      <c r="Q309" s="48">
        <f>'Adani Enterprises'!Q309</f>
        <v>0</v>
      </c>
      <c r="R309" s="48">
        <f>'Adani Enterprises'!R309</f>
        <v>0</v>
      </c>
      <c r="S309" s="48">
        <f>'Adani Enterprises'!S309</f>
        <v>0</v>
      </c>
      <c r="T309" s="48">
        <f>'Adani Enterprises'!T309</f>
        <v>0</v>
      </c>
      <c r="U309" s="48">
        <f>'Adani Enterprises'!U309</f>
        <v>0</v>
      </c>
      <c r="V309" s="48">
        <f>'Adani Enterprises'!V309</f>
        <v>0</v>
      </c>
      <c r="W309" s="48">
        <f>'Adani Enterprises'!W309</f>
        <v>0</v>
      </c>
      <c r="X309" s="48">
        <f>'Adani Enterprises'!X309</f>
        <v>0</v>
      </c>
      <c r="Y309" s="48">
        <f>'Adani Enterprises'!Y309</f>
        <v>0</v>
      </c>
      <c r="Z309" s="48">
        <f>'Adani Enterprises'!Z309</f>
        <v>0</v>
      </c>
      <c r="AA309" s="48">
        <f>'Adani Enterprises'!AA309</f>
        <v>0</v>
      </c>
      <c r="AB309" s="48">
        <f>'Adani Enterprises'!AB309</f>
        <v>0</v>
      </c>
      <c r="AC309" s="48">
        <f>'Adani Enterprises'!AC309</f>
        <v>0</v>
      </c>
      <c r="AD309" s="48">
        <f>'Adani Enterprises'!AD309</f>
        <v>0</v>
      </c>
      <c r="AE309" s="48">
        <f>'Adani Enterprises'!AE309</f>
        <v>0</v>
      </c>
      <c r="AF309" s="48">
        <f>'Adani Enterprises'!AF309</f>
        <v>0</v>
      </c>
      <c r="AG309" s="48">
        <f>'Adani Enterprises'!AG309</f>
        <v>0</v>
      </c>
      <c r="AH309" s="48">
        <f>'Adani Enterprises'!AH309</f>
        <v>0</v>
      </c>
      <c r="AI309" s="48">
        <f>'Adani Enterprises'!AI309</f>
        <v>0</v>
      </c>
      <c r="AJ309" s="48">
        <f>'Adani Enterprises'!AJ309</f>
        <v>0</v>
      </c>
      <c r="AK309" s="48">
        <f>'Adani Enterprises'!AK309</f>
        <v>0</v>
      </c>
      <c r="AL309" s="48">
        <f>'Adani Enterprises'!AL309</f>
        <v>0</v>
      </c>
    </row>
    <row r="310" customHeight="1" spans="1:38">
      <c r="A310" s="48">
        <f>'Adani Enterprises'!A310</f>
        <v>0</v>
      </c>
      <c r="B310" s="48">
        <f>'Adani Enterprises'!B310</f>
        <v>0</v>
      </c>
      <c r="C310" s="48">
        <f>'Adani Enterprises'!C310</f>
        <v>0</v>
      </c>
      <c r="D310" s="48">
        <f>'Adani Enterprises'!D310</f>
        <v>0</v>
      </c>
      <c r="E310" s="48">
        <f>'Adani Enterprises'!E310</f>
        <v>0</v>
      </c>
      <c r="F310" s="48">
        <f>'Adani Enterprises'!F310</f>
        <v>0</v>
      </c>
      <c r="G310" s="48">
        <f>'Adani Enterprises'!G310</f>
        <v>0</v>
      </c>
      <c r="H310" s="48">
        <f>'Adani Enterprises'!H310</f>
        <v>0</v>
      </c>
      <c r="I310" s="48">
        <f>'Adani Enterprises'!I310</f>
        <v>0</v>
      </c>
      <c r="J310" s="48">
        <f>'Adani Enterprises'!J310</f>
        <v>0</v>
      </c>
      <c r="K310" s="48">
        <f>'Adani Enterprises'!K310</f>
        <v>0</v>
      </c>
      <c r="L310" s="48">
        <f>'Adani Enterprises'!L310</f>
        <v>0</v>
      </c>
      <c r="M310" s="48">
        <f>'Adani Enterprises'!M310</f>
        <v>0</v>
      </c>
      <c r="N310" s="48">
        <f>'Adani Enterprises'!N310</f>
        <v>0</v>
      </c>
      <c r="O310" s="48">
        <f>'Adani Enterprises'!O310</f>
        <v>0</v>
      </c>
      <c r="P310" s="48">
        <f>'Adani Enterprises'!P310</f>
        <v>0</v>
      </c>
      <c r="Q310" s="48">
        <f>'Adani Enterprises'!Q310</f>
        <v>0</v>
      </c>
      <c r="R310" s="48">
        <f>'Adani Enterprises'!R310</f>
        <v>0</v>
      </c>
      <c r="S310" s="48">
        <f>'Adani Enterprises'!S310</f>
        <v>0</v>
      </c>
      <c r="T310" s="48">
        <f>'Adani Enterprises'!T310</f>
        <v>0</v>
      </c>
      <c r="U310" s="48">
        <f>'Adani Enterprises'!U310</f>
        <v>0</v>
      </c>
      <c r="V310" s="48">
        <f>'Adani Enterprises'!V310</f>
        <v>0</v>
      </c>
      <c r="W310" s="48">
        <f>'Adani Enterprises'!W310</f>
        <v>0</v>
      </c>
      <c r="X310" s="48">
        <f>'Adani Enterprises'!X310</f>
        <v>0</v>
      </c>
      <c r="Y310" s="48">
        <f>'Adani Enterprises'!Y310</f>
        <v>0</v>
      </c>
      <c r="Z310" s="48">
        <f>'Adani Enterprises'!Z310</f>
        <v>0</v>
      </c>
      <c r="AA310" s="48">
        <f>'Adani Enterprises'!AA310</f>
        <v>0</v>
      </c>
      <c r="AB310" s="48">
        <f>'Adani Enterprises'!AB310</f>
        <v>0</v>
      </c>
      <c r="AC310" s="48">
        <f>'Adani Enterprises'!AC310</f>
        <v>0</v>
      </c>
      <c r="AD310" s="48">
        <f>'Adani Enterprises'!AD310</f>
        <v>0</v>
      </c>
      <c r="AE310" s="48">
        <f>'Adani Enterprises'!AE310</f>
        <v>0</v>
      </c>
      <c r="AF310" s="48">
        <f>'Adani Enterprises'!AF310</f>
        <v>0</v>
      </c>
      <c r="AG310" s="48">
        <f>'Adani Enterprises'!AG310</f>
        <v>0</v>
      </c>
      <c r="AH310" s="48">
        <f>'Adani Enterprises'!AH310</f>
        <v>0</v>
      </c>
      <c r="AI310" s="48">
        <f>'Adani Enterprises'!AI310</f>
        <v>0</v>
      </c>
      <c r="AJ310" s="48">
        <f>'Adani Enterprises'!AJ310</f>
        <v>0</v>
      </c>
      <c r="AK310" s="48">
        <f>'Adani Enterprises'!AK310</f>
        <v>0</v>
      </c>
      <c r="AL310" s="48">
        <f>'Adani Enterprises'!AL310</f>
        <v>0</v>
      </c>
    </row>
    <row r="311" customHeight="1" spans="1:38">
      <c r="A311" s="48">
        <f>'Adani Enterprises'!A311</f>
        <v>0</v>
      </c>
      <c r="B311" s="48">
        <f>'Adani Enterprises'!B311</f>
        <v>0</v>
      </c>
      <c r="C311" s="48">
        <f>'Adani Enterprises'!C311</f>
        <v>0</v>
      </c>
      <c r="D311" s="48">
        <f>'Adani Enterprises'!D311</f>
        <v>0</v>
      </c>
      <c r="E311" s="48">
        <f>'Adani Enterprises'!E311</f>
        <v>0</v>
      </c>
      <c r="F311" s="48">
        <f>'Adani Enterprises'!F311</f>
        <v>0</v>
      </c>
      <c r="G311" s="48">
        <f>'Adani Enterprises'!G311</f>
        <v>0</v>
      </c>
      <c r="H311" s="48">
        <f>'Adani Enterprises'!H311</f>
        <v>0</v>
      </c>
      <c r="I311" s="48">
        <f>'Adani Enterprises'!I311</f>
        <v>0</v>
      </c>
      <c r="J311" s="48">
        <f>'Adani Enterprises'!J311</f>
        <v>0</v>
      </c>
      <c r="K311" s="48">
        <f>'Adani Enterprises'!K311</f>
        <v>0</v>
      </c>
      <c r="L311" s="48">
        <f>'Adani Enterprises'!L311</f>
        <v>0</v>
      </c>
      <c r="M311" s="48">
        <f>'Adani Enterprises'!M311</f>
        <v>0</v>
      </c>
      <c r="N311" s="48">
        <f>'Adani Enterprises'!N311</f>
        <v>0</v>
      </c>
      <c r="O311" s="48">
        <f>'Adani Enterprises'!O311</f>
        <v>0</v>
      </c>
      <c r="P311" s="48">
        <f>'Adani Enterprises'!P311</f>
        <v>0</v>
      </c>
      <c r="Q311" s="48">
        <f>'Adani Enterprises'!Q311</f>
        <v>0</v>
      </c>
      <c r="R311" s="48">
        <f>'Adani Enterprises'!R311</f>
        <v>0</v>
      </c>
      <c r="S311" s="48">
        <f>'Adani Enterprises'!S311</f>
        <v>0</v>
      </c>
      <c r="T311" s="48">
        <f>'Adani Enterprises'!T311</f>
        <v>0</v>
      </c>
      <c r="U311" s="48">
        <f>'Adani Enterprises'!U311</f>
        <v>0</v>
      </c>
      <c r="V311" s="48">
        <f>'Adani Enterprises'!V311</f>
        <v>0</v>
      </c>
      <c r="W311" s="48">
        <f>'Adani Enterprises'!W311</f>
        <v>0</v>
      </c>
      <c r="X311" s="48">
        <f>'Adani Enterprises'!X311</f>
        <v>0</v>
      </c>
      <c r="Y311" s="48">
        <f>'Adani Enterprises'!Y311</f>
        <v>0</v>
      </c>
      <c r="Z311" s="48">
        <f>'Adani Enterprises'!Z311</f>
        <v>0</v>
      </c>
      <c r="AA311" s="48">
        <f>'Adani Enterprises'!AA311</f>
        <v>0</v>
      </c>
      <c r="AB311" s="48">
        <f>'Adani Enterprises'!AB311</f>
        <v>0</v>
      </c>
      <c r="AC311" s="48">
        <f>'Adani Enterprises'!AC311</f>
        <v>0</v>
      </c>
      <c r="AD311" s="48">
        <f>'Adani Enterprises'!AD311</f>
        <v>0</v>
      </c>
      <c r="AE311" s="48">
        <f>'Adani Enterprises'!AE311</f>
        <v>0</v>
      </c>
      <c r="AF311" s="48">
        <f>'Adani Enterprises'!AF311</f>
        <v>0</v>
      </c>
      <c r="AG311" s="48">
        <f>'Adani Enterprises'!AG311</f>
        <v>0</v>
      </c>
      <c r="AH311" s="48">
        <f>'Adani Enterprises'!AH311</f>
        <v>0</v>
      </c>
      <c r="AI311" s="48">
        <f>'Adani Enterprises'!AI311</f>
        <v>0</v>
      </c>
      <c r="AJ311" s="48">
        <f>'Adani Enterprises'!AJ311</f>
        <v>0</v>
      </c>
      <c r="AK311" s="48">
        <f>'Adani Enterprises'!AK311</f>
        <v>0</v>
      </c>
      <c r="AL311" s="48">
        <f>'Adani Enterprises'!AL311</f>
        <v>0</v>
      </c>
    </row>
    <row r="312" customHeight="1" spans="1:38">
      <c r="A312" s="48">
        <f>'Adani Enterprises'!A312</f>
        <v>0</v>
      </c>
      <c r="B312" s="48">
        <f>'Adani Enterprises'!B312</f>
        <v>0</v>
      </c>
      <c r="C312" s="48">
        <f>'Adani Enterprises'!C312</f>
        <v>0</v>
      </c>
      <c r="D312" s="48">
        <f>'Adani Enterprises'!D312</f>
        <v>0</v>
      </c>
      <c r="E312" s="48">
        <f>'Adani Enterprises'!E312</f>
        <v>0</v>
      </c>
      <c r="F312" s="48">
        <f>'Adani Enterprises'!F312</f>
        <v>0</v>
      </c>
      <c r="G312" s="48">
        <f>'Adani Enterprises'!G312</f>
        <v>0</v>
      </c>
      <c r="H312" s="48">
        <f>'Adani Enterprises'!H312</f>
        <v>0</v>
      </c>
      <c r="I312" s="48">
        <f>'Adani Enterprises'!I312</f>
        <v>0</v>
      </c>
      <c r="J312" s="48">
        <f>'Adani Enterprises'!J312</f>
        <v>0</v>
      </c>
      <c r="K312" s="48">
        <f>'Adani Enterprises'!K312</f>
        <v>0</v>
      </c>
      <c r="L312" s="48">
        <f>'Adani Enterprises'!L312</f>
        <v>0</v>
      </c>
      <c r="M312" s="48">
        <f>'Adani Enterprises'!M312</f>
        <v>0</v>
      </c>
      <c r="N312" s="48">
        <f>'Adani Enterprises'!N312</f>
        <v>0</v>
      </c>
      <c r="O312" s="48">
        <f>'Adani Enterprises'!O312</f>
        <v>0</v>
      </c>
      <c r="P312" s="48">
        <f>'Adani Enterprises'!P312</f>
        <v>0</v>
      </c>
      <c r="Q312" s="48">
        <f>'Adani Enterprises'!Q312</f>
        <v>0</v>
      </c>
      <c r="R312" s="48">
        <f>'Adani Enterprises'!R312</f>
        <v>0</v>
      </c>
      <c r="S312" s="48">
        <f>'Adani Enterprises'!S312</f>
        <v>0</v>
      </c>
      <c r="T312" s="48">
        <f>'Adani Enterprises'!T312</f>
        <v>0</v>
      </c>
      <c r="U312" s="48">
        <f>'Adani Enterprises'!U312</f>
        <v>0</v>
      </c>
      <c r="V312" s="48">
        <f>'Adani Enterprises'!V312</f>
        <v>0</v>
      </c>
      <c r="W312" s="48">
        <f>'Adani Enterprises'!W312</f>
        <v>0</v>
      </c>
      <c r="X312" s="48">
        <f>'Adani Enterprises'!X312</f>
        <v>0</v>
      </c>
      <c r="Y312" s="48">
        <f>'Adani Enterprises'!Y312</f>
        <v>0</v>
      </c>
      <c r="Z312" s="48">
        <f>'Adani Enterprises'!Z312</f>
        <v>0</v>
      </c>
      <c r="AA312" s="48">
        <f>'Adani Enterprises'!AA312</f>
        <v>0</v>
      </c>
      <c r="AB312" s="48">
        <f>'Adani Enterprises'!AB312</f>
        <v>0</v>
      </c>
      <c r="AC312" s="48">
        <f>'Adani Enterprises'!AC312</f>
        <v>0</v>
      </c>
      <c r="AD312" s="48">
        <f>'Adani Enterprises'!AD312</f>
        <v>0</v>
      </c>
      <c r="AE312" s="48">
        <f>'Adani Enterprises'!AE312</f>
        <v>0</v>
      </c>
      <c r="AF312" s="48">
        <f>'Adani Enterprises'!AF312</f>
        <v>0</v>
      </c>
      <c r="AG312" s="48">
        <f>'Adani Enterprises'!AG312</f>
        <v>0</v>
      </c>
      <c r="AH312" s="48">
        <f>'Adani Enterprises'!AH312</f>
        <v>0</v>
      </c>
      <c r="AI312" s="48">
        <f>'Adani Enterprises'!AI312</f>
        <v>0</v>
      </c>
      <c r="AJ312" s="48">
        <f>'Adani Enterprises'!AJ312</f>
        <v>0</v>
      </c>
      <c r="AK312" s="48">
        <f>'Adani Enterprises'!AK312</f>
        <v>0</v>
      </c>
      <c r="AL312" s="48">
        <f>'Adani Enterprises'!AL312</f>
        <v>0</v>
      </c>
    </row>
    <row r="313" customHeight="1" spans="1:38">
      <c r="A313" s="48">
        <f>'Adani Enterprises'!A313</f>
        <v>0</v>
      </c>
      <c r="B313" s="48">
        <f>'Adani Enterprises'!B313</f>
        <v>0</v>
      </c>
      <c r="C313" s="48">
        <f>'Adani Enterprises'!C313</f>
        <v>0</v>
      </c>
      <c r="D313" s="48">
        <f>'Adani Enterprises'!D313</f>
        <v>0</v>
      </c>
      <c r="E313" s="48">
        <f>'Adani Enterprises'!E313</f>
        <v>0</v>
      </c>
      <c r="F313" s="48">
        <f>'Adani Enterprises'!F313</f>
        <v>0</v>
      </c>
      <c r="G313" s="48">
        <f>'Adani Enterprises'!G313</f>
        <v>0</v>
      </c>
      <c r="H313" s="48">
        <f>'Adani Enterprises'!H313</f>
        <v>0</v>
      </c>
      <c r="I313" s="48">
        <f>'Adani Enterprises'!I313</f>
        <v>0</v>
      </c>
      <c r="J313" s="48">
        <f>'Adani Enterprises'!J313</f>
        <v>0</v>
      </c>
      <c r="K313" s="48">
        <f>'Adani Enterprises'!K313</f>
        <v>0</v>
      </c>
      <c r="L313" s="48">
        <f>'Adani Enterprises'!L313</f>
        <v>0</v>
      </c>
      <c r="M313" s="48">
        <f>'Adani Enterprises'!M313</f>
        <v>0</v>
      </c>
      <c r="N313" s="48">
        <f>'Adani Enterprises'!N313</f>
        <v>0</v>
      </c>
      <c r="O313" s="48">
        <f>'Adani Enterprises'!O313</f>
        <v>0</v>
      </c>
      <c r="P313" s="48">
        <f>'Adani Enterprises'!P313</f>
        <v>0</v>
      </c>
      <c r="Q313" s="48">
        <f>'Adani Enterprises'!Q313</f>
        <v>0</v>
      </c>
      <c r="R313" s="48">
        <f>'Adani Enterprises'!R313</f>
        <v>0</v>
      </c>
      <c r="S313" s="48">
        <f>'Adani Enterprises'!S313</f>
        <v>0</v>
      </c>
      <c r="T313" s="48">
        <f>'Adani Enterprises'!T313</f>
        <v>0</v>
      </c>
      <c r="U313" s="48">
        <f>'Adani Enterprises'!U313</f>
        <v>0</v>
      </c>
      <c r="V313" s="48">
        <f>'Adani Enterprises'!V313</f>
        <v>0</v>
      </c>
      <c r="W313" s="48">
        <f>'Adani Enterprises'!W313</f>
        <v>0</v>
      </c>
      <c r="X313" s="48">
        <f>'Adani Enterprises'!X313</f>
        <v>0</v>
      </c>
      <c r="Y313" s="48">
        <f>'Adani Enterprises'!Y313</f>
        <v>0</v>
      </c>
      <c r="Z313" s="48">
        <f>'Adani Enterprises'!Z313</f>
        <v>0</v>
      </c>
      <c r="AA313" s="48">
        <f>'Adani Enterprises'!AA313</f>
        <v>0</v>
      </c>
      <c r="AB313" s="48">
        <f>'Adani Enterprises'!AB313</f>
        <v>0</v>
      </c>
      <c r="AC313" s="48">
        <f>'Adani Enterprises'!AC313</f>
        <v>0</v>
      </c>
      <c r="AD313" s="48">
        <f>'Adani Enterprises'!AD313</f>
        <v>0</v>
      </c>
      <c r="AE313" s="48">
        <f>'Adani Enterprises'!AE313</f>
        <v>0</v>
      </c>
      <c r="AF313" s="48">
        <f>'Adani Enterprises'!AF313</f>
        <v>0</v>
      </c>
      <c r="AG313" s="48">
        <f>'Adani Enterprises'!AG313</f>
        <v>0</v>
      </c>
      <c r="AH313" s="48">
        <f>'Adani Enterprises'!AH313</f>
        <v>0</v>
      </c>
      <c r="AI313" s="48">
        <f>'Adani Enterprises'!AI313</f>
        <v>0</v>
      </c>
      <c r="AJ313" s="48">
        <f>'Adani Enterprises'!AJ313</f>
        <v>0</v>
      </c>
      <c r="AK313" s="48">
        <f>'Adani Enterprises'!AK313</f>
        <v>0</v>
      </c>
      <c r="AL313" s="48">
        <f>'Adani Enterprises'!AL313</f>
        <v>0</v>
      </c>
    </row>
    <row r="314" customHeight="1" spans="1:38">
      <c r="A314" s="48">
        <f>'Adani Enterprises'!A314</f>
        <v>0</v>
      </c>
      <c r="B314" s="48">
        <f>'Adani Enterprises'!B314</f>
        <v>0</v>
      </c>
      <c r="C314" s="48">
        <f>'Adani Enterprises'!C314</f>
        <v>0</v>
      </c>
      <c r="D314" s="48">
        <f>'Adani Enterprises'!D314</f>
        <v>0</v>
      </c>
      <c r="E314" s="48">
        <f>'Adani Enterprises'!E314</f>
        <v>0</v>
      </c>
      <c r="F314" s="48">
        <f>'Adani Enterprises'!F314</f>
        <v>0</v>
      </c>
      <c r="G314" s="48">
        <f>'Adani Enterprises'!G314</f>
        <v>0</v>
      </c>
      <c r="H314" s="48">
        <f>'Adani Enterprises'!H314</f>
        <v>0</v>
      </c>
      <c r="I314" s="48">
        <f>'Adani Enterprises'!I314</f>
        <v>0</v>
      </c>
      <c r="J314" s="48">
        <f>'Adani Enterprises'!J314</f>
        <v>0</v>
      </c>
      <c r="K314" s="48">
        <f>'Adani Enterprises'!K314</f>
        <v>0</v>
      </c>
      <c r="L314" s="48">
        <f>'Adani Enterprises'!L314</f>
        <v>0</v>
      </c>
      <c r="M314" s="48">
        <f>'Adani Enterprises'!M314</f>
        <v>0</v>
      </c>
      <c r="N314" s="48">
        <f>'Adani Enterprises'!N314</f>
        <v>0</v>
      </c>
      <c r="O314" s="48">
        <f>'Adani Enterprises'!O314</f>
        <v>0</v>
      </c>
      <c r="P314" s="48">
        <f>'Adani Enterprises'!P314</f>
        <v>0</v>
      </c>
      <c r="Q314" s="48">
        <f>'Adani Enterprises'!Q314</f>
        <v>0</v>
      </c>
      <c r="R314" s="48">
        <f>'Adani Enterprises'!R314</f>
        <v>0</v>
      </c>
      <c r="S314" s="48">
        <f>'Adani Enterprises'!S314</f>
        <v>0</v>
      </c>
      <c r="T314" s="48">
        <f>'Adani Enterprises'!T314</f>
        <v>0</v>
      </c>
      <c r="U314" s="48">
        <f>'Adani Enterprises'!U314</f>
        <v>0</v>
      </c>
      <c r="V314" s="48">
        <f>'Adani Enterprises'!V314</f>
        <v>0</v>
      </c>
      <c r="W314" s="48">
        <f>'Adani Enterprises'!W314</f>
        <v>0</v>
      </c>
      <c r="X314" s="48">
        <f>'Adani Enterprises'!X314</f>
        <v>0</v>
      </c>
      <c r="Y314" s="48">
        <f>'Adani Enterprises'!Y314</f>
        <v>0</v>
      </c>
      <c r="Z314" s="48">
        <f>'Adani Enterprises'!Z314</f>
        <v>0</v>
      </c>
      <c r="AA314" s="48">
        <f>'Adani Enterprises'!AA314</f>
        <v>0</v>
      </c>
      <c r="AB314" s="48">
        <f>'Adani Enterprises'!AB314</f>
        <v>0</v>
      </c>
      <c r="AC314" s="48">
        <f>'Adani Enterprises'!AC314</f>
        <v>0</v>
      </c>
      <c r="AD314" s="48">
        <f>'Adani Enterprises'!AD314</f>
        <v>0</v>
      </c>
      <c r="AE314" s="48">
        <f>'Adani Enterprises'!AE314</f>
        <v>0</v>
      </c>
      <c r="AF314" s="48">
        <f>'Adani Enterprises'!AF314</f>
        <v>0</v>
      </c>
      <c r="AG314" s="48">
        <f>'Adani Enterprises'!AG314</f>
        <v>0</v>
      </c>
      <c r="AH314" s="48">
        <f>'Adani Enterprises'!AH314</f>
        <v>0</v>
      </c>
      <c r="AI314" s="48">
        <f>'Adani Enterprises'!AI314</f>
        <v>0</v>
      </c>
      <c r="AJ314" s="48">
        <f>'Adani Enterprises'!AJ314</f>
        <v>0</v>
      </c>
      <c r="AK314" s="48">
        <f>'Adani Enterprises'!AK314</f>
        <v>0</v>
      </c>
      <c r="AL314" s="48">
        <f>'Adani Enterprises'!AL314</f>
        <v>0</v>
      </c>
    </row>
    <row r="315" customHeight="1" spans="1:38">
      <c r="A315" s="48">
        <f>'Adani Enterprises'!A315</f>
        <v>0</v>
      </c>
      <c r="B315" s="48">
        <f>'Adani Enterprises'!B315</f>
        <v>0</v>
      </c>
      <c r="C315" s="48">
        <f>'Adani Enterprises'!C315</f>
        <v>0</v>
      </c>
      <c r="D315" s="48">
        <f>'Adani Enterprises'!D315</f>
        <v>0</v>
      </c>
      <c r="E315" s="48">
        <f>'Adani Enterprises'!E315</f>
        <v>0</v>
      </c>
      <c r="F315" s="48">
        <f>'Adani Enterprises'!F315</f>
        <v>0</v>
      </c>
      <c r="G315" s="48">
        <f>'Adani Enterprises'!G315</f>
        <v>0</v>
      </c>
      <c r="H315" s="48">
        <f>'Adani Enterprises'!H315</f>
        <v>0</v>
      </c>
      <c r="I315" s="48">
        <f>'Adani Enterprises'!I315</f>
        <v>0</v>
      </c>
      <c r="J315" s="48">
        <f>'Adani Enterprises'!J315</f>
        <v>0</v>
      </c>
      <c r="K315" s="48">
        <f>'Adani Enterprises'!K315</f>
        <v>0</v>
      </c>
      <c r="L315" s="48">
        <f>'Adani Enterprises'!L315</f>
        <v>0</v>
      </c>
      <c r="M315" s="48">
        <f>'Adani Enterprises'!M315</f>
        <v>0</v>
      </c>
      <c r="N315" s="48">
        <f>'Adani Enterprises'!N315</f>
        <v>0</v>
      </c>
      <c r="O315" s="48">
        <f>'Adani Enterprises'!O315</f>
        <v>0</v>
      </c>
      <c r="P315" s="48">
        <f>'Adani Enterprises'!P315</f>
        <v>0</v>
      </c>
      <c r="Q315" s="48">
        <f>'Adani Enterprises'!Q315</f>
        <v>0</v>
      </c>
      <c r="R315" s="48">
        <f>'Adani Enterprises'!R315</f>
        <v>0</v>
      </c>
      <c r="S315" s="48">
        <f>'Adani Enterprises'!S315</f>
        <v>0</v>
      </c>
      <c r="T315" s="48">
        <f>'Adani Enterprises'!T315</f>
        <v>0</v>
      </c>
      <c r="U315" s="48">
        <f>'Adani Enterprises'!U315</f>
        <v>0</v>
      </c>
      <c r="V315" s="48">
        <f>'Adani Enterprises'!V315</f>
        <v>0</v>
      </c>
      <c r="W315" s="48">
        <f>'Adani Enterprises'!W315</f>
        <v>0</v>
      </c>
      <c r="X315" s="48">
        <f>'Adani Enterprises'!X315</f>
        <v>0</v>
      </c>
      <c r="Y315" s="48">
        <f>'Adani Enterprises'!Y315</f>
        <v>0</v>
      </c>
      <c r="Z315" s="48">
        <f>'Adani Enterprises'!Z315</f>
        <v>0</v>
      </c>
      <c r="AA315" s="48">
        <f>'Adani Enterprises'!AA315</f>
        <v>0</v>
      </c>
      <c r="AB315" s="48">
        <f>'Adani Enterprises'!AB315</f>
        <v>0</v>
      </c>
      <c r="AC315" s="48">
        <f>'Adani Enterprises'!AC315</f>
        <v>0</v>
      </c>
      <c r="AD315" s="48">
        <f>'Adani Enterprises'!AD315</f>
        <v>0</v>
      </c>
      <c r="AE315" s="48">
        <f>'Adani Enterprises'!AE315</f>
        <v>0</v>
      </c>
      <c r="AF315" s="48">
        <f>'Adani Enterprises'!AF315</f>
        <v>0</v>
      </c>
      <c r="AG315" s="48">
        <f>'Adani Enterprises'!AG315</f>
        <v>0</v>
      </c>
      <c r="AH315" s="48">
        <f>'Adani Enterprises'!AH315</f>
        <v>0</v>
      </c>
      <c r="AI315" s="48">
        <f>'Adani Enterprises'!AI315</f>
        <v>0</v>
      </c>
      <c r="AJ315" s="48">
        <f>'Adani Enterprises'!AJ315</f>
        <v>0</v>
      </c>
      <c r="AK315" s="48">
        <f>'Adani Enterprises'!AK315</f>
        <v>0</v>
      </c>
      <c r="AL315" s="48">
        <f>'Adani Enterprises'!AL315</f>
        <v>0</v>
      </c>
    </row>
    <row r="316" customHeight="1" spans="1:38">
      <c r="A316" s="48">
        <f>'Adani Enterprises'!A316</f>
        <v>0</v>
      </c>
      <c r="B316" s="48">
        <f>'Adani Enterprises'!B316</f>
        <v>0</v>
      </c>
      <c r="C316" s="48">
        <f>'Adani Enterprises'!C316</f>
        <v>0</v>
      </c>
      <c r="D316" s="48">
        <f>'Adani Enterprises'!D316</f>
        <v>0</v>
      </c>
      <c r="E316" s="48">
        <f>'Adani Enterprises'!E316</f>
        <v>0</v>
      </c>
      <c r="F316" s="48">
        <f>'Adani Enterprises'!F316</f>
        <v>0</v>
      </c>
      <c r="G316" s="48">
        <f>'Adani Enterprises'!G316</f>
        <v>0</v>
      </c>
      <c r="H316" s="48">
        <f>'Adani Enterprises'!H316</f>
        <v>0</v>
      </c>
      <c r="I316" s="48">
        <f>'Adani Enterprises'!I316</f>
        <v>0</v>
      </c>
      <c r="J316" s="48">
        <f>'Adani Enterprises'!J316</f>
        <v>0</v>
      </c>
      <c r="K316" s="48">
        <f>'Adani Enterprises'!K316</f>
        <v>0</v>
      </c>
      <c r="L316" s="48">
        <f>'Adani Enterprises'!L316</f>
        <v>0</v>
      </c>
      <c r="M316" s="48">
        <f>'Adani Enterprises'!M316</f>
        <v>0</v>
      </c>
      <c r="N316" s="48">
        <f>'Adani Enterprises'!N316</f>
        <v>0</v>
      </c>
      <c r="O316" s="48">
        <f>'Adani Enterprises'!O316</f>
        <v>0</v>
      </c>
      <c r="P316" s="48">
        <f>'Adani Enterprises'!P316</f>
        <v>0</v>
      </c>
      <c r="Q316" s="48">
        <f>'Adani Enterprises'!Q316</f>
        <v>0</v>
      </c>
      <c r="R316" s="48">
        <f>'Adani Enterprises'!R316</f>
        <v>0</v>
      </c>
      <c r="S316" s="48">
        <f>'Adani Enterprises'!S316</f>
        <v>0</v>
      </c>
      <c r="T316" s="48">
        <f>'Adani Enterprises'!T316</f>
        <v>0</v>
      </c>
      <c r="U316" s="48">
        <f>'Adani Enterprises'!U316</f>
        <v>0</v>
      </c>
      <c r="V316" s="48">
        <f>'Adani Enterprises'!V316</f>
        <v>0</v>
      </c>
      <c r="W316" s="48">
        <f>'Adani Enterprises'!W316</f>
        <v>0</v>
      </c>
      <c r="X316" s="48">
        <f>'Adani Enterprises'!X316</f>
        <v>0</v>
      </c>
      <c r="Y316" s="48">
        <f>'Adani Enterprises'!Y316</f>
        <v>0</v>
      </c>
      <c r="Z316" s="48">
        <f>'Adani Enterprises'!Z316</f>
        <v>0</v>
      </c>
      <c r="AA316" s="48">
        <f>'Adani Enterprises'!AA316</f>
        <v>0</v>
      </c>
      <c r="AB316" s="48">
        <f>'Adani Enterprises'!AB316</f>
        <v>0</v>
      </c>
      <c r="AC316" s="48">
        <f>'Adani Enterprises'!AC316</f>
        <v>0</v>
      </c>
      <c r="AD316" s="48">
        <f>'Adani Enterprises'!AD316</f>
        <v>0</v>
      </c>
      <c r="AE316" s="48">
        <f>'Adani Enterprises'!AE316</f>
        <v>0</v>
      </c>
      <c r="AF316" s="48">
        <f>'Adani Enterprises'!AF316</f>
        <v>0</v>
      </c>
      <c r="AG316" s="48">
        <f>'Adani Enterprises'!AG316</f>
        <v>0</v>
      </c>
      <c r="AH316" s="48">
        <f>'Adani Enterprises'!AH316</f>
        <v>0</v>
      </c>
      <c r="AI316" s="48">
        <f>'Adani Enterprises'!AI316</f>
        <v>0</v>
      </c>
      <c r="AJ316" s="48">
        <f>'Adani Enterprises'!AJ316</f>
        <v>0</v>
      </c>
      <c r="AK316" s="48">
        <f>'Adani Enterprises'!AK316</f>
        <v>0</v>
      </c>
      <c r="AL316" s="48">
        <f>'Adani Enterprises'!AL316</f>
        <v>0</v>
      </c>
    </row>
    <row r="317" customHeight="1" spans="1:38">
      <c r="A317" s="48">
        <f>'Adani Enterprises'!A317</f>
        <v>0</v>
      </c>
      <c r="B317" s="48">
        <f>'Adani Enterprises'!B317</f>
        <v>0</v>
      </c>
      <c r="C317" s="48">
        <f>'Adani Enterprises'!C317</f>
        <v>0</v>
      </c>
      <c r="D317" s="48">
        <f>'Adani Enterprises'!D317</f>
        <v>0</v>
      </c>
      <c r="E317" s="48">
        <f>'Adani Enterprises'!E317</f>
        <v>0</v>
      </c>
      <c r="F317" s="48">
        <f>'Adani Enterprises'!F317</f>
        <v>0</v>
      </c>
      <c r="G317" s="48">
        <f>'Adani Enterprises'!G317</f>
        <v>0</v>
      </c>
      <c r="H317" s="48">
        <f>'Adani Enterprises'!H317</f>
        <v>0</v>
      </c>
      <c r="I317" s="48">
        <f>'Adani Enterprises'!I317</f>
        <v>0</v>
      </c>
      <c r="J317" s="48">
        <f>'Adani Enterprises'!J317</f>
        <v>0</v>
      </c>
      <c r="K317" s="48">
        <f>'Adani Enterprises'!K317</f>
        <v>0</v>
      </c>
      <c r="L317" s="48">
        <f>'Adani Enterprises'!L317</f>
        <v>0</v>
      </c>
      <c r="M317" s="48">
        <f>'Adani Enterprises'!M317</f>
        <v>0</v>
      </c>
      <c r="N317" s="48">
        <f>'Adani Enterprises'!N317</f>
        <v>0</v>
      </c>
      <c r="O317" s="48">
        <f>'Adani Enterprises'!O317</f>
        <v>0</v>
      </c>
      <c r="P317" s="48">
        <f>'Adani Enterprises'!P317</f>
        <v>0</v>
      </c>
      <c r="Q317" s="48">
        <f>'Adani Enterprises'!Q317</f>
        <v>0</v>
      </c>
      <c r="R317" s="48">
        <f>'Adani Enterprises'!R317</f>
        <v>0</v>
      </c>
      <c r="S317" s="48">
        <f>'Adani Enterprises'!S317</f>
        <v>0</v>
      </c>
      <c r="T317" s="48">
        <f>'Adani Enterprises'!T317</f>
        <v>0</v>
      </c>
      <c r="U317" s="48">
        <f>'Adani Enterprises'!U317</f>
        <v>0</v>
      </c>
      <c r="V317" s="48">
        <f>'Adani Enterprises'!V317</f>
        <v>0</v>
      </c>
      <c r="W317" s="48">
        <f>'Adani Enterprises'!W317</f>
        <v>0</v>
      </c>
      <c r="X317" s="48">
        <f>'Adani Enterprises'!X317</f>
        <v>0</v>
      </c>
      <c r="Y317" s="48">
        <f>'Adani Enterprises'!Y317</f>
        <v>0</v>
      </c>
      <c r="Z317" s="48">
        <f>'Adani Enterprises'!Z317</f>
        <v>0</v>
      </c>
      <c r="AA317" s="48">
        <f>'Adani Enterprises'!AA317</f>
        <v>0</v>
      </c>
      <c r="AB317" s="48">
        <f>'Adani Enterprises'!AB317</f>
        <v>0</v>
      </c>
      <c r="AC317" s="48">
        <f>'Adani Enterprises'!AC317</f>
        <v>0</v>
      </c>
      <c r="AD317" s="48">
        <f>'Adani Enterprises'!AD317</f>
        <v>0</v>
      </c>
      <c r="AE317" s="48">
        <f>'Adani Enterprises'!AE317</f>
        <v>0</v>
      </c>
      <c r="AF317" s="48">
        <f>'Adani Enterprises'!AF317</f>
        <v>0</v>
      </c>
      <c r="AG317" s="48">
        <f>'Adani Enterprises'!AG317</f>
        <v>0</v>
      </c>
      <c r="AH317" s="48">
        <f>'Adani Enterprises'!AH317</f>
        <v>0</v>
      </c>
      <c r="AI317" s="48">
        <f>'Adani Enterprises'!AI317</f>
        <v>0</v>
      </c>
      <c r="AJ317" s="48">
        <f>'Adani Enterprises'!AJ317</f>
        <v>0</v>
      </c>
      <c r="AK317" s="48">
        <f>'Adani Enterprises'!AK317</f>
        <v>0</v>
      </c>
      <c r="AL317" s="48">
        <f>'Adani Enterprises'!AL317</f>
        <v>0</v>
      </c>
    </row>
    <row r="318" customHeight="1" spans="1:38">
      <c r="A318" s="48">
        <f>'Adani Enterprises'!A318</f>
        <v>0</v>
      </c>
      <c r="B318" s="48">
        <f>'Adani Enterprises'!B318</f>
        <v>0</v>
      </c>
      <c r="C318" s="48">
        <f>'Adani Enterprises'!C318</f>
        <v>0</v>
      </c>
      <c r="D318" s="48">
        <f>'Adani Enterprises'!D318</f>
        <v>0</v>
      </c>
      <c r="E318" s="48">
        <f>'Adani Enterprises'!E318</f>
        <v>0</v>
      </c>
      <c r="F318" s="48">
        <f>'Adani Enterprises'!F318</f>
        <v>0</v>
      </c>
      <c r="G318" s="48">
        <f>'Adani Enterprises'!G318</f>
        <v>0</v>
      </c>
      <c r="H318" s="48">
        <f>'Adani Enterprises'!H318</f>
        <v>0</v>
      </c>
      <c r="I318" s="48">
        <f>'Adani Enterprises'!I318</f>
        <v>0</v>
      </c>
      <c r="J318" s="48">
        <f>'Adani Enterprises'!J318</f>
        <v>0</v>
      </c>
      <c r="K318" s="48">
        <f>'Adani Enterprises'!K318</f>
        <v>0</v>
      </c>
      <c r="L318" s="48">
        <f>'Adani Enterprises'!L318</f>
        <v>0</v>
      </c>
      <c r="M318" s="48">
        <f>'Adani Enterprises'!M318</f>
        <v>0</v>
      </c>
      <c r="N318" s="48">
        <f>'Adani Enterprises'!N318</f>
        <v>0</v>
      </c>
      <c r="O318" s="48">
        <f>'Adani Enterprises'!O318</f>
        <v>0</v>
      </c>
      <c r="P318" s="48">
        <f>'Adani Enterprises'!P318</f>
        <v>0</v>
      </c>
      <c r="Q318" s="48">
        <f>'Adani Enterprises'!Q318</f>
        <v>0</v>
      </c>
      <c r="R318" s="48">
        <f>'Adani Enterprises'!R318</f>
        <v>0</v>
      </c>
      <c r="S318" s="48">
        <f>'Adani Enterprises'!S318</f>
        <v>0</v>
      </c>
      <c r="T318" s="48">
        <f>'Adani Enterprises'!T318</f>
        <v>0</v>
      </c>
      <c r="U318" s="48">
        <f>'Adani Enterprises'!U318</f>
        <v>0</v>
      </c>
      <c r="V318" s="48">
        <f>'Adani Enterprises'!V318</f>
        <v>0</v>
      </c>
      <c r="W318" s="48">
        <f>'Adani Enterprises'!W318</f>
        <v>0</v>
      </c>
      <c r="X318" s="48">
        <f>'Adani Enterprises'!X318</f>
        <v>0</v>
      </c>
      <c r="Y318" s="48">
        <f>'Adani Enterprises'!Y318</f>
        <v>0</v>
      </c>
      <c r="Z318" s="48">
        <f>'Adani Enterprises'!Z318</f>
        <v>0</v>
      </c>
      <c r="AA318" s="48">
        <f>'Adani Enterprises'!AA318</f>
        <v>0</v>
      </c>
      <c r="AB318" s="48">
        <f>'Adani Enterprises'!AB318</f>
        <v>0</v>
      </c>
      <c r="AC318" s="48">
        <f>'Adani Enterprises'!AC318</f>
        <v>0</v>
      </c>
      <c r="AD318" s="48">
        <f>'Adani Enterprises'!AD318</f>
        <v>0</v>
      </c>
      <c r="AE318" s="48">
        <f>'Adani Enterprises'!AE318</f>
        <v>0</v>
      </c>
      <c r="AF318" s="48">
        <f>'Adani Enterprises'!AF318</f>
        <v>0</v>
      </c>
      <c r="AG318" s="48">
        <f>'Adani Enterprises'!AG318</f>
        <v>0</v>
      </c>
      <c r="AH318" s="48">
        <f>'Adani Enterprises'!AH318</f>
        <v>0</v>
      </c>
      <c r="AI318" s="48">
        <f>'Adani Enterprises'!AI318</f>
        <v>0</v>
      </c>
      <c r="AJ318" s="48">
        <f>'Adani Enterprises'!AJ318</f>
        <v>0</v>
      </c>
      <c r="AK318" s="48">
        <f>'Adani Enterprises'!AK318</f>
        <v>0</v>
      </c>
      <c r="AL318" s="48">
        <f>'Adani Enterprises'!AL318</f>
        <v>0</v>
      </c>
    </row>
    <row r="319" customHeight="1" spans="1:38">
      <c r="A319" s="48">
        <f>'Adani Enterprises'!A319</f>
        <v>0</v>
      </c>
      <c r="B319" s="48">
        <f>'Adani Enterprises'!B319</f>
        <v>0</v>
      </c>
      <c r="C319" s="48">
        <f>'Adani Enterprises'!C319</f>
        <v>0</v>
      </c>
      <c r="D319" s="48">
        <f>'Adani Enterprises'!D319</f>
        <v>0</v>
      </c>
      <c r="E319" s="48">
        <f>'Adani Enterprises'!E319</f>
        <v>0</v>
      </c>
      <c r="F319" s="48">
        <f>'Adani Enterprises'!F319</f>
        <v>0</v>
      </c>
      <c r="G319" s="48">
        <f>'Adani Enterprises'!G319</f>
        <v>0</v>
      </c>
      <c r="H319" s="48">
        <f>'Adani Enterprises'!H319</f>
        <v>0</v>
      </c>
      <c r="I319" s="48">
        <f>'Adani Enterprises'!I319</f>
        <v>0</v>
      </c>
      <c r="J319" s="48">
        <f>'Adani Enterprises'!J319</f>
        <v>0</v>
      </c>
      <c r="K319" s="48">
        <f>'Adani Enterprises'!K319</f>
        <v>0</v>
      </c>
      <c r="L319" s="48">
        <f>'Adani Enterprises'!L319</f>
        <v>0</v>
      </c>
      <c r="M319" s="48">
        <f>'Adani Enterprises'!M319</f>
        <v>0</v>
      </c>
      <c r="N319" s="48">
        <f>'Adani Enterprises'!N319</f>
        <v>0</v>
      </c>
      <c r="O319" s="48">
        <f>'Adani Enterprises'!O319</f>
        <v>0</v>
      </c>
      <c r="P319" s="48">
        <f>'Adani Enterprises'!P319</f>
        <v>0</v>
      </c>
      <c r="Q319" s="48">
        <f>'Adani Enterprises'!Q319</f>
        <v>0</v>
      </c>
      <c r="R319" s="48">
        <f>'Adani Enterprises'!R319</f>
        <v>0</v>
      </c>
      <c r="S319" s="48">
        <f>'Adani Enterprises'!S319</f>
        <v>0</v>
      </c>
      <c r="T319" s="48">
        <f>'Adani Enterprises'!T319</f>
        <v>0</v>
      </c>
      <c r="U319" s="48">
        <f>'Adani Enterprises'!U319</f>
        <v>0</v>
      </c>
      <c r="V319" s="48">
        <f>'Adani Enterprises'!V319</f>
        <v>0</v>
      </c>
      <c r="W319" s="48">
        <f>'Adani Enterprises'!W319</f>
        <v>0</v>
      </c>
      <c r="X319" s="48">
        <f>'Adani Enterprises'!X319</f>
        <v>0</v>
      </c>
      <c r="Y319" s="48">
        <f>'Adani Enterprises'!Y319</f>
        <v>0</v>
      </c>
      <c r="Z319" s="48">
        <f>'Adani Enterprises'!Z319</f>
        <v>0</v>
      </c>
      <c r="AA319" s="48">
        <f>'Adani Enterprises'!AA319</f>
        <v>0</v>
      </c>
      <c r="AB319" s="48">
        <f>'Adani Enterprises'!AB319</f>
        <v>0</v>
      </c>
      <c r="AC319" s="48">
        <f>'Adani Enterprises'!AC319</f>
        <v>0</v>
      </c>
      <c r="AD319" s="48">
        <f>'Adani Enterprises'!AD319</f>
        <v>0</v>
      </c>
      <c r="AE319" s="48">
        <f>'Adani Enterprises'!AE319</f>
        <v>0</v>
      </c>
      <c r="AF319" s="48">
        <f>'Adani Enterprises'!AF319</f>
        <v>0</v>
      </c>
      <c r="AG319" s="48">
        <f>'Adani Enterprises'!AG319</f>
        <v>0</v>
      </c>
      <c r="AH319" s="48">
        <f>'Adani Enterprises'!AH319</f>
        <v>0</v>
      </c>
      <c r="AI319" s="48">
        <f>'Adani Enterprises'!AI319</f>
        <v>0</v>
      </c>
      <c r="AJ319" s="48">
        <f>'Adani Enterprises'!AJ319</f>
        <v>0</v>
      </c>
      <c r="AK319" s="48">
        <f>'Adani Enterprises'!AK319</f>
        <v>0</v>
      </c>
      <c r="AL319" s="48">
        <f>'Adani Enterprises'!AL319</f>
        <v>0</v>
      </c>
    </row>
    <row r="320" customHeight="1" spans="1:38">
      <c r="A320" s="48">
        <f>'Adani Enterprises'!A320</f>
        <v>0</v>
      </c>
      <c r="B320" s="48">
        <f>'Adani Enterprises'!B320</f>
        <v>0</v>
      </c>
      <c r="C320" s="48">
        <f>'Adani Enterprises'!C320</f>
        <v>0</v>
      </c>
      <c r="D320" s="48">
        <f>'Adani Enterprises'!D320</f>
        <v>0</v>
      </c>
      <c r="E320" s="48">
        <f>'Adani Enterprises'!E320</f>
        <v>0</v>
      </c>
      <c r="F320" s="48">
        <f>'Adani Enterprises'!F320</f>
        <v>0</v>
      </c>
      <c r="G320" s="48">
        <f>'Adani Enterprises'!G320</f>
        <v>0</v>
      </c>
      <c r="H320" s="48">
        <f>'Adani Enterprises'!H320</f>
        <v>0</v>
      </c>
      <c r="I320" s="48">
        <f>'Adani Enterprises'!I320</f>
        <v>0</v>
      </c>
      <c r="J320" s="48">
        <f>'Adani Enterprises'!J320</f>
        <v>0</v>
      </c>
      <c r="K320" s="48">
        <f>'Adani Enterprises'!K320</f>
        <v>0</v>
      </c>
      <c r="L320" s="48">
        <f>'Adani Enterprises'!L320</f>
        <v>0</v>
      </c>
      <c r="M320" s="48">
        <f>'Adani Enterprises'!M320</f>
        <v>0</v>
      </c>
      <c r="N320" s="48">
        <f>'Adani Enterprises'!N320</f>
        <v>0</v>
      </c>
      <c r="O320" s="48">
        <f>'Adani Enterprises'!O320</f>
        <v>0</v>
      </c>
      <c r="P320" s="48">
        <f>'Adani Enterprises'!P320</f>
        <v>0</v>
      </c>
      <c r="Q320" s="48">
        <f>'Adani Enterprises'!Q320</f>
        <v>0</v>
      </c>
      <c r="R320" s="48">
        <f>'Adani Enterprises'!R320</f>
        <v>0</v>
      </c>
      <c r="S320" s="48">
        <f>'Adani Enterprises'!S320</f>
        <v>0</v>
      </c>
      <c r="T320" s="48">
        <f>'Adani Enterprises'!T320</f>
        <v>0</v>
      </c>
      <c r="U320" s="48">
        <f>'Adani Enterprises'!U320</f>
        <v>0</v>
      </c>
      <c r="V320" s="48">
        <f>'Adani Enterprises'!V320</f>
        <v>0</v>
      </c>
      <c r="W320" s="48">
        <f>'Adani Enterprises'!W320</f>
        <v>0</v>
      </c>
      <c r="X320" s="48">
        <f>'Adani Enterprises'!X320</f>
        <v>0</v>
      </c>
      <c r="Y320" s="48">
        <f>'Adani Enterprises'!Y320</f>
        <v>0</v>
      </c>
      <c r="Z320" s="48">
        <f>'Adani Enterprises'!Z320</f>
        <v>0</v>
      </c>
      <c r="AA320" s="48">
        <f>'Adani Enterprises'!AA320</f>
        <v>0</v>
      </c>
      <c r="AB320" s="48">
        <f>'Adani Enterprises'!AB320</f>
        <v>0</v>
      </c>
      <c r="AC320" s="48">
        <f>'Adani Enterprises'!AC320</f>
        <v>0</v>
      </c>
      <c r="AD320" s="48">
        <f>'Adani Enterprises'!AD320</f>
        <v>0</v>
      </c>
      <c r="AE320" s="48">
        <f>'Adani Enterprises'!AE320</f>
        <v>0</v>
      </c>
      <c r="AF320" s="48">
        <f>'Adani Enterprises'!AF320</f>
        <v>0</v>
      </c>
      <c r="AG320" s="48">
        <f>'Adani Enterprises'!AG320</f>
        <v>0</v>
      </c>
      <c r="AH320" s="48">
        <f>'Adani Enterprises'!AH320</f>
        <v>0</v>
      </c>
      <c r="AI320" s="48">
        <f>'Adani Enterprises'!AI320</f>
        <v>0</v>
      </c>
      <c r="AJ320" s="48">
        <f>'Adani Enterprises'!AJ320</f>
        <v>0</v>
      </c>
      <c r="AK320" s="48">
        <f>'Adani Enterprises'!AK320</f>
        <v>0</v>
      </c>
      <c r="AL320" s="48">
        <f>'Adani Enterprises'!AL320</f>
        <v>0</v>
      </c>
    </row>
    <row r="321" customHeight="1" spans="1:38">
      <c r="A321" s="48">
        <f>'Adani Enterprises'!A321</f>
        <v>0</v>
      </c>
      <c r="B321" s="48">
        <f>'Adani Enterprises'!B321</f>
        <v>0</v>
      </c>
      <c r="C321" s="48">
        <f>'Adani Enterprises'!C321</f>
        <v>0</v>
      </c>
      <c r="D321" s="48">
        <f>'Adani Enterprises'!D321</f>
        <v>0</v>
      </c>
      <c r="E321" s="48">
        <f>'Adani Enterprises'!E321</f>
        <v>0</v>
      </c>
      <c r="F321" s="48">
        <f>'Adani Enterprises'!F321</f>
        <v>0</v>
      </c>
      <c r="G321" s="48">
        <f>'Adani Enterprises'!G321</f>
        <v>0</v>
      </c>
      <c r="H321" s="48">
        <f>'Adani Enterprises'!H321</f>
        <v>0</v>
      </c>
      <c r="I321" s="48">
        <f>'Adani Enterprises'!I321</f>
        <v>0</v>
      </c>
      <c r="J321" s="48">
        <f>'Adani Enterprises'!J321</f>
        <v>0</v>
      </c>
      <c r="K321" s="48">
        <f>'Adani Enterprises'!K321</f>
        <v>0</v>
      </c>
      <c r="L321" s="48">
        <f>'Adani Enterprises'!L321</f>
        <v>0</v>
      </c>
      <c r="M321" s="48">
        <f>'Adani Enterprises'!M321</f>
        <v>0</v>
      </c>
      <c r="N321" s="48">
        <f>'Adani Enterprises'!N321</f>
        <v>0</v>
      </c>
      <c r="O321" s="48">
        <f>'Adani Enterprises'!O321</f>
        <v>0</v>
      </c>
      <c r="P321" s="48">
        <f>'Adani Enterprises'!P321</f>
        <v>0</v>
      </c>
      <c r="Q321" s="48">
        <f>'Adani Enterprises'!Q321</f>
        <v>0</v>
      </c>
      <c r="R321" s="48">
        <f>'Adani Enterprises'!R321</f>
        <v>0</v>
      </c>
      <c r="S321" s="48">
        <f>'Adani Enterprises'!S321</f>
        <v>0</v>
      </c>
      <c r="T321" s="48">
        <f>'Adani Enterprises'!T321</f>
        <v>0</v>
      </c>
      <c r="U321" s="48">
        <f>'Adani Enterprises'!U321</f>
        <v>0</v>
      </c>
      <c r="V321" s="48">
        <f>'Adani Enterprises'!V321</f>
        <v>0</v>
      </c>
      <c r="W321" s="48">
        <f>'Adani Enterprises'!W321</f>
        <v>0</v>
      </c>
      <c r="X321" s="48">
        <f>'Adani Enterprises'!X321</f>
        <v>0</v>
      </c>
      <c r="Y321" s="48">
        <f>'Adani Enterprises'!Y321</f>
        <v>0</v>
      </c>
      <c r="Z321" s="48">
        <f>'Adani Enterprises'!Z321</f>
        <v>0</v>
      </c>
      <c r="AA321" s="48">
        <f>'Adani Enterprises'!AA321</f>
        <v>0</v>
      </c>
      <c r="AB321" s="48">
        <f>'Adani Enterprises'!AB321</f>
        <v>0</v>
      </c>
      <c r="AC321" s="48">
        <f>'Adani Enterprises'!AC321</f>
        <v>0</v>
      </c>
      <c r="AD321" s="48">
        <f>'Adani Enterprises'!AD321</f>
        <v>0</v>
      </c>
      <c r="AE321" s="48">
        <f>'Adani Enterprises'!AE321</f>
        <v>0</v>
      </c>
      <c r="AF321" s="48">
        <f>'Adani Enterprises'!AF321</f>
        <v>0</v>
      </c>
      <c r="AG321" s="48">
        <f>'Adani Enterprises'!AG321</f>
        <v>0</v>
      </c>
      <c r="AH321" s="48">
        <f>'Adani Enterprises'!AH321</f>
        <v>0</v>
      </c>
      <c r="AI321" s="48">
        <f>'Adani Enterprises'!AI321</f>
        <v>0</v>
      </c>
      <c r="AJ321" s="48">
        <f>'Adani Enterprises'!AJ321</f>
        <v>0</v>
      </c>
      <c r="AK321" s="48">
        <f>'Adani Enterprises'!AK321</f>
        <v>0</v>
      </c>
      <c r="AL321" s="48">
        <f>'Adani Enterprises'!AL321</f>
        <v>0</v>
      </c>
    </row>
    <row r="322" customHeight="1" spans="1:38">
      <c r="A322" s="48">
        <f>'Adani Enterprises'!A322</f>
        <v>0</v>
      </c>
      <c r="B322" s="48">
        <f>'Adani Enterprises'!B322</f>
        <v>0</v>
      </c>
      <c r="C322" s="48">
        <f>'Adani Enterprises'!C322</f>
        <v>0</v>
      </c>
      <c r="D322" s="48">
        <f>'Adani Enterprises'!D322</f>
        <v>0</v>
      </c>
      <c r="E322" s="48">
        <f>'Adani Enterprises'!E322</f>
        <v>0</v>
      </c>
      <c r="F322" s="48">
        <f>'Adani Enterprises'!F322</f>
        <v>0</v>
      </c>
      <c r="G322" s="48">
        <f>'Adani Enterprises'!G322</f>
        <v>0</v>
      </c>
      <c r="H322" s="48">
        <f>'Adani Enterprises'!H322</f>
        <v>0</v>
      </c>
      <c r="I322" s="48">
        <f>'Adani Enterprises'!I322</f>
        <v>0</v>
      </c>
      <c r="J322" s="48">
        <f>'Adani Enterprises'!J322</f>
        <v>0</v>
      </c>
      <c r="K322" s="48">
        <f>'Adani Enterprises'!K322</f>
        <v>0</v>
      </c>
      <c r="L322" s="48">
        <f>'Adani Enterprises'!L322</f>
        <v>0</v>
      </c>
      <c r="M322" s="48">
        <f>'Adani Enterprises'!M322</f>
        <v>0</v>
      </c>
      <c r="N322" s="48">
        <f>'Adani Enterprises'!N322</f>
        <v>0</v>
      </c>
      <c r="O322" s="48">
        <f>'Adani Enterprises'!O322</f>
        <v>0</v>
      </c>
      <c r="P322" s="48">
        <f>'Adani Enterprises'!P322</f>
        <v>0</v>
      </c>
      <c r="Q322" s="48">
        <f>'Adani Enterprises'!Q322</f>
        <v>0</v>
      </c>
      <c r="R322" s="48">
        <f>'Adani Enterprises'!R322</f>
        <v>0</v>
      </c>
      <c r="S322" s="48">
        <f>'Adani Enterprises'!S322</f>
        <v>0</v>
      </c>
      <c r="T322" s="48">
        <f>'Adani Enterprises'!T322</f>
        <v>0</v>
      </c>
      <c r="U322" s="48">
        <f>'Adani Enterprises'!U322</f>
        <v>0</v>
      </c>
      <c r="V322" s="48">
        <f>'Adani Enterprises'!V322</f>
        <v>0</v>
      </c>
      <c r="W322" s="48">
        <f>'Adani Enterprises'!W322</f>
        <v>0</v>
      </c>
      <c r="X322" s="48">
        <f>'Adani Enterprises'!X322</f>
        <v>0</v>
      </c>
      <c r="Y322" s="48">
        <f>'Adani Enterprises'!Y322</f>
        <v>0</v>
      </c>
      <c r="Z322" s="48">
        <f>'Adani Enterprises'!Z322</f>
        <v>0</v>
      </c>
      <c r="AA322" s="48">
        <f>'Adani Enterprises'!AA322</f>
        <v>0</v>
      </c>
      <c r="AB322" s="48">
        <f>'Adani Enterprises'!AB322</f>
        <v>0</v>
      </c>
      <c r="AC322" s="48">
        <f>'Adani Enterprises'!AC322</f>
        <v>0</v>
      </c>
      <c r="AD322" s="48">
        <f>'Adani Enterprises'!AD322</f>
        <v>0</v>
      </c>
      <c r="AE322" s="48">
        <f>'Adani Enterprises'!AE322</f>
        <v>0</v>
      </c>
      <c r="AF322" s="48">
        <f>'Adani Enterprises'!AF322</f>
        <v>0</v>
      </c>
      <c r="AG322" s="48">
        <f>'Adani Enterprises'!AG322</f>
        <v>0</v>
      </c>
      <c r="AH322" s="48">
        <f>'Adani Enterprises'!AH322</f>
        <v>0</v>
      </c>
      <c r="AI322" s="48">
        <f>'Adani Enterprises'!AI322</f>
        <v>0</v>
      </c>
      <c r="AJ322" s="48">
        <f>'Adani Enterprises'!AJ322</f>
        <v>0</v>
      </c>
      <c r="AK322" s="48">
        <f>'Adani Enterprises'!AK322</f>
        <v>0</v>
      </c>
      <c r="AL322" s="48">
        <f>'Adani Enterprises'!AL322</f>
        <v>0</v>
      </c>
    </row>
    <row r="323" customHeight="1" spans="1:38">
      <c r="A323" s="48">
        <f>'Adani Enterprises'!A323</f>
        <v>0</v>
      </c>
      <c r="B323" s="48">
        <f>'Adani Enterprises'!B323</f>
        <v>0</v>
      </c>
      <c r="C323" s="48">
        <f>'Adani Enterprises'!C323</f>
        <v>0</v>
      </c>
      <c r="D323" s="48">
        <f>'Adani Enterprises'!D323</f>
        <v>0</v>
      </c>
      <c r="E323" s="48">
        <f>'Adani Enterprises'!E323</f>
        <v>0</v>
      </c>
      <c r="F323" s="48">
        <f>'Adani Enterprises'!F323</f>
        <v>0</v>
      </c>
      <c r="G323" s="48">
        <f>'Adani Enterprises'!G323</f>
        <v>0</v>
      </c>
      <c r="H323" s="48">
        <f>'Adani Enterprises'!H323</f>
        <v>0</v>
      </c>
      <c r="I323" s="48">
        <f>'Adani Enterprises'!I323</f>
        <v>0</v>
      </c>
      <c r="J323" s="48">
        <f>'Adani Enterprises'!J323</f>
        <v>0</v>
      </c>
      <c r="K323" s="48">
        <f>'Adani Enterprises'!K323</f>
        <v>0</v>
      </c>
      <c r="L323" s="48">
        <f>'Adani Enterprises'!L323</f>
        <v>0</v>
      </c>
      <c r="M323" s="48">
        <f>'Adani Enterprises'!M323</f>
        <v>0</v>
      </c>
      <c r="N323" s="48">
        <f>'Adani Enterprises'!N323</f>
        <v>0</v>
      </c>
      <c r="O323" s="48">
        <f>'Adani Enterprises'!O323</f>
        <v>0</v>
      </c>
      <c r="P323" s="48">
        <f>'Adani Enterprises'!P323</f>
        <v>0</v>
      </c>
      <c r="Q323" s="48">
        <f>'Adani Enterprises'!Q323</f>
        <v>0</v>
      </c>
      <c r="R323" s="48">
        <f>'Adani Enterprises'!R323</f>
        <v>0</v>
      </c>
      <c r="S323" s="48">
        <f>'Adani Enterprises'!S323</f>
        <v>0</v>
      </c>
      <c r="T323" s="48">
        <f>'Adani Enterprises'!T323</f>
        <v>0</v>
      </c>
      <c r="U323" s="48">
        <f>'Adani Enterprises'!U323</f>
        <v>0</v>
      </c>
      <c r="V323" s="48">
        <f>'Adani Enterprises'!V323</f>
        <v>0</v>
      </c>
      <c r="W323" s="48">
        <f>'Adani Enterprises'!W323</f>
        <v>0</v>
      </c>
      <c r="X323" s="48">
        <f>'Adani Enterprises'!X323</f>
        <v>0</v>
      </c>
      <c r="Y323" s="48">
        <f>'Adani Enterprises'!Y323</f>
        <v>0</v>
      </c>
      <c r="Z323" s="48">
        <f>'Adani Enterprises'!Z323</f>
        <v>0</v>
      </c>
      <c r="AA323" s="48">
        <f>'Adani Enterprises'!AA323</f>
        <v>0</v>
      </c>
      <c r="AB323" s="48">
        <f>'Adani Enterprises'!AB323</f>
        <v>0</v>
      </c>
      <c r="AC323" s="48">
        <f>'Adani Enterprises'!AC323</f>
        <v>0</v>
      </c>
      <c r="AD323" s="48">
        <f>'Adani Enterprises'!AD323</f>
        <v>0</v>
      </c>
      <c r="AE323" s="48">
        <f>'Adani Enterprises'!AE323</f>
        <v>0</v>
      </c>
      <c r="AF323" s="48">
        <f>'Adani Enterprises'!AF323</f>
        <v>0</v>
      </c>
      <c r="AG323" s="48">
        <f>'Adani Enterprises'!AG323</f>
        <v>0</v>
      </c>
      <c r="AH323" s="48">
        <f>'Adani Enterprises'!AH323</f>
        <v>0</v>
      </c>
      <c r="AI323" s="48">
        <f>'Adani Enterprises'!AI323</f>
        <v>0</v>
      </c>
      <c r="AJ323" s="48">
        <f>'Adani Enterprises'!AJ323</f>
        <v>0</v>
      </c>
      <c r="AK323" s="48">
        <f>'Adani Enterprises'!AK323</f>
        <v>0</v>
      </c>
      <c r="AL323" s="48">
        <f>'Adani Enterprises'!AL323</f>
        <v>0</v>
      </c>
    </row>
    <row r="324" customHeight="1" spans="1:38">
      <c r="A324" s="48">
        <f>'Adani Enterprises'!A324</f>
        <v>0</v>
      </c>
      <c r="B324" s="48">
        <f>'Adani Enterprises'!B324</f>
        <v>0</v>
      </c>
      <c r="C324" s="48">
        <f>'Adani Enterprises'!C324</f>
        <v>0</v>
      </c>
      <c r="D324" s="48">
        <f>'Adani Enterprises'!D324</f>
        <v>0</v>
      </c>
      <c r="E324" s="48">
        <f>'Adani Enterprises'!E324</f>
        <v>0</v>
      </c>
      <c r="F324" s="48">
        <f>'Adani Enterprises'!F324</f>
        <v>0</v>
      </c>
      <c r="G324" s="48">
        <f>'Adani Enterprises'!G324</f>
        <v>0</v>
      </c>
      <c r="H324" s="48">
        <f>'Adani Enterprises'!H324</f>
        <v>0</v>
      </c>
      <c r="I324" s="48">
        <f>'Adani Enterprises'!I324</f>
        <v>0</v>
      </c>
      <c r="J324" s="48">
        <f>'Adani Enterprises'!J324</f>
        <v>0</v>
      </c>
      <c r="K324" s="48">
        <f>'Adani Enterprises'!K324</f>
        <v>0</v>
      </c>
      <c r="L324" s="48">
        <f>'Adani Enterprises'!L324</f>
        <v>0</v>
      </c>
      <c r="M324" s="48">
        <f>'Adani Enterprises'!M324</f>
        <v>0</v>
      </c>
      <c r="N324" s="48">
        <f>'Adani Enterprises'!N324</f>
        <v>0</v>
      </c>
      <c r="O324" s="48">
        <f>'Adani Enterprises'!O324</f>
        <v>0</v>
      </c>
      <c r="P324" s="48">
        <f>'Adani Enterprises'!P324</f>
        <v>0</v>
      </c>
      <c r="Q324" s="48">
        <f>'Adani Enterprises'!Q324</f>
        <v>0</v>
      </c>
      <c r="R324" s="48">
        <f>'Adani Enterprises'!R324</f>
        <v>0</v>
      </c>
      <c r="S324" s="48">
        <f>'Adani Enterprises'!S324</f>
        <v>0</v>
      </c>
      <c r="T324" s="48">
        <f>'Adani Enterprises'!T324</f>
        <v>0</v>
      </c>
      <c r="U324" s="48">
        <f>'Adani Enterprises'!U324</f>
        <v>0</v>
      </c>
      <c r="V324" s="48">
        <f>'Adani Enterprises'!V324</f>
        <v>0</v>
      </c>
      <c r="W324" s="48">
        <f>'Adani Enterprises'!W324</f>
        <v>0</v>
      </c>
      <c r="X324" s="48">
        <f>'Adani Enterprises'!X324</f>
        <v>0</v>
      </c>
      <c r="Y324" s="48">
        <f>'Adani Enterprises'!Y324</f>
        <v>0</v>
      </c>
      <c r="Z324" s="48">
        <f>'Adani Enterprises'!Z324</f>
        <v>0</v>
      </c>
      <c r="AA324" s="48">
        <f>'Adani Enterprises'!AA324</f>
        <v>0</v>
      </c>
      <c r="AB324" s="48">
        <f>'Adani Enterprises'!AB324</f>
        <v>0</v>
      </c>
      <c r="AC324" s="48">
        <f>'Adani Enterprises'!AC324</f>
        <v>0</v>
      </c>
      <c r="AD324" s="48">
        <f>'Adani Enterprises'!AD324</f>
        <v>0</v>
      </c>
      <c r="AE324" s="48">
        <f>'Adani Enterprises'!AE324</f>
        <v>0</v>
      </c>
      <c r="AF324" s="48">
        <f>'Adani Enterprises'!AF324</f>
        <v>0</v>
      </c>
      <c r="AG324" s="48">
        <f>'Adani Enterprises'!AG324</f>
        <v>0</v>
      </c>
      <c r="AH324" s="48">
        <f>'Adani Enterprises'!AH324</f>
        <v>0</v>
      </c>
      <c r="AI324" s="48">
        <f>'Adani Enterprises'!AI324</f>
        <v>0</v>
      </c>
      <c r="AJ324" s="48">
        <f>'Adani Enterprises'!AJ324</f>
        <v>0</v>
      </c>
      <c r="AK324" s="48">
        <f>'Adani Enterprises'!AK324</f>
        <v>0</v>
      </c>
      <c r="AL324" s="48">
        <f>'Adani Enterprises'!AL324</f>
        <v>0</v>
      </c>
    </row>
    <row r="325" customHeight="1" spans="1:38">
      <c r="A325" s="48">
        <f>'Adani Enterprises'!A325</f>
        <v>0</v>
      </c>
      <c r="B325" s="48">
        <f>'Adani Enterprises'!B325</f>
        <v>0</v>
      </c>
      <c r="C325" s="48">
        <f>'Adani Enterprises'!C325</f>
        <v>0</v>
      </c>
      <c r="D325" s="48">
        <f>'Adani Enterprises'!D325</f>
        <v>0</v>
      </c>
      <c r="E325" s="48">
        <f>'Adani Enterprises'!E325</f>
        <v>0</v>
      </c>
      <c r="F325" s="48">
        <f>'Adani Enterprises'!F325</f>
        <v>0</v>
      </c>
      <c r="G325" s="48">
        <f>'Adani Enterprises'!G325</f>
        <v>0</v>
      </c>
      <c r="H325" s="48">
        <f>'Adani Enterprises'!H325</f>
        <v>0</v>
      </c>
      <c r="I325" s="48">
        <f>'Adani Enterprises'!I325</f>
        <v>0</v>
      </c>
      <c r="J325" s="48">
        <f>'Adani Enterprises'!J325</f>
        <v>0</v>
      </c>
      <c r="K325" s="48">
        <f>'Adani Enterprises'!K325</f>
        <v>0</v>
      </c>
      <c r="L325" s="48">
        <f>'Adani Enterprises'!L325</f>
        <v>0</v>
      </c>
      <c r="M325" s="48">
        <f>'Adani Enterprises'!M325</f>
        <v>0</v>
      </c>
      <c r="N325" s="48">
        <f>'Adani Enterprises'!N325</f>
        <v>0</v>
      </c>
      <c r="O325" s="48">
        <f>'Adani Enterprises'!O325</f>
        <v>0</v>
      </c>
      <c r="P325" s="48">
        <f>'Adani Enterprises'!P325</f>
        <v>0</v>
      </c>
      <c r="Q325" s="48">
        <f>'Adani Enterprises'!Q325</f>
        <v>0</v>
      </c>
      <c r="R325" s="48">
        <f>'Adani Enterprises'!R325</f>
        <v>0</v>
      </c>
      <c r="S325" s="48">
        <f>'Adani Enterprises'!S325</f>
        <v>0</v>
      </c>
      <c r="T325" s="48">
        <f>'Adani Enterprises'!T325</f>
        <v>0</v>
      </c>
      <c r="U325" s="48">
        <f>'Adani Enterprises'!U325</f>
        <v>0</v>
      </c>
      <c r="V325" s="48">
        <f>'Adani Enterprises'!V325</f>
        <v>0</v>
      </c>
      <c r="W325" s="48">
        <f>'Adani Enterprises'!W325</f>
        <v>0</v>
      </c>
      <c r="X325" s="48">
        <f>'Adani Enterprises'!X325</f>
        <v>0</v>
      </c>
      <c r="Y325" s="48">
        <f>'Adani Enterprises'!Y325</f>
        <v>0</v>
      </c>
      <c r="Z325" s="48">
        <f>'Adani Enterprises'!Z325</f>
        <v>0</v>
      </c>
      <c r="AA325" s="48">
        <f>'Adani Enterprises'!AA325</f>
        <v>0</v>
      </c>
      <c r="AB325" s="48">
        <f>'Adani Enterprises'!AB325</f>
        <v>0</v>
      </c>
      <c r="AC325" s="48">
        <f>'Adani Enterprises'!AC325</f>
        <v>0</v>
      </c>
      <c r="AD325" s="48">
        <f>'Adani Enterprises'!AD325</f>
        <v>0</v>
      </c>
      <c r="AE325" s="48">
        <f>'Adani Enterprises'!AE325</f>
        <v>0</v>
      </c>
      <c r="AF325" s="48">
        <f>'Adani Enterprises'!AF325</f>
        <v>0</v>
      </c>
      <c r="AG325" s="48">
        <f>'Adani Enterprises'!AG325</f>
        <v>0</v>
      </c>
      <c r="AH325" s="48">
        <f>'Adani Enterprises'!AH325</f>
        <v>0</v>
      </c>
      <c r="AI325" s="48">
        <f>'Adani Enterprises'!AI325</f>
        <v>0</v>
      </c>
      <c r="AJ325" s="48">
        <f>'Adani Enterprises'!AJ325</f>
        <v>0</v>
      </c>
      <c r="AK325" s="48">
        <f>'Adani Enterprises'!AK325</f>
        <v>0</v>
      </c>
      <c r="AL325" s="48">
        <f>'Adani Enterprises'!AL325</f>
        <v>0</v>
      </c>
    </row>
    <row r="326" customHeight="1" spans="1:38">
      <c r="A326" s="48">
        <f>'Adani Enterprises'!A326</f>
        <v>0</v>
      </c>
      <c r="B326" s="48">
        <f>'Adani Enterprises'!B326</f>
        <v>0</v>
      </c>
      <c r="C326" s="48">
        <f>'Adani Enterprises'!C326</f>
        <v>0</v>
      </c>
      <c r="D326" s="48">
        <f>'Adani Enterprises'!D326</f>
        <v>0</v>
      </c>
      <c r="E326" s="48">
        <f>'Adani Enterprises'!E326</f>
        <v>0</v>
      </c>
      <c r="F326" s="48">
        <f>'Adani Enterprises'!F326</f>
        <v>0</v>
      </c>
      <c r="G326" s="48">
        <f>'Adani Enterprises'!G326</f>
        <v>0</v>
      </c>
      <c r="H326" s="48">
        <f>'Adani Enterprises'!H326</f>
        <v>0</v>
      </c>
      <c r="I326" s="48">
        <f>'Adani Enterprises'!I326</f>
        <v>0</v>
      </c>
      <c r="J326" s="48">
        <f>'Adani Enterprises'!J326</f>
        <v>0</v>
      </c>
      <c r="K326" s="48">
        <f>'Adani Enterprises'!K326</f>
        <v>0</v>
      </c>
      <c r="L326" s="48">
        <f>'Adani Enterprises'!L326</f>
        <v>0</v>
      </c>
      <c r="M326" s="48">
        <f>'Adani Enterprises'!M326</f>
        <v>0</v>
      </c>
      <c r="N326" s="48">
        <f>'Adani Enterprises'!N326</f>
        <v>0</v>
      </c>
      <c r="O326" s="48">
        <f>'Adani Enterprises'!O326</f>
        <v>0</v>
      </c>
      <c r="P326" s="48">
        <f>'Adani Enterprises'!P326</f>
        <v>0</v>
      </c>
      <c r="Q326" s="48">
        <f>'Adani Enterprises'!Q326</f>
        <v>0</v>
      </c>
      <c r="R326" s="48">
        <f>'Adani Enterprises'!R326</f>
        <v>0</v>
      </c>
      <c r="S326" s="48">
        <f>'Adani Enterprises'!S326</f>
        <v>0</v>
      </c>
      <c r="T326" s="48">
        <f>'Adani Enterprises'!T326</f>
        <v>0</v>
      </c>
      <c r="U326" s="48">
        <f>'Adani Enterprises'!U326</f>
        <v>0</v>
      </c>
      <c r="V326" s="48">
        <f>'Adani Enterprises'!V326</f>
        <v>0</v>
      </c>
      <c r="W326" s="48">
        <f>'Adani Enterprises'!W326</f>
        <v>0</v>
      </c>
      <c r="X326" s="48">
        <f>'Adani Enterprises'!X326</f>
        <v>0</v>
      </c>
      <c r="Y326" s="48">
        <f>'Adani Enterprises'!Y326</f>
        <v>0</v>
      </c>
      <c r="Z326" s="48">
        <f>'Adani Enterprises'!Z326</f>
        <v>0</v>
      </c>
      <c r="AA326" s="48">
        <f>'Adani Enterprises'!AA326</f>
        <v>0</v>
      </c>
      <c r="AB326" s="48">
        <f>'Adani Enterprises'!AB326</f>
        <v>0</v>
      </c>
      <c r="AC326" s="48">
        <f>'Adani Enterprises'!AC326</f>
        <v>0</v>
      </c>
      <c r="AD326" s="48">
        <f>'Adani Enterprises'!AD326</f>
        <v>0</v>
      </c>
      <c r="AE326" s="48">
        <f>'Adani Enterprises'!AE326</f>
        <v>0</v>
      </c>
      <c r="AF326" s="48">
        <f>'Adani Enterprises'!AF326</f>
        <v>0</v>
      </c>
      <c r="AG326" s="48">
        <f>'Adani Enterprises'!AG326</f>
        <v>0</v>
      </c>
      <c r="AH326" s="48">
        <f>'Adani Enterprises'!AH326</f>
        <v>0</v>
      </c>
      <c r="AI326" s="48">
        <f>'Adani Enterprises'!AI326</f>
        <v>0</v>
      </c>
      <c r="AJ326" s="48">
        <f>'Adani Enterprises'!AJ326</f>
        <v>0</v>
      </c>
      <c r="AK326" s="48">
        <f>'Adani Enterprises'!AK326</f>
        <v>0</v>
      </c>
      <c r="AL326" s="48">
        <f>'Adani Enterprises'!AL326</f>
        <v>0</v>
      </c>
    </row>
    <row r="327" customHeight="1" spans="1:38">
      <c r="A327" s="48">
        <f>'Adani Enterprises'!A327</f>
        <v>0</v>
      </c>
      <c r="B327" s="48">
        <f>'Adani Enterprises'!B327</f>
        <v>0</v>
      </c>
      <c r="C327" s="48">
        <f>'Adani Enterprises'!C327</f>
        <v>0</v>
      </c>
      <c r="D327" s="48">
        <f>'Adani Enterprises'!D327</f>
        <v>0</v>
      </c>
      <c r="E327" s="48">
        <f>'Adani Enterprises'!E327</f>
        <v>0</v>
      </c>
      <c r="F327" s="48">
        <f>'Adani Enterprises'!F327</f>
        <v>0</v>
      </c>
      <c r="G327" s="48">
        <f>'Adani Enterprises'!G327</f>
        <v>0</v>
      </c>
      <c r="H327" s="48">
        <f>'Adani Enterprises'!H327</f>
        <v>0</v>
      </c>
      <c r="I327" s="48">
        <f>'Adani Enterprises'!I327</f>
        <v>0</v>
      </c>
      <c r="J327" s="48">
        <f>'Adani Enterprises'!J327</f>
        <v>0</v>
      </c>
      <c r="K327" s="48">
        <f>'Adani Enterprises'!K327</f>
        <v>0</v>
      </c>
      <c r="L327" s="48">
        <f>'Adani Enterprises'!L327</f>
        <v>0</v>
      </c>
      <c r="M327" s="48">
        <f>'Adani Enterprises'!M327</f>
        <v>0</v>
      </c>
      <c r="N327" s="48">
        <f>'Adani Enterprises'!N327</f>
        <v>0</v>
      </c>
      <c r="O327" s="48">
        <f>'Adani Enterprises'!O327</f>
        <v>0</v>
      </c>
      <c r="P327" s="48">
        <f>'Adani Enterprises'!P327</f>
        <v>0</v>
      </c>
      <c r="Q327" s="48">
        <f>'Adani Enterprises'!Q327</f>
        <v>0</v>
      </c>
      <c r="R327" s="48">
        <f>'Adani Enterprises'!R327</f>
        <v>0</v>
      </c>
      <c r="S327" s="48">
        <f>'Adani Enterprises'!S327</f>
        <v>0</v>
      </c>
      <c r="T327" s="48">
        <f>'Adani Enterprises'!T327</f>
        <v>0</v>
      </c>
      <c r="U327" s="48">
        <f>'Adani Enterprises'!U327</f>
        <v>0</v>
      </c>
      <c r="V327" s="48">
        <f>'Adani Enterprises'!V327</f>
        <v>0</v>
      </c>
      <c r="W327" s="48">
        <f>'Adani Enterprises'!W327</f>
        <v>0</v>
      </c>
      <c r="X327" s="48">
        <f>'Adani Enterprises'!X327</f>
        <v>0</v>
      </c>
      <c r="Y327" s="48">
        <f>'Adani Enterprises'!Y327</f>
        <v>0</v>
      </c>
      <c r="Z327" s="48">
        <f>'Adani Enterprises'!Z327</f>
        <v>0</v>
      </c>
      <c r="AA327" s="48">
        <f>'Adani Enterprises'!AA327</f>
        <v>0</v>
      </c>
      <c r="AB327" s="48">
        <f>'Adani Enterprises'!AB327</f>
        <v>0</v>
      </c>
      <c r="AC327" s="48">
        <f>'Adani Enterprises'!AC327</f>
        <v>0</v>
      </c>
      <c r="AD327" s="48">
        <f>'Adani Enterprises'!AD327</f>
        <v>0</v>
      </c>
      <c r="AE327" s="48">
        <f>'Adani Enterprises'!AE327</f>
        <v>0</v>
      </c>
      <c r="AF327" s="48">
        <f>'Adani Enterprises'!AF327</f>
        <v>0</v>
      </c>
      <c r="AG327" s="48">
        <f>'Adani Enterprises'!AG327</f>
        <v>0</v>
      </c>
      <c r="AH327" s="48">
        <f>'Adani Enterprises'!AH327</f>
        <v>0</v>
      </c>
      <c r="AI327" s="48">
        <f>'Adani Enterprises'!AI327</f>
        <v>0</v>
      </c>
      <c r="AJ327" s="48">
        <f>'Adani Enterprises'!AJ327</f>
        <v>0</v>
      </c>
      <c r="AK327" s="48">
        <f>'Adani Enterprises'!AK327</f>
        <v>0</v>
      </c>
      <c r="AL327" s="48">
        <f>'Adani Enterprises'!AL327</f>
        <v>0</v>
      </c>
    </row>
    <row r="328" customHeight="1" spans="1:38">
      <c r="A328" s="48">
        <f>'Adani Enterprises'!A328</f>
        <v>0</v>
      </c>
      <c r="B328" s="48">
        <f>'Adani Enterprises'!B328</f>
        <v>0</v>
      </c>
      <c r="C328" s="48">
        <f>'Adani Enterprises'!C328</f>
        <v>0</v>
      </c>
      <c r="D328" s="48">
        <f>'Adani Enterprises'!D328</f>
        <v>0</v>
      </c>
      <c r="E328" s="48">
        <f>'Adani Enterprises'!E328</f>
        <v>0</v>
      </c>
      <c r="F328" s="48">
        <f>'Adani Enterprises'!F328</f>
        <v>0</v>
      </c>
      <c r="G328" s="48">
        <f>'Adani Enterprises'!G328</f>
        <v>0</v>
      </c>
      <c r="H328" s="48">
        <f>'Adani Enterprises'!H328</f>
        <v>0</v>
      </c>
      <c r="I328" s="48">
        <f>'Adani Enterprises'!I328</f>
        <v>0</v>
      </c>
      <c r="J328" s="48">
        <f>'Adani Enterprises'!J328</f>
        <v>0</v>
      </c>
      <c r="K328" s="48">
        <f>'Adani Enterprises'!K328</f>
        <v>0</v>
      </c>
      <c r="L328" s="48">
        <f>'Adani Enterprises'!L328</f>
        <v>0</v>
      </c>
      <c r="M328" s="48">
        <f>'Adani Enterprises'!M328</f>
        <v>0</v>
      </c>
      <c r="N328" s="48">
        <f>'Adani Enterprises'!N328</f>
        <v>0</v>
      </c>
      <c r="O328" s="48">
        <f>'Adani Enterprises'!O328</f>
        <v>0</v>
      </c>
      <c r="P328" s="48">
        <f>'Adani Enterprises'!P328</f>
        <v>0</v>
      </c>
      <c r="Q328" s="48">
        <f>'Adani Enterprises'!Q328</f>
        <v>0</v>
      </c>
      <c r="R328" s="48">
        <f>'Adani Enterprises'!R328</f>
        <v>0</v>
      </c>
      <c r="S328" s="48">
        <f>'Adani Enterprises'!S328</f>
        <v>0</v>
      </c>
      <c r="T328" s="48">
        <f>'Adani Enterprises'!T328</f>
        <v>0</v>
      </c>
      <c r="U328" s="48">
        <f>'Adani Enterprises'!U328</f>
        <v>0</v>
      </c>
      <c r="V328" s="48">
        <f>'Adani Enterprises'!V328</f>
        <v>0</v>
      </c>
      <c r="W328" s="48">
        <f>'Adani Enterprises'!W328</f>
        <v>0</v>
      </c>
      <c r="X328" s="48">
        <f>'Adani Enterprises'!X328</f>
        <v>0</v>
      </c>
      <c r="Y328" s="48">
        <f>'Adani Enterprises'!Y328</f>
        <v>0</v>
      </c>
      <c r="Z328" s="48">
        <f>'Adani Enterprises'!Z328</f>
        <v>0</v>
      </c>
      <c r="AA328" s="48">
        <f>'Adani Enterprises'!AA328</f>
        <v>0</v>
      </c>
      <c r="AB328" s="48">
        <f>'Adani Enterprises'!AB328</f>
        <v>0</v>
      </c>
      <c r="AC328" s="48">
        <f>'Adani Enterprises'!AC328</f>
        <v>0</v>
      </c>
      <c r="AD328" s="48">
        <f>'Adani Enterprises'!AD328</f>
        <v>0</v>
      </c>
      <c r="AE328" s="48">
        <f>'Adani Enterprises'!AE328</f>
        <v>0</v>
      </c>
      <c r="AF328" s="48">
        <f>'Adani Enterprises'!AF328</f>
        <v>0</v>
      </c>
      <c r="AG328" s="48">
        <f>'Adani Enterprises'!AG328</f>
        <v>0</v>
      </c>
      <c r="AH328" s="48">
        <f>'Adani Enterprises'!AH328</f>
        <v>0</v>
      </c>
      <c r="AI328" s="48">
        <f>'Adani Enterprises'!AI328</f>
        <v>0</v>
      </c>
      <c r="AJ328" s="48">
        <f>'Adani Enterprises'!AJ328</f>
        <v>0</v>
      </c>
      <c r="AK328" s="48">
        <f>'Adani Enterprises'!AK328</f>
        <v>0</v>
      </c>
      <c r="AL328" s="48">
        <f>'Adani Enterprises'!AL328</f>
        <v>0</v>
      </c>
    </row>
    <row r="329" customHeight="1" spans="1:38">
      <c r="A329" s="48">
        <f>'Adani Enterprises'!A329</f>
        <v>0</v>
      </c>
      <c r="B329" s="48">
        <f>'Adani Enterprises'!B329</f>
        <v>0</v>
      </c>
      <c r="C329" s="48">
        <f>'Adani Enterprises'!C329</f>
        <v>0</v>
      </c>
      <c r="D329" s="48">
        <f>'Adani Enterprises'!D329</f>
        <v>0</v>
      </c>
      <c r="E329" s="48">
        <f>'Adani Enterprises'!E329</f>
        <v>0</v>
      </c>
      <c r="F329" s="48">
        <f>'Adani Enterprises'!F329</f>
        <v>0</v>
      </c>
      <c r="G329" s="48">
        <f>'Adani Enterprises'!G329</f>
        <v>0</v>
      </c>
      <c r="H329" s="48">
        <f>'Adani Enterprises'!H329</f>
        <v>0</v>
      </c>
      <c r="I329" s="48">
        <f>'Adani Enterprises'!I329</f>
        <v>0</v>
      </c>
      <c r="J329" s="48">
        <f>'Adani Enterprises'!J329</f>
        <v>0</v>
      </c>
      <c r="K329" s="48">
        <f>'Adani Enterprises'!K329</f>
        <v>0</v>
      </c>
      <c r="L329" s="48">
        <f>'Adani Enterprises'!L329</f>
        <v>0</v>
      </c>
      <c r="M329" s="48">
        <f>'Adani Enterprises'!M329</f>
        <v>0</v>
      </c>
      <c r="N329" s="48">
        <f>'Adani Enterprises'!N329</f>
        <v>0</v>
      </c>
      <c r="O329" s="48">
        <f>'Adani Enterprises'!O329</f>
        <v>0</v>
      </c>
      <c r="P329" s="48">
        <f>'Adani Enterprises'!P329</f>
        <v>0</v>
      </c>
      <c r="Q329" s="48">
        <f>'Adani Enterprises'!Q329</f>
        <v>0</v>
      </c>
      <c r="R329" s="48">
        <f>'Adani Enterprises'!R329</f>
        <v>0</v>
      </c>
      <c r="S329" s="48">
        <f>'Adani Enterprises'!S329</f>
        <v>0</v>
      </c>
      <c r="T329" s="48">
        <f>'Adani Enterprises'!T329</f>
        <v>0</v>
      </c>
      <c r="U329" s="48">
        <f>'Adani Enterprises'!U329</f>
        <v>0</v>
      </c>
      <c r="V329" s="48">
        <f>'Adani Enterprises'!V329</f>
        <v>0</v>
      </c>
      <c r="W329" s="48">
        <f>'Adani Enterprises'!W329</f>
        <v>0</v>
      </c>
      <c r="X329" s="48">
        <f>'Adani Enterprises'!X329</f>
        <v>0</v>
      </c>
      <c r="Y329" s="48">
        <f>'Adani Enterprises'!Y329</f>
        <v>0</v>
      </c>
      <c r="Z329" s="48">
        <f>'Adani Enterprises'!Z329</f>
        <v>0</v>
      </c>
      <c r="AA329" s="48">
        <f>'Adani Enterprises'!AA329</f>
        <v>0</v>
      </c>
      <c r="AB329" s="48">
        <f>'Adani Enterprises'!AB329</f>
        <v>0</v>
      </c>
      <c r="AC329" s="48">
        <f>'Adani Enterprises'!AC329</f>
        <v>0</v>
      </c>
      <c r="AD329" s="48">
        <f>'Adani Enterprises'!AD329</f>
        <v>0</v>
      </c>
      <c r="AE329" s="48">
        <f>'Adani Enterprises'!AE329</f>
        <v>0</v>
      </c>
      <c r="AF329" s="48">
        <f>'Adani Enterprises'!AF329</f>
        <v>0</v>
      </c>
      <c r="AG329" s="48">
        <f>'Adani Enterprises'!AG329</f>
        <v>0</v>
      </c>
      <c r="AH329" s="48">
        <f>'Adani Enterprises'!AH329</f>
        <v>0</v>
      </c>
      <c r="AI329" s="48">
        <f>'Adani Enterprises'!AI329</f>
        <v>0</v>
      </c>
      <c r="AJ329" s="48">
        <f>'Adani Enterprises'!AJ329</f>
        <v>0</v>
      </c>
      <c r="AK329" s="48">
        <f>'Adani Enterprises'!AK329</f>
        <v>0</v>
      </c>
      <c r="AL329" s="48">
        <f>'Adani Enterprises'!AL329</f>
        <v>0</v>
      </c>
    </row>
    <row r="330" customHeight="1" spans="1:38">
      <c r="A330" s="48">
        <f>'Adani Enterprises'!A330</f>
        <v>0</v>
      </c>
      <c r="B330" s="48">
        <f>'Adani Enterprises'!B330</f>
        <v>0</v>
      </c>
      <c r="C330" s="48">
        <f>'Adani Enterprises'!C330</f>
        <v>0</v>
      </c>
      <c r="D330" s="48">
        <f>'Adani Enterprises'!D330</f>
        <v>0</v>
      </c>
      <c r="E330" s="48">
        <f>'Adani Enterprises'!E330</f>
        <v>0</v>
      </c>
      <c r="F330" s="48">
        <f>'Adani Enterprises'!F330</f>
        <v>0</v>
      </c>
      <c r="G330" s="48">
        <f>'Adani Enterprises'!G330</f>
        <v>0</v>
      </c>
      <c r="H330" s="48">
        <f>'Adani Enterprises'!H330</f>
        <v>0</v>
      </c>
      <c r="I330" s="48">
        <f>'Adani Enterprises'!I330</f>
        <v>0</v>
      </c>
      <c r="J330" s="48">
        <f>'Adani Enterprises'!J330</f>
        <v>0</v>
      </c>
      <c r="K330" s="48">
        <f>'Adani Enterprises'!K330</f>
        <v>0</v>
      </c>
      <c r="L330" s="48">
        <f>'Adani Enterprises'!L330</f>
        <v>0</v>
      </c>
      <c r="M330" s="48">
        <f>'Adani Enterprises'!M330</f>
        <v>0</v>
      </c>
      <c r="N330" s="48">
        <f>'Adani Enterprises'!N330</f>
        <v>0</v>
      </c>
      <c r="O330" s="48">
        <f>'Adani Enterprises'!O330</f>
        <v>0</v>
      </c>
      <c r="P330" s="48">
        <f>'Adani Enterprises'!P330</f>
        <v>0</v>
      </c>
      <c r="Q330" s="48">
        <f>'Adani Enterprises'!Q330</f>
        <v>0</v>
      </c>
      <c r="R330" s="48">
        <f>'Adani Enterprises'!R330</f>
        <v>0</v>
      </c>
      <c r="S330" s="48">
        <f>'Adani Enterprises'!S330</f>
        <v>0</v>
      </c>
      <c r="T330" s="48">
        <f>'Adani Enterprises'!T330</f>
        <v>0</v>
      </c>
      <c r="U330" s="48">
        <f>'Adani Enterprises'!U330</f>
        <v>0</v>
      </c>
      <c r="V330" s="48">
        <f>'Adani Enterprises'!V330</f>
        <v>0</v>
      </c>
      <c r="W330" s="48">
        <f>'Adani Enterprises'!W330</f>
        <v>0</v>
      </c>
      <c r="X330" s="48">
        <f>'Adani Enterprises'!X330</f>
        <v>0</v>
      </c>
      <c r="Y330" s="48">
        <f>'Adani Enterprises'!Y330</f>
        <v>0</v>
      </c>
      <c r="Z330" s="48">
        <f>'Adani Enterprises'!Z330</f>
        <v>0</v>
      </c>
      <c r="AA330" s="48">
        <f>'Adani Enterprises'!AA330</f>
        <v>0</v>
      </c>
      <c r="AB330" s="48">
        <f>'Adani Enterprises'!AB330</f>
        <v>0</v>
      </c>
      <c r="AC330" s="48">
        <f>'Adani Enterprises'!AC330</f>
        <v>0</v>
      </c>
      <c r="AD330" s="48">
        <f>'Adani Enterprises'!AD330</f>
        <v>0</v>
      </c>
      <c r="AE330" s="48">
        <f>'Adani Enterprises'!AE330</f>
        <v>0</v>
      </c>
      <c r="AF330" s="48">
        <f>'Adani Enterprises'!AF330</f>
        <v>0</v>
      </c>
      <c r="AG330" s="48">
        <f>'Adani Enterprises'!AG330</f>
        <v>0</v>
      </c>
      <c r="AH330" s="48">
        <f>'Adani Enterprises'!AH330</f>
        <v>0</v>
      </c>
      <c r="AI330" s="48">
        <f>'Adani Enterprises'!AI330</f>
        <v>0</v>
      </c>
      <c r="AJ330" s="48">
        <f>'Adani Enterprises'!AJ330</f>
        <v>0</v>
      </c>
      <c r="AK330" s="48">
        <f>'Adani Enterprises'!AK330</f>
        <v>0</v>
      </c>
      <c r="AL330" s="48">
        <f>'Adani Enterprises'!AL330</f>
        <v>0</v>
      </c>
    </row>
    <row r="331" customHeight="1" spans="1:38">
      <c r="A331" s="48">
        <f>'Adani Enterprises'!A331</f>
        <v>0</v>
      </c>
      <c r="B331" s="48">
        <f>'Adani Enterprises'!B331</f>
        <v>0</v>
      </c>
      <c r="C331" s="48">
        <f>'Adani Enterprises'!C331</f>
        <v>0</v>
      </c>
      <c r="D331" s="48">
        <f>'Adani Enterprises'!D331</f>
        <v>0</v>
      </c>
      <c r="E331" s="48">
        <f>'Adani Enterprises'!E331</f>
        <v>0</v>
      </c>
      <c r="F331" s="48">
        <f>'Adani Enterprises'!F331</f>
        <v>0</v>
      </c>
      <c r="G331" s="48">
        <f>'Adani Enterprises'!G331</f>
        <v>0</v>
      </c>
      <c r="H331" s="48">
        <f>'Adani Enterprises'!H331</f>
        <v>0</v>
      </c>
      <c r="I331" s="48">
        <f>'Adani Enterprises'!I331</f>
        <v>0</v>
      </c>
      <c r="J331" s="48">
        <f>'Adani Enterprises'!J331</f>
        <v>0</v>
      </c>
      <c r="K331" s="48">
        <f>'Adani Enterprises'!K331</f>
        <v>0</v>
      </c>
      <c r="L331" s="48">
        <f>'Adani Enterprises'!L331</f>
        <v>0</v>
      </c>
      <c r="M331" s="48">
        <f>'Adani Enterprises'!M331</f>
        <v>0</v>
      </c>
      <c r="N331" s="48">
        <f>'Adani Enterprises'!N331</f>
        <v>0</v>
      </c>
      <c r="O331" s="48">
        <f>'Adani Enterprises'!O331</f>
        <v>0</v>
      </c>
      <c r="P331" s="48">
        <f>'Adani Enterprises'!P331</f>
        <v>0</v>
      </c>
      <c r="Q331" s="48">
        <f>'Adani Enterprises'!Q331</f>
        <v>0</v>
      </c>
      <c r="R331" s="48">
        <f>'Adani Enterprises'!R331</f>
        <v>0</v>
      </c>
      <c r="S331" s="48">
        <f>'Adani Enterprises'!S331</f>
        <v>0</v>
      </c>
      <c r="T331" s="48">
        <f>'Adani Enterprises'!T331</f>
        <v>0</v>
      </c>
      <c r="U331" s="48">
        <f>'Adani Enterprises'!U331</f>
        <v>0</v>
      </c>
      <c r="V331" s="48">
        <f>'Adani Enterprises'!V331</f>
        <v>0</v>
      </c>
      <c r="W331" s="48">
        <f>'Adani Enterprises'!W331</f>
        <v>0</v>
      </c>
      <c r="X331" s="48">
        <f>'Adani Enterprises'!X331</f>
        <v>0</v>
      </c>
      <c r="Y331" s="48">
        <f>'Adani Enterprises'!Y331</f>
        <v>0</v>
      </c>
      <c r="Z331" s="48">
        <f>'Adani Enterprises'!Z331</f>
        <v>0</v>
      </c>
      <c r="AA331" s="48">
        <f>'Adani Enterprises'!AA331</f>
        <v>0</v>
      </c>
      <c r="AB331" s="48">
        <f>'Adani Enterprises'!AB331</f>
        <v>0</v>
      </c>
      <c r="AC331" s="48">
        <f>'Adani Enterprises'!AC331</f>
        <v>0</v>
      </c>
      <c r="AD331" s="48">
        <f>'Adani Enterprises'!AD331</f>
        <v>0</v>
      </c>
      <c r="AE331" s="48">
        <f>'Adani Enterprises'!AE331</f>
        <v>0</v>
      </c>
      <c r="AF331" s="48">
        <f>'Adani Enterprises'!AF331</f>
        <v>0</v>
      </c>
      <c r="AG331" s="48">
        <f>'Adani Enterprises'!AG331</f>
        <v>0</v>
      </c>
      <c r="AH331" s="48">
        <f>'Adani Enterprises'!AH331</f>
        <v>0</v>
      </c>
      <c r="AI331" s="48">
        <f>'Adani Enterprises'!AI331</f>
        <v>0</v>
      </c>
      <c r="AJ331" s="48">
        <f>'Adani Enterprises'!AJ331</f>
        <v>0</v>
      </c>
      <c r="AK331" s="48">
        <f>'Adani Enterprises'!AK331</f>
        <v>0</v>
      </c>
      <c r="AL331" s="48">
        <f>'Adani Enterprises'!AL331</f>
        <v>0</v>
      </c>
    </row>
    <row r="332" customHeight="1" spans="1:38">
      <c r="A332" s="48">
        <f>'Adani Enterprises'!A332</f>
        <v>0</v>
      </c>
      <c r="B332" s="48">
        <f>'Adani Enterprises'!B332</f>
        <v>0</v>
      </c>
      <c r="C332" s="48">
        <f>'Adani Enterprises'!C332</f>
        <v>0</v>
      </c>
      <c r="D332" s="48">
        <f>'Adani Enterprises'!D332</f>
        <v>0</v>
      </c>
      <c r="E332" s="48">
        <f>'Adani Enterprises'!E332</f>
        <v>0</v>
      </c>
      <c r="F332" s="48">
        <f>'Adani Enterprises'!F332</f>
        <v>0</v>
      </c>
      <c r="G332" s="48">
        <f>'Adani Enterprises'!G332</f>
        <v>0</v>
      </c>
      <c r="H332" s="48">
        <f>'Adani Enterprises'!H332</f>
        <v>0</v>
      </c>
      <c r="I332" s="48">
        <f>'Adani Enterprises'!I332</f>
        <v>0</v>
      </c>
      <c r="J332" s="48">
        <f>'Adani Enterprises'!J332</f>
        <v>0</v>
      </c>
      <c r="K332" s="48">
        <f>'Adani Enterprises'!K332</f>
        <v>0</v>
      </c>
      <c r="L332" s="48">
        <f>'Adani Enterprises'!L332</f>
        <v>0</v>
      </c>
      <c r="M332" s="48">
        <f>'Adani Enterprises'!M332</f>
        <v>0</v>
      </c>
      <c r="N332" s="48">
        <f>'Adani Enterprises'!N332</f>
        <v>0</v>
      </c>
      <c r="O332" s="48">
        <f>'Adani Enterprises'!O332</f>
        <v>0</v>
      </c>
      <c r="P332" s="48">
        <f>'Adani Enterprises'!P332</f>
        <v>0</v>
      </c>
      <c r="Q332" s="48">
        <f>'Adani Enterprises'!Q332</f>
        <v>0</v>
      </c>
      <c r="R332" s="48">
        <f>'Adani Enterprises'!R332</f>
        <v>0</v>
      </c>
      <c r="S332" s="48">
        <f>'Adani Enterprises'!S332</f>
        <v>0</v>
      </c>
      <c r="T332" s="48">
        <f>'Adani Enterprises'!T332</f>
        <v>0</v>
      </c>
      <c r="U332" s="48">
        <f>'Adani Enterprises'!U332</f>
        <v>0</v>
      </c>
      <c r="V332" s="48">
        <f>'Adani Enterprises'!V332</f>
        <v>0</v>
      </c>
      <c r="W332" s="48">
        <f>'Adani Enterprises'!W332</f>
        <v>0</v>
      </c>
      <c r="X332" s="48">
        <f>'Adani Enterprises'!X332</f>
        <v>0</v>
      </c>
      <c r="Y332" s="48">
        <f>'Adani Enterprises'!Y332</f>
        <v>0</v>
      </c>
      <c r="Z332" s="48">
        <f>'Adani Enterprises'!Z332</f>
        <v>0</v>
      </c>
      <c r="AA332" s="48">
        <f>'Adani Enterprises'!AA332</f>
        <v>0</v>
      </c>
      <c r="AB332" s="48">
        <f>'Adani Enterprises'!AB332</f>
        <v>0</v>
      </c>
      <c r="AC332" s="48">
        <f>'Adani Enterprises'!AC332</f>
        <v>0</v>
      </c>
      <c r="AD332" s="48">
        <f>'Adani Enterprises'!AD332</f>
        <v>0</v>
      </c>
      <c r="AE332" s="48">
        <f>'Adani Enterprises'!AE332</f>
        <v>0</v>
      </c>
      <c r="AF332" s="48">
        <f>'Adani Enterprises'!AF332</f>
        <v>0</v>
      </c>
      <c r="AG332" s="48">
        <f>'Adani Enterprises'!AG332</f>
        <v>0</v>
      </c>
      <c r="AH332" s="48">
        <f>'Adani Enterprises'!AH332</f>
        <v>0</v>
      </c>
      <c r="AI332" s="48">
        <f>'Adani Enterprises'!AI332</f>
        <v>0</v>
      </c>
      <c r="AJ332" s="48">
        <f>'Adani Enterprises'!AJ332</f>
        <v>0</v>
      </c>
      <c r="AK332" s="48">
        <f>'Adani Enterprises'!AK332</f>
        <v>0</v>
      </c>
      <c r="AL332" s="48">
        <f>'Adani Enterprises'!AL332</f>
        <v>0</v>
      </c>
    </row>
    <row r="333" customHeight="1" spans="1:38">
      <c r="A333" s="48">
        <f>'Adani Enterprises'!A333</f>
        <v>0</v>
      </c>
      <c r="B333" s="48">
        <f>'Adani Enterprises'!B333</f>
        <v>0</v>
      </c>
      <c r="C333" s="48">
        <f>'Adani Enterprises'!C333</f>
        <v>0</v>
      </c>
      <c r="D333" s="48">
        <f>'Adani Enterprises'!D333</f>
        <v>0</v>
      </c>
      <c r="E333" s="48">
        <f>'Adani Enterprises'!E333</f>
        <v>0</v>
      </c>
      <c r="F333" s="48">
        <f>'Adani Enterprises'!F333</f>
        <v>0</v>
      </c>
      <c r="G333" s="48">
        <f>'Adani Enterprises'!G333</f>
        <v>0</v>
      </c>
      <c r="H333" s="48">
        <f>'Adani Enterprises'!H333</f>
        <v>0</v>
      </c>
      <c r="I333" s="48">
        <f>'Adani Enterprises'!I333</f>
        <v>0</v>
      </c>
      <c r="J333" s="48">
        <f>'Adani Enterprises'!J333</f>
        <v>0</v>
      </c>
      <c r="K333" s="48">
        <f>'Adani Enterprises'!K333</f>
        <v>0</v>
      </c>
      <c r="L333" s="48">
        <f>'Adani Enterprises'!L333</f>
        <v>0</v>
      </c>
      <c r="M333" s="48">
        <f>'Adani Enterprises'!M333</f>
        <v>0</v>
      </c>
      <c r="N333" s="48">
        <f>'Adani Enterprises'!N333</f>
        <v>0</v>
      </c>
      <c r="O333" s="48">
        <f>'Adani Enterprises'!O333</f>
        <v>0</v>
      </c>
      <c r="P333" s="48">
        <f>'Adani Enterprises'!P333</f>
        <v>0</v>
      </c>
      <c r="Q333" s="48">
        <f>'Adani Enterprises'!Q333</f>
        <v>0</v>
      </c>
      <c r="R333" s="48">
        <f>'Adani Enterprises'!R333</f>
        <v>0</v>
      </c>
      <c r="S333" s="48">
        <f>'Adani Enterprises'!S333</f>
        <v>0</v>
      </c>
      <c r="T333" s="48">
        <f>'Adani Enterprises'!T333</f>
        <v>0</v>
      </c>
      <c r="U333" s="48">
        <f>'Adani Enterprises'!U333</f>
        <v>0</v>
      </c>
      <c r="V333" s="48">
        <f>'Adani Enterprises'!V333</f>
        <v>0</v>
      </c>
      <c r="W333" s="48">
        <f>'Adani Enterprises'!W333</f>
        <v>0</v>
      </c>
      <c r="X333" s="48">
        <f>'Adani Enterprises'!X333</f>
        <v>0</v>
      </c>
      <c r="Y333" s="48">
        <f>'Adani Enterprises'!Y333</f>
        <v>0</v>
      </c>
      <c r="Z333" s="48">
        <f>'Adani Enterprises'!Z333</f>
        <v>0</v>
      </c>
      <c r="AA333" s="48">
        <f>'Adani Enterprises'!AA333</f>
        <v>0</v>
      </c>
      <c r="AB333" s="48">
        <f>'Adani Enterprises'!AB333</f>
        <v>0</v>
      </c>
      <c r="AC333" s="48">
        <f>'Adani Enterprises'!AC333</f>
        <v>0</v>
      </c>
      <c r="AD333" s="48">
        <f>'Adani Enterprises'!AD333</f>
        <v>0</v>
      </c>
      <c r="AE333" s="48">
        <f>'Adani Enterprises'!AE333</f>
        <v>0</v>
      </c>
      <c r="AF333" s="48">
        <f>'Adani Enterprises'!AF333</f>
        <v>0</v>
      </c>
      <c r="AG333" s="48">
        <f>'Adani Enterprises'!AG333</f>
        <v>0</v>
      </c>
      <c r="AH333" s="48">
        <f>'Adani Enterprises'!AH333</f>
        <v>0</v>
      </c>
      <c r="AI333" s="48">
        <f>'Adani Enterprises'!AI333</f>
        <v>0</v>
      </c>
      <c r="AJ333" s="48">
        <f>'Adani Enterprises'!AJ333</f>
        <v>0</v>
      </c>
      <c r="AK333" s="48">
        <f>'Adani Enterprises'!AK333</f>
        <v>0</v>
      </c>
      <c r="AL333" s="48">
        <f>'Adani Enterprises'!AL333</f>
        <v>0</v>
      </c>
    </row>
    <row r="334" customHeight="1" spans="1:38">
      <c r="A334" s="48">
        <f>'Adani Enterprises'!A334</f>
        <v>0</v>
      </c>
      <c r="B334" s="48">
        <f>'Adani Enterprises'!B334</f>
        <v>0</v>
      </c>
      <c r="C334" s="48">
        <f>'Adani Enterprises'!C334</f>
        <v>0</v>
      </c>
      <c r="D334" s="48">
        <f>'Adani Enterprises'!D334</f>
        <v>0</v>
      </c>
      <c r="E334" s="48">
        <f>'Adani Enterprises'!E334</f>
        <v>0</v>
      </c>
      <c r="F334" s="48">
        <f>'Adani Enterprises'!F334</f>
        <v>0</v>
      </c>
      <c r="G334" s="48">
        <f>'Adani Enterprises'!G334</f>
        <v>0</v>
      </c>
      <c r="H334" s="48">
        <f>'Adani Enterprises'!H334</f>
        <v>0</v>
      </c>
      <c r="I334" s="48">
        <f>'Adani Enterprises'!I334</f>
        <v>0</v>
      </c>
      <c r="J334" s="48">
        <f>'Adani Enterprises'!J334</f>
        <v>0</v>
      </c>
      <c r="K334" s="48">
        <f>'Adani Enterprises'!K334</f>
        <v>0</v>
      </c>
      <c r="L334" s="48">
        <f>'Adani Enterprises'!L334</f>
        <v>0</v>
      </c>
      <c r="M334" s="48">
        <f>'Adani Enterprises'!M334</f>
        <v>0</v>
      </c>
      <c r="N334" s="48">
        <f>'Adani Enterprises'!N334</f>
        <v>0</v>
      </c>
      <c r="O334" s="48">
        <f>'Adani Enterprises'!O334</f>
        <v>0</v>
      </c>
      <c r="P334" s="48">
        <f>'Adani Enterprises'!P334</f>
        <v>0</v>
      </c>
      <c r="Q334" s="48">
        <f>'Adani Enterprises'!Q334</f>
        <v>0</v>
      </c>
      <c r="R334" s="48">
        <f>'Adani Enterprises'!R334</f>
        <v>0</v>
      </c>
      <c r="S334" s="48">
        <f>'Adani Enterprises'!S334</f>
        <v>0</v>
      </c>
      <c r="T334" s="48">
        <f>'Adani Enterprises'!T334</f>
        <v>0</v>
      </c>
      <c r="U334" s="48">
        <f>'Adani Enterprises'!U334</f>
        <v>0</v>
      </c>
      <c r="V334" s="48">
        <f>'Adani Enterprises'!V334</f>
        <v>0</v>
      </c>
      <c r="W334" s="48">
        <f>'Adani Enterprises'!W334</f>
        <v>0</v>
      </c>
      <c r="X334" s="48">
        <f>'Adani Enterprises'!X334</f>
        <v>0</v>
      </c>
      <c r="Y334" s="48">
        <f>'Adani Enterprises'!Y334</f>
        <v>0</v>
      </c>
      <c r="Z334" s="48">
        <f>'Adani Enterprises'!Z334</f>
        <v>0</v>
      </c>
      <c r="AA334" s="48">
        <f>'Adani Enterprises'!AA334</f>
        <v>0</v>
      </c>
      <c r="AB334" s="48">
        <f>'Adani Enterprises'!AB334</f>
        <v>0</v>
      </c>
      <c r="AC334" s="48">
        <f>'Adani Enterprises'!AC334</f>
        <v>0</v>
      </c>
      <c r="AD334" s="48">
        <f>'Adani Enterprises'!AD334</f>
        <v>0</v>
      </c>
      <c r="AE334" s="48">
        <f>'Adani Enterprises'!AE334</f>
        <v>0</v>
      </c>
      <c r="AF334" s="48">
        <f>'Adani Enterprises'!AF334</f>
        <v>0</v>
      </c>
      <c r="AG334" s="48">
        <f>'Adani Enterprises'!AG334</f>
        <v>0</v>
      </c>
      <c r="AH334" s="48">
        <f>'Adani Enterprises'!AH334</f>
        <v>0</v>
      </c>
      <c r="AI334" s="48">
        <f>'Adani Enterprises'!AI334</f>
        <v>0</v>
      </c>
      <c r="AJ334" s="48">
        <f>'Adani Enterprises'!AJ334</f>
        <v>0</v>
      </c>
      <c r="AK334" s="48">
        <f>'Adani Enterprises'!AK334</f>
        <v>0</v>
      </c>
      <c r="AL334" s="48">
        <f>'Adani Enterprises'!AL334</f>
        <v>0</v>
      </c>
    </row>
    <row r="335" customHeight="1" spans="1:38">
      <c r="A335" s="48">
        <f>'Adani Enterprises'!A335</f>
        <v>0</v>
      </c>
      <c r="B335" s="48">
        <f>'Adani Enterprises'!B335</f>
        <v>0</v>
      </c>
      <c r="C335" s="48">
        <f>'Adani Enterprises'!C335</f>
        <v>0</v>
      </c>
      <c r="D335" s="48">
        <f>'Adani Enterprises'!D335</f>
        <v>0</v>
      </c>
      <c r="E335" s="48">
        <f>'Adani Enterprises'!E335</f>
        <v>0</v>
      </c>
      <c r="F335" s="48">
        <f>'Adani Enterprises'!F335</f>
        <v>0</v>
      </c>
      <c r="G335" s="48">
        <f>'Adani Enterprises'!G335</f>
        <v>0</v>
      </c>
      <c r="H335" s="48">
        <f>'Adani Enterprises'!H335</f>
        <v>0</v>
      </c>
      <c r="I335" s="48">
        <f>'Adani Enterprises'!I335</f>
        <v>0</v>
      </c>
      <c r="J335" s="48">
        <f>'Adani Enterprises'!J335</f>
        <v>0</v>
      </c>
      <c r="K335" s="48">
        <f>'Adani Enterprises'!K335</f>
        <v>0</v>
      </c>
      <c r="L335" s="48">
        <f>'Adani Enterprises'!L335</f>
        <v>0</v>
      </c>
      <c r="M335" s="48">
        <f>'Adani Enterprises'!M335</f>
        <v>0</v>
      </c>
      <c r="N335" s="48">
        <f>'Adani Enterprises'!N335</f>
        <v>0</v>
      </c>
      <c r="O335" s="48">
        <f>'Adani Enterprises'!O335</f>
        <v>0</v>
      </c>
      <c r="P335" s="48">
        <f>'Adani Enterprises'!P335</f>
        <v>0</v>
      </c>
      <c r="Q335" s="48">
        <f>'Adani Enterprises'!Q335</f>
        <v>0</v>
      </c>
      <c r="R335" s="48">
        <f>'Adani Enterprises'!R335</f>
        <v>0</v>
      </c>
      <c r="S335" s="48">
        <f>'Adani Enterprises'!S335</f>
        <v>0</v>
      </c>
      <c r="T335" s="48">
        <f>'Adani Enterprises'!T335</f>
        <v>0</v>
      </c>
      <c r="U335" s="48">
        <f>'Adani Enterprises'!U335</f>
        <v>0</v>
      </c>
      <c r="V335" s="48">
        <f>'Adani Enterprises'!V335</f>
        <v>0</v>
      </c>
      <c r="W335" s="48">
        <f>'Adani Enterprises'!W335</f>
        <v>0</v>
      </c>
      <c r="X335" s="48">
        <f>'Adani Enterprises'!X335</f>
        <v>0</v>
      </c>
      <c r="Y335" s="48">
        <f>'Adani Enterprises'!Y335</f>
        <v>0</v>
      </c>
      <c r="Z335" s="48">
        <f>'Adani Enterprises'!Z335</f>
        <v>0</v>
      </c>
      <c r="AA335" s="48">
        <f>'Adani Enterprises'!AA335</f>
        <v>0</v>
      </c>
      <c r="AB335" s="48">
        <f>'Adani Enterprises'!AB335</f>
        <v>0</v>
      </c>
      <c r="AC335" s="48">
        <f>'Adani Enterprises'!AC335</f>
        <v>0</v>
      </c>
      <c r="AD335" s="48">
        <f>'Adani Enterprises'!AD335</f>
        <v>0</v>
      </c>
      <c r="AE335" s="48">
        <f>'Adani Enterprises'!AE335</f>
        <v>0</v>
      </c>
      <c r="AF335" s="48">
        <f>'Adani Enterprises'!AF335</f>
        <v>0</v>
      </c>
      <c r="AG335" s="48">
        <f>'Adani Enterprises'!AG335</f>
        <v>0</v>
      </c>
      <c r="AH335" s="48">
        <f>'Adani Enterprises'!AH335</f>
        <v>0</v>
      </c>
      <c r="AI335" s="48">
        <f>'Adani Enterprises'!AI335</f>
        <v>0</v>
      </c>
      <c r="AJ335" s="48">
        <f>'Adani Enterprises'!AJ335</f>
        <v>0</v>
      </c>
      <c r="AK335" s="48">
        <f>'Adani Enterprises'!AK335</f>
        <v>0</v>
      </c>
      <c r="AL335" s="48">
        <f>'Adani Enterprises'!AL335</f>
        <v>0</v>
      </c>
    </row>
    <row r="336" customHeight="1" spans="1:38">
      <c r="A336" s="48">
        <f>'Adani Enterprises'!A336</f>
        <v>0</v>
      </c>
      <c r="B336" s="48">
        <f>'Adani Enterprises'!B336</f>
        <v>0</v>
      </c>
      <c r="C336" s="48">
        <f>'Adani Enterprises'!C336</f>
        <v>0</v>
      </c>
      <c r="D336" s="48">
        <f>'Adani Enterprises'!D336</f>
        <v>0</v>
      </c>
      <c r="E336" s="48">
        <f>'Adani Enterprises'!E336</f>
        <v>0</v>
      </c>
      <c r="F336" s="48">
        <f>'Adani Enterprises'!F336</f>
        <v>0</v>
      </c>
      <c r="G336" s="48">
        <f>'Adani Enterprises'!G336</f>
        <v>0</v>
      </c>
      <c r="H336" s="48">
        <f>'Adani Enterprises'!H336</f>
        <v>0</v>
      </c>
      <c r="I336" s="48">
        <f>'Adani Enterprises'!I336</f>
        <v>0</v>
      </c>
      <c r="J336" s="48">
        <f>'Adani Enterprises'!J336</f>
        <v>0</v>
      </c>
      <c r="K336" s="48">
        <f>'Adani Enterprises'!K336</f>
        <v>0</v>
      </c>
      <c r="L336" s="48">
        <f>'Adani Enterprises'!L336</f>
        <v>0</v>
      </c>
      <c r="M336" s="48">
        <f>'Adani Enterprises'!M336</f>
        <v>0</v>
      </c>
      <c r="N336" s="48">
        <f>'Adani Enterprises'!N336</f>
        <v>0</v>
      </c>
      <c r="O336" s="48">
        <f>'Adani Enterprises'!O336</f>
        <v>0</v>
      </c>
      <c r="P336" s="48">
        <f>'Adani Enterprises'!P336</f>
        <v>0</v>
      </c>
      <c r="Q336" s="48">
        <f>'Adani Enterprises'!Q336</f>
        <v>0</v>
      </c>
      <c r="R336" s="48">
        <f>'Adani Enterprises'!R336</f>
        <v>0</v>
      </c>
      <c r="S336" s="48">
        <f>'Adani Enterprises'!S336</f>
        <v>0</v>
      </c>
      <c r="T336" s="48">
        <f>'Adani Enterprises'!T336</f>
        <v>0</v>
      </c>
      <c r="U336" s="48">
        <f>'Adani Enterprises'!U336</f>
        <v>0</v>
      </c>
      <c r="V336" s="48">
        <f>'Adani Enterprises'!V336</f>
        <v>0</v>
      </c>
      <c r="W336" s="48">
        <f>'Adani Enterprises'!W336</f>
        <v>0</v>
      </c>
      <c r="X336" s="48">
        <f>'Adani Enterprises'!X336</f>
        <v>0</v>
      </c>
      <c r="Y336" s="48">
        <f>'Adani Enterprises'!Y336</f>
        <v>0</v>
      </c>
      <c r="Z336" s="48">
        <f>'Adani Enterprises'!Z336</f>
        <v>0</v>
      </c>
      <c r="AA336" s="48">
        <f>'Adani Enterprises'!AA336</f>
        <v>0</v>
      </c>
      <c r="AB336" s="48">
        <f>'Adani Enterprises'!AB336</f>
        <v>0</v>
      </c>
      <c r="AC336" s="48">
        <f>'Adani Enterprises'!AC336</f>
        <v>0</v>
      </c>
      <c r="AD336" s="48">
        <f>'Adani Enterprises'!AD336</f>
        <v>0</v>
      </c>
      <c r="AE336" s="48">
        <f>'Adani Enterprises'!AE336</f>
        <v>0</v>
      </c>
      <c r="AF336" s="48">
        <f>'Adani Enterprises'!AF336</f>
        <v>0</v>
      </c>
      <c r="AG336" s="48">
        <f>'Adani Enterprises'!AG336</f>
        <v>0</v>
      </c>
      <c r="AH336" s="48">
        <f>'Adani Enterprises'!AH336</f>
        <v>0</v>
      </c>
      <c r="AI336" s="48">
        <f>'Adani Enterprises'!AI336</f>
        <v>0</v>
      </c>
      <c r="AJ336" s="48">
        <f>'Adani Enterprises'!AJ336</f>
        <v>0</v>
      </c>
      <c r="AK336" s="48">
        <f>'Adani Enterprises'!AK336</f>
        <v>0</v>
      </c>
      <c r="AL336" s="48">
        <f>'Adani Enterprises'!AL336</f>
        <v>0</v>
      </c>
    </row>
    <row r="337" customHeight="1" spans="1:38">
      <c r="A337" s="48">
        <f>'Adani Enterprises'!A337</f>
        <v>0</v>
      </c>
      <c r="B337" s="48">
        <f>'Adani Enterprises'!B337</f>
        <v>0</v>
      </c>
      <c r="C337" s="48">
        <f>'Adani Enterprises'!C337</f>
        <v>0</v>
      </c>
      <c r="D337" s="48">
        <f>'Adani Enterprises'!D337</f>
        <v>0</v>
      </c>
      <c r="E337" s="48">
        <f>'Adani Enterprises'!E337</f>
        <v>0</v>
      </c>
      <c r="F337" s="48">
        <f>'Adani Enterprises'!F337</f>
        <v>0</v>
      </c>
      <c r="G337" s="48">
        <f>'Adani Enterprises'!G337</f>
        <v>0</v>
      </c>
      <c r="H337" s="48">
        <f>'Adani Enterprises'!H337</f>
        <v>0</v>
      </c>
      <c r="I337" s="48">
        <f>'Adani Enterprises'!I337</f>
        <v>0</v>
      </c>
      <c r="J337" s="48">
        <f>'Adani Enterprises'!J337</f>
        <v>0</v>
      </c>
      <c r="K337" s="48">
        <f>'Adani Enterprises'!K337</f>
        <v>0</v>
      </c>
      <c r="L337" s="48">
        <f>'Adani Enterprises'!L337</f>
        <v>0</v>
      </c>
      <c r="M337" s="48">
        <f>'Adani Enterprises'!M337</f>
        <v>0</v>
      </c>
      <c r="N337" s="48">
        <f>'Adani Enterprises'!N337</f>
        <v>0</v>
      </c>
      <c r="O337" s="48">
        <f>'Adani Enterprises'!O337</f>
        <v>0</v>
      </c>
      <c r="P337" s="48">
        <f>'Adani Enterprises'!P337</f>
        <v>0</v>
      </c>
      <c r="Q337" s="48">
        <f>'Adani Enterprises'!Q337</f>
        <v>0</v>
      </c>
      <c r="R337" s="48">
        <f>'Adani Enterprises'!R337</f>
        <v>0</v>
      </c>
      <c r="S337" s="48">
        <f>'Adani Enterprises'!S337</f>
        <v>0</v>
      </c>
      <c r="T337" s="48">
        <f>'Adani Enterprises'!T337</f>
        <v>0</v>
      </c>
      <c r="U337" s="48">
        <f>'Adani Enterprises'!U337</f>
        <v>0</v>
      </c>
      <c r="V337" s="48">
        <f>'Adani Enterprises'!V337</f>
        <v>0</v>
      </c>
      <c r="W337" s="48">
        <f>'Adani Enterprises'!W337</f>
        <v>0</v>
      </c>
      <c r="X337" s="48">
        <f>'Adani Enterprises'!X337</f>
        <v>0</v>
      </c>
      <c r="Y337" s="48">
        <f>'Adani Enterprises'!Y337</f>
        <v>0</v>
      </c>
      <c r="Z337" s="48">
        <f>'Adani Enterprises'!Z337</f>
        <v>0</v>
      </c>
      <c r="AA337" s="48">
        <f>'Adani Enterprises'!AA337</f>
        <v>0</v>
      </c>
      <c r="AB337" s="48">
        <f>'Adani Enterprises'!AB337</f>
        <v>0</v>
      </c>
      <c r="AC337" s="48">
        <f>'Adani Enterprises'!AC337</f>
        <v>0</v>
      </c>
      <c r="AD337" s="48">
        <f>'Adani Enterprises'!AD337</f>
        <v>0</v>
      </c>
      <c r="AE337" s="48">
        <f>'Adani Enterprises'!AE337</f>
        <v>0</v>
      </c>
      <c r="AF337" s="48">
        <f>'Adani Enterprises'!AF337</f>
        <v>0</v>
      </c>
      <c r="AG337" s="48">
        <f>'Adani Enterprises'!AG337</f>
        <v>0</v>
      </c>
      <c r="AH337" s="48">
        <f>'Adani Enterprises'!AH337</f>
        <v>0</v>
      </c>
      <c r="AI337" s="48">
        <f>'Adani Enterprises'!AI337</f>
        <v>0</v>
      </c>
      <c r="AJ337" s="48">
        <f>'Adani Enterprises'!AJ337</f>
        <v>0</v>
      </c>
      <c r="AK337" s="48">
        <f>'Adani Enterprises'!AK337</f>
        <v>0</v>
      </c>
      <c r="AL337" s="48">
        <f>'Adani Enterprises'!AL337</f>
        <v>0</v>
      </c>
    </row>
    <row r="338" customHeight="1" spans="1:38">
      <c r="A338" s="48">
        <f>'Adani Enterprises'!A338</f>
        <v>0</v>
      </c>
      <c r="B338" s="48">
        <f>'Adani Enterprises'!B338</f>
        <v>0</v>
      </c>
      <c r="C338" s="48">
        <f>'Adani Enterprises'!C338</f>
        <v>0</v>
      </c>
      <c r="D338" s="48">
        <f>'Adani Enterprises'!D338</f>
        <v>0</v>
      </c>
      <c r="E338" s="48">
        <f>'Adani Enterprises'!E338</f>
        <v>0</v>
      </c>
      <c r="F338" s="48">
        <f>'Adani Enterprises'!F338</f>
        <v>0</v>
      </c>
      <c r="G338" s="48">
        <f>'Adani Enterprises'!G338</f>
        <v>0</v>
      </c>
      <c r="H338" s="48">
        <f>'Adani Enterprises'!H338</f>
        <v>0</v>
      </c>
      <c r="I338" s="48">
        <f>'Adani Enterprises'!I338</f>
        <v>0</v>
      </c>
      <c r="J338" s="48">
        <f>'Adani Enterprises'!J338</f>
        <v>0</v>
      </c>
      <c r="K338" s="48">
        <f>'Adani Enterprises'!K338</f>
        <v>0</v>
      </c>
      <c r="L338" s="48">
        <f>'Adani Enterprises'!L338</f>
        <v>0</v>
      </c>
      <c r="M338" s="48">
        <f>'Adani Enterprises'!M338</f>
        <v>0</v>
      </c>
      <c r="N338" s="48">
        <f>'Adani Enterprises'!N338</f>
        <v>0</v>
      </c>
      <c r="O338" s="48">
        <f>'Adani Enterprises'!O338</f>
        <v>0</v>
      </c>
      <c r="P338" s="48">
        <f>'Adani Enterprises'!P338</f>
        <v>0</v>
      </c>
      <c r="Q338" s="48">
        <f>'Adani Enterprises'!Q338</f>
        <v>0</v>
      </c>
      <c r="R338" s="48">
        <f>'Adani Enterprises'!R338</f>
        <v>0</v>
      </c>
      <c r="S338" s="48">
        <f>'Adani Enterprises'!S338</f>
        <v>0</v>
      </c>
      <c r="T338" s="48">
        <f>'Adani Enterprises'!T338</f>
        <v>0</v>
      </c>
      <c r="U338" s="48">
        <f>'Adani Enterprises'!U338</f>
        <v>0</v>
      </c>
      <c r="V338" s="48">
        <f>'Adani Enterprises'!V338</f>
        <v>0</v>
      </c>
      <c r="W338" s="48">
        <f>'Adani Enterprises'!W338</f>
        <v>0</v>
      </c>
      <c r="X338" s="48">
        <f>'Adani Enterprises'!X338</f>
        <v>0</v>
      </c>
      <c r="Y338" s="48">
        <f>'Adani Enterprises'!Y338</f>
        <v>0</v>
      </c>
      <c r="Z338" s="48">
        <f>'Adani Enterprises'!Z338</f>
        <v>0</v>
      </c>
      <c r="AA338" s="48">
        <f>'Adani Enterprises'!AA338</f>
        <v>0</v>
      </c>
      <c r="AB338" s="48">
        <f>'Adani Enterprises'!AB338</f>
        <v>0</v>
      </c>
      <c r="AC338" s="48">
        <f>'Adani Enterprises'!AC338</f>
        <v>0</v>
      </c>
      <c r="AD338" s="48">
        <f>'Adani Enterprises'!AD338</f>
        <v>0</v>
      </c>
      <c r="AE338" s="48">
        <f>'Adani Enterprises'!AE338</f>
        <v>0</v>
      </c>
      <c r="AF338" s="48">
        <f>'Adani Enterprises'!AF338</f>
        <v>0</v>
      </c>
      <c r="AG338" s="48">
        <f>'Adani Enterprises'!AG338</f>
        <v>0</v>
      </c>
      <c r="AH338" s="48">
        <f>'Adani Enterprises'!AH338</f>
        <v>0</v>
      </c>
      <c r="AI338" s="48">
        <f>'Adani Enterprises'!AI338</f>
        <v>0</v>
      </c>
      <c r="AJ338" s="48">
        <f>'Adani Enterprises'!AJ338</f>
        <v>0</v>
      </c>
      <c r="AK338" s="48">
        <f>'Adani Enterprises'!AK338</f>
        <v>0</v>
      </c>
      <c r="AL338" s="48">
        <f>'Adani Enterprises'!AL338</f>
        <v>0</v>
      </c>
    </row>
    <row r="339" customHeight="1" spans="1:38">
      <c r="A339" s="48">
        <f>'Adani Enterprises'!A339</f>
        <v>0</v>
      </c>
      <c r="B339" s="48">
        <f>'Adani Enterprises'!B339</f>
        <v>0</v>
      </c>
      <c r="C339" s="48">
        <f>'Adani Enterprises'!C339</f>
        <v>0</v>
      </c>
      <c r="D339" s="48">
        <f>'Adani Enterprises'!D339</f>
        <v>0</v>
      </c>
      <c r="E339" s="48">
        <f>'Adani Enterprises'!E339</f>
        <v>0</v>
      </c>
      <c r="F339" s="48">
        <f>'Adani Enterprises'!F339</f>
        <v>0</v>
      </c>
      <c r="G339" s="48">
        <f>'Adani Enterprises'!G339</f>
        <v>0</v>
      </c>
      <c r="H339" s="48">
        <f>'Adani Enterprises'!H339</f>
        <v>0</v>
      </c>
      <c r="I339" s="48">
        <f>'Adani Enterprises'!I339</f>
        <v>0</v>
      </c>
      <c r="J339" s="48">
        <f>'Adani Enterprises'!J339</f>
        <v>0</v>
      </c>
      <c r="K339" s="48">
        <f>'Adani Enterprises'!K339</f>
        <v>0</v>
      </c>
      <c r="L339" s="48">
        <f>'Adani Enterprises'!L339</f>
        <v>0</v>
      </c>
      <c r="M339" s="48">
        <f>'Adani Enterprises'!M339</f>
        <v>0</v>
      </c>
      <c r="N339" s="48">
        <f>'Adani Enterprises'!N339</f>
        <v>0</v>
      </c>
      <c r="O339" s="48">
        <f>'Adani Enterprises'!O339</f>
        <v>0</v>
      </c>
      <c r="P339" s="48">
        <f>'Adani Enterprises'!P339</f>
        <v>0</v>
      </c>
      <c r="Q339" s="48">
        <f>'Adani Enterprises'!Q339</f>
        <v>0</v>
      </c>
      <c r="R339" s="48">
        <f>'Adani Enterprises'!R339</f>
        <v>0</v>
      </c>
      <c r="S339" s="48">
        <f>'Adani Enterprises'!S339</f>
        <v>0</v>
      </c>
      <c r="T339" s="48">
        <f>'Adani Enterprises'!T339</f>
        <v>0</v>
      </c>
      <c r="U339" s="48">
        <f>'Adani Enterprises'!U339</f>
        <v>0</v>
      </c>
      <c r="V339" s="48">
        <f>'Adani Enterprises'!V339</f>
        <v>0</v>
      </c>
      <c r="W339" s="48">
        <f>'Adani Enterprises'!W339</f>
        <v>0</v>
      </c>
      <c r="X339" s="48">
        <f>'Adani Enterprises'!X339</f>
        <v>0</v>
      </c>
      <c r="Y339" s="48">
        <f>'Adani Enterprises'!Y339</f>
        <v>0</v>
      </c>
      <c r="Z339" s="48">
        <f>'Adani Enterprises'!Z339</f>
        <v>0</v>
      </c>
      <c r="AA339" s="48">
        <f>'Adani Enterprises'!AA339</f>
        <v>0</v>
      </c>
      <c r="AB339" s="48">
        <f>'Adani Enterprises'!AB339</f>
        <v>0</v>
      </c>
      <c r="AC339" s="48">
        <f>'Adani Enterprises'!AC339</f>
        <v>0</v>
      </c>
      <c r="AD339" s="48">
        <f>'Adani Enterprises'!AD339</f>
        <v>0</v>
      </c>
      <c r="AE339" s="48">
        <f>'Adani Enterprises'!AE339</f>
        <v>0</v>
      </c>
      <c r="AF339" s="48">
        <f>'Adani Enterprises'!AF339</f>
        <v>0</v>
      </c>
      <c r="AG339" s="48">
        <f>'Adani Enterprises'!AG339</f>
        <v>0</v>
      </c>
      <c r="AH339" s="48">
        <f>'Adani Enterprises'!AH339</f>
        <v>0</v>
      </c>
      <c r="AI339" s="48">
        <f>'Adani Enterprises'!AI339</f>
        <v>0</v>
      </c>
      <c r="AJ339" s="48">
        <f>'Adani Enterprises'!AJ339</f>
        <v>0</v>
      </c>
      <c r="AK339" s="48">
        <f>'Adani Enterprises'!AK339</f>
        <v>0</v>
      </c>
      <c r="AL339" s="48">
        <f>'Adani Enterprises'!AL339</f>
        <v>0</v>
      </c>
    </row>
    <row r="340" customHeight="1" spans="1:38">
      <c r="A340" s="48">
        <f>'Adani Enterprises'!A340</f>
        <v>0</v>
      </c>
      <c r="B340" s="48">
        <f>'Adani Enterprises'!B340</f>
        <v>0</v>
      </c>
      <c r="C340" s="48">
        <f>'Adani Enterprises'!C340</f>
        <v>0</v>
      </c>
      <c r="D340" s="48">
        <f>'Adani Enterprises'!D340</f>
        <v>0</v>
      </c>
      <c r="E340" s="48">
        <f>'Adani Enterprises'!E340</f>
        <v>0</v>
      </c>
      <c r="F340" s="48">
        <f>'Adani Enterprises'!F340</f>
        <v>0</v>
      </c>
      <c r="G340" s="48">
        <f>'Adani Enterprises'!G340</f>
        <v>0</v>
      </c>
      <c r="H340" s="48">
        <f>'Adani Enterprises'!H340</f>
        <v>0</v>
      </c>
      <c r="I340" s="48">
        <f>'Adani Enterprises'!I340</f>
        <v>0</v>
      </c>
      <c r="J340" s="48">
        <f>'Adani Enterprises'!J340</f>
        <v>0</v>
      </c>
      <c r="K340" s="48">
        <f>'Adani Enterprises'!K340</f>
        <v>0</v>
      </c>
      <c r="L340" s="48">
        <f>'Adani Enterprises'!L340</f>
        <v>0</v>
      </c>
      <c r="M340" s="48">
        <f>'Adani Enterprises'!M340</f>
        <v>0</v>
      </c>
      <c r="N340" s="48">
        <f>'Adani Enterprises'!N340</f>
        <v>0</v>
      </c>
      <c r="O340" s="48">
        <f>'Adani Enterprises'!O340</f>
        <v>0</v>
      </c>
      <c r="P340" s="48">
        <f>'Adani Enterprises'!P340</f>
        <v>0</v>
      </c>
      <c r="Q340" s="48">
        <f>'Adani Enterprises'!Q340</f>
        <v>0</v>
      </c>
      <c r="R340" s="48">
        <f>'Adani Enterprises'!R340</f>
        <v>0</v>
      </c>
      <c r="S340" s="48">
        <f>'Adani Enterprises'!S340</f>
        <v>0</v>
      </c>
      <c r="T340" s="48">
        <f>'Adani Enterprises'!T340</f>
        <v>0</v>
      </c>
      <c r="U340" s="48">
        <f>'Adani Enterprises'!U340</f>
        <v>0</v>
      </c>
      <c r="V340" s="48">
        <f>'Adani Enterprises'!V340</f>
        <v>0</v>
      </c>
      <c r="W340" s="48">
        <f>'Adani Enterprises'!W340</f>
        <v>0</v>
      </c>
      <c r="X340" s="48">
        <f>'Adani Enterprises'!X340</f>
        <v>0</v>
      </c>
      <c r="Y340" s="48">
        <f>'Adani Enterprises'!Y340</f>
        <v>0</v>
      </c>
      <c r="Z340" s="48">
        <f>'Adani Enterprises'!Z340</f>
        <v>0</v>
      </c>
      <c r="AA340" s="48">
        <f>'Adani Enterprises'!AA340</f>
        <v>0</v>
      </c>
      <c r="AB340" s="48">
        <f>'Adani Enterprises'!AB340</f>
        <v>0</v>
      </c>
      <c r="AC340" s="48">
        <f>'Adani Enterprises'!AC340</f>
        <v>0</v>
      </c>
      <c r="AD340" s="48">
        <f>'Adani Enterprises'!AD340</f>
        <v>0</v>
      </c>
      <c r="AE340" s="48">
        <f>'Adani Enterprises'!AE340</f>
        <v>0</v>
      </c>
      <c r="AF340" s="48">
        <f>'Adani Enterprises'!AF340</f>
        <v>0</v>
      </c>
      <c r="AG340" s="48">
        <f>'Adani Enterprises'!AG340</f>
        <v>0</v>
      </c>
      <c r="AH340" s="48">
        <f>'Adani Enterprises'!AH340</f>
        <v>0</v>
      </c>
      <c r="AI340" s="48">
        <f>'Adani Enterprises'!AI340</f>
        <v>0</v>
      </c>
      <c r="AJ340" s="48">
        <f>'Adani Enterprises'!AJ340</f>
        <v>0</v>
      </c>
      <c r="AK340" s="48">
        <f>'Adani Enterprises'!AK340</f>
        <v>0</v>
      </c>
      <c r="AL340" s="48">
        <f>'Adani Enterprises'!AL340</f>
        <v>0</v>
      </c>
    </row>
    <row r="341" customHeight="1" spans="1:38">
      <c r="A341" s="48">
        <f>'Adani Enterprises'!A341</f>
        <v>0</v>
      </c>
      <c r="B341" s="48">
        <f>'Adani Enterprises'!B341</f>
        <v>0</v>
      </c>
      <c r="C341" s="48">
        <f>'Adani Enterprises'!C341</f>
        <v>0</v>
      </c>
      <c r="D341" s="48">
        <f>'Adani Enterprises'!D341</f>
        <v>0</v>
      </c>
      <c r="E341" s="48">
        <f>'Adani Enterprises'!E341</f>
        <v>0</v>
      </c>
      <c r="F341" s="48">
        <f>'Adani Enterprises'!F341</f>
        <v>0</v>
      </c>
      <c r="G341" s="48">
        <f>'Adani Enterprises'!G341</f>
        <v>0</v>
      </c>
      <c r="H341" s="48">
        <f>'Adani Enterprises'!H341</f>
        <v>0</v>
      </c>
      <c r="I341" s="48">
        <f>'Adani Enterprises'!I341</f>
        <v>0</v>
      </c>
      <c r="J341" s="48">
        <f>'Adani Enterprises'!J341</f>
        <v>0</v>
      </c>
      <c r="K341" s="48">
        <f>'Adani Enterprises'!K341</f>
        <v>0</v>
      </c>
      <c r="L341" s="48">
        <f>'Adani Enterprises'!L341</f>
        <v>0</v>
      </c>
      <c r="M341" s="48">
        <f>'Adani Enterprises'!M341</f>
        <v>0</v>
      </c>
      <c r="N341" s="48">
        <f>'Adani Enterprises'!N341</f>
        <v>0</v>
      </c>
      <c r="O341" s="48">
        <f>'Adani Enterprises'!O341</f>
        <v>0</v>
      </c>
      <c r="P341" s="48">
        <f>'Adani Enterprises'!P341</f>
        <v>0</v>
      </c>
      <c r="Q341" s="48">
        <f>'Adani Enterprises'!Q341</f>
        <v>0</v>
      </c>
      <c r="R341" s="48">
        <f>'Adani Enterprises'!R341</f>
        <v>0</v>
      </c>
      <c r="S341" s="48">
        <f>'Adani Enterprises'!S341</f>
        <v>0</v>
      </c>
      <c r="T341" s="48">
        <f>'Adani Enterprises'!T341</f>
        <v>0</v>
      </c>
      <c r="U341" s="48">
        <f>'Adani Enterprises'!U341</f>
        <v>0</v>
      </c>
      <c r="V341" s="48">
        <f>'Adani Enterprises'!V341</f>
        <v>0</v>
      </c>
      <c r="W341" s="48">
        <f>'Adani Enterprises'!W341</f>
        <v>0</v>
      </c>
      <c r="X341" s="48">
        <f>'Adani Enterprises'!X341</f>
        <v>0</v>
      </c>
      <c r="Y341" s="48">
        <f>'Adani Enterprises'!Y341</f>
        <v>0</v>
      </c>
      <c r="Z341" s="48">
        <f>'Adani Enterprises'!Z341</f>
        <v>0</v>
      </c>
      <c r="AA341" s="48">
        <f>'Adani Enterprises'!AA341</f>
        <v>0</v>
      </c>
      <c r="AB341" s="48">
        <f>'Adani Enterprises'!AB341</f>
        <v>0</v>
      </c>
      <c r="AC341" s="48">
        <f>'Adani Enterprises'!AC341</f>
        <v>0</v>
      </c>
      <c r="AD341" s="48">
        <f>'Adani Enterprises'!AD341</f>
        <v>0</v>
      </c>
      <c r="AE341" s="48">
        <f>'Adani Enterprises'!AE341</f>
        <v>0</v>
      </c>
      <c r="AF341" s="48">
        <f>'Adani Enterprises'!AF341</f>
        <v>0</v>
      </c>
      <c r="AG341" s="48">
        <f>'Adani Enterprises'!AG341</f>
        <v>0</v>
      </c>
      <c r="AH341" s="48">
        <f>'Adani Enterprises'!AH341</f>
        <v>0</v>
      </c>
      <c r="AI341" s="48">
        <f>'Adani Enterprises'!AI341</f>
        <v>0</v>
      </c>
      <c r="AJ341" s="48">
        <f>'Adani Enterprises'!AJ341</f>
        <v>0</v>
      </c>
      <c r="AK341" s="48">
        <f>'Adani Enterprises'!AK341</f>
        <v>0</v>
      </c>
      <c r="AL341" s="48">
        <f>'Adani Enterprises'!AL341</f>
        <v>0</v>
      </c>
    </row>
    <row r="342" customHeight="1" spans="1:38">
      <c r="A342" s="48">
        <f>'Adani Enterprises'!A342</f>
        <v>0</v>
      </c>
      <c r="B342" s="48">
        <f>'Adani Enterprises'!B342</f>
        <v>0</v>
      </c>
      <c r="C342" s="48">
        <f>'Adani Enterprises'!C342</f>
        <v>0</v>
      </c>
      <c r="D342" s="48">
        <f>'Adani Enterprises'!D342</f>
        <v>0</v>
      </c>
      <c r="E342" s="48">
        <f>'Adani Enterprises'!E342</f>
        <v>0</v>
      </c>
      <c r="F342" s="48">
        <f>'Adani Enterprises'!F342</f>
        <v>0</v>
      </c>
      <c r="G342" s="48">
        <f>'Adani Enterprises'!G342</f>
        <v>0</v>
      </c>
      <c r="H342" s="48">
        <f>'Adani Enterprises'!H342</f>
        <v>0</v>
      </c>
      <c r="I342" s="48">
        <f>'Adani Enterprises'!I342</f>
        <v>0</v>
      </c>
      <c r="J342" s="48">
        <f>'Adani Enterprises'!J342</f>
        <v>0</v>
      </c>
      <c r="K342" s="48">
        <f>'Adani Enterprises'!K342</f>
        <v>0</v>
      </c>
      <c r="L342" s="48">
        <f>'Adani Enterprises'!L342</f>
        <v>0</v>
      </c>
      <c r="M342" s="48">
        <f>'Adani Enterprises'!M342</f>
        <v>0</v>
      </c>
      <c r="N342" s="48">
        <f>'Adani Enterprises'!N342</f>
        <v>0</v>
      </c>
      <c r="O342" s="48">
        <f>'Adani Enterprises'!O342</f>
        <v>0</v>
      </c>
      <c r="P342" s="48">
        <f>'Adani Enterprises'!P342</f>
        <v>0</v>
      </c>
      <c r="Q342" s="48">
        <f>'Adani Enterprises'!Q342</f>
        <v>0</v>
      </c>
      <c r="R342" s="48">
        <f>'Adani Enterprises'!R342</f>
        <v>0</v>
      </c>
      <c r="S342" s="48">
        <f>'Adani Enterprises'!S342</f>
        <v>0</v>
      </c>
      <c r="T342" s="48">
        <f>'Adani Enterprises'!T342</f>
        <v>0</v>
      </c>
      <c r="U342" s="48">
        <f>'Adani Enterprises'!U342</f>
        <v>0</v>
      </c>
      <c r="V342" s="48">
        <f>'Adani Enterprises'!V342</f>
        <v>0</v>
      </c>
      <c r="W342" s="48">
        <f>'Adani Enterprises'!W342</f>
        <v>0</v>
      </c>
      <c r="X342" s="48">
        <f>'Adani Enterprises'!X342</f>
        <v>0</v>
      </c>
      <c r="Y342" s="48">
        <f>'Adani Enterprises'!Y342</f>
        <v>0</v>
      </c>
      <c r="Z342" s="48">
        <f>'Adani Enterprises'!Z342</f>
        <v>0</v>
      </c>
      <c r="AA342" s="48">
        <f>'Adani Enterprises'!AA342</f>
        <v>0</v>
      </c>
      <c r="AB342" s="48">
        <f>'Adani Enterprises'!AB342</f>
        <v>0</v>
      </c>
      <c r="AC342" s="48">
        <f>'Adani Enterprises'!AC342</f>
        <v>0</v>
      </c>
      <c r="AD342" s="48">
        <f>'Adani Enterprises'!AD342</f>
        <v>0</v>
      </c>
      <c r="AE342" s="48">
        <f>'Adani Enterprises'!AE342</f>
        <v>0</v>
      </c>
      <c r="AF342" s="48">
        <f>'Adani Enterprises'!AF342</f>
        <v>0</v>
      </c>
      <c r="AG342" s="48">
        <f>'Adani Enterprises'!AG342</f>
        <v>0</v>
      </c>
      <c r="AH342" s="48">
        <f>'Adani Enterprises'!AH342</f>
        <v>0</v>
      </c>
      <c r="AI342" s="48">
        <f>'Adani Enterprises'!AI342</f>
        <v>0</v>
      </c>
      <c r="AJ342" s="48">
        <f>'Adani Enterprises'!AJ342</f>
        <v>0</v>
      </c>
      <c r="AK342" s="48">
        <f>'Adani Enterprises'!AK342</f>
        <v>0</v>
      </c>
      <c r="AL342" s="48">
        <f>'Adani Enterprises'!AL342</f>
        <v>0</v>
      </c>
    </row>
    <row r="343" customHeight="1" spans="1:38">
      <c r="A343" s="48">
        <f>'Adani Enterprises'!A343</f>
        <v>0</v>
      </c>
      <c r="B343" s="48">
        <f>'Adani Enterprises'!B343</f>
        <v>0</v>
      </c>
      <c r="C343" s="48">
        <f>'Adani Enterprises'!C343</f>
        <v>0</v>
      </c>
      <c r="D343" s="48">
        <f>'Adani Enterprises'!D343</f>
        <v>0</v>
      </c>
      <c r="E343" s="48">
        <f>'Adani Enterprises'!E343</f>
        <v>0</v>
      </c>
      <c r="F343" s="48">
        <f>'Adani Enterprises'!F343</f>
        <v>0</v>
      </c>
      <c r="G343" s="48">
        <f>'Adani Enterprises'!G343</f>
        <v>0</v>
      </c>
      <c r="H343" s="48">
        <f>'Adani Enterprises'!H343</f>
        <v>0</v>
      </c>
      <c r="I343" s="48">
        <f>'Adani Enterprises'!I343</f>
        <v>0</v>
      </c>
      <c r="J343" s="48">
        <f>'Adani Enterprises'!J343</f>
        <v>0</v>
      </c>
      <c r="K343" s="48">
        <f>'Adani Enterprises'!K343</f>
        <v>0</v>
      </c>
      <c r="L343" s="48">
        <f>'Adani Enterprises'!L343</f>
        <v>0</v>
      </c>
      <c r="M343" s="48">
        <f>'Adani Enterprises'!M343</f>
        <v>0</v>
      </c>
      <c r="N343" s="48">
        <f>'Adani Enterprises'!N343</f>
        <v>0</v>
      </c>
      <c r="O343" s="48">
        <f>'Adani Enterprises'!O343</f>
        <v>0</v>
      </c>
      <c r="P343" s="48">
        <f>'Adani Enterprises'!P343</f>
        <v>0</v>
      </c>
      <c r="Q343" s="48">
        <f>'Adani Enterprises'!Q343</f>
        <v>0</v>
      </c>
      <c r="R343" s="48">
        <f>'Adani Enterprises'!R343</f>
        <v>0</v>
      </c>
      <c r="S343" s="48">
        <f>'Adani Enterprises'!S343</f>
        <v>0</v>
      </c>
      <c r="T343" s="48">
        <f>'Adani Enterprises'!T343</f>
        <v>0</v>
      </c>
      <c r="U343" s="48">
        <f>'Adani Enterprises'!U343</f>
        <v>0</v>
      </c>
      <c r="V343" s="48">
        <f>'Adani Enterprises'!V343</f>
        <v>0</v>
      </c>
      <c r="W343" s="48">
        <f>'Adani Enterprises'!W343</f>
        <v>0</v>
      </c>
      <c r="X343" s="48">
        <f>'Adani Enterprises'!X343</f>
        <v>0</v>
      </c>
      <c r="Y343" s="48">
        <f>'Adani Enterprises'!Y343</f>
        <v>0</v>
      </c>
      <c r="Z343" s="48">
        <f>'Adani Enterprises'!Z343</f>
        <v>0</v>
      </c>
      <c r="AA343" s="48">
        <f>'Adani Enterprises'!AA343</f>
        <v>0</v>
      </c>
      <c r="AB343" s="48">
        <f>'Adani Enterprises'!AB343</f>
        <v>0</v>
      </c>
      <c r="AC343" s="48">
        <f>'Adani Enterprises'!AC343</f>
        <v>0</v>
      </c>
      <c r="AD343" s="48">
        <f>'Adani Enterprises'!AD343</f>
        <v>0</v>
      </c>
      <c r="AE343" s="48">
        <f>'Adani Enterprises'!AE343</f>
        <v>0</v>
      </c>
      <c r="AF343" s="48">
        <f>'Adani Enterprises'!AF343</f>
        <v>0</v>
      </c>
      <c r="AG343" s="48">
        <f>'Adani Enterprises'!AG343</f>
        <v>0</v>
      </c>
      <c r="AH343" s="48">
        <f>'Adani Enterprises'!AH343</f>
        <v>0</v>
      </c>
      <c r="AI343" s="48">
        <f>'Adani Enterprises'!AI343</f>
        <v>0</v>
      </c>
      <c r="AJ343" s="48">
        <f>'Adani Enterprises'!AJ343</f>
        <v>0</v>
      </c>
      <c r="AK343" s="48">
        <f>'Adani Enterprises'!AK343</f>
        <v>0</v>
      </c>
      <c r="AL343" s="48">
        <f>'Adani Enterprises'!AL343</f>
        <v>0</v>
      </c>
    </row>
    <row r="344" customHeight="1" spans="1:38">
      <c r="A344" s="48">
        <f>'Adani Enterprises'!A344</f>
        <v>0</v>
      </c>
      <c r="B344" s="48">
        <f>'Adani Enterprises'!B344</f>
        <v>0</v>
      </c>
      <c r="C344" s="48">
        <f>'Adani Enterprises'!C344</f>
        <v>0</v>
      </c>
      <c r="D344" s="48">
        <f>'Adani Enterprises'!D344</f>
        <v>0</v>
      </c>
      <c r="E344" s="48">
        <f>'Adani Enterprises'!E344</f>
        <v>0</v>
      </c>
      <c r="F344" s="48">
        <f>'Adani Enterprises'!F344</f>
        <v>0</v>
      </c>
      <c r="G344" s="48">
        <f>'Adani Enterprises'!G344</f>
        <v>0</v>
      </c>
      <c r="H344" s="48">
        <f>'Adani Enterprises'!H344</f>
        <v>0</v>
      </c>
      <c r="I344" s="48">
        <f>'Adani Enterprises'!I344</f>
        <v>0</v>
      </c>
      <c r="J344" s="48">
        <f>'Adani Enterprises'!J344</f>
        <v>0</v>
      </c>
      <c r="K344" s="48">
        <f>'Adani Enterprises'!K344</f>
        <v>0</v>
      </c>
      <c r="L344" s="48">
        <f>'Adani Enterprises'!L344</f>
        <v>0</v>
      </c>
      <c r="M344" s="48">
        <f>'Adani Enterprises'!M344</f>
        <v>0</v>
      </c>
      <c r="N344" s="48">
        <f>'Adani Enterprises'!N344</f>
        <v>0</v>
      </c>
      <c r="O344" s="48">
        <f>'Adani Enterprises'!O344</f>
        <v>0</v>
      </c>
      <c r="P344" s="48">
        <f>'Adani Enterprises'!P344</f>
        <v>0</v>
      </c>
      <c r="Q344" s="48">
        <f>'Adani Enterprises'!Q344</f>
        <v>0</v>
      </c>
      <c r="R344" s="48">
        <f>'Adani Enterprises'!R344</f>
        <v>0</v>
      </c>
      <c r="S344" s="48">
        <f>'Adani Enterprises'!S344</f>
        <v>0</v>
      </c>
      <c r="T344" s="48">
        <f>'Adani Enterprises'!T344</f>
        <v>0</v>
      </c>
      <c r="U344" s="48">
        <f>'Adani Enterprises'!U344</f>
        <v>0</v>
      </c>
      <c r="V344" s="48">
        <f>'Adani Enterprises'!V344</f>
        <v>0</v>
      </c>
      <c r="W344" s="48">
        <f>'Adani Enterprises'!W344</f>
        <v>0</v>
      </c>
      <c r="X344" s="48">
        <f>'Adani Enterprises'!X344</f>
        <v>0</v>
      </c>
      <c r="Y344" s="48">
        <f>'Adani Enterprises'!Y344</f>
        <v>0</v>
      </c>
      <c r="Z344" s="48">
        <f>'Adani Enterprises'!Z344</f>
        <v>0</v>
      </c>
      <c r="AA344" s="48">
        <f>'Adani Enterprises'!AA344</f>
        <v>0</v>
      </c>
      <c r="AB344" s="48">
        <f>'Adani Enterprises'!AB344</f>
        <v>0</v>
      </c>
      <c r="AC344" s="48">
        <f>'Adani Enterprises'!AC344</f>
        <v>0</v>
      </c>
      <c r="AD344" s="48">
        <f>'Adani Enterprises'!AD344</f>
        <v>0</v>
      </c>
      <c r="AE344" s="48">
        <f>'Adani Enterprises'!AE344</f>
        <v>0</v>
      </c>
      <c r="AF344" s="48">
        <f>'Adani Enterprises'!AF344</f>
        <v>0</v>
      </c>
      <c r="AG344" s="48">
        <f>'Adani Enterprises'!AG344</f>
        <v>0</v>
      </c>
      <c r="AH344" s="48">
        <f>'Adani Enterprises'!AH344</f>
        <v>0</v>
      </c>
      <c r="AI344" s="48">
        <f>'Adani Enterprises'!AI344</f>
        <v>0</v>
      </c>
      <c r="AJ344" s="48">
        <f>'Adani Enterprises'!AJ344</f>
        <v>0</v>
      </c>
      <c r="AK344" s="48">
        <f>'Adani Enterprises'!AK344</f>
        <v>0</v>
      </c>
      <c r="AL344" s="48">
        <f>'Adani Enterprises'!AL344</f>
        <v>0</v>
      </c>
    </row>
    <row r="345" customHeight="1" spans="1:38">
      <c r="A345" s="48">
        <f>'Adani Enterprises'!A345</f>
        <v>0</v>
      </c>
      <c r="B345" s="48">
        <f>'Adani Enterprises'!B345</f>
        <v>0</v>
      </c>
      <c r="C345" s="48">
        <f>'Adani Enterprises'!C345</f>
        <v>0</v>
      </c>
      <c r="D345" s="48">
        <f>'Adani Enterprises'!D345</f>
        <v>0</v>
      </c>
      <c r="E345" s="48">
        <f>'Adani Enterprises'!E345</f>
        <v>0</v>
      </c>
      <c r="F345" s="48">
        <f>'Adani Enterprises'!F345</f>
        <v>0</v>
      </c>
      <c r="G345" s="48">
        <f>'Adani Enterprises'!G345</f>
        <v>0</v>
      </c>
      <c r="H345" s="48">
        <f>'Adani Enterprises'!H345</f>
        <v>0</v>
      </c>
      <c r="I345" s="48">
        <f>'Adani Enterprises'!I345</f>
        <v>0</v>
      </c>
      <c r="J345" s="48">
        <f>'Adani Enterprises'!J345</f>
        <v>0</v>
      </c>
      <c r="K345" s="48">
        <f>'Adani Enterprises'!K345</f>
        <v>0</v>
      </c>
      <c r="L345" s="48">
        <f>'Adani Enterprises'!L345</f>
        <v>0</v>
      </c>
      <c r="M345" s="48">
        <f>'Adani Enterprises'!M345</f>
        <v>0</v>
      </c>
      <c r="N345" s="48">
        <f>'Adani Enterprises'!N345</f>
        <v>0</v>
      </c>
      <c r="O345" s="48">
        <f>'Adani Enterprises'!O345</f>
        <v>0</v>
      </c>
      <c r="P345" s="48">
        <f>'Adani Enterprises'!P345</f>
        <v>0</v>
      </c>
      <c r="Q345" s="48">
        <f>'Adani Enterprises'!Q345</f>
        <v>0</v>
      </c>
      <c r="R345" s="48">
        <f>'Adani Enterprises'!R345</f>
        <v>0</v>
      </c>
      <c r="S345" s="48">
        <f>'Adani Enterprises'!S345</f>
        <v>0</v>
      </c>
      <c r="T345" s="48">
        <f>'Adani Enterprises'!T345</f>
        <v>0</v>
      </c>
      <c r="U345" s="48">
        <f>'Adani Enterprises'!U345</f>
        <v>0</v>
      </c>
      <c r="V345" s="48">
        <f>'Adani Enterprises'!V345</f>
        <v>0</v>
      </c>
      <c r="W345" s="48">
        <f>'Adani Enterprises'!W345</f>
        <v>0</v>
      </c>
      <c r="X345" s="48">
        <f>'Adani Enterprises'!X345</f>
        <v>0</v>
      </c>
      <c r="Y345" s="48">
        <f>'Adani Enterprises'!Y345</f>
        <v>0</v>
      </c>
      <c r="Z345" s="48">
        <f>'Adani Enterprises'!Z345</f>
        <v>0</v>
      </c>
      <c r="AA345" s="48">
        <f>'Adani Enterprises'!AA345</f>
        <v>0</v>
      </c>
      <c r="AB345" s="48">
        <f>'Adani Enterprises'!AB345</f>
        <v>0</v>
      </c>
      <c r="AC345" s="48">
        <f>'Adani Enterprises'!AC345</f>
        <v>0</v>
      </c>
      <c r="AD345" s="48">
        <f>'Adani Enterprises'!AD345</f>
        <v>0</v>
      </c>
      <c r="AE345" s="48">
        <f>'Adani Enterprises'!AE345</f>
        <v>0</v>
      </c>
      <c r="AF345" s="48">
        <f>'Adani Enterprises'!AF345</f>
        <v>0</v>
      </c>
      <c r="AG345" s="48">
        <f>'Adani Enterprises'!AG345</f>
        <v>0</v>
      </c>
      <c r="AH345" s="48">
        <f>'Adani Enterprises'!AH345</f>
        <v>0</v>
      </c>
      <c r="AI345" s="48">
        <f>'Adani Enterprises'!AI345</f>
        <v>0</v>
      </c>
      <c r="AJ345" s="48">
        <f>'Adani Enterprises'!AJ345</f>
        <v>0</v>
      </c>
      <c r="AK345" s="48">
        <f>'Adani Enterprises'!AK345</f>
        <v>0</v>
      </c>
      <c r="AL345" s="48">
        <f>'Adani Enterprises'!AL345</f>
        <v>0</v>
      </c>
    </row>
    <row r="346" customHeight="1" spans="1:38">
      <c r="A346" s="48">
        <f>'Adani Enterprises'!A346</f>
        <v>0</v>
      </c>
      <c r="B346" s="48">
        <f>'Adani Enterprises'!B346</f>
        <v>0</v>
      </c>
      <c r="C346" s="48">
        <f>'Adani Enterprises'!C346</f>
        <v>0</v>
      </c>
      <c r="D346" s="48">
        <f>'Adani Enterprises'!D346</f>
        <v>0</v>
      </c>
      <c r="E346" s="48">
        <f>'Adani Enterprises'!E346</f>
        <v>0</v>
      </c>
      <c r="F346" s="48">
        <f>'Adani Enterprises'!F346</f>
        <v>0</v>
      </c>
      <c r="G346" s="48">
        <f>'Adani Enterprises'!G346</f>
        <v>0</v>
      </c>
      <c r="H346" s="48">
        <f>'Adani Enterprises'!H346</f>
        <v>0</v>
      </c>
      <c r="I346" s="48">
        <f>'Adani Enterprises'!I346</f>
        <v>0</v>
      </c>
      <c r="J346" s="48">
        <f>'Adani Enterprises'!J346</f>
        <v>0</v>
      </c>
      <c r="K346" s="48">
        <f>'Adani Enterprises'!K346</f>
        <v>0</v>
      </c>
      <c r="L346" s="48">
        <f>'Adani Enterprises'!L346</f>
        <v>0</v>
      </c>
      <c r="M346" s="48">
        <f>'Adani Enterprises'!M346</f>
        <v>0</v>
      </c>
      <c r="N346" s="48">
        <f>'Adani Enterprises'!N346</f>
        <v>0</v>
      </c>
      <c r="O346" s="48">
        <f>'Adani Enterprises'!O346</f>
        <v>0</v>
      </c>
      <c r="P346" s="48">
        <f>'Adani Enterprises'!P346</f>
        <v>0</v>
      </c>
      <c r="Q346" s="48">
        <f>'Adani Enterprises'!Q346</f>
        <v>0</v>
      </c>
      <c r="R346" s="48">
        <f>'Adani Enterprises'!R346</f>
        <v>0</v>
      </c>
      <c r="S346" s="48">
        <f>'Adani Enterprises'!S346</f>
        <v>0</v>
      </c>
      <c r="T346" s="48">
        <f>'Adani Enterprises'!T346</f>
        <v>0</v>
      </c>
      <c r="U346" s="48">
        <f>'Adani Enterprises'!U346</f>
        <v>0</v>
      </c>
      <c r="V346" s="48">
        <f>'Adani Enterprises'!V346</f>
        <v>0</v>
      </c>
      <c r="W346" s="48">
        <f>'Adani Enterprises'!W346</f>
        <v>0</v>
      </c>
      <c r="X346" s="48">
        <f>'Adani Enterprises'!X346</f>
        <v>0</v>
      </c>
      <c r="Y346" s="48">
        <f>'Adani Enterprises'!Y346</f>
        <v>0</v>
      </c>
      <c r="Z346" s="48">
        <f>'Adani Enterprises'!Z346</f>
        <v>0</v>
      </c>
      <c r="AA346" s="48">
        <f>'Adani Enterprises'!AA346</f>
        <v>0</v>
      </c>
      <c r="AB346" s="48">
        <f>'Adani Enterprises'!AB346</f>
        <v>0</v>
      </c>
      <c r="AC346" s="48">
        <f>'Adani Enterprises'!AC346</f>
        <v>0</v>
      </c>
      <c r="AD346" s="48">
        <f>'Adani Enterprises'!AD346</f>
        <v>0</v>
      </c>
      <c r="AE346" s="48">
        <f>'Adani Enterprises'!AE346</f>
        <v>0</v>
      </c>
      <c r="AF346" s="48">
        <f>'Adani Enterprises'!AF346</f>
        <v>0</v>
      </c>
      <c r="AG346" s="48">
        <f>'Adani Enterprises'!AG346</f>
        <v>0</v>
      </c>
      <c r="AH346" s="48">
        <f>'Adani Enterprises'!AH346</f>
        <v>0</v>
      </c>
      <c r="AI346" s="48">
        <f>'Adani Enterprises'!AI346</f>
        <v>0</v>
      </c>
      <c r="AJ346" s="48">
        <f>'Adani Enterprises'!AJ346</f>
        <v>0</v>
      </c>
      <c r="AK346" s="48">
        <f>'Adani Enterprises'!AK346</f>
        <v>0</v>
      </c>
      <c r="AL346" s="48">
        <f>'Adani Enterprises'!AL346</f>
        <v>0</v>
      </c>
    </row>
    <row r="347" customHeight="1" spans="1:38">
      <c r="A347" s="48">
        <f>'Adani Enterprises'!A347</f>
        <v>0</v>
      </c>
      <c r="B347" s="48">
        <f>'Adani Enterprises'!B347</f>
        <v>0</v>
      </c>
      <c r="C347" s="48">
        <f>'Adani Enterprises'!C347</f>
        <v>0</v>
      </c>
      <c r="D347" s="48">
        <f>'Adani Enterprises'!D347</f>
        <v>0</v>
      </c>
      <c r="E347" s="48">
        <f>'Adani Enterprises'!E347</f>
        <v>0</v>
      </c>
      <c r="F347" s="48">
        <f>'Adani Enterprises'!F347</f>
        <v>0</v>
      </c>
      <c r="G347" s="48">
        <f>'Adani Enterprises'!G347</f>
        <v>0</v>
      </c>
      <c r="H347" s="48">
        <f>'Adani Enterprises'!H347</f>
        <v>0</v>
      </c>
      <c r="I347" s="48">
        <f>'Adani Enterprises'!I347</f>
        <v>0</v>
      </c>
      <c r="J347" s="48">
        <f>'Adani Enterprises'!J347</f>
        <v>0</v>
      </c>
      <c r="K347" s="48">
        <f>'Adani Enterprises'!K347</f>
        <v>0</v>
      </c>
      <c r="L347" s="48">
        <f>'Adani Enterprises'!L347</f>
        <v>0</v>
      </c>
      <c r="M347" s="48">
        <f>'Adani Enterprises'!M347</f>
        <v>0</v>
      </c>
      <c r="N347" s="48">
        <f>'Adani Enterprises'!N347</f>
        <v>0</v>
      </c>
      <c r="O347" s="48">
        <f>'Adani Enterprises'!O347</f>
        <v>0</v>
      </c>
      <c r="P347" s="48">
        <f>'Adani Enterprises'!P347</f>
        <v>0</v>
      </c>
      <c r="Q347" s="48">
        <f>'Adani Enterprises'!Q347</f>
        <v>0</v>
      </c>
      <c r="R347" s="48">
        <f>'Adani Enterprises'!R347</f>
        <v>0</v>
      </c>
      <c r="S347" s="48">
        <f>'Adani Enterprises'!S347</f>
        <v>0</v>
      </c>
      <c r="T347" s="48">
        <f>'Adani Enterprises'!T347</f>
        <v>0</v>
      </c>
      <c r="U347" s="48">
        <f>'Adani Enterprises'!U347</f>
        <v>0</v>
      </c>
      <c r="V347" s="48">
        <f>'Adani Enterprises'!V347</f>
        <v>0</v>
      </c>
      <c r="W347" s="48">
        <f>'Adani Enterprises'!W347</f>
        <v>0</v>
      </c>
      <c r="X347" s="48">
        <f>'Adani Enterprises'!X347</f>
        <v>0</v>
      </c>
      <c r="Y347" s="48">
        <f>'Adani Enterprises'!Y347</f>
        <v>0</v>
      </c>
      <c r="Z347" s="48">
        <f>'Adani Enterprises'!Z347</f>
        <v>0</v>
      </c>
      <c r="AA347" s="48">
        <f>'Adani Enterprises'!AA347</f>
        <v>0</v>
      </c>
      <c r="AB347" s="48">
        <f>'Adani Enterprises'!AB347</f>
        <v>0</v>
      </c>
      <c r="AC347" s="48">
        <f>'Adani Enterprises'!AC347</f>
        <v>0</v>
      </c>
      <c r="AD347" s="48">
        <f>'Adani Enterprises'!AD347</f>
        <v>0</v>
      </c>
      <c r="AE347" s="48">
        <f>'Adani Enterprises'!AE347</f>
        <v>0</v>
      </c>
      <c r="AF347" s="48">
        <f>'Adani Enterprises'!AF347</f>
        <v>0</v>
      </c>
      <c r="AG347" s="48">
        <f>'Adani Enterprises'!AG347</f>
        <v>0</v>
      </c>
      <c r="AH347" s="48">
        <f>'Adani Enterprises'!AH347</f>
        <v>0</v>
      </c>
      <c r="AI347" s="48">
        <f>'Adani Enterprises'!AI347</f>
        <v>0</v>
      </c>
      <c r="AJ347" s="48">
        <f>'Adani Enterprises'!AJ347</f>
        <v>0</v>
      </c>
      <c r="AK347" s="48">
        <f>'Adani Enterprises'!AK347</f>
        <v>0</v>
      </c>
      <c r="AL347" s="48">
        <f>'Adani Enterprises'!AL347</f>
        <v>0</v>
      </c>
    </row>
    <row r="348" customHeight="1" spans="1:38">
      <c r="A348" s="48">
        <f>'Adani Enterprises'!A348</f>
        <v>0</v>
      </c>
      <c r="B348" s="48">
        <f>'Adani Enterprises'!B348</f>
        <v>0</v>
      </c>
      <c r="C348" s="48">
        <f>'Adani Enterprises'!C348</f>
        <v>0</v>
      </c>
      <c r="D348" s="48">
        <f>'Adani Enterprises'!D348</f>
        <v>0</v>
      </c>
      <c r="E348" s="48">
        <f>'Adani Enterprises'!E348</f>
        <v>0</v>
      </c>
      <c r="F348" s="48">
        <f>'Adani Enterprises'!F348</f>
        <v>0</v>
      </c>
      <c r="G348" s="48">
        <f>'Adani Enterprises'!G348</f>
        <v>0</v>
      </c>
      <c r="H348" s="48">
        <f>'Adani Enterprises'!H348</f>
        <v>0</v>
      </c>
      <c r="I348" s="48">
        <f>'Adani Enterprises'!I348</f>
        <v>0</v>
      </c>
      <c r="J348" s="48">
        <f>'Adani Enterprises'!J348</f>
        <v>0</v>
      </c>
      <c r="K348" s="48">
        <f>'Adani Enterprises'!K348</f>
        <v>0</v>
      </c>
      <c r="L348" s="48">
        <f>'Adani Enterprises'!L348</f>
        <v>0</v>
      </c>
      <c r="M348" s="48">
        <f>'Adani Enterprises'!M348</f>
        <v>0</v>
      </c>
      <c r="N348" s="48">
        <f>'Adani Enterprises'!N348</f>
        <v>0</v>
      </c>
      <c r="O348" s="48">
        <f>'Adani Enterprises'!O348</f>
        <v>0</v>
      </c>
      <c r="P348" s="48">
        <f>'Adani Enterprises'!P348</f>
        <v>0</v>
      </c>
      <c r="Q348" s="48">
        <f>'Adani Enterprises'!Q348</f>
        <v>0</v>
      </c>
      <c r="R348" s="48">
        <f>'Adani Enterprises'!R348</f>
        <v>0</v>
      </c>
      <c r="S348" s="48">
        <f>'Adani Enterprises'!S348</f>
        <v>0</v>
      </c>
      <c r="T348" s="48">
        <f>'Adani Enterprises'!T348</f>
        <v>0</v>
      </c>
      <c r="U348" s="48">
        <f>'Adani Enterprises'!U348</f>
        <v>0</v>
      </c>
      <c r="V348" s="48">
        <f>'Adani Enterprises'!V348</f>
        <v>0</v>
      </c>
      <c r="W348" s="48">
        <f>'Adani Enterprises'!W348</f>
        <v>0</v>
      </c>
      <c r="X348" s="48">
        <f>'Adani Enterprises'!X348</f>
        <v>0</v>
      </c>
      <c r="Y348" s="48">
        <f>'Adani Enterprises'!Y348</f>
        <v>0</v>
      </c>
      <c r="Z348" s="48">
        <f>'Adani Enterprises'!Z348</f>
        <v>0</v>
      </c>
      <c r="AA348" s="48">
        <f>'Adani Enterprises'!AA348</f>
        <v>0</v>
      </c>
      <c r="AB348" s="48">
        <f>'Adani Enterprises'!AB348</f>
        <v>0</v>
      </c>
      <c r="AC348" s="48">
        <f>'Adani Enterprises'!AC348</f>
        <v>0</v>
      </c>
      <c r="AD348" s="48">
        <f>'Adani Enterprises'!AD348</f>
        <v>0</v>
      </c>
      <c r="AE348" s="48">
        <f>'Adani Enterprises'!AE348</f>
        <v>0</v>
      </c>
      <c r="AF348" s="48">
        <f>'Adani Enterprises'!AF348</f>
        <v>0</v>
      </c>
      <c r="AG348" s="48">
        <f>'Adani Enterprises'!AG348</f>
        <v>0</v>
      </c>
      <c r="AH348" s="48">
        <f>'Adani Enterprises'!AH348</f>
        <v>0</v>
      </c>
      <c r="AI348" s="48">
        <f>'Adani Enterprises'!AI348</f>
        <v>0</v>
      </c>
      <c r="AJ348" s="48">
        <f>'Adani Enterprises'!AJ348</f>
        <v>0</v>
      </c>
      <c r="AK348" s="48">
        <f>'Adani Enterprises'!AK348</f>
        <v>0</v>
      </c>
      <c r="AL348" s="48">
        <f>'Adani Enterprises'!AL348</f>
        <v>0</v>
      </c>
    </row>
    <row r="349" customHeight="1" spans="1:38">
      <c r="A349" s="48">
        <f>'Adani Enterprises'!A349</f>
        <v>0</v>
      </c>
      <c r="B349" s="48">
        <f>'Adani Enterprises'!B349</f>
        <v>0</v>
      </c>
      <c r="C349" s="48">
        <f>'Adani Enterprises'!C349</f>
        <v>0</v>
      </c>
      <c r="D349" s="48">
        <f>'Adani Enterprises'!D349</f>
        <v>0</v>
      </c>
      <c r="E349" s="48">
        <f>'Adani Enterprises'!E349</f>
        <v>0</v>
      </c>
      <c r="F349" s="48">
        <f>'Adani Enterprises'!F349</f>
        <v>0</v>
      </c>
      <c r="G349" s="48">
        <f>'Adani Enterprises'!G349</f>
        <v>0</v>
      </c>
      <c r="H349" s="48">
        <f>'Adani Enterprises'!H349</f>
        <v>0</v>
      </c>
      <c r="I349" s="48">
        <f>'Adani Enterprises'!I349</f>
        <v>0</v>
      </c>
      <c r="J349" s="48">
        <f>'Adani Enterprises'!J349</f>
        <v>0</v>
      </c>
      <c r="K349" s="48">
        <f>'Adani Enterprises'!K349</f>
        <v>0</v>
      </c>
      <c r="L349" s="48">
        <f>'Adani Enterprises'!L349</f>
        <v>0</v>
      </c>
      <c r="M349" s="48">
        <f>'Adani Enterprises'!M349</f>
        <v>0</v>
      </c>
      <c r="N349" s="48">
        <f>'Adani Enterprises'!N349</f>
        <v>0</v>
      </c>
      <c r="O349" s="48">
        <f>'Adani Enterprises'!O349</f>
        <v>0</v>
      </c>
      <c r="P349" s="48">
        <f>'Adani Enterprises'!P349</f>
        <v>0</v>
      </c>
      <c r="Q349" s="48">
        <f>'Adani Enterprises'!Q349</f>
        <v>0</v>
      </c>
      <c r="R349" s="48">
        <f>'Adani Enterprises'!R349</f>
        <v>0</v>
      </c>
      <c r="S349" s="48">
        <f>'Adani Enterprises'!S349</f>
        <v>0</v>
      </c>
      <c r="T349" s="48">
        <f>'Adani Enterprises'!T349</f>
        <v>0</v>
      </c>
      <c r="U349" s="48">
        <f>'Adani Enterprises'!U349</f>
        <v>0</v>
      </c>
      <c r="V349" s="48">
        <f>'Adani Enterprises'!V349</f>
        <v>0</v>
      </c>
      <c r="W349" s="48">
        <f>'Adani Enterprises'!W349</f>
        <v>0</v>
      </c>
      <c r="X349" s="48">
        <f>'Adani Enterprises'!X349</f>
        <v>0</v>
      </c>
      <c r="Y349" s="48">
        <f>'Adani Enterprises'!Y349</f>
        <v>0</v>
      </c>
      <c r="Z349" s="48">
        <f>'Adani Enterprises'!Z349</f>
        <v>0</v>
      </c>
      <c r="AA349" s="48">
        <f>'Adani Enterprises'!AA349</f>
        <v>0</v>
      </c>
      <c r="AB349" s="48">
        <f>'Adani Enterprises'!AB349</f>
        <v>0</v>
      </c>
      <c r="AC349" s="48">
        <f>'Adani Enterprises'!AC349</f>
        <v>0</v>
      </c>
      <c r="AD349" s="48">
        <f>'Adani Enterprises'!AD349</f>
        <v>0</v>
      </c>
      <c r="AE349" s="48">
        <f>'Adani Enterprises'!AE349</f>
        <v>0</v>
      </c>
      <c r="AF349" s="48">
        <f>'Adani Enterprises'!AF349</f>
        <v>0</v>
      </c>
      <c r="AG349" s="48">
        <f>'Adani Enterprises'!AG349</f>
        <v>0</v>
      </c>
      <c r="AH349" s="48">
        <f>'Adani Enterprises'!AH349</f>
        <v>0</v>
      </c>
      <c r="AI349" s="48">
        <f>'Adani Enterprises'!AI349</f>
        <v>0</v>
      </c>
      <c r="AJ349" s="48">
        <f>'Adani Enterprises'!AJ349</f>
        <v>0</v>
      </c>
      <c r="AK349" s="48">
        <f>'Adani Enterprises'!AK349</f>
        <v>0</v>
      </c>
      <c r="AL349" s="48">
        <f>'Adani Enterprises'!AL349</f>
        <v>0</v>
      </c>
    </row>
    <row r="350" customHeight="1" spans="1:38">
      <c r="A350" s="48">
        <f>'Adani Enterprises'!A350</f>
        <v>0</v>
      </c>
      <c r="B350" s="48">
        <f>'Adani Enterprises'!B350</f>
        <v>0</v>
      </c>
      <c r="C350" s="48">
        <f>'Adani Enterprises'!C350</f>
        <v>0</v>
      </c>
      <c r="D350" s="48">
        <f>'Adani Enterprises'!D350</f>
        <v>0</v>
      </c>
      <c r="E350" s="48">
        <f>'Adani Enterprises'!E350</f>
        <v>0</v>
      </c>
      <c r="F350" s="48">
        <f>'Adani Enterprises'!F350</f>
        <v>0</v>
      </c>
      <c r="G350" s="48">
        <f>'Adani Enterprises'!G350</f>
        <v>0</v>
      </c>
      <c r="H350" s="48">
        <f>'Adani Enterprises'!H350</f>
        <v>0</v>
      </c>
      <c r="I350" s="48">
        <f>'Adani Enterprises'!I350</f>
        <v>0</v>
      </c>
      <c r="J350" s="48">
        <f>'Adani Enterprises'!J350</f>
        <v>0</v>
      </c>
      <c r="K350" s="48">
        <f>'Adani Enterprises'!K350</f>
        <v>0</v>
      </c>
      <c r="L350" s="48">
        <f>'Adani Enterprises'!L350</f>
        <v>0</v>
      </c>
      <c r="M350" s="48">
        <f>'Adani Enterprises'!M350</f>
        <v>0</v>
      </c>
      <c r="N350" s="48">
        <f>'Adani Enterprises'!N350</f>
        <v>0</v>
      </c>
      <c r="O350" s="48">
        <f>'Adani Enterprises'!O350</f>
        <v>0</v>
      </c>
      <c r="P350" s="48">
        <f>'Adani Enterprises'!P350</f>
        <v>0</v>
      </c>
      <c r="Q350" s="48">
        <f>'Adani Enterprises'!Q350</f>
        <v>0</v>
      </c>
      <c r="R350" s="48">
        <f>'Adani Enterprises'!R350</f>
        <v>0</v>
      </c>
      <c r="S350" s="48">
        <f>'Adani Enterprises'!S350</f>
        <v>0</v>
      </c>
      <c r="T350" s="48">
        <f>'Adani Enterprises'!T350</f>
        <v>0</v>
      </c>
      <c r="U350" s="48">
        <f>'Adani Enterprises'!U350</f>
        <v>0</v>
      </c>
      <c r="V350" s="48">
        <f>'Adani Enterprises'!V350</f>
        <v>0</v>
      </c>
      <c r="W350" s="48">
        <f>'Adani Enterprises'!W350</f>
        <v>0</v>
      </c>
      <c r="X350" s="48">
        <f>'Adani Enterprises'!X350</f>
        <v>0</v>
      </c>
      <c r="Y350" s="48">
        <f>'Adani Enterprises'!Y350</f>
        <v>0</v>
      </c>
      <c r="Z350" s="48">
        <f>'Adani Enterprises'!Z350</f>
        <v>0</v>
      </c>
      <c r="AA350" s="48">
        <f>'Adani Enterprises'!AA350</f>
        <v>0</v>
      </c>
      <c r="AB350" s="48">
        <f>'Adani Enterprises'!AB350</f>
        <v>0</v>
      </c>
      <c r="AC350" s="48">
        <f>'Adani Enterprises'!AC350</f>
        <v>0</v>
      </c>
      <c r="AD350" s="48">
        <f>'Adani Enterprises'!AD350</f>
        <v>0</v>
      </c>
      <c r="AE350" s="48">
        <f>'Adani Enterprises'!AE350</f>
        <v>0</v>
      </c>
      <c r="AF350" s="48">
        <f>'Adani Enterprises'!AF350</f>
        <v>0</v>
      </c>
      <c r="AG350" s="48">
        <f>'Adani Enterprises'!AG350</f>
        <v>0</v>
      </c>
      <c r="AH350" s="48">
        <f>'Adani Enterprises'!AH350</f>
        <v>0</v>
      </c>
      <c r="AI350" s="48">
        <f>'Adani Enterprises'!AI350</f>
        <v>0</v>
      </c>
      <c r="AJ350" s="48">
        <f>'Adani Enterprises'!AJ350</f>
        <v>0</v>
      </c>
      <c r="AK350" s="48">
        <f>'Adani Enterprises'!AK350</f>
        <v>0</v>
      </c>
      <c r="AL350" s="48">
        <f>'Adani Enterprises'!AL350</f>
        <v>0</v>
      </c>
    </row>
    <row r="351" customHeight="1" spans="1:38">
      <c r="A351" s="48">
        <f>'Adani Enterprises'!A351</f>
        <v>0</v>
      </c>
      <c r="B351" s="48">
        <f>'Adani Enterprises'!B351</f>
        <v>0</v>
      </c>
      <c r="C351" s="48">
        <f>'Adani Enterprises'!C351</f>
        <v>0</v>
      </c>
      <c r="D351" s="48">
        <f>'Adani Enterprises'!D351</f>
        <v>0</v>
      </c>
      <c r="E351" s="48">
        <f>'Adani Enterprises'!E351</f>
        <v>0</v>
      </c>
      <c r="F351" s="48">
        <f>'Adani Enterprises'!F351</f>
        <v>0</v>
      </c>
      <c r="G351" s="48">
        <f>'Adani Enterprises'!G351</f>
        <v>0</v>
      </c>
      <c r="H351" s="48">
        <f>'Adani Enterprises'!H351</f>
        <v>0</v>
      </c>
      <c r="I351" s="48">
        <f>'Adani Enterprises'!I351</f>
        <v>0</v>
      </c>
      <c r="J351" s="48">
        <f>'Adani Enterprises'!J351</f>
        <v>0</v>
      </c>
      <c r="K351" s="48">
        <f>'Adani Enterprises'!K351</f>
        <v>0</v>
      </c>
      <c r="L351" s="48">
        <f>'Adani Enterprises'!L351</f>
        <v>0</v>
      </c>
      <c r="M351" s="48">
        <f>'Adani Enterprises'!M351</f>
        <v>0</v>
      </c>
      <c r="N351" s="48">
        <f>'Adani Enterprises'!N351</f>
        <v>0</v>
      </c>
      <c r="O351" s="48">
        <f>'Adani Enterprises'!O351</f>
        <v>0</v>
      </c>
      <c r="P351" s="48">
        <f>'Adani Enterprises'!P351</f>
        <v>0</v>
      </c>
      <c r="Q351" s="48">
        <f>'Adani Enterprises'!Q351</f>
        <v>0</v>
      </c>
      <c r="R351" s="48">
        <f>'Adani Enterprises'!R351</f>
        <v>0</v>
      </c>
      <c r="S351" s="48">
        <f>'Adani Enterprises'!S351</f>
        <v>0</v>
      </c>
      <c r="T351" s="48">
        <f>'Adani Enterprises'!T351</f>
        <v>0</v>
      </c>
      <c r="U351" s="48">
        <f>'Adani Enterprises'!U351</f>
        <v>0</v>
      </c>
      <c r="V351" s="48">
        <f>'Adani Enterprises'!V351</f>
        <v>0</v>
      </c>
      <c r="W351" s="48">
        <f>'Adani Enterprises'!W351</f>
        <v>0</v>
      </c>
      <c r="X351" s="48">
        <f>'Adani Enterprises'!X351</f>
        <v>0</v>
      </c>
      <c r="Y351" s="48">
        <f>'Adani Enterprises'!Y351</f>
        <v>0</v>
      </c>
      <c r="Z351" s="48">
        <f>'Adani Enterprises'!Z351</f>
        <v>0</v>
      </c>
      <c r="AA351" s="48">
        <f>'Adani Enterprises'!AA351</f>
        <v>0</v>
      </c>
      <c r="AB351" s="48">
        <f>'Adani Enterprises'!AB351</f>
        <v>0</v>
      </c>
      <c r="AC351" s="48">
        <f>'Adani Enterprises'!AC351</f>
        <v>0</v>
      </c>
      <c r="AD351" s="48">
        <f>'Adani Enterprises'!AD351</f>
        <v>0</v>
      </c>
      <c r="AE351" s="48">
        <f>'Adani Enterprises'!AE351</f>
        <v>0</v>
      </c>
      <c r="AF351" s="48">
        <f>'Adani Enterprises'!AF351</f>
        <v>0</v>
      </c>
      <c r="AG351" s="48">
        <f>'Adani Enterprises'!AG351</f>
        <v>0</v>
      </c>
      <c r="AH351" s="48">
        <f>'Adani Enterprises'!AH351</f>
        <v>0</v>
      </c>
      <c r="AI351" s="48">
        <f>'Adani Enterprises'!AI351</f>
        <v>0</v>
      </c>
      <c r="AJ351" s="48">
        <f>'Adani Enterprises'!AJ351</f>
        <v>0</v>
      </c>
      <c r="AK351" s="48">
        <f>'Adani Enterprises'!AK351</f>
        <v>0</v>
      </c>
      <c r="AL351" s="48">
        <f>'Adani Enterprises'!AL351</f>
        <v>0</v>
      </c>
    </row>
    <row r="352" customHeight="1" spans="1:38">
      <c r="A352" s="48">
        <f>'Adani Enterprises'!A352</f>
        <v>0</v>
      </c>
      <c r="B352" s="48">
        <f>'Adani Enterprises'!B352</f>
        <v>0</v>
      </c>
      <c r="C352" s="48">
        <f>'Adani Enterprises'!C352</f>
        <v>0</v>
      </c>
      <c r="D352" s="48">
        <f>'Adani Enterprises'!D352</f>
        <v>0</v>
      </c>
      <c r="E352" s="48">
        <f>'Adani Enterprises'!E352</f>
        <v>0</v>
      </c>
      <c r="F352" s="48">
        <f>'Adani Enterprises'!F352</f>
        <v>0</v>
      </c>
      <c r="G352" s="48">
        <f>'Adani Enterprises'!G352</f>
        <v>0</v>
      </c>
      <c r="H352" s="48">
        <f>'Adani Enterprises'!H352</f>
        <v>0</v>
      </c>
      <c r="I352" s="48">
        <f>'Adani Enterprises'!I352</f>
        <v>0</v>
      </c>
      <c r="J352" s="48">
        <f>'Adani Enterprises'!J352</f>
        <v>0</v>
      </c>
      <c r="K352" s="48">
        <f>'Adani Enterprises'!K352</f>
        <v>0</v>
      </c>
      <c r="L352" s="48">
        <f>'Adani Enterprises'!L352</f>
        <v>0</v>
      </c>
      <c r="M352" s="48">
        <f>'Adani Enterprises'!M352</f>
        <v>0</v>
      </c>
      <c r="N352" s="48">
        <f>'Adani Enterprises'!N352</f>
        <v>0</v>
      </c>
      <c r="O352" s="48">
        <f>'Adani Enterprises'!O352</f>
        <v>0</v>
      </c>
      <c r="P352" s="48">
        <f>'Adani Enterprises'!P352</f>
        <v>0</v>
      </c>
      <c r="Q352" s="48">
        <f>'Adani Enterprises'!Q352</f>
        <v>0</v>
      </c>
      <c r="R352" s="48">
        <f>'Adani Enterprises'!R352</f>
        <v>0</v>
      </c>
      <c r="S352" s="48">
        <f>'Adani Enterprises'!S352</f>
        <v>0</v>
      </c>
      <c r="T352" s="48">
        <f>'Adani Enterprises'!T352</f>
        <v>0</v>
      </c>
      <c r="U352" s="48">
        <f>'Adani Enterprises'!U352</f>
        <v>0</v>
      </c>
      <c r="V352" s="48">
        <f>'Adani Enterprises'!V352</f>
        <v>0</v>
      </c>
      <c r="W352" s="48">
        <f>'Adani Enterprises'!W352</f>
        <v>0</v>
      </c>
      <c r="X352" s="48">
        <f>'Adani Enterprises'!X352</f>
        <v>0</v>
      </c>
      <c r="Y352" s="48">
        <f>'Adani Enterprises'!Y352</f>
        <v>0</v>
      </c>
      <c r="Z352" s="48">
        <f>'Adani Enterprises'!Z352</f>
        <v>0</v>
      </c>
      <c r="AA352" s="48">
        <f>'Adani Enterprises'!AA352</f>
        <v>0</v>
      </c>
      <c r="AB352" s="48">
        <f>'Adani Enterprises'!AB352</f>
        <v>0</v>
      </c>
      <c r="AC352" s="48">
        <f>'Adani Enterprises'!AC352</f>
        <v>0</v>
      </c>
      <c r="AD352" s="48">
        <f>'Adani Enterprises'!AD352</f>
        <v>0</v>
      </c>
      <c r="AE352" s="48">
        <f>'Adani Enterprises'!AE352</f>
        <v>0</v>
      </c>
      <c r="AF352" s="48">
        <f>'Adani Enterprises'!AF352</f>
        <v>0</v>
      </c>
      <c r="AG352" s="48">
        <f>'Adani Enterprises'!AG352</f>
        <v>0</v>
      </c>
      <c r="AH352" s="48">
        <f>'Adani Enterprises'!AH352</f>
        <v>0</v>
      </c>
      <c r="AI352" s="48">
        <f>'Adani Enterprises'!AI352</f>
        <v>0</v>
      </c>
      <c r="AJ352" s="48">
        <f>'Adani Enterprises'!AJ352</f>
        <v>0</v>
      </c>
      <c r="AK352" s="48">
        <f>'Adani Enterprises'!AK352</f>
        <v>0</v>
      </c>
      <c r="AL352" s="48">
        <f>'Adani Enterprises'!AL352</f>
        <v>0</v>
      </c>
    </row>
    <row r="353" customHeight="1" spans="1:38">
      <c r="A353" s="48">
        <f>'Adani Enterprises'!A353</f>
        <v>0</v>
      </c>
      <c r="B353" s="48">
        <f>'Adani Enterprises'!B353</f>
        <v>0</v>
      </c>
      <c r="C353" s="48">
        <f>'Adani Enterprises'!C353</f>
        <v>0</v>
      </c>
      <c r="D353" s="48">
        <f>'Adani Enterprises'!D353</f>
        <v>0</v>
      </c>
      <c r="E353" s="48">
        <f>'Adani Enterprises'!E353</f>
        <v>0</v>
      </c>
      <c r="F353" s="48">
        <f>'Adani Enterprises'!F353</f>
        <v>0</v>
      </c>
      <c r="G353" s="48">
        <f>'Adani Enterprises'!G353</f>
        <v>0</v>
      </c>
      <c r="H353" s="48">
        <f>'Adani Enterprises'!H353</f>
        <v>0</v>
      </c>
      <c r="I353" s="48">
        <f>'Adani Enterprises'!I353</f>
        <v>0</v>
      </c>
      <c r="J353" s="48">
        <f>'Adani Enterprises'!J353</f>
        <v>0</v>
      </c>
      <c r="K353" s="48">
        <f>'Adani Enterprises'!K353</f>
        <v>0</v>
      </c>
      <c r="L353" s="48">
        <f>'Adani Enterprises'!L353</f>
        <v>0</v>
      </c>
      <c r="M353" s="48">
        <f>'Adani Enterprises'!M353</f>
        <v>0</v>
      </c>
      <c r="N353" s="48">
        <f>'Adani Enterprises'!N353</f>
        <v>0</v>
      </c>
      <c r="O353" s="48">
        <f>'Adani Enterprises'!O353</f>
        <v>0</v>
      </c>
      <c r="P353" s="48">
        <f>'Adani Enterprises'!P353</f>
        <v>0</v>
      </c>
      <c r="Q353" s="48">
        <f>'Adani Enterprises'!Q353</f>
        <v>0</v>
      </c>
      <c r="R353" s="48">
        <f>'Adani Enterprises'!R353</f>
        <v>0</v>
      </c>
      <c r="S353" s="48">
        <f>'Adani Enterprises'!S353</f>
        <v>0</v>
      </c>
      <c r="T353" s="48">
        <f>'Adani Enterprises'!T353</f>
        <v>0</v>
      </c>
      <c r="U353" s="48">
        <f>'Adani Enterprises'!U353</f>
        <v>0</v>
      </c>
      <c r="V353" s="48">
        <f>'Adani Enterprises'!V353</f>
        <v>0</v>
      </c>
      <c r="W353" s="48">
        <f>'Adani Enterprises'!W353</f>
        <v>0</v>
      </c>
      <c r="X353" s="48">
        <f>'Adani Enterprises'!X353</f>
        <v>0</v>
      </c>
      <c r="Y353" s="48">
        <f>'Adani Enterprises'!Y353</f>
        <v>0</v>
      </c>
      <c r="Z353" s="48">
        <f>'Adani Enterprises'!Z353</f>
        <v>0</v>
      </c>
      <c r="AA353" s="48">
        <f>'Adani Enterprises'!AA353</f>
        <v>0</v>
      </c>
      <c r="AB353" s="48">
        <f>'Adani Enterprises'!AB353</f>
        <v>0</v>
      </c>
      <c r="AC353" s="48">
        <f>'Adani Enterprises'!AC353</f>
        <v>0</v>
      </c>
      <c r="AD353" s="48">
        <f>'Adani Enterprises'!AD353</f>
        <v>0</v>
      </c>
      <c r="AE353" s="48">
        <f>'Adani Enterprises'!AE353</f>
        <v>0</v>
      </c>
      <c r="AF353" s="48">
        <f>'Adani Enterprises'!AF353</f>
        <v>0</v>
      </c>
      <c r="AG353" s="48">
        <f>'Adani Enterprises'!AG353</f>
        <v>0</v>
      </c>
      <c r="AH353" s="48">
        <f>'Adani Enterprises'!AH353</f>
        <v>0</v>
      </c>
      <c r="AI353" s="48">
        <f>'Adani Enterprises'!AI353</f>
        <v>0</v>
      </c>
      <c r="AJ353" s="48">
        <f>'Adani Enterprises'!AJ353</f>
        <v>0</v>
      </c>
      <c r="AK353" s="48">
        <f>'Adani Enterprises'!AK353</f>
        <v>0</v>
      </c>
      <c r="AL353" s="48">
        <f>'Adani Enterprises'!AL353</f>
        <v>0</v>
      </c>
    </row>
    <row r="354" customHeight="1" spans="1:38">
      <c r="A354" s="48">
        <f>'Adani Enterprises'!A354</f>
        <v>0</v>
      </c>
      <c r="B354" s="48">
        <f>'Adani Enterprises'!B354</f>
        <v>0</v>
      </c>
      <c r="C354" s="48">
        <f>'Adani Enterprises'!C354</f>
        <v>0</v>
      </c>
      <c r="D354" s="48">
        <f>'Adani Enterprises'!D354</f>
        <v>0</v>
      </c>
      <c r="E354" s="48">
        <f>'Adani Enterprises'!E354</f>
        <v>0</v>
      </c>
      <c r="F354" s="48">
        <f>'Adani Enterprises'!F354</f>
        <v>0</v>
      </c>
      <c r="G354" s="48">
        <f>'Adani Enterprises'!G354</f>
        <v>0</v>
      </c>
      <c r="H354" s="48">
        <f>'Adani Enterprises'!H354</f>
        <v>0</v>
      </c>
      <c r="I354" s="48">
        <f>'Adani Enterprises'!I354</f>
        <v>0</v>
      </c>
      <c r="J354" s="48">
        <f>'Adani Enterprises'!J354</f>
        <v>0</v>
      </c>
      <c r="K354" s="48">
        <f>'Adani Enterprises'!K354</f>
        <v>0</v>
      </c>
      <c r="L354" s="48">
        <f>'Adani Enterprises'!L354</f>
        <v>0</v>
      </c>
      <c r="M354" s="48">
        <f>'Adani Enterprises'!M354</f>
        <v>0</v>
      </c>
      <c r="N354" s="48">
        <f>'Adani Enterprises'!N354</f>
        <v>0</v>
      </c>
      <c r="O354" s="48">
        <f>'Adani Enterprises'!O354</f>
        <v>0</v>
      </c>
      <c r="P354" s="48">
        <f>'Adani Enterprises'!P354</f>
        <v>0</v>
      </c>
      <c r="Q354" s="48">
        <f>'Adani Enterprises'!Q354</f>
        <v>0</v>
      </c>
      <c r="R354" s="48">
        <f>'Adani Enterprises'!R354</f>
        <v>0</v>
      </c>
      <c r="S354" s="48">
        <f>'Adani Enterprises'!S354</f>
        <v>0</v>
      </c>
      <c r="T354" s="48">
        <f>'Adani Enterprises'!T354</f>
        <v>0</v>
      </c>
      <c r="U354" s="48">
        <f>'Adani Enterprises'!U354</f>
        <v>0</v>
      </c>
      <c r="V354" s="48">
        <f>'Adani Enterprises'!V354</f>
        <v>0</v>
      </c>
      <c r="W354" s="48">
        <f>'Adani Enterprises'!W354</f>
        <v>0</v>
      </c>
      <c r="X354" s="48">
        <f>'Adani Enterprises'!X354</f>
        <v>0</v>
      </c>
      <c r="Y354" s="48">
        <f>'Adani Enterprises'!Y354</f>
        <v>0</v>
      </c>
      <c r="Z354" s="48">
        <f>'Adani Enterprises'!Z354</f>
        <v>0</v>
      </c>
      <c r="AA354" s="48">
        <f>'Adani Enterprises'!AA354</f>
        <v>0</v>
      </c>
      <c r="AB354" s="48">
        <f>'Adani Enterprises'!AB354</f>
        <v>0</v>
      </c>
      <c r="AC354" s="48">
        <f>'Adani Enterprises'!AC354</f>
        <v>0</v>
      </c>
      <c r="AD354" s="48">
        <f>'Adani Enterprises'!AD354</f>
        <v>0</v>
      </c>
      <c r="AE354" s="48">
        <f>'Adani Enterprises'!AE354</f>
        <v>0</v>
      </c>
      <c r="AF354" s="48">
        <f>'Adani Enterprises'!AF354</f>
        <v>0</v>
      </c>
      <c r="AG354" s="48">
        <f>'Adani Enterprises'!AG354</f>
        <v>0</v>
      </c>
      <c r="AH354" s="48">
        <f>'Adani Enterprises'!AH354</f>
        <v>0</v>
      </c>
      <c r="AI354" s="48">
        <f>'Adani Enterprises'!AI354</f>
        <v>0</v>
      </c>
      <c r="AJ354" s="48">
        <f>'Adani Enterprises'!AJ354</f>
        <v>0</v>
      </c>
      <c r="AK354" s="48">
        <f>'Adani Enterprises'!AK354</f>
        <v>0</v>
      </c>
      <c r="AL354" s="48">
        <f>'Adani Enterprises'!AL354</f>
        <v>0</v>
      </c>
    </row>
    <row r="355" customHeight="1" spans="1:38">
      <c r="A355" s="48">
        <f>'Adani Enterprises'!A355</f>
        <v>0</v>
      </c>
      <c r="B355" s="48">
        <f>'Adani Enterprises'!B355</f>
        <v>0</v>
      </c>
      <c r="C355" s="48">
        <f>'Adani Enterprises'!C355</f>
        <v>0</v>
      </c>
      <c r="D355" s="48">
        <f>'Adani Enterprises'!D355</f>
        <v>0</v>
      </c>
      <c r="E355" s="48">
        <f>'Adani Enterprises'!E355</f>
        <v>0</v>
      </c>
      <c r="F355" s="48">
        <f>'Adani Enterprises'!F355</f>
        <v>0</v>
      </c>
      <c r="G355" s="48">
        <f>'Adani Enterprises'!G355</f>
        <v>0</v>
      </c>
      <c r="H355" s="48">
        <f>'Adani Enterprises'!H355</f>
        <v>0</v>
      </c>
      <c r="I355" s="48">
        <f>'Adani Enterprises'!I355</f>
        <v>0</v>
      </c>
      <c r="J355" s="48">
        <f>'Adani Enterprises'!J355</f>
        <v>0</v>
      </c>
      <c r="K355" s="48">
        <f>'Adani Enterprises'!K355</f>
        <v>0</v>
      </c>
      <c r="L355" s="48">
        <f>'Adani Enterprises'!L355</f>
        <v>0</v>
      </c>
      <c r="M355" s="48">
        <f>'Adani Enterprises'!M355</f>
        <v>0</v>
      </c>
      <c r="N355" s="48">
        <f>'Adani Enterprises'!N355</f>
        <v>0</v>
      </c>
      <c r="O355" s="48">
        <f>'Adani Enterprises'!O355</f>
        <v>0</v>
      </c>
      <c r="P355" s="48">
        <f>'Adani Enterprises'!P355</f>
        <v>0</v>
      </c>
      <c r="Q355" s="48">
        <f>'Adani Enterprises'!Q355</f>
        <v>0</v>
      </c>
      <c r="R355" s="48">
        <f>'Adani Enterprises'!R355</f>
        <v>0</v>
      </c>
      <c r="S355" s="48">
        <f>'Adani Enterprises'!S355</f>
        <v>0</v>
      </c>
      <c r="T355" s="48">
        <f>'Adani Enterprises'!T355</f>
        <v>0</v>
      </c>
      <c r="U355" s="48">
        <f>'Adani Enterprises'!U355</f>
        <v>0</v>
      </c>
      <c r="V355" s="48">
        <f>'Adani Enterprises'!V355</f>
        <v>0</v>
      </c>
      <c r="W355" s="48">
        <f>'Adani Enterprises'!W355</f>
        <v>0</v>
      </c>
      <c r="X355" s="48">
        <f>'Adani Enterprises'!X355</f>
        <v>0</v>
      </c>
      <c r="Y355" s="48">
        <f>'Adani Enterprises'!Y355</f>
        <v>0</v>
      </c>
      <c r="Z355" s="48">
        <f>'Adani Enterprises'!Z355</f>
        <v>0</v>
      </c>
      <c r="AA355" s="48">
        <f>'Adani Enterprises'!AA355</f>
        <v>0</v>
      </c>
      <c r="AB355" s="48">
        <f>'Adani Enterprises'!AB355</f>
        <v>0</v>
      </c>
      <c r="AC355" s="48">
        <f>'Adani Enterprises'!AC355</f>
        <v>0</v>
      </c>
      <c r="AD355" s="48">
        <f>'Adani Enterprises'!AD355</f>
        <v>0</v>
      </c>
      <c r="AE355" s="48">
        <f>'Adani Enterprises'!AE355</f>
        <v>0</v>
      </c>
      <c r="AF355" s="48">
        <f>'Adani Enterprises'!AF355</f>
        <v>0</v>
      </c>
      <c r="AG355" s="48">
        <f>'Adani Enterprises'!AG355</f>
        <v>0</v>
      </c>
      <c r="AH355" s="48">
        <f>'Adani Enterprises'!AH355</f>
        <v>0</v>
      </c>
      <c r="AI355" s="48">
        <f>'Adani Enterprises'!AI355</f>
        <v>0</v>
      </c>
      <c r="AJ355" s="48">
        <f>'Adani Enterprises'!AJ355</f>
        <v>0</v>
      </c>
      <c r="AK355" s="48">
        <f>'Adani Enterprises'!AK355</f>
        <v>0</v>
      </c>
      <c r="AL355" s="48">
        <f>'Adani Enterprises'!AL355</f>
        <v>0</v>
      </c>
    </row>
    <row r="356" customHeight="1" spans="1:38">
      <c r="A356" s="48">
        <f>'Adani Enterprises'!A356</f>
        <v>0</v>
      </c>
      <c r="B356" s="48">
        <f>'Adani Enterprises'!B356</f>
        <v>0</v>
      </c>
      <c r="C356" s="48">
        <f>'Adani Enterprises'!C356</f>
        <v>0</v>
      </c>
      <c r="D356" s="48">
        <f>'Adani Enterprises'!D356</f>
        <v>0</v>
      </c>
      <c r="E356" s="48">
        <f>'Adani Enterprises'!E356</f>
        <v>0</v>
      </c>
      <c r="F356" s="48">
        <f>'Adani Enterprises'!F356</f>
        <v>0</v>
      </c>
      <c r="G356" s="48">
        <f>'Adani Enterprises'!G356</f>
        <v>0</v>
      </c>
      <c r="H356" s="48">
        <f>'Adani Enterprises'!H356</f>
        <v>0</v>
      </c>
      <c r="I356" s="48">
        <f>'Adani Enterprises'!I356</f>
        <v>0</v>
      </c>
      <c r="J356" s="48">
        <f>'Adani Enterprises'!J356</f>
        <v>0</v>
      </c>
      <c r="K356" s="48">
        <f>'Adani Enterprises'!K356</f>
        <v>0</v>
      </c>
      <c r="L356" s="48">
        <f>'Adani Enterprises'!L356</f>
        <v>0</v>
      </c>
      <c r="M356" s="48">
        <f>'Adani Enterprises'!M356</f>
        <v>0</v>
      </c>
      <c r="N356" s="48">
        <f>'Adani Enterprises'!N356</f>
        <v>0</v>
      </c>
      <c r="O356" s="48">
        <f>'Adani Enterprises'!O356</f>
        <v>0</v>
      </c>
      <c r="P356" s="48">
        <f>'Adani Enterprises'!P356</f>
        <v>0</v>
      </c>
      <c r="Q356" s="48">
        <f>'Adani Enterprises'!Q356</f>
        <v>0</v>
      </c>
      <c r="R356" s="48">
        <f>'Adani Enterprises'!R356</f>
        <v>0</v>
      </c>
      <c r="S356" s="48">
        <f>'Adani Enterprises'!S356</f>
        <v>0</v>
      </c>
      <c r="T356" s="48">
        <f>'Adani Enterprises'!T356</f>
        <v>0</v>
      </c>
      <c r="U356" s="48">
        <f>'Adani Enterprises'!U356</f>
        <v>0</v>
      </c>
      <c r="V356" s="48">
        <f>'Adani Enterprises'!V356</f>
        <v>0</v>
      </c>
      <c r="W356" s="48">
        <f>'Adani Enterprises'!W356</f>
        <v>0</v>
      </c>
      <c r="X356" s="48">
        <f>'Adani Enterprises'!X356</f>
        <v>0</v>
      </c>
      <c r="Y356" s="48">
        <f>'Adani Enterprises'!Y356</f>
        <v>0</v>
      </c>
      <c r="Z356" s="48">
        <f>'Adani Enterprises'!Z356</f>
        <v>0</v>
      </c>
      <c r="AA356" s="48">
        <f>'Adani Enterprises'!AA356</f>
        <v>0</v>
      </c>
      <c r="AB356" s="48">
        <f>'Adani Enterprises'!AB356</f>
        <v>0</v>
      </c>
      <c r="AC356" s="48">
        <f>'Adani Enterprises'!AC356</f>
        <v>0</v>
      </c>
      <c r="AD356" s="48">
        <f>'Adani Enterprises'!AD356</f>
        <v>0</v>
      </c>
      <c r="AE356" s="48">
        <f>'Adani Enterprises'!AE356</f>
        <v>0</v>
      </c>
      <c r="AF356" s="48">
        <f>'Adani Enterprises'!AF356</f>
        <v>0</v>
      </c>
      <c r="AG356" s="48">
        <f>'Adani Enterprises'!AG356</f>
        <v>0</v>
      </c>
      <c r="AH356" s="48">
        <f>'Adani Enterprises'!AH356</f>
        <v>0</v>
      </c>
      <c r="AI356" s="48">
        <f>'Adani Enterprises'!AI356</f>
        <v>0</v>
      </c>
      <c r="AJ356" s="48">
        <f>'Adani Enterprises'!AJ356</f>
        <v>0</v>
      </c>
      <c r="AK356" s="48">
        <f>'Adani Enterprises'!AK356</f>
        <v>0</v>
      </c>
      <c r="AL356" s="48">
        <f>'Adani Enterprises'!AL356</f>
        <v>0</v>
      </c>
    </row>
    <row r="357" customHeight="1" spans="1:38">
      <c r="A357" s="48">
        <f>'Adani Enterprises'!A357</f>
        <v>0</v>
      </c>
      <c r="B357" s="48">
        <f>'Adani Enterprises'!B357</f>
        <v>0</v>
      </c>
      <c r="C357" s="48">
        <f>'Adani Enterprises'!C357</f>
        <v>0</v>
      </c>
      <c r="D357" s="48">
        <f>'Adani Enterprises'!D357</f>
        <v>0</v>
      </c>
      <c r="E357" s="48">
        <f>'Adani Enterprises'!E357</f>
        <v>0</v>
      </c>
      <c r="F357" s="48">
        <f>'Adani Enterprises'!F357</f>
        <v>0</v>
      </c>
      <c r="G357" s="48">
        <f>'Adani Enterprises'!G357</f>
        <v>0</v>
      </c>
      <c r="H357" s="48">
        <f>'Adani Enterprises'!H357</f>
        <v>0</v>
      </c>
      <c r="I357" s="48">
        <f>'Adani Enterprises'!I357</f>
        <v>0</v>
      </c>
      <c r="J357" s="48">
        <f>'Adani Enterprises'!J357</f>
        <v>0</v>
      </c>
      <c r="K357" s="48">
        <f>'Adani Enterprises'!K357</f>
        <v>0</v>
      </c>
      <c r="L357" s="48">
        <f>'Adani Enterprises'!L357</f>
        <v>0</v>
      </c>
      <c r="M357" s="48">
        <f>'Adani Enterprises'!M357</f>
        <v>0</v>
      </c>
      <c r="N357" s="48">
        <f>'Adani Enterprises'!N357</f>
        <v>0</v>
      </c>
      <c r="O357" s="48">
        <f>'Adani Enterprises'!O357</f>
        <v>0</v>
      </c>
      <c r="P357" s="48">
        <f>'Adani Enterprises'!P357</f>
        <v>0</v>
      </c>
      <c r="Q357" s="48">
        <f>'Adani Enterprises'!Q357</f>
        <v>0</v>
      </c>
      <c r="R357" s="48">
        <f>'Adani Enterprises'!R357</f>
        <v>0</v>
      </c>
      <c r="S357" s="48">
        <f>'Adani Enterprises'!S357</f>
        <v>0</v>
      </c>
      <c r="T357" s="48">
        <f>'Adani Enterprises'!T357</f>
        <v>0</v>
      </c>
      <c r="U357" s="48">
        <f>'Adani Enterprises'!U357</f>
        <v>0</v>
      </c>
      <c r="V357" s="48">
        <f>'Adani Enterprises'!V357</f>
        <v>0</v>
      </c>
      <c r="W357" s="48">
        <f>'Adani Enterprises'!W357</f>
        <v>0</v>
      </c>
      <c r="X357" s="48">
        <f>'Adani Enterprises'!X357</f>
        <v>0</v>
      </c>
      <c r="Y357" s="48">
        <f>'Adani Enterprises'!Y357</f>
        <v>0</v>
      </c>
      <c r="Z357" s="48">
        <f>'Adani Enterprises'!Z357</f>
        <v>0</v>
      </c>
      <c r="AA357" s="48">
        <f>'Adani Enterprises'!AA357</f>
        <v>0</v>
      </c>
      <c r="AB357" s="48">
        <f>'Adani Enterprises'!AB357</f>
        <v>0</v>
      </c>
      <c r="AC357" s="48">
        <f>'Adani Enterprises'!AC357</f>
        <v>0</v>
      </c>
      <c r="AD357" s="48">
        <f>'Adani Enterprises'!AD357</f>
        <v>0</v>
      </c>
      <c r="AE357" s="48">
        <f>'Adani Enterprises'!AE357</f>
        <v>0</v>
      </c>
      <c r="AF357" s="48">
        <f>'Adani Enterprises'!AF357</f>
        <v>0</v>
      </c>
      <c r="AG357" s="48">
        <f>'Adani Enterprises'!AG357</f>
        <v>0</v>
      </c>
      <c r="AH357" s="48">
        <f>'Adani Enterprises'!AH357</f>
        <v>0</v>
      </c>
      <c r="AI357" s="48">
        <f>'Adani Enterprises'!AI357</f>
        <v>0</v>
      </c>
      <c r="AJ357" s="48">
        <f>'Adani Enterprises'!AJ357</f>
        <v>0</v>
      </c>
      <c r="AK357" s="48">
        <f>'Adani Enterprises'!AK357</f>
        <v>0</v>
      </c>
      <c r="AL357" s="48">
        <f>'Adani Enterprises'!AL357</f>
        <v>0</v>
      </c>
    </row>
    <row r="358" customHeight="1" spans="1:38">
      <c r="A358" s="48">
        <f>'Adani Enterprises'!A358</f>
        <v>0</v>
      </c>
      <c r="B358" s="48">
        <f>'Adani Enterprises'!B358</f>
        <v>0</v>
      </c>
      <c r="C358" s="48">
        <f>'Adani Enterprises'!C358</f>
        <v>0</v>
      </c>
      <c r="D358" s="48">
        <f>'Adani Enterprises'!D358</f>
        <v>0</v>
      </c>
      <c r="E358" s="48">
        <f>'Adani Enterprises'!E358</f>
        <v>0</v>
      </c>
      <c r="F358" s="48">
        <f>'Adani Enterprises'!F358</f>
        <v>0</v>
      </c>
      <c r="G358" s="48">
        <f>'Adani Enterprises'!G358</f>
        <v>0</v>
      </c>
      <c r="H358" s="48">
        <f>'Adani Enterprises'!H358</f>
        <v>0</v>
      </c>
      <c r="I358" s="48">
        <f>'Adani Enterprises'!I358</f>
        <v>0</v>
      </c>
      <c r="J358" s="48">
        <f>'Adani Enterprises'!J358</f>
        <v>0</v>
      </c>
      <c r="K358" s="48">
        <f>'Adani Enterprises'!K358</f>
        <v>0</v>
      </c>
      <c r="L358" s="48">
        <f>'Adani Enterprises'!L358</f>
        <v>0</v>
      </c>
      <c r="M358" s="48">
        <f>'Adani Enterprises'!M358</f>
        <v>0</v>
      </c>
      <c r="N358" s="48">
        <f>'Adani Enterprises'!N358</f>
        <v>0</v>
      </c>
      <c r="O358" s="48">
        <f>'Adani Enterprises'!O358</f>
        <v>0</v>
      </c>
      <c r="P358" s="48">
        <f>'Adani Enterprises'!P358</f>
        <v>0</v>
      </c>
      <c r="Q358" s="48">
        <f>'Adani Enterprises'!Q358</f>
        <v>0</v>
      </c>
      <c r="R358" s="48">
        <f>'Adani Enterprises'!R358</f>
        <v>0</v>
      </c>
      <c r="S358" s="48">
        <f>'Adani Enterprises'!S358</f>
        <v>0</v>
      </c>
      <c r="T358" s="48">
        <f>'Adani Enterprises'!T358</f>
        <v>0</v>
      </c>
      <c r="U358" s="48">
        <f>'Adani Enterprises'!U358</f>
        <v>0</v>
      </c>
      <c r="V358" s="48">
        <f>'Adani Enterprises'!V358</f>
        <v>0</v>
      </c>
      <c r="W358" s="48">
        <f>'Adani Enterprises'!W358</f>
        <v>0</v>
      </c>
      <c r="X358" s="48">
        <f>'Adani Enterprises'!X358</f>
        <v>0</v>
      </c>
      <c r="Y358" s="48">
        <f>'Adani Enterprises'!Y358</f>
        <v>0</v>
      </c>
      <c r="Z358" s="48">
        <f>'Adani Enterprises'!Z358</f>
        <v>0</v>
      </c>
      <c r="AA358" s="48">
        <f>'Adani Enterprises'!AA358</f>
        <v>0</v>
      </c>
      <c r="AB358" s="48">
        <f>'Adani Enterprises'!AB358</f>
        <v>0</v>
      </c>
      <c r="AC358" s="48">
        <f>'Adani Enterprises'!AC358</f>
        <v>0</v>
      </c>
      <c r="AD358" s="48">
        <f>'Adani Enterprises'!AD358</f>
        <v>0</v>
      </c>
      <c r="AE358" s="48">
        <f>'Adani Enterprises'!AE358</f>
        <v>0</v>
      </c>
      <c r="AF358" s="48">
        <f>'Adani Enterprises'!AF358</f>
        <v>0</v>
      </c>
      <c r="AG358" s="48">
        <f>'Adani Enterprises'!AG358</f>
        <v>0</v>
      </c>
      <c r="AH358" s="48">
        <f>'Adani Enterprises'!AH358</f>
        <v>0</v>
      </c>
      <c r="AI358" s="48">
        <f>'Adani Enterprises'!AI358</f>
        <v>0</v>
      </c>
      <c r="AJ358" s="48">
        <f>'Adani Enterprises'!AJ358</f>
        <v>0</v>
      </c>
      <c r="AK358" s="48">
        <f>'Adani Enterprises'!AK358</f>
        <v>0</v>
      </c>
      <c r="AL358" s="48">
        <f>'Adani Enterprises'!AL358</f>
        <v>0</v>
      </c>
    </row>
    <row r="359" customHeight="1" spans="1:38">
      <c r="A359" s="48">
        <f>'Adani Enterprises'!A359</f>
        <v>0</v>
      </c>
      <c r="B359" s="48">
        <f>'Adani Enterprises'!B359</f>
        <v>0</v>
      </c>
      <c r="C359" s="48">
        <f>'Adani Enterprises'!C359</f>
        <v>0</v>
      </c>
      <c r="D359" s="48">
        <f>'Adani Enterprises'!D359</f>
        <v>0</v>
      </c>
      <c r="E359" s="48">
        <f>'Adani Enterprises'!E359</f>
        <v>0</v>
      </c>
      <c r="F359" s="48">
        <f>'Adani Enterprises'!F359</f>
        <v>0</v>
      </c>
      <c r="G359" s="48">
        <f>'Adani Enterprises'!G359</f>
        <v>0</v>
      </c>
      <c r="H359" s="48">
        <f>'Adani Enterprises'!H359</f>
        <v>0</v>
      </c>
      <c r="I359" s="48">
        <f>'Adani Enterprises'!I359</f>
        <v>0</v>
      </c>
      <c r="J359" s="48">
        <f>'Adani Enterprises'!J359</f>
        <v>0</v>
      </c>
      <c r="K359" s="48">
        <f>'Adani Enterprises'!K359</f>
        <v>0</v>
      </c>
      <c r="L359" s="48">
        <f>'Adani Enterprises'!L359</f>
        <v>0</v>
      </c>
      <c r="M359" s="48">
        <f>'Adani Enterprises'!M359</f>
        <v>0</v>
      </c>
      <c r="N359" s="48">
        <f>'Adani Enterprises'!N359</f>
        <v>0</v>
      </c>
      <c r="O359" s="48">
        <f>'Adani Enterprises'!O359</f>
        <v>0</v>
      </c>
      <c r="P359" s="48">
        <f>'Adani Enterprises'!P359</f>
        <v>0</v>
      </c>
      <c r="Q359" s="48">
        <f>'Adani Enterprises'!Q359</f>
        <v>0</v>
      </c>
      <c r="R359" s="48">
        <f>'Adani Enterprises'!R359</f>
        <v>0</v>
      </c>
      <c r="S359" s="48">
        <f>'Adani Enterprises'!S359</f>
        <v>0</v>
      </c>
      <c r="T359" s="48">
        <f>'Adani Enterprises'!T359</f>
        <v>0</v>
      </c>
      <c r="U359" s="48">
        <f>'Adani Enterprises'!U359</f>
        <v>0</v>
      </c>
      <c r="V359" s="48">
        <f>'Adani Enterprises'!V359</f>
        <v>0</v>
      </c>
      <c r="W359" s="48">
        <f>'Adani Enterprises'!W359</f>
        <v>0</v>
      </c>
      <c r="X359" s="48">
        <f>'Adani Enterprises'!X359</f>
        <v>0</v>
      </c>
      <c r="Y359" s="48">
        <f>'Adani Enterprises'!Y359</f>
        <v>0</v>
      </c>
      <c r="Z359" s="48">
        <f>'Adani Enterprises'!Z359</f>
        <v>0</v>
      </c>
      <c r="AA359" s="48">
        <f>'Adani Enterprises'!AA359</f>
        <v>0</v>
      </c>
      <c r="AB359" s="48">
        <f>'Adani Enterprises'!AB359</f>
        <v>0</v>
      </c>
      <c r="AC359" s="48">
        <f>'Adani Enterprises'!AC359</f>
        <v>0</v>
      </c>
      <c r="AD359" s="48">
        <f>'Adani Enterprises'!AD359</f>
        <v>0</v>
      </c>
      <c r="AE359" s="48">
        <f>'Adani Enterprises'!AE359</f>
        <v>0</v>
      </c>
      <c r="AF359" s="48">
        <f>'Adani Enterprises'!AF359</f>
        <v>0</v>
      </c>
      <c r="AG359" s="48">
        <f>'Adani Enterprises'!AG359</f>
        <v>0</v>
      </c>
      <c r="AH359" s="48">
        <f>'Adani Enterprises'!AH359</f>
        <v>0</v>
      </c>
      <c r="AI359" s="48">
        <f>'Adani Enterprises'!AI359</f>
        <v>0</v>
      </c>
      <c r="AJ359" s="48">
        <f>'Adani Enterprises'!AJ359</f>
        <v>0</v>
      </c>
      <c r="AK359" s="48">
        <f>'Adani Enterprises'!AK359</f>
        <v>0</v>
      </c>
      <c r="AL359" s="48">
        <f>'Adani Enterprises'!AL359</f>
        <v>0</v>
      </c>
    </row>
    <row r="360" customHeight="1" spans="1:38">
      <c r="A360" s="48">
        <f>'Adani Enterprises'!A360</f>
        <v>0</v>
      </c>
      <c r="B360" s="48">
        <f>'Adani Enterprises'!B360</f>
        <v>0</v>
      </c>
      <c r="C360" s="48">
        <f>'Adani Enterprises'!C360</f>
        <v>0</v>
      </c>
      <c r="D360" s="48">
        <f>'Adani Enterprises'!D360</f>
        <v>0</v>
      </c>
      <c r="E360" s="48">
        <f>'Adani Enterprises'!E360</f>
        <v>0</v>
      </c>
      <c r="F360" s="48">
        <f>'Adani Enterprises'!F360</f>
        <v>0</v>
      </c>
      <c r="G360" s="48">
        <f>'Adani Enterprises'!G360</f>
        <v>0</v>
      </c>
      <c r="H360" s="48">
        <f>'Adani Enterprises'!H360</f>
        <v>0</v>
      </c>
      <c r="I360" s="48">
        <f>'Adani Enterprises'!I360</f>
        <v>0</v>
      </c>
      <c r="J360" s="48">
        <f>'Adani Enterprises'!J360</f>
        <v>0</v>
      </c>
      <c r="K360" s="48">
        <f>'Adani Enterprises'!K360</f>
        <v>0</v>
      </c>
      <c r="L360" s="48">
        <f>'Adani Enterprises'!L360</f>
        <v>0</v>
      </c>
      <c r="M360" s="48">
        <f>'Adani Enterprises'!M360</f>
        <v>0</v>
      </c>
      <c r="N360" s="48">
        <f>'Adani Enterprises'!N360</f>
        <v>0</v>
      </c>
      <c r="O360" s="48">
        <f>'Adani Enterprises'!O360</f>
        <v>0</v>
      </c>
      <c r="P360" s="48">
        <f>'Adani Enterprises'!P360</f>
        <v>0</v>
      </c>
      <c r="Q360" s="48">
        <f>'Adani Enterprises'!Q360</f>
        <v>0</v>
      </c>
      <c r="R360" s="48">
        <f>'Adani Enterprises'!R360</f>
        <v>0</v>
      </c>
      <c r="S360" s="48">
        <f>'Adani Enterprises'!S360</f>
        <v>0</v>
      </c>
      <c r="T360" s="48">
        <f>'Adani Enterprises'!T360</f>
        <v>0</v>
      </c>
      <c r="U360" s="48">
        <f>'Adani Enterprises'!U360</f>
        <v>0</v>
      </c>
      <c r="V360" s="48">
        <f>'Adani Enterprises'!V360</f>
        <v>0</v>
      </c>
      <c r="W360" s="48">
        <f>'Adani Enterprises'!W360</f>
        <v>0</v>
      </c>
      <c r="X360" s="48">
        <f>'Adani Enterprises'!X360</f>
        <v>0</v>
      </c>
      <c r="Y360" s="48">
        <f>'Adani Enterprises'!Y360</f>
        <v>0</v>
      </c>
      <c r="Z360" s="48">
        <f>'Adani Enterprises'!Z360</f>
        <v>0</v>
      </c>
      <c r="AA360" s="48">
        <f>'Adani Enterprises'!AA360</f>
        <v>0</v>
      </c>
      <c r="AB360" s="48">
        <f>'Adani Enterprises'!AB360</f>
        <v>0</v>
      </c>
      <c r="AC360" s="48">
        <f>'Adani Enterprises'!AC360</f>
        <v>0</v>
      </c>
      <c r="AD360" s="48">
        <f>'Adani Enterprises'!AD360</f>
        <v>0</v>
      </c>
      <c r="AE360" s="48">
        <f>'Adani Enterprises'!AE360</f>
        <v>0</v>
      </c>
      <c r="AF360" s="48">
        <f>'Adani Enterprises'!AF360</f>
        <v>0</v>
      </c>
      <c r="AG360" s="48">
        <f>'Adani Enterprises'!AG360</f>
        <v>0</v>
      </c>
      <c r="AH360" s="48">
        <f>'Adani Enterprises'!AH360</f>
        <v>0</v>
      </c>
      <c r="AI360" s="48">
        <f>'Adani Enterprises'!AI360</f>
        <v>0</v>
      </c>
      <c r="AJ360" s="48">
        <f>'Adani Enterprises'!AJ360</f>
        <v>0</v>
      </c>
      <c r="AK360" s="48">
        <f>'Adani Enterprises'!AK360</f>
        <v>0</v>
      </c>
      <c r="AL360" s="48">
        <f>'Adani Enterprises'!AL360</f>
        <v>0</v>
      </c>
    </row>
    <row r="361" customHeight="1" spans="1:38">
      <c r="A361" s="48">
        <f>'Adani Enterprises'!A361</f>
        <v>0</v>
      </c>
      <c r="B361" s="48">
        <f>'Adani Enterprises'!B361</f>
        <v>0</v>
      </c>
      <c r="C361" s="48">
        <f>'Adani Enterprises'!C361</f>
        <v>0</v>
      </c>
      <c r="D361" s="48">
        <f>'Adani Enterprises'!D361</f>
        <v>0</v>
      </c>
      <c r="E361" s="48">
        <f>'Adani Enterprises'!E361</f>
        <v>0</v>
      </c>
      <c r="F361" s="48">
        <f>'Adani Enterprises'!F361</f>
        <v>0</v>
      </c>
      <c r="G361" s="48">
        <f>'Adani Enterprises'!G361</f>
        <v>0</v>
      </c>
      <c r="H361" s="48">
        <f>'Adani Enterprises'!H361</f>
        <v>0</v>
      </c>
      <c r="I361" s="48">
        <f>'Adani Enterprises'!I361</f>
        <v>0</v>
      </c>
      <c r="J361" s="48">
        <f>'Adani Enterprises'!J361</f>
        <v>0</v>
      </c>
      <c r="K361" s="48">
        <f>'Adani Enterprises'!K361</f>
        <v>0</v>
      </c>
      <c r="L361" s="48">
        <f>'Adani Enterprises'!L361</f>
        <v>0</v>
      </c>
      <c r="M361" s="48">
        <f>'Adani Enterprises'!M361</f>
        <v>0</v>
      </c>
      <c r="N361" s="48">
        <f>'Adani Enterprises'!N361</f>
        <v>0</v>
      </c>
      <c r="O361" s="48">
        <f>'Adani Enterprises'!O361</f>
        <v>0</v>
      </c>
      <c r="P361" s="48">
        <f>'Adani Enterprises'!P361</f>
        <v>0</v>
      </c>
      <c r="Q361" s="48">
        <f>'Adani Enterprises'!Q361</f>
        <v>0</v>
      </c>
      <c r="R361" s="48">
        <f>'Adani Enterprises'!R361</f>
        <v>0</v>
      </c>
      <c r="S361" s="48">
        <f>'Adani Enterprises'!S361</f>
        <v>0</v>
      </c>
      <c r="T361" s="48">
        <f>'Adani Enterprises'!T361</f>
        <v>0</v>
      </c>
      <c r="U361" s="48">
        <f>'Adani Enterprises'!U361</f>
        <v>0</v>
      </c>
      <c r="V361" s="48">
        <f>'Adani Enterprises'!V361</f>
        <v>0</v>
      </c>
      <c r="W361" s="48">
        <f>'Adani Enterprises'!W361</f>
        <v>0</v>
      </c>
      <c r="X361" s="48">
        <f>'Adani Enterprises'!X361</f>
        <v>0</v>
      </c>
      <c r="Y361" s="48">
        <f>'Adani Enterprises'!Y361</f>
        <v>0</v>
      </c>
      <c r="Z361" s="48">
        <f>'Adani Enterprises'!Z361</f>
        <v>0</v>
      </c>
      <c r="AA361" s="48">
        <f>'Adani Enterprises'!AA361</f>
        <v>0</v>
      </c>
      <c r="AB361" s="48">
        <f>'Adani Enterprises'!AB361</f>
        <v>0</v>
      </c>
      <c r="AC361" s="48">
        <f>'Adani Enterprises'!AC361</f>
        <v>0</v>
      </c>
      <c r="AD361" s="48">
        <f>'Adani Enterprises'!AD361</f>
        <v>0</v>
      </c>
      <c r="AE361" s="48">
        <f>'Adani Enterprises'!AE361</f>
        <v>0</v>
      </c>
      <c r="AF361" s="48">
        <f>'Adani Enterprises'!AF361</f>
        <v>0</v>
      </c>
      <c r="AG361" s="48">
        <f>'Adani Enterprises'!AG361</f>
        <v>0</v>
      </c>
      <c r="AH361" s="48">
        <f>'Adani Enterprises'!AH361</f>
        <v>0</v>
      </c>
      <c r="AI361" s="48">
        <f>'Adani Enterprises'!AI361</f>
        <v>0</v>
      </c>
      <c r="AJ361" s="48">
        <f>'Adani Enterprises'!AJ361</f>
        <v>0</v>
      </c>
      <c r="AK361" s="48">
        <f>'Adani Enterprises'!AK361</f>
        <v>0</v>
      </c>
      <c r="AL361" s="48">
        <f>'Adani Enterprises'!AL361</f>
        <v>0</v>
      </c>
    </row>
    <row r="362" customHeight="1" spans="1:38">
      <c r="A362" s="48">
        <f>'Adani Enterprises'!A362</f>
        <v>0</v>
      </c>
      <c r="B362" s="48">
        <f>'Adani Enterprises'!B362</f>
        <v>0</v>
      </c>
      <c r="C362" s="48">
        <f>'Adani Enterprises'!C362</f>
        <v>0</v>
      </c>
      <c r="D362" s="48">
        <f>'Adani Enterprises'!D362</f>
        <v>0</v>
      </c>
      <c r="E362" s="48">
        <f>'Adani Enterprises'!E362</f>
        <v>0</v>
      </c>
      <c r="F362" s="48">
        <f>'Adani Enterprises'!F362</f>
        <v>0</v>
      </c>
      <c r="G362" s="48">
        <f>'Adani Enterprises'!G362</f>
        <v>0</v>
      </c>
      <c r="H362" s="48">
        <f>'Adani Enterprises'!H362</f>
        <v>0</v>
      </c>
      <c r="I362" s="48">
        <f>'Adani Enterprises'!I362</f>
        <v>0</v>
      </c>
      <c r="J362" s="48">
        <f>'Adani Enterprises'!J362</f>
        <v>0</v>
      </c>
      <c r="K362" s="48">
        <f>'Adani Enterprises'!K362</f>
        <v>0</v>
      </c>
      <c r="L362" s="48">
        <f>'Adani Enterprises'!L362</f>
        <v>0</v>
      </c>
      <c r="M362" s="48">
        <f>'Adani Enterprises'!M362</f>
        <v>0</v>
      </c>
      <c r="N362" s="48">
        <f>'Adani Enterprises'!N362</f>
        <v>0</v>
      </c>
      <c r="O362" s="48">
        <f>'Adani Enterprises'!O362</f>
        <v>0</v>
      </c>
      <c r="P362" s="48">
        <f>'Adani Enterprises'!P362</f>
        <v>0</v>
      </c>
      <c r="Q362" s="48">
        <f>'Adani Enterprises'!Q362</f>
        <v>0</v>
      </c>
      <c r="R362" s="48">
        <f>'Adani Enterprises'!R362</f>
        <v>0</v>
      </c>
      <c r="S362" s="48">
        <f>'Adani Enterprises'!S362</f>
        <v>0</v>
      </c>
      <c r="T362" s="48">
        <f>'Adani Enterprises'!T362</f>
        <v>0</v>
      </c>
      <c r="U362" s="48">
        <f>'Adani Enterprises'!U362</f>
        <v>0</v>
      </c>
      <c r="V362" s="48">
        <f>'Adani Enterprises'!V362</f>
        <v>0</v>
      </c>
      <c r="W362" s="48">
        <f>'Adani Enterprises'!W362</f>
        <v>0</v>
      </c>
      <c r="X362" s="48">
        <f>'Adani Enterprises'!X362</f>
        <v>0</v>
      </c>
      <c r="Y362" s="48">
        <f>'Adani Enterprises'!Y362</f>
        <v>0</v>
      </c>
      <c r="Z362" s="48">
        <f>'Adani Enterprises'!Z362</f>
        <v>0</v>
      </c>
      <c r="AA362" s="48">
        <f>'Adani Enterprises'!AA362</f>
        <v>0</v>
      </c>
      <c r="AB362" s="48">
        <f>'Adani Enterprises'!AB362</f>
        <v>0</v>
      </c>
      <c r="AC362" s="48">
        <f>'Adani Enterprises'!AC362</f>
        <v>0</v>
      </c>
      <c r="AD362" s="48">
        <f>'Adani Enterprises'!AD362</f>
        <v>0</v>
      </c>
      <c r="AE362" s="48">
        <f>'Adani Enterprises'!AE362</f>
        <v>0</v>
      </c>
      <c r="AF362" s="48">
        <f>'Adani Enterprises'!AF362</f>
        <v>0</v>
      </c>
      <c r="AG362" s="48">
        <f>'Adani Enterprises'!AG362</f>
        <v>0</v>
      </c>
      <c r="AH362" s="48">
        <f>'Adani Enterprises'!AH362</f>
        <v>0</v>
      </c>
      <c r="AI362" s="48">
        <f>'Adani Enterprises'!AI362</f>
        <v>0</v>
      </c>
      <c r="AJ362" s="48">
        <f>'Adani Enterprises'!AJ362</f>
        <v>0</v>
      </c>
      <c r="AK362" s="48">
        <f>'Adani Enterprises'!AK362</f>
        <v>0</v>
      </c>
      <c r="AL362" s="48">
        <f>'Adani Enterprises'!AL362</f>
        <v>0</v>
      </c>
    </row>
    <row r="363" customHeight="1" spans="1:38">
      <c r="A363" s="48">
        <f>'Adani Enterprises'!A363</f>
        <v>0</v>
      </c>
      <c r="B363" s="48">
        <f>'Adani Enterprises'!B363</f>
        <v>0</v>
      </c>
      <c r="C363" s="48">
        <f>'Adani Enterprises'!C363</f>
        <v>0</v>
      </c>
      <c r="D363" s="48">
        <f>'Adani Enterprises'!D363</f>
        <v>0</v>
      </c>
      <c r="E363" s="48">
        <f>'Adani Enterprises'!E363</f>
        <v>0</v>
      </c>
      <c r="F363" s="48">
        <f>'Adani Enterprises'!F363</f>
        <v>0</v>
      </c>
      <c r="G363" s="48">
        <f>'Adani Enterprises'!G363</f>
        <v>0</v>
      </c>
      <c r="H363" s="48">
        <f>'Adani Enterprises'!H363</f>
        <v>0</v>
      </c>
      <c r="I363" s="48">
        <f>'Adani Enterprises'!I363</f>
        <v>0</v>
      </c>
      <c r="J363" s="48">
        <f>'Adani Enterprises'!J363</f>
        <v>0</v>
      </c>
      <c r="K363" s="48">
        <f>'Adani Enterprises'!K363</f>
        <v>0</v>
      </c>
      <c r="L363" s="48">
        <f>'Adani Enterprises'!L363</f>
        <v>0</v>
      </c>
      <c r="M363" s="48">
        <f>'Adani Enterprises'!M363</f>
        <v>0</v>
      </c>
      <c r="N363" s="48">
        <f>'Adani Enterprises'!N363</f>
        <v>0</v>
      </c>
      <c r="O363" s="48">
        <f>'Adani Enterprises'!O363</f>
        <v>0</v>
      </c>
      <c r="P363" s="48">
        <f>'Adani Enterprises'!P363</f>
        <v>0</v>
      </c>
      <c r="Q363" s="48">
        <f>'Adani Enterprises'!Q363</f>
        <v>0</v>
      </c>
      <c r="R363" s="48">
        <f>'Adani Enterprises'!R363</f>
        <v>0</v>
      </c>
      <c r="S363" s="48">
        <f>'Adani Enterprises'!S363</f>
        <v>0</v>
      </c>
      <c r="T363" s="48">
        <f>'Adani Enterprises'!T363</f>
        <v>0</v>
      </c>
      <c r="U363" s="48">
        <f>'Adani Enterprises'!U363</f>
        <v>0</v>
      </c>
      <c r="V363" s="48">
        <f>'Adani Enterprises'!V363</f>
        <v>0</v>
      </c>
      <c r="W363" s="48">
        <f>'Adani Enterprises'!W363</f>
        <v>0</v>
      </c>
      <c r="X363" s="48">
        <f>'Adani Enterprises'!X363</f>
        <v>0</v>
      </c>
      <c r="Y363" s="48">
        <f>'Adani Enterprises'!Y363</f>
        <v>0</v>
      </c>
      <c r="Z363" s="48">
        <f>'Adani Enterprises'!Z363</f>
        <v>0</v>
      </c>
      <c r="AA363" s="48">
        <f>'Adani Enterprises'!AA363</f>
        <v>0</v>
      </c>
      <c r="AB363" s="48">
        <f>'Adani Enterprises'!AB363</f>
        <v>0</v>
      </c>
      <c r="AC363" s="48">
        <f>'Adani Enterprises'!AC363</f>
        <v>0</v>
      </c>
      <c r="AD363" s="48">
        <f>'Adani Enterprises'!AD363</f>
        <v>0</v>
      </c>
      <c r="AE363" s="48">
        <f>'Adani Enterprises'!AE363</f>
        <v>0</v>
      </c>
      <c r="AF363" s="48">
        <f>'Adani Enterprises'!AF363</f>
        <v>0</v>
      </c>
      <c r="AG363" s="48">
        <f>'Adani Enterprises'!AG363</f>
        <v>0</v>
      </c>
      <c r="AH363" s="48">
        <f>'Adani Enterprises'!AH363</f>
        <v>0</v>
      </c>
      <c r="AI363" s="48">
        <f>'Adani Enterprises'!AI363</f>
        <v>0</v>
      </c>
      <c r="AJ363" s="48">
        <f>'Adani Enterprises'!AJ363</f>
        <v>0</v>
      </c>
      <c r="AK363" s="48">
        <f>'Adani Enterprises'!AK363</f>
        <v>0</v>
      </c>
      <c r="AL363" s="48">
        <f>'Adani Enterprises'!AL363</f>
        <v>0</v>
      </c>
    </row>
    <row r="364" customHeight="1" spans="1:38">
      <c r="A364" s="48">
        <f>'Adani Enterprises'!A364</f>
        <v>0</v>
      </c>
      <c r="B364" s="48">
        <f>'Adani Enterprises'!B364</f>
        <v>0</v>
      </c>
      <c r="C364" s="48">
        <f>'Adani Enterprises'!C364</f>
        <v>0</v>
      </c>
      <c r="D364" s="48">
        <f>'Adani Enterprises'!D364</f>
        <v>0</v>
      </c>
      <c r="E364" s="48">
        <f>'Adani Enterprises'!E364</f>
        <v>0</v>
      </c>
      <c r="F364" s="48">
        <f>'Adani Enterprises'!F364</f>
        <v>0</v>
      </c>
      <c r="G364" s="48">
        <f>'Adani Enterprises'!G364</f>
        <v>0</v>
      </c>
      <c r="H364" s="48">
        <f>'Adani Enterprises'!H364</f>
        <v>0</v>
      </c>
      <c r="I364" s="48">
        <f>'Adani Enterprises'!I364</f>
        <v>0</v>
      </c>
      <c r="J364" s="48">
        <f>'Adani Enterprises'!J364</f>
        <v>0</v>
      </c>
      <c r="K364" s="48">
        <f>'Adani Enterprises'!K364</f>
        <v>0</v>
      </c>
      <c r="L364" s="48">
        <f>'Adani Enterprises'!L364</f>
        <v>0</v>
      </c>
      <c r="M364" s="48">
        <f>'Adani Enterprises'!M364</f>
        <v>0</v>
      </c>
      <c r="N364" s="48">
        <f>'Adani Enterprises'!N364</f>
        <v>0</v>
      </c>
      <c r="O364" s="48">
        <f>'Adani Enterprises'!O364</f>
        <v>0</v>
      </c>
      <c r="P364" s="48">
        <f>'Adani Enterprises'!P364</f>
        <v>0</v>
      </c>
      <c r="Q364" s="48">
        <f>'Adani Enterprises'!Q364</f>
        <v>0</v>
      </c>
      <c r="R364" s="48">
        <f>'Adani Enterprises'!R364</f>
        <v>0</v>
      </c>
      <c r="S364" s="48">
        <f>'Adani Enterprises'!S364</f>
        <v>0</v>
      </c>
      <c r="T364" s="48">
        <f>'Adani Enterprises'!T364</f>
        <v>0</v>
      </c>
      <c r="U364" s="48">
        <f>'Adani Enterprises'!U364</f>
        <v>0</v>
      </c>
      <c r="V364" s="48">
        <f>'Adani Enterprises'!V364</f>
        <v>0</v>
      </c>
      <c r="W364" s="48">
        <f>'Adani Enterprises'!W364</f>
        <v>0</v>
      </c>
      <c r="X364" s="48">
        <f>'Adani Enterprises'!X364</f>
        <v>0</v>
      </c>
      <c r="Y364" s="48">
        <f>'Adani Enterprises'!Y364</f>
        <v>0</v>
      </c>
      <c r="Z364" s="48">
        <f>'Adani Enterprises'!Z364</f>
        <v>0</v>
      </c>
      <c r="AA364" s="48">
        <f>'Adani Enterprises'!AA364</f>
        <v>0</v>
      </c>
      <c r="AB364" s="48">
        <f>'Adani Enterprises'!AB364</f>
        <v>0</v>
      </c>
      <c r="AC364" s="48">
        <f>'Adani Enterprises'!AC364</f>
        <v>0</v>
      </c>
      <c r="AD364" s="48">
        <f>'Adani Enterprises'!AD364</f>
        <v>0</v>
      </c>
      <c r="AE364" s="48">
        <f>'Adani Enterprises'!AE364</f>
        <v>0</v>
      </c>
      <c r="AF364" s="48">
        <f>'Adani Enterprises'!AF364</f>
        <v>0</v>
      </c>
      <c r="AG364" s="48">
        <f>'Adani Enterprises'!AG364</f>
        <v>0</v>
      </c>
      <c r="AH364" s="48">
        <f>'Adani Enterprises'!AH364</f>
        <v>0</v>
      </c>
      <c r="AI364" s="48">
        <f>'Adani Enterprises'!AI364</f>
        <v>0</v>
      </c>
      <c r="AJ364" s="48">
        <f>'Adani Enterprises'!AJ364</f>
        <v>0</v>
      </c>
      <c r="AK364" s="48">
        <f>'Adani Enterprises'!AK364</f>
        <v>0</v>
      </c>
      <c r="AL364" s="48">
        <f>'Adani Enterprises'!AL364</f>
        <v>0</v>
      </c>
    </row>
    <row r="365" customHeight="1" spans="1:38">
      <c r="A365" s="48">
        <f>'Adani Enterprises'!A365</f>
        <v>0</v>
      </c>
      <c r="B365" s="48">
        <f>'Adani Enterprises'!B365</f>
        <v>0</v>
      </c>
      <c r="C365" s="48">
        <f>'Adani Enterprises'!C365</f>
        <v>0</v>
      </c>
      <c r="D365" s="48">
        <f>'Adani Enterprises'!D365</f>
        <v>0</v>
      </c>
      <c r="E365" s="48">
        <f>'Adani Enterprises'!E365</f>
        <v>0</v>
      </c>
      <c r="F365" s="48">
        <f>'Adani Enterprises'!F365</f>
        <v>0</v>
      </c>
      <c r="G365" s="48">
        <f>'Adani Enterprises'!G365</f>
        <v>0</v>
      </c>
      <c r="H365" s="48">
        <f>'Adani Enterprises'!H365</f>
        <v>0</v>
      </c>
      <c r="I365" s="48">
        <f>'Adani Enterprises'!I365</f>
        <v>0</v>
      </c>
      <c r="J365" s="48">
        <f>'Adani Enterprises'!J365</f>
        <v>0</v>
      </c>
      <c r="K365" s="48">
        <f>'Adani Enterprises'!K365</f>
        <v>0</v>
      </c>
      <c r="L365" s="48">
        <f>'Adani Enterprises'!L365</f>
        <v>0</v>
      </c>
      <c r="M365" s="48">
        <f>'Adani Enterprises'!M365</f>
        <v>0</v>
      </c>
      <c r="N365" s="48">
        <f>'Adani Enterprises'!N365</f>
        <v>0</v>
      </c>
      <c r="O365" s="48">
        <f>'Adani Enterprises'!O365</f>
        <v>0</v>
      </c>
      <c r="P365" s="48">
        <f>'Adani Enterprises'!P365</f>
        <v>0</v>
      </c>
      <c r="Q365" s="48">
        <f>'Adani Enterprises'!Q365</f>
        <v>0</v>
      </c>
      <c r="R365" s="48">
        <f>'Adani Enterprises'!R365</f>
        <v>0</v>
      </c>
      <c r="S365" s="48">
        <f>'Adani Enterprises'!S365</f>
        <v>0</v>
      </c>
      <c r="T365" s="48">
        <f>'Adani Enterprises'!T365</f>
        <v>0</v>
      </c>
      <c r="U365" s="48">
        <f>'Adani Enterprises'!U365</f>
        <v>0</v>
      </c>
      <c r="V365" s="48">
        <f>'Adani Enterprises'!V365</f>
        <v>0</v>
      </c>
      <c r="W365" s="48">
        <f>'Adani Enterprises'!W365</f>
        <v>0</v>
      </c>
      <c r="X365" s="48">
        <f>'Adani Enterprises'!X365</f>
        <v>0</v>
      </c>
      <c r="Y365" s="48">
        <f>'Adani Enterprises'!Y365</f>
        <v>0</v>
      </c>
      <c r="Z365" s="48">
        <f>'Adani Enterprises'!Z365</f>
        <v>0</v>
      </c>
      <c r="AA365" s="48">
        <f>'Adani Enterprises'!AA365</f>
        <v>0</v>
      </c>
      <c r="AB365" s="48">
        <f>'Adani Enterprises'!AB365</f>
        <v>0</v>
      </c>
      <c r="AC365" s="48">
        <f>'Adani Enterprises'!AC365</f>
        <v>0</v>
      </c>
      <c r="AD365" s="48">
        <f>'Adani Enterprises'!AD365</f>
        <v>0</v>
      </c>
      <c r="AE365" s="48">
        <f>'Adani Enterprises'!AE365</f>
        <v>0</v>
      </c>
      <c r="AF365" s="48">
        <f>'Adani Enterprises'!AF365</f>
        <v>0</v>
      </c>
      <c r="AG365" s="48">
        <f>'Adani Enterprises'!AG365</f>
        <v>0</v>
      </c>
      <c r="AH365" s="48">
        <f>'Adani Enterprises'!AH365</f>
        <v>0</v>
      </c>
      <c r="AI365" s="48">
        <f>'Adani Enterprises'!AI365</f>
        <v>0</v>
      </c>
      <c r="AJ365" s="48">
        <f>'Adani Enterprises'!AJ365</f>
        <v>0</v>
      </c>
      <c r="AK365" s="48">
        <f>'Adani Enterprises'!AK365</f>
        <v>0</v>
      </c>
      <c r="AL365" s="48">
        <f>'Adani Enterprises'!AL365</f>
        <v>0</v>
      </c>
    </row>
    <row r="366" customHeight="1" spans="1:38">
      <c r="A366" s="48">
        <f>'Adani Enterprises'!A366</f>
        <v>0</v>
      </c>
      <c r="B366" s="48">
        <f>'Adani Enterprises'!B366</f>
        <v>0</v>
      </c>
      <c r="C366" s="48">
        <f>'Adani Enterprises'!C366</f>
        <v>0</v>
      </c>
      <c r="D366" s="48">
        <f>'Adani Enterprises'!D366</f>
        <v>0</v>
      </c>
      <c r="E366" s="48">
        <f>'Adani Enterprises'!E366</f>
        <v>0</v>
      </c>
      <c r="F366" s="48">
        <f>'Adani Enterprises'!F366</f>
        <v>0</v>
      </c>
      <c r="G366" s="48">
        <f>'Adani Enterprises'!G366</f>
        <v>0</v>
      </c>
      <c r="H366" s="48">
        <f>'Adani Enterprises'!H366</f>
        <v>0</v>
      </c>
      <c r="I366" s="48">
        <f>'Adani Enterprises'!I366</f>
        <v>0</v>
      </c>
      <c r="J366" s="48">
        <f>'Adani Enterprises'!J366</f>
        <v>0</v>
      </c>
      <c r="K366" s="48">
        <f>'Adani Enterprises'!K366</f>
        <v>0</v>
      </c>
      <c r="L366" s="48">
        <f>'Adani Enterprises'!L366</f>
        <v>0</v>
      </c>
      <c r="M366" s="48">
        <f>'Adani Enterprises'!M366</f>
        <v>0</v>
      </c>
      <c r="N366" s="48">
        <f>'Adani Enterprises'!N366</f>
        <v>0</v>
      </c>
      <c r="O366" s="48">
        <f>'Adani Enterprises'!O366</f>
        <v>0</v>
      </c>
      <c r="P366" s="48">
        <f>'Adani Enterprises'!P366</f>
        <v>0</v>
      </c>
      <c r="Q366" s="48">
        <f>'Adani Enterprises'!Q366</f>
        <v>0</v>
      </c>
      <c r="R366" s="48">
        <f>'Adani Enterprises'!R366</f>
        <v>0</v>
      </c>
      <c r="S366" s="48">
        <f>'Adani Enterprises'!S366</f>
        <v>0</v>
      </c>
      <c r="T366" s="48">
        <f>'Adani Enterprises'!T366</f>
        <v>0</v>
      </c>
      <c r="U366" s="48">
        <f>'Adani Enterprises'!U366</f>
        <v>0</v>
      </c>
      <c r="V366" s="48">
        <f>'Adani Enterprises'!V366</f>
        <v>0</v>
      </c>
      <c r="W366" s="48">
        <f>'Adani Enterprises'!W366</f>
        <v>0</v>
      </c>
      <c r="X366" s="48">
        <f>'Adani Enterprises'!X366</f>
        <v>0</v>
      </c>
      <c r="Y366" s="48">
        <f>'Adani Enterprises'!Y366</f>
        <v>0</v>
      </c>
      <c r="Z366" s="48">
        <f>'Adani Enterprises'!Z366</f>
        <v>0</v>
      </c>
      <c r="AA366" s="48">
        <f>'Adani Enterprises'!AA366</f>
        <v>0</v>
      </c>
      <c r="AB366" s="48">
        <f>'Adani Enterprises'!AB366</f>
        <v>0</v>
      </c>
      <c r="AC366" s="48">
        <f>'Adani Enterprises'!AC366</f>
        <v>0</v>
      </c>
      <c r="AD366" s="48">
        <f>'Adani Enterprises'!AD366</f>
        <v>0</v>
      </c>
      <c r="AE366" s="48">
        <f>'Adani Enterprises'!AE366</f>
        <v>0</v>
      </c>
      <c r="AF366" s="48">
        <f>'Adani Enterprises'!AF366</f>
        <v>0</v>
      </c>
      <c r="AG366" s="48">
        <f>'Adani Enterprises'!AG366</f>
        <v>0</v>
      </c>
      <c r="AH366" s="48">
        <f>'Adani Enterprises'!AH366</f>
        <v>0</v>
      </c>
      <c r="AI366" s="48">
        <f>'Adani Enterprises'!AI366</f>
        <v>0</v>
      </c>
      <c r="AJ366" s="48">
        <f>'Adani Enterprises'!AJ366</f>
        <v>0</v>
      </c>
      <c r="AK366" s="48">
        <f>'Adani Enterprises'!AK366</f>
        <v>0</v>
      </c>
      <c r="AL366" s="48">
        <f>'Adani Enterprises'!AL366</f>
        <v>0</v>
      </c>
    </row>
    <row r="367" customHeight="1" spans="1:38">
      <c r="A367" s="48">
        <f>'Adani Enterprises'!A367</f>
        <v>0</v>
      </c>
      <c r="B367" s="48">
        <f>'Adani Enterprises'!B367</f>
        <v>0</v>
      </c>
      <c r="C367" s="48">
        <f>'Adani Enterprises'!C367</f>
        <v>0</v>
      </c>
      <c r="D367" s="48">
        <f>'Adani Enterprises'!D367</f>
        <v>0</v>
      </c>
      <c r="E367" s="48">
        <f>'Adani Enterprises'!E367</f>
        <v>0</v>
      </c>
      <c r="F367" s="48">
        <f>'Adani Enterprises'!F367</f>
        <v>0</v>
      </c>
      <c r="G367" s="48">
        <f>'Adani Enterprises'!G367</f>
        <v>0</v>
      </c>
      <c r="H367" s="48">
        <f>'Adani Enterprises'!H367</f>
        <v>0</v>
      </c>
      <c r="I367" s="48">
        <f>'Adani Enterprises'!I367</f>
        <v>0</v>
      </c>
      <c r="J367" s="48">
        <f>'Adani Enterprises'!J367</f>
        <v>0</v>
      </c>
      <c r="K367" s="48">
        <f>'Adani Enterprises'!K367</f>
        <v>0</v>
      </c>
      <c r="L367" s="48">
        <f>'Adani Enterprises'!L367</f>
        <v>0</v>
      </c>
      <c r="M367" s="48">
        <f>'Adani Enterprises'!M367</f>
        <v>0</v>
      </c>
      <c r="N367" s="48">
        <f>'Adani Enterprises'!N367</f>
        <v>0</v>
      </c>
      <c r="O367" s="48">
        <f>'Adani Enterprises'!O367</f>
        <v>0</v>
      </c>
      <c r="P367" s="48">
        <f>'Adani Enterprises'!P367</f>
        <v>0</v>
      </c>
      <c r="Q367" s="48">
        <f>'Adani Enterprises'!Q367</f>
        <v>0</v>
      </c>
      <c r="R367" s="48">
        <f>'Adani Enterprises'!R367</f>
        <v>0</v>
      </c>
      <c r="S367" s="48">
        <f>'Adani Enterprises'!S367</f>
        <v>0</v>
      </c>
      <c r="T367" s="48">
        <f>'Adani Enterprises'!T367</f>
        <v>0</v>
      </c>
      <c r="U367" s="48">
        <f>'Adani Enterprises'!U367</f>
        <v>0</v>
      </c>
      <c r="V367" s="48">
        <f>'Adani Enterprises'!V367</f>
        <v>0</v>
      </c>
      <c r="W367" s="48">
        <f>'Adani Enterprises'!W367</f>
        <v>0</v>
      </c>
      <c r="X367" s="48">
        <f>'Adani Enterprises'!X367</f>
        <v>0</v>
      </c>
      <c r="Y367" s="48">
        <f>'Adani Enterprises'!Y367</f>
        <v>0</v>
      </c>
      <c r="Z367" s="48">
        <f>'Adani Enterprises'!Z367</f>
        <v>0</v>
      </c>
      <c r="AA367" s="48">
        <f>'Adani Enterprises'!AA367</f>
        <v>0</v>
      </c>
      <c r="AB367" s="48">
        <f>'Adani Enterprises'!AB367</f>
        <v>0</v>
      </c>
      <c r="AC367" s="48">
        <f>'Adani Enterprises'!AC367</f>
        <v>0</v>
      </c>
      <c r="AD367" s="48">
        <f>'Adani Enterprises'!AD367</f>
        <v>0</v>
      </c>
      <c r="AE367" s="48">
        <f>'Adani Enterprises'!AE367</f>
        <v>0</v>
      </c>
      <c r="AF367" s="48">
        <f>'Adani Enterprises'!AF367</f>
        <v>0</v>
      </c>
      <c r="AG367" s="48">
        <f>'Adani Enterprises'!AG367</f>
        <v>0</v>
      </c>
      <c r="AH367" s="48">
        <f>'Adani Enterprises'!AH367</f>
        <v>0</v>
      </c>
      <c r="AI367" s="48">
        <f>'Adani Enterprises'!AI367</f>
        <v>0</v>
      </c>
      <c r="AJ367" s="48">
        <f>'Adani Enterprises'!AJ367</f>
        <v>0</v>
      </c>
      <c r="AK367" s="48">
        <f>'Adani Enterprises'!AK367</f>
        <v>0</v>
      </c>
      <c r="AL367" s="48">
        <f>'Adani Enterprises'!AL367</f>
        <v>0</v>
      </c>
    </row>
    <row r="368" customHeight="1" spans="1:38">
      <c r="A368" s="48">
        <f>'Adani Enterprises'!A368</f>
        <v>0</v>
      </c>
      <c r="B368" s="48">
        <f>'Adani Enterprises'!B368</f>
        <v>0</v>
      </c>
      <c r="C368" s="48">
        <f>'Adani Enterprises'!C368</f>
        <v>0</v>
      </c>
      <c r="D368" s="48">
        <f>'Adani Enterprises'!D368</f>
        <v>0</v>
      </c>
      <c r="E368" s="48">
        <f>'Adani Enterprises'!E368</f>
        <v>0</v>
      </c>
      <c r="F368" s="48">
        <f>'Adani Enterprises'!F368</f>
        <v>0</v>
      </c>
      <c r="G368" s="48">
        <f>'Adani Enterprises'!G368</f>
        <v>0</v>
      </c>
      <c r="H368" s="48">
        <f>'Adani Enterprises'!H368</f>
        <v>0</v>
      </c>
      <c r="I368" s="48">
        <f>'Adani Enterprises'!I368</f>
        <v>0</v>
      </c>
      <c r="J368" s="48">
        <f>'Adani Enterprises'!J368</f>
        <v>0</v>
      </c>
      <c r="K368" s="48">
        <f>'Adani Enterprises'!K368</f>
        <v>0</v>
      </c>
      <c r="L368" s="48">
        <f>'Adani Enterprises'!L368</f>
        <v>0</v>
      </c>
      <c r="M368" s="48">
        <f>'Adani Enterprises'!M368</f>
        <v>0</v>
      </c>
      <c r="N368" s="48">
        <f>'Adani Enterprises'!N368</f>
        <v>0</v>
      </c>
      <c r="O368" s="48">
        <f>'Adani Enterprises'!O368</f>
        <v>0</v>
      </c>
      <c r="P368" s="48">
        <f>'Adani Enterprises'!P368</f>
        <v>0</v>
      </c>
      <c r="Q368" s="48">
        <f>'Adani Enterprises'!Q368</f>
        <v>0</v>
      </c>
      <c r="R368" s="48">
        <f>'Adani Enterprises'!R368</f>
        <v>0</v>
      </c>
      <c r="S368" s="48">
        <f>'Adani Enterprises'!S368</f>
        <v>0</v>
      </c>
      <c r="T368" s="48">
        <f>'Adani Enterprises'!T368</f>
        <v>0</v>
      </c>
      <c r="U368" s="48">
        <f>'Adani Enterprises'!U368</f>
        <v>0</v>
      </c>
      <c r="V368" s="48">
        <f>'Adani Enterprises'!V368</f>
        <v>0</v>
      </c>
      <c r="W368" s="48">
        <f>'Adani Enterprises'!W368</f>
        <v>0</v>
      </c>
      <c r="X368" s="48">
        <f>'Adani Enterprises'!X368</f>
        <v>0</v>
      </c>
      <c r="Y368" s="48">
        <f>'Adani Enterprises'!Y368</f>
        <v>0</v>
      </c>
      <c r="Z368" s="48">
        <f>'Adani Enterprises'!Z368</f>
        <v>0</v>
      </c>
      <c r="AA368" s="48">
        <f>'Adani Enterprises'!AA368</f>
        <v>0</v>
      </c>
      <c r="AB368" s="48">
        <f>'Adani Enterprises'!AB368</f>
        <v>0</v>
      </c>
      <c r="AC368" s="48">
        <f>'Adani Enterprises'!AC368</f>
        <v>0</v>
      </c>
      <c r="AD368" s="48">
        <f>'Adani Enterprises'!AD368</f>
        <v>0</v>
      </c>
      <c r="AE368" s="48">
        <f>'Adani Enterprises'!AE368</f>
        <v>0</v>
      </c>
      <c r="AF368" s="48">
        <f>'Adani Enterprises'!AF368</f>
        <v>0</v>
      </c>
      <c r="AG368" s="48">
        <f>'Adani Enterprises'!AG368</f>
        <v>0</v>
      </c>
      <c r="AH368" s="48">
        <f>'Adani Enterprises'!AH368</f>
        <v>0</v>
      </c>
      <c r="AI368" s="48">
        <f>'Adani Enterprises'!AI368</f>
        <v>0</v>
      </c>
      <c r="AJ368" s="48">
        <f>'Adani Enterprises'!AJ368</f>
        <v>0</v>
      </c>
      <c r="AK368" s="48">
        <f>'Adani Enterprises'!AK368</f>
        <v>0</v>
      </c>
      <c r="AL368" s="48">
        <f>'Adani Enterprises'!AL368</f>
        <v>0</v>
      </c>
    </row>
    <row r="369" customHeight="1" spans="1:38">
      <c r="A369" s="48">
        <f>'Adani Enterprises'!A369</f>
        <v>0</v>
      </c>
      <c r="B369" s="48">
        <f>'Adani Enterprises'!B369</f>
        <v>0</v>
      </c>
      <c r="C369" s="48">
        <f>'Adani Enterprises'!C369</f>
        <v>0</v>
      </c>
      <c r="D369" s="48">
        <f>'Adani Enterprises'!D369</f>
        <v>0</v>
      </c>
      <c r="E369" s="48">
        <f>'Adani Enterprises'!E369</f>
        <v>0</v>
      </c>
      <c r="F369" s="48">
        <f>'Adani Enterprises'!F369</f>
        <v>0</v>
      </c>
      <c r="G369" s="48">
        <f>'Adani Enterprises'!G369</f>
        <v>0</v>
      </c>
      <c r="H369" s="48">
        <f>'Adani Enterprises'!H369</f>
        <v>0</v>
      </c>
      <c r="I369" s="48">
        <f>'Adani Enterprises'!I369</f>
        <v>0</v>
      </c>
      <c r="J369" s="48">
        <f>'Adani Enterprises'!J369</f>
        <v>0</v>
      </c>
      <c r="K369" s="48">
        <f>'Adani Enterprises'!K369</f>
        <v>0</v>
      </c>
      <c r="L369" s="48">
        <f>'Adani Enterprises'!L369</f>
        <v>0</v>
      </c>
      <c r="M369" s="48">
        <f>'Adani Enterprises'!M369</f>
        <v>0</v>
      </c>
      <c r="N369" s="48">
        <f>'Adani Enterprises'!N369</f>
        <v>0</v>
      </c>
      <c r="O369" s="48">
        <f>'Adani Enterprises'!O369</f>
        <v>0</v>
      </c>
      <c r="P369" s="48">
        <f>'Adani Enterprises'!P369</f>
        <v>0</v>
      </c>
      <c r="Q369" s="48">
        <f>'Adani Enterprises'!Q369</f>
        <v>0</v>
      </c>
      <c r="R369" s="48">
        <f>'Adani Enterprises'!R369</f>
        <v>0</v>
      </c>
      <c r="S369" s="48">
        <f>'Adani Enterprises'!S369</f>
        <v>0</v>
      </c>
      <c r="T369" s="48">
        <f>'Adani Enterprises'!T369</f>
        <v>0</v>
      </c>
      <c r="U369" s="48">
        <f>'Adani Enterprises'!U369</f>
        <v>0</v>
      </c>
      <c r="V369" s="48">
        <f>'Adani Enterprises'!V369</f>
        <v>0</v>
      </c>
      <c r="W369" s="48">
        <f>'Adani Enterprises'!W369</f>
        <v>0</v>
      </c>
      <c r="X369" s="48">
        <f>'Adani Enterprises'!X369</f>
        <v>0</v>
      </c>
      <c r="Y369" s="48">
        <f>'Adani Enterprises'!Y369</f>
        <v>0</v>
      </c>
      <c r="Z369" s="48">
        <f>'Adani Enterprises'!Z369</f>
        <v>0</v>
      </c>
      <c r="AA369" s="48">
        <f>'Adani Enterprises'!AA369</f>
        <v>0</v>
      </c>
      <c r="AB369" s="48">
        <f>'Adani Enterprises'!AB369</f>
        <v>0</v>
      </c>
      <c r="AC369" s="48">
        <f>'Adani Enterprises'!AC369</f>
        <v>0</v>
      </c>
      <c r="AD369" s="48">
        <f>'Adani Enterprises'!AD369</f>
        <v>0</v>
      </c>
      <c r="AE369" s="48">
        <f>'Adani Enterprises'!AE369</f>
        <v>0</v>
      </c>
      <c r="AF369" s="48">
        <f>'Adani Enterprises'!AF369</f>
        <v>0</v>
      </c>
      <c r="AG369" s="48">
        <f>'Adani Enterprises'!AG369</f>
        <v>0</v>
      </c>
      <c r="AH369" s="48">
        <f>'Adani Enterprises'!AH369</f>
        <v>0</v>
      </c>
      <c r="AI369" s="48">
        <f>'Adani Enterprises'!AI369</f>
        <v>0</v>
      </c>
      <c r="AJ369" s="48">
        <f>'Adani Enterprises'!AJ369</f>
        <v>0</v>
      </c>
      <c r="AK369" s="48">
        <f>'Adani Enterprises'!AK369</f>
        <v>0</v>
      </c>
      <c r="AL369" s="48">
        <f>'Adani Enterprises'!AL369</f>
        <v>0</v>
      </c>
    </row>
    <row r="370" customHeight="1" spans="1:38">
      <c r="A370" s="48">
        <f>'Adani Enterprises'!A370</f>
        <v>0</v>
      </c>
      <c r="B370" s="48">
        <f>'Adani Enterprises'!B370</f>
        <v>0</v>
      </c>
      <c r="C370" s="48">
        <f>'Adani Enterprises'!C370</f>
        <v>0</v>
      </c>
      <c r="D370" s="48">
        <f>'Adani Enterprises'!D370</f>
        <v>0</v>
      </c>
      <c r="E370" s="48">
        <f>'Adani Enterprises'!E370</f>
        <v>0</v>
      </c>
      <c r="F370" s="48">
        <f>'Adani Enterprises'!F370</f>
        <v>0</v>
      </c>
      <c r="G370" s="48">
        <f>'Adani Enterprises'!G370</f>
        <v>0</v>
      </c>
      <c r="H370" s="48">
        <f>'Adani Enterprises'!H370</f>
        <v>0</v>
      </c>
      <c r="I370" s="48">
        <f>'Adani Enterprises'!I370</f>
        <v>0</v>
      </c>
      <c r="J370" s="48">
        <f>'Adani Enterprises'!J370</f>
        <v>0</v>
      </c>
      <c r="K370" s="48">
        <f>'Adani Enterprises'!K370</f>
        <v>0</v>
      </c>
      <c r="L370" s="48">
        <f>'Adani Enterprises'!L370</f>
        <v>0</v>
      </c>
      <c r="M370" s="48">
        <f>'Adani Enterprises'!M370</f>
        <v>0</v>
      </c>
      <c r="N370" s="48">
        <f>'Adani Enterprises'!N370</f>
        <v>0</v>
      </c>
      <c r="O370" s="48">
        <f>'Adani Enterprises'!O370</f>
        <v>0</v>
      </c>
      <c r="P370" s="48">
        <f>'Adani Enterprises'!P370</f>
        <v>0</v>
      </c>
      <c r="Q370" s="48">
        <f>'Adani Enterprises'!Q370</f>
        <v>0</v>
      </c>
      <c r="R370" s="48">
        <f>'Adani Enterprises'!R370</f>
        <v>0</v>
      </c>
      <c r="S370" s="48">
        <f>'Adani Enterprises'!S370</f>
        <v>0</v>
      </c>
      <c r="T370" s="48">
        <f>'Adani Enterprises'!T370</f>
        <v>0</v>
      </c>
      <c r="U370" s="48">
        <f>'Adani Enterprises'!U370</f>
        <v>0</v>
      </c>
      <c r="V370" s="48">
        <f>'Adani Enterprises'!V370</f>
        <v>0</v>
      </c>
      <c r="W370" s="48">
        <f>'Adani Enterprises'!W370</f>
        <v>0</v>
      </c>
      <c r="X370" s="48">
        <f>'Adani Enterprises'!X370</f>
        <v>0</v>
      </c>
      <c r="Y370" s="48">
        <f>'Adani Enterprises'!Y370</f>
        <v>0</v>
      </c>
      <c r="Z370" s="48">
        <f>'Adani Enterprises'!Z370</f>
        <v>0</v>
      </c>
      <c r="AA370" s="48">
        <f>'Adani Enterprises'!AA370</f>
        <v>0</v>
      </c>
      <c r="AB370" s="48">
        <f>'Adani Enterprises'!AB370</f>
        <v>0</v>
      </c>
      <c r="AC370" s="48">
        <f>'Adani Enterprises'!AC370</f>
        <v>0</v>
      </c>
      <c r="AD370" s="48">
        <f>'Adani Enterprises'!AD370</f>
        <v>0</v>
      </c>
      <c r="AE370" s="48">
        <f>'Adani Enterprises'!AE370</f>
        <v>0</v>
      </c>
      <c r="AF370" s="48">
        <f>'Adani Enterprises'!AF370</f>
        <v>0</v>
      </c>
      <c r="AG370" s="48">
        <f>'Adani Enterprises'!AG370</f>
        <v>0</v>
      </c>
      <c r="AH370" s="48">
        <f>'Adani Enterprises'!AH370</f>
        <v>0</v>
      </c>
      <c r="AI370" s="48">
        <f>'Adani Enterprises'!AI370</f>
        <v>0</v>
      </c>
      <c r="AJ370" s="48">
        <f>'Adani Enterprises'!AJ370</f>
        <v>0</v>
      </c>
      <c r="AK370" s="48">
        <f>'Adani Enterprises'!AK370</f>
        <v>0</v>
      </c>
      <c r="AL370" s="48">
        <f>'Adani Enterprises'!AL370</f>
        <v>0</v>
      </c>
    </row>
    <row r="371" customHeight="1" spans="1:38">
      <c r="A371" s="48">
        <f>'Adani Enterprises'!A371</f>
        <v>0</v>
      </c>
      <c r="B371" s="48">
        <f>'Adani Enterprises'!B371</f>
        <v>0</v>
      </c>
      <c r="C371" s="48">
        <f>'Adani Enterprises'!C371</f>
        <v>0</v>
      </c>
      <c r="D371" s="48">
        <f>'Adani Enterprises'!D371</f>
        <v>0</v>
      </c>
      <c r="E371" s="48">
        <f>'Adani Enterprises'!E371</f>
        <v>0</v>
      </c>
      <c r="F371" s="48">
        <f>'Adani Enterprises'!F371</f>
        <v>0</v>
      </c>
      <c r="G371" s="48">
        <f>'Adani Enterprises'!G371</f>
        <v>0</v>
      </c>
      <c r="H371" s="48">
        <f>'Adani Enterprises'!H371</f>
        <v>0</v>
      </c>
      <c r="I371" s="48">
        <f>'Adani Enterprises'!I371</f>
        <v>0</v>
      </c>
      <c r="J371" s="48">
        <f>'Adani Enterprises'!J371</f>
        <v>0</v>
      </c>
      <c r="K371" s="48">
        <f>'Adani Enterprises'!K371</f>
        <v>0</v>
      </c>
      <c r="L371" s="48">
        <f>'Adani Enterprises'!L371</f>
        <v>0</v>
      </c>
      <c r="M371" s="48">
        <f>'Adani Enterprises'!M371</f>
        <v>0</v>
      </c>
      <c r="N371" s="48">
        <f>'Adani Enterprises'!N371</f>
        <v>0</v>
      </c>
      <c r="O371" s="48">
        <f>'Adani Enterprises'!O371</f>
        <v>0</v>
      </c>
      <c r="P371" s="48">
        <f>'Adani Enterprises'!P371</f>
        <v>0</v>
      </c>
      <c r="Q371" s="48">
        <f>'Adani Enterprises'!Q371</f>
        <v>0</v>
      </c>
      <c r="R371" s="48">
        <f>'Adani Enterprises'!R371</f>
        <v>0</v>
      </c>
      <c r="S371" s="48">
        <f>'Adani Enterprises'!S371</f>
        <v>0</v>
      </c>
      <c r="T371" s="48">
        <f>'Adani Enterprises'!T371</f>
        <v>0</v>
      </c>
      <c r="U371" s="48">
        <f>'Adani Enterprises'!U371</f>
        <v>0</v>
      </c>
      <c r="V371" s="48">
        <f>'Adani Enterprises'!V371</f>
        <v>0</v>
      </c>
      <c r="W371" s="48">
        <f>'Adani Enterprises'!W371</f>
        <v>0</v>
      </c>
      <c r="X371" s="48">
        <f>'Adani Enterprises'!X371</f>
        <v>0</v>
      </c>
      <c r="Y371" s="48">
        <f>'Adani Enterprises'!Y371</f>
        <v>0</v>
      </c>
      <c r="Z371" s="48">
        <f>'Adani Enterprises'!Z371</f>
        <v>0</v>
      </c>
      <c r="AA371" s="48">
        <f>'Adani Enterprises'!AA371</f>
        <v>0</v>
      </c>
      <c r="AB371" s="48">
        <f>'Adani Enterprises'!AB371</f>
        <v>0</v>
      </c>
      <c r="AC371" s="48">
        <f>'Adani Enterprises'!AC371</f>
        <v>0</v>
      </c>
      <c r="AD371" s="48">
        <f>'Adani Enterprises'!AD371</f>
        <v>0</v>
      </c>
      <c r="AE371" s="48">
        <f>'Adani Enterprises'!AE371</f>
        <v>0</v>
      </c>
      <c r="AF371" s="48">
        <f>'Adani Enterprises'!AF371</f>
        <v>0</v>
      </c>
      <c r="AG371" s="48">
        <f>'Adani Enterprises'!AG371</f>
        <v>0</v>
      </c>
      <c r="AH371" s="48">
        <f>'Adani Enterprises'!AH371</f>
        <v>0</v>
      </c>
      <c r="AI371" s="48">
        <f>'Adani Enterprises'!AI371</f>
        <v>0</v>
      </c>
      <c r="AJ371" s="48">
        <f>'Adani Enterprises'!AJ371</f>
        <v>0</v>
      </c>
      <c r="AK371" s="48">
        <f>'Adani Enterprises'!AK371</f>
        <v>0</v>
      </c>
      <c r="AL371" s="48">
        <f>'Adani Enterprises'!AL371</f>
        <v>0</v>
      </c>
    </row>
    <row r="372" customHeight="1" spans="1:38">
      <c r="A372" s="48">
        <f>'Adani Enterprises'!A372</f>
        <v>0</v>
      </c>
      <c r="B372" s="48">
        <f>'Adani Enterprises'!B372</f>
        <v>0</v>
      </c>
      <c r="C372" s="48">
        <f>'Adani Enterprises'!C372</f>
        <v>0</v>
      </c>
      <c r="D372" s="48">
        <f>'Adani Enterprises'!D372</f>
        <v>0</v>
      </c>
      <c r="E372" s="48">
        <f>'Adani Enterprises'!E372</f>
        <v>0</v>
      </c>
      <c r="F372" s="48">
        <f>'Adani Enterprises'!F372</f>
        <v>0</v>
      </c>
      <c r="G372" s="48">
        <f>'Adani Enterprises'!G372</f>
        <v>0</v>
      </c>
      <c r="H372" s="48">
        <f>'Adani Enterprises'!H372</f>
        <v>0</v>
      </c>
      <c r="I372" s="48">
        <f>'Adani Enterprises'!I372</f>
        <v>0</v>
      </c>
      <c r="J372" s="48">
        <f>'Adani Enterprises'!J372</f>
        <v>0</v>
      </c>
      <c r="K372" s="48">
        <f>'Adani Enterprises'!K372</f>
        <v>0</v>
      </c>
      <c r="L372" s="48">
        <f>'Adani Enterprises'!L372</f>
        <v>0</v>
      </c>
      <c r="M372" s="48">
        <f>'Adani Enterprises'!M372</f>
        <v>0</v>
      </c>
      <c r="N372" s="48">
        <f>'Adani Enterprises'!N372</f>
        <v>0</v>
      </c>
      <c r="O372" s="48">
        <f>'Adani Enterprises'!O372</f>
        <v>0</v>
      </c>
      <c r="P372" s="48">
        <f>'Adani Enterprises'!P372</f>
        <v>0</v>
      </c>
      <c r="Q372" s="48">
        <f>'Adani Enterprises'!Q372</f>
        <v>0</v>
      </c>
      <c r="R372" s="48">
        <f>'Adani Enterprises'!R372</f>
        <v>0</v>
      </c>
      <c r="S372" s="48">
        <f>'Adani Enterprises'!S372</f>
        <v>0</v>
      </c>
      <c r="T372" s="48">
        <f>'Adani Enterprises'!T372</f>
        <v>0</v>
      </c>
      <c r="U372" s="48">
        <f>'Adani Enterprises'!U372</f>
        <v>0</v>
      </c>
      <c r="V372" s="48">
        <f>'Adani Enterprises'!V372</f>
        <v>0</v>
      </c>
      <c r="W372" s="48">
        <f>'Adani Enterprises'!W372</f>
        <v>0</v>
      </c>
      <c r="X372" s="48">
        <f>'Adani Enterprises'!X372</f>
        <v>0</v>
      </c>
      <c r="Y372" s="48">
        <f>'Adani Enterprises'!Y372</f>
        <v>0</v>
      </c>
      <c r="Z372" s="48">
        <f>'Adani Enterprises'!Z372</f>
        <v>0</v>
      </c>
      <c r="AA372" s="48">
        <f>'Adani Enterprises'!AA372</f>
        <v>0</v>
      </c>
      <c r="AB372" s="48">
        <f>'Adani Enterprises'!AB372</f>
        <v>0</v>
      </c>
      <c r="AC372" s="48">
        <f>'Adani Enterprises'!AC372</f>
        <v>0</v>
      </c>
      <c r="AD372" s="48">
        <f>'Adani Enterprises'!AD372</f>
        <v>0</v>
      </c>
      <c r="AE372" s="48">
        <f>'Adani Enterprises'!AE372</f>
        <v>0</v>
      </c>
      <c r="AF372" s="48">
        <f>'Adani Enterprises'!AF372</f>
        <v>0</v>
      </c>
      <c r="AG372" s="48">
        <f>'Adani Enterprises'!AG372</f>
        <v>0</v>
      </c>
      <c r="AH372" s="48">
        <f>'Adani Enterprises'!AH372</f>
        <v>0</v>
      </c>
      <c r="AI372" s="48">
        <f>'Adani Enterprises'!AI372</f>
        <v>0</v>
      </c>
      <c r="AJ372" s="48">
        <f>'Adani Enterprises'!AJ372</f>
        <v>0</v>
      </c>
      <c r="AK372" s="48">
        <f>'Adani Enterprises'!AK372</f>
        <v>0</v>
      </c>
      <c r="AL372" s="48">
        <f>'Adani Enterprises'!AL372</f>
        <v>0</v>
      </c>
    </row>
    <row r="373" customHeight="1" spans="1:38">
      <c r="A373" s="48">
        <f>'Adani Enterprises'!A373</f>
        <v>0</v>
      </c>
      <c r="B373" s="48">
        <f>'Adani Enterprises'!B373</f>
        <v>0</v>
      </c>
      <c r="C373" s="48">
        <f>'Adani Enterprises'!C373</f>
        <v>0</v>
      </c>
      <c r="D373" s="48">
        <f>'Adani Enterprises'!D373</f>
        <v>0</v>
      </c>
      <c r="E373" s="48">
        <f>'Adani Enterprises'!E373</f>
        <v>0</v>
      </c>
      <c r="F373" s="48">
        <f>'Adani Enterprises'!F373</f>
        <v>0</v>
      </c>
      <c r="G373" s="48">
        <f>'Adani Enterprises'!G373</f>
        <v>0</v>
      </c>
      <c r="H373" s="48">
        <f>'Adani Enterprises'!H373</f>
        <v>0</v>
      </c>
      <c r="I373" s="48">
        <f>'Adani Enterprises'!I373</f>
        <v>0</v>
      </c>
      <c r="J373" s="48">
        <f>'Adani Enterprises'!J373</f>
        <v>0</v>
      </c>
      <c r="K373" s="48">
        <f>'Adani Enterprises'!K373</f>
        <v>0</v>
      </c>
      <c r="L373" s="48">
        <f>'Adani Enterprises'!L373</f>
        <v>0</v>
      </c>
      <c r="M373" s="48">
        <f>'Adani Enterprises'!M373</f>
        <v>0</v>
      </c>
      <c r="N373" s="48">
        <f>'Adani Enterprises'!N373</f>
        <v>0</v>
      </c>
      <c r="O373" s="48">
        <f>'Adani Enterprises'!O373</f>
        <v>0</v>
      </c>
      <c r="P373" s="48">
        <f>'Adani Enterprises'!P373</f>
        <v>0</v>
      </c>
      <c r="Q373" s="48">
        <f>'Adani Enterprises'!Q373</f>
        <v>0</v>
      </c>
      <c r="R373" s="48">
        <f>'Adani Enterprises'!R373</f>
        <v>0</v>
      </c>
      <c r="S373" s="48">
        <f>'Adani Enterprises'!S373</f>
        <v>0</v>
      </c>
      <c r="T373" s="48">
        <f>'Adani Enterprises'!T373</f>
        <v>0</v>
      </c>
      <c r="U373" s="48">
        <f>'Adani Enterprises'!U373</f>
        <v>0</v>
      </c>
      <c r="V373" s="48">
        <f>'Adani Enterprises'!V373</f>
        <v>0</v>
      </c>
      <c r="W373" s="48">
        <f>'Adani Enterprises'!W373</f>
        <v>0</v>
      </c>
      <c r="X373" s="48">
        <f>'Adani Enterprises'!X373</f>
        <v>0</v>
      </c>
      <c r="Y373" s="48">
        <f>'Adani Enterprises'!Y373</f>
        <v>0</v>
      </c>
      <c r="Z373" s="48">
        <f>'Adani Enterprises'!Z373</f>
        <v>0</v>
      </c>
      <c r="AA373" s="48">
        <f>'Adani Enterprises'!AA373</f>
        <v>0</v>
      </c>
      <c r="AB373" s="48">
        <f>'Adani Enterprises'!AB373</f>
        <v>0</v>
      </c>
      <c r="AC373" s="48">
        <f>'Adani Enterprises'!AC373</f>
        <v>0</v>
      </c>
      <c r="AD373" s="48">
        <f>'Adani Enterprises'!AD373</f>
        <v>0</v>
      </c>
      <c r="AE373" s="48">
        <f>'Adani Enterprises'!AE373</f>
        <v>0</v>
      </c>
      <c r="AF373" s="48">
        <f>'Adani Enterprises'!AF373</f>
        <v>0</v>
      </c>
      <c r="AG373" s="48">
        <f>'Adani Enterprises'!AG373</f>
        <v>0</v>
      </c>
      <c r="AH373" s="48">
        <f>'Adani Enterprises'!AH373</f>
        <v>0</v>
      </c>
      <c r="AI373" s="48">
        <f>'Adani Enterprises'!AI373</f>
        <v>0</v>
      </c>
      <c r="AJ373" s="48">
        <f>'Adani Enterprises'!AJ373</f>
        <v>0</v>
      </c>
      <c r="AK373" s="48">
        <f>'Adani Enterprises'!AK373</f>
        <v>0</v>
      </c>
      <c r="AL373" s="48">
        <f>'Adani Enterprises'!AL373</f>
        <v>0</v>
      </c>
    </row>
    <row r="374" customHeight="1" spans="1:38">
      <c r="A374" s="48">
        <f>'Adani Enterprises'!A374</f>
        <v>0</v>
      </c>
      <c r="B374" s="48">
        <f>'Adani Enterprises'!B374</f>
        <v>0</v>
      </c>
      <c r="C374" s="48">
        <f>'Adani Enterprises'!C374</f>
        <v>0</v>
      </c>
      <c r="D374" s="48">
        <f>'Adani Enterprises'!D374</f>
        <v>0</v>
      </c>
      <c r="E374" s="48">
        <f>'Adani Enterprises'!E374</f>
        <v>0</v>
      </c>
      <c r="F374" s="48">
        <f>'Adani Enterprises'!F374</f>
        <v>0</v>
      </c>
      <c r="G374" s="48">
        <f>'Adani Enterprises'!G374</f>
        <v>0</v>
      </c>
      <c r="H374" s="48">
        <f>'Adani Enterprises'!H374</f>
        <v>0</v>
      </c>
      <c r="I374" s="48">
        <f>'Adani Enterprises'!I374</f>
        <v>0</v>
      </c>
      <c r="J374" s="48">
        <f>'Adani Enterprises'!J374</f>
        <v>0</v>
      </c>
      <c r="K374" s="48">
        <f>'Adani Enterprises'!K374</f>
        <v>0</v>
      </c>
      <c r="L374" s="48">
        <f>'Adani Enterprises'!L374</f>
        <v>0</v>
      </c>
      <c r="M374" s="48">
        <f>'Adani Enterprises'!M374</f>
        <v>0</v>
      </c>
      <c r="N374" s="48">
        <f>'Adani Enterprises'!N374</f>
        <v>0</v>
      </c>
      <c r="O374" s="48">
        <f>'Adani Enterprises'!O374</f>
        <v>0</v>
      </c>
      <c r="P374" s="48">
        <f>'Adani Enterprises'!P374</f>
        <v>0</v>
      </c>
      <c r="Q374" s="48">
        <f>'Adani Enterprises'!Q374</f>
        <v>0</v>
      </c>
      <c r="R374" s="48">
        <f>'Adani Enterprises'!R374</f>
        <v>0</v>
      </c>
      <c r="S374" s="48">
        <f>'Adani Enterprises'!S374</f>
        <v>0</v>
      </c>
      <c r="T374" s="48">
        <f>'Adani Enterprises'!T374</f>
        <v>0</v>
      </c>
      <c r="U374" s="48">
        <f>'Adani Enterprises'!U374</f>
        <v>0</v>
      </c>
      <c r="V374" s="48">
        <f>'Adani Enterprises'!V374</f>
        <v>0</v>
      </c>
      <c r="W374" s="48">
        <f>'Adani Enterprises'!W374</f>
        <v>0</v>
      </c>
      <c r="X374" s="48">
        <f>'Adani Enterprises'!X374</f>
        <v>0</v>
      </c>
      <c r="Y374" s="48">
        <f>'Adani Enterprises'!Y374</f>
        <v>0</v>
      </c>
      <c r="Z374" s="48">
        <f>'Adani Enterprises'!Z374</f>
        <v>0</v>
      </c>
      <c r="AA374" s="48">
        <f>'Adani Enterprises'!AA374</f>
        <v>0</v>
      </c>
      <c r="AB374" s="48">
        <f>'Adani Enterprises'!AB374</f>
        <v>0</v>
      </c>
      <c r="AC374" s="48">
        <f>'Adani Enterprises'!AC374</f>
        <v>0</v>
      </c>
      <c r="AD374" s="48">
        <f>'Adani Enterprises'!AD374</f>
        <v>0</v>
      </c>
      <c r="AE374" s="48">
        <f>'Adani Enterprises'!AE374</f>
        <v>0</v>
      </c>
      <c r="AF374" s="48">
        <f>'Adani Enterprises'!AF374</f>
        <v>0</v>
      </c>
      <c r="AG374" s="48">
        <f>'Adani Enterprises'!AG374</f>
        <v>0</v>
      </c>
      <c r="AH374" s="48">
        <f>'Adani Enterprises'!AH374</f>
        <v>0</v>
      </c>
      <c r="AI374" s="48">
        <f>'Adani Enterprises'!AI374</f>
        <v>0</v>
      </c>
      <c r="AJ374" s="48">
        <f>'Adani Enterprises'!AJ374</f>
        <v>0</v>
      </c>
      <c r="AK374" s="48">
        <f>'Adani Enterprises'!AK374</f>
        <v>0</v>
      </c>
      <c r="AL374" s="48">
        <f>'Adani Enterprises'!AL374</f>
        <v>0</v>
      </c>
    </row>
    <row r="375" customHeight="1" spans="1:38">
      <c r="A375" s="48">
        <f>'Adani Enterprises'!A375</f>
        <v>0</v>
      </c>
      <c r="B375" s="48">
        <f>'Adani Enterprises'!B375</f>
        <v>0</v>
      </c>
      <c r="C375" s="48">
        <f>'Adani Enterprises'!C375</f>
        <v>0</v>
      </c>
      <c r="D375" s="48">
        <f>'Adani Enterprises'!D375</f>
        <v>0</v>
      </c>
      <c r="E375" s="48">
        <f>'Adani Enterprises'!E375</f>
        <v>0</v>
      </c>
      <c r="F375" s="48">
        <f>'Adani Enterprises'!F375</f>
        <v>0</v>
      </c>
      <c r="G375" s="48">
        <f>'Adani Enterprises'!G375</f>
        <v>0</v>
      </c>
      <c r="H375" s="48">
        <f>'Adani Enterprises'!H375</f>
        <v>0</v>
      </c>
      <c r="I375" s="48">
        <f>'Adani Enterprises'!I375</f>
        <v>0</v>
      </c>
      <c r="J375" s="48">
        <f>'Adani Enterprises'!J375</f>
        <v>0</v>
      </c>
      <c r="K375" s="48">
        <f>'Adani Enterprises'!K375</f>
        <v>0</v>
      </c>
      <c r="L375" s="48">
        <f>'Adani Enterprises'!L375</f>
        <v>0</v>
      </c>
      <c r="M375" s="48">
        <f>'Adani Enterprises'!M375</f>
        <v>0</v>
      </c>
      <c r="N375" s="48">
        <f>'Adani Enterprises'!N375</f>
        <v>0</v>
      </c>
      <c r="O375" s="48">
        <f>'Adani Enterprises'!O375</f>
        <v>0</v>
      </c>
      <c r="P375" s="48">
        <f>'Adani Enterprises'!P375</f>
        <v>0</v>
      </c>
      <c r="Q375" s="48">
        <f>'Adani Enterprises'!Q375</f>
        <v>0</v>
      </c>
      <c r="R375" s="48">
        <f>'Adani Enterprises'!R375</f>
        <v>0</v>
      </c>
      <c r="S375" s="48">
        <f>'Adani Enterprises'!S375</f>
        <v>0</v>
      </c>
      <c r="T375" s="48">
        <f>'Adani Enterprises'!T375</f>
        <v>0</v>
      </c>
      <c r="U375" s="48">
        <f>'Adani Enterprises'!U375</f>
        <v>0</v>
      </c>
      <c r="V375" s="48">
        <f>'Adani Enterprises'!V375</f>
        <v>0</v>
      </c>
      <c r="W375" s="48">
        <f>'Adani Enterprises'!W375</f>
        <v>0</v>
      </c>
      <c r="X375" s="48">
        <f>'Adani Enterprises'!X375</f>
        <v>0</v>
      </c>
      <c r="Y375" s="48">
        <f>'Adani Enterprises'!Y375</f>
        <v>0</v>
      </c>
      <c r="Z375" s="48">
        <f>'Adani Enterprises'!Z375</f>
        <v>0</v>
      </c>
      <c r="AA375" s="48">
        <f>'Adani Enterprises'!AA375</f>
        <v>0</v>
      </c>
      <c r="AB375" s="48">
        <f>'Adani Enterprises'!AB375</f>
        <v>0</v>
      </c>
      <c r="AC375" s="48">
        <f>'Adani Enterprises'!AC375</f>
        <v>0</v>
      </c>
      <c r="AD375" s="48">
        <f>'Adani Enterprises'!AD375</f>
        <v>0</v>
      </c>
      <c r="AE375" s="48">
        <f>'Adani Enterprises'!AE375</f>
        <v>0</v>
      </c>
      <c r="AF375" s="48">
        <f>'Adani Enterprises'!AF375</f>
        <v>0</v>
      </c>
      <c r="AG375" s="48">
        <f>'Adani Enterprises'!AG375</f>
        <v>0</v>
      </c>
      <c r="AH375" s="48">
        <f>'Adani Enterprises'!AH375</f>
        <v>0</v>
      </c>
      <c r="AI375" s="48">
        <f>'Adani Enterprises'!AI375</f>
        <v>0</v>
      </c>
      <c r="AJ375" s="48">
        <f>'Adani Enterprises'!AJ375</f>
        <v>0</v>
      </c>
      <c r="AK375" s="48">
        <f>'Adani Enterprises'!AK375</f>
        <v>0</v>
      </c>
      <c r="AL375" s="48">
        <f>'Adani Enterprises'!AL375</f>
        <v>0</v>
      </c>
    </row>
    <row r="376" customHeight="1" spans="1:38">
      <c r="A376" s="48">
        <f>'Adani Enterprises'!A376</f>
        <v>0</v>
      </c>
      <c r="B376" s="48">
        <f>'Adani Enterprises'!B376</f>
        <v>0</v>
      </c>
      <c r="C376" s="48">
        <f>'Adani Enterprises'!C376</f>
        <v>0</v>
      </c>
      <c r="D376" s="48">
        <f>'Adani Enterprises'!D376</f>
        <v>0</v>
      </c>
      <c r="E376" s="48">
        <f>'Adani Enterprises'!E376</f>
        <v>0</v>
      </c>
      <c r="F376" s="48">
        <f>'Adani Enterprises'!F376</f>
        <v>0</v>
      </c>
      <c r="G376" s="48">
        <f>'Adani Enterprises'!G376</f>
        <v>0</v>
      </c>
      <c r="H376" s="48">
        <f>'Adani Enterprises'!H376</f>
        <v>0</v>
      </c>
      <c r="I376" s="48">
        <f>'Adani Enterprises'!I376</f>
        <v>0</v>
      </c>
      <c r="J376" s="48">
        <f>'Adani Enterprises'!J376</f>
        <v>0</v>
      </c>
      <c r="K376" s="48">
        <f>'Adani Enterprises'!K376</f>
        <v>0</v>
      </c>
      <c r="L376" s="48">
        <f>'Adani Enterprises'!L376</f>
        <v>0</v>
      </c>
      <c r="M376" s="48">
        <f>'Adani Enterprises'!M376</f>
        <v>0</v>
      </c>
      <c r="N376" s="48">
        <f>'Adani Enterprises'!N376</f>
        <v>0</v>
      </c>
      <c r="O376" s="48">
        <f>'Adani Enterprises'!O376</f>
        <v>0</v>
      </c>
      <c r="P376" s="48">
        <f>'Adani Enterprises'!P376</f>
        <v>0</v>
      </c>
      <c r="Q376" s="48">
        <f>'Adani Enterprises'!Q376</f>
        <v>0</v>
      </c>
      <c r="R376" s="48">
        <f>'Adani Enterprises'!R376</f>
        <v>0</v>
      </c>
      <c r="S376" s="48">
        <f>'Adani Enterprises'!S376</f>
        <v>0</v>
      </c>
      <c r="T376" s="48">
        <f>'Adani Enterprises'!T376</f>
        <v>0</v>
      </c>
      <c r="U376" s="48">
        <f>'Adani Enterprises'!U376</f>
        <v>0</v>
      </c>
      <c r="V376" s="48">
        <f>'Adani Enterprises'!V376</f>
        <v>0</v>
      </c>
      <c r="W376" s="48">
        <f>'Adani Enterprises'!W376</f>
        <v>0</v>
      </c>
      <c r="X376" s="48">
        <f>'Adani Enterprises'!X376</f>
        <v>0</v>
      </c>
      <c r="Y376" s="48">
        <f>'Adani Enterprises'!Y376</f>
        <v>0</v>
      </c>
      <c r="Z376" s="48">
        <f>'Adani Enterprises'!Z376</f>
        <v>0</v>
      </c>
      <c r="AA376" s="48">
        <f>'Adani Enterprises'!AA376</f>
        <v>0</v>
      </c>
      <c r="AB376" s="48">
        <f>'Adani Enterprises'!AB376</f>
        <v>0</v>
      </c>
      <c r="AC376" s="48">
        <f>'Adani Enterprises'!AC376</f>
        <v>0</v>
      </c>
      <c r="AD376" s="48">
        <f>'Adani Enterprises'!AD376</f>
        <v>0</v>
      </c>
      <c r="AE376" s="48">
        <f>'Adani Enterprises'!AE376</f>
        <v>0</v>
      </c>
      <c r="AF376" s="48">
        <f>'Adani Enterprises'!AF376</f>
        <v>0</v>
      </c>
      <c r="AG376" s="48">
        <f>'Adani Enterprises'!AG376</f>
        <v>0</v>
      </c>
      <c r="AH376" s="48">
        <f>'Adani Enterprises'!AH376</f>
        <v>0</v>
      </c>
      <c r="AI376" s="48">
        <f>'Adani Enterprises'!AI376</f>
        <v>0</v>
      </c>
      <c r="AJ376" s="48">
        <f>'Adani Enterprises'!AJ376</f>
        <v>0</v>
      </c>
      <c r="AK376" s="48">
        <f>'Adani Enterprises'!AK376</f>
        <v>0</v>
      </c>
      <c r="AL376" s="48">
        <f>'Adani Enterprises'!AL376</f>
        <v>0</v>
      </c>
    </row>
    <row r="377" customHeight="1" spans="1:38">
      <c r="A377" s="48">
        <f>'Adani Enterprises'!A377</f>
        <v>0</v>
      </c>
      <c r="B377" s="48">
        <f>'Adani Enterprises'!B377</f>
        <v>0</v>
      </c>
      <c r="C377" s="48">
        <f>'Adani Enterprises'!C377</f>
        <v>0</v>
      </c>
      <c r="D377" s="48">
        <f>'Adani Enterprises'!D377</f>
        <v>0</v>
      </c>
      <c r="E377" s="48">
        <f>'Adani Enterprises'!E377</f>
        <v>0</v>
      </c>
      <c r="F377" s="48">
        <f>'Adani Enterprises'!F377</f>
        <v>0</v>
      </c>
      <c r="G377" s="48">
        <f>'Adani Enterprises'!G377</f>
        <v>0</v>
      </c>
      <c r="H377" s="48">
        <f>'Adani Enterprises'!H377</f>
        <v>0</v>
      </c>
      <c r="I377" s="48">
        <f>'Adani Enterprises'!I377</f>
        <v>0</v>
      </c>
      <c r="J377" s="48">
        <f>'Adani Enterprises'!J377</f>
        <v>0</v>
      </c>
      <c r="K377" s="48">
        <f>'Adani Enterprises'!K377</f>
        <v>0</v>
      </c>
      <c r="L377" s="48">
        <f>'Adani Enterprises'!L377</f>
        <v>0</v>
      </c>
      <c r="M377" s="48">
        <f>'Adani Enterprises'!M377</f>
        <v>0</v>
      </c>
      <c r="N377" s="48">
        <f>'Adani Enterprises'!N377</f>
        <v>0</v>
      </c>
      <c r="O377" s="48">
        <f>'Adani Enterprises'!O377</f>
        <v>0</v>
      </c>
      <c r="P377" s="48">
        <f>'Adani Enterprises'!P377</f>
        <v>0</v>
      </c>
      <c r="Q377" s="48">
        <f>'Adani Enterprises'!Q377</f>
        <v>0</v>
      </c>
      <c r="R377" s="48">
        <f>'Adani Enterprises'!R377</f>
        <v>0</v>
      </c>
      <c r="S377" s="48">
        <f>'Adani Enterprises'!S377</f>
        <v>0</v>
      </c>
      <c r="T377" s="48">
        <f>'Adani Enterprises'!T377</f>
        <v>0</v>
      </c>
      <c r="U377" s="48">
        <f>'Adani Enterprises'!U377</f>
        <v>0</v>
      </c>
      <c r="V377" s="48">
        <f>'Adani Enterprises'!V377</f>
        <v>0</v>
      </c>
      <c r="W377" s="48">
        <f>'Adani Enterprises'!W377</f>
        <v>0</v>
      </c>
      <c r="X377" s="48">
        <f>'Adani Enterprises'!X377</f>
        <v>0</v>
      </c>
      <c r="Y377" s="48">
        <f>'Adani Enterprises'!Y377</f>
        <v>0</v>
      </c>
      <c r="Z377" s="48">
        <f>'Adani Enterprises'!Z377</f>
        <v>0</v>
      </c>
      <c r="AA377" s="48">
        <f>'Adani Enterprises'!AA377</f>
        <v>0</v>
      </c>
      <c r="AB377" s="48">
        <f>'Adani Enterprises'!AB377</f>
        <v>0</v>
      </c>
      <c r="AC377" s="48">
        <f>'Adani Enterprises'!AC377</f>
        <v>0</v>
      </c>
      <c r="AD377" s="48">
        <f>'Adani Enterprises'!AD377</f>
        <v>0</v>
      </c>
      <c r="AE377" s="48">
        <f>'Adani Enterprises'!AE377</f>
        <v>0</v>
      </c>
      <c r="AF377" s="48">
        <f>'Adani Enterprises'!AF377</f>
        <v>0</v>
      </c>
      <c r="AG377" s="48">
        <f>'Adani Enterprises'!AG377</f>
        <v>0</v>
      </c>
      <c r="AH377" s="48">
        <f>'Adani Enterprises'!AH377</f>
        <v>0</v>
      </c>
      <c r="AI377" s="48">
        <f>'Adani Enterprises'!AI377</f>
        <v>0</v>
      </c>
      <c r="AJ377" s="48">
        <f>'Adani Enterprises'!AJ377</f>
        <v>0</v>
      </c>
      <c r="AK377" s="48">
        <f>'Adani Enterprises'!AK377</f>
        <v>0</v>
      </c>
      <c r="AL377" s="48">
        <f>'Adani Enterprises'!AL377</f>
        <v>0</v>
      </c>
    </row>
    <row r="378" customHeight="1" spans="1:38">
      <c r="A378" s="48">
        <f>'Adani Enterprises'!A378</f>
        <v>0</v>
      </c>
      <c r="B378" s="48">
        <f>'Adani Enterprises'!B378</f>
        <v>0</v>
      </c>
      <c r="C378" s="48">
        <f>'Adani Enterprises'!C378</f>
        <v>0</v>
      </c>
      <c r="D378" s="48">
        <f>'Adani Enterprises'!D378</f>
        <v>0</v>
      </c>
      <c r="E378" s="48">
        <f>'Adani Enterprises'!E378</f>
        <v>0</v>
      </c>
      <c r="F378" s="48">
        <f>'Adani Enterprises'!F378</f>
        <v>0</v>
      </c>
      <c r="G378" s="48">
        <f>'Adani Enterprises'!G378</f>
        <v>0</v>
      </c>
      <c r="H378" s="48">
        <f>'Adani Enterprises'!H378</f>
        <v>0</v>
      </c>
      <c r="I378" s="48">
        <f>'Adani Enterprises'!I378</f>
        <v>0</v>
      </c>
      <c r="J378" s="48">
        <f>'Adani Enterprises'!J378</f>
        <v>0</v>
      </c>
      <c r="K378" s="48">
        <f>'Adani Enterprises'!K378</f>
        <v>0</v>
      </c>
      <c r="L378" s="48">
        <f>'Adani Enterprises'!L378</f>
        <v>0</v>
      </c>
      <c r="M378" s="48">
        <f>'Adani Enterprises'!M378</f>
        <v>0</v>
      </c>
      <c r="N378" s="48">
        <f>'Adani Enterprises'!N378</f>
        <v>0</v>
      </c>
      <c r="O378" s="48">
        <f>'Adani Enterprises'!O378</f>
        <v>0</v>
      </c>
      <c r="P378" s="48">
        <f>'Adani Enterprises'!P378</f>
        <v>0</v>
      </c>
      <c r="Q378" s="48">
        <f>'Adani Enterprises'!Q378</f>
        <v>0</v>
      </c>
      <c r="R378" s="48">
        <f>'Adani Enterprises'!R378</f>
        <v>0</v>
      </c>
      <c r="S378" s="48">
        <f>'Adani Enterprises'!S378</f>
        <v>0</v>
      </c>
      <c r="T378" s="48">
        <f>'Adani Enterprises'!T378</f>
        <v>0</v>
      </c>
      <c r="U378" s="48">
        <f>'Adani Enterprises'!U378</f>
        <v>0</v>
      </c>
      <c r="V378" s="48">
        <f>'Adani Enterprises'!V378</f>
        <v>0</v>
      </c>
      <c r="W378" s="48">
        <f>'Adani Enterprises'!W378</f>
        <v>0</v>
      </c>
      <c r="X378" s="48">
        <f>'Adani Enterprises'!X378</f>
        <v>0</v>
      </c>
      <c r="Y378" s="48">
        <f>'Adani Enterprises'!Y378</f>
        <v>0</v>
      </c>
      <c r="Z378" s="48">
        <f>'Adani Enterprises'!Z378</f>
        <v>0</v>
      </c>
      <c r="AA378" s="48">
        <f>'Adani Enterprises'!AA378</f>
        <v>0</v>
      </c>
      <c r="AB378" s="48">
        <f>'Adani Enterprises'!AB378</f>
        <v>0</v>
      </c>
      <c r="AC378" s="48">
        <f>'Adani Enterprises'!AC378</f>
        <v>0</v>
      </c>
      <c r="AD378" s="48">
        <f>'Adani Enterprises'!AD378</f>
        <v>0</v>
      </c>
      <c r="AE378" s="48">
        <f>'Adani Enterprises'!AE378</f>
        <v>0</v>
      </c>
      <c r="AF378" s="48">
        <f>'Adani Enterprises'!AF378</f>
        <v>0</v>
      </c>
      <c r="AG378" s="48">
        <f>'Adani Enterprises'!AG378</f>
        <v>0</v>
      </c>
      <c r="AH378" s="48">
        <f>'Adani Enterprises'!AH378</f>
        <v>0</v>
      </c>
      <c r="AI378" s="48">
        <f>'Adani Enterprises'!AI378</f>
        <v>0</v>
      </c>
      <c r="AJ378" s="48">
        <f>'Adani Enterprises'!AJ378</f>
        <v>0</v>
      </c>
      <c r="AK378" s="48">
        <f>'Adani Enterprises'!AK378</f>
        <v>0</v>
      </c>
      <c r="AL378" s="48">
        <f>'Adani Enterprises'!AL378</f>
        <v>0</v>
      </c>
    </row>
    <row r="379" customHeight="1" spans="1:38">
      <c r="A379" s="48">
        <f>'Adani Enterprises'!A379</f>
        <v>0</v>
      </c>
      <c r="B379" s="48">
        <f>'Adani Enterprises'!B379</f>
        <v>0</v>
      </c>
      <c r="C379" s="48">
        <f>'Adani Enterprises'!C379</f>
        <v>0</v>
      </c>
      <c r="D379" s="48">
        <f>'Adani Enterprises'!D379</f>
        <v>0</v>
      </c>
      <c r="E379" s="48">
        <f>'Adani Enterprises'!E379</f>
        <v>0</v>
      </c>
      <c r="F379" s="48">
        <f>'Adani Enterprises'!F379</f>
        <v>0</v>
      </c>
      <c r="G379" s="48">
        <f>'Adani Enterprises'!G379</f>
        <v>0</v>
      </c>
      <c r="H379" s="48">
        <f>'Adani Enterprises'!H379</f>
        <v>0</v>
      </c>
      <c r="I379" s="48">
        <f>'Adani Enterprises'!I379</f>
        <v>0</v>
      </c>
      <c r="J379" s="48">
        <f>'Adani Enterprises'!J379</f>
        <v>0</v>
      </c>
      <c r="K379" s="48">
        <f>'Adani Enterprises'!K379</f>
        <v>0</v>
      </c>
      <c r="L379" s="48">
        <f>'Adani Enterprises'!L379</f>
        <v>0</v>
      </c>
      <c r="M379" s="48">
        <f>'Adani Enterprises'!M379</f>
        <v>0</v>
      </c>
      <c r="N379" s="48">
        <f>'Adani Enterprises'!N379</f>
        <v>0</v>
      </c>
      <c r="O379" s="48">
        <f>'Adani Enterprises'!O379</f>
        <v>0</v>
      </c>
      <c r="P379" s="48">
        <f>'Adani Enterprises'!P379</f>
        <v>0</v>
      </c>
      <c r="Q379" s="48">
        <f>'Adani Enterprises'!Q379</f>
        <v>0</v>
      </c>
      <c r="R379" s="48">
        <f>'Adani Enterprises'!R379</f>
        <v>0</v>
      </c>
      <c r="S379" s="48">
        <f>'Adani Enterprises'!S379</f>
        <v>0</v>
      </c>
      <c r="T379" s="48">
        <f>'Adani Enterprises'!T379</f>
        <v>0</v>
      </c>
      <c r="U379" s="48">
        <f>'Adani Enterprises'!U379</f>
        <v>0</v>
      </c>
      <c r="V379" s="48">
        <f>'Adani Enterprises'!V379</f>
        <v>0</v>
      </c>
      <c r="W379" s="48">
        <f>'Adani Enterprises'!W379</f>
        <v>0</v>
      </c>
      <c r="X379" s="48">
        <f>'Adani Enterprises'!X379</f>
        <v>0</v>
      </c>
      <c r="Y379" s="48">
        <f>'Adani Enterprises'!Y379</f>
        <v>0</v>
      </c>
      <c r="Z379" s="48">
        <f>'Adani Enterprises'!Z379</f>
        <v>0</v>
      </c>
      <c r="AA379" s="48">
        <f>'Adani Enterprises'!AA379</f>
        <v>0</v>
      </c>
      <c r="AB379" s="48">
        <f>'Adani Enterprises'!AB379</f>
        <v>0</v>
      </c>
      <c r="AC379" s="48">
        <f>'Adani Enterprises'!AC379</f>
        <v>0</v>
      </c>
      <c r="AD379" s="48">
        <f>'Adani Enterprises'!AD379</f>
        <v>0</v>
      </c>
      <c r="AE379" s="48">
        <f>'Adani Enterprises'!AE379</f>
        <v>0</v>
      </c>
      <c r="AF379" s="48">
        <f>'Adani Enterprises'!AF379</f>
        <v>0</v>
      </c>
      <c r="AG379" s="48">
        <f>'Adani Enterprises'!AG379</f>
        <v>0</v>
      </c>
      <c r="AH379" s="48">
        <f>'Adani Enterprises'!AH379</f>
        <v>0</v>
      </c>
      <c r="AI379" s="48">
        <f>'Adani Enterprises'!AI379</f>
        <v>0</v>
      </c>
      <c r="AJ379" s="48">
        <f>'Adani Enterprises'!AJ379</f>
        <v>0</v>
      </c>
      <c r="AK379" s="48">
        <f>'Adani Enterprises'!AK379</f>
        <v>0</v>
      </c>
      <c r="AL379" s="48">
        <f>'Adani Enterprises'!AL379</f>
        <v>0</v>
      </c>
    </row>
    <row r="380" customHeight="1" spans="1:38">
      <c r="A380" s="48">
        <f>'Adani Enterprises'!A380</f>
        <v>0</v>
      </c>
      <c r="B380" s="48">
        <f>'Adani Enterprises'!B380</f>
        <v>0</v>
      </c>
      <c r="C380" s="48">
        <f>'Adani Enterprises'!C380</f>
        <v>0</v>
      </c>
      <c r="D380" s="48">
        <f>'Adani Enterprises'!D380</f>
        <v>0</v>
      </c>
      <c r="E380" s="48">
        <f>'Adani Enterprises'!E380</f>
        <v>0</v>
      </c>
      <c r="F380" s="48">
        <f>'Adani Enterprises'!F380</f>
        <v>0</v>
      </c>
      <c r="G380" s="48">
        <f>'Adani Enterprises'!G380</f>
        <v>0</v>
      </c>
      <c r="H380" s="48">
        <f>'Adani Enterprises'!H380</f>
        <v>0</v>
      </c>
      <c r="I380" s="48">
        <f>'Adani Enterprises'!I380</f>
        <v>0</v>
      </c>
      <c r="J380" s="48">
        <f>'Adani Enterprises'!J380</f>
        <v>0</v>
      </c>
      <c r="K380" s="48">
        <f>'Adani Enterprises'!K380</f>
        <v>0</v>
      </c>
      <c r="L380" s="48">
        <f>'Adani Enterprises'!L380</f>
        <v>0</v>
      </c>
      <c r="M380" s="48">
        <f>'Adani Enterprises'!M380</f>
        <v>0</v>
      </c>
      <c r="N380" s="48">
        <f>'Adani Enterprises'!N380</f>
        <v>0</v>
      </c>
      <c r="O380" s="48">
        <f>'Adani Enterprises'!O380</f>
        <v>0</v>
      </c>
      <c r="P380" s="48">
        <f>'Adani Enterprises'!P380</f>
        <v>0</v>
      </c>
      <c r="Q380" s="48">
        <f>'Adani Enterprises'!Q380</f>
        <v>0</v>
      </c>
      <c r="R380" s="48">
        <f>'Adani Enterprises'!R380</f>
        <v>0</v>
      </c>
      <c r="S380" s="48">
        <f>'Adani Enterprises'!S380</f>
        <v>0</v>
      </c>
      <c r="T380" s="48">
        <f>'Adani Enterprises'!T380</f>
        <v>0</v>
      </c>
      <c r="U380" s="48">
        <f>'Adani Enterprises'!U380</f>
        <v>0</v>
      </c>
      <c r="V380" s="48">
        <f>'Adani Enterprises'!V380</f>
        <v>0</v>
      </c>
      <c r="W380" s="48">
        <f>'Adani Enterprises'!W380</f>
        <v>0</v>
      </c>
      <c r="X380" s="48">
        <f>'Adani Enterprises'!X380</f>
        <v>0</v>
      </c>
      <c r="Y380" s="48">
        <f>'Adani Enterprises'!Y380</f>
        <v>0</v>
      </c>
      <c r="Z380" s="48">
        <f>'Adani Enterprises'!Z380</f>
        <v>0</v>
      </c>
      <c r="AA380" s="48">
        <f>'Adani Enterprises'!AA380</f>
        <v>0</v>
      </c>
      <c r="AB380" s="48">
        <f>'Adani Enterprises'!AB380</f>
        <v>0</v>
      </c>
      <c r="AC380" s="48">
        <f>'Adani Enterprises'!AC380</f>
        <v>0</v>
      </c>
      <c r="AD380" s="48">
        <f>'Adani Enterprises'!AD380</f>
        <v>0</v>
      </c>
      <c r="AE380" s="48">
        <f>'Adani Enterprises'!AE380</f>
        <v>0</v>
      </c>
      <c r="AF380" s="48">
        <f>'Adani Enterprises'!AF380</f>
        <v>0</v>
      </c>
      <c r="AG380" s="48">
        <f>'Adani Enterprises'!AG380</f>
        <v>0</v>
      </c>
      <c r="AH380" s="48">
        <f>'Adani Enterprises'!AH380</f>
        <v>0</v>
      </c>
      <c r="AI380" s="48">
        <f>'Adani Enterprises'!AI380</f>
        <v>0</v>
      </c>
      <c r="AJ380" s="48">
        <f>'Adani Enterprises'!AJ380</f>
        <v>0</v>
      </c>
      <c r="AK380" s="48">
        <f>'Adani Enterprises'!AK380</f>
        <v>0</v>
      </c>
      <c r="AL380" s="48">
        <f>'Adani Enterprises'!AL380</f>
        <v>0</v>
      </c>
    </row>
    <row r="381" customHeight="1" spans="1:38">
      <c r="A381" s="48">
        <f>'Adani Enterprises'!A381</f>
        <v>0</v>
      </c>
      <c r="B381" s="48">
        <f>'Adani Enterprises'!B381</f>
        <v>0</v>
      </c>
      <c r="C381" s="48">
        <f>'Adani Enterprises'!C381</f>
        <v>0</v>
      </c>
      <c r="D381" s="48">
        <f>'Adani Enterprises'!D381</f>
        <v>0</v>
      </c>
      <c r="E381" s="48">
        <f>'Adani Enterprises'!E381</f>
        <v>0</v>
      </c>
      <c r="F381" s="48">
        <f>'Adani Enterprises'!F381</f>
        <v>0</v>
      </c>
      <c r="G381" s="48">
        <f>'Adani Enterprises'!G381</f>
        <v>0</v>
      </c>
      <c r="H381" s="48">
        <f>'Adani Enterprises'!H381</f>
        <v>0</v>
      </c>
      <c r="I381" s="48">
        <f>'Adani Enterprises'!I381</f>
        <v>0</v>
      </c>
      <c r="J381" s="48">
        <f>'Adani Enterprises'!J381</f>
        <v>0</v>
      </c>
      <c r="K381" s="48">
        <f>'Adani Enterprises'!K381</f>
        <v>0</v>
      </c>
      <c r="L381" s="48">
        <f>'Adani Enterprises'!L381</f>
        <v>0</v>
      </c>
      <c r="M381" s="48">
        <f>'Adani Enterprises'!M381</f>
        <v>0</v>
      </c>
      <c r="N381" s="48">
        <f>'Adani Enterprises'!N381</f>
        <v>0</v>
      </c>
      <c r="O381" s="48">
        <f>'Adani Enterprises'!O381</f>
        <v>0</v>
      </c>
      <c r="P381" s="48">
        <f>'Adani Enterprises'!P381</f>
        <v>0</v>
      </c>
      <c r="Q381" s="48">
        <f>'Adani Enterprises'!Q381</f>
        <v>0</v>
      </c>
      <c r="R381" s="48">
        <f>'Adani Enterprises'!R381</f>
        <v>0</v>
      </c>
      <c r="S381" s="48">
        <f>'Adani Enterprises'!S381</f>
        <v>0</v>
      </c>
      <c r="T381" s="48">
        <f>'Adani Enterprises'!T381</f>
        <v>0</v>
      </c>
      <c r="U381" s="48">
        <f>'Adani Enterprises'!U381</f>
        <v>0</v>
      </c>
      <c r="V381" s="48">
        <f>'Adani Enterprises'!V381</f>
        <v>0</v>
      </c>
      <c r="W381" s="48">
        <f>'Adani Enterprises'!W381</f>
        <v>0</v>
      </c>
      <c r="X381" s="48">
        <f>'Adani Enterprises'!X381</f>
        <v>0</v>
      </c>
      <c r="Y381" s="48">
        <f>'Adani Enterprises'!Y381</f>
        <v>0</v>
      </c>
      <c r="Z381" s="48">
        <f>'Adani Enterprises'!Z381</f>
        <v>0</v>
      </c>
      <c r="AA381" s="48">
        <f>'Adani Enterprises'!AA381</f>
        <v>0</v>
      </c>
      <c r="AB381" s="48">
        <f>'Adani Enterprises'!AB381</f>
        <v>0</v>
      </c>
      <c r="AC381" s="48">
        <f>'Adani Enterprises'!AC381</f>
        <v>0</v>
      </c>
      <c r="AD381" s="48">
        <f>'Adani Enterprises'!AD381</f>
        <v>0</v>
      </c>
      <c r="AE381" s="48">
        <f>'Adani Enterprises'!AE381</f>
        <v>0</v>
      </c>
      <c r="AF381" s="48">
        <f>'Adani Enterprises'!AF381</f>
        <v>0</v>
      </c>
      <c r="AG381" s="48">
        <f>'Adani Enterprises'!AG381</f>
        <v>0</v>
      </c>
      <c r="AH381" s="48">
        <f>'Adani Enterprises'!AH381</f>
        <v>0</v>
      </c>
      <c r="AI381" s="48">
        <f>'Adani Enterprises'!AI381</f>
        <v>0</v>
      </c>
      <c r="AJ381" s="48">
        <f>'Adani Enterprises'!AJ381</f>
        <v>0</v>
      </c>
      <c r="AK381" s="48">
        <f>'Adani Enterprises'!AK381</f>
        <v>0</v>
      </c>
      <c r="AL381" s="48">
        <f>'Adani Enterprises'!AL381</f>
        <v>0</v>
      </c>
    </row>
    <row r="382" customHeight="1" spans="1:38">
      <c r="A382" s="48">
        <f>'Adani Enterprises'!A382</f>
        <v>0</v>
      </c>
      <c r="B382" s="48">
        <f>'Adani Enterprises'!B382</f>
        <v>0</v>
      </c>
      <c r="C382" s="48">
        <f>'Adani Enterprises'!C382</f>
        <v>0</v>
      </c>
      <c r="D382" s="48">
        <f>'Adani Enterprises'!D382</f>
        <v>0</v>
      </c>
      <c r="E382" s="48">
        <f>'Adani Enterprises'!E382</f>
        <v>0</v>
      </c>
      <c r="F382" s="48">
        <f>'Adani Enterprises'!F382</f>
        <v>0</v>
      </c>
      <c r="G382" s="48">
        <f>'Adani Enterprises'!G382</f>
        <v>0</v>
      </c>
      <c r="H382" s="48">
        <f>'Adani Enterprises'!H382</f>
        <v>0</v>
      </c>
      <c r="I382" s="48">
        <f>'Adani Enterprises'!I382</f>
        <v>0</v>
      </c>
      <c r="J382" s="48">
        <f>'Adani Enterprises'!J382</f>
        <v>0</v>
      </c>
      <c r="K382" s="48">
        <f>'Adani Enterprises'!K382</f>
        <v>0</v>
      </c>
      <c r="L382" s="48">
        <f>'Adani Enterprises'!L382</f>
        <v>0</v>
      </c>
      <c r="M382" s="48">
        <f>'Adani Enterprises'!M382</f>
        <v>0</v>
      </c>
      <c r="N382" s="48">
        <f>'Adani Enterprises'!N382</f>
        <v>0</v>
      </c>
      <c r="O382" s="48">
        <f>'Adani Enterprises'!O382</f>
        <v>0</v>
      </c>
      <c r="P382" s="48">
        <f>'Adani Enterprises'!P382</f>
        <v>0</v>
      </c>
      <c r="Q382" s="48">
        <f>'Adani Enterprises'!Q382</f>
        <v>0</v>
      </c>
      <c r="R382" s="48">
        <f>'Adani Enterprises'!R382</f>
        <v>0</v>
      </c>
      <c r="S382" s="48">
        <f>'Adani Enterprises'!S382</f>
        <v>0</v>
      </c>
      <c r="T382" s="48">
        <f>'Adani Enterprises'!T382</f>
        <v>0</v>
      </c>
      <c r="U382" s="48">
        <f>'Adani Enterprises'!U382</f>
        <v>0</v>
      </c>
      <c r="V382" s="48">
        <f>'Adani Enterprises'!V382</f>
        <v>0</v>
      </c>
      <c r="W382" s="48">
        <f>'Adani Enterprises'!W382</f>
        <v>0</v>
      </c>
      <c r="X382" s="48">
        <f>'Adani Enterprises'!X382</f>
        <v>0</v>
      </c>
      <c r="Y382" s="48">
        <f>'Adani Enterprises'!Y382</f>
        <v>0</v>
      </c>
      <c r="Z382" s="48">
        <f>'Adani Enterprises'!Z382</f>
        <v>0</v>
      </c>
      <c r="AA382" s="48">
        <f>'Adani Enterprises'!AA382</f>
        <v>0</v>
      </c>
      <c r="AB382" s="48">
        <f>'Adani Enterprises'!AB382</f>
        <v>0</v>
      </c>
      <c r="AC382" s="48">
        <f>'Adani Enterprises'!AC382</f>
        <v>0</v>
      </c>
      <c r="AD382" s="48">
        <f>'Adani Enterprises'!AD382</f>
        <v>0</v>
      </c>
      <c r="AE382" s="48">
        <f>'Adani Enterprises'!AE382</f>
        <v>0</v>
      </c>
      <c r="AF382" s="48">
        <f>'Adani Enterprises'!AF382</f>
        <v>0</v>
      </c>
      <c r="AG382" s="48">
        <f>'Adani Enterprises'!AG382</f>
        <v>0</v>
      </c>
      <c r="AH382" s="48">
        <f>'Adani Enterprises'!AH382</f>
        <v>0</v>
      </c>
      <c r="AI382" s="48">
        <f>'Adani Enterprises'!AI382</f>
        <v>0</v>
      </c>
      <c r="AJ382" s="48">
        <f>'Adani Enterprises'!AJ382</f>
        <v>0</v>
      </c>
      <c r="AK382" s="48">
        <f>'Adani Enterprises'!AK382</f>
        <v>0</v>
      </c>
      <c r="AL382" s="48">
        <f>'Adani Enterprises'!AL382</f>
        <v>0</v>
      </c>
    </row>
    <row r="383" customHeight="1" spans="1:38">
      <c r="A383" s="48">
        <f>'Adani Enterprises'!A383</f>
        <v>0</v>
      </c>
      <c r="B383" s="48">
        <f>'Adani Enterprises'!B383</f>
        <v>0</v>
      </c>
      <c r="C383" s="48">
        <f>'Adani Enterprises'!C383</f>
        <v>0</v>
      </c>
      <c r="D383" s="48">
        <f>'Adani Enterprises'!D383</f>
        <v>0</v>
      </c>
      <c r="E383" s="48">
        <f>'Adani Enterprises'!E383</f>
        <v>0</v>
      </c>
      <c r="F383" s="48">
        <f>'Adani Enterprises'!F383</f>
        <v>0</v>
      </c>
      <c r="G383" s="48">
        <f>'Adani Enterprises'!G383</f>
        <v>0</v>
      </c>
      <c r="H383" s="48">
        <f>'Adani Enterprises'!H383</f>
        <v>0</v>
      </c>
      <c r="I383" s="48">
        <f>'Adani Enterprises'!I383</f>
        <v>0</v>
      </c>
      <c r="J383" s="48">
        <f>'Adani Enterprises'!J383</f>
        <v>0</v>
      </c>
      <c r="K383" s="48">
        <f>'Adani Enterprises'!K383</f>
        <v>0</v>
      </c>
      <c r="L383" s="48">
        <f>'Adani Enterprises'!L383</f>
        <v>0</v>
      </c>
      <c r="M383" s="48">
        <f>'Adani Enterprises'!M383</f>
        <v>0</v>
      </c>
      <c r="N383" s="48">
        <f>'Adani Enterprises'!N383</f>
        <v>0</v>
      </c>
      <c r="O383" s="48">
        <f>'Adani Enterprises'!O383</f>
        <v>0</v>
      </c>
      <c r="P383" s="48">
        <f>'Adani Enterprises'!P383</f>
        <v>0</v>
      </c>
      <c r="Q383" s="48">
        <f>'Adani Enterprises'!Q383</f>
        <v>0</v>
      </c>
      <c r="R383" s="48">
        <f>'Adani Enterprises'!R383</f>
        <v>0</v>
      </c>
      <c r="S383" s="48">
        <f>'Adani Enterprises'!S383</f>
        <v>0</v>
      </c>
      <c r="T383" s="48">
        <f>'Adani Enterprises'!T383</f>
        <v>0</v>
      </c>
      <c r="U383" s="48">
        <f>'Adani Enterprises'!U383</f>
        <v>0</v>
      </c>
      <c r="V383" s="48">
        <f>'Adani Enterprises'!V383</f>
        <v>0</v>
      </c>
      <c r="W383" s="48">
        <f>'Adani Enterprises'!W383</f>
        <v>0</v>
      </c>
      <c r="X383" s="48">
        <f>'Adani Enterprises'!X383</f>
        <v>0</v>
      </c>
      <c r="Y383" s="48">
        <f>'Adani Enterprises'!Y383</f>
        <v>0</v>
      </c>
      <c r="Z383" s="48">
        <f>'Adani Enterprises'!Z383</f>
        <v>0</v>
      </c>
      <c r="AA383" s="48">
        <f>'Adani Enterprises'!AA383</f>
        <v>0</v>
      </c>
      <c r="AB383" s="48">
        <f>'Adani Enterprises'!AB383</f>
        <v>0</v>
      </c>
      <c r="AC383" s="48">
        <f>'Adani Enterprises'!AC383</f>
        <v>0</v>
      </c>
      <c r="AD383" s="48">
        <f>'Adani Enterprises'!AD383</f>
        <v>0</v>
      </c>
      <c r="AE383" s="48">
        <f>'Adani Enterprises'!AE383</f>
        <v>0</v>
      </c>
      <c r="AF383" s="48">
        <f>'Adani Enterprises'!AF383</f>
        <v>0</v>
      </c>
      <c r="AG383" s="48">
        <f>'Adani Enterprises'!AG383</f>
        <v>0</v>
      </c>
      <c r="AH383" s="48">
        <f>'Adani Enterprises'!AH383</f>
        <v>0</v>
      </c>
      <c r="AI383" s="48">
        <f>'Adani Enterprises'!AI383</f>
        <v>0</v>
      </c>
      <c r="AJ383" s="48">
        <f>'Adani Enterprises'!AJ383</f>
        <v>0</v>
      </c>
      <c r="AK383" s="48">
        <f>'Adani Enterprises'!AK383</f>
        <v>0</v>
      </c>
      <c r="AL383" s="48">
        <f>'Adani Enterprises'!AL383</f>
        <v>0</v>
      </c>
    </row>
    <row r="384" customHeight="1" spans="1:38">
      <c r="A384" s="48">
        <f>'Adani Enterprises'!A384</f>
        <v>0</v>
      </c>
      <c r="B384" s="48">
        <f>'Adani Enterprises'!B384</f>
        <v>0</v>
      </c>
      <c r="C384" s="48">
        <f>'Adani Enterprises'!C384</f>
        <v>0</v>
      </c>
      <c r="D384" s="48">
        <f>'Adani Enterprises'!D384</f>
        <v>0</v>
      </c>
      <c r="E384" s="48">
        <f>'Adani Enterprises'!E384</f>
        <v>0</v>
      </c>
      <c r="F384" s="48">
        <f>'Adani Enterprises'!F384</f>
        <v>0</v>
      </c>
      <c r="G384" s="48">
        <f>'Adani Enterprises'!G384</f>
        <v>0</v>
      </c>
      <c r="H384" s="48">
        <f>'Adani Enterprises'!H384</f>
        <v>0</v>
      </c>
      <c r="I384" s="48">
        <f>'Adani Enterprises'!I384</f>
        <v>0</v>
      </c>
      <c r="J384" s="48">
        <f>'Adani Enterprises'!J384</f>
        <v>0</v>
      </c>
      <c r="K384" s="48">
        <f>'Adani Enterprises'!K384</f>
        <v>0</v>
      </c>
      <c r="L384" s="48">
        <f>'Adani Enterprises'!L384</f>
        <v>0</v>
      </c>
      <c r="M384" s="48">
        <f>'Adani Enterprises'!M384</f>
        <v>0</v>
      </c>
      <c r="N384" s="48">
        <f>'Adani Enterprises'!N384</f>
        <v>0</v>
      </c>
      <c r="O384" s="48">
        <f>'Adani Enterprises'!O384</f>
        <v>0</v>
      </c>
      <c r="P384" s="48">
        <f>'Adani Enterprises'!P384</f>
        <v>0</v>
      </c>
      <c r="Q384" s="48">
        <f>'Adani Enterprises'!Q384</f>
        <v>0</v>
      </c>
      <c r="R384" s="48">
        <f>'Adani Enterprises'!R384</f>
        <v>0</v>
      </c>
      <c r="S384" s="48">
        <f>'Adani Enterprises'!S384</f>
        <v>0</v>
      </c>
      <c r="T384" s="48">
        <f>'Adani Enterprises'!T384</f>
        <v>0</v>
      </c>
      <c r="U384" s="48">
        <f>'Adani Enterprises'!U384</f>
        <v>0</v>
      </c>
      <c r="V384" s="48">
        <f>'Adani Enterprises'!V384</f>
        <v>0</v>
      </c>
      <c r="W384" s="48">
        <f>'Adani Enterprises'!W384</f>
        <v>0</v>
      </c>
      <c r="X384" s="48">
        <f>'Adani Enterprises'!X384</f>
        <v>0</v>
      </c>
      <c r="Y384" s="48">
        <f>'Adani Enterprises'!Y384</f>
        <v>0</v>
      </c>
      <c r="Z384" s="48">
        <f>'Adani Enterprises'!Z384</f>
        <v>0</v>
      </c>
      <c r="AA384" s="48">
        <f>'Adani Enterprises'!AA384</f>
        <v>0</v>
      </c>
      <c r="AB384" s="48">
        <f>'Adani Enterprises'!AB384</f>
        <v>0</v>
      </c>
      <c r="AC384" s="48">
        <f>'Adani Enterprises'!AC384</f>
        <v>0</v>
      </c>
      <c r="AD384" s="48">
        <f>'Adani Enterprises'!AD384</f>
        <v>0</v>
      </c>
      <c r="AE384" s="48">
        <f>'Adani Enterprises'!AE384</f>
        <v>0</v>
      </c>
      <c r="AF384" s="48">
        <f>'Adani Enterprises'!AF384</f>
        <v>0</v>
      </c>
      <c r="AG384" s="48">
        <f>'Adani Enterprises'!AG384</f>
        <v>0</v>
      </c>
      <c r="AH384" s="48">
        <f>'Adani Enterprises'!AH384</f>
        <v>0</v>
      </c>
      <c r="AI384" s="48">
        <f>'Adani Enterprises'!AI384</f>
        <v>0</v>
      </c>
      <c r="AJ384" s="48">
        <f>'Adani Enterprises'!AJ384</f>
        <v>0</v>
      </c>
      <c r="AK384" s="48">
        <f>'Adani Enterprises'!AK384</f>
        <v>0</v>
      </c>
      <c r="AL384" s="48">
        <f>'Adani Enterprises'!AL384</f>
        <v>0</v>
      </c>
    </row>
    <row r="385" customHeight="1" spans="1:38">
      <c r="A385" s="48">
        <f>'Adani Enterprises'!A385</f>
        <v>0</v>
      </c>
      <c r="B385" s="48">
        <f>'Adani Enterprises'!B385</f>
        <v>0</v>
      </c>
      <c r="C385" s="48">
        <f>'Adani Enterprises'!C385</f>
        <v>0</v>
      </c>
      <c r="D385" s="48">
        <f>'Adani Enterprises'!D385</f>
        <v>0</v>
      </c>
      <c r="E385" s="48">
        <f>'Adani Enterprises'!E385</f>
        <v>0</v>
      </c>
      <c r="F385" s="48">
        <f>'Adani Enterprises'!F385</f>
        <v>0</v>
      </c>
      <c r="G385" s="48">
        <f>'Adani Enterprises'!G385</f>
        <v>0</v>
      </c>
      <c r="H385" s="48">
        <f>'Adani Enterprises'!H385</f>
        <v>0</v>
      </c>
      <c r="I385" s="48">
        <f>'Adani Enterprises'!I385</f>
        <v>0</v>
      </c>
      <c r="J385" s="48">
        <f>'Adani Enterprises'!J385</f>
        <v>0</v>
      </c>
      <c r="K385" s="48">
        <f>'Adani Enterprises'!K385</f>
        <v>0</v>
      </c>
      <c r="L385" s="48">
        <f>'Adani Enterprises'!L385</f>
        <v>0</v>
      </c>
      <c r="M385" s="48">
        <f>'Adani Enterprises'!M385</f>
        <v>0</v>
      </c>
      <c r="N385" s="48">
        <f>'Adani Enterprises'!N385</f>
        <v>0</v>
      </c>
      <c r="O385" s="48">
        <f>'Adani Enterprises'!O385</f>
        <v>0</v>
      </c>
      <c r="P385" s="48">
        <f>'Adani Enterprises'!P385</f>
        <v>0</v>
      </c>
      <c r="Q385" s="48">
        <f>'Adani Enterprises'!Q385</f>
        <v>0</v>
      </c>
      <c r="R385" s="48">
        <f>'Adani Enterprises'!R385</f>
        <v>0</v>
      </c>
      <c r="S385" s="48">
        <f>'Adani Enterprises'!S385</f>
        <v>0</v>
      </c>
      <c r="T385" s="48">
        <f>'Adani Enterprises'!T385</f>
        <v>0</v>
      </c>
      <c r="U385" s="48">
        <f>'Adani Enterprises'!U385</f>
        <v>0</v>
      </c>
      <c r="V385" s="48">
        <f>'Adani Enterprises'!V385</f>
        <v>0</v>
      </c>
      <c r="W385" s="48">
        <f>'Adani Enterprises'!W385</f>
        <v>0</v>
      </c>
      <c r="X385" s="48">
        <f>'Adani Enterprises'!X385</f>
        <v>0</v>
      </c>
      <c r="Y385" s="48">
        <f>'Adani Enterprises'!Y385</f>
        <v>0</v>
      </c>
      <c r="Z385" s="48">
        <f>'Adani Enterprises'!Z385</f>
        <v>0</v>
      </c>
      <c r="AA385" s="48">
        <f>'Adani Enterprises'!AA385</f>
        <v>0</v>
      </c>
      <c r="AB385" s="48">
        <f>'Adani Enterprises'!AB385</f>
        <v>0</v>
      </c>
      <c r="AC385" s="48">
        <f>'Adani Enterprises'!AC385</f>
        <v>0</v>
      </c>
      <c r="AD385" s="48">
        <f>'Adani Enterprises'!AD385</f>
        <v>0</v>
      </c>
      <c r="AE385" s="48">
        <f>'Adani Enterprises'!AE385</f>
        <v>0</v>
      </c>
      <c r="AF385" s="48">
        <f>'Adani Enterprises'!AF385</f>
        <v>0</v>
      </c>
      <c r="AG385" s="48">
        <f>'Adani Enterprises'!AG385</f>
        <v>0</v>
      </c>
      <c r="AH385" s="48">
        <f>'Adani Enterprises'!AH385</f>
        <v>0</v>
      </c>
      <c r="AI385" s="48">
        <f>'Adani Enterprises'!AI385</f>
        <v>0</v>
      </c>
      <c r="AJ385" s="48">
        <f>'Adani Enterprises'!AJ385</f>
        <v>0</v>
      </c>
      <c r="AK385" s="48">
        <f>'Adani Enterprises'!AK385</f>
        <v>0</v>
      </c>
      <c r="AL385" s="48">
        <f>'Adani Enterprises'!AL385</f>
        <v>0</v>
      </c>
    </row>
    <row r="386" customHeight="1" spans="1:38">
      <c r="A386" s="48">
        <f>'Adani Enterprises'!A386</f>
        <v>0</v>
      </c>
      <c r="B386" s="48">
        <f>'Adani Enterprises'!B386</f>
        <v>0</v>
      </c>
      <c r="C386" s="48">
        <f>'Adani Enterprises'!C386</f>
        <v>0</v>
      </c>
      <c r="D386" s="48">
        <f>'Adani Enterprises'!D386</f>
        <v>0</v>
      </c>
      <c r="E386" s="48">
        <f>'Adani Enterprises'!E386</f>
        <v>0</v>
      </c>
      <c r="F386" s="48">
        <f>'Adani Enterprises'!F386</f>
        <v>0</v>
      </c>
      <c r="G386" s="48">
        <f>'Adani Enterprises'!G386</f>
        <v>0</v>
      </c>
      <c r="H386" s="48">
        <f>'Adani Enterprises'!H386</f>
        <v>0</v>
      </c>
      <c r="I386" s="48">
        <f>'Adani Enterprises'!I386</f>
        <v>0</v>
      </c>
      <c r="J386" s="48">
        <f>'Adani Enterprises'!J386</f>
        <v>0</v>
      </c>
      <c r="K386" s="48">
        <f>'Adani Enterprises'!K386</f>
        <v>0</v>
      </c>
      <c r="L386" s="48">
        <f>'Adani Enterprises'!L386</f>
        <v>0</v>
      </c>
      <c r="M386" s="48">
        <f>'Adani Enterprises'!M386</f>
        <v>0</v>
      </c>
      <c r="N386" s="48">
        <f>'Adani Enterprises'!N386</f>
        <v>0</v>
      </c>
      <c r="O386" s="48">
        <f>'Adani Enterprises'!O386</f>
        <v>0</v>
      </c>
      <c r="P386" s="48">
        <f>'Adani Enterprises'!P386</f>
        <v>0</v>
      </c>
      <c r="Q386" s="48">
        <f>'Adani Enterprises'!Q386</f>
        <v>0</v>
      </c>
      <c r="R386" s="48">
        <f>'Adani Enterprises'!R386</f>
        <v>0</v>
      </c>
      <c r="S386" s="48">
        <f>'Adani Enterprises'!S386</f>
        <v>0</v>
      </c>
      <c r="T386" s="48">
        <f>'Adani Enterprises'!T386</f>
        <v>0</v>
      </c>
      <c r="U386" s="48">
        <f>'Adani Enterprises'!U386</f>
        <v>0</v>
      </c>
      <c r="V386" s="48">
        <f>'Adani Enterprises'!V386</f>
        <v>0</v>
      </c>
      <c r="W386" s="48">
        <f>'Adani Enterprises'!W386</f>
        <v>0</v>
      </c>
      <c r="X386" s="48">
        <f>'Adani Enterprises'!X386</f>
        <v>0</v>
      </c>
      <c r="Y386" s="48">
        <f>'Adani Enterprises'!Y386</f>
        <v>0</v>
      </c>
      <c r="Z386" s="48">
        <f>'Adani Enterprises'!Z386</f>
        <v>0</v>
      </c>
      <c r="AA386" s="48">
        <f>'Adani Enterprises'!AA386</f>
        <v>0</v>
      </c>
      <c r="AB386" s="48">
        <f>'Adani Enterprises'!AB386</f>
        <v>0</v>
      </c>
      <c r="AC386" s="48">
        <f>'Adani Enterprises'!AC386</f>
        <v>0</v>
      </c>
      <c r="AD386" s="48">
        <f>'Adani Enterprises'!AD386</f>
        <v>0</v>
      </c>
      <c r="AE386" s="48">
        <f>'Adani Enterprises'!AE386</f>
        <v>0</v>
      </c>
      <c r="AF386" s="48">
        <f>'Adani Enterprises'!AF386</f>
        <v>0</v>
      </c>
      <c r="AG386" s="48">
        <f>'Adani Enterprises'!AG386</f>
        <v>0</v>
      </c>
      <c r="AH386" s="48">
        <f>'Adani Enterprises'!AH386</f>
        <v>0</v>
      </c>
      <c r="AI386" s="48">
        <f>'Adani Enterprises'!AI386</f>
        <v>0</v>
      </c>
      <c r="AJ386" s="48">
        <f>'Adani Enterprises'!AJ386</f>
        <v>0</v>
      </c>
      <c r="AK386" s="48">
        <f>'Adani Enterprises'!AK386</f>
        <v>0</v>
      </c>
      <c r="AL386" s="48">
        <f>'Adani Enterprises'!AL386</f>
        <v>0</v>
      </c>
    </row>
    <row r="387" customHeight="1" spans="1:38">
      <c r="A387" s="48">
        <f>'Adani Enterprises'!A387</f>
        <v>0</v>
      </c>
      <c r="B387" s="48">
        <f>'Adani Enterprises'!B387</f>
        <v>0</v>
      </c>
      <c r="C387" s="48">
        <f>'Adani Enterprises'!C387</f>
        <v>0</v>
      </c>
      <c r="D387" s="48">
        <f>'Adani Enterprises'!D387</f>
        <v>0</v>
      </c>
      <c r="E387" s="48">
        <f>'Adani Enterprises'!E387</f>
        <v>0</v>
      </c>
      <c r="F387" s="48">
        <f>'Adani Enterprises'!F387</f>
        <v>0</v>
      </c>
      <c r="G387" s="48">
        <f>'Adani Enterprises'!G387</f>
        <v>0</v>
      </c>
      <c r="H387" s="48">
        <f>'Adani Enterprises'!H387</f>
        <v>0</v>
      </c>
      <c r="I387" s="48">
        <f>'Adani Enterprises'!I387</f>
        <v>0</v>
      </c>
      <c r="J387" s="48">
        <f>'Adani Enterprises'!J387</f>
        <v>0</v>
      </c>
      <c r="K387" s="48">
        <f>'Adani Enterprises'!K387</f>
        <v>0</v>
      </c>
      <c r="L387" s="48">
        <f>'Adani Enterprises'!L387</f>
        <v>0</v>
      </c>
      <c r="M387" s="48">
        <f>'Adani Enterprises'!M387</f>
        <v>0</v>
      </c>
      <c r="N387" s="48">
        <f>'Adani Enterprises'!N387</f>
        <v>0</v>
      </c>
      <c r="O387" s="48">
        <f>'Adani Enterprises'!O387</f>
        <v>0</v>
      </c>
      <c r="P387" s="48">
        <f>'Adani Enterprises'!P387</f>
        <v>0</v>
      </c>
      <c r="Q387" s="48">
        <f>'Adani Enterprises'!Q387</f>
        <v>0</v>
      </c>
      <c r="R387" s="48">
        <f>'Adani Enterprises'!R387</f>
        <v>0</v>
      </c>
      <c r="S387" s="48">
        <f>'Adani Enterprises'!S387</f>
        <v>0</v>
      </c>
      <c r="T387" s="48">
        <f>'Adani Enterprises'!T387</f>
        <v>0</v>
      </c>
      <c r="U387" s="48">
        <f>'Adani Enterprises'!U387</f>
        <v>0</v>
      </c>
      <c r="V387" s="48">
        <f>'Adani Enterprises'!V387</f>
        <v>0</v>
      </c>
      <c r="W387" s="48">
        <f>'Adani Enterprises'!W387</f>
        <v>0</v>
      </c>
      <c r="X387" s="48">
        <f>'Adani Enterprises'!X387</f>
        <v>0</v>
      </c>
      <c r="Y387" s="48">
        <f>'Adani Enterprises'!Y387</f>
        <v>0</v>
      </c>
      <c r="Z387" s="48">
        <f>'Adani Enterprises'!Z387</f>
        <v>0</v>
      </c>
      <c r="AA387" s="48">
        <f>'Adani Enterprises'!AA387</f>
        <v>0</v>
      </c>
      <c r="AB387" s="48">
        <f>'Adani Enterprises'!AB387</f>
        <v>0</v>
      </c>
      <c r="AC387" s="48">
        <f>'Adani Enterprises'!AC387</f>
        <v>0</v>
      </c>
      <c r="AD387" s="48">
        <f>'Adani Enterprises'!AD387</f>
        <v>0</v>
      </c>
      <c r="AE387" s="48">
        <f>'Adani Enterprises'!AE387</f>
        <v>0</v>
      </c>
      <c r="AF387" s="48">
        <f>'Adani Enterprises'!AF387</f>
        <v>0</v>
      </c>
      <c r="AG387" s="48">
        <f>'Adani Enterprises'!AG387</f>
        <v>0</v>
      </c>
      <c r="AH387" s="48">
        <f>'Adani Enterprises'!AH387</f>
        <v>0</v>
      </c>
      <c r="AI387" s="48">
        <f>'Adani Enterprises'!AI387</f>
        <v>0</v>
      </c>
      <c r="AJ387" s="48">
        <f>'Adani Enterprises'!AJ387</f>
        <v>0</v>
      </c>
      <c r="AK387" s="48">
        <f>'Adani Enterprises'!AK387</f>
        <v>0</v>
      </c>
      <c r="AL387" s="48">
        <f>'Adani Enterprises'!AL387</f>
        <v>0</v>
      </c>
    </row>
    <row r="388" customHeight="1" spans="1:38">
      <c r="A388" s="48">
        <f>'Adani Enterprises'!A388</f>
        <v>0</v>
      </c>
      <c r="B388" s="48">
        <f>'Adani Enterprises'!B388</f>
        <v>0</v>
      </c>
      <c r="C388" s="48">
        <f>'Adani Enterprises'!C388</f>
        <v>0</v>
      </c>
      <c r="D388" s="48">
        <f>'Adani Enterprises'!D388</f>
        <v>0</v>
      </c>
      <c r="E388" s="48">
        <f>'Adani Enterprises'!E388</f>
        <v>0</v>
      </c>
      <c r="F388" s="48">
        <f>'Adani Enterprises'!F388</f>
        <v>0</v>
      </c>
      <c r="G388" s="48">
        <f>'Adani Enterprises'!G388</f>
        <v>0</v>
      </c>
      <c r="H388" s="48">
        <f>'Adani Enterprises'!H388</f>
        <v>0</v>
      </c>
      <c r="I388" s="48">
        <f>'Adani Enterprises'!I388</f>
        <v>0</v>
      </c>
      <c r="J388" s="48">
        <f>'Adani Enterprises'!J388</f>
        <v>0</v>
      </c>
      <c r="K388" s="48">
        <f>'Adani Enterprises'!K388</f>
        <v>0</v>
      </c>
      <c r="L388" s="48">
        <f>'Adani Enterprises'!L388</f>
        <v>0</v>
      </c>
      <c r="M388" s="48">
        <f>'Adani Enterprises'!M388</f>
        <v>0</v>
      </c>
      <c r="N388" s="48">
        <f>'Adani Enterprises'!N388</f>
        <v>0</v>
      </c>
      <c r="O388" s="48">
        <f>'Adani Enterprises'!O388</f>
        <v>0</v>
      </c>
      <c r="P388" s="48">
        <f>'Adani Enterprises'!P388</f>
        <v>0</v>
      </c>
      <c r="Q388" s="48">
        <f>'Adani Enterprises'!Q388</f>
        <v>0</v>
      </c>
      <c r="R388" s="48">
        <f>'Adani Enterprises'!R388</f>
        <v>0</v>
      </c>
      <c r="S388" s="48">
        <f>'Adani Enterprises'!S388</f>
        <v>0</v>
      </c>
      <c r="T388" s="48">
        <f>'Adani Enterprises'!T388</f>
        <v>0</v>
      </c>
      <c r="U388" s="48">
        <f>'Adani Enterprises'!U388</f>
        <v>0</v>
      </c>
      <c r="V388" s="48">
        <f>'Adani Enterprises'!V388</f>
        <v>0</v>
      </c>
      <c r="W388" s="48">
        <f>'Adani Enterprises'!W388</f>
        <v>0</v>
      </c>
      <c r="X388" s="48">
        <f>'Adani Enterprises'!X388</f>
        <v>0</v>
      </c>
      <c r="Y388" s="48">
        <f>'Adani Enterprises'!Y388</f>
        <v>0</v>
      </c>
      <c r="Z388" s="48">
        <f>'Adani Enterprises'!Z388</f>
        <v>0</v>
      </c>
      <c r="AA388" s="48">
        <f>'Adani Enterprises'!AA388</f>
        <v>0</v>
      </c>
      <c r="AB388" s="48">
        <f>'Adani Enterprises'!AB388</f>
        <v>0</v>
      </c>
      <c r="AC388" s="48">
        <f>'Adani Enterprises'!AC388</f>
        <v>0</v>
      </c>
      <c r="AD388" s="48">
        <f>'Adani Enterprises'!AD388</f>
        <v>0</v>
      </c>
      <c r="AE388" s="48">
        <f>'Adani Enterprises'!AE388</f>
        <v>0</v>
      </c>
      <c r="AF388" s="48">
        <f>'Adani Enterprises'!AF388</f>
        <v>0</v>
      </c>
      <c r="AG388" s="48">
        <f>'Adani Enterprises'!AG388</f>
        <v>0</v>
      </c>
      <c r="AH388" s="48">
        <f>'Adani Enterprises'!AH388</f>
        <v>0</v>
      </c>
      <c r="AI388" s="48">
        <f>'Adani Enterprises'!AI388</f>
        <v>0</v>
      </c>
      <c r="AJ388" s="48">
        <f>'Adani Enterprises'!AJ388</f>
        <v>0</v>
      </c>
      <c r="AK388" s="48">
        <f>'Adani Enterprises'!AK388</f>
        <v>0</v>
      </c>
      <c r="AL388" s="48">
        <f>'Adani Enterprises'!AL388</f>
        <v>0</v>
      </c>
    </row>
    <row r="389" customHeight="1" spans="1:38">
      <c r="A389" s="48">
        <f>'Adani Enterprises'!A389</f>
        <v>0</v>
      </c>
      <c r="B389" s="48">
        <f>'Adani Enterprises'!B389</f>
        <v>0</v>
      </c>
      <c r="C389" s="48">
        <f>'Adani Enterprises'!C389</f>
        <v>0</v>
      </c>
      <c r="D389" s="48">
        <f>'Adani Enterprises'!D389</f>
        <v>0</v>
      </c>
      <c r="E389" s="48">
        <f>'Adani Enterprises'!E389</f>
        <v>0</v>
      </c>
      <c r="F389" s="48">
        <f>'Adani Enterprises'!F389</f>
        <v>0</v>
      </c>
      <c r="G389" s="48">
        <f>'Adani Enterprises'!G389</f>
        <v>0</v>
      </c>
      <c r="H389" s="48">
        <f>'Adani Enterprises'!H389</f>
        <v>0</v>
      </c>
      <c r="I389" s="48">
        <f>'Adani Enterprises'!I389</f>
        <v>0</v>
      </c>
      <c r="J389" s="48">
        <f>'Adani Enterprises'!J389</f>
        <v>0</v>
      </c>
      <c r="K389" s="48">
        <f>'Adani Enterprises'!K389</f>
        <v>0</v>
      </c>
      <c r="L389" s="48">
        <f>'Adani Enterprises'!L389</f>
        <v>0</v>
      </c>
      <c r="M389" s="48">
        <f>'Adani Enterprises'!M389</f>
        <v>0</v>
      </c>
      <c r="N389" s="48">
        <f>'Adani Enterprises'!N389</f>
        <v>0</v>
      </c>
      <c r="O389" s="48">
        <f>'Adani Enterprises'!O389</f>
        <v>0</v>
      </c>
      <c r="P389" s="48">
        <f>'Adani Enterprises'!P389</f>
        <v>0</v>
      </c>
      <c r="Q389" s="48">
        <f>'Adani Enterprises'!Q389</f>
        <v>0</v>
      </c>
      <c r="R389" s="48">
        <f>'Adani Enterprises'!R389</f>
        <v>0</v>
      </c>
      <c r="S389" s="48">
        <f>'Adani Enterprises'!S389</f>
        <v>0</v>
      </c>
      <c r="T389" s="48">
        <f>'Adani Enterprises'!T389</f>
        <v>0</v>
      </c>
      <c r="U389" s="48">
        <f>'Adani Enterprises'!U389</f>
        <v>0</v>
      </c>
      <c r="V389" s="48">
        <f>'Adani Enterprises'!V389</f>
        <v>0</v>
      </c>
      <c r="W389" s="48">
        <f>'Adani Enterprises'!W389</f>
        <v>0</v>
      </c>
      <c r="X389" s="48">
        <f>'Adani Enterprises'!X389</f>
        <v>0</v>
      </c>
      <c r="Y389" s="48">
        <f>'Adani Enterprises'!Y389</f>
        <v>0</v>
      </c>
      <c r="Z389" s="48">
        <f>'Adani Enterprises'!Z389</f>
        <v>0</v>
      </c>
      <c r="AA389" s="48">
        <f>'Adani Enterprises'!AA389</f>
        <v>0</v>
      </c>
      <c r="AB389" s="48">
        <f>'Adani Enterprises'!AB389</f>
        <v>0</v>
      </c>
      <c r="AC389" s="48">
        <f>'Adani Enterprises'!AC389</f>
        <v>0</v>
      </c>
      <c r="AD389" s="48">
        <f>'Adani Enterprises'!AD389</f>
        <v>0</v>
      </c>
      <c r="AE389" s="48">
        <f>'Adani Enterprises'!AE389</f>
        <v>0</v>
      </c>
      <c r="AF389" s="48">
        <f>'Adani Enterprises'!AF389</f>
        <v>0</v>
      </c>
      <c r="AG389" s="48">
        <f>'Adani Enterprises'!AG389</f>
        <v>0</v>
      </c>
      <c r="AH389" s="48">
        <f>'Adani Enterprises'!AH389</f>
        <v>0</v>
      </c>
      <c r="AI389" s="48">
        <f>'Adani Enterprises'!AI389</f>
        <v>0</v>
      </c>
      <c r="AJ389" s="48">
        <f>'Adani Enterprises'!AJ389</f>
        <v>0</v>
      </c>
      <c r="AK389" s="48">
        <f>'Adani Enterprises'!AK389</f>
        <v>0</v>
      </c>
      <c r="AL389" s="48">
        <f>'Adani Enterprises'!AL389</f>
        <v>0</v>
      </c>
    </row>
    <row r="390" customHeight="1" spans="1:38">
      <c r="A390" s="48">
        <f>'Adani Enterprises'!A390</f>
        <v>0</v>
      </c>
      <c r="B390" s="48">
        <f>'Adani Enterprises'!B390</f>
        <v>0</v>
      </c>
      <c r="C390" s="48">
        <f>'Adani Enterprises'!C390</f>
        <v>0</v>
      </c>
      <c r="D390" s="48">
        <f>'Adani Enterprises'!D390</f>
        <v>0</v>
      </c>
      <c r="E390" s="48">
        <f>'Adani Enterprises'!E390</f>
        <v>0</v>
      </c>
      <c r="F390" s="48">
        <f>'Adani Enterprises'!F390</f>
        <v>0</v>
      </c>
      <c r="G390" s="48">
        <f>'Adani Enterprises'!G390</f>
        <v>0</v>
      </c>
      <c r="H390" s="48">
        <f>'Adani Enterprises'!H390</f>
        <v>0</v>
      </c>
      <c r="I390" s="48">
        <f>'Adani Enterprises'!I390</f>
        <v>0</v>
      </c>
      <c r="J390" s="48">
        <f>'Adani Enterprises'!J390</f>
        <v>0</v>
      </c>
      <c r="K390" s="48">
        <f>'Adani Enterprises'!K390</f>
        <v>0</v>
      </c>
      <c r="L390" s="48">
        <f>'Adani Enterprises'!L390</f>
        <v>0</v>
      </c>
      <c r="M390" s="48">
        <f>'Adani Enterprises'!M390</f>
        <v>0</v>
      </c>
      <c r="N390" s="48">
        <f>'Adani Enterprises'!N390</f>
        <v>0</v>
      </c>
      <c r="O390" s="48">
        <f>'Adani Enterprises'!O390</f>
        <v>0</v>
      </c>
      <c r="P390" s="48">
        <f>'Adani Enterprises'!P390</f>
        <v>0</v>
      </c>
      <c r="Q390" s="48">
        <f>'Adani Enterprises'!Q390</f>
        <v>0</v>
      </c>
      <c r="R390" s="48">
        <f>'Adani Enterprises'!R390</f>
        <v>0</v>
      </c>
      <c r="S390" s="48">
        <f>'Adani Enterprises'!S390</f>
        <v>0</v>
      </c>
      <c r="T390" s="48">
        <f>'Adani Enterprises'!T390</f>
        <v>0</v>
      </c>
      <c r="U390" s="48">
        <f>'Adani Enterprises'!U390</f>
        <v>0</v>
      </c>
      <c r="V390" s="48">
        <f>'Adani Enterprises'!V390</f>
        <v>0</v>
      </c>
      <c r="W390" s="48">
        <f>'Adani Enterprises'!W390</f>
        <v>0</v>
      </c>
      <c r="X390" s="48">
        <f>'Adani Enterprises'!X390</f>
        <v>0</v>
      </c>
      <c r="Y390" s="48">
        <f>'Adani Enterprises'!Y390</f>
        <v>0</v>
      </c>
      <c r="Z390" s="48">
        <f>'Adani Enterprises'!Z390</f>
        <v>0</v>
      </c>
      <c r="AA390" s="48">
        <f>'Adani Enterprises'!AA390</f>
        <v>0</v>
      </c>
      <c r="AB390" s="48">
        <f>'Adani Enterprises'!AB390</f>
        <v>0</v>
      </c>
      <c r="AC390" s="48">
        <f>'Adani Enterprises'!AC390</f>
        <v>0</v>
      </c>
      <c r="AD390" s="48">
        <f>'Adani Enterprises'!AD390</f>
        <v>0</v>
      </c>
      <c r="AE390" s="48">
        <f>'Adani Enterprises'!AE390</f>
        <v>0</v>
      </c>
      <c r="AF390" s="48">
        <f>'Adani Enterprises'!AF390</f>
        <v>0</v>
      </c>
      <c r="AG390" s="48">
        <f>'Adani Enterprises'!AG390</f>
        <v>0</v>
      </c>
      <c r="AH390" s="48">
        <f>'Adani Enterprises'!AH390</f>
        <v>0</v>
      </c>
      <c r="AI390" s="48">
        <f>'Adani Enterprises'!AI390</f>
        <v>0</v>
      </c>
      <c r="AJ390" s="48">
        <f>'Adani Enterprises'!AJ390</f>
        <v>0</v>
      </c>
      <c r="AK390" s="48">
        <f>'Adani Enterprises'!AK390</f>
        <v>0</v>
      </c>
      <c r="AL390" s="48">
        <f>'Adani Enterprises'!AL390</f>
        <v>0</v>
      </c>
    </row>
    <row r="391" customHeight="1" spans="1:38">
      <c r="A391" s="48">
        <f>'Adani Enterprises'!A391</f>
        <v>0</v>
      </c>
      <c r="B391" s="48">
        <f>'Adani Enterprises'!B391</f>
        <v>0</v>
      </c>
      <c r="C391" s="48">
        <f>'Adani Enterprises'!C391</f>
        <v>0</v>
      </c>
      <c r="D391" s="48">
        <f>'Adani Enterprises'!D391</f>
        <v>0</v>
      </c>
      <c r="E391" s="48">
        <f>'Adani Enterprises'!E391</f>
        <v>0</v>
      </c>
      <c r="F391" s="48">
        <f>'Adani Enterprises'!F391</f>
        <v>0</v>
      </c>
      <c r="G391" s="48">
        <f>'Adani Enterprises'!G391</f>
        <v>0</v>
      </c>
      <c r="H391" s="48">
        <f>'Adani Enterprises'!H391</f>
        <v>0</v>
      </c>
      <c r="I391" s="48">
        <f>'Adani Enterprises'!I391</f>
        <v>0</v>
      </c>
      <c r="J391" s="48">
        <f>'Adani Enterprises'!J391</f>
        <v>0</v>
      </c>
      <c r="K391" s="48">
        <f>'Adani Enterprises'!K391</f>
        <v>0</v>
      </c>
      <c r="L391" s="48">
        <f>'Adani Enterprises'!L391</f>
        <v>0</v>
      </c>
      <c r="M391" s="48">
        <f>'Adani Enterprises'!M391</f>
        <v>0</v>
      </c>
      <c r="N391" s="48">
        <f>'Adani Enterprises'!N391</f>
        <v>0</v>
      </c>
      <c r="O391" s="48">
        <f>'Adani Enterprises'!O391</f>
        <v>0</v>
      </c>
      <c r="P391" s="48">
        <f>'Adani Enterprises'!P391</f>
        <v>0</v>
      </c>
      <c r="Q391" s="48">
        <f>'Adani Enterprises'!Q391</f>
        <v>0</v>
      </c>
      <c r="R391" s="48">
        <f>'Adani Enterprises'!R391</f>
        <v>0</v>
      </c>
      <c r="S391" s="48">
        <f>'Adani Enterprises'!S391</f>
        <v>0</v>
      </c>
      <c r="T391" s="48">
        <f>'Adani Enterprises'!T391</f>
        <v>0</v>
      </c>
      <c r="U391" s="48">
        <f>'Adani Enterprises'!U391</f>
        <v>0</v>
      </c>
      <c r="V391" s="48">
        <f>'Adani Enterprises'!V391</f>
        <v>0</v>
      </c>
      <c r="W391" s="48">
        <f>'Adani Enterprises'!W391</f>
        <v>0</v>
      </c>
      <c r="X391" s="48">
        <f>'Adani Enterprises'!X391</f>
        <v>0</v>
      </c>
      <c r="Y391" s="48">
        <f>'Adani Enterprises'!Y391</f>
        <v>0</v>
      </c>
      <c r="Z391" s="48">
        <f>'Adani Enterprises'!Z391</f>
        <v>0</v>
      </c>
      <c r="AA391" s="48">
        <f>'Adani Enterprises'!AA391</f>
        <v>0</v>
      </c>
      <c r="AB391" s="48">
        <f>'Adani Enterprises'!AB391</f>
        <v>0</v>
      </c>
      <c r="AC391" s="48">
        <f>'Adani Enterprises'!AC391</f>
        <v>0</v>
      </c>
      <c r="AD391" s="48">
        <f>'Adani Enterprises'!AD391</f>
        <v>0</v>
      </c>
      <c r="AE391" s="48">
        <f>'Adani Enterprises'!AE391</f>
        <v>0</v>
      </c>
      <c r="AF391" s="48">
        <f>'Adani Enterprises'!AF391</f>
        <v>0</v>
      </c>
      <c r="AG391" s="48">
        <f>'Adani Enterprises'!AG391</f>
        <v>0</v>
      </c>
      <c r="AH391" s="48">
        <f>'Adani Enterprises'!AH391</f>
        <v>0</v>
      </c>
      <c r="AI391" s="48">
        <f>'Adani Enterprises'!AI391</f>
        <v>0</v>
      </c>
      <c r="AJ391" s="48">
        <f>'Adani Enterprises'!AJ391</f>
        <v>0</v>
      </c>
      <c r="AK391" s="48">
        <f>'Adani Enterprises'!AK391</f>
        <v>0</v>
      </c>
      <c r="AL391" s="48">
        <f>'Adani Enterprises'!AL391</f>
        <v>0</v>
      </c>
    </row>
    <row r="392" customHeight="1" spans="1:38">
      <c r="A392" s="48">
        <f>'Adani Enterprises'!A392</f>
        <v>0</v>
      </c>
      <c r="B392" s="48">
        <f>'Adani Enterprises'!B392</f>
        <v>0</v>
      </c>
      <c r="C392" s="48">
        <f>'Adani Enterprises'!C392</f>
        <v>0</v>
      </c>
      <c r="D392" s="48">
        <f>'Adani Enterprises'!D392</f>
        <v>0</v>
      </c>
      <c r="E392" s="48">
        <f>'Adani Enterprises'!E392</f>
        <v>0</v>
      </c>
      <c r="F392" s="48">
        <f>'Adani Enterprises'!F392</f>
        <v>0</v>
      </c>
      <c r="G392" s="48">
        <f>'Adani Enterprises'!G392</f>
        <v>0</v>
      </c>
      <c r="H392" s="48">
        <f>'Adani Enterprises'!H392</f>
        <v>0</v>
      </c>
      <c r="I392" s="48">
        <f>'Adani Enterprises'!I392</f>
        <v>0</v>
      </c>
      <c r="J392" s="48">
        <f>'Adani Enterprises'!J392</f>
        <v>0</v>
      </c>
      <c r="K392" s="48">
        <f>'Adani Enterprises'!K392</f>
        <v>0</v>
      </c>
      <c r="L392" s="48">
        <f>'Adani Enterprises'!L392</f>
        <v>0</v>
      </c>
      <c r="M392" s="48">
        <f>'Adani Enterprises'!M392</f>
        <v>0</v>
      </c>
      <c r="N392" s="48">
        <f>'Adani Enterprises'!N392</f>
        <v>0</v>
      </c>
      <c r="O392" s="48">
        <f>'Adani Enterprises'!O392</f>
        <v>0</v>
      </c>
      <c r="P392" s="48">
        <f>'Adani Enterprises'!P392</f>
        <v>0</v>
      </c>
      <c r="Q392" s="48">
        <f>'Adani Enterprises'!Q392</f>
        <v>0</v>
      </c>
      <c r="R392" s="48">
        <f>'Adani Enterprises'!R392</f>
        <v>0</v>
      </c>
      <c r="S392" s="48">
        <f>'Adani Enterprises'!S392</f>
        <v>0</v>
      </c>
      <c r="T392" s="48">
        <f>'Adani Enterprises'!T392</f>
        <v>0</v>
      </c>
      <c r="U392" s="48">
        <f>'Adani Enterprises'!U392</f>
        <v>0</v>
      </c>
      <c r="V392" s="48">
        <f>'Adani Enterprises'!V392</f>
        <v>0</v>
      </c>
      <c r="W392" s="48">
        <f>'Adani Enterprises'!W392</f>
        <v>0</v>
      </c>
      <c r="X392" s="48">
        <f>'Adani Enterprises'!X392</f>
        <v>0</v>
      </c>
      <c r="Y392" s="48">
        <f>'Adani Enterprises'!Y392</f>
        <v>0</v>
      </c>
      <c r="Z392" s="48">
        <f>'Adani Enterprises'!Z392</f>
        <v>0</v>
      </c>
      <c r="AA392" s="48">
        <f>'Adani Enterprises'!AA392</f>
        <v>0</v>
      </c>
      <c r="AB392" s="48">
        <f>'Adani Enterprises'!AB392</f>
        <v>0</v>
      </c>
      <c r="AC392" s="48">
        <f>'Adani Enterprises'!AC392</f>
        <v>0</v>
      </c>
      <c r="AD392" s="48">
        <f>'Adani Enterprises'!AD392</f>
        <v>0</v>
      </c>
      <c r="AE392" s="48">
        <f>'Adani Enterprises'!AE392</f>
        <v>0</v>
      </c>
      <c r="AF392" s="48">
        <f>'Adani Enterprises'!AF392</f>
        <v>0</v>
      </c>
      <c r="AG392" s="48">
        <f>'Adani Enterprises'!AG392</f>
        <v>0</v>
      </c>
      <c r="AH392" s="48">
        <f>'Adani Enterprises'!AH392</f>
        <v>0</v>
      </c>
      <c r="AI392" s="48">
        <f>'Adani Enterprises'!AI392</f>
        <v>0</v>
      </c>
      <c r="AJ392" s="48">
        <f>'Adani Enterprises'!AJ392</f>
        <v>0</v>
      </c>
      <c r="AK392" s="48">
        <f>'Adani Enterprises'!AK392</f>
        <v>0</v>
      </c>
      <c r="AL392" s="48">
        <f>'Adani Enterprises'!AL392</f>
        <v>0</v>
      </c>
    </row>
    <row r="393" customHeight="1" spans="1:38">
      <c r="A393" s="48">
        <f>'Adani Enterprises'!A393</f>
        <v>0</v>
      </c>
      <c r="B393" s="48">
        <f>'Adani Enterprises'!B393</f>
        <v>0</v>
      </c>
      <c r="C393" s="48">
        <f>'Adani Enterprises'!C393</f>
        <v>0</v>
      </c>
      <c r="D393" s="48">
        <f>'Adani Enterprises'!D393</f>
        <v>0</v>
      </c>
      <c r="E393" s="48">
        <f>'Adani Enterprises'!E393</f>
        <v>0</v>
      </c>
      <c r="F393" s="48">
        <f>'Adani Enterprises'!F393</f>
        <v>0</v>
      </c>
      <c r="G393" s="48">
        <f>'Adani Enterprises'!G393</f>
        <v>0</v>
      </c>
      <c r="H393" s="48">
        <f>'Adani Enterprises'!H393</f>
        <v>0</v>
      </c>
      <c r="I393" s="48">
        <f>'Adani Enterprises'!I393</f>
        <v>0</v>
      </c>
      <c r="J393" s="48">
        <f>'Adani Enterprises'!J393</f>
        <v>0</v>
      </c>
      <c r="K393" s="48">
        <f>'Adani Enterprises'!K393</f>
        <v>0</v>
      </c>
      <c r="L393" s="48">
        <f>'Adani Enterprises'!L393</f>
        <v>0</v>
      </c>
      <c r="M393" s="48">
        <f>'Adani Enterprises'!M393</f>
        <v>0</v>
      </c>
      <c r="N393" s="48">
        <f>'Adani Enterprises'!N393</f>
        <v>0</v>
      </c>
      <c r="O393" s="48">
        <f>'Adani Enterprises'!O393</f>
        <v>0</v>
      </c>
      <c r="P393" s="48">
        <f>'Adani Enterprises'!P393</f>
        <v>0</v>
      </c>
      <c r="Q393" s="48">
        <f>'Adani Enterprises'!Q393</f>
        <v>0</v>
      </c>
      <c r="R393" s="48">
        <f>'Adani Enterprises'!R393</f>
        <v>0</v>
      </c>
      <c r="S393" s="48">
        <f>'Adani Enterprises'!S393</f>
        <v>0</v>
      </c>
      <c r="T393" s="48">
        <f>'Adani Enterprises'!T393</f>
        <v>0</v>
      </c>
      <c r="U393" s="48">
        <f>'Adani Enterprises'!U393</f>
        <v>0</v>
      </c>
      <c r="V393" s="48">
        <f>'Adani Enterprises'!V393</f>
        <v>0</v>
      </c>
      <c r="W393" s="48">
        <f>'Adani Enterprises'!W393</f>
        <v>0</v>
      </c>
      <c r="X393" s="48">
        <f>'Adani Enterprises'!X393</f>
        <v>0</v>
      </c>
      <c r="Y393" s="48">
        <f>'Adani Enterprises'!Y393</f>
        <v>0</v>
      </c>
      <c r="Z393" s="48">
        <f>'Adani Enterprises'!Z393</f>
        <v>0</v>
      </c>
      <c r="AA393" s="48">
        <f>'Adani Enterprises'!AA393</f>
        <v>0</v>
      </c>
      <c r="AB393" s="48">
        <f>'Adani Enterprises'!AB393</f>
        <v>0</v>
      </c>
      <c r="AC393" s="48">
        <f>'Adani Enterprises'!AC393</f>
        <v>0</v>
      </c>
      <c r="AD393" s="48">
        <f>'Adani Enterprises'!AD393</f>
        <v>0</v>
      </c>
      <c r="AE393" s="48">
        <f>'Adani Enterprises'!AE393</f>
        <v>0</v>
      </c>
      <c r="AF393" s="48">
        <f>'Adani Enterprises'!AF393</f>
        <v>0</v>
      </c>
      <c r="AG393" s="48">
        <f>'Adani Enterprises'!AG393</f>
        <v>0</v>
      </c>
      <c r="AH393" s="48">
        <f>'Adani Enterprises'!AH393</f>
        <v>0</v>
      </c>
      <c r="AI393" s="48">
        <f>'Adani Enterprises'!AI393</f>
        <v>0</v>
      </c>
      <c r="AJ393" s="48">
        <f>'Adani Enterprises'!AJ393</f>
        <v>0</v>
      </c>
      <c r="AK393" s="48">
        <f>'Adani Enterprises'!AK393</f>
        <v>0</v>
      </c>
      <c r="AL393" s="48">
        <f>'Adani Enterprises'!AL393</f>
        <v>0</v>
      </c>
    </row>
    <row r="394" customHeight="1" spans="1:38">
      <c r="A394" s="48">
        <f>'Adani Enterprises'!A394</f>
        <v>0</v>
      </c>
      <c r="B394" s="48">
        <f>'Adani Enterprises'!B394</f>
        <v>0</v>
      </c>
      <c r="C394" s="48">
        <f>'Adani Enterprises'!C394</f>
        <v>0</v>
      </c>
      <c r="D394" s="48">
        <f>'Adani Enterprises'!D394</f>
        <v>0</v>
      </c>
      <c r="E394" s="48">
        <f>'Adani Enterprises'!E394</f>
        <v>0</v>
      </c>
      <c r="F394" s="48">
        <f>'Adani Enterprises'!F394</f>
        <v>0</v>
      </c>
      <c r="G394" s="48">
        <f>'Adani Enterprises'!G394</f>
        <v>0</v>
      </c>
      <c r="H394" s="48">
        <f>'Adani Enterprises'!H394</f>
        <v>0</v>
      </c>
      <c r="I394" s="48">
        <f>'Adani Enterprises'!I394</f>
        <v>0</v>
      </c>
      <c r="J394" s="48">
        <f>'Adani Enterprises'!J394</f>
        <v>0</v>
      </c>
      <c r="K394" s="48">
        <f>'Adani Enterprises'!K394</f>
        <v>0</v>
      </c>
      <c r="L394" s="48">
        <f>'Adani Enterprises'!L394</f>
        <v>0</v>
      </c>
      <c r="M394" s="48">
        <f>'Adani Enterprises'!M394</f>
        <v>0</v>
      </c>
      <c r="N394" s="48">
        <f>'Adani Enterprises'!N394</f>
        <v>0</v>
      </c>
      <c r="O394" s="48">
        <f>'Adani Enterprises'!O394</f>
        <v>0</v>
      </c>
      <c r="P394" s="48">
        <f>'Adani Enterprises'!P394</f>
        <v>0</v>
      </c>
      <c r="Q394" s="48">
        <f>'Adani Enterprises'!Q394</f>
        <v>0</v>
      </c>
      <c r="R394" s="48">
        <f>'Adani Enterprises'!R394</f>
        <v>0</v>
      </c>
      <c r="S394" s="48">
        <f>'Adani Enterprises'!S394</f>
        <v>0</v>
      </c>
      <c r="T394" s="48">
        <f>'Adani Enterprises'!T394</f>
        <v>0</v>
      </c>
      <c r="U394" s="48">
        <f>'Adani Enterprises'!U394</f>
        <v>0</v>
      </c>
      <c r="V394" s="48">
        <f>'Adani Enterprises'!V394</f>
        <v>0</v>
      </c>
      <c r="W394" s="48">
        <f>'Adani Enterprises'!W394</f>
        <v>0</v>
      </c>
      <c r="X394" s="48">
        <f>'Adani Enterprises'!X394</f>
        <v>0</v>
      </c>
      <c r="Y394" s="48">
        <f>'Adani Enterprises'!Y394</f>
        <v>0</v>
      </c>
      <c r="Z394" s="48">
        <f>'Adani Enterprises'!Z394</f>
        <v>0</v>
      </c>
      <c r="AA394" s="48">
        <f>'Adani Enterprises'!AA394</f>
        <v>0</v>
      </c>
      <c r="AB394" s="48">
        <f>'Adani Enterprises'!AB394</f>
        <v>0</v>
      </c>
      <c r="AC394" s="48">
        <f>'Adani Enterprises'!AC394</f>
        <v>0</v>
      </c>
      <c r="AD394" s="48">
        <f>'Adani Enterprises'!AD394</f>
        <v>0</v>
      </c>
      <c r="AE394" s="48">
        <f>'Adani Enterprises'!AE394</f>
        <v>0</v>
      </c>
      <c r="AF394" s="48">
        <f>'Adani Enterprises'!AF394</f>
        <v>0</v>
      </c>
      <c r="AG394" s="48">
        <f>'Adani Enterprises'!AG394</f>
        <v>0</v>
      </c>
      <c r="AH394" s="48">
        <f>'Adani Enterprises'!AH394</f>
        <v>0</v>
      </c>
      <c r="AI394" s="48">
        <f>'Adani Enterprises'!AI394</f>
        <v>0</v>
      </c>
      <c r="AJ394" s="48">
        <f>'Adani Enterprises'!AJ394</f>
        <v>0</v>
      </c>
      <c r="AK394" s="48">
        <f>'Adani Enterprises'!AK394</f>
        <v>0</v>
      </c>
      <c r="AL394" s="48">
        <f>'Adani Enterprises'!AL394</f>
        <v>0</v>
      </c>
    </row>
    <row r="395" customHeight="1" spans="1:38">
      <c r="A395" s="48">
        <f>'Adani Enterprises'!A395</f>
        <v>0</v>
      </c>
      <c r="B395" s="48">
        <f>'Adani Enterprises'!B395</f>
        <v>0</v>
      </c>
      <c r="C395" s="48">
        <f>'Adani Enterprises'!C395</f>
        <v>0</v>
      </c>
      <c r="D395" s="48">
        <f>'Adani Enterprises'!D395</f>
        <v>0</v>
      </c>
      <c r="E395" s="48">
        <f>'Adani Enterprises'!E395</f>
        <v>0</v>
      </c>
      <c r="F395" s="48">
        <f>'Adani Enterprises'!F395</f>
        <v>0</v>
      </c>
      <c r="G395" s="48">
        <f>'Adani Enterprises'!G395</f>
        <v>0</v>
      </c>
      <c r="H395" s="48">
        <f>'Adani Enterprises'!H395</f>
        <v>0</v>
      </c>
      <c r="I395" s="48">
        <f>'Adani Enterprises'!I395</f>
        <v>0</v>
      </c>
      <c r="J395" s="48">
        <f>'Adani Enterprises'!J395</f>
        <v>0</v>
      </c>
      <c r="K395" s="48">
        <f>'Adani Enterprises'!K395</f>
        <v>0</v>
      </c>
      <c r="L395" s="48">
        <f>'Adani Enterprises'!L395</f>
        <v>0</v>
      </c>
      <c r="M395" s="48">
        <f>'Adani Enterprises'!M395</f>
        <v>0</v>
      </c>
      <c r="N395" s="48">
        <f>'Adani Enterprises'!N395</f>
        <v>0</v>
      </c>
      <c r="O395" s="48">
        <f>'Adani Enterprises'!O395</f>
        <v>0</v>
      </c>
      <c r="P395" s="48">
        <f>'Adani Enterprises'!P395</f>
        <v>0</v>
      </c>
      <c r="Q395" s="48">
        <f>'Adani Enterprises'!Q395</f>
        <v>0</v>
      </c>
      <c r="R395" s="48">
        <f>'Adani Enterprises'!R395</f>
        <v>0</v>
      </c>
      <c r="S395" s="48">
        <f>'Adani Enterprises'!S395</f>
        <v>0</v>
      </c>
      <c r="T395" s="48">
        <f>'Adani Enterprises'!T395</f>
        <v>0</v>
      </c>
      <c r="U395" s="48">
        <f>'Adani Enterprises'!U395</f>
        <v>0</v>
      </c>
      <c r="V395" s="48">
        <f>'Adani Enterprises'!V395</f>
        <v>0</v>
      </c>
      <c r="W395" s="48">
        <f>'Adani Enterprises'!W395</f>
        <v>0</v>
      </c>
      <c r="X395" s="48">
        <f>'Adani Enterprises'!X395</f>
        <v>0</v>
      </c>
      <c r="Y395" s="48">
        <f>'Adani Enterprises'!Y395</f>
        <v>0</v>
      </c>
      <c r="Z395" s="48">
        <f>'Adani Enterprises'!Z395</f>
        <v>0</v>
      </c>
      <c r="AA395" s="48">
        <f>'Adani Enterprises'!AA395</f>
        <v>0</v>
      </c>
      <c r="AB395" s="48">
        <f>'Adani Enterprises'!AB395</f>
        <v>0</v>
      </c>
      <c r="AC395" s="48">
        <f>'Adani Enterprises'!AC395</f>
        <v>0</v>
      </c>
      <c r="AD395" s="48">
        <f>'Adani Enterprises'!AD395</f>
        <v>0</v>
      </c>
      <c r="AE395" s="48">
        <f>'Adani Enterprises'!AE395</f>
        <v>0</v>
      </c>
      <c r="AF395" s="48">
        <f>'Adani Enterprises'!AF395</f>
        <v>0</v>
      </c>
      <c r="AG395" s="48">
        <f>'Adani Enterprises'!AG395</f>
        <v>0</v>
      </c>
      <c r="AH395" s="48">
        <f>'Adani Enterprises'!AH395</f>
        <v>0</v>
      </c>
      <c r="AI395" s="48">
        <f>'Adani Enterprises'!AI395</f>
        <v>0</v>
      </c>
      <c r="AJ395" s="48">
        <f>'Adani Enterprises'!AJ395</f>
        <v>0</v>
      </c>
      <c r="AK395" s="48">
        <f>'Adani Enterprises'!AK395</f>
        <v>0</v>
      </c>
      <c r="AL395" s="48">
        <f>'Adani Enterprises'!AL395</f>
        <v>0</v>
      </c>
    </row>
    <row r="396" customHeight="1" spans="1:38">
      <c r="A396" s="48">
        <f>'Adani Enterprises'!A396</f>
        <v>0</v>
      </c>
      <c r="B396" s="48">
        <f>'Adani Enterprises'!B396</f>
        <v>0</v>
      </c>
      <c r="C396" s="48">
        <f>'Adani Enterprises'!C396</f>
        <v>0</v>
      </c>
      <c r="D396" s="48">
        <f>'Adani Enterprises'!D396</f>
        <v>0</v>
      </c>
      <c r="E396" s="48">
        <f>'Adani Enterprises'!E396</f>
        <v>0</v>
      </c>
      <c r="F396" s="48">
        <f>'Adani Enterprises'!F396</f>
        <v>0</v>
      </c>
      <c r="G396" s="48">
        <f>'Adani Enterprises'!G396</f>
        <v>0</v>
      </c>
      <c r="H396" s="48">
        <f>'Adani Enterprises'!H396</f>
        <v>0</v>
      </c>
      <c r="I396" s="48">
        <f>'Adani Enterprises'!I396</f>
        <v>0</v>
      </c>
      <c r="J396" s="48">
        <f>'Adani Enterprises'!J396</f>
        <v>0</v>
      </c>
      <c r="K396" s="48">
        <f>'Adani Enterprises'!K396</f>
        <v>0</v>
      </c>
      <c r="L396" s="48">
        <f>'Adani Enterprises'!L396</f>
        <v>0</v>
      </c>
      <c r="M396" s="48">
        <f>'Adani Enterprises'!M396</f>
        <v>0</v>
      </c>
      <c r="N396" s="48">
        <f>'Adani Enterprises'!N396</f>
        <v>0</v>
      </c>
      <c r="O396" s="48">
        <f>'Adani Enterprises'!O396</f>
        <v>0</v>
      </c>
      <c r="P396" s="48">
        <f>'Adani Enterprises'!P396</f>
        <v>0</v>
      </c>
      <c r="Q396" s="48">
        <f>'Adani Enterprises'!Q396</f>
        <v>0</v>
      </c>
      <c r="R396" s="48">
        <f>'Adani Enterprises'!R396</f>
        <v>0</v>
      </c>
      <c r="S396" s="48">
        <f>'Adani Enterprises'!S396</f>
        <v>0</v>
      </c>
      <c r="T396" s="48">
        <f>'Adani Enterprises'!T396</f>
        <v>0</v>
      </c>
      <c r="U396" s="48">
        <f>'Adani Enterprises'!U396</f>
        <v>0</v>
      </c>
      <c r="V396" s="48">
        <f>'Adani Enterprises'!V396</f>
        <v>0</v>
      </c>
      <c r="W396" s="48">
        <f>'Adani Enterprises'!W396</f>
        <v>0</v>
      </c>
      <c r="X396" s="48">
        <f>'Adani Enterprises'!X396</f>
        <v>0</v>
      </c>
      <c r="Y396" s="48">
        <f>'Adani Enterprises'!Y396</f>
        <v>0</v>
      </c>
      <c r="Z396" s="48">
        <f>'Adani Enterprises'!Z396</f>
        <v>0</v>
      </c>
      <c r="AA396" s="48">
        <f>'Adani Enterprises'!AA396</f>
        <v>0</v>
      </c>
      <c r="AB396" s="48">
        <f>'Adani Enterprises'!AB396</f>
        <v>0</v>
      </c>
      <c r="AC396" s="48">
        <f>'Adani Enterprises'!AC396</f>
        <v>0</v>
      </c>
      <c r="AD396" s="48">
        <f>'Adani Enterprises'!AD396</f>
        <v>0</v>
      </c>
      <c r="AE396" s="48">
        <f>'Adani Enterprises'!AE396</f>
        <v>0</v>
      </c>
      <c r="AF396" s="48">
        <f>'Adani Enterprises'!AF396</f>
        <v>0</v>
      </c>
      <c r="AG396" s="48">
        <f>'Adani Enterprises'!AG396</f>
        <v>0</v>
      </c>
      <c r="AH396" s="48">
        <f>'Adani Enterprises'!AH396</f>
        <v>0</v>
      </c>
      <c r="AI396" s="48">
        <f>'Adani Enterprises'!AI396</f>
        <v>0</v>
      </c>
      <c r="AJ396" s="48">
        <f>'Adani Enterprises'!AJ396</f>
        <v>0</v>
      </c>
      <c r="AK396" s="48">
        <f>'Adani Enterprises'!AK396</f>
        <v>0</v>
      </c>
      <c r="AL396" s="48">
        <f>'Adani Enterprises'!AL396</f>
        <v>0</v>
      </c>
    </row>
    <row r="397" customHeight="1" spans="1:38">
      <c r="A397" s="48">
        <f>'Adani Enterprises'!A397</f>
        <v>0</v>
      </c>
      <c r="B397" s="48">
        <f>'Adani Enterprises'!B397</f>
        <v>0</v>
      </c>
      <c r="C397" s="48">
        <f>'Adani Enterprises'!C397</f>
        <v>0</v>
      </c>
      <c r="D397" s="48">
        <f>'Adani Enterprises'!D397</f>
        <v>0</v>
      </c>
      <c r="E397" s="48">
        <f>'Adani Enterprises'!E397</f>
        <v>0</v>
      </c>
      <c r="F397" s="48">
        <f>'Adani Enterprises'!F397</f>
        <v>0</v>
      </c>
      <c r="G397" s="48">
        <f>'Adani Enterprises'!G397</f>
        <v>0</v>
      </c>
      <c r="H397" s="48">
        <f>'Adani Enterprises'!H397</f>
        <v>0</v>
      </c>
      <c r="I397" s="48">
        <f>'Adani Enterprises'!I397</f>
        <v>0</v>
      </c>
      <c r="J397" s="48">
        <f>'Adani Enterprises'!J397</f>
        <v>0</v>
      </c>
      <c r="K397" s="48">
        <f>'Adani Enterprises'!K397</f>
        <v>0</v>
      </c>
      <c r="L397" s="48">
        <f>'Adani Enterprises'!L397</f>
        <v>0</v>
      </c>
      <c r="M397" s="48">
        <f>'Adani Enterprises'!M397</f>
        <v>0</v>
      </c>
      <c r="N397" s="48">
        <f>'Adani Enterprises'!N397</f>
        <v>0</v>
      </c>
      <c r="O397" s="48">
        <f>'Adani Enterprises'!O397</f>
        <v>0</v>
      </c>
      <c r="P397" s="48">
        <f>'Adani Enterprises'!P397</f>
        <v>0</v>
      </c>
      <c r="Q397" s="48">
        <f>'Adani Enterprises'!Q397</f>
        <v>0</v>
      </c>
      <c r="R397" s="48">
        <f>'Adani Enterprises'!R397</f>
        <v>0</v>
      </c>
      <c r="S397" s="48">
        <f>'Adani Enterprises'!S397</f>
        <v>0</v>
      </c>
      <c r="T397" s="48">
        <f>'Adani Enterprises'!T397</f>
        <v>0</v>
      </c>
      <c r="U397" s="48">
        <f>'Adani Enterprises'!U397</f>
        <v>0</v>
      </c>
      <c r="V397" s="48">
        <f>'Adani Enterprises'!V397</f>
        <v>0</v>
      </c>
      <c r="W397" s="48">
        <f>'Adani Enterprises'!W397</f>
        <v>0</v>
      </c>
      <c r="X397" s="48">
        <f>'Adani Enterprises'!X397</f>
        <v>0</v>
      </c>
      <c r="Y397" s="48">
        <f>'Adani Enterprises'!Y397</f>
        <v>0</v>
      </c>
      <c r="Z397" s="48">
        <f>'Adani Enterprises'!Z397</f>
        <v>0</v>
      </c>
      <c r="AA397" s="48">
        <f>'Adani Enterprises'!AA397</f>
        <v>0</v>
      </c>
      <c r="AB397" s="48">
        <f>'Adani Enterprises'!AB397</f>
        <v>0</v>
      </c>
      <c r="AC397" s="48">
        <f>'Adani Enterprises'!AC397</f>
        <v>0</v>
      </c>
      <c r="AD397" s="48">
        <f>'Adani Enterprises'!AD397</f>
        <v>0</v>
      </c>
      <c r="AE397" s="48">
        <f>'Adani Enterprises'!AE397</f>
        <v>0</v>
      </c>
      <c r="AF397" s="48">
        <f>'Adani Enterprises'!AF397</f>
        <v>0</v>
      </c>
      <c r="AG397" s="48">
        <f>'Adani Enterprises'!AG397</f>
        <v>0</v>
      </c>
      <c r="AH397" s="48">
        <f>'Adani Enterprises'!AH397</f>
        <v>0</v>
      </c>
      <c r="AI397" s="48">
        <f>'Adani Enterprises'!AI397</f>
        <v>0</v>
      </c>
      <c r="AJ397" s="48">
        <f>'Adani Enterprises'!AJ397</f>
        <v>0</v>
      </c>
      <c r="AK397" s="48">
        <f>'Adani Enterprises'!AK397</f>
        <v>0</v>
      </c>
      <c r="AL397" s="48">
        <f>'Adani Enterprises'!AL397</f>
        <v>0</v>
      </c>
    </row>
    <row r="398" customHeight="1" spans="1:38">
      <c r="A398" s="48">
        <f>'Adani Enterprises'!A398</f>
        <v>0</v>
      </c>
      <c r="B398" s="48">
        <f>'Adani Enterprises'!B398</f>
        <v>0</v>
      </c>
      <c r="C398" s="48">
        <f>'Adani Enterprises'!C398</f>
        <v>0</v>
      </c>
      <c r="D398" s="48">
        <f>'Adani Enterprises'!D398</f>
        <v>0</v>
      </c>
      <c r="E398" s="48">
        <f>'Adani Enterprises'!E398</f>
        <v>0</v>
      </c>
      <c r="F398" s="48">
        <f>'Adani Enterprises'!F398</f>
        <v>0</v>
      </c>
      <c r="G398" s="48">
        <f>'Adani Enterprises'!G398</f>
        <v>0</v>
      </c>
      <c r="H398" s="48">
        <f>'Adani Enterprises'!H398</f>
        <v>0</v>
      </c>
      <c r="I398" s="48">
        <f>'Adani Enterprises'!I398</f>
        <v>0</v>
      </c>
      <c r="J398" s="48">
        <f>'Adani Enterprises'!J398</f>
        <v>0</v>
      </c>
      <c r="K398" s="48">
        <f>'Adani Enterprises'!K398</f>
        <v>0</v>
      </c>
      <c r="L398" s="48">
        <f>'Adani Enterprises'!L398</f>
        <v>0</v>
      </c>
      <c r="M398" s="48">
        <f>'Adani Enterprises'!M398</f>
        <v>0</v>
      </c>
      <c r="N398" s="48">
        <f>'Adani Enterprises'!N398</f>
        <v>0</v>
      </c>
      <c r="O398" s="48">
        <f>'Adani Enterprises'!O398</f>
        <v>0</v>
      </c>
      <c r="P398" s="48">
        <f>'Adani Enterprises'!P398</f>
        <v>0</v>
      </c>
      <c r="Q398" s="48">
        <f>'Adani Enterprises'!Q398</f>
        <v>0</v>
      </c>
      <c r="R398" s="48">
        <f>'Adani Enterprises'!R398</f>
        <v>0</v>
      </c>
      <c r="S398" s="48">
        <f>'Adani Enterprises'!S398</f>
        <v>0</v>
      </c>
      <c r="T398" s="48">
        <f>'Adani Enterprises'!T398</f>
        <v>0</v>
      </c>
      <c r="U398" s="48">
        <f>'Adani Enterprises'!U398</f>
        <v>0</v>
      </c>
      <c r="V398" s="48">
        <f>'Adani Enterprises'!V398</f>
        <v>0</v>
      </c>
      <c r="W398" s="48">
        <f>'Adani Enterprises'!W398</f>
        <v>0</v>
      </c>
      <c r="X398" s="48">
        <f>'Adani Enterprises'!X398</f>
        <v>0</v>
      </c>
      <c r="Y398" s="48">
        <f>'Adani Enterprises'!Y398</f>
        <v>0</v>
      </c>
      <c r="Z398" s="48">
        <f>'Adani Enterprises'!Z398</f>
        <v>0</v>
      </c>
      <c r="AA398" s="48">
        <f>'Adani Enterprises'!AA398</f>
        <v>0</v>
      </c>
      <c r="AB398" s="48">
        <f>'Adani Enterprises'!AB398</f>
        <v>0</v>
      </c>
      <c r="AC398" s="48">
        <f>'Adani Enterprises'!AC398</f>
        <v>0</v>
      </c>
      <c r="AD398" s="48">
        <f>'Adani Enterprises'!AD398</f>
        <v>0</v>
      </c>
      <c r="AE398" s="48">
        <f>'Adani Enterprises'!AE398</f>
        <v>0</v>
      </c>
      <c r="AF398" s="48">
        <f>'Adani Enterprises'!AF398</f>
        <v>0</v>
      </c>
      <c r="AG398" s="48">
        <f>'Adani Enterprises'!AG398</f>
        <v>0</v>
      </c>
      <c r="AH398" s="48">
        <f>'Adani Enterprises'!AH398</f>
        <v>0</v>
      </c>
      <c r="AI398" s="48">
        <f>'Adani Enterprises'!AI398</f>
        <v>0</v>
      </c>
      <c r="AJ398" s="48">
        <f>'Adani Enterprises'!AJ398</f>
        <v>0</v>
      </c>
      <c r="AK398" s="48">
        <f>'Adani Enterprises'!AK398</f>
        <v>0</v>
      </c>
      <c r="AL398" s="48">
        <f>'Adani Enterprises'!AL398</f>
        <v>0</v>
      </c>
    </row>
    <row r="399" customHeight="1" spans="1:38">
      <c r="A399" s="48">
        <f>'Adani Enterprises'!A399</f>
        <v>0</v>
      </c>
      <c r="B399" s="48">
        <f>'Adani Enterprises'!B399</f>
        <v>0</v>
      </c>
      <c r="C399" s="48">
        <f>'Adani Enterprises'!C399</f>
        <v>0</v>
      </c>
      <c r="D399" s="48">
        <f>'Adani Enterprises'!D399</f>
        <v>0</v>
      </c>
      <c r="E399" s="48">
        <f>'Adani Enterprises'!E399</f>
        <v>0</v>
      </c>
      <c r="F399" s="48">
        <f>'Adani Enterprises'!F399</f>
        <v>0</v>
      </c>
      <c r="G399" s="48">
        <f>'Adani Enterprises'!G399</f>
        <v>0</v>
      </c>
      <c r="H399" s="48">
        <f>'Adani Enterprises'!H399</f>
        <v>0</v>
      </c>
      <c r="I399" s="48">
        <f>'Adani Enterprises'!I399</f>
        <v>0</v>
      </c>
      <c r="J399" s="48">
        <f>'Adani Enterprises'!J399</f>
        <v>0</v>
      </c>
      <c r="K399" s="48">
        <f>'Adani Enterprises'!K399</f>
        <v>0</v>
      </c>
      <c r="L399" s="48">
        <f>'Adani Enterprises'!L399</f>
        <v>0</v>
      </c>
      <c r="M399" s="48">
        <f>'Adani Enterprises'!M399</f>
        <v>0</v>
      </c>
      <c r="N399" s="48">
        <f>'Adani Enterprises'!N399</f>
        <v>0</v>
      </c>
      <c r="O399" s="48">
        <f>'Adani Enterprises'!O399</f>
        <v>0</v>
      </c>
      <c r="P399" s="48">
        <f>'Adani Enterprises'!P399</f>
        <v>0</v>
      </c>
      <c r="Q399" s="48">
        <f>'Adani Enterprises'!Q399</f>
        <v>0</v>
      </c>
      <c r="R399" s="48">
        <f>'Adani Enterprises'!R399</f>
        <v>0</v>
      </c>
      <c r="S399" s="48">
        <f>'Adani Enterprises'!S399</f>
        <v>0</v>
      </c>
      <c r="T399" s="48">
        <f>'Adani Enterprises'!T399</f>
        <v>0</v>
      </c>
      <c r="U399" s="48">
        <f>'Adani Enterprises'!U399</f>
        <v>0</v>
      </c>
      <c r="V399" s="48">
        <f>'Adani Enterprises'!V399</f>
        <v>0</v>
      </c>
      <c r="W399" s="48">
        <f>'Adani Enterprises'!W399</f>
        <v>0</v>
      </c>
      <c r="X399" s="48">
        <f>'Adani Enterprises'!X399</f>
        <v>0</v>
      </c>
      <c r="Y399" s="48">
        <f>'Adani Enterprises'!Y399</f>
        <v>0</v>
      </c>
      <c r="Z399" s="48">
        <f>'Adani Enterprises'!Z399</f>
        <v>0</v>
      </c>
      <c r="AA399" s="48">
        <f>'Adani Enterprises'!AA399</f>
        <v>0</v>
      </c>
      <c r="AB399" s="48">
        <f>'Adani Enterprises'!AB399</f>
        <v>0</v>
      </c>
      <c r="AC399" s="48">
        <f>'Adani Enterprises'!AC399</f>
        <v>0</v>
      </c>
      <c r="AD399" s="48">
        <f>'Adani Enterprises'!AD399</f>
        <v>0</v>
      </c>
      <c r="AE399" s="48">
        <f>'Adani Enterprises'!AE399</f>
        <v>0</v>
      </c>
      <c r="AF399" s="48">
        <f>'Adani Enterprises'!AF399</f>
        <v>0</v>
      </c>
      <c r="AG399" s="48">
        <f>'Adani Enterprises'!AG399</f>
        <v>0</v>
      </c>
      <c r="AH399" s="48">
        <f>'Adani Enterprises'!AH399</f>
        <v>0</v>
      </c>
      <c r="AI399" s="48">
        <f>'Adani Enterprises'!AI399</f>
        <v>0</v>
      </c>
      <c r="AJ399" s="48">
        <f>'Adani Enterprises'!AJ399</f>
        <v>0</v>
      </c>
      <c r="AK399" s="48">
        <f>'Adani Enterprises'!AK399</f>
        <v>0</v>
      </c>
      <c r="AL399" s="48">
        <f>'Adani Enterprises'!AL399</f>
        <v>0</v>
      </c>
    </row>
    <row r="400" customHeight="1" spans="1:38">
      <c r="A400" s="48">
        <f>'Adani Enterprises'!A400</f>
        <v>0</v>
      </c>
      <c r="B400" s="48">
        <f>'Adani Enterprises'!B400</f>
        <v>0</v>
      </c>
      <c r="C400" s="48">
        <f>'Adani Enterprises'!C400</f>
        <v>0</v>
      </c>
      <c r="D400" s="48">
        <f>'Adani Enterprises'!D400</f>
        <v>0</v>
      </c>
      <c r="E400" s="48">
        <f>'Adani Enterprises'!E400</f>
        <v>0</v>
      </c>
      <c r="F400" s="48">
        <f>'Adani Enterprises'!F400</f>
        <v>0</v>
      </c>
      <c r="G400" s="48">
        <f>'Adani Enterprises'!G400</f>
        <v>0</v>
      </c>
      <c r="H400" s="48">
        <f>'Adani Enterprises'!H400</f>
        <v>0</v>
      </c>
      <c r="I400" s="48">
        <f>'Adani Enterprises'!I400</f>
        <v>0</v>
      </c>
      <c r="J400" s="48">
        <f>'Adani Enterprises'!J400</f>
        <v>0</v>
      </c>
      <c r="K400" s="48">
        <f>'Adani Enterprises'!K400</f>
        <v>0</v>
      </c>
      <c r="L400" s="48">
        <f>'Adani Enterprises'!L400</f>
        <v>0</v>
      </c>
      <c r="M400" s="48">
        <f>'Adani Enterprises'!M400</f>
        <v>0</v>
      </c>
      <c r="N400" s="48">
        <f>'Adani Enterprises'!N400</f>
        <v>0</v>
      </c>
      <c r="O400" s="48">
        <f>'Adani Enterprises'!O400</f>
        <v>0</v>
      </c>
      <c r="P400" s="48">
        <f>'Adani Enterprises'!P400</f>
        <v>0</v>
      </c>
      <c r="Q400" s="48">
        <f>'Adani Enterprises'!Q400</f>
        <v>0</v>
      </c>
      <c r="R400" s="48">
        <f>'Adani Enterprises'!R400</f>
        <v>0</v>
      </c>
      <c r="S400" s="48">
        <f>'Adani Enterprises'!S400</f>
        <v>0</v>
      </c>
      <c r="T400" s="48">
        <f>'Adani Enterprises'!T400</f>
        <v>0</v>
      </c>
      <c r="U400" s="48">
        <f>'Adani Enterprises'!U400</f>
        <v>0</v>
      </c>
      <c r="V400" s="48">
        <f>'Adani Enterprises'!V400</f>
        <v>0</v>
      </c>
      <c r="W400" s="48">
        <f>'Adani Enterprises'!W400</f>
        <v>0</v>
      </c>
      <c r="X400" s="48">
        <f>'Adani Enterprises'!X400</f>
        <v>0</v>
      </c>
      <c r="Y400" s="48">
        <f>'Adani Enterprises'!Y400</f>
        <v>0</v>
      </c>
      <c r="Z400" s="48">
        <f>'Adani Enterprises'!Z400</f>
        <v>0</v>
      </c>
      <c r="AA400" s="48">
        <f>'Adani Enterprises'!AA400</f>
        <v>0</v>
      </c>
      <c r="AB400" s="48">
        <f>'Adani Enterprises'!AB400</f>
        <v>0</v>
      </c>
      <c r="AC400" s="48">
        <f>'Adani Enterprises'!AC400</f>
        <v>0</v>
      </c>
      <c r="AD400" s="48">
        <f>'Adani Enterprises'!AD400</f>
        <v>0</v>
      </c>
      <c r="AE400" s="48">
        <f>'Adani Enterprises'!AE400</f>
        <v>0</v>
      </c>
      <c r="AF400" s="48">
        <f>'Adani Enterprises'!AF400</f>
        <v>0</v>
      </c>
      <c r="AG400" s="48">
        <f>'Adani Enterprises'!AG400</f>
        <v>0</v>
      </c>
      <c r="AH400" s="48">
        <f>'Adani Enterprises'!AH400</f>
        <v>0</v>
      </c>
      <c r="AI400" s="48">
        <f>'Adani Enterprises'!AI400</f>
        <v>0</v>
      </c>
      <c r="AJ400" s="48">
        <f>'Adani Enterprises'!AJ400</f>
        <v>0</v>
      </c>
      <c r="AK400" s="48">
        <f>'Adani Enterprises'!AK400</f>
        <v>0</v>
      </c>
      <c r="AL400" s="48">
        <f>'Adani Enterprises'!AL400</f>
        <v>0</v>
      </c>
    </row>
    <row r="401" customHeight="1" spans="1:38">
      <c r="A401" s="48">
        <f>'Adani Enterprises'!A401</f>
        <v>0</v>
      </c>
      <c r="B401" s="48">
        <f>'Adani Enterprises'!B401</f>
        <v>0</v>
      </c>
      <c r="C401" s="48">
        <f>'Adani Enterprises'!C401</f>
        <v>0</v>
      </c>
      <c r="D401" s="48">
        <f>'Adani Enterprises'!D401</f>
        <v>0</v>
      </c>
      <c r="E401" s="48">
        <f>'Adani Enterprises'!E401</f>
        <v>0</v>
      </c>
      <c r="F401" s="48">
        <f>'Adani Enterprises'!F401</f>
        <v>0</v>
      </c>
      <c r="G401" s="48">
        <f>'Adani Enterprises'!G401</f>
        <v>0</v>
      </c>
      <c r="H401" s="48">
        <f>'Adani Enterprises'!H401</f>
        <v>0</v>
      </c>
      <c r="I401" s="48">
        <f>'Adani Enterprises'!I401</f>
        <v>0</v>
      </c>
      <c r="J401" s="48">
        <f>'Adani Enterprises'!J401</f>
        <v>0</v>
      </c>
      <c r="K401" s="48">
        <f>'Adani Enterprises'!K401</f>
        <v>0</v>
      </c>
      <c r="L401" s="48">
        <f>'Adani Enterprises'!L401</f>
        <v>0</v>
      </c>
      <c r="M401" s="48">
        <f>'Adani Enterprises'!M401</f>
        <v>0</v>
      </c>
      <c r="N401" s="48">
        <f>'Adani Enterprises'!N401</f>
        <v>0</v>
      </c>
      <c r="O401" s="48">
        <f>'Adani Enterprises'!O401</f>
        <v>0</v>
      </c>
      <c r="P401" s="48">
        <f>'Adani Enterprises'!P401</f>
        <v>0</v>
      </c>
      <c r="Q401" s="48">
        <f>'Adani Enterprises'!Q401</f>
        <v>0</v>
      </c>
      <c r="R401" s="48">
        <f>'Adani Enterprises'!R401</f>
        <v>0</v>
      </c>
      <c r="S401" s="48">
        <f>'Adani Enterprises'!S401</f>
        <v>0</v>
      </c>
      <c r="T401" s="48">
        <f>'Adani Enterprises'!T401</f>
        <v>0</v>
      </c>
      <c r="U401" s="48">
        <f>'Adani Enterprises'!U401</f>
        <v>0</v>
      </c>
      <c r="V401" s="48">
        <f>'Adani Enterprises'!V401</f>
        <v>0</v>
      </c>
      <c r="W401" s="48">
        <f>'Adani Enterprises'!W401</f>
        <v>0</v>
      </c>
      <c r="X401" s="48">
        <f>'Adani Enterprises'!X401</f>
        <v>0</v>
      </c>
      <c r="Y401" s="48">
        <f>'Adani Enterprises'!Y401</f>
        <v>0</v>
      </c>
      <c r="Z401" s="48">
        <f>'Adani Enterprises'!Z401</f>
        <v>0</v>
      </c>
      <c r="AA401" s="48">
        <f>'Adani Enterprises'!AA401</f>
        <v>0</v>
      </c>
      <c r="AB401" s="48">
        <f>'Adani Enterprises'!AB401</f>
        <v>0</v>
      </c>
      <c r="AC401" s="48">
        <f>'Adani Enterprises'!AC401</f>
        <v>0</v>
      </c>
      <c r="AD401" s="48">
        <f>'Adani Enterprises'!AD401</f>
        <v>0</v>
      </c>
      <c r="AE401" s="48">
        <f>'Adani Enterprises'!AE401</f>
        <v>0</v>
      </c>
      <c r="AF401" s="48">
        <f>'Adani Enterprises'!AF401</f>
        <v>0</v>
      </c>
      <c r="AG401" s="48">
        <f>'Adani Enterprises'!AG401</f>
        <v>0</v>
      </c>
      <c r="AH401" s="48">
        <f>'Adani Enterprises'!AH401</f>
        <v>0</v>
      </c>
      <c r="AI401" s="48">
        <f>'Adani Enterprises'!AI401</f>
        <v>0</v>
      </c>
      <c r="AJ401" s="48">
        <f>'Adani Enterprises'!AJ401</f>
        <v>0</v>
      </c>
      <c r="AK401" s="48">
        <f>'Adani Enterprises'!AK401</f>
        <v>0</v>
      </c>
      <c r="AL401" s="48">
        <f>'Adani Enterprises'!AL401</f>
        <v>0</v>
      </c>
    </row>
    <row r="402" customHeight="1" spans="1:38">
      <c r="A402" s="48">
        <f>'Adani Enterprises'!A402</f>
        <v>0</v>
      </c>
      <c r="B402" s="48">
        <f>'Adani Enterprises'!B402</f>
        <v>0</v>
      </c>
      <c r="C402" s="48">
        <f>'Adani Enterprises'!C402</f>
        <v>0</v>
      </c>
      <c r="D402" s="48">
        <f>'Adani Enterprises'!D402</f>
        <v>0</v>
      </c>
      <c r="E402" s="48">
        <f>'Adani Enterprises'!E402</f>
        <v>0</v>
      </c>
      <c r="F402" s="48">
        <f>'Adani Enterprises'!F402</f>
        <v>0</v>
      </c>
      <c r="G402" s="48">
        <f>'Adani Enterprises'!G402</f>
        <v>0</v>
      </c>
      <c r="H402" s="48">
        <f>'Adani Enterprises'!H402</f>
        <v>0</v>
      </c>
      <c r="I402" s="48">
        <f>'Adani Enterprises'!I402</f>
        <v>0</v>
      </c>
      <c r="J402" s="48">
        <f>'Adani Enterprises'!J402</f>
        <v>0</v>
      </c>
      <c r="K402" s="48">
        <f>'Adani Enterprises'!K402</f>
        <v>0</v>
      </c>
      <c r="L402" s="48">
        <f>'Adani Enterprises'!L402</f>
        <v>0</v>
      </c>
      <c r="M402" s="48">
        <f>'Adani Enterprises'!M402</f>
        <v>0</v>
      </c>
      <c r="N402" s="48">
        <f>'Adani Enterprises'!N402</f>
        <v>0</v>
      </c>
      <c r="O402" s="48">
        <f>'Adani Enterprises'!O402</f>
        <v>0</v>
      </c>
      <c r="P402" s="48">
        <f>'Adani Enterprises'!P402</f>
        <v>0</v>
      </c>
      <c r="Q402" s="48">
        <f>'Adani Enterprises'!Q402</f>
        <v>0</v>
      </c>
      <c r="R402" s="48">
        <f>'Adani Enterprises'!R402</f>
        <v>0</v>
      </c>
      <c r="S402" s="48">
        <f>'Adani Enterprises'!S402</f>
        <v>0</v>
      </c>
      <c r="T402" s="48">
        <f>'Adani Enterprises'!T402</f>
        <v>0</v>
      </c>
      <c r="U402" s="48">
        <f>'Adani Enterprises'!U402</f>
        <v>0</v>
      </c>
      <c r="V402" s="48">
        <f>'Adani Enterprises'!V402</f>
        <v>0</v>
      </c>
      <c r="W402" s="48">
        <f>'Adani Enterprises'!W402</f>
        <v>0</v>
      </c>
      <c r="X402" s="48">
        <f>'Adani Enterprises'!X402</f>
        <v>0</v>
      </c>
      <c r="Y402" s="48">
        <f>'Adani Enterprises'!Y402</f>
        <v>0</v>
      </c>
      <c r="Z402" s="48">
        <f>'Adani Enterprises'!Z402</f>
        <v>0</v>
      </c>
      <c r="AA402" s="48">
        <f>'Adani Enterprises'!AA402</f>
        <v>0</v>
      </c>
      <c r="AB402" s="48">
        <f>'Adani Enterprises'!AB402</f>
        <v>0</v>
      </c>
      <c r="AC402" s="48">
        <f>'Adani Enterprises'!AC402</f>
        <v>0</v>
      </c>
      <c r="AD402" s="48">
        <f>'Adani Enterprises'!AD402</f>
        <v>0</v>
      </c>
      <c r="AE402" s="48">
        <f>'Adani Enterprises'!AE402</f>
        <v>0</v>
      </c>
      <c r="AF402" s="48">
        <f>'Adani Enterprises'!AF402</f>
        <v>0</v>
      </c>
      <c r="AG402" s="48">
        <f>'Adani Enterprises'!AG402</f>
        <v>0</v>
      </c>
      <c r="AH402" s="48">
        <f>'Adani Enterprises'!AH402</f>
        <v>0</v>
      </c>
      <c r="AI402" s="48">
        <f>'Adani Enterprises'!AI402</f>
        <v>0</v>
      </c>
      <c r="AJ402" s="48">
        <f>'Adani Enterprises'!AJ402</f>
        <v>0</v>
      </c>
      <c r="AK402" s="48">
        <f>'Adani Enterprises'!AK402</f>
        <v>0</v>
      </c>
      <c r="AL402" s="48">
        <f>'Adani Enterprises'!AL402</f>
        <v>0</v>
      </c>
    </row>
    <row r="403" customHeight="1" spans="1:38">
      <c r="A403" s="48">
        <f>'Adani Enterprises'!A403</f>
        <v>0</v>
      </c>
      <c r="B403" s="48">
        <f>'Adani Enterprises'!B403</f>
        <v>0</v>
      </c>
      <c r="C403" s="48">
        <f>'Adani Enterprises'!C403</f>
        <v>0</v>
      </c>
      <c r="D403" s="48">
        <f>'Adani Enterprises'!D403</f>
        <v>0</v>
      </c>
      <c r="E403" s="48">
        <f>'Adani Enterprises'!E403</f>
        <v>0</v>
      </c>
      <c r="F403" s="48">
        <f>'Adani Enterprises'!F403</f>
        <v>0</v>
      </c>
      <c r="G403" s="48">
        <f>'Adani Enterprises'!G403</f>
        <v>0</v>
      </c>
      <c r="H403" s="48">
        <f>'Adani Enterprises'!H403</f>
        <v>0</v>
      </c>
      <c r="I403" s="48">
        <f>'Adani Enterprises'!I403</f>
        <v>0</v>
      </c>
      <c r="J403" s="48">
        <f>'Adani Enterprises'!J403</f>
        <v>0</v>
      </c>
      <c r="K403" s="48">
        <f>'Adani Enterprises'!K403</f>
        <v>0</v>
      </c>
      <c r="L403" s="48">
        <f>'Adani Enterprises'!L403</f>
        <v>0</v>
      </c>
      <c r="M403" s="48">
        <f>'Adani Enterprises'!M403</f>
        <v>0</v>
      </c>
      <c r="N403" s="48">
        <f>'Adani Enterprises'!N403</f>
        <v>0</v>
      </c>
      <c r="O403" s="48">
        <f>'Adani Enterprises'!O403</f>
        <v>0</v>
      </c>
      <c r="P403" s="48">
        <f>'Adani Enterprises'!P403</f>
        <v>0</v>
      </c>
      <c r="Q403" s="48">
        <f>'Adani Enterprises'!Q403</f>
        <v>0</v>
      </c>
      <c r="R403" s="48">
        <f>'Adani Enterprises'!R403</f>
        <v>0</v>
      </c>
      <c r="S403" s="48">
        <f>'Adani Enterprises'!S403</f>
        <v>0</v>
      </c>
      <c r="T403" s="48">
        <f>'Adani Enterprises'!T403</f>
        <v>0</v>
      </c>
      <c r="U403" s="48">
        <f>'Adani Enterprises'!U403</f>
        <v>0</v>
      </c>
      <c r="V403" s="48">
        <f>'Adani Enterprises'!V403</f>
        <v>0</v>
      </c>
      <c r="W403" s="48">
        <f>'Adani Enterprises'!W403</f>
        <v>0</v>
      </c>
      <c r="X403" s="48">
        <f>'Adani Enterprises'!X403</f>
        <v>0</v>
      </c>
      <c r="Y403" s="48">
        <f>'Adani Enterprises'!Y403</f>
        <v>0</v>
      </c>
      <c r="Z403" s="48">
        <f>'Adani Enterprises'!Z403</f>
        <v>0</v>
      </c>
      <c r="AA403" s="48">
        <f>'Adani Enterprises'!AA403</f>
        <v>0</v>
      </c>
      <c r="AB403" s="48">
        <f>'Adani Enterprises'!AB403</f>
        <v>0</v>
      </c>
      <c r="AC403" s="48">
        <f>'Adani Enterprises'!AC403</f>
        <v>0</v>
      </c>
      <c r="AD403" s="48">
        <f>'Adani Enterprises'!AD403</f>
        <v>0</v>
      </c>
      <c r="AE403" s="48">
        <f>'Adani Enterprises'!AE403</f>
        <v>0</v>
      </c>
      <c r="AF403" s="48">
        <f>'Adani Enterprises'!AF403</f>
        <v>0</v>
      </c>
      <c r="AG403" s="48">
        <f>'Adani Enterprises'!AG403</f>
        <v>0</v>
      </c>
      <c r="AH403" s="48">
        <f>'Adani Enterprises'!AH403</f>
        <v>0</v>
      </c>
      <c r="AI403" s="48">
        <f>'Adani Enterprises'!AI403</f>
        <v>0</v>
      </c>
      <c r="AJ403" s="48">
        <f>'Adani Enterprises'!AJ403</f>
        <v>0</v>
      </c>
      <c r="AK403" s="48">
        <f>'Adani Enterprises'!AK403</f>
        <v>0</v>
      </c>
      <c r="AL403" s="48">
        <f>'Adani Enterprises'!AL403</f>
        <v>0</v>
      </c>
    </row>
    <row r="404" customHeight="1" spans="1:38">
      <c r="A404" s="48">
        <f>'Adani Enterprises'!A404</f>
        <v>0</v>
      </c>
      <c r="B404" s="48">
        <f>'Adani Enterprises'!B404</f>
        <v>0</v>
      </c>
      <c r="C404" s="48">
        <f>'Adani Enterprises'!C404</f>
        <v>0</v>
      </c>
      <c r="D404" s="48">
        <f>'Adani Enterprises'!D404</f>
        <v>0</v>
      </c>
      <c r="E404" s="48">
        <f>'Adani Enterprises'!E404</f>
        <v>0</v>
      </c>
      <c r="F404" s="48">
        <f>'Adani Enterprises'!F404</f>
        <v>0</v>
      </c>
      <c r="G404" s="48">
        <f>'Adani Enterprises'!G404</f>
        <v>0</v>
      </c>
      <c r="H404" s="48">
        <f>'Adani Enterprises'!H404</f>
        <v>0</v>
      </c>
      <c r="I404" s="48">
        <f>'Adani Enterprises'!I404</f>
        <v>0</v>
      </c>
      <c r="J404" s="48">
        <f>'Adani Enterprises'!J404</f>
        <v>0</v>
      </c>
      <c r="K404" s="48">
        <f>'Adani Enterprises'!K404</f>
        <v>0</v>
      </c>
      <c r="L404" s="48">
        <f>'Adani Enterprises'!L404</f>
        <v>0</v>
      </c>
      <c r="M404" s="48">
        <f>'Adani Enterprises'!M404</f>
        <v>0</v>
      </c>
      <c r="N404" s="48">
        <f>'Adani Enterprises'!N404</f>
        <v>0</v>
      </c>
      <c r="O404" s="48">
        <f>'Adani Enterprises'!O404</f>
        <v>0</v>
      </c>
      <c r="P404" s="48">
        <f>'Adani Enterprises'!P404</f>
        <v>0</v>
      </c>
      <c r="Q404" s="48">
        <f>'Adani Enterprises'!Q404</f>
        <v>0</v>
      </c>
      <c r="R404" s="48">
        <f>'Adani Enterprises'!R404</f>
        <v>0</v>
      </c>
      <c r="S404" s="48">
        <f>'Adani Enterprises'!S404</f>
        <v>0</v>
      </c>
      <c r="T404" s="48">
        <f>'Adani Enterprises'!T404</f>
        <v>0</v>
      </c>
      <c r="U404" s="48">
        <f>'Adani Enterprises'!U404</f>
        <v>0</v>
      </c>
      <c r="V404" s="48">
        <f>'Adani Enterprises'!V404</f>
        <v>0</v>
      </c>
      <c r="W404" s="48">
        <f>'Adani Enterprises'!W404</f>
        <v>0</v>
      </c>
      <c r="X404" s="48">
        <f>'Adani Enterprises'!X404</f>
        <v>0</v>
      </c>
      <c r="Y404" s="48">
        <f>'Adani Enterprises'!Y404</f>
        <v>0</v>
      </c>
      <c r="Z404" s="48">
        <f>'Adani Enterprises'!Z404</f>
        <v>0</v>
      </c>
      <c r="AA404" s="48">
        <f>'Adani Enterprises'!AA404</f>
        <v>0</v>
      </c>
      <c r="AB404" s="48">
        <f>'Adani Enterprises'!AB404</f>
        <v>0</v>
      </c>
      <c r="AC404" s="48">
        <f>'Adani Enterprises'!AC404</f>
        <v>0</v>
      </c>
      <c r="AD404" s="48">
        <f>'Adani Enterprises'!AD404</f>
        <v>0</v>
      </c>
      <c r="AE404" s="48">
        <f>'Adani Enterprises'!AE404</f>
        <v>0</v>
      </c>
      <c r="AF404" s="48">
        <f>'Adani Enterprises'!AF404</f>
        <v>0</v>
      </c>
      <c r="AG404" s="48">
        <f>'Adani Enterprises'!AG404</f>
        <v>0</v>
      </c>
      <c r="AH404" s="48">
        <f>'Adani Enterprises'!AH404</f>
        <v>0</v>
      </c>
      <c r="AI404" s="48">
        <f>'Adani Enterprises'!AI404</f>
        <v>0</v>
      </c>
      <c r="AJ404" s="48">
        <f>'Adani Enterprises'!AJ404</f>
        <v>0</v>
      </c>
      <c r="AK404" s="48">
        <f>'Adani Enterprises'!AK404</f>
        <v>0</v>
      </c>
      <c r="AL404" s="48">
        <f>'Adani Enterprises'!AL404</f>
        <v>0</v>
      </c>
    </row>
    <row r="405" customHeight="1" spans="1:38">
      <c r="A405" s="48">
        <f>'Adani Enterprises'!A405</f>
        <v>0</v>
      </c>
      <c r="B405" s="48">
        <f>'Adani Enterprises'!B405</f>
        <v>0</v>
      </c>
      <c r="C405" s="48">
        <f>'Adani Enterprises'!C405</f>
        <v>0</v>
      </c>
      <c r="D405" s="48">
        <f>'Adani Enterprises'!D405</f>
        <v>0</v>
      </c>
      <c r="E405" s="48">
        <f>'Adani Enterprises'!E405</f>
        <v>0</v>
      </c>
      <c r="F405" s="48">
        <f>'Adani Enterprises'!F405</f>
        <v>0</v>
      </c>
      <c r="G405" s="48">
        <f>'Adani Enterprises'!G405</f>
        <v>0</v>
      </c>
      <c r="H405" s="48">
        <f>'Adani Enterprises'!H405</f>
        <v>0</v>
      </c>
      <c r="I405" s="48">
        <f>'Adani Enterprises'!I405</f>
        <v>0</v>
      </c>
      <c r="J405" s="48">
        <f>'Adani Enterprises'!J405</f>
        <v>0</v>
      </c>
      <c r="K405" s="48">
        <f>'Adani Enterprises'!K405</f>
        <v>0</v>
      </c>
      <c r="L405" s="48">
        <f>'Adani Enterprises'!L405</f>
        <v>0</v>
      </c>
      <c r="M405" s="48">
        <f>'Adani Enterprises'!M405</f>
        <v>0</v>
      </c>
      <c r="N405" s="48">
        <f>'Adani Enterprises'!N405</f>
        <v>0</v>
      </c>
      <c r="O405" s="48">
        <f>'Adani Enterprises'!O405</f>
        <v>0</v>
      </c>
      <c r="P405" s="48">
        <f>'Adani Enterprises'!P405</f>
        <v>0</v>
      </c>
      <c r="Q405" s="48">
        <f>'Adani Enterprises'!Q405</f>
        <v>0</v>
      </c>
      <c r="R405" s="48">
        <f>'Adani Enterprises'!R405</f>
        <v>0</v>
      </c>
      <c r="S405" s="48">
        <f>'Adani Enterprises'!S405</f>
        <v>0</v>
      </c>
      <c r="T405" s="48">
        <f>'Adani Enterprises'!T405</f>
        <v>0</v>
      </c>
      <c r="U405" s="48">
        <f>'Adani Enterprises'!U405</f>
        <v>0</v>
      </c>
      <c r="V405" s="48">
        <f>'Adani Enterprises'!V405</f>
        <v>0</v>
      </c>
      <c r="W405" s="48">
        <f>'Adani Enterprises'!W405</f>
        <v>0</v>
      </c>
      <c r="X405" s="48">
        <f>'Adani Enterprises'!X405</f>
        <v>0</v>
      </c>
      <c r="Y405" s="48">
        <f>'Adani Enterprises'!Y405</f>
        <v>0</v>
      </c>
      <c r="Z405" s="48">
        <f>'Adani Enterprises'!Z405</f>
        <v>0</v>
      </c>
      <c r="AA405" s="48">
        <f>'Adani Enterprises'!AA405</f>
        <v>0</v>
      </c>
      <c r="AB405" s="48">
        <f>'Adani Enterprises'!AB405</f>
        <v>0</v>
      </c>
      <c r="AC405" s="48">
        <f>'Adani Enterprises'!AC405</f>
        <v>0</v>
      </c>
      <c r="AD405" s="48">
        <f>'Adani Enterprises'!AD405</f>
        <v>0</v>
      </c>
      <c r="AE405" s="48">
        <f>'Adani Enterprises'!AE405</f>
        <v>0</v>
      </c>
      <c r="AF405" s="48">
        <f>'Adani Enterprises'!AF405</f>
        <v>0</v>
      </c>
      <c r="AG405" s="48">
        <f>'Adani Enterprises'!AG405</f>
        <v>0</v>
      </c>
      <c r="AH405" s="48">
        <f>'Adani Enterprises'!AH405</f>
        <v>0</v>
      </c>
      <c r="AI405" s="48">
        <f>'Adani Enterprises'!AI405</f>
        <v>0</v>
      </c>
      <c r="AJ405" s="48">
        <f>'Adani Enterprises'!AJ405</f>
        <v>0</v>
      </c>
      <c r="AK405" s="48">
        <f>'Adani Enterprises'!AK405</f>
        <v>0</v>
      </c>
      <c r="AL405" s="48">
        <f>'Adani Enterprises'!AL405</f>
        <v>0</v>
      </c>
    </row>
    <row r="406" customHeight="1" spans="1:38">
      <c r="A406" s="48">
        <f>'Adani Enterprises'!A406</f>
        <v>0</v>
      </c>
      <c r="B406" s="48">
        <f>'Adani Enterprises'!B406</f>
        <v>0</v>
      </c>
      <c r="C406" s="48">
        <f>'Adani Enterprises'!C406</f>
        <v>0</v>
      </c>
      <c r="D406" s="48">
        <f>'Adani Enterprises'!D406</f>
        <v>0</v>
      </c>
      <c r="E406" s="48">
        <f>'Adani Enterprises'!E406</f>
        <v>0</v>
      </c>
      <c r="F406" s="48">
        <f>'Adani Enterprises'!F406</f>
        <v>0</v>
      </c>
      <c r="G406" s="48">
        <f>'Adani Enterprises'!G406</f>
        <v>0</v>
      </c>
      <c r="H406" s="48">
        <f>'Adani Enterprises'!H406</f>
        <v>0</v>
      </c>
      <c r="I406" s="48">
        <f>'Adani Enterprises'!I406</f>
        <v>0</v>
      </c>
      <c r="J406" s="48">
        <f>'Adani Enterprises'!J406</f>
        <v>0</v>
      </c>
      <c r="K406" s="48">
        <f>'Adani Enterprises'!K406</f>
        <v>0</v>
      </c>
      <c r="L406" s="48">
        <f>'Adani Enterprises'!L406</f>
        <v>0</v>
      </c>
      <c r="M406" s="48">
        <f>'Adani Enterprises'!M406</f>
        <v>0</v>
      </c>
      <c r="N406" s="48">
        <f>'Adani Enterprises'!N406</f>
        <v>0</v>
      </c>
      <c r="O406" s="48">
        <f>'Adani Enterprises'!O406</f>
        <v>0</v>
      </c>
      <c r="P406" s="48">
        <f>'Adani Enterprises'!P406</f>
        <v>0</v>
      </c>
      <c r="Q406" s="48">
        <f>'Adani Enterprises'!Q406</f>
        <v>0</v>
      </c>
      <c r="R406" s="48">
        <f>'Adani Enterprises'!R406</f>
        <v>0</v>
      </c>
      <c r="S406" s="48">
        <f>'Adani Enterprises'!S406</f>
        <v>0</v>
      </c>
      <c r="T406" s="48">
        <f>'Adani Enterprises'!T406</f>
        <v>0</v>
      </c>
      <c r="U406" s="48">
        <f>'Adani Enterprises'!U406</f>
        <v>0</v>
      </c>
      <c r="V406" s="48">
        <f>'Adani Enterprises'!V406</f>
        <v>0</v>
      </c>
      <c r="W406" s="48">
        <f>'Adani Enterprises'!W406</f>
        <v>0</v>
      </c>
      <c r="X406" s="48">
        <f>'Adani Enterprises'!X406</f>
        <v>0</v>
      </c>
      <c r="Y406" s="48">
        <f>'Adani Enterprises'!Y406</f>
        <v>0</v>
      </c>
      <c r="Z406" s="48">
        <f>'Adani Enterprises'!Z406</f>
        <v>0</v>
      </c>
      <c r="AA406" s="48">
        <f>'Adani Enterprises'!AA406</f>
        <v>0</v>
      </c>
      <c r="AB406" s="48">
        <f>'Adani Enterprises'!AB406</f>
        <v>0</v>
      </c>
      <c r="AC406" s="48">
        <f>'Adani Enterprises'!AC406</f>
        <v>0</v>
      </c>
      <c r="AD406" s="48">
        <f>'Adani Enterprises'!AD406</f>
        <v>0</v>
      </c>
      <c r="AE406" s="48">
        <f>'Adani Enterprises'!AE406</f>
        <v>0</v>
      </c>
      <c r="AF406" s="48">
        <f>'Adani Enterprises'!AF406</f>
        <v>0</v>
      </c>
      <c r="AG406" s="48">
        <f>'Adani Enterprises'!AG406</f>
        <v>0</v>
      </c>
      <c r="AH406" s="48">
        <f>'Adani Enterprises'!AH406</f>
        <v>0</v>
      </c>
      <c r="AI406" s="48">
        <f>'Adani Enterprises'!AI406</f>
        <v>0</v>
      </c>
      <c r="AJ406" s="48">
        <f>'Adani Enterprises'!AJ406</f>
        <v>0</v>
      </c>
      <c r="AK406" s="48">
        <f>'Adani Enterprises'!AK406</f>
        <v>0</v>
      </c>
      <c r="AL406" s="48">
        <f>'Adani Enterprises'!AL406</f>
        <v>0</v>
      </c>
    </row>
    <row r="407" customHeight="1" spans="1:38">
      <c r="A407" s="48">
        <f>'Adani Enterprises'!A407</f>
        <v>0</v>
      </c>
      <c r="B407" s="48">
        <f>'Adani Enterprises'!B407</f>
        <v>0</v>
      </c>
      <c r="C407" s="48">
        <f>'Adani Enterprises'!C407</f>
        <v>0</v>
      </c>
      <c r="D407" s="48">
        <f>'Adani Enterprises'!D407</f>
        <v>0</v>
      </c>
      <c r="E407" s="48">
        <f>'Adani Enterprises'!E407</f>
        <v>0</v>
      </c>
      <c r="F407" s="48">
        <f>'Adani Enterprises'!F407</f>
        <v>0</v>
      </c>
      <c r="G407" s="48">
        <f>'Adani Enterprises'!G407</f>
        <v>0</v>
      </c>
      <c r="H407" s="48">
        <f>'Adani Enterprises'!H407</f>
        <v>0</v>
      </c>
      <c r="I407" s="48">
        <f>'Adani Enterprises'!I407</f>
        <v>0</v>
      </c>
      <c r="J407" s="48">
        <f>'Adani Enterprises'!J407</f>
        <v>0</v>
      </c>
      <c r="K407" s="48">
        <f>'Adani Enterprises'!K407</f>
        <v>0</v>
      </c>
      <c r="L407" s="48">
        <f>'Adani Enterprises'!L407</f>
        <v>0</v>
      </c>
      <c r="M407" s="48">
        <f>'Adani Enterprises'!M407</f>
        <v>0</v>
      </c>
      <c r="N407" s="48">
        <f>'Adani Enterprises'!N407</f>
        <v>0</v>
      </c>
      <c r="O407" s="48">
        <f>'Adani Enterprises'!O407</f>
        <v>0</v>
      </c>
      <c r="P407" s="48">
        <f>'Adani Enterprises'!P407</f>
        <v>0</v>
      </c>
      <c r="Q407" s="48">
        <f>'Adani Enterprises'!Q407</f>
        <v>0</v>
      </c>
      <c r="R407" s="48">
        <f>'Adani Enterprises'!R407</f>
        <v>0</v>
      </c>
      <c r="S407" s="48">
        <f>'Adani Enterprises'!S407</f>
        <v>0</v>
      </c>
      <c r="T407" s="48">
        <f>'Adani Enterprises'!T407</f>
        <v>0</v>
      </c>
      <c r="U407" s="48">
        <f>'Adani Enterprises'!U407</f>
        <v>0</v>
      </c>
      <c r="V407" s="48">
        <f>'Adani Enterprises'!V407</f>
        <v>0</v>
      </c>
      <c r="W407" s="48">
        <f>'Adani Enterprises'!W407</f>
        <v>0</v>
      </c>
      <c r="X407" s="48">
        <f>'Adani Enterprises'!X407</f>
        <v>0</v>
      </c>
      <c r="Y407" s="48">
        <f>'Adani Enterprises'!Y407</f>
        <v>0</v>
      </c>
      <c r="Z407" s="48">
        <f>'Adani Enterprises'!Z407</f>
        <v>0</v>
      </c>
      <c r="AA407" s="48">
        <f>'Adani Enterprises'!AA407</f>
        <v>0</v>
      </c>
      <c r="AB407" s="48">
        <f>'Adani Enterprises'!AB407</f>
        <v>0</v>
      </c>
      <c r="AC407" s="48">
        <f>'Adani Enterprises'!AC407</f>
        <v>0</v>
      </c>
      <c r="AD407" s="48">
        <f>'Adani Enterprises'!AD407</f>
        <v>0</v>
      </c>
      <c r="AE407" s="48">
        <f>'Adani Enterprises'!AE407</f>
        <v>0</v>
      </c>
      <c r="AF407" s="48">
        <f>'Adani Enterprises'!AF407</f>
        <v>0</v>
      </c>
      <c r="AG407" s="48">
        <f>'Adani Enterprises'!AG407</f>
        <v>0</v>
      </c>
      <c r="AH407" s="48">
        <f>'Adani Enterprises'!AH407</f>
        <v>0</v>
      </c>
      <c r="AI407" s="48">
        <f>'Adani Enterprises'!AI407</f>
        <v>0</v>
      </c>
      <c r="AJ407" s="48">
        <f>'Adani Enterprises'!AJ407</f>
        <v>0</v>
      </c>
      <c r="AK407" s="48">
        <f>'Adani Enterprises'!AK407</f>
        <v>0</v>
      </c>
      <c r="AL407" s="48">
        <f>'Adani Enterprises'!AL407</f>
        <v>0</v>
      </c>
    </row>
    <row r="408" customHeight="1" spans="1:38">
      <c r="A408" s="48">
        <f>'Adani Enterprises'!A408</f>
        <v>0</v>
      </c>
      <c r="B408" s="48">
        <f>'Adani Enterprises'!B408</f>
        <v>0</v>
      </c>
      <c r="C408" s="48">
        <f>'Adani Enterprises'!C408</f>
        <v>0</v>
      </c>
      <c r="D408" s="48">
        <f>'Adani Enterprises'!D408</f>
        <v>0</v>
      </c>
      <c r="E408" s="48">
        <f>'Adani Enterprises'!E408</f>
        <v>0</v>
      </c>
      <c r="F408" s="48">
        <f>'Adani Enterprises'!F408</f>
        <v>0</v>
      </c>
      <c r="G408" s="48">
        <f>'Adani Enterprises'!G408</f>
        <v>0</v>
      </c>
      <c r="H408" s="48">
        <f>'Adani Enterprises'!H408</f>
        <v>0</v>
      </c>
      <c r="I408" s="48">
        <f>'Adani Enterprises'!I408</f>
        <v>0</v>
      </c>
      <c r="J408" s="48">
        <f>'Adani Enterprises'!J408</f>
        <v>0</v>
      </c>
      <c r="K408" s="48">
        <f>'Adani Enterprises'!K408</f>
        <v>0</v>
      </c>
      <c r="L408" s="48">
        <f>'Adani Enterprises'!L408</f>
        <v>0</v>
      </c>
      <c r="M408" s="48">
        <f>'Adani Enterprises'!M408</f>
        <v>0</v>
      </c>
      <c r="N408" s="48">
        <f>'Adani Enterprises'!N408</f>
        <v>0</v>
      </c>
      <c r="O408" s="48">
        <f>'Adani Enterprises'!O408</f>
        <v>0</v>
      </c>
      <c r="P408" s="48">
        <f>'Adani Enterprises'!P408</f>
        <v>0</v>
      </c>
      <c r="Q408" s="48">
        <f>'Adani Enterprises'!Q408</f>
        <v>0</v>
      </c>
      <c r="R408" s="48">
        <f>'Adani Enterprises'!R408</f>
        <v>0</v>
      </c>
      <c r="S408" s="48">
        <f>'Adani Enterprises'!S408</f>
        <v>0</v>
      </c>
      <c r="T408" s="48">
        <f>'Adani Enterprises'!T408</f>
        <v>0</v>
      </c>
      <c r="U408" s="48">
        <f>'Adani Enterprises'!U408</f>
        <v>0</v>
      </c>
      <c r="V408" s="48">
        <f>'Adani Enterprises'!V408</f>
        <v>0</v>
      </c>
      <c r="W408" s="48">
        <f>'Adani Enterprises'!W408</f>
        <v>0</v>
      </c>
      <c r="X408" s="48">
        <f>'Adani Enterprises'!X408</f>
        <v>0</v>
      </c>
      <c r="Y408" s="48">
        <f>'Adani Enterprises'!Y408</f>
        <v>0</v>
      </c>
      <c r="Z408" s="48">
        <f>'Adani Enterprises'!Z408</f>
        <v>0</v>
      </c>
      <c r="AA408" s="48">
        <f>'Adani Enterprises'!AA408</f>
        <v>0</v>
      </c>
      <c r="AB408" s="48">
        <f>'Adani Enterprises'!AB408</f>
        <v>0</v>
      </c>
      <c r="AC408" s="48">
        <f>'Adani Enterprises'!AC408</f>
        <v>0</v>
      </c>
      <c r="AD408" s="48">
        <f>'Adani Enterprises'!AD408</f>
        <v>0</v>
      </c>
      <c r="AE408" s="48">
        <f>'Adani Enterprises'!AE408</f>
        <v>0</v>
      </c>
      <c r="AF408" s="48">
        <f>'Adani Enterprises'!AF408</f>
        <v>0</v>
      </c>
      <c r="AG408" s="48">
        <f>'Adani Enterprises'!AG408</f>
        <v>0</v>
      </c>
      <c r="AH408" s="48">
        <f>'Adani Enterprises'!AH408</f>
        <v>0</v>
      </c>
      <c r="AI408" s="48">
        <f>'Adani Enterprises'!AI408</f>
        <v>0</v>
      </c>
      <c r="AJ408" s="48">
        <f>'Adani Enterprises'!AJ408</f>
        <v>0</v>
      </c>
      <c r="AK408" s="48">
        <f>'Adani Enterprises'!AK408</f>
        <v>0</v>
      </c>
      <c r="AL408" s="48">
        <f>'Adani Enterprises'!AL408</f>
        <v>0</v>
      </c>
    </row>
    <row r="409" customHeight="1" spans="1:38">
      <c r="A409" s="48">
        <f>'Adani Enterprises'!A409</f>
        <v>0</v>
      </c>
      <c r="B409" s="48">
        <f>'Adani Enterprises'!B409</f>
        <v>0</v>
      </c>
      <c r="C409" s="48">
        <f>'Adani Enterprises'!C409</f>
        <v>0</v>
      </c>
      <c r="D409" s="48">
        <f>'Adani Enterprises'!D409</f>
        <v>0</v>
      </c>
      <c r="E409" s="48">
        <f>'Adani Enterprises'!E409</f>
        <v>0</v>
      </c>
      <c r="F409" s="48">
        <f>'Adani Enterprises'!F409</f>
        <v>0</v>
      </c>
      <c r="G409" s="48">
        <f>'Adani Enterprises'!G409</f>
        <v>0</v>
      </c>
      <c r="H409" s="48">
        <f>'Adani Enterprises'!H409</f>
        <v>0</v>
      </c>
      <c r="I409" s="48">
        <f>'Adani Enterprises'!I409</f>
        <v>0</v>
      </c>
      <c r="J409" s="48">
        <f>'Adani Enterprises'!J409</f>
        <v>0</v>
      </c>
      <c r="K409" s="48">
        <f>'Adani Enterprises'!K409</f>
        <v>0</v>
      </c>
      <c r="L409" s="48">
        <f>'Adani Enterprises'!L409</f>
        <v>0</v>
      </c>
      <c r="M409" s="48">
        <f>'Adani Enterprises'!M409</f>
        <v>0</v>
      </c>
      <c r="N409" s="48">
        <f>'Adani Enterprises'!N409</f>
        <v>0</v>
      </c>
      <c r="O409" s="48">
        <f>'Adani Enterprises'!O409</f>
        <v>0</v>
      </c>
      <c r="P409" s="48">
        <f>'Adani Enterprises'!P409</f>
        <v>0</v>
      </c>
      <c r="Q409" s="48">
        <f>'Adani Enterprises'!Q409</f>
        <v>0</v>
      </c>
      <c r="R409" s="48">
        <f>'Adani Enterprises'!R409</f>
        <v>0</v>
      </c>
      <c r="S409" s="48">
        <f>'Adani Enterprises'!S409</f>
        <v>0</v>
      </c>
      <c r="T409" s="48">
        <f>'Adani Enterprises'!T409</f>
        <v>0</v>
      </c>
      <c r="U409" s="48">
        <f>'Adani Enterprises'!U409</f>
        <v>0</v>
      </c>
      <c r="V409" s="48">
        <f>'Adani Enterprises'!V409</f>
        <v>0</v>
      </c>
      <c r="W409" s="48">
        <f>'Adani Enterprises'!W409</f>
        <v>0</v>
      </c>
      <c r="X409" s="48">
        <f>'Adani Enterprises'!X409</f>
        <v>0</v>
      </c>
      <c r="Y409" s="48">
        <f>'Adani Enterprises'!Y409</f>
        <v>0</v>
      </c>
      <c r="Z409" s="48">
        <f>'Adani Enterprises'!Z409</f>
        <v>0</v>
      </c>
      <c r="AA409" s="48">
        <f>'Adani Enterprises'!AA409</f>
        <v>0</v>
      </c>
      <c r="AB409" s="48">
        <f>'Adani Enterprises'!AB409</f>
        <v>0</v>
      </c>
      <c r="AC409" s="48">
        <f>'Adani Enterprises'!AC409</f>
        <v>0</v>
      </c>
      <c r="AD409" s="48">
        <f>'Adani Enterprises'!AD409</f>
        <v>0</v>
      </c>
      <c r="AE409" s="48">
        <f>'Adani Enterprises'!AE409</f>
        <v>0</v>
      </c>
      <c r="AF409" s="48">
        <f>'Adani Enterprises'!AF409</f>
        <v>0</v>
      </c>
      <c r="AG409" s="48">
        <f>'Adani Enterprises'!AG409</f>
        <v>0</v>
      </c>
      <c r="AH409" s="48">
        <f>'Adani Enterprises'!AH409</f>
        <v>0</v>
      </c>
      <c r="AI409" s="48">
        <f>'Adani Enterprises'!AI409</f>
        <v>0</v>
      </c>
      <c r="AJ409" s="48">
        <f>'Adani Enterprises'!AJ409</f>
        <v>0</v>
      </c>
      <c r="AK409" s="48">
        <f>'Adani Enterprises'!AK409</f>
        <v>0</v>
      </c>
      <c r="AL409" s="48">
        <f>'Adani Enterprises'!AL409</f>
        <v>0</v>
      </c>
    </row>
    <row r="410" customHeight="1" spans="1:38">
      <c r="A410" s="48">
        <f>'Adani Enterprises'!A410</f>
        <v>0</v>
      </c>
      <c r="B410" s="48">
        <f>'Adani Enterprises'!B410</f>
        <v>0</v>
      </c>
      <c r="C410" s="48">
        <f>'Adani Enterprises'!C410</f>
        <v>0</v>
      </c>
      <c r="D410" s="48">
        <f>'Adani Enterprises'!D410</f>
        <v>0</v>
      </c>
      <c r="E410" s="48">
        <f>'Adani Enterprises'!E410</f>
        <v>0</v>
      </c>
      <c r="F410" s="48">
        <f>'Adani Enterprises'!F410</f>
        <v>0</v>
      </c>
      <c r="G410" s="48">
        <f>'Adani Enterprises'!G410</f>
        <v>0</v>
      </c>
      <c r="H410" s="48">
        <f>'Adani Enterprises'!H410</f>
        <v>0</v>
      </c>
      <c r="I410" s="48">
        <f>'Adani Enterprises'!I410</f>
        <v>0</v>
      </c>
      <c r="J410" s="48">
        <f>'Adani Enterprises'!J410</f>
        <v>0</v>
      </c>
      <c r="K410" s="48">
        <f>'Adani Enterprises'!K410</f>
        <v>0</v>
      </c>
      <c r="L410" s="48">
        <f>'Adani Enterprises'!L410</f>
        <v>0</v>
      </c>
      <c r="M410" s="48">
        <f>'Adani Enterprises'!M410</f>
        <v>0</v>
      </c>
      <c r="N410" s="48">
        <f>'Adani Enterprises'!N410</f>
        <v>0</v>
      </c>
      <c r="O410" s="48">
        <f>'Adani Enterprises'!O410</f>
        <v>0</v>
      </c>
      <c r="P410" s="48">
        <f>'Adani Enterprises'!P410</f>
        <v>0</v>
      </c>
      <c r="Q410" s="48">
        <f>'Adani Enterprises'!Q410</f>
        <v>0</v>
      </c>
      <c r="R410" s="48">
        <f>'Adani Enterprises'!R410</f>
        <v>0</v>
      </c>
      <c r="S410" s="48">
        <f>'Adani Enterprises'!S410</f>
        <v>0</v>
      </c>
      <c r="T410" s="48">
        <f>'Adani Enterprises'!T410</f>
        <v>0</v>
      </c>
      <c r="U410" s="48">
        <f>'Adani Enterprises'!U410</f>
        <v>0</v>
      </c>
      <c r="V410" s="48">
        <f>'Adani Enterprises'!V410</f>
        <v>0</v>
      </c>
      <c r="W410" s="48">
        <f>'Adani Enterprises'!W410</f>
        <v>0</v>
      </c>
      <c r="X410" s="48">
        <f>'Adani Enterprises'!X410</f>
        <v>0</v>
      </c>
      <c r="Y410" s="48">
        <f>'Adani Enterprises'!Y410</f>
        <v>0</v>
      </c>
      <c r="Z410" s="48">
        <f>'Adani Enterprises'!Z410</f>
        <v>0</v>
      </c>
      <c r="AA410" s="48">
        <f>'Adani Enterprises'!AA410</f>
        <v>0</v>
      </c>
      <c r="AB410" s="48">
        <f>'Adani Enterprises'!AB410</f>
        <v>0</v>
      </c>
      <c r="AC410" s="48">
        <f>'Adani Enterprises'!AC410</f>
        <v>0</v>
      </c>
      <c r="AD410" s="48">
        <f>'Adani Enterprises'!AD410</f>
        <v>0</v>
      </c>
      <c r="AE410" s="48">
        <f>'Adani Enterprises'!AE410</f>
        <v>0</v>
      </c>
      <c r="AF410" s="48">
        <f>'Adani Enterprises'!AF410</f>
        <v>0</v>
      </c>
      <c r="AG410" s="48">
        <f>'Adani Enterprises'!AG410</f>
        <v>0</v>
      </c>
      <c r="AH410" s="48">
        <f>'Adani Enterprises'!AH410</f>
        <v>0</v>
      </c>
      <c r="AI410" s="48">
        <f>'Adani Enterprises'!AI410</f>
        <v>0</v>
      </c>
      <c r="AJ410" s="48">
        <f>'Adani Enterprises'!AJ410</f>
        <v>0</v>
      </c>
      <c r="AK410" s="48">
        <f>'Adani Enterprises'!AK410</f>
        <v>0</v>
      </c>
      <c r="AL410" s="48">
        <f>'Adani Enterprises'!AL410</f>
        <v>0</v>
      </c>
    </row>
    <row r="411" customHeight="1" spans="1:38">
      <c r="A411" s="48">
        <f>'Adani Enterprises'!A411</f>
        <v>0</v>
      </c>
      <c r="B411" s="48">
        <f>'Adani Enterprises'!B411</f>
        <v>0</v>
      </c>
      <c r="C411" s="48">
        <f>'Adani Enterprises'!C411</f>
        <v>0</v>
      </c>
      <c r="D411" s="48">
        <f>'Adani Enterprises'!D411</f>
        <v>0</v>
      </c>
      <c r="E411" s="48">
        <f>'Adani Enterprises'!E411</f>
        <v>0</v>
      </c>
      <c r="F411" s="48">
        <f>'Adani Enterprises'!F411</f>
        <v>0</v>
      </c>
      <c r="G411" s="48">
        <f>'Adani Enterprises'!G411</f>
        <v>0</v>
      </c>
      <c r="H411" s="48">
        <f>'Adani Enterprises'!H411</f>
        <v>0</v>
      </c>
      <c r="I411" s="48">
        <f>'Adani Enterprises'!I411</f>
        <v>0</v>
      </c>
      <c r="J411" s="48">
        <f>'Adani Enterprises'!J411</f>
        <v>0</v>
      </c>
      <c r="K411" s="48">
        <f>'Adani Enterprises'!K411</f>
        <v>0</v>
      </c>
      <c r="L411" s="48">
        <f>'Adani Enterprises'!L411</f>
        <v>0</v>
      </c>
      <c r="M411" s="48">
        <f>'Adani Enterprises'!M411</f>
        <v>0</v>
      </c>
      <c r="N411" s="48">
        <f>'Adani Enterprises'!N411</f>
        <v>0</v>
      </c>
      <c r="O411" s="48">
        <f>'Adani Enterprises'!O411</f>
        <v>0</v>
      </c>
      <c r="P411" s="48">
        <f>'Adani Enterprises'!P411</f>
        <v>0</v>
      </c>
      <c r="Q411" s="48">
        <f>'Adani Enterprises'!Q411</f>
        <v>0</v>
      </c>
      <c r="R411" s="48">
        <f>'Adani Enterprises'!R411</f>
        <v>0</v>
      </c>
      <c r="S411" s="48">
        <f>'Adani Enterprises'!S411</f>
        <v>0</v>
      </c>
      <c r="T411" s="48">
        <f>'Adani Enterprises'!T411</f>
        <v>0</v>
      </c>
      <c r="U411" s="48">
        <f>'Adani Enterprises'!U411</f>
        <v>0</v>
      </c>
      <c r="V411" s="48">
        <f>'Adani Enterprises'!V411</f>
        <v>0</v>
      </c>
      <c r="W411" s="48">
        <f>'Adani Enterprises'!W411</f>
        <v>0</v>
      </c>
      <c r="X411" s="48">
        <f>'Adani Enterprises'!X411</f>
        <v>0</v>
      </c>
      <c r="Y411" s="48">
        <f>'Adani Enterprises'!Y411</f>
        <v>0</v>
      </c>
      <c r="Z411" s="48">
        <f>'Adani Enterprises'!Z411</f>
        <v>0</v>
      </c>
      <c r="AA411" s="48">
        <f>'Adani Enterprises'!AA411</f>
        <v>0</v>
      </c>
      <c r="AB411" s="48">
        <f>'Adani Enterprises'!AB411</f>
        <v>0</v>
      </c>
      <c r="AC411" s="48">
        <f>'Adani Enterprises'!AC411</f>
        <v>0</v>
      </c>
      <c r="AD411" s="48">
        <f>'Adani Enterprises'!AD411</f>
        <v>0</v>
      </c>
      <c r="AE411" s="48">
        <f>'Adani Enterprises'!AE411</f>
        <v>0</v>
      </c>
      <c r="AF411" s="48">
        <f>'Adani Enterprises'!AF411</f>
        <v>0</v>
      </c>
      <c r="AG411" s="48">
        <f>'Adani Enterprises'!AG411</f>
        <v>0</v>
      </c>
      <c r="AH411" s="48">
        <f>'Adani Enterprises'!AH411</f>
        <v>0</v>
      </c>
      <c r="AI411" s="48">
        <f>'Adani Enterprises'!AI411</f>
        <v>0</v>
      </c>
      <c r="AJ411" s="48">
        <f>'Adani Enterprises'!AJ411</f>
        <v>0</v>
      </c>
      <c r="AK411" s="48">
        <f>'Adani Enterprises'!AK411</f>
        <v>0</v>
      </c>
      <c r="AL411" s="48">
        <f>'Adani Enterprises'!AL411</f>
        <v>0</v>
      </c>
    </row>
    <row r="412" customHeight="1" spans="1:38">
      <c r="A412" s="48">
        <f>'Adani Enterprises'!A412</f>
        <v>0</v>
      </c>
      <c r="B412" s="48">
        <f>'Adani Enterprises'!B412</f>
        <v>0</v>
      </c>
      <c r="C412" s="48">
        <f>'Adani Enterprises'!C412</f>
        <v>0</v>
      </c>
      <c r="D412" s="48">
        <f>'Adani Enterprises'!D412</f>
        <v>0</v>
      </c>
      <c r="E412" s="48">
        <f>'Adani Enterprises'!E412</f>
        <v>0</v>
      </c>
      <c r="F412" s="48">
        <f>'Adani Enterprises'!F412</f>
        <v>0</v>
      </c>
      <c r="G412" s="48">
        <f>'Adani Enterprises'!G412</f>
        <v>0</v>
      </c>
      <c r="H412" s="48">
        <f>'Adani Enterprises'!H412</f>
        <v>0</v>
      </c>
      <c r="I412" s="48">
        <f>'Adani Enterprises'!I412</f>
        <v>0</v>
      </c>
      <c r="J412" s="48">
        <f>'Adani Enterprises'!J412</f>
        <v>0</v>
      </c>
      <c r="K412" s="48">
        <f>'Adani Enterprises'!K412</f>
        <v>0</v>
      </c>
      <c r="L412" s="48">
        <f>'Adani Enterprises'!L412</f>
        <v>0</v>
      </c>
      <c r="M412" s="48">
        <f>'Adani Enterprises'!M412</f>
        <v>0</v>
      </c>
      <c r="N412" s="48">
        <f>'Adani Enterprises'!N412</f>
        <v>0</v>
      </c>
      <c r="O412" s="48">
        <f>'Adani Enterprises'!O412</f>
        <v>0</v>
      </c>
      <c r="P412" s="48">
        <f>'Adani Enterprises'!P412</f>
        <v>0</v>
      </c>
      <c r="Q412" s="48">
        <f>'Adani Enterprises'!Q412</f>
        <v>0</v>
      </c>
      <c r="R412" s="48">
        <f>'Adani Enterprises'!R412</f>
        <v>0</v>
      </c>
      <c r="S412" s="48">
        <f>'Adani Enterprises'!S412</f>
        <v>0</v>
      </c>
      <c r="T412" s="48">
        <f>'Adani Enterprises'!T412</f>
        <v>0</v>
      </c>
      <c r="U412" s="48">
        <f>'Adani Enterprises'!U412</f>
        <v>0</v>
      </c>
      <c r="V412" s="48">
        <f>'Adani Enterprises'!V412</f>
        <v>0</v>
      </c>
      <c r="W412" s="48">
        <f>'Adani Enterprises'!W412</f>
        <v>0</v>
      </c>
      <c r="X412" s="48">
        <f>'Adani Enterprises'!X412</f>
        <v>0</v>
      </c>
      <c r="Y412" s="48">
        <f>'Adani Enterprises'!Y412</f>
        <v>0</v>
      </c>
      <c r="Z412" s="48">
        <f>'Adani Enterprises'!Z412</f>
        <v>0</v>
      </c>
      <c r="AA412" s="48">
        <f>'Adani Enterprises'!AA412</f>
        <v>0</v>
      </c>
      <c r="AB412" s="48">
        <f>'Adani Enterprises'!AB412</f>
        <v>0</v>
      </c>
      <c r="AC412" s="48">
        <f>'Adani Enterprises'!AC412</f>
        <v>0</v>
      </c>
      <c r="AD412" s="48">
        <f>'Adani Enterprises'!AD412</f>
        <v>0</v>
      </c>
      <c r="AE412" s="48">
        <f>'Adani Enterprises'!AE412</f>
        <v>0</v>
      </c>
      <c r="AF412" s="48">
        <f>'Adani Enterprises'!AF412</f>
        <v>0</v>
      </c>
      <c r="AG412" s="48">
        <f>'Adani Enterprises'!AG412</f>
        <v>0</v>
      </c>
      <c r="AH412" s="48">
        <f>'Adani Enterprises'!AH412</f>
        <v>0</v>
      </c>
      <c r="AI412" s="48">
        <f>'Adani Enterprises'!AI412</f>
        <v>0</v>
      </c>
      <c r="AJ412" s="48">
        <f>'Adani Enterprises'!AJ412</f>
        <v>0</v>
      </c>
      <c r="AK412" s="48">
        <f>'Adani Enterprises'!AK412</f>
        <v>0</v>
      </c>
      <c r="AL412" s="48">
        <f>'Adani Enterprises'!AL412</f>
        <v>0</v>
      </c>
    </row>
    <row r="413" customHeight="1" spans="1:38">
      <c r="A413" s="48">
        <f>'Adani Enterprises'!A413</f>
        <v>0</v>
      </c>
      <c r="B413" s="48">
        <f>'Adani Enterprises'!B413</f>
        <v>0</v>
      </c>
      <c r="C413" s="48">
        <f>'Adani Enterprises'!C413</f>
        <v>0</v>
      </c>
      <c r="D413" s="48">
        <f>'Adani Enterprises'!D413</f>
        <v>0</v>
      </c>
      <c r="E413" s="48">
        <f>'Adani Enterprises'!E413</f>
        <v>0</v>
      </c>
      <c r="F413" s="48">
        <f>'Adani Enterprises'!F413</f>
        <v>0</v>
      </c>
      <c r="G413" s="48">
        <f>'Adani Enterprises'!G413</f>
        <v>0</v>
      </c>
      <c r="H413" s="48">
        <f>'Adani Enterprises'!H413</f>
        <v>0</v>
      </c>
      <c r="I413" s="48">
        <f>'Adani Enterprises'!I413</f>
        <v>0</v>
      </c>
      <c r="J413" s="48">
        <f>'Adani Enterprises'!J413</f>
        <v>0</v>
      </c>
      <c r="K413" s="48">
        <f>'Adani Enterprises'!K413</f>
        <v>0</v>
      </c>
      <c r="L413" s="48">
        <f>'Adani Enterprises'!L413</f>
        <v>0</v>
      </c>
      <c r="M413" s="48">
        <f>'Adani Enterprises'!M413</f>
        <v>0</v>
      </c>
      <c r="N413" s="48">
        <f>'Adani Enterprises'!N413</f>
        <v>0</v>
      </c>
      <c r="O413" s="48">
        <f>'Adani Enterprises'!O413</f>
        <v>0</v>
      </c>
      <c r="P413" s="48">
        <f>'Adani Enterprises'!P413</f>
        <v>0</v>
      </c>
      <c r="Q413" s="48">
        <f>'Adani Enterprises'!Q413</f>
        <v>0</v>
      </c>
      <c r="R413" s="48">
        <f>'Adani Enterprises'!R413</f>
        <v>0</v>
      </c>
      <c r="S413" s="48">
        <f>'Adani Enterprises'!S413</f>
        <v>0</v>
      </c>
      <c r="T413" s="48">
        <f>'Adani Enterprises'!T413</f>
        <v>0</v>
      </c>
      <c r="U413" s="48">
        <f>'Adani Enterprises'!U413</f>
        <v>0</v>
      </c>
      <c r="V413" s="48">
        <f>'Adani Enterprises'!V413</f>
        <v>0</v>
      </c>
      <c r="W413" s="48">
        <f>'Adani Enterprises'!W413</f>
        <v>0</v>
      </c>
      <c r="X413" s="48">
        <f>'Adani Enterprises'!X413</f>
        <v>0</v>
      </c>
      <c r="Y413" s="48">
        <f>'Adani Enterprises'!Y413</f>
        <v>0</v>
      </c>
      <c r="Z413" s="48">
        <f>'Adani Enterprises'!Z413</f>
        <v>0</v>
      </c>
      <c r="AA413" s="48">
        <f>'Adani Enterprises'!AA413</f>
        <v>0</v>
      </c>
      <c r="AB413" s="48">
        <f>'Adani Enterprises'!AB413</f>
        <v>0</v>
      </c>
      <c r="AC413" s="48">
        <f>'Adani Enterprises'!AC413</f>
        <v>0</v>
      </c>
      <c r="AD413" s="48">
        <f>'Adani Enterprises'!AD413</f>
        <v>0</v>
      </c>
      <c r="AE413" s="48">
        <f>'Adani Enterprises'!AE413</f>
        <v>0</v>
      </c>
      <c r="AF413" s="48">
        <f>'Adani Enterprises'!AF413</f>
        <v>0</v>
      </c>
      <c r="AG413" s="48">
        <f>'Adani Enterprises'!AG413</f>
        <v>0</v>
      </c>
      <c r="AH413" s="48">
        <f>'Adani Enterprises'!AH413</f>
        <v>0</v>
      </c>
      <c r="AI413" s="48">
        <f>'Adani Enterprises'!AI413</f>
        <v>0</v>
      </c>
      <c r="AJ413" s="48">
        <f>'Adani Enterprises'!AJ413</f>
        <v>0</v>
      </c>
      <c r="AK413" s="48">
        <f>'Adani Enterprises'!AK413</f>
        <v>0</v>
      </c>
      <c r="AL413" s="48">
        <f>'Adani Enterprises'!AL413</f>
        <v>0</v>
      </c>
    </row>
    <row r="414" customHeight="1" spans="1:38">
      <c r="A414" s="48">
        <f>'Adani Enterprises'!A414</f>
        <v>0</v>
      </c>
      <c r="B414" s="48">
        <f>'Adani Enterprises'!B414</f>
        <v>0</v>
      </c>
      <c r="C414" s="48">
        <f>'Adani Enterprises'!C414</f>
        <v>0</v>
      </c>
      <c r="D414" s="48">
        <f>'Adani Enterprises'!D414</f>
        <v>0</v>
      </c>
      <c r="E414" s="48">
        <f>'Adani Enterprises'!E414</f>
        <v>0</v>
      </c>
      <c r="F414" s="48">
        <f>'Adani Enterprises'!F414</f>
        <v>0</v>
      </c>
      <c r="G414" s="48">
        <f>'Adani Enterprises'!G414</f>
        <v>0</v>
      </c>
      <c r="H414" s="48">
        <f>'Adani Enterprises'!H414</f>
        <v>0</v>
      </c>
      <c r="I414" s="48">
        <f>'Adani Enterprises'!I414</f>
        <v>0</v>
      </c>
      <c r="J414" s="48">
        <f>'Adani Enterprises'!J414</f>
        <v>0</v>
      </c>
      <c r="K414" s="48">
        <f>'Adani Enterprises'!K414</f>
        <v>0</v>
      </c>
      <c r="L414" s="48">
        <f>'Adani Enterprises'!L414</f>
        <v>0</v>
      </c>
      <c r="M414" s="48">
        <f>'Adani Enterprises'!M414</f>
        <v>0</v>
      </c>
      <c r="N414" s="48">
        <f>'Adani Enterprises'!N414</f>
        <v>0</v>
      </c>
      <c r="O414" s="48">
        <f>'Adani Enterprises'!O414</f>
        <v>0</v>
      </c>
      <c r="P414" s="48">
        <f>'Adani Enterprises'!P414</f>
        <v>0</v>
      </c>
      <c r="Q414" s="48">
        <f>'Adani Enterprises'!Q414</f>
        <v>0</v>
      </c>
      <c r="R414" s="48">
        <f>'Adani Enterprises'!R414</f>
        <v>0</v>
      </c>
      <c r="S414" s="48">
        <f>'Adani Enterprises'!S414</f>
        <v>0</v>
      </c>
      <c r="T414" s="48">
        <f>'Adani Enterprises'!T414</f>
        <v>0</v>
      </c>
      <c r="U414" s="48">
        <f>'Adani Enterprises'!U414</f>
        <v>0</v>
      </c>
      <c r="V414" s="48">
        <f>'Adani Enterprises'!V414</f>
        <v>0</v>
      </c>
      <c r="W414" s="48">
        <f>'Adani Enterprises'!W414</f>
        <v>0</v>
      </c>
      <c r="X414" s="48">
        <f>'Adani Enterprises'!X414</f>
        <v>0</v>
      </c>
      <c r="Y414" s="48">
        <f>'Adani Enterprises'!Y414</f>
        <v>0</v>
      </c>
      <c r="Z414" s="48">
        <f>'Adani Enterprises'!Z414</f>
        <v>0</v>
      </c>
      <c r="AA414" s="48">
        <f>'Adani Enterprises'!AA414</f>
        <v>0</v>
      </c>
      <c r="AB414" s="48">
        <f>'Adani Enterprises'!AB414</f>
        <v>0</v>
      </c>
      <c r="AC414" s="48">
        <f>'Adani Enterprises'!AC414</f>
        <v>0</v>
      </c>
      <c r="AD414" s="48">
        <f>'Adani Enterprises'!AD414</f>
        <v>0</v>
      </c>
      <c r="AE414" s="48">
        <f>'Adani Enterprises'!AE414</f>
        <v>0</v>
      </c>
      <c r="AF414" s="48">
        <f>'Adani Enterprises'!AF414</f>
        <v>0</v>
      </c>
      <c r="AG414" s="48">
        <f>'Adani Enterprises'!AG414</f>
        <v>0</v>
      </c>
      <c r="AH414" s="48">
        <f>'Adani Enterprises'!AH414</f>
        <v>0</v>
      </c>
      <c r="AI414" s="48">
        <f>'Adani Enterprises'!AI414</f>
        <v>0</v>
      </c>
      <c r="AJ414" s="48">
        <f>'Adani Enterprises'!AJ414</f>
        <v>0</v>
      </c>
      <c r="AK414" s="48">
        <f>'Adani Enterprises'!AK414</f>
        <v>0</v>
      </c>
      <c r="AL414" s="48">
        <f>'Adani Enterprises'!AL414</f>
        <v>0</v>
      </c>
    </row>
    <row r="415" customHeight="1" spans="1:38">
      <c r="A415" s="48">
        <f>'Adani Enterprises'!A415</f>
        <v>0</v>
      </c>
      <c r="B415" s="48">
        <f>'Adani Enterprises'!B415</f>
        <v>0</v>
      </c>
      <c r="C415" s="48">
        <f>'Adani Enterprises'!C415</f>
        <v>0</v>
      </c>
      <c r="D415" s="48">
        <f>'Adani Enterprises'!D415</f>
        <v>0</v>
      </c>
      <c r="E415" s="48">
        <f>'Adani Enterprises'!E415</f>
        <v>0</v>
      </c>
      <c r="F415" s="48">
        <f>'Adani Enterprises'!F415</f>
        <v>0</v>
      </c>
      <c r="G415" s="48">
        <f>'Adani Enterprises'!G415</f>
        <v>0</v>
      </c>
      <c r="H415" s="48">
        <f>'Adani Enterprises'!H415</f>
        <v>0</v>
      </c>
      <c r="I415" s="48">
        <f>'Adani Enterprises'!I415</f>
        <v>0</v>
      </c>
      <c r="J415" s="48">
        <f>'Adani Enterprises'!J415</f>
        <v>0</v>
      </c>
      <c r="K415" s="48">
        <f>'Adani Enterprises'!K415</f>
        <v>0</v>
      </c>
      <c r="L415" s="48">
        <f>'Adani Enterprises'!L415</f>
        <v>0</v>
      </c>
      <c r="M415" s="48">
        <f>'Adani Enterprises'!M415</f>
        <v>0</v>
      </c>
      <c r="N415" s="48">
        <f>'Adani Enterprises'!N415</f>
        <v>0</v>
      </c>
      <c r="O415" s="48">
        <f>'Adani Enterprises'!O415</f>
        <v>0</v>
      </c>
      <c r="P415" s="48">
        <f>'Adani Enterprises'!P415</f>
        <v>0</v>
      </c>
      <c r="Q415" s="48">
        <f>'Adani Enterprises'!Q415</f>
        <v>0</v>
      </c>
      <c r="R415" s="48">
        <f>'Adani Enterprises'!R415</f>
        <v>0</v>
      </c>
      <c r="S415" s="48">
        <f>'Adani Enterprises'!S415</f>
        <v>0</v>
      </c>
      <c r="T415" s="48">
        <f>'Adani Enterprises'!T415</f>
        <v>0</v>
      </c>
      <c r="U415" s="48">
        <f>'Adani Enterprises'!U415</f>
        <v>0</v>
      </c>
      <c r="V415" s="48">
        <f>'Adani Enterprises'!V415</f>
        <v>0</v>
      </c>
      <c r="W415" s="48">
        <f>'Adani Enterprises'!W415</f>
        <v>0</v>
      </c>
      <c r="X415" s="48">
        <f>'Adani Enterprises'!X415</f>
        <v>0</v>
      </c>
      <c r="Y415" s="48">
        <f>'Adani Enterprises'!Y415</f>
        <v>0</v>
      </c>
      <c r="Z415" s="48">
        <f>'Adani Enterprises'!Z415</f>
        <v>0</v>
      </c>
      <c r="AA415" s="48">
        <f>'Adani Enterprises'!AA415</f>
        <v>0</v>
      </c>
      <c r="AB415" s="48">
        <f>'Adani Enterprises'!AB415</f>
        <v>0</v>
      </c>
      <c r="AC415" s="48">
        <f>'Adani Enterprises'!AC415</f>
        <v>0</v>
      </c>
      <c r="AD415" s="48">
        <f>'Adani Enterprises'!AD415</f>
        <v>0</v>
      </c>
      <c r="AE415" s="48">
        <f>'Adani Enterprises'!AE415</f>
        <v>0</v>
      </c>
      <c r="AF415" s="48">
        <f>'Adani Enterprises'!AF415</f>
        <v>0</v>
      </c>
      <c r="AG415" s="48">
        <f>'Adani Enterprises'!AG415</f>
        <v>0</v>
      </c>
      <c r="AH415" s="48">
        <f>'Adani Enterprises'!AH415</f>
        <v>0</v>
      </c>
      <c r="AI415" s="48">
        <f>'Adani Enterprises'!AI415</f>
        <v>0</v>
      </c>
      <c r="AJ415" s="48">
        <f>'Adani Enterprises'!AJ415</f>
        <v>0</v>
      </c>
      <c r="AK415" s="48">
        <f>'Adani Enterprises'!AK415</f>
        <v>0</v>
      </c>
      <c r="AL415" s="48">
        <f>'Adani Enterprises'!AL415</f>
        <v>0</v>
      </c>
    </row>
    <row r="416" customHeight="1" spans="1:38">
      <c r="A416" s="48">
        <f>'Adani Enterprises'!A416</f>
        <v>0</v>
      </c>
      <c r="B416" s="48">
        <f>'Adani Enterprises'!B416</f>
        <v>0</v>
      </c>
      <c r="C416" s="48">
        <f>'Adani Enterprises'!C416</f>
        <v>0</v>
      </c>
      <c r="D416" s="48">
        <f>'Adani Enterprises'!D416</f>
        <v>0</v>
      </c>
      <c r="E416" s="48">
        <f>'Adani Enterprises'!E416</f>
        <v>0</v>
      </c>
      <c r="F416" s="48">
        <f>'Adani Enterprises'!F416</f>
        <v>0</v>
      </c>
      <c r="G416" s="48">
        <f>'Adani Enterprises'!G416</f>
        <v>0</v>
      </c>
      <c r="H416" s="48">
        <f>'Adani Enterprises'!H416</f>
        <v>0</v>
      </c>
      <c r="I416" s="48">
        <f>'Adani Enterprises'!I416</f>
        <v>0</v>
      </c>
      <c r="J416" s="48">
        <f>'Adani Enterprises'!J416</f>
        <v>0</v>
      </c>
      <c r="K416" s="48">
        <f>'Adani Enterprises'!K416</f>
        <v>0</v>
      </c>
      <c r="L416" s="48">
        <f>'Adani Enterprises'!L416</f>
        <v>0</v>
      </c>
      <c r="M416" s="48">
        <f>'Adani Enterprises'!M416</f>
        <v>0</v>
      </c>
      <c r="N416" s="48">
        <f>'Adani Enterprises'!N416</f>
        <v>0</v>
      </c>
      <c r="O416" s="48">
        <f>'Adani Enterprises'!O416</f>
        <v>0</v>
      </c>
      <c r="P416" s="48">
        <f>'Adani Enterprises'!P416</f>
        <v>0</v>
      </c>
      <c r="Q416" s="48">
        <f>'Adani Enterprises'!Q416</f>
        <v>0</v>
      </c>
      <c r="R416" s="48">
        <f>'Adani Enterprises'!R416</f>
        <v>0</v>
      </c>
      <c r="S416" s="48">
        <f>'Adani Enterprises'!S416</f>
        <v>0</v>
      </c>
      <c r="T416" s="48">
        <f>'Adani Enterprises'!T416</f>
        <v>0</v>
      </c>
      <c r="U416" s="48">
        <f>'Adani Enterprises'!U416</f>
        <v>0</v>
      </c>
      <c r="V416" s="48">
        <f>'Adani Enterprises'!V416</f>
        <v>0</v>
      </c>
      <c r="W416" s="48">
        <f>'Adani Enterprises'!W416</f>
        <v>0</v>
      </c>
      <c r="X416" s="48">
        <f>'Adani Enterprises'!X416</f>
        <v>0</v>
      </c>
      <c r="Y416" s="48">
        <f>'Adani Enterprises'!Y416</f>
        <v>0</v>
      </c>
      <c r="Z416" s="48">
        <f>'Adani Enterprises'!Z416</f>
        <v>0</v>
      </c>
      <c r="AA416" s="48">
        <f>'Adani Enterprises'!AA416</f>
        <v>0</v>
      </c>
      <c r="AB416" s="48">
        <f>'Adani Enterprises'!AB416</f>
        <v>0</v>
      </c>
      <c r="AC416" s="48">
        <f>'Adani Enterprises'!AC416</f>
        <v>0</v>
      </c>
      <c r="AD416" s="48">
        <f>'Adani Enterprises'!AD416</f>
        <v>0</v>
      </c>
      <c r="AE416" s="48">
        <f>'Adani Enterprises'!AE416</f>
        <v>0</v>
      </c>
      <c r="AF416" s="48">
        <f>'Adani Enterprises'!AF416</f>
        <v>0</v>
      </c>
      <c r="AG416" s="48">
        <f>'Adani Enterprises'!AG416</f>
        <v>0</v>
      </c>
      <c r="AH416" s="48">
        <f>'Adani Enterprises'!AH416</f>
        <v>0</v>
      </c>
      <c r="AI416" s="48">
        <f>'Adani Enterprises'!AI416</f>
        <v>0</v>
      </c>
      <c r="AJ416" s="48">
        <f>'Adani Enterprises'!AJ416</f>
        <v>0</v>
      </c>
      <c r="AK416" s="48">
        <f>'Adani Enterprises'!AK416</f>
        <v>0</v>
      </c>
      <c r="AL416" s="48">
        <f>'Adani Enterprises'!AL416</f>
        <v>0</v>
      </c>
    </row>
    <row r="417" customHeight="1" spans="1:38">
      <c r="A417" s="48">
        <f>'Adani Enterprises'!A417</f>
        <v>0</v>
      </c>
      <c r="B417" s="48">
        <f>'Adani Enterprises'!B417</f>
        <v>0</v>
      </c>
      <c r="C417" s="48">
        <f>'Adani Enterprises'!C417</f>
        <v>0</v>
      </c>
      <c r="D417" s="48">
        <f>'Adani Enterprises'!D417</f>
        <v>0</v>
      </c>
      <c r="E417" s="48">
        <f>'Adani Enterprises'!E417</f>
        <v>0</v>
      </c>
      <c r="F417" s="48">
        <f>'Adani Enterprises'!F417</f>
        <v>0</v>
      </c>
      <c r="G417" s="48">
        <f>'Adani Enterprises'!G417</f>
        <v>0</v>
      </c>
      <c r="H417" s="48">
        <f>'Adani Enterprises'!H417</f>
        <v>0</v>
      </c>
      <c r="I417" s="48">
        <f>'Adani Enterprises'!I417</f>
        <v>0</v>
      </c>
      <c r="J417" s="48">
        <f>'Adani Enterprises'!J417</f>
        <v>0</v>
      </c>
      <c r="K417" s="48">
        <f>'Adani Enterprises'!K417</f>
        <v>0</v>
      </c>
      <c r="L417" s="48">
        <f>'Adani Enterprises'!L417</f>
        <v>0</v>
      </c>
      <c r="M417" s="48">
        <f>'Adani Enterprises'!M417</f>
        <v>0</v>
      </c>
      <c r="N417" s="48">
        <f>'Adani Enterprises'!N417</f>
        <v>0</v>
      </c>
      <c r="O417" s="48">
        <f>'Adani Enterprises'!O417</f>
        <v>0</v>
      </c>
      <c r="P417" s="48">
        <f>'Adani Enterprises'!P417</f>
        <v>0</v>
      </c>
      <c r="Q417" s="48">
        <f>'Adani Enterprises'!Q417</f>
        <v>0</v>
      </c>
      <c r="R417" s="48">
        <f>'Adani Enterprises'!R417</f>
        <v>0</v>
      </c>
      <c r="S417" s="48">
        <f>'Adani Enterprises'!S417</f>
        <v>0</v>
      </c>
      <c r="T417" s="48">
        <f>'Adani Enterprises'!T417</f>
        <v>0</v>
      </c>
      <c r="U417" s="48">
        <f>'Adani Enterprises'!U417</f>
        <v>0</v>
      </c>
      <c r="V417" s="48">
        <f>'Adani Enterprises'!V417</f>
        <v>0</v>
      </c>
      <c r="W417" s="48">
        <f>'Adani Enterprises'!W417</f>
        <v>0</v>
      </c>
      <c r="X417" s="48">
        <f>'Adani Enterprises'!X417</f>
        <v>0</v>
      </c>
      <c r="Y417" s="48">
        <f>'Adani Enterprises'!Y417</f>
        <v>0</v>
      </c>
      <c r="Z417" s="48">
        <f>'Adani Enterprises'!Z417</f>
        <v>0</v>
      </c>
      <c r="AA417" s="48">
        <f>'Adani Enterprises'!AA417</f>
        <v>0</v>
      </c>
      <c r="AB417" s="48">
        <f>'Adani Enterprises'!AB417</f>
        <v>0</v>
      </c>
      <c r="AC417" s="48">
        <f>'Adani Enterprises'!AC417</f>
        <v>0</v>
      </c>
      <c r="AD417" s="48">
        <f>'Adani Enterprises'!AD417</f>
        <v>0</v>
      </c>
      <c r="AE417" s="48">
        <f>'Adani Enterprises'!AE417</f>
        <v>0</v>
      </c>
      <c r="AF417" s="48">
        <f>'Adani Enterprises'!AF417</f>
        <v>0</v>
      </c>
      <c r="AG417" s="48">
        <f>'Adani Enterprises'!AG417</f>
        <v>0</v>
      </c>
      <c r="AH417" s="48">
        <f>'Adani Enterprises'!AH417</f>
        <v>0</v>
      </c>
      <c r="AI417" s="48">
        <f>'Adani Enterprises'!AI417</f>
        <v>0</v>
      </c>
      <c r="AJ417" s="48">
        <f>'Adani Enterprises'!AJ417</f>
        <v>0</v>
      </c>
      <c r="AK417" s="48">
        <f>'Adani Enterprises'!AK417</f>
        <v>0</v>
      </c>
      <c r="AL417" s="48">
        <f>'Adani Enterprises'!AL417</f>
        <v>0</v>
      </c>
    </row>
    <row r="418" customHeight="1" spans="1:38">
      <c r="A418" s="48">
        <f>'Adani Enterprises'!A418</f>
        <v>0</v>
      </c>
      <c r="B418" s="48">
        <f>'Adani Enterprises'!B418</f>
        <v>0</v>
      </c>
      <c r="C418" s="48">
        <f>'Adani Enterprises'!C418</f>
        <v>0</v>
      </c>
      <c r="D418" s="48">
        <f>'Adani Enterprises'!D418</f>
        <v>0</v>
      </c>
      <c r="E418" s="48">
        <f>'Adani Enterprises'!E418</f>
        <v>0</v>
      </c>
      <c r="F418" s="48">
        <f>'Adani Enterprises'!F418</f>
        <v>0</v>
      </c>
      <c r="G418" s="48">
        <f>'Adani Enterprises'!G418</f>
        <v>0</v>
      </c>
      <c r="H418" s="48">
        <f>'Adani Enterprises'!H418</f>
        <v>0</v>
      </c>
      <c r="I418" s="48">
        <f>'Adani Enterprises'!I418</f>
        <v>0</v>
      </c>
      <c r="J418" s="48">
        <f>'Adani Enterprises'!J418</f>
        <v>0</v>
      </c>
      <c r="K418" s="48">
        <f>'Adani Enterprises'!K418</f>
        <v>0</v>
      </c>
      <c r="L418" s="48">
        <f>'Adani Enterprises'!L418</f>
        <v>0</v>
      </c>
      <c r="M418" s="48">
        <f>'Adani Enterprises'!M418</f>
        <v>0</v>
      </c>
      <c r="N418" s="48">
        <f>'Adani Enterprises'!N418</f>
        <v>0</v>
      </c>
      <c r="O418" s="48">
        <f>'Adani Enterprises'!O418</f>
        <v>0</v>
      </c>
      <c r="P418" s="48">
        <f>'Adani Enterprises'!P418</f>
        <v>0</v>
      </c>
      <c r="Q418" s="48">
        <f>'Adani Enterprises'!Q418</f>
        <v>0</v>
      </c>
      <c r="R418" s="48">
        <f>'Adani Enterprises'!R418</f>
        <v>0</v>
      </c>
      <c r="S418" s="48">
        <f>'Adani Enterprises'!S418</f>
        <v>0</v>
      </c>
      <c r="T418" s="48">
        <f>'Adani Enterprises'!T418</f>
        <v>0</v>
      </c>
      <c r="U418" s="48">
        <f>'Adani Enterprises'!U418</f>
        <v>0</v>
      </c>
      <c r="V418" s="48">
        <f>'Adani Enterprises'!V418</f>
        <v>0</v>
      </c>
      <c r="W418" s="48">
        <f>'Adani Enterprises'!W418</f>
        <v>0</v>
      </c>
      <c r="X418" s="48">
        <f>'Adani Enterprises'!X418</f>
        <v>0</v>
      </c>
      <c r="Y418" s="48">
        <f>'Adani Enterprises'!Y418</f>
        <v>0</v>
      </c>
      <c r="Z418" s="48">
        <f>'Adani Enterprises'!Z418</f>
        <v>0</v>
      </c>
      <c r="AA418" s="48">
        <f>'Adani Enterprises'!AA418</f>
        <v>0</v>
      </c>
      <c r="AB418" s="48">
        <f>'Adani Enterprises'!AB418</f>
        <v>0</v>
      </c>
      <c r="AC418" s="48">
        <f>'Adani Enterprises'!AC418</f>
        <v>0</v>
      </c>
      <c r="AD418" s="48">
        <f>'Adani Enterprises'!AD418</f>
        <v>0</v>
      </c>
      <c r="AE418" s="48">
        <f>'Adani Enterprises'!AE418</f>
        <v>0</v>
      </c>
      <c r="AF418" s="48">
        <f>'Adani Enterprises'!AF418</f>
        <v>0</v>
      </c>
      <c r="AG418" s="48">
        <f>'Adani Enterprises'!AG418</f>
        <v>0</v>
      </c>
      <c r="AH418" s="48">
        <f>'Adani Enterprises'!AH418</f>
        <v>0</v>
      </c>
      <c r="AI418" s="48">
        <f>'Adani Enterprises'!AI418</f>
        <v>0</v>
      </c>
      <c r="AJ418" s="48">
        <f>'Adani Enterprises'!AJ418</f>
        <v>0</v>
      </c>
      <c r="AK418" s="48">
        <f>'Adani Enterprises'!AK418</f>
        <v>0</v>
      </c>
      <c r="AL418" s="48">
        <f>'Adani Enterprises'!AL418</f>
        <v>0</v>
      </c>
    </row>
    <row r="419" customHeight="1" spans="1:38">
      <c r="A419" s="48">
        <f>'Adani Enterprises'!A419</f>
        <v>0</v>
      </c>
      <c r="B419" s="48">
        <f>'Adani Enterprises'!B419</f>
        <v>0</v>
      </c>
      <c r="C419" s="48">
        <f>'Adani Enterprises'!C419</f>
        <v>0</v>
      </c>
      <c r="D419" s="48">
        <f>'Adani Enterprises'!D419</f>
        <v>0</v>
      </c>
      <c r="E419" s="48">
        <f>'Adani Enterprises'!E419</f>
        <v>0</v>
      </c>
      <c r="F419" s="48">
        <f>'Adani Enterprises'!F419</f>
        <v>0</v>
      </c>
      <c r="G419" s="48">
        <f>'Adani Enterprises'!G419</f>
        <v>0</v>
      </c>
      <c r="H419" s="48">
        <f>'Adani Enterprises'!H419</f>
        <v>0</v>
      </c>
      <c r="I419" s="48">
        <f>'Adani Enterprises'!I419</f>
        <v>0</v>
      </c>
      <c r="J419" s="48">
        <f>'Adani Enterprises'!J419</f>
        <v>0</v>
      </c>
      <c r="K419" s="48">
        <f>'Adani Enterprises'!K419</f>
        <v>0</v>
      </c>
      <c r="L419" s="48">
        <f>'Adani Enterprises'!L419</f>
        <v>0</v>
      </c>
      <c r="M419" s="48">
        <f>'Adani Enterprises'!M419</f>
        <v>0</v>
      </c>
      <c r="N419" s="48">
        <f>'Adani Enterprises'!N419</f>
        <v>0</v>
      </c>
      <c r="O419" s="48">
        <f>'Adani Enterprises'!O419</f>
        <v>0</v>
      </c>
      <c r="P419" s="48">
        <f>'Adani Enterprises'!P419</f>
        <v>0</v>
      </c>
      <c r="Q419" s="48">
        <f>'Adani Enterprises'!Q419</f>
        <v>0</v>
      </c>
      <c r="R419" s="48">
        <f>'Adani Enterprises'!R419</f>
        <v>0</v>
      </c>
      <c r="S419" s="48">
        <f>'Adani Enterprises'!S419</f>
        <v>0</v>
      </c>
      <c r="T419" s="48">
        <f>'Adani Enterprises'!T419</f>
        <v>0</v>
      </c>
      <c r="U419" s="48">
        <f>'Adani Enterprises'!U419</f>
        <v>0</v>
      </c>
      <c r="V419" s="48">
        <f>'Adani Enterprises'!V419</f>
        <v>0</v>
      </c>
      <c r="W419" s="48">
        <f>'Adani Enterprises'!W419</f>
        <v>0</v>
      </c>
      <c r="X419" s="48">
        <f>'Adani Enterprises'!X419</f>
        <v>0</v>
      </c>
      <c r="Y419" s="48">
        <f>'Adani Enterprises'!Y419</f>
        <v>0</v>
      </c>
      <c r="Z419" s="48">
        <f>'Adani Enterprises'!Z419</f>
        <v>0</v>
      </c>
      <c r="AA419" s="48">
        <f>'Adani Enterprises'!AA419</f>
        <v>0</v>
      </c>
      <c r="AB419" s="48">
        <f>'Adani Enterprises'!AB419</f>
        <v>0</v>
      </c>
      <c r="AC419" s="48">
        <f>'Adani Enterprises'!AC419</f>
        <v>0</v>
      </c>
      <c r="AD419" s="48">
        <f>'Adani Enterprises'!AD419</f>
        <v>0</v>
      </c>
      <c r="AE419" s="48">
        <f>'Adani Enterprises'!AE419</f>
        <v>0</v>
      </c>
      <c r="AF419" s="48">
        <f>'Adani Enterprises'!AF419</f>
        <v>0</v>
      </c>
      <c r="AG419" s="48">
        <f>'Adani Enterprises'!AG419</f>
        <v>0</v>
      </c>
      <c r="AH419" s="48">
        <f>'Adani Enterprises'!AH419</f>
        <v>0</v>
      </c>
      <c r="AI419" s="48">
        <f>'Adani Enterprises'!AI419</f>
        <v>0</v>
      </c>
      <c r="AJ419" s="48">
        <f>'Adani Enterprises'!AJ419</f>
        <v>0</v>
      </c>
      <c r="AK419" s="48">
        <f>'Adani Enterprises'!AK419</f>
        <v>0</v>
      </c>
      <c r="AL419" s="48">
        <f>'Adani Enterprises'!AL419</f>
        <v>0</v>
      </c>
    </row>
    <row r="420" customHeight="1" spans="1:38">
      <c r="A420" s="48">
        <f>'Adani Enterprises'!A420</f>
        <v>0</v>
      </c>
      <c r="B420" s="48">
        <f>'Adani Enterprises'!B420</f>
        <v>0</v>
      </c>
      <c r="C420" s="48">
        <f>'Adani Enterprises'!C420</f>
        <v>0</v>
      </c>
      <c r="D420" s="48">
        <f>'Adani Enterprises'!D420</f>
        <v>0</v>
      </c>
      <c r="E420" s="48">
        <f>'Adani Enterprises'!E420</f>
        <v>0</v>
      </c>
      <c r="F420" s="48">
        <f>'Adani Enterprises'!F420</f>
        <v>0</v>
      </c>
      <c r="G420" s="48">
        <f>'Adani Enterprises'!G420</f>
        <v>0</v>
      </c>
      <c r="H420" s="48">
        <f>'Adani Enterprises'!H420</f>
        <v>0</v>
      </c>
      <c r="I420" s="48">
        <f>'Adani Enterprises'!I420</f>
        <v>0</v>
      </c>
      <c r="J420" s="48">
        <f>'Adani Enterprises'!J420</f>
        <v>0</v>
      </c>
      <c r="K420" s="48">
        <f>'Adani Enterprises'!K420</f>
        <v>0</v>
      </c>
      <c r="L420" s="48">
        <f>'Adani Enterprises'!L420</f>
        <v>0</v>
      </c>
      <c r="M420" s="48">
        <f>'Adani Enterprises'!M420</f>
        <v>0</v>
      </c>
      <c r="N420" s="48">
        <f>'Adani Enterprises'!N420</f>
        <v>0</v>
      </c>
      <c r="O420" s="48">
        <f>'Adani Enterprises'!O420</f>
        <v>0</v>
      </c>
      <c r="P420" s="48">
        <f>'Adani Enterprises'!P420</f>
        <v>0</v>
      </c>
      <c r="Q420" s="48">
        <f>'Adani Enterprises'!Q420</f>
        <v>0</v>
      </c>
      <c r="R420" s="48">
        <f>'Adani Enterprises'!R420</f>
        <v>0</v>
      </c>
      <c r="S420" s="48">
        <f>'Adani Enterprises'!S420</f>
        <v>0</v>
      </c>
      <c r="T420" s="48">
        <f>'Adani Enterprises'!T420</f>
        <v>0</v>
      </c>
      <c r="U420" s="48">
        <f>'Adani Enterprises'!U420</f>
        <v>0</v>
      </c>
      <c r="V420" s="48">
        <f>'Adani Enterprises'!V420</f>
        <v>0</v>
      </c>
      <c r="W420" s="48">
        <f>'Adani Enterprises'!W420</f>
        <v>0</v>
      </c>
      <c r="X420" s="48">
        <f>'Adani Enterprises'!X420</f>
        <v>0</v>
      </c>
      <c r="Y420" s="48">
        <f>'Adani Enterprises'!Y420</f>
        <v>0</v>
      </c>
      <c r="Z420" s="48">
        <f>'Adani Enterprises'!Z420</f>
        <v>0</v>
      </c>
      <c r="AA420" s="48">
        <f>'Adani Enterprises'!AA420</f>
        <v>0</v>
      </c>
      <c r="AB420" s="48">
        <f>'Adani Enterprises'!AB420</f>
        <v>0</v>
      </c>
      <c r="AC420" s="48">
        <f>'Adani Enterprises'!AC420</f>
        <v>0</v>
      </c>
      <c r="AD420" s="48">
        <f>'Adani Enterprises'!AD420</f>
        <v>0</v>
      </c>
      <c r="AE420" s="48">
        <f>'Adani Enterprises'!AE420</f>
        <v>0</v>
      </c>
      <c r="AF420" s="48">
        <f>'Adani Enterprises'!AF420</f>
        <v>0</v>
      </c>
      <c r="AG420" s="48">
        <f>'Adani Enterprises'!AG420</f>
        <v>0</v>
      </c>
      <c r="AH420" s="48">
        <f>'Adani Enterprises'!AH420</f>
        <v>0</v>
      </c>
      <c r="AI420" s="48">
        <f>'Adani Enterprises'!AI420</f>
        <v>0</v>
      </c>
      <c r="AJ420" s="48">
        <f>'Adani Enterprises'!AJ420</f>
        <v>0</v>
      </c>
      <c r="AK420" s="48">
        <f>'Adani Enterprises'!AK420</f>
        <v>0</v>
      </c>
      <c r="AL420" s="48">
        <f>'Adani Enterprises'!AL420</f>
        <v>0</v>
      </c>
    </row>
    <row r="421" customHeight="1" spans="1:38">
      <c r="A421" s="48">
        <f>'Adani Enterprises'!A421</f>
        <v>0</v>
      </c>
      <c r="B421" s="48">
        <f>'Adani Enterprises'!B421</f>
        <v>0</v>
      </c>
      <c r="C421" s="48">
        <f>'Adani Enterprises'!C421</f>
        <v>0</v>
      </c>
      <c r="D421" s="48">
        <f>'Adani Enterprises'!D421</f>
        <v>0</v>
      </c>
      <c r="E421" s="48">
        <f>'Adani Enterprises'!E421</f>
        <v>0</v>
      </c>
      <c r="F421" s="48">
        <f>'Adani Enterprises'!F421</f>
        <v>0</v>
      </c>
      <c r="G421" s="48">
        <f>'Adani Enterprises'!G421</f>
        <v>0</v>
      </c>
      <c r="H421" s="48">
        <f>'Adani Enterprises'!H421</f>
        <v>0</v>
      </c>
      <c r="I421" s="48">
        <f>'Adani Enterprises'!I421</f>
        <v>0</v>
      </c>
      <c r="J421" s="48">
        <f>'Adani Enterprises'!J421</f>
        <v>0</v>
      </c>
      <c r="K421" s="48">
        <f>'Adani Enterprises'!K421</f>
        <v>0</v>
      </c>
      <c r="L421" s="48">
        <f>'Adani Enterprises'!L421</f>
        <v>0</v>
      </c>
      <c r="M421" s="48">
        <f>'Adani Enterprises'!M421</f>
        <v>0</v>
      </c>
      <c r="N421" s="48">
        <f>'Adani Enterprises'!N421</f>
        <v>0</v>
      </c>
      <c r="O421" s="48">
        <f>'Adani Enterprises'!O421</f>
        <v>0</v>
      </c>
      <c r="P421" s="48">
        <f>'Adani Enterprises'!P421</f>
        <v>0</v>
      </c>
      <c r="Q421" s="48">
        <f>'Adani Enterprises'!Q421</f>
        <v>0</v>
      </c>
      <c r="R421" s="48">
        <f>'Adani Enterprises'!R421</f>
        <v>0</v>
      </c>
      <c r="S421" s="48">
        <f>'Adani Enterprises'!S421</f>
        <v>0</v>
      </c>
      <c r="T421" s="48">
        <f>'Adani Enterprises'!T421</f>
        <v>0</v>
      </c>
      <c r="U421" s="48">
        <f>'Adani Enterprises'!U421</f>
        <v>0</v>
      </c>
      <c r="V421" s="48">
        <f>'Adani Enterprises'!V421</f>
        <v>0</v>
      </c>
      <c r="W421" s="48">
        <f>'Adani Enterprises'!W421</f>
        <v>0</v>
      </c>
      <c r="X421" s="48">
        <f>'Adani Enterprises'!X421</f>
        <v>0</v>
      </c>
      <c r="Y421" s="48">
        <f>'Adani Enterprises'!Y421</f>
        <v>0</v>
      </c>
      <c r="Z421" s="48">
        <f>'Adani Enterprises'!Z421</f>
        <v>0</v>
      </c>
      <c r="AA421" s="48">
        <f>'Adani Enterprises'!AA421</f>
        <v>0</v>
      </c>
      <c r="AB421" s="48">
        <f>'Adani Enterprises'!AB421</f>
        <v>0</v>
      </c>
      <c r="AC421" s="48">
        <f>'Adani Enterprises'!AC421</f>
        <v>0</v>
      </c>
      <c r="AD421" s="48">
        <f>'Adani Enterprises'!AD421</f>
        <v>0</v>
      </c>
      <c r="AE421" s="48">
        <f>'Adani Enterprises'!AE421</f>
        <v>0</v>
      </c>
      <c r="AF421" s="48">
        <f>'Adani Enterprises'!AF421</f>
        <v>0</v>
      </c>
      <c r="AG421" s="48">
        <f>'Adani Enterprises'!AG421</f>
        <v>0</v>
      </c>
      <c r="AH421" s="48">
        <f>'Adani Enterprises'!AH421</f>
        <v>0</v>
      </c>
      <c r="AI421" s="48">
        <f>'Adani Enterprises'!AI421</f>
        <v>0</v>
      </c>
      <c r="AJ421" s="48">
        <f>'Adani Enterprises'!AJ421</f>
        <v>0</v>
      </c>
      <c r="AK421" s="48">
        <f>'Adani Enterprises'!AK421</f>
        <v>0</v>
      </c>
      <c r="AL421" s="48">
        <f>'Adani Enterprises'!AL421</f>
        <v>0</v>
      </c>
    </row>
    <row r="422" customHeight="1" spans="1:38">
      <c r="A422" s="48">
        <f>'Adani Enterprises'!A422</f>
        <v>0</v>
      </c>
      <c r="B422" s="48">
        <f>'Adani Enterprises'!B422</f>
        <v>0</v>
      </c>
      <c r="C422" s="48">
        <f>'Adani Enterprises'!C422</f>
        <v>0</v>
      </c>
      <c r="D422" s="48">
        <f>'Adani Enterprises'!D422</f>
        <v>0</v>
      </c>
      <c r="E422" s="48">
        <f>'Adani Enterprises'!E422</f>
        <v>0</v>
      </c>
      <c r="F422" s="48">
        <f>'Adani Enterprises'!F422</f>
        <v>0</v>
      </c>
      <c r="G422" s="48">
        <f>'Adani Enterprises'!G422</f>
        <v>0</v>
      </c>
      <c r="H422" s="48">
        <f>'Adani Enterprises'!H422</f>
        <v>0</v>
      </c>
      <c r="I422" s="48">
        <f>'Adani Enterprises'!I422</f>
        <v>0</v>
      </c>
      <c r="J422" s="48">
        <f>'Adani Enterprises'!J422</f>
        <v>0</v>
      </c>
      <c r="K422" s="48">
        <f>'Adani Enterprises'!K422</f>
        <v>0</v>
      </c>
      <c r="L422" s="48">
        <f>'Adani Enterprises'!L422</f>
        <v>0</v>
      </c>
      <c r="M422" s="48">
        <f>'Adani Enterprises'!M422</f>
        <v>0</v>
      </c>
      <c r="N422" s="48">
        <f>'Adani Enterprises'!N422</f>
        <v>0</v>
      </c>
      <c r="O422" s="48">
        <f>'Adani Enterprises'!O422</f>
        <v>0</v>
      </c>
      <c r="P422" s="48">
        <f>'Adani Enterprises'!P422</f>
        <v>0</v>
      </c>
      <c r="Q422" s="48">
        <f>'Adani Enterprises'!Q422</f>
        <v>0</v>
      </c>
      <c r="R422" s="48">
        <f>'Adani Enterprises'!R422</f>
        <v>0</v>
      </c>
      <c r="S422" s="48">
        <f>'Adani Enterprises'!S422</f>
        <v>0</v>
      </c>
      <c r="T422" s="48">
        <f>'Adani Enterprises'!T422</f>
        <v>0</v>
      </c>
      <c r="U422" s="48">
        <f>'Adani Enterprises'!U422</f>
        <v>0</v>
      </c>
      <c r="V422" s="48">
        <f>'Adani Enterprises'!V422</f>
        <v>0</v>
      </c>
      <c r="W422" s="48">
        <f>'Adani Enterprises'!W422</f>
        <v>0</v>
      </c>
      <c r="X422" s="48">
        <f>'Adani Enterprises'!X422</f>
        <v>0</v>
      </c>
      <c r="Y422" s="48">
        <f>'Adani Enterprises'!Y422</f>
        <v>0</v>
      </c>
      <c r="Z422" s="48">
        <f>'Adani Enterprises'!Z422</f>
        <v>0</v>
      </c>
      <c r="AA422" s="48">
        <f>'Adani Enterprises'!AA422</f>
        <v>0</v>
      </c>
      <c r="AB422" s="48">
        <f>'Adani Enterprises'!AB422</f>
        <v>0</v>
      </c>
      <c r="AC422" s="48">
        <f>'Adani Enterprises'!AC422</f>
        <v>0</v>
      </c>
      <c r="AD422" s="48">
        <f>'Adani Enterprises'!AD422</f>
        <v>0</v>
      </c>
      <c r="AE422" s="48">
        <f>'Adani Enterprises'!AE422</f>
        <v>0</v>
      </c>
      <c r="AF422" s="48">
        <f>'Adani Enterprises'!AF422</f>
        <v>0</v>
      </c>
      <c r="AG422" s="48">
        <f>'Adani Enterprises'!AG422</f>
        <v>0</v>
      </c>
      <c r="AH422" s="48">
        <f>'Adani Enterprises'!AH422</f>
        <v>0</v>
      </c>
      <c r="AI422" s="48">
        <f>'Adani Enterprises'!AI422</f>
        <v>0</v>
      </c>
      <c r="AJ422" s="48">
        <f>'Adani Enterprises'!AJ422</f>
        <v>0</v>
      </c>
      <c r="AK422" s="48">
        <f>'Adani Enterprises'!AK422</f>
        <v>0</v>
      </c>
      <c r="AL422" s="48">
        <f>'Adani Enterprises'!AL422</f>
        <v>0</v>
      </c>
    </row>
    <row r="423" customHeight="1" spans="1:38">
      <c r="A423" s="48">
        <f>'Adani Enterprises'!A423</f>
        <v>0</v>
      </c>
      <c r="B423" s="48">
        <f>'Adani Enterprises'!B423</f>
        <v>0</v>
      </c>
      <c r="C423" s="48">
        <f>'Adani Enterprises'!C423</f>
        <v>0</v>
      </c>
      <c r="D423" s="48">
        <f>'Adani Enterprises'!D423</f>
        <v>0</v>
      </c>
      <c r="E423" s="48">
        <f>'Adani Enterprises'!E423</f>
        <v>0</v>
      </c>
      <c r="F423" s="48">
        <f>'Adani Enterprises'!F423</f>
        <v>0</v>
      </c>
      <c r="G423" s="48">
        <f>'Adani Enterprises'!G423</f>
        <v>0</v>
      </c>
      <c r="H423" s="48">
        <f>'Adani Enterprises'!H423</f>
        <v>0</v>
      </c>
      <c r="I423" s="48">
        <f>'Adani Enterprises'!I423</f>
        <v>0</v>
      </c>
      <c r="J423" s="48">
        <f>'Adani Enterprises'!J423</f>
        <v>0</v>
      </c>
      <c r="K423" s="48">
        <f>'Adani Enterprises'!K423</f>
        <v>0</v>
      </c>
      <c r="L423" s="48">
        <f>'Adani Enterprises'!L423</f>
        <v>0</v>
      </c>
      <c r="M423" s="48">
        <f>'Adani Enterprises'!M423</f>
        <v>0</v>
      </c>
      <c r="N423" s="48">
        <f>'Adani Enterprises'!N423</f>
        <v>0</v>
      </c>
      <c r="O423" s="48">
        <f>'Adani Enterprises'!O423</f>
        <v>0</v>
      </c>
      <c r="P423" s="48">
        <f>'Adani Enterprises'!P423</f>
        <v>0</v>
      </c>
      <c r="Q423" s="48">
        <f>'Adani Enterprises'!Q423</f>
        <v>0</v>
      </c>
      <c r="R423" s="48">
        <f>'Adani Enterprises'!R423</f>
        <v>0</v>
      </c>
      <c r="S423" s="48">
        <f>'Adani Enterprises'!S423</f>
        <v>0</v>
      </c>
      <c r="T423" s="48">
        <f>'Adani Enterprises'!T423</f>
        <v>0</v>
      </c>
      <c r="U423" s="48">
        <f>'Adani Enterprises'!U423</f>
        <v>0</v>
      </c>
      <c r="V423" s="48">
        <f>'Adani Enterprises'!V423</f>
        <v>0</v>
      </c>
      <c r="W423" s="48">
        <f>'Adani Enterprises'!W423</f>
        <v>0</v>
      </c>
      <c r="X423" s="48">
        <f>'Adani Enterprises'!X423</f>
        <v>0</v>
      </c>
      <c r="Y423" s="48">
        <f>'Adani Enterprises'!Y423</f>
        <v>0</v>
      </c>
      <c r="Z423" s="48">
        <f>'Adani Enterprises'!Z423</f>
        <v>0</v>
      </c>
      <c r="AA423" s="48">
        <f>'Adani Enterprises'!AA423</f>
        <v>0</v>
      </c>
      <c r="AB423" s="48">
        <f>'Adani Enterprises'!AB423</f>
        <v>0</v>
      </c>
      <c r="AC423" s="48">
        <f>'Adani Enterprises'!AC423</f>
        <v>0</v>
      </c>
      <c r="AD423" s="48">
        <f>'Adani Enterprises'!AD423</f>
        <v>0</v>
      </c>
      <c r="AE423" s="48">
        <f>'Adani Enterprises'!AE423</f>
        <v>0</v>
      </c>
      <c r="AF423" s="48">
        <f>'Adani Enterprises'!AF423</f>
        <v>0</v>
      </c>
      <c r="AG423" s="48">
        <f>'Adani Enterprises'!AG423</f>
        <v>0</v>
      </c>
      <c r="AH423" s="48">
        <f>'Adani Enterprises'!AH423</f>
        <v>0</v>
      </c>
      <c r="AI423" s="48">
        <f>'Adani Enterprises'!AI423</f>
        <v>0</v>
      </c>
      <c r="AJ423" s="48">
        <f>'Adani Enterprises'!AJ423</f>
        <v>0</v>
      </c>
      <c r="AK423" s="48">
        <f>'Adani Enterprises'!AK423</f>
        <v>0</v>
      </c>
      <c r="AL423" s="48">
        <f>'Adani Enterprises'!AL423</f>
        <v>0</v>
      </c>
    </row>
    <row r="424" customHeight="1" spans="1:38">
      <c r="A424" s="48">
        <f>'Adani Enterprises'!A424</f>
        <v>0</v>
      </c>
      <c r="B424" s="48">
        <f>'Adani Enterprises'!B424</f>
        <v>0</v>
      </c>
      <c r="C424" s="48">
        <f>'Adani Enterprises'!C424</f>
        <v>0</v>
      </c>
      <c r="D424" s="48">
        <f>'Adani Enterprises'!D424</f>
        <v>0</v>
      </c>
      <c r="E424" s="48">
        <f>'Adani Enterprises'!E424</f>
        <v>0</v>
      </c>
      <c r="F424" s="48">
        <f>'Adani Enterprises'!F424</f>
        <v>0</v>
      </c>
      <c r="G424" s="48">
        <f>'Adani Enterprises'!G424</f>
        <v>0</v>
      </c>
      <c r="H424" s="48">
        <f>'Adani Enterprises'!H424</f>
        <v>0</v>
      </c>
      <c r="I424" s="48">
        <f>'Adani Enterprises'!I424</f>
        <v>0</v>
      </c>
      <c r="J424" s="48">
        <f>'Adani Enterprises'!J424</f>
        <v>0</v>
      </c>
      <c r="K424" s="48">
        <f>'Adani Enterprises'!K424</f>
        <v>0</v>
      </c>
      <c r="L424" s="48">
        <f>'Adani Enterprises'!L424</f>
        <v>0</v>
      </c>
      <c r="M424" s="48">
        <f>'Adani Enterprises'!M424</f>
        <v>0</v>
      </c>
      <c r="N424" s="48">
        <f>'Adani Enterprises'!N424</f>
        <v>0</v>
      </c>
      <c r="O424" s="48">
        <f>'Adani Enterprises'!O424</f>
        <v>0</v>
      </c>
      <c r="P424" s="48">
        <f>'Adani Enterprises'!P424</f>
        <v>0</v>
      </c>
      <c r="Q424" s="48">
        <f>'Adani Enterprises'!Q424</f>
        <v>0</v>
      </c>
      <c r="R424" s="48">
        <f>'Adani Enterprises'!R424</f>
        <v>0</v>
      </c>
      <c r="S424" s="48">
        <f>'Adani Enterprises'!S424</f>
        <v>0</v>
      </c>
      <c r="T424" s="48">
        <f>'Adani Enterprises'!T424</f>
        <v>0</v>
      </c>
      <c r="U424" s="48">
        <f>'Adani Enterprises'!U424</f>
        <v>0</v>
      </c>
      <c r="V424" s="48">
        <f>'Adani Enterprises'!V424</f>
        <v>0</v>
      </c>
      <c r="W424" s="48">
        <f>'Adani Enterprises'!W424</f>
        <v>0</v>
      </c>
      <c r="X424" s="48">
        <f>'Adani Enterprises'!X424</f>
        <v>0</v>
      </c>
      <c r="Y424" s="48">
        <f>'Adani Enterprises'!Y424</f>
        <v>0</v>
      </c>
      <c r="Z424" s="48">
        <f>'Adani Enterprises'!Z424</f>
        <v>0</v>
      </c>
      <c r="AA424" s="48">
        <f>'Adani Enterprises'!AA424</f>
        <v>0</v>
      </c>
      <c r="AB424" s="48">
        <f>'Adani Enterprises'!AB424</f>
        <v>0</v>
      </c>
      <c r="AC424" s="48">
        <f>'Adani Enterprises'!AC424</f>
        <v>0</v>
      </c>
      <c r="AD424" s="48">
        <f>'Adani Enterprises'!AD424</f>
        <v>0</v>
      </c>
      <c r="AE424" s="48">
        <f>'Adani Enterprises'!AE424</f>
        <v>0</v>
      </c>
      <c r="AF424" s="48">
        <f>'Adani Enterprises'!AF424</f>
        <v>0</v>
      </c>
      <c r="AG424" s="48">
        <f>'Adani Enterprises'!AG424</f>
        <v>0</v>
      </c>
      <c r="AH424" s="48">
        <f>'Adani Enterprises'!AH424</f>
        <v>0</v>
      </c>
      <c r="AI424" s="48">
        <f>'Adani Enterprises'!AI424</f>
        <v>0</v>
      </c>
      <c r="AJ424" s="48">
        <f>'Adani Enterprises'!AJ424</f>
        <v>0</v>
      </c>
      <c r="AK424" s="48">
        <f>'Adani Enterprises'!AK424</f>
        <v>0</v>
      </c>
      <c r="AL424" s="48">
        <f>'Adani Enterprises'!AL424</f>
        <v>0</v>
      </c>
    </row>
    <row r="425" customHeight="1" spans="1:38">
      <c r="A425" s="48">
        <f>'Adani Enterprises'!A425</f>
        <v>0</v>
      </c>
      <c r="B425" s="48">
        <f>'Adani Enterprises'!B425</f>
        <v>0</v>
      </c>
      <c r="C425" s="48">
        <f>'Adani Enterprises'!C425</f>
        <v>0</v>
      </c>
      <c r="D425" s="48">
        <f>'Adani Enterprises'!D425</f>
        <v>0</v>
      </c>
      <c r="E425" s="48">
        <f>'Adani Enterprises'!E425</f>
        <v>0</v>
      </c>
      <c r="F425" s="48">
        <f>'Adani Enterprises'!F425</f>
        <v>0</v>
      </c>
      <c r="G425" s="48">
        <f>'Adani Enterprises'!G425</f>
        <v>0</v>
      </c>
      <c r="H425" s="48">
        <f>'Adani Enterprises'!H425</f>
        <v>0</v>
      </c>
      <c r="I425" s="48">
        <f>'Adani Enterprises'!I425</f>
        <v>0</v>
      </c>
      <c r="J425" s="48">
        <f>'Adani Enterprises'!J425</f>
        <v>0</v>
      </c>
      <c r="K425" s="48">
        <f>'Adani Enterprises'!K425</f>
        <v>0</v>
      </c>
      <c r="L425" s="48">
        <f>'Adani Enterprises'!L425</f>
        <v>0</v>
      </c>
      <c r="M425" s="48">
        <f>'Adani Enterprises'!M425</f>
        <v>0</v>
      </c>
      <c r="N425" s="48">
        <f>'Adani Enterprises'!N425</f>
        <v>0</v>
      </c>
      <c r="O425" s="48">
        <f>'Adani Enterprises'!O425</f>
        <v>0</v>
      </c>
      <c r="P425" s="48">
        <f>'Adani Enterprises'!P425</f>
        <v>0</v>
      </c>
      <c r="Q425" s="48">
        <f>'Adani Enterprises'!Q425</f>
        <v>0</v>
      </c>
      <c r="R425" s="48">
        <f>'Adani Enterprises'!R425</f>
        <v>0</v>
      </c>
      <c r="S425" s="48">
        <f>'Adani Enterprises'!S425</f>
        <v>0</v>
      </c>
      <c r="T425" s="48">
        <f>'Adani Enterprises'!T425</f>
        <v>0</v>
      </c>
      <c r="U425" s="48">
        <f>'Adani Enterprises'!U425</f>
        <v>0</v>
      </c>
      <c r="V425" s="48">
        <f>'Adani Enterprises'!V425</f>
        <v>0</v>
      </c>
      <c r="W425" s="48">
        <f>'Adani Enterprises'!W425</f>
        <v>0</v>
      </c>
      <c r="X425" s="48">
        <f>'Adani Enterprises'!X425</f>
        <v>0</v>
      </c>
      <c r="Y425" s="48">
        <f>'Adani Enterprises'!Y425</f>
        <v>0</v>
      </c>
      <c r="Z425" s="48">
        <f>'Adani Enterprises'!Z425</f>
        <v>0</v>
      </c>
      <c r="AA425" s="48">
        <f>'Adani Enterprises'!AA425</f>
        <v>0</v>
      </c>
      <c r="AB425" s="48">
        <f>'Adani Enterprises'!AB425</f>
        <v>0</v>
      </c>
      <c r="AC425" s="48">
        <f>'Adani Enterprises'!AC425</f>
        <v>0</v>
      </c>
      <c r="AD425" s="48">
        <f>'Adani Enterprises'!AD425</f>
        <v>0</v>
      </c>
      <c r="AE425" s="48">
        <f>'Adani Enterprises'!AE425</f>
        <v>0</v>
      </c>
      <c r="AF425" s="48">
        <f>'Adani Enterprises'!AF425</f>
        <v>0</v>
      </c>
      <c r="AG425" s="48">
        <f>'Adani Enterprises'!AG425</f>
        <v>0</v>
      </c>
      <c r="AH425" s="48">
        <f>'Adani Enterprises'!AH425</f>
        <v>0</v>
      </c>
      <c r="AI425" s="48">
        <f>'Adani Enterprises'!AI425</f>
        <v>0</v>
      </c>
      <c r="AJ425" s="48">
        <f>'Adani Enterprises'!AJ425</f>
        <v>0</v>
      </c>
      <c r="AK425" s="48">
        <f>'Adani Enterprises'!AK425</f>
        <v>0</v>
      </c>
      <c r="AL425" s="48">
        <f>'Adani Enterprises'!AL425</f>
        <v>0</v>
      </c>
    </row>
    <row r="426" customHeight="1" spans="1:38">
      <c r="A426" s="48">
        <f>'Adani Enterprises'!A426</f>
        <v>0</v>
      </c>
      <c r="B426" s="48">
        <f>'Adani Enterprises'!B426</f>
        <v>0</v>
      </c>
      <c r="C426" s="48">
        <f>'Adani Enterprises'!C426</f>
        <v>0</v>
      </c>
      <c r="D426" s="48">
        <f>'Adani Enterprises'!D426</f>
        <v>0</v>
      </c>
      <c r="E426" s="48">
        <f>'Adani Enterprises'!E426</f>
        <v>0</v>
      </c>
      <c r="F426" s="48">
        <f>'Adani Enterprises'!F426</f>
        <v>0</v>
      </c>
      <c r="G426" s="48">
        <f>'Adani Enterprises'!G426</f>
        <v>0</v>
      </c>
      <c r="H426" s="48">
        <f>'Adani Enterprises'!H426</f>
        <v>0</v>
      </c>
      <c r="I426" s="48">
        <f>'Adani Enterprises'!I426</f>
        <v>0</v>
      </c>
      <c r="J426" s="48">
        <f>'Adani Enterprises'!J426</f>
        <v>0</v>
      </c>
      <c r="K426" s="48">
        <f>'Adani Enterprises'!K426</f>
        <v>0</v>
      </c>
      <c r="L426" s="48">
        <f>'Adani Enterprises'!L426</f>
        <v>0</v>
      </c>
      <c r="M426" s="48">
        <f>'Adani Enterprises'!M426</f>
        <v>0</v>
      </c>
      <c r="N426" s="48">
        <f>'Adani Enterprises'!N426</f>
        <v>0</v>
      </c>
      <c r="O426" s="48">
        <f>'Adani Enterprises'!O426</f>
        <v>0</v>
      </c>
      <c r="P426" s="48">
        <f>'Adani Enterprises'!P426</f>
        <v>0</v>
      </c>
      <c r="Q426" s="48">
        <f>'Adani Enterprises'!Q426</f>
        <v>0</v>
      </c>
      <c r="R426" s="48">
        <f>'Adani Enterprises'!R426</f>
        <v>0</v>
      </c>
      <c r="S426" s="48">
        <f>'Adani Enterprises'!S426</f>
        <v>0</v>
      </c>
      <c r="T426" s="48">
        <f>'Adani Enterprises'!T426</f>
        <v>0</v>
      </c>
      <c r="U426" s="48">
        <f>'Adani Enterprises'!U426</f>
        <v>0</v>
      </c>
      <c r="V426" s="48">
        <f>'Adani Enterprises'!V426</f>
        <v>0</v>
      </c>
      <c r="W426" s="48">
        <f>'Adani Enterprises'!W426</f>
        <v>0</v>
      </c>
      <c r="X426" s="48">
        <f>'Adani Enterprises'!X426</f>
        <v>0</v>
      </c>
      <c r="Y426" s="48">
        <f>'Adani Enterprises'!Y426</f>
        <v>0</v>
      </c>
      <c r="Z426" s="48">
        <f>'Adani Enterprises'!Z426</f>
        <v>0</v>
      </c>
      <c r="AA426" s="48">
        <f>'Adani Enterprises'!AA426</f>
        <v>0</v>
      </c>
      <c r="AB426" s="48">
        <f>'Adani Enterprises'!AB426</f>
        <v>0</v>
      </c>
      <c r="AC426" s="48">
        <f>'Adani Enterprises'!AC426</f>
        <v>0</v>
      </c>
      <c r="AD426" s="48">
        <f>'Adani Enterprises'!AD426</f>
        <v>0</v>
      </c>
      <c r="AE426" s="48">
        <f>'Adani Enterprises'!AE426</f>
        <v>0</v>
      </c>
      <c r="AF426" s="48">
        <f>'Adani Enterprises'!AF426</f>
        <v>0</v>
      </c>
      <c r="AG426" s="48">
        <f>'Adani Enterprises'!AG426</f>
        <v>0</v>
      </c>
      <c r="AH426" s="48">
        <f>'Adani Enterprises'!AH426</f>
        <v>0</v>
      </c>
      <c r="AI426" s="48">
        <f>'Adani Enterprises'!AI426</f>
        <v>0</v>
      </c>
      <c r="AJ426" s="48">
        <f>'Adani Enterprises'!AJ426</f>
        <v>0</v>
      </c>
      <c r="AK426" s="48">
        <f>'Adani Enterprises'!AK426</f>
        <v>0</v>
      </c>
      <c r="AL426" s="48">
        <f>'Adani Enterprises'!AL426</f>
        <v>0</v>
      </c>
    </row>
    <row r="427" customHeight="1" spans="1:38">
      <c r="A427" s="48">
        <f>'Adani Enterprises'!A427</f>
        <v>0</v>
      </c>
      <c r="B427" s="48">
        <f>'Adani Enterprises'!B427</f>
        <v>0</v>
      </c>
      <c r="C427" s="48">
        <f>'Adani Enterprises'!C427</f>
        <v>0</v>
      </c>
      <c r="D427" s="48">
        <f>'Adani Enterprises'!D427</f>
        <v>0</v>
      </c>
      <c r="E427" s="48">
        <f>'Adani Enterprises'!E427</f>
        <v>0</v>
      </c>
      <c r="F427" s="48">
        <f>'Adani Enterprises'!F427</f>
        <v>0</v>
      </c>
      <c r="G427" s="48">
        <f>'Adani Enterprises'!G427</f>
        <v>0</v>
      </c>
      <c r="H427" s="48">
        <f>'Adani Enterprises'!H427</f>
        <v>0</v>
      </c>
      <c r="I427" s="48">
        <f>'Adani Enterprises'!I427</f>
        <v>0</v>
      </c>
      <c r="J427" s="48">
        <f>'Adani Enterprises'!J427</f>
        <v>0</v>
      </c>
      <c r="K427" s="48">
        <f>'Adani Enterprises'!K427</f>
        <v>0</v>
      </c>
      <c r="L427" s="48">
        <f>'Adani Enterprises'!L427</f>
        <v>0</v>
      </c>
      <c r="M427" s="48">
        <f>'Adani Enterprises'!M427</f>
        <v>0</v>
      </c>
      <c r="N427" s="48">
        <f>'Adani Enterprises'!N427</f>
        <v>0</v>
      </c>
      <c r="O427" s="48">
        <f>'Adani Enterprises'!O427</f>
        <v>0</v>
      </c>
      <c r="P427" s="48">
        <f>'Adani Enterprises'!P427</f>
        <v>0</v>
      </c>
      <c r="Q427" s="48">
        <f>'Adani Enterprises'!Q427</f>
        <v>0</v>
      </c>
      <c r="R427" s="48">
        <f>'Adani Enterprises'!R427</f>
        <v>0</v>
      </c>
      <c r="S427" s="48">
        <f>'Adani Enterprises'!S427</f>
        <v>0</v>
      </c>
      <c r="T427" s="48">
        <f>'Adani Enterprises'!T427</f>
        <v>0</v>
      </c>
      <c r="U427" s="48">
        <f>'Adani Enterprises'!U427</f>
        <v>0</v>
      </c>
      <c r="V427" s="48">
        <f>'Adani Enterprises'!V427</f>
        <v>0</v>
      </c>
      <c r="W427" s="48">
        <f>'Adani Enterprises'!W427</f>
        <v>0</v>
      </c>
      <c r="X427" s="48">
        <f>'Adani Enterprises'!X427</f>
        <v>0</v>
      </c>
      <c r="Y427" s="48">
        <f>'Adani Enterprises'!Y427</f>
        <v>0</v>
      </c>
      <c r="Z427" s="48">
        <f>'Adani Enterprises'!Z427</f>
        <v>0</v>
      </c>
      <c r="AA427" s="48">
        <f>'Adani Enterprises'!AA427</f>
        <v>0</v>
      </c>
      <c r="AB427" s="48">
        <f>'Adani Enterprises'!AB427</f>
        <v>0</v>
      </c>
      <c r="AC427" s="48">
        <f>'Adani Enterprises'!AC427</f>
        <v>0</v>
      </c>
      <c r="AD427" s="48">
        <f>'Adani Enterprises'!AD427</f>
        <v>0</v>
      </c>
      <c r="AE427" s="48">
        <f>'Adani Enterprises'!AE427</f>
        <v>0</v>
      </c>
      <c r="AF427" s="48">
        <f>'Adani Enterprises'!AF427</f>
        <v>0</v>
      </c>
      <c r="AG427" s="48">
        <f>'Adani Enterprises'!AG427</f>
        <v>0</v>
      </c>
      <c r="AH427" s="48">
        <f>'Adani Enterprises'!AH427</f>
        <v>0</v>
      </c>
      <c r="AI427" s="48">
        <f>'Adani Enterprises'!AI427</f>
        <v>0</v>
      </c>
      <c r="AJ427" s="48">
        <f>'Adani Enterprises'!AJ427</f>
        <v>0</v>
      </c>
      <c r="AK427" s="48">
        <f>'Adani Enterprises'!AK427</f>
        <v>0</v>
      </c>
      <c r="AL427" s="48">
        <f>'Adani Enterprises'!AL427</f>
        <v>0</v>
      </c>
    </row>
    <row r="428" customHeight="1" spans="1:38">
      <c r="A428" s="48">
        <f>'Adani Enterprises'!A428</f>
        <v>0</v>
      </c>
      <c r="B428" s="48">
        <f>'Adani Enterprises'!B428</f>
        <v>0</v>
      </c>
      <c r="C428" s="48">
        <f>'Adani Enterprises'!C428</f>
        <v>0</v>
      </c>
      <c r="D428" s="48">
        <f>'Adani Enterprises'!D428</f>
        <v>0</v>
      </c>
      <c r="E428" s="48">
        <f>'Adani Enterprises'!E428</f>
        <v>0</v>
      </c>
      <c r="F428" s="48">
        <f>'Adani Enterprises'!F428</f>
        <v>0</v>
      </c>
      <c r="G428" s="48">
        <f>'Adani Enterprises'!G428</f>
        <v>0</v>
      </c>
      <c r="H428" s="48">
        <f>'Adani Enterprises'!H428</f>
        <v>0</v>
      </c>
      <c r="I428" s="48">
        <f>'Adani Enterprises'!I428</f>
        <v>0</v>
      </c>
      <c r="J428" s="48">
        <f>'Adani Enterprises'!J428</f>
        <v>0</v>
      </c>
      <c r="K428" s="48">
        <f>'Adani Enterprises'!K428</f>
        <v>0</v>
      </c>
      <c r="L428" s="48">
        <f>'Adani Enterprises'!L428</f>
        <v>0</v>
      </c>
      <c r="M428" s="48">
        <f>'Adani Enterprises'!M428</f>
        <v>0</v>
      </c>
      <c r="N428" s="48">
        <f>'Adani Enterprises'!N428</f>
        <v>0</v>
      </c>
      <c r="O428" s="48">
        <f>'Adani Enterprises'!O428</f>
        <v>0</v>
      </c>
      <c r="P428" s="48">
        <f>'Adani Enterprises'!P428</f>
        <v>0</v>
      </c>
      <c r="Q428" s="48">
        <f>'Adani Enterprises'!Q428</f>
        <v>0</v>
      </c>
      <c r="R428" s="48">
        <f>'Adani Enterprises'!R428</f>
        <v>0</v>
      </c>
      <c r="S428" s="48">
        <f>'Adani Enterprises'!S428</f>
        <v>0</v>
      </c>
      <c r="T428" s="48">
        <f>'Adani Enterprises'!T428</f>
        <v>0</v>
      </c>
      <c r="U428" s="48">
        <f>'Adani Enterprises'!U428</f>
        <v>0</v>
      </c>
      <c r="V428" s="48">
        <f>'Adani Enterprises'!V428</f>
        <v>0</v>
      </c>
      <c r="W428" s="48">
        <f>'Adani Enterprises'!W428</f>
        <v>0</v>
      </c>
      <c r="X428" s="48">
        <f>'Adani Enterprises'!X428</f>
        <v>0</v>
      </c>
      <c r="Y428" s="48">
        <f>'Adani Enterprises'!Y428</f>
        <v>0</v>
      </c>
      <c r="Z428" s="48">
        <f>'Adani Enterprises'!Z428</f>
        <v>0</v>
      </c>
      <c r="AA428" s="48">
        <f>'Adani Enterprises'!AA428</f>
        <v>0</v>
      </c>
      <c r="AB428" s="48">
        <f>'Adani Enterprises'!AB428</f>
        <v>0</v>
      </c>
      <c r="AC428" s="48">
        <f>'Adani Enterprises'!AC428</f>
        <v>0</v>
      </c>
      <c r="AD428" s="48">
        <f>'Adani Enterprises'!AD428</f>
        <v>0</v>
      </c>
      <c r="AE428" s="48">
        <f>'Adani Enterprises'!AE428</f>
        <v>0</v>
      </c>
      <c r="AF428" s="48">
        <f>'Adani Enterprises'!AF428</f>
        <v>0</v>
      </c>
      <c r="AG428" s="48">
        <f>'Adani Enterprises'!AG428</f>
        <v>0</v>
      </c>
      <c r="AH428" s="48">
        <f>'Adani Enterprises'!AH428</f>
        <v>0</v>
      </c>
      <c r="AI428" s="48">
        <f>'Adani Enterprises'!AI428</f>
        <v>0</v>
      </c>
      <c r="AJ428" s="48">
        <f>'Adani Enterprises'!AJ428</f>
        <v>0</v>
      </c>
      <c r="AK428" s="48">
        <f>'Adani Enterprises'!AK428</f>
        <v>0</v>
      </c>
      <c r="AL428" s="48">
        <f>'Adani Enterprises'!AL428</f>
        <v>0</v>
      </c>
    </row>
    <row r="429" customHeight="1" spans="1:38">
      <c r="A429" s="48">
        <f>'Adani Enterprises'!A429</f>
        <v>0</v>
      </c>
      <c r="B429" s="48">
        <f>'Adani Enterprises'!B429</f>
        <v>0</v>
      </c>
      <c r="C429" s="48">
        <f>'Adani Enterprises'!C429</f>
        <v>0</v>
      </c>
      <c r="D429" s="48">
        <f>'Adani Enterprises'!D429</f>
        <v>0</v>
      </c>
      <c r="E429" s="48">
        <f>'Adani Enterprises'!E429</f>
        <v>0</v>
      </c>
      <c r="F429" s="48">
        <f>'Adani Enterprises'!F429</f>
        <v>0</v>
      </c>
      <c r="G429" s="48">
        <f>'Adani Enterprises'!G429</f>
        <v>0</v>
      </c>
      <c r="H429" s="48">
        <f>'Adani Enterprises'!H429</f>
        <v>0</v>
      </c>
      <c r="I429" s="48">
        <f>'Adani Enterprises'!I429</f>
        <v>0</v>
      </c>
      <c r="J429" s="48">
        <f>'Adani Enterprises'!J429</f>
        <v>0</v>
      </c>
      <c r="K429" s="48">
        <f>'Adani Enterprises'!K429</f>
        <v>0</v>
      </c>
      <c r="L429" s="48">
        <f>'Adani Enterprises'!L429</f>
        <v>0</v>
      </c>
      <c r="M429" s="48">
        <f>'Adani Enterprises'!M429</f>
        <v>0</v>
      </c>
      <c r="N429" s="48">
        <f>'Adani Enterprises'!N429</f>
        <v>0</v>
      </c>
      <c r="O429" s="48">
        <f>'Adani Enterprises'!O429</f>
        <v>0</v>
      </c>
      <c r="P429" s="48">
        <f>'Adani Enterprises'!P429</f>
        <v>0</v>
      </c>
      <c r="Q429" s="48">
        <f>'Adani Enterprises'!Q429</f>
        <v>0</v>
      </c>
      <c r="R429" s="48">
        <f>'Adani Enterprises'!R429</f>
        <v>0</v>
      </c>
      <c r="S429" s="48">
        <f>'Adani Enterprises'!S429</f>
        <v>0</v>
      </c>
      <c r="T429" s="48">
        <f>'Adani Enterprises'!T429</f>
        <v>0</v>
      </c>
      <c r="U429" s="48">
        <f>'Adani Enterprises'!U429</f>
        <v>0</v>
      </c>
      <c r="V429" s="48">
        <f>'Adani Enterprises'!V429</f>
        <v>0</v>
      </c>
      <c r="W429" s="48">
        <f>'Adani Enterprises'!W429</f>
        <v>0</v>
      </c>
      <c r="X429" s="48">
        <f>'Adani Enterprises'!X429</f>
        <v>0</v>
      </c>
      <c r="Y429" s="48">
        <f>'Adani Enterprises'!Y429</f>
        <v>0</v>
      </c>
      <c r="Z429" s="48">
        <f>'Adani Enterprises'!Z429</f>
        <v>0</v>
      </c>
      <c r="AA429" s="48">
        <f>'Adani Enterprises'!AA429</f>
        <v>0</v>
      </c>
      <c r="AB429" s="48">
        <f>'Adani Enterprises'!AB429</f>
        <v>0</v>
      </c>
      <c r="AC429" s="48">
        <f>'Adani Enterprises'!AC429</f>
        <v>0</v>
      </c>
      <c r="AD429" s="48">
        <f>'Adani Enterprises'!AD429</f>
        <v>0</v>
      </c>
      <c r="AE429" s="48">
        <f>'Adani Enterprises'!AE429</f>
        <v>0</v>
      </c>
      <c r="AF429" s="48">
        <f>'Adani Enterprises'!AF429</f>
        <v>0</v>
      </c>
      <c r="AG429" s="48">
        <f>'Adani Enterprises'!AG429</f>
        <v>0</v>
      </c>
      <c r="AH429" s="48">
        <f>'Adani Enterprises'!AH429</f>
        <v>0</v>
      </c>
      <c r="AI429" s="48">
        <f>'Adani Enterprises'!AI429</f>
        <v>0</v>
      </c>
      <c r="AJ429" s="48">
        <f>'Adani Enterprises'!AJ429</f>
        <v>0</v>
      </c>
      <c r="AK429" s="48">
        <f>'Adani Enterprises'!AK429</f>
        <v>0</v>
      </c>
      <c r="AL429" s="48">
        <f>'Adani Enterprises'!AL429</f>
        <v>0</v>
      </c>
    </row>
    <row r="430" customHeight="1" spans="1:38">
      <c r="A430" s="48">
        <f>'Adani Enterprises'!A430</f>
        <v>0</v>
      </c>
      <c r="B430" s="48">
        <f>'Adani Enterprises'!B430</f>
        <v>0</v>
      </c>
      <c r="C430" s="48">
        <f>'Adani Enterprises'!C430</f>
        <v>0</v>
      </c>
      <c r="D430" s="48">
        <f>'Adani Enterprises'!D430</f>
        <v>0</v>
      </c>
      <c r="E430" s="48">
        <f>'Adani Enterprises'!E430</f>
        <v>0</v>
      </c>
      <c r="F430" s="48">
        <f>'Adani Enterprises'!F430</f>
        <v>0</v>
      </c>
      <c r="G430" s="48">
        <f>'Adani Enterprises'!G430</f>
        <v>0</v>
      </c>
      <c r="H430" s="48">
        <f>'Adani Enterprises'!H430</f>
        <v>0</v>
      </c>
      <c r="I430" s="48">
        <f>'Adani Enterprises'!I430</f>
        <v>0</v>
      </c>
      <c r="J430" s="48">
        <f>'Adani Enterprises'!J430</f>
        <v>0</v>
      </c>
      <c r="K430" s="48">
        <f>'Adani Enterprises'!K430</f>
        <v>0</v>
      </c>
      <c r="L430" s="48">
        <f>'Adani Enterprises'!L430</f>
        <v>0</v>
      </c>
      <c r="M430" s="48">
        <f>'Adani Enterprises'!M430</f>
        <v>0</v>
      </c>
      <c r="N430" s="48">
        <f>'Adani Enterprises'!N430</f>
        <v>0</v>
      </c>
      <c r="O430" s="48">
        <f>'Adani Enterprises'!O430</f>
        <v>0</v>
      </c>
      <c r="P430" s="48">
        <f>'Adani Enterprises'!P430</f>
        <v>0</v>
      </c>
      <c r="Q430" s="48">
        <f>'Adani Enterprises'!Q430</f>
        <v>0</v>
      </c>
      <c r="R430" s="48">
        <f>'Adani Enterprises'!R430</f>
        <v>0</v>
      </c>
      <c r="S430" s="48">
        <f>'Adani Enterprises'!S430</f>
        <v>0</v>
      </c>
      <c r="T430" s="48">
        <f>'Adani Enterprises'!T430</f>
        <v>0</v>
      </c>
      <c r="U430" s="48">
        <f>'Adani Enterprises'!U430</f>
        <v>0</v>
      </c>
      <c r="V430" s="48">
        <f>'Adani Enterprises'!V430</f>
        <v>0</v>
      </c>
      <c r="W430" s="48">
        <f>'Adani Enterprises'!W430</f>
        <v>0</v>
      </c>
      <c r="X430" s="48">
        <f>'Adani Enterprises'!X430</f>
        <v>0</v>
      </c>
      <c r="Y430" s="48">
        <f>'Adani Enterprises'!Y430</f>
        <v>0</v>
      </c>
      <c r="Z430" s="48">
        <f>'Adani Enterprises'!Z430</f>
        <v>0</v>
      </c>
      <c r="AA430" s="48">
        <f>'Adani Enterprises'!AA430</f>
        <v>0</v>
      </c>
      <c r="AB430" s="48">
        <f>'Adani Enterprises'!AB430</f>
        <v>0</v>
      </c>
      <c r="AC430" s="48">
        <f>'Adani Enterprises'!AC430</f>
        <v>0</v>
      </c>
      <c r="AD430" s="48">
        <f>'Adani Enterprises'!AD430</f>
        <v>0</v>
      </c>
      <c r="AE430" s="48">
        <f>'Adani Enterprises'!AE430</f>
        <v>0</v>
      </c>
      <c r="AF430" s="48">
        <f>'Adani Enterprises'!AF430</f>
        <v>0</v>
      </c>
      <c r="AG430" s="48">
        <f>'Adani Enterprises'!AG430</f>
        <v>0</v>
      </c>
      <c r="AH430" s="48">
        <f>'Adani Enterprises'!AH430</f>
        <v>0</v>
      </c>
      <c r="AI430" s="48">
        <f>'Adani Enterprises'!AI430</f>
        <v>0</v>
      </c>
      <c r="AJ430" s="48">
        <f>'Adani Enterprises'!AJ430</f>
        <v>0</v>
      </c>
      <c r="AK430" s="48">
        <f>'Adani Enterprises'!AK430</f>
        <v>0</v>
      </c>
      <c r="AL430" s="48">
        <f>'Adani Enterprises'!AL430</f>
        <v>0</v>
      </c>
    </row>
    <row r="431" customHeight="1" spans="1:38">
      <c r="A431" s="48">
        <f>'Adani Enterprises'!A431</f>
        <v>0</v>
      </c>
      <c r="B431" s="48">
        <f>'Adani Enterprises'!B431</f>
        <v>0</v>
      </c>
      <c r="C431" s="48">
        <f>'Adani Enterprises'!C431</f>
        <v>0</v>
      </c>
      <c r="D431" s="48">
        <f>'Adani Enterprises'!D431</f>
        <v>0</v>
      </c>
      <c r="E431" s="48">
        <f>'Adani Enterprises'!E431</f>
        <v>0</v>
      </c>
      <c r="F431" s="48">
        <f>'Adani Enterprises'!F431</f>
        <v>0</v>
      </c>
      <c r="G431" s="48">
        <f>'Adani Enterprises'!G431</f>
        <v>0</v>
      </c>
      <c r="H431" s="48">
        <f>'Adani Enterprises'!H431</f>
        <v>0</v>
      </c>
      <c r="I431" s="48">
        <f>'Adani Enterprises'!I431</f>
        <v>0</v>
      </c>
      <c r="J431" s="48">
        <f>'Adani Enterprises'!J431</f>
        <v>0</v>
      </c>
      <c r="K431" s="48">
        <f>'Adani Enterprises'!K431</f>
        <v>0</v>
      </c>
      <c r="L431" s="48">
        <f>'Adani Enterprises'!L431</f>
        <v>0</v>
      </c>
      <c r="M431" s="48">
        <f>'Adani Enterprises'!M431</f>
        <v>0</v>
      </c>
      <c r="N431" s="48">
        <f>'Adani Enterprises'!N431</f>
        <v>0</v>
      </c>
      <c r="O431" s="48">
        <f>'Adani Enterprises'!O431</f>
        <v>0</v>
      </c>
      <c r="P431" s="48">
        <f>'Adani Enterprises'!P431</f>
        <v>0</v>
      </c>
      <c r="Q431" s="48">
        <f>'Adani Enterprises'!Q431</f>
        <v>0</v>
      </c>
      <c r="R431" s="48">
        <f>'Adani Enterprises'!R431</f>
        <v>0</v>
      </c>
      <c r="S431" s="48">
        <f>'Adani Enterprises'!S431</f>
        <v>0</v>
      </c>
      <c r="T431" s="48">
        <f>'Adani Enterprises'!T431</f>
        <v>0</v>
      </c>
      <c r="U431" s="48">
        <f>'Adani Enterprises'!U431</f>
        <v>0</v>
      </c>
      <c r="V431" s="48">
        <f>'Adani Enterprises'!V431</f>
        <v>0</v>
      </c>
      <c r="W431" s="48">
        <f>'Adani Enterprises'!W431</f>
        <v>0</v>
      </c>
      <c r="X431" s="48">
        <f>'Adani Enterprises'!X431</f>
        <v>0</v>
      </c>
      <c r="Y431" s="48">
        <f>'Adani Enterprises'!Y431</f>
        <v>0</v>
      </c>
      <c r="Z431" s="48">
        <f>'Adani Enterprises'!Z431</f>
        <v>0</v>
      </c>
      <c r="AA431" s="48">
        <f>'Adani Enterprises'!AA431</f>
        <v>0</v>
      </c>
      <c r="AB431" s="48">
        <f>'Adani Enterprises'!AB431</f>
        <v>0</v>
      </c>
      <c r="AC431" s="48">
        <f>'Adani Enterprises'!AC431</f>
        <v>0</v>
      </c>
      <c r="AD431" s="48">
        <f>'Adani Enterprises'!AD431</f>
        <v>0</v>
      </c>
      <c r="AE431" s="48">
        <f>'Adani Enterprises'!AE431</f>
        <v>0</v>
      </c>
      <c r="AF431" s="48">
        <f>'Adani Enterprises'!AF431</f>
        <v>0</v>
      </c>
      <c r="AG431" s="48">
        <f>'Adani Enterprises'!AG431</f>
        <v>0</v>
      </c>
      <c r="AH431" s="48">
        <f>'Adani Enterprises'!AH431</f>
        <v>0</v>
      </c>
      <c r="AI431" s="48">
        <f>'Adani Enterprises'!AI431</f>
        <v>0</v>
      </c>
      <c r="AJ431" s="48">
        <f>'Adani Enterprises'!AJ431</f>
        <v>0</v>
      </c>
      <c r="AK431" s="48">
        <f>'Adani Enterprises'!AK431</f>
        <v>0</v>
      </c>
      <c r="AL431" s="48">
        <f>'Adani Enterprises'!AL431</f>
        <v>0</v>
      </c>
    </row>
    <row r="432" customHeight="1" spans="1:38">
      <c r="A432" s="48">
        <f>'Adani Enterprises'!A432</f>
        <v>0</v>
      </c>
      <c r="B432" s="48">
        <f>'Adani Enterprises'!B432</f>
        <v>0</v>
      </c>
      <c r="C432" s="48">
        <f>'Adani Enterprises'!C432</f>
        <v>0</v>
      </c>
      <c r="D432" s="48">
        <f>'Adani Enterprises'!D432</f>
        <v>0</v>
      </c>
      <c r="E432" s="48">
        <f>'Adani Enterprises'!E432</f>
        <v>0</v>
      </c>
      <c r="F432" s="48">
        <f>'Adani Enterprises'!F432</f>
        <v>0</v>
      </c>
      <c r="G432" s="48">
        <f>'Adani Enterprises'!G432</f>
        <v>0</v>
      </c>
      <c r="H432" s="48">
        <f>'Adani Enterprises'!H432</f>
        <v>0</v>
      </c>
      <c r="I432" s="48">
        <f>'Adani Enterprises'!I432</f>
        <v>0</v>
      </c>
      <c r="J432" s="48">
        <f>'Adani Enterprises'!J432</f>
        <v>0</v>
      </c>
      <c r="K432" s="48">
        <f>'Adani Enterprises'!K432</f>
        <v>0</v>
      </c>
      <c r="L432" s="48">
        <f>'Adani Enterprises'!L432</f>
        <v>0</v>
      </c>
      <c r="M432" s="48">
        <f>'Adani Enterprises'!M432</f>
        <v>0</v>
      </c>
      <c r="N432" s="48">
        <f>'Adani Enterprises'!N432</f>
        <v>0</v>
      </c>
      <c r="O432" s="48">
        <f>'Adani Enterprises'!O432</f>
        <v>0</v>
      </c>
      <c r="P432" s="48">
        <f>'Adani Enterprises'!P432</f>
        <v>0</v>
      </c>
      <c r="Q432" s="48">
        <f>'Adani Enterprises'!Q432</f>
        <v>0</v>
      </c>
      <c r="R432" s="48">
        <f>'Adani Enterprises'!R432</f>
        <v>0</v>
      </c>
      <c r="S432" s="48">
        <f>'Adani Enterprises'!S432</f>
        <v>0</v>
      </c>
      <c r="T432" s="48">
        <f>'Adani Enterprises'!T432</f>
        <v>0</v>
      </c>
      <c r="U432" s="48">
        <f>'Adani Enterprises'!U432</f>
        <v>0</v>
      </c>
      <c r="V432" s="48">
        <f>'Adani Enterprises'!V432</f>
        <v>0</v>
      </c>
      <c r="W432" s="48">
        <f>'Adani Enterprises'!W432</f>
        <v>0</v>
      </c>
      <c r="X432" s="48">
        <f>'Adani Enterprises'!X432</f>
        <v>0</v>
      </c>
      <c r="Y432" s="48">
        <f>'Adani Enterprises'!Y432</f>
        <v>0</v>
      </c>
      <c r="Z432" s="48">
        <f>'Adani Enterprises'!Z432</f>
        <v>0</v>
      </c>
      <c r="AA432" s="48">
        <f>'Adani Enterprises'!AA432</f>
        <v>0</v>
      </c>
      <c r="AB432" s="48">
        <f>'Adani Enterprises'!AB432</f>
        <v>0</v>
      </c>
      <c r="AC432" s="48">
        <f>'Adani Enterprises'!AC432</f>
        <v>0</v>
      </c>
      <c r="AD432" s="48">
        <f>'Adani Enterprises'!AD432</f>
        <v>0</v>
      </c>
      <c r="AE432" s="48">
        <f>'Adani Enterprises'!AE432</f>
        <v>0</v>
      </c>
      <c r="AF432" s="48">
        <f>'Adani Enterprises'!AF432</f>
        <v>0</v>
      </c>
      <c r="AG432" s="48">
        <f>'Adani Enterprises'!AG432</f>
        <v>0</v>
      </c>
      <c r="AH432" s="48">
        <f>'Adani Enterprises'!AH432</f>
        <v>0</v>
      </c>
      <c r="AI432" s="48">
        <f>'Adani Enterprises'!AI432</f>
        <v>0</v>
      </c>
      <c r="AJ432" s="48">
        <f>'Adani Enterprises'!AJ432</f>
        <v>0</v>
      </c>
      <c r="AK432" s="48">
        <f>'Adani Enterprises'!AK432</f>
        <v>0</v>
      </c>
      <c r="AL432" s="48">
        <f>'Adani Enterprises'!AL432</f>
        <v>0</v>
      </c>
    </row>
    <row r="433" customHeight="1" spans="1:38">
      <c r="A433" s="48">
        <f>'Adani Enterprises'!A433</f>
        <v>0</v>
      </c>
      <c r="B433" s="48">
        <f>'Adani Enterprises'!B433</f>
        <v>0</v>
      </c>
      <c r="C433" s="48">
        <f>'Adani Enterprises'!C433</f>
        <v>0</v>
      </c>
      <c r="D433" s="48">
        <f>'Adani Enterprises'!D433</f>
        <v>0</v>
      </c>
      <c r="E433" s="48">
        <f>'Adani Enterprises'!E433</f>
        <v>0</v>
      </c>
      <c r="F433" s="48">
        <f>'Adani Enterprises'!F433</f>
        <v>0</v>
      </c>
      <c r="G433" s="48">
        <f>'Adani Enterprises'!G433</f>
        <v>0</v>
      </c>
      <c r="H433" s="48">
        <f>'Adani Enterprises'!H433</f>
        <v>0</v>
      </c>
      <c r="I433" s="48">
        <f>'Adani Enterprises'!I433</f>
        <v>0</v>
      </c>
      <c r="J433" s="48">
        <f>'Adani Enterprises'!J433</f>
        <v>0</v>
      </c>
      <c r="K433" s="48">
        <f>'Adani Enterprises'!K433</f>
        <v>0</v>
      </c>
      <c r="L433" s="48">
        <f>'Adani Enterprises'!L433</f>
        <v>0</v>
      </c>
      <c r="M433" s="48">
        <f>'Adani Enterprises'!M433</f>
        <v>0</v>
      </c>
      <c r="N433" s="48">
        <f>'Adani Enterprises'!N433</f>
        <v>0</v>
      </c>
      <c r="O433" s="48">
        <f>'Adani Enterprises'!O433</f>
        <v>0</v>
      </c>
      <c r="P433" s="48">
        <f>'Adani Enterprises'!P433</f>
        <v>0</v>
      </c>
      <c r="Q433" s="48">
        <f>'Adani Enterprises'!Q433</f>
        <v>0</v>
      </c>
      <c r="R433" s="48">
        <f>'Adani Enterprises'!R433</f>
        <v>0</v>
      </c>
      <c r="S433" s="48">
        <f>'Adani Enterprises'!S433</f>
        <v>0</v>
      </c>
      <c r="T433" s="48">
        <f>'Adani Enterprises'!T433</f>
        <v>0</v>
      </c>
      <c r="U433" s="48">
        <f>'Adani Enterprises'!U433</f>
        <v>0</v>
      </c>
      <c r="V433" s="48">
        <f>'Adani Enterprises'!V433</f>
        <v>0</v>
      </c>
      <c r="W433" s="48">
        <f>'Adani Enterprises'!W433</f>
        <v>0</v>
      </c>
      <c r="X433" s="48">
        <f>'Adani Enterprises'!X433</f>
        <v>0</v>
      </c>
      <c r="Y433" s="48">
        <f>'Adani Enterprises'!Y433</f>
        <v>0</v>
      </c>
      <c r="Z433" s="48">
        <f>'Adani Enterprises'!Z433</f>
        <v>0</v>
      </c>
      <c r="AA433" s="48">
        <f>'Adani Enterprises'!AA433</f>
        <v>0</v>
      </c>
      <c r="AB433" s="48">
        <f>'Adani Enterprises'!AB433</f>
        <v>0</v>
      </c>
      <c r="AC433" s="48">
        <f>'Adani Enterprises'!AC433</f>
        <v>0</v>
      </c>
      <c r="AD433" s="48">
        <f>'Adani Enterprises'!AD433</f>
        <v>0</v>
      </c>
      <c r="AE433" s="48">
        <f>'Adani Enterprises'!AE433</f>
        <v>0</v>
      </c>
      <c r="AF433" s="48">
        <f>'Adani Enterprises'!AF433</f>
        <v>0</v>
      </c>
      <c r="AG433" s="48">
        <f>'Adani Enterprises'!AG433</f>
        <v>0</v>
      </c>
      <c r="AH433" s="48">
        <f>'Adani Enterprises'!AH433</f>
        <v>0</v>
      </c>
      <c r="AI433" s="48">
        <f>'Adani Enterprises'!AI433</f>
        <v>0</v>
      </c>
      <c r="AJ433" s="48">
        <f>'Adani Enterprises'!AJ433</f>
        <v>0</v>
      </c>
      <c r="AK433" s="48">
        <f>'Adani Enterprises'!AK433</f>
        <v>0</v>
      </c>
      <c r="AL433" s="48">
        <f>'Adani Enterprises'!AL433</f>
        <v>0</v>
      </c>
    </row>
    <row r="434" customHeight="1" spans="1:38">
      <c r="A434" s="48">
        <f>'Adani Enterprises'!A434</f>
        <v>0</v>
      </c>
      <c r="B434" s="48">
        <f>'Adani Enterprises'!B434</f>
        <v>0</v>
      </c>
      <c r="C434" s="48">
        <f>'Adani Enterprises'!C434</f>
        <v>0</v>
      </c>
      <c r="D434" s="48">
        <f>'Adani Enterprises'!D434</f>
        <v>0</v>
      </c>
      <c r="E434" s="48">
        <f>'Adani Enterprises'!E434</f>
        <v>0</v>
      </c>
      <c r="F434" s="48">
        <f>'Adani Enterprises'!F434</f>
        <v>0</v>
      </c>
      <c r="G434" s="48">
        <f>'Adani Enterprises'!G434</f>
        <v>0</v>
      </c>
      <c r="H434" s="48">
        <f>'Adani Enterprises'!H434</f>
        <v>0</v>
      </c>
      <c r="I434" s="48">
        <f>'Adani Enterprises'!I434</f>
        <v>0</v>
      </c>
      <c r="J434" s="48">
        <f>'Adani Enterprises'!J434</f>
        <v>0</v>
      </c>
      <c r="K434" s="48">
        <f>'Adani Enterprises'!K434</f>
        <v>0</v>
      </c>
      <c r="L434" s="48">
        <f>'Adani Enterprises'!L434</f>
        <v>0</v>
      </c>
      <c r="M434" s="48">
        <f>'Adani Enterprises'!M434</f>
        <v>0</v>
      </c>
      <c r="N434" s="48">
        <f>'Adani Enterprises'!N434</f>
        <v>0</v>
      </c>
      <c r="O434" s="48">
        <f>'Adani Enterprises'!O434</f>
        <v>0</v>
      </c>
      <c r="P434" s="48">
        <f>'Adani Enterprises'!P434</f>
        <v>0</v>
      </c>
      <c r="Q434" s="48">
        <f>'Adani Enterprises'!Q434</f>
        <v>0</v>
      </c>
      <c r="R434" s="48">
        <f>'Adani Enterprises'!R434</f>
        <v>0</v>
      </c>
      <c r="S434" s="48">
        <f>'Adani Enterprises'!S434</f>
        <v>0</v>
      </c>
      <c r="T434" s="48">
        <f>'Adani Enterprises'!T434</f>
        <v>0</v>
      </c>
      <c r="U434" s="48">
        <f>'Adani Enterprises'!U434</f>
        <v>0</v>
      </c>
      <c r="V434" s="48">
        <f>'Adani Enterprises'!V434</f>
        <v>0</v>
      </c>
      <c r="W434" s="48">
        <f>'Adani Enterprises'!W434</f>
        <v>0</v>
      </c>
      <c r="X434" s="48">
        <f>'Adani Enterprises'!X434</f>
        <v>0</v>
      </c>
      <c r="Y434" s="48">
        <f>'Adani Enterprises'!Y434</f>
        <v>0</v>
      </c>
      <c r="Z434" s="48">
        <f>'Adani Enterprises'!Z434</f>
        <v>0</v>
      </c>
      <c r="AA434" s="48">
        <f>'Adani Enterprises'!AA434</f>
        <v>0</v>
      </c>
      <c r="AB434" s="48">
        <f>'Adani Enterprises'!AB434</f>
        <v>0</v>
      </c>
      <c r="AC434" s="48">
        <f>'Adani Enterprises'!AC434</f>
        <v>0</v>
      </c>
      <c r="AD434" s="48">
        <f>'Adani Enterprises'!AD434</f>
        <v>0</v>
      </c>
      <c r="AE434" s="48">
        <f>'Adani Enterprises'!AE434</f>
        <v>0</v>
      </c>
      <c r="AF434" s="48">
        <f>'Adani Enterprises'!AF434</f>
        <v>0</v>
      </c>
      <c r="AG434" s="48">
        <f>'Adani Enterprises'!AG434</f>
        <v>0</v>
      </c>
      <c r="AH434" s="48">
        <f>'Adani Enterprises'!AH434</f>
        <v>0</v>
      </c>
      <c r="AI434" s="48">
        <f>'Adani Enterprises'!AI434</f>
        <v>0</v>
      </c>
      <c r="AJ434" s="48">
        <f>'Adani Enterprises'!AJ434</f>
        <v>0</v>
      </c>
      <c r="AK434" s="48">
        <f>'Adani Enterprises'!AK434</f>
        <v>0</v>
      </c>
      <c r="AL434" s="48">
        <f>'Adani Enterprises'!AL434</f>
        <v>0</v>
      </c>
    </row>
    <row r="435" customHeight="1" spans="1:38">
      <c r="A435" s="48">
        <f>'Adani Enterprises'!A435</f>
        <v>0</v>
      </c>
      <c r="B435" s="48">
        <f>'Adani Enterprises'!B435</f>
        <v>0</v>
      </c>
      <c r="C435" s="48">
        <f>'Adani Enterprises'!C435</f>
        <v>0</v>
      </c>
      <c r="D435" s="48">
        <f>'Adani Enterprises'!D435</f>
        <v>0</v>
      </c>
      <c r="E435" s="48">
        <f>'Adani Enterprises'!E435</f>
        <v>0</v>
      </c>
      <c r="F435" s="48">
        <f>'Adani Enterprises'!F435</f>
        <v>0</v>
      </c>
      <c r="G435" s="48">
        <f>'Adani Enterprises'!G435</f>
        <v>0</v>
      </c>
      <c r="H435" s="48">
        <f>'Adani Enterprises'!H435</f>
        <v>0</v>
      </c>
      <c r="I435" s="48">
        <f>'Adani Enterprises'!I435</f>
        <v>0</v>
      </c>
      <c r="J435" s="48">
        <f>'Adani Enterprises'!J435</f>
        <v>0</v>
      </c>
      <c r="K435" s="48">
        <f>'Adani Enterprises'!K435</f>
        <v>0</v>
      </c>
      <c r="L435" s="48">
        <f>'Adani Enterprises'!L435</f>
        <v>0</v>
      </c>
      <c r="M435" s="48">
        <f>'Adani Enterprises'!M435</f>
        <v>0</v>
      </c>
      <c r="N435" s="48">
        <f>'Adani Enterprises'!N435</f>
        <v>0</v>
      </c>
      <c r="O435" s="48">
        <f>'Adani Enterprises'!O435</f>
        <v>0</v>
      </c>
      <c r="P435" s="48">
        <f>'Adani Enterprises'!P435</f>
        <v>0</v>
      </c>
      <c r="Q435" s="48">
        <f>'Adani Enterprises'!Q435</f>
        <v>0</v>
      </c>
      <c r="R435" s="48">
        <f>'Adani Enterprises'!R435</f>
        <v>0</v>
      </c>
      <c r="S435" s="48">
        <f>'Adani Enterprises'!S435</f>
        <v>0</v>
      </c>
      <c r="T435" s="48">
        <f>'Adani Enterprises'!T435</f>
        <v>0</v>
      </c>
      <c r="U435" s="48">
        <f>'Adani Enterprises'!U435</f>
        <v>0</v>
      </c>
      <c r="V435" s="48">
        <f>'Adani Enterprises'!V435</f>
        <v>0</v>
      </c>
      <c r="W435" s="48">
        <f>'Adani Enterprises'!W435</f>
        <v>0</v>
      </c>
      <c r="X435" s="48">
        <f>'Adani Enterprises'!X435</f>
        <v>0</v>
      </c>
      <c r="Y435" s="48">
        <f>'Adani Enterprises'!Y435</f>
        <v>0</v>
      </c>
      <c r="Z435" s="48">
        <f>'Adani Enterprises'!Z435</f>
        <v>0</v>
      </c>
      <c r="AA435" s="48">
        <f>'Adani Enterprises'!AA435</f>
        <v>0</v>
      </c>
      <c r="AB435" s="48">
        <f>'Adani Enterprises'!AB435</f>
        <v>0</v>
      </c>
      <c r="AC435" s="48">
        <f>'Adani Enterprises'!AC435</f>
        <v>0</v>
      </c>
      <c r="AD435" s="48">
        <f>'Adani Enterprises'!AD435</f>
        <v>0</v>
      </c>
      <c r="AE435" s="48">
        <f>'Adani Enterprises'!AE435</f>
        <v>0</v>
      </c>
      <c r="AF435" s="48">
        <f>'Adani Enterprises'!AF435</f>
        <v>0</v>
      </c>
      <c r="AG435" s="48">
        <f>'Adani Enterprises'!AG435</f>
        <v>0</v>
      </c>
      <c r="AH435" s="48">
        <f>'Adani Enterprises'!AH435</f>
        <v>0</v>
      </c>
      <c r="AI435" s="48">
        <f>'Adani Enterprises'!AI435</f>
        <v>0</v>
      </c>
      <c r="AJ435" s="48">
        <f>'Adani Enterprises'!AJ435</f>
        <v>0</v>
      </c>
      <c r="AK435" s="48">
        <f>'Adani Enterprises'!AK435</f>
        <v>0</v>
      </c>
      <c r="AL435" s="48">
        <f>'Adani Enterprises'!AL435</f>
        <v>0</v>
      </c>
    </row>
    <row r="436" customHeight="1" spans="1:38">
      <c r="A436" s="48">
        <f>'Adani Enterprises'!A436</f>
        <v>0</v>
      </c>
      <c r="B436" s="48">
        <f>'Adani Enterprises'!B436</f>
        <v>0</v>
      </c>
      <c r="C436" s="48">
        <f>'Adani Enterprises'!C436</f>
        <v>0</v>
      </c>
      <c r="D436" s="48">
        <f>'Adani Enterprises'!D436</f>
        <v>0</v>
      </c>
      <c r="E436" s="48">
        <f>'Adani Enterprises'!E436</f>
        <v>0</v>
      </c>
      <c r="F436" s="48">
        <f>'Adani Enterprises'!F436</f>
        <v>0</v>
      </c>
      <c r="G436" s="48">
        <f>'Adani Enterprises'!G436</f>
        <v>0</v>
      </c>
      <c r="H436" s="48">
        <f>'Adani Enterprises'!H436</f>
        <v>0</v>
      </c>
      <c r="I436" s="48">
        <f>'Adani Enterprises'!I436</f>
        <v>0</v>
      </c>
      <c r="J436" s="48">
        <f>'Adani Enterprises'!J436</f>
        <v>0</v>
      </c>
      <c r="K436" s="48">
        <f>'Adani Enterprises'!K436</f>
        <v>0</v>
      </c>
      <c r="L436" s="48">
        <f>'Adani Enterprises'!L436</f>
        <v>0</v>
      </c>
      <c r="M436" s="48">
        <f>'Adani Enterprises'!M436</f>
        <v>0</v>
      </c>
      <c r="N436" s="48">
        <f>'Adani Enterprises'!N436</f>
        <v>0</v>
      </c>
      <c r="O436" s="48">
        <f>'Adani Enterprises'!O436</f>
        <v>0</v>
      </c>
      <c r="P436" s="48">
        <f>'Adani Enterprises'!P436</f>
        <v>0</v>
      </c>
      <c r="Q436" s="48">
        <f>'Adani Enterprises'!Q436</f>
        <v>0</v>
      </c>
      <c r="R436" s="48">
        <f>'Adani Enterprises'!R436</f>
        <v>0</v>
      </c>
      <c r="S436" s="48">
        <f>'Adani Enterprises'!S436</f>
        <v>0</v>
      </c>
      <c r="T436" s="48">
        <f>'Adani Enterprises'!T436</f>
        <v>0</v>
      </c>
      <c r="U436" s="48">
        <f>'Adani Enterprises'!U436</f>
        <v>0</v>
      </c>
      <c r="V436" s="48">
        <f>'Adani Enterprises'!V436</f>
        <v>0</v>
      </c>
      <c r="W436" s="48">
        <f>'Adani Enterprises'!W436</f>
        <v>0</v>
      </c>
      <c r="X436" s="48">
        <f>'Adani Enterprises'!X436</f>
        <v>0</v>
      </c>
      <c r="Y436" s="48">
        <f>'Adani Enterprises'!Y436</f>
        <v>0</v>
      </c>
      <c r="Z436" s="48">
        <f>'Adani Enterprises'!Z436</f>
        <v>0</v>
      </c>
      <c r="AA436" s="48">
        <f>'Adani Enterprises'!AA436</f>
        <v>0</v>
      </c>
      <c r="AB436" s="48">
        <f>'Adani Enterprises'!AB436</f>
        <v>0</v>
      </c>
      <c r="AC436" s="48">
        <f>'Adani Enterprises'!AC436</f>
        <v>0</v>
      </c>
      <c r="AD436" s="48">
        <f>'Adani Enterprises'!AD436</f>
        <v>0</v>
      </c>
      <c r="AE436" s="48">
        <f>'Adani Enterprises'!AE436</f>
        <v>0</v>
      </c>
      <c r="AF436" s="48">
        <f>'Adani Enterprises'!AF436</f>
        <v>0</v>
      </c>
      <c r="AG436" s="48">
        <f>'Adani Enterprises'!AG436</f>
        <v>0</v>
      </c>
      <c r="AH436" s="48">
        <f>'Adani Enterprises'!AH436</f>
        <v>0</v>
      </c>
      <c r="AI436" s="48">
        <f>'Adani Enterprises'!AI436</f>
        <v>0</v>
      </c>
      <c r="AJ436" s="48">
        <f>'Adani Enterprises'!AJ436</f>
        <v>0</v>
      </c>
      <c r="AK436" s="48">
        <f>'Adani Enterprises'!AK436</f>
        <v>0</v>
      </c>
      <c r="AL436" s="48">
        <f>'Adani Enterprises'!AL436</f>
        <v>0</v>
      </c>
    </row>
    <row r="437" customHeight="1" spans="1:38">
      <c r="A437" s="48">
        <f>'Adani Enterprises'!A437</f>
        <v>0</v>
      </c>
      <c r="B437" s="48">
        <f>'Adani Enterprises'!B437</f>
        <v>0</v>
      </c>
      <c r="C437" s="48">
        <f>'Adani Enterprises'!C437</f>
        <v>0</v>
      </c>
      <c r="D437" s="48">
        <f>'Adani Enterprises'!D437</f>
        <v>0</v>
      </c>
      <c r="E437" s="48">
        <f>'Adani Enterprises'!E437</f>
        <v>0</v>
      </c>
      <c r="F437" s="48">
        <f>'Adani Enterprises'!F437</f>
        <v>0</v>
      </c>
      <c r="G437" s="48">
        <f>'Adani Enterprises'!G437</f>
        <v>0</v>
      </c>
      <c r="H437" s="48">
        <f>'Adani Enterprises'!H437</f>
        <v>0</v>
      </c>
      <c r="I437" s="48">
        <f>'Adani Enterprises'!I437</f>
        <v>0</v>
      </c>
      <c r="J437" s="48">
        <f>'Adani Enterprises'!J437</f>
        <v>0</v>
      </c>
      <c r="K437" s="48">
        <f>'Adani Enterprises'!K437</f>
        <v>0</v>
      </c>
      <c r="L437" s="48">
        <f>'Adani Enterprises'!L437</f>
        <v>0</v>
      </c>
      <c r="M437" s="48">
        <f>'Adani Enterprises'!M437</f>
        <v>0</v>
      </c>
      <c r="N437" s="48">
        <f>'Adani Enterprises'!N437</f>
        <v>0</v>
      </c>
      <c r="O437" s="48">
        <f>'Adani Enterprises'!O437</f>
        <v>0</v>
      </c>
      <c r="P437" s="48">
        <f>'Adani Enterprises'!P437</f>
        <v>0</v>
      </c>
      <c r="Q437" s="48">
        <f>'Adani Enterprises'!Q437</f>
        <v>0</v>
      </c>
      <c r="R437" s="48">
        <f>'Adani Enterprises'!R437</f>
        <v>0</v>
      </c>
      <c r="S437" s="48">
        <f>'Adani Enterprises'!S437</f>
        <v>0</v>
      </c>
      <c r="T437" s="48">
        <f>'Adani Enterprises'!T437</f>
        <v>0</v>
      </c>
      <c r="U437" s="48">
        <f>'Adani Enterprises'!U437</f>
        <v>0</v>
      </c>
      <c r="V437" s="48">
        <f>'Adani Enterprises'!V437</f>
        <v>0</v>
      </c>
      <c r="W437" s="48">
        <f>'Adani Enterprises'!W437</f>
        <v>0</v>
      </c>
      <c r="X437" s="48">
        <f>'Adani Enterprises'!X437</f>
        <v>0</v>
      </c>
      <c r="Y437" s="48">
        <f>'Adani Enterprises'!Y437</f>
        <v>0</v>
      </c>
      <c r="Z437" s="48">
        <f>'Adani Enterprises'!Z437</f>
        <v>0</v>
      </c>
      <c r="AA437" s="48">
        <f>'Adani Enterprises'!AA437</f>
        <v>0</v>
      </c>
      <c r="AB437" s="48">
        <f>'Adani Enterprises'!AB437</f>
        <v>0</v>
      </c>
      <c r="AC437" s="48">
        <f>'Adani Enterprises'!AC437</f>
        <v>0</v>
      </c>
      <c r="AD437" s="48">
        <f>'Adani Enterprises'!AD437</f>
        <v>0</v>
      </c>
      <c r="AE437" s="48">
        <f>'Adani Enterprises'!AE437</f>
        <v>0</v>
      </c>
      <c r="AF437" s="48">
        <f>'Adani Enterprises'!AF437</f>
        <v>0</v>
      </c>
      <c r="AG437" s="48">
        <f>'Adani Enterprises'!AG437</f>
        <v>0</v>
      </c>
      <c r="AH437" s="48">
        <f>'Adani Enterprises'!AH437</f>
        <v>0</v>
      </c>
      <c r="AI437" s="48">
        <f>'Adani Enterprises'!AI437</f>
        <v>0</v>
      </c>
      <c r="AJ437" s="48">
        <f>'Adani Enterprises'!AJ437</f>
        <v>0</v>
      </c>
      <c r="AK437" s="48">
        <f>'Adani Enterprises'!AK437</f>
        <v>0</v>
      </c>
      <c r="AL437" s="48">
        <f>'Adani Enterprises'!AL437</f>
        <v>0</v>
      </c>
    </row>
    <row r="438" customHeight="1" spans="1:38">
      <c r="A438" s="48">
        <f>'Adani Enterprises'!A438</f>
        <v>0</v>
      </c>
      <c r="B438" s="48">
        <f>'Adani Enterprises'!B438</f>
        <v>0</v>
      </c>
      <c r="C438" s="48">
        <f>'Adani Enterprises'!C438</f>
        <v>0</v>
      </c>
      <c r="D438" s="48">
        <f>'Adani Enterprises'!D438</f>
        <v>0</v>
      </c>
      <c r="E438" s="48">
        <f>'Adani Enterprises'!E438</f>
        <v>0</v>
      </c>
      <c r="F438" s="48">
        <f>'Adani Enterprises'!F438</f>
        <v>0</v>
      </c>
      <c r="G438" s="48">
        <f>'Adani Enterprises'!G438</f>
        <v>0</v>
      </c>
      <c r="H438" s="48">
        <f>'Adani Enterprises'!H438</f>
        <v>0</v>
      </c>
      <c r="I438" s="48">
        <f>'Adani Enterprises'!I438</f>
        <v>0</v>
      </c>
      <c r="J438" s="48">
        <f>'Adani Enterprises'!J438</f>
        <v>0</v>
      </c>
      <c r="K438" s="48">
        <f>'Adani Enterprises'!K438</f>
        <v>0</v>
      </c>
      <c r="L438" s="48">
        <f>'Adani Enterprises'!L438</f>
        <v>0</v>
      </c>
      <c r="M438" s="48">
        <f>'Adani Enterprises'!M438</f>
        <v>0</v>
      </c>
      <c r="N438" s="48">
        <f>'Adani Enterprises'!N438</f>
        <v>0</v>
      </c>
      <c r="O438" s="48">
        <f>'Adani Enterprises'!O438</f>
        <v>0</v>
      </c>
      <c r="P438" s="48">
        <f>'Adani Enterprises'!P438</f>
        <v>0</v>
      </c>
      <c r="Q438" s="48">
        <f>'Adani Enterprises'!Q438</f>
        <v>0</v>
      </c>
      <c r="R438" s="48">
        <f>'Adani Enterprises'!R438</f>
        <v>0</v>
      </c>
      <c r="S438" s="48">
        <f>'Adani Enterprises'!S438</f>
        <v>0</v>
      </c>
      <c r="T438" s="48">
        <f>'Adani Enterprises'!T438</f>
        <v>0</v>
      </c>
      <c r="U438" s="48">
        <f>'Adani Enterprises'!U438</f>
        <v>0</v>
      </c>
      <c r="V438" s="48">
        <f>'Adani Enterprises'!V438</f>
        <v>0</v>
      </c>
      <c r="W438" s="48">
        <f>'Adani Enterprises'!W438</f>
        <v>0</v>
      </c>
      <c r="X438" s="48">
        <f>'Adani Enterprises'!X438</f>
        <v>0</v>
      </c>
      <c r="Y438" s="48">
        <f>'Adani Enterprises'!Y438</f>
        <v>0</v>
      </c>
      <c r="Z438" s="48">
        <f>'Adani Enterprises'!Z438</f>
        <v>0</v>
      </c>
      <c r="AA438" s="48">
        <f>'Adani Enterprises'!AA438</f>
        <v>0</v>
      </c>
      <c r="AB438" s="48">
        <f>'Adani Enterprises'!AB438</f>
        <v>0</v>
      </c>
      <c r="AC438" s="48">
        <f>'Adani Enterprises'!AC438</f>
        <v>0</v>
      </c>
      <c r="AD438" s="48">
        <f>'Adani Enterprises'!AD438</f>
        <v>0</v>
      </c>
      <c r="AE438" s="48">
        <f>'Adani Enterprises'!AE438</f>
        <v>0</v>
      </c>
      <c r="AF438" s="48">
        <f>'Adani Enterprises'!AF438</f>
        <v>0</v>
      </c>
      <c r="AG438" s="48">
        <f>'Adani Enterprises'!AG438</f>
        <v>0</v>
      </c>
      <c r="AH438" s="48">
        <f>'Adani Enterprises'!AH438</f>
        <v>0</v>
      </c>
      <c r="AI438" s="48">
        <f>'Adani Enterprises'!AI438</f>
        <v>0</v>
      </c>
      <c r="AJ438" s="48">
        <f>'Adani Enterprises'!AJ438</f>
        <v>0</v>
      </c>
      <c r="AK438" s="48">
        <f>'Adani Enterprises'!AK438</f>
        <v>0</v>
      </c>
      <c r="AL438" s="48">
        <f>'Adani Enterprises'!AL438</f>
        <v>0</v>
      </c>
    </row>
    <row r="439" customHeight="1" spans="1:38">
      <c r="A439" s="48">
        <f>'Adani Enterprises'!A439</f>
        <v>0</v>
      </c>
      <c r="B439" s="48">
        <f>'Adani Enterprises'!B439</f>
        <v>0</v>
      </c>
      <c r="C439" s="48">
        <f>'Adani Enterprises'!C439</f>
        <v>0</v>
      </c>
      <c r="D439" s="48">
        <f>'Adani Enterprises'!D439</f>
        <v>0</v>
      </c>
      <c r="E439" s="48">
        <f>'Adani Enterprises'!E439</f>
        <v>0</v>
      </c>
      <c r="F439" s="48">
        <f>'Adani Enterprises'!F439</f>
        <v>0</v>
      </c>
      <c r="G439" s="48">
        <f>'Adani Enterprises'!G439</f>
        <v>0</v>
      </c>
      <c r="H439" s="48">
        <f>'Adani Enterprises'!H439</f>
        <v>0</v>
      </c>
      <c r="I439" s="48">
        <f>'Adani Enterprises'!I439</f>
        <v>0</v>
      </c>
      <c r="J439" s="48">
        <f>'Adani Enterprises'!J439</f>
        <v>0</v>
      </c>
      <c r="K439" s="48">
        <f>'Adani Enterprises'!K439</f>
        <v>0</v>
      </c>
      <c r="L439" s="48">
        <f>'Adani Enterprises'!L439</f>
        <v>0</v>
      </c>
      <c r="M439" s="48">
        <f>'Adani Enterprises'!M439</f>
        <v>0</v>
      </c>
      <c r="N439" s="48">
        <f>'Adani Enterprises'!N439</f>
        <v>0</v>
      </c>
      <c r="O439" s="48">
        <f>'Adani Enterprises'!O439</f>
        <v>0</v>
      </c>
      <c r="P439" s="48">
        <f>'Adani Enterprises'!P439</f>
        <v>0</v>
      </c>
      <c r="Q439" s="48">
        <f>'Adani Enterprises'!Q439</f>
        <v>0</v>
      </c>
      <c r="R439" s="48">
        <f>'Adani Enterprises'!R439</f>
        <v>0</v>
      </c>
      <c r="S439" s="48">
        <f>'Adani Enterprises'!S439</f>
        <v>0</v>
      </c>
      <c r="T439" s="48">
        <f>'Adani Enterprises'!T439</f>
        <v>0</v>
      </c>
      <c r="U439" s="48">
        <f>'Adani Enterprises'!U439</f>
        <v>0</v>
      </c>
      <c r="V439" s="48">
        <f>'Adani Enterprises'!V439</f>
        <v>0</v>
      </c>
      <c r="W439" s="48">
        <f>'Adani Enterprises'!W439</f>
        <v>0</v>
      </c>
      <c r="X439" s="48">
        <f>'Adani Enterprises'!X439</f>
        <v>0</v>
      </c>
      <c r="Y439" s="48">
        <f>'Adani Enterprises'!Y439</f>
        <v>0</v>
      </c>
      <c r="Z439" s="48">
        <f>'Adani Enterprises'!Z439</f>
        <v>0</v>
      </c>
      <c r="AA439" s="48">
        <f>'Adani Enterprises'!AA439</f>
        <v>0</v>
      </c>
      <c r="AB439" s="48">
        <f>'Adani Enterprises'!AB439</f>
        <v>0</v>
      </c>
      <c r="AC439" s="48">
        <f>'Adani Enterprises'!AC439</f>
        <v>0</v>
      </c>
      <c r="AD439" s="48">
        <f>'Adani Enterprises'!AD439</f>
        <v>0</v>
      </c>
      <c r="AE439" s="48">
        <f>'Adani Enterprises'!AE439</f>
        <v>0</v>
      </c>
      <c r="AF439" s="48">
        <f>'Adani Enterprises'!AF439</f>
        <v>0</v>
      </c>
      <c r="AG439" s="48">
        <f>'Adani Enterprises'!AG439</f>
        <v>0</v>
      </c>
      <c r="AH439" s="48">
        <f>'Adani Enterprises'!AH439</f>
        <v>0</v>
      </c>
      <c r="AI439" s="48">
        <f>'Adani Enterprises'!AI439</f>
        <v>0</v>
      </c>
      <c r="AJ439" s="48">
        <f>'Adani Enterprises'!AJ439</f>
        <v>0</v>
      </c>
      <c r="AK439" s="48">
        <f>'Adani Enterprises'!AK439</f>
        <v>0</v>
      </c>
      <c r="AL439" s="48">
        <f>'Adani Enterprises'!AL439</f>
        <v>0</v>
      </c>
    </row>
    <row r="440" customHeight="1" spans="1:38">
      <c r="A440" s="48">
        <f>'Adani Enterprises'!A440</f>
        <v>0</v>
      </c>
      <c r="B440" s="48">
        <f>'Adani Enterprises'!B440</f>
        <v>0</v>
      </c>
      <c r="C440" s="48">
        <f>'Adani Enterprises'!C440</f>
        <v>0</v>
      </c>
      <c r="D440" s="48">
        <f>'Adani Enterprises'!D440</f>
        <v>0</v>
      </c>
      <c r="E440" s="48">
        <f>'Adani Enterprises'!E440</f>
        <v>0</v>
      </c>
      <c r="F440" s="48">
        <f>'Adani Enterprises'!F440</f>
        <v>0</v>
      </c>
      <c r="G440" s="48">
        <f>'Adani Enterprises'!G440</f>
        <v>0</v>
      </c>
      <c r="H440" s="48">
        <f>'Adani Enterprises'!H440</f>
        <v>0</v>
      </c>
      <c r="I440" s="48">
        <f>'Adani Enterprises'!I440</f>
        <v>0</v>
      </c>
      <c r="J440" s="48">
        <f>'Adani Enterprises'!J440</f>
        <v>0</v>
      </c>
      <c r="K440" s="48">
        <f>'Adani Enterprises'!K440</f>
        <v>0</v>
      </c>
      <c r="L440" s="48">
        <f>'Adani Enterprises'!L440</f>
        <v>0</v>
      </c>
      <c r="M440" s="48">
        <f>'Adani Enterprises'!M440</f>
        <v>0</v>
      </c>
      <c r="N440" s="48">
        <f>'Adani Enterprises'!N440</f>
        <v>0</v>
      </c>
      <c r="O440" s="48">
        <f>'Adani Enterprises'!O440</f>
        <v>0</v>
      </c>
      <c r="P440" s="48">
        <f>'Adani Enterprises'!P440</f>
        <v>0</v>
      </c>
      <c r="Q440" s="48">
        <f>'Adani Enterprises'!Q440</f>
        <v>0</v>
      </c>
      <c r="R440" s="48">
        <f>'Adani Enterprises'!R440</f>
        <v>0</v>
      </c>
      <c r="S440" s="48">
        <f>'Adani Enterprises'!S440</f>
        <v>0</v>
      </c>
      <c r="T440" s="48">
        <f>'Adani Enterprises'!T440</f>
        <v>0</v>
      </c>
      <c r="U440" s="48">
        <f>'Adani Enterprises'!U440</f>
        <v>0</v>
      </c>
      <c r="V440" s="48">
        <f>'Adani Enterprises'!V440</f>
        <v>0</v>
      </c>
      <c r="W440" s="48">
        <f>'Adani Enterprises'!W440</f>
        <v>0</v>
      </c>
      <c r="X440" s="48">
        <f>'Adani Enterprises'!X440</f>
        <v>0</v>
      </c>
      <c r="Y440" s="48">
        <f>'Adani Enterprises'!Y440</f>
        <v>0</v>
      </c>
      <c r="Z440" s="48">
        <f>'Adani Enterprises'!Z440</f>
        <v>0</v>
      </c>
      <c r="AA440" s="48">
        <f>'Adani Enterprises'!AA440</f>
        <v>0</v>
      </c>
      <c r="AB440" s="48">
        <f>'Adani Enterprises'!AB440</f>
        <v>0</v>
      </c>
      <c r="AC440" s="48">
        <f>'Adani Enterprises'!AC440</f>
        <v>0</v>
      </c>
      <c r="AD440" s="48">
        <f>'Adani Enterprises'!AD440</f>
        <v>0</v>
      </c>
      <c r="AE440" s="48">
        <f>'Adani Enterprises'!AE440</f>
        <v>0</v>
      </c>
      <c r="AF440" s="48">
        <f>'Adani Enterprises'!AF440</f>
        <v>0</v>
      </c>
      <c r="AG440" s="48">
        <f>'Adani Enterprises'!AG440</f>
        <v>0</v>
      </c>
      <c r="AH440" s="48">
        <f>'Adani Enterprises'!AH440</f>
        <v>0</v>
      </c>
      <c r="AI440" s="48">
        <f>'Adani Enterprises'!AI440</f>
        <v>0</v>
      </c>
      <c r="AJ440" s="48">
        <f>'Adani Enterprises'!AJ440</f>
        <v>0</v>
      </c>
      <c r="AK440" s="48">
        <f>'Adani Enterprises'!AK440</f>
        <v>0</v>
      </c>
      <c r="AL440" s="48">
        <f>'Adani Enterprises'!AL440</f>
        <v>0</v>
      </c>
    </row>
    <row r="441" customHeight="1" spans="1:38">
      <c r="A441" s="48">
        <f>'Adani Enterprises'!A441</f>
        <v>0</v>
      </c>
      <c r="B441" s="48">
        <f>'Adani Enterprises'!B441</f>
        <v>0</v>
      </c>
      <c r="C441" s="48">
        <f>'Adani Enterprises'!C441</f>
        <v>0</v>
      </c>
      <c r="D441" s="48">
        <f>'Adani Enterprises'!D441</f>
        <v>0</v>
      </c>
      <c r="E441" s="48">
        <f>'Adani Enterprises'!E441</f>
        <v>0</v>
      </c>
      <c r="F441" s="48">
        <f>'Adani Enterprises'!F441</f>
        <v>0</v>
      </c>
      <c r="G441" s="48">
        <f>'Adani Enterprises'!G441</f>
        <v>0</v>
      </c>
      <c r="H441" s="48">
        <f>'Adani Enterprises'!H441</f>
        <v>0</v>
      </c>
      <c r="I441" s="48">
        <f>'Adani Enterprises'!I441</f>
        <v>0</v>
      </c>
      <c r="J441" s="48">
        <f>'Adani Enterprises'!J441</f>
        <v>0</v>
      </c>
      <c r="K441" s="48">
        <f>'Adani Enterprises'!K441</f>
        <v>0</v>
      </c>
      <c r="L441" s="48">
        <f>'Adani Enterprises'!L441</f>
        <v>0</v>
      </c>
      <c r="M441" s="48">
        <f>'Adani Enterprises'!M441</f>
        <v>0</v>
      </c>
      <c r="N441" s="48">
        <f>'Adani Enterprises'!N441</f>
        <v>0</v>
      </c>
      <c r="O441" s="48">
        <f>'Adani Enterprises'!O441</f>
        <v>0</v>
      </c>
      <c r="P441" s="48">
        <f>'Adani Enterprises'!P441</f>
        <v>0</v>
      </c>
      <c r="Q441" s="48">
        <f>'Adani Enterprises'!Q441</f>
        <v>0</v>
      </c>
      <c r="R441" s="48">
        <f>'Adani Enterprises'!R441</f>
        <v>0</v>
      </c>
      <c r="S441" s="48">
        <f>'Adani Enterprises'!S441</f>
        <v>0</v>
      </c>
      <c r="T441" s="48">
        <f>'Adani Enterprises'!T441</f>
        <v>0</v>
      </c>
      <c r="U441" s="48">
        <f>'Adani Enterprises'!U441</f>
        <v>0</v>
      </c>
      <c r="V441" s="48">
        <f>'Adani Enterprises'!V441</f>
        <v>0</v>
      </c>
      <c r="W441" s="48">
        <f>'Adani Enterprises'!W441</f>
        <v>0</v>
      </c>
      <c r="X441" s="48">
        <f>'Adani Enterprises'!X441</f>
        <v>0</v>
      </c>
      <c r="Y441" s="48">
        <f>'Adani Enterprises'!Y441</f>
        <v>0</v>
      </c>
      <c r="Z441" s="48">
        <f>'Adani Enterprises'!Z441</f>
        <v>0</v>
      </c>
      <c r="AA441" s="48">
        <f>'Adani Enterprises'!AA441</f>
        <v>0</v>
      </c>
      <c r="AB441" s="48">
        <f>'Adani Enterprises'!AB441</f>
        <v>0</v>
      </c>
      <c r="AC441" s="48">
        <f>'Adani Enterprises'!AC441</f>
        <v>0</v>
      </c>
      <c r="AD441" s="48">
        <f>'Adani Enterprises'!AD441</f>
        <v>0</v>
      </c>
      <c r="AE441" s="48">
        <f>'Adani Enterprises'!AE441</f>
        <v>0</v>
      </c>
      <c r="AF441" s="48">
        <f>'Adani Enterprises'!AF441</f>
        <v>0</v>
      </c>
      <c r="AG441" s="48">
        <f>'Adani Enterprises'!AG441</f>
        <v>0</v>
      </c>
      <c r="AH441" s="48">
        <f>'Adani Enterprises'!AH441</f>
        <v>0</v>
      </c>
      <c r="AI441" s="48">
        <f>'Adani Enterprises'!AI441</f>
        <v>0</v>
      </c>
      <c r="AJ441" s="48">
        <f>'Adani Enterprises'!AJ441</f>
        <v>0</v>
      </c>
      <c r="AK441" s="48">
        <f>'Adani Enterprises'!AK441</f>
        <v>0</v>
      </c>
      <c r="AL441" s="48">
        <f>'Adani Enterprises'!AL441</f>
        <v>0</v>
      </c>
    </row>
    <row r="442" customHeight="1" spans="1:38">
      <c r="A442" s="48">
        <f>'Adani Enterprises'!A442</f>
        <v>0</v>
      </c>
      <c r="B442" s="48">
        <f>'Adani Enterprises'!B442</f>
        <v>0</v>
      </c>
      <c r="C442" s="48">
        <f>'Adani Enterprises'!C442</f>
        <v>0</v>
      </c>
      <c r="D442" s="48">
        <f>'Adani Enterprises'!D442</f>
        <v>0</v>
      </c>
      <c r="E442" s="48">
        <f>'Adani Enterprises'!E442</f>
        <v>0</v>
      </c>
      <c r="F442" s="48">
        <f>'Adani Enterprises'!F442</f>
        <v>0</v>
      </c>
      <c r="G442" s="48">
        <f>'Adani Enterprises'!G442</f>
        <v>0</v>
      </c>
      <c r="H442" s="48">
        <f>'Adani Enterprises'!H442</f>
        <v>0</v>
      </c>
      <c r="I442" s="48">
        <f>'Adani Enterprises'!I442</f>
        <v>0</v>
      </c>
      <c r="J442" s="48">
        <f>'Adani Enterprises'!J442</f>
        <v>0</v>
      </c>
      <c r="K442" s="48">
        <f>'Adani Enterprises'!K442</f>
        <v>0</v>
      </c>
      <c r="L442" s="48">
        <f>'Adani Enterprises'!L442</f>
        <v>0</v>
      </c>
      <c r="M442" s="48">
        <f>'Adani Enterprises'!M442</f>
        <v>0</v>
      </c>
      <c r="N442" s="48">
        <f>'Adani Enterprises'!N442</f>
        <v>0</v>
      </c>
      <c r="O442" s="48">
        <f>'Adani Enterprises'!O442</f>
        <v>0</v>
      </c>
      <c r="P442" s="48">
        <f>'Adani Enterprises'!P442</f>
        <v>0</v>
      </c>
      <c r="Q442" s="48">
        <f>'Adani Enterprises'!Q442</f>
        <v>0</v>
      </c>
      <c r="R442" s="48">
        <f>'Adani Enterprises'!R442</f>
        <v>0</v>
      </c>
      <c r="S442" s="48">
        <f>'Adani Enterprises'!S442</f>
        <v>0</v>
      </c>
      <c r="T442" s="48">
        <f>'Adani Enterprises'!T442</f>
        <v>0</v>
      </c>
      <c r="U442" s="48">
        <f>'Adani Enterprises'!U442</f>
        <v>0</v>
      </c>
      <c r="V442" s="48">
        <f>'Adani Enterprises'!V442</f>
        <v>0</v>
      </c>
      <c r="W442" s="48">
        <f>'Adani Enterprises'!W442</f>
        <v>0</v>
      </c>
      <c r="X442" s="48">
        <f>'Adani Enterprises'!X442</f>
        <v>0</v>
      </c>
      <c r="Y442" s="48">
        <f>'Adani Enterprises'!Y442</f>
        <v>0</v>
      </c>
      <c r="Z442" s="48">
        <f>'Adani Enterprises'!Z442</f>
        <v>0</v>
      </c>
      <c r="AA442" s="48">
        <f>'Adani Enterprises'!AA442</f>
        <v>0</v>
      </c>
      <c r="AB442" s="48">
        <f>'Adani Enterprises'!AB442</f>
        <v>0</v>
      </c>
      <c r="AC442" s="48">
        <f>'Adani Enterprises'!AC442</f>
        <v>0</v>
      </c>
      <c r="AD442" s="48">
        <f>'Adani Enterprises'!AD442</f>
        <v>0</v>
      </c>
      <c r="AE442" s="48">
        <f>'Adani Enterprises'!AE442</f>
        <v>0</v>
      </c>
      <c r="AF442" s="48">
        <f>'Adani Enterprises'!AF442</f>
        <v>0</v>
      </c>
      <c r="AG442" s="48">
        <f>'Adani Enterprises'!AG442</f>
        <v>0</v>
      </c>
      <c r="AH442" s="48">
        <f>'Adani Enterprises'!AH442</f>
        <v>0</v>
      </c>
      <c r="AI442" s="48">
        <f>'Adani Enterprises'!AI442</f>
        <v>0</v>
      </c>
      <c r="AJ442" s="48">
        <f>'Adani Enterprises'!AJ442</f>
        <v>0</v>
      </c>
      <c r="AK442" s="48">
        <f>'Adani Enterprises'!AK442</f>
        <v>0</v>
      </c>
      <c r="AL442" s="48">
        <f>'Adani Enterprises'!AL442</f>
        <v>0</v>
      </c>
    </row>
    <row r="443" customHeight="1" spans="1:38">
      <c r="A443" s="48">
        <f>'Adani Enterprises'!A443</f>
        <v>0</v>
      </c>
      <c r="B443" s="48">
        <f>'Adani Enterprises'!B443</f>
        <v>0</v>
      </c>
      <c r="C443" s="48">
        <f>'Adani Enterprises'!C443</f>
        <v>0</v>
      </c>
      <c r="D443" s="48">
        <f>'Adani Enterprises'!D443</f>
        <v>0</v>
      </c>
      <c r="E443" s="48">
        <f>'Adani Enterprises'!E443</f>
        <v>0</v>
      </c>
      <c r="F443" s="48">
        <f>'Adani Enterprises'!F443</f>
        <v>0</v>
      </c>
      <c r="G443" s="48">
        <f>'Adani Enterprises'!G443</f>
        <v>0</v>
      </c>
      <c r="H443" s="48">
        <f>'Adani Enterprises'!H443</f>
        <v>0</v>
      </c>
      <c r="I443" s="48">
        <f>'Adani Enterprises'!I443</f>
        <v>0</v>
      </c>
      <c r="J443" s="48">
        <f>'Adani Enterprises'!J443</f>
        <v>0</v>
      </c>
      <c r="K443" s="48">
        <f>'Adani Enterprises'!K443</f>
        <v>0</v>
      </c>
      <c r="L443" s="48">
        <f>'Adani Enterprises'!L443</f>
        <v>0</v>
      </c>
      <c r="M443" s="48">
        <f>'Adani Enterprises'!M443</f>
        <v>0</v>
      </c>
      <c r="N443" s="48">
        <f>'Adani Enterprises'!N443</f>
        <v>0</v>
      </c>
      <c r="O443" s="48">
        <f>'Adani Enterprises'!O443</f>
        <v>0</v>
      </c>
      <c r="P443" s="48">
        <f>'Adani Enterprises'!P443</f>
        <v>0</v>
      </c>
      <c r="Q443" s="48">
        <f>'Adani Enterprises'!Q443</f>
        <v>0</v>
      </c>
      <c r="R443" s="48">
        <f>'Adani Enterprises'!R443</f>
        <v>0</v>
      </c>
      <c r="S443" s="48">
        <f>'Adani Enterprises'!S443</f>
        <v>0</v>
      </c>
      <c r="T443" s="48">
        <f>'Adani Enterprises'!T443</f>
        <v>0</v>
      </c>
      <c r="U443" s="48">
        <f>'Adani Enterprises'!U443</f>
        <v>0</v>
      </c>
      <c r="V443" s="48">
        <f>'Adani Enterprises'!V443</f>
        <v>0</v>
      </c>
      <c r="W443" s="48">
        <f>'Adani Enterprises'!W443</f>
        <v>0</v>
      </c>
      <c r="X443" s="48">
        <f>'Adani Enterprises'!X443</f>
        <v>0</v>
      </c>
      <c r="Y443" s="48">
        <f>'Adani Enterprises'!Y443</f>
        <v>0</v>
      </c>
      <c r="Z443" s="48">
        <f>'Adani Enterprises'!Z443</f>
        <v>0</v>
      </c>
      <c r="AA443" s="48">
        <f>'Adani Enterprises'!AA443</f>
        <v>0</v>
      </c>
      <c r="AB443" s="48">
        <f>'Adani Enterprises'!AB443</f>
        <v>0</v>
      </c>
      <c r="AC443" s="48">
        <f>'Adani Enterprises'!AC443</f>
        <v>0</v>
      </c>
      <c r="AD443" s="48">
        <f>'Adani Enterprises'!AD443</f>
        <v>0</v>
      </c>
      <c r="AE443" s="48">
        <f>'Adani Enterprises'!AE443</f>
        <v>0</v>
      </c>
      <c r="AF443" s="48">
        <f>'Adani Enterprises'!AF443</f>
        <v>0</v>
      </c>
      <c r="AG443" s="48">
        <f>'Adani Enterprises'!AG443</f>
        <v>0</v>
      </c>
      <c r="AH443" s="48">
        <f>'Adani Enterprises'!AH443</f>
        <v>0</v>
      </c>
      <c r="AI443" s="48">
        <f>'Adani Enterprises'!AI443</f>
        <v>0</v>
      </c>
      <c r="AJ443" s="48">
        <f>'Adani Enterprises'!AJ443</f>
        <v>0</v>
      </c>
      <c r="AK443" s="48">
        <f>'Adani Enterprises'!AK443</f>
        <v>0</v>
      </c>
      <c r="AL443" s="48">
        <f>'Adani Enterprises'!AL443</f>
        <v>0</v>
      </c>
    </row>
    <row r="444" customHeight="1" spans="1:38">
      <c r="A444" s="48">
        <f>'Adani Enterprises'!A444</f>
        <v>0</v>
      </c>
      <c r="B444" s="48">
        <f>'Adani Enterprises'!B444</f>
        <v>0</v>
      </c>
      <c r="C444" s="48">
        <f>'Adani Enterprises'!C444</f>
        <v>0</v>
      </c>
      <c r="D444" s="48">
        <f>'Adani Enterprises'!D444</f>
        <v>0</v>
      </c>
      <c r="E444" s="48">
        <f>'Adani Enterprises'!E444</f>
        <v>0</v>
      </c>
      <c r="F444" s="48">
        <f>'Adani Enterprises'!F444</f>
        <v>0</v>
      </c>
      <c r="G444" s="48">
        <f>'Adani Enterprises'!G444</f>
        <v>0</v>
      </c>
      <c r="H444" s="48">
        <f>'Adani Enterprises'!H444</f>
        <v>0</v>
      </c>
      <c r="I444" s="48">
        <f>'Adani Enterprises'!I444</f>
        <v>0</v>
      </c>
      <c r="J444" s="48">
        <f>'Adani Enterprises'!J444</f>
        <v>0</v>
      </c>
      <c r="K444" s="48">
        <f>'Adani Enterprises'!K444</f>
        <v>0</v>
      </c>
      <c r="L444" s="48">
        <f>'Adani Enterprises'!L444</f>
        <v>0</v>
      </c>
      <c r="M444" s="48">
        <f>'Adani Enterprises'!M444</f>
        <v>0</v>
      </c>
      <c r="N444" s="48">
        <f>'Adani Enterprises'!N444</f>
        <v>0</v>
      </c>
      <c r="O444" s="48">
        <f>'Adani Enterprises'!O444</f>
        <v>0</v>
      </c>
      <c r="P444" s="48">
        <f>'Adani Enterprises'!P444</f>
        <v>0</v>
      </c>
      <c r="Q444" s="48">
        <f>'Adani Enterprises'!Q444</f>
        <v>0</v>
      </c>
      <c r="R444" s="48">
        <f>'Adani Enterprises'!R444</f>
        <v>0</v>
      </c>
      <c r="S444" s="48">
        <f>'Adani Enterprises'!S444</f>
        <v>0</v>
      </c>
      <c r="T444" s="48">
        <f>'Adani Enterprises'!T444</f>
        <v>0</v>
      </c>
      <c r="U444" s="48">
        <f>'Adani Enterprises'!U444</f>
        <v>0</v>
      </c>
      <c r="V444" s="48">
        <f>'Adani Enterprises'!V444</f>
        <v>0</v>
      </c>
      <c r="W444" s="48">
        <f>'Adani Enterprises'!W444</f>
        <v>0</v>
      </c>
      <c r="X444" s="48">
        <f>'Adani Enterprises'!X444</f>
        <v>0</v>
      </c>
      <c r="Y444" s="48">
        <f>'Adani Enterprises'!Y444</f>
        <v>0</v>
      </c>
      <c r="Z444" s="48">
        <f>'Adani Enterprises'!Z444</f>
        <v>0</v>
      </c>
      <c r="AA444" s="48">
        <f>'Adani Enterprises'!AA444</f>
        <v>0</v>
      </c>
      <c r="AB444" s="48">
        <f>'Adani Enterprises'!AB444</f>
        <v>0</v>
      </c>
      <c r="AC444" s="48">
        <f>'Adani Enterprises'!AC444</f>
        <v>0</v>
      </c>
      <c r="AD444" s="48">
        <f>'Adani Enterprises'!AD444</f>
        <v>0</v>
      </c>
      <c r="AE444" s="48">
        <f>'Adani Enterprises'!AE444</f>
        <v>0</v>
      </c>
      <c r="AF444" s="48">
        <f>'Adani Enterprises'!AF444</f>
        <v>0</v>
      </c>
      <c r="AG444" s="48">
        <f>'Adani Enterprises'!AG444</f>
        <v>0</v>
      </c>
      <c r="AH444" s="48">
        <f>'Adani Enterprises'!AH444</f>
        <v>0</v>
      </c>
      <c r="AI444" s="48">
        <f>'Adani Enterprises'!AI444</f>
        <v>0</v>
      </c>
      <c r="AJ444" s="48">
        <f>'Adani Enterprises'!AJ444</f>
        <v>0</v>
      </c>
      <c r="AK444" s="48">
        <f>'Adani Enterprises'!AK444</f>
        <v>0</v>
      </c>
      <c r="AL444" s="48">
        <f>'Adani Enterprises'!AL444</f>
        <v>0</v>
      </c>
    </row>
    <row r="445" customHeight="1" spans="1:38">
      <c r="A445" s="48">
        <f>'Adani Enterprises'!A445</f>
        <v>0</v>
      </c>
      <c r="B445" s="48">
        <f>'Adani Enterprises'!B445</f>
        <v>0</v>
      </c>
      <c r="C445" s="48">
        <f>'Adani Enterprises'!C445</f>
        <v>0</v>
      </c>
      <c r="D445" s="48">
        <f>'Adani Enterprises'!D445</f>
        <v>0</v>
      </c>
      <c r="E445" s="48">
        <f>'Adani Enterprises'!E445</f>
        <v>0</v>
      </c>
      <c r="F445" s="48">
        <f>'Adani Enterprises'!F445</f>
        <v>0</v>
      </c>
      <c r="G445" s="48">
        <f>'Adani Enterprises'!G445</f>
        <v>0</v>
      </c>
      <c r="H445" s="48">
        <f>'Adani Enterprises'!H445</f>
        <v>0</v>
      </c>
      <c r="I445" s="48">
        <f>'Adani Enterprises'!I445</f>
        <v>0</v>
      </c>
      <c r="J445" s="48">
        <f>'Adani Enterprises'!J445</f>
        <v>0</v>
      </c>
      <c r="K445" s="48">
        <f>'Adani Enterprises'!K445</f>
        <v>0</v>
      </c>
      <c r="L445" s="48">
        <f>'Adani Enterprises'!L445</f>
        <v>0</v>
      </c>
      <c r="M445" s="48">
        <f>'Adani Enterprises'!M445</f>
        <v>0</v>
      </c>
      <c r="N445" s="48">
        <f>'Adani Enterprises'!N445</f>
        <v>0</v>
      </c>
      <c r="O445" s="48">
        <f>'Adani Enterprises'!O445</f>
        <v>0</v>
      </c>
      <c r="P445" s="48">
        <f>'Adani Enterprises'!P445</f>
        <v>0</v>
      </c>
      <c r="Q445" s="48">
        <f>'Adani Enterprises'!Q445</f>
        <v>0</v>
      </c>
      <c r="R445" s="48">
        <f>'Adani Enterprises'!R445</f>
        <v>0</v>
      </c>
      <c r="S445" s="48">
        <f>'Adani Enterprises'!S445</f>
        <v>0</v>
      </c>
      <c r="T445" s="48">
        <f>'Adani Enterprises'!T445</f>
        <v>0</v>
      </c>
      <c r="U445" s="48">
        <f>'Adani Enterprises'!U445</f>
        <v>0</v>
      </c>
      <c r="V445" s="48">
        <f>'Adani Enterprises'!V445</f>
        <v>0</v>
      </c>
      <c r="W445" s="48">
        <f>'Adani Enterprises'!W445</f>
        <v>0</v>
      </c>
      <c r="X445" s="48">
        <f>'Adani Enterprises'!X445</f>
        <v>0</v>
      </c>
      <c r="Y445" s="48">
        <f>'Adani Enterprises'!Y445</f>
        <v>0</v>
      </c>
      <c r="Z445" s="48">
        <f>'Adani Enterprises'!Z445</f>
        <v>0</v>
      </c>
      <c r="AA445" s="48">
        <f>'Adani Enterprises'!AA445</f>
        <v>0</v>
      </c>
      <c r="AB445" s="48">
        <f>'Adani Enterprises'!AB445</f>
        <v>0</v>
      </c>
      <c r="AC445" s="48">
        <f>'Adani Enterprises'!AC445</f>
        <v>0</v>
      </c>
      <c r="AD445" s="48">
        <f>'Adani Enterprises'!AD445</f>
        <v>0</v>
      </c>
      <c r="AE445" s="48">
        <f>'Adani Enterprises'!AE445</f>
        <v>0</v>
      </c>
      <c r="AF445" s="48">
        <f>'Adani Enterprises'!AF445</f>
        <v>0</v>
      </c>
      <c r="AG445" s="48">
        <f>'Adani Enterprises'!AG445</f>
        <v>0</v>
      </c>
      <c r="AH445" s="48">
        <f>'Adani Enterprises'!AH445</f>
        <v>0</v>
      </c>
      <c r="AI445" s="48">
        <f>'Adani Enterprises'!AI445</f>
        <v>0</v>
      </c>
      <c r="AJ445" s="48">
        <f>'Adani Enterprises'!AJ445</f>
        <v>0</v>
      </c>
      <c r="AK445" s="48">
        <f>'Adani Enterprises'!AK445</f>
        <v>0</v>
      </c>
      <c r="AL445" s="48">
        <f>'Adani Enterprises'!AL445</f>
        <v>0</v>
      </c>
    </row>
    <row r="446" customHeight="1" spans="1:38">
      <c r="A446" s="48">
        <f>'Adani Enterprises'!A446</f>
        <v>0</v>
      </c>
      <c r="B446" s="48">
        <f>'Adani Enterprises'!B446</f>
        <v>0</v>
      </c>
      <c r="C446" s="48">
        <f>'Adani Enterprises'!C446</f>
        <v>0</v>
      </c>
      <c r="D446" s="48">
        <f>'Adani Enterprises'!D446</f>
        <v>0</v>
      </c>
      <c r="E446" s="48">
        <f>'Adani Enterprises'!E446</f>
        <v>0</v>
      </c>
      <c r="F446" s="48">
        <f>'Adani Enterprises'!F446</f>
        <v>0</v>
      </c>
      <c r="G446" s="48">
        <f>'Adani Enterprises'!G446</f>
        <v>0</v>
      </c>
      <c r="H446" s="48">
        <f>'Adani Enterprises'!H446</f>
        <v>0</v>
      </c>
      <c r="I446" s="48">
        <f>'Adani Enterprises'!I446</f>
        <v>0</v>
      </c>
      <c r="J446" s="48">
        <f>'Adani Enterprises'!J446</f>
        <v>0</v>
      </c>
      <c r="K446" s="48">
        <f>'Adani Enterprises'!K446</f>
        <v>0</v>
      </c>
      <c r="L446" s="48">
        <f>'Adani Enterprises'!L446</f>
        <v>0</v>
      </c>
      <c r="M446" s="48">
        <f>'Adani Enterprises'!M446</f>
        <v>0</v>
      </c>
      <c r="N446" s="48">
        <f>'Adani Enterprises'!N446</f>
        <v>0</v>
      </c>
      <c r="O446" s="48">
        <f>'Adani Enterprises'!O446</f>
        <v>0</v>
      </c>
      <c r="P446" s="48">
        <f>'Adani Enterprises'!P446</f>
        <v>0</v>
      </c>
      <c r="Q446" s="48">
        <f>'Adani Enterprises'!Q446</f>
        <v>0</v>
      </c>
      <c r="R446" s="48">
        <f>'Adani Enterprises'!R446</f>
        <v>0</v>
      </c>
      <c r="S446" s="48">
        <f>'Adani Enterprises'!S446</f>
        <v>0</v>
      </c>
      <c r="T446" s="48">
        <f>'Adani Enterprises'!T446</f>
        <v>0</v>
      </c>
      <c r="U446" s="48">
        <f>'Adani Enterprises'!U446</f>
        <v>0</v>
      </c>
      <c r="V446" s="48">
        <f>'Adani Enterprises'!V446</f>
        <v>0</v>
      </c>
      <c r="W446" s="48">
        <f>'Adani Enterprises'!W446</f>
        <v>0</v>
      </c>
      <c r="X446" s="48">
        <f>'Adani Enterprises'!X446</f>
        <v>0</v>
      </c>
      <c r="Y446" s="48">
        <f>'Adani Enterprises'!Y446</f>
        <v>0</v>
      </c>
      <c r="Z446" s="48">
        <f>'Adani Enterprises'!Z446</f>
        <v>0</v>
      </c>
      <c r="AA446" s="48">
        <f>'Adani Enterprises'!AA446</f>
        <v>0</v>
      </c>
      <c r="AB446" s="48">
        <f>'Adani Enterprises'!AB446</f>
        <v>0</v>
      </c>
      <c r="AC446" s="48">
        <f>'Adani Enterprises'!AC446</f>
        <v>0</v>
      </c>
      <c r="AD446" s="48">
        <f>'Adani Enterprises'!AD446</f>
        <v>0</v>
      </c>
      <c r="AE446" s="48">
        <f>'Adani Enterprises'!AE446</f>
        <v>0</v>
      </c>
      <c r="AF446" s="48">
        <f>'Adani Enterprises'!AF446</f>
        <v>0</v>
      </c>
      <c r="AG446" s="48">
        <f>'Adani Enterprises'!AG446</f>
        <v>0</v>
      </c>
      <c r="AH446" s="48">
        <f>'Adani Enterprises'!AH446</f>
        <v>0</v>
      </c>
      <c r="AI446" s="48">
        <f>'Adani Enterprises'!AI446</f>
        <v>0</v>
      </c>
      <c r="AJ446" s="48">
        <f>'Adani Enterprises'!AJ446</f>
        <v>0</v>
      </c>
      <c r="AK446" s="48">
        <f>'Adani Enterprises'!AK446</f>
        <v>0</v>
      </c>
      <c r="AL446" s="48">
        <f>'Adani Enterprises'!AL446</f>
        <v>0</v>
      </c>
    </row>
    <row r="447" customHeight="1" spans="1:38">
      <c r="A447" s="48">
        <f>'Adani Enterprises'!A447</f>
        <v>0</v>
      </c>
      <c r="B447" s="48">
        <f>'Adani Enterprises'!B447</f>
        <v>0</v>
      </c>
      <c r="C447" s="48">
        <f>'Adani Enterprises'!C447</f>
        <v>0</v>
      </c>
      <c r="D447" s="48">
        <f>'Adani Enterprises'!D447</f>
        <v>0</v>
      </c>
      <c r="E447" s="48">
        <f>'Adani Enterprises'!E447</f>
        <v>0</v>
      </c>
      <c r="F447" s="48">
        <f>'Adani Enterprises'!F447</f>
        <v>0</v>
      </c>
      <c r="G447" s="48">
        <f>'Adani Enterprises'!G447</f>
        <v>0</v>
      </c>
      <c r="H447" s="48">
        <f>'Adani Enterprises'!H447</f>
        <v>0</v>
      </c>
      <c r="I447" s="48">
        <f>'Adani Enterprises'!I447</f>
        <v>0</v>
      </c>
      <c r="J447" s="48">
        <f>'Adani Enterprises'!J447</f>
        <v>0</v>
      </c>
      <c r="K447" s="48">
        <f>'Adani Enterprises'!K447</f>
        <v>0</v>
      </c>
      <c r="L447" s="48">
        <f>'Adani Enterprises'!L447</f>
        <v>0</v>
      </c>
      <c r="M447" s="48">
        <f>'Adani Enterprises'!M447</f>
        <v>0</v>
      </c>
      <c r="N447" s="48">
        <f>'Adani Enterprises'!N447</f>
        <v>0</v>
      </c>
      <c r="O447" s="48">
        <f>'Adani Enterprises'!O447</f>
        <v>0</v>
      </c>
      <c r="P447" s="48">
        <f>'Adani Enterprises'!P447</f>
        <v>0</v>
      </c>
      <c r="Q447" s="48">
        <f>'Adani Enterprises'!Q447</f>
        <v>0</v>
      </c>
      <c r="R447" s="48">
        <f>'Adani Enterprises'!R447</f>
        <v>0</v>
      </c>
      <c r="S447" s="48">
        <f>'Adani Enterprises'!S447</f>
        <v>0</v>
      </c>
      <c r="T447" s="48">
        <f>'Adani Enterprises'!T447</f>
        <v>0</v>
      </c>
      <c r="U447" s="48">
        <f>'Adani Enterprises'!U447</f>
        <v>0</v>
      </c>
      <c r="V447" s="48">
        <f>'Adani Enterprises'!V447</f>
        <v>0</v>
      </c>
      <c r="W447" s="48">
        <f>'Adani Enterprises'!W447</f>
        <v>0</v>
      </c>
      <c r="X447" s="48">
        <f>'Adani Enterprises'!X447</f>
        <v>0</v>
      </c>
      <c r="Y447" s="48">
        <f>'Adani Enterprises'!Y447</f>
        <v>0</v>
      </c>
      <c r="Z447" s="48">
        <f>'Adani Enterprises'!Z447</f>
        <v>0</v>
      </c>
      <c r="AA447" s="48">
        <f>'Adani Enterprises'!AA447</f>
        <v>0</v>
      </c>
      <c r="AB447" s="48">
        <f>'Adani Enterprises'!AB447</f>
        <v>0</v>
      </c>
      <c r="AC447" s="48">
        <f>'Adani Enterprises'!AC447</f>
        <v>0</v>
      </c>
      <c r="AD447" s="48">
        <f>'Adani Enterprises'!AD447</f>
        <v>0</v>
      </c>
      <c r="AE447" s="48">
        <f>'Adani Enterprises'!AE447</f>
        <v>0</v>
      </c>
      <c r="AF447" s="48">
        <f>'Adani Enterprises'!AF447</f>
        <v>0</v>
      </c>
      <c r="AG447" s="48">
        <f>'Adani Enterprises'!AG447</f>
        <v>0</v>
      </c>
      <c r="AH447" s="48">
        <f>'Adani Enterprises'!AH447</f>
        <v>0</v>
      </c>
      <c r="AI447" s="48">
        <f>'Adani Enterprises'!AI447</f>
        <v>0</v>
      </c>
      <c r="AJ447" s="48">
        <f>'Adani Enterprises'!AJ447</f>
        <v>0</v>
      </c>
      <c r="AK447" s="48">
        <f>'Adani Enterprises'!AK447</f>
        <v>0</v>
      </c>
      <c r="AL447" s="48">
        <f>'Adani Enterprises'!AL447</f>
        <v>0</v>
      </c>
    </row>
    <row r="448" customHeight="1" spans="1:38">
      <c r="A448" s="48">
        <f>'Adani Enterprises'!A448</f>
        <v>0</v>
      </c>
      <c r="B448" s="48">
        <f>'Adani Enterprises'!B448</f>
        <v>0</v>
      </c>
      <c r="C448" s="48">
        <f>'Adani Enterprises'!C448</f>
        <v>0</v>
      </c>
      <c r="D448" s="48">
        <f>'Adani Enterprises'!D448</f>
        <v>0</v>
      </c>
      <c r="E448" s="48">
        <f>'Adani Enterprises'!E448</f>
        <v>0</v>
      </c>
      <c r="F448" s="48">
        <f>'Adani Enterprises'!F448</f>
        <v>0</v>
      </c>
      <c r="G448" s="48">
        <f>'Adani Enterprises'!G448</f>
        <v>0</v>
      </c>
      <c r="H448" s="48">
        <f>'Adani Enterprises'!H448</f>
        <v>0</v>
      </c>
      <c r="I448" s="48">
        <f>'Adani Enterprises'!I448</f>
        <v>0</v>
      </c>
      <c r="J448" s="48">
        <f>'Adani Enterprises'!J448</f>
        <v>0</v>
      </c>
      <c r="K448" s="48">
        <f>'Adani Enterprises'!K448</f>
        <v>0</v>
      </c>
      <c r="L448" s="48">
        <f>'Adani Enterprises'!L448</f>
        <v>0</v>
      </c>
      <c r="M448" s="48">
        <f>'Adani Enterprises'!M448</f>
        <v>0</v>
      </c>
      <c r="N448" s="48">
        <f>'Adani Enterprises'!N448</f>
        <v>0</v>
      </c>
      <c r="O448" s="48">
        <f>'Adani Enterprises'!O448</f>
        <v>0</v>
      </c>
      <c r="P448" s="48">
        <f>'Adani Enterprises'!P448</f>
        <v>0</v>
      </c>
      <c r="Q448" s="48">
        <f>'Adani Enterprises'!Q448</f>
        <v>0</v>
      </c>
      <c r="R448" s="48">
        <f>'Adani Enterprises'!R448</f>
        <v>0</v>
      </c>
      <c r="S448" s="48">
        <f>'Adani Enterprises'!S448</f>
        <v>0</v>
      </c>
      <c r="T448" s="48">
        <f>'Adani Enterprises'!T448</f>
        <v>0</v>
      </c>
      <c r="U448" s="48">
        <f>'Adani Enterprises'!U448</f>
        <v>0</v>
      </c>
      <c r="V448" s="48">
        <f>'Adani Enterprises'!V448</f>
        <v>0</v>
      </c>
      <c r="W448" s="48">
        <f>'Adani Enterprises'!W448</f>
        <v>0</v>
      </c>
      <c r="X448" s="48">
        <f>'Adani Enterprises'!X448</f>
        <v>0</v>
      </c>
      <c r="Y448" s="48">
        <f>'Adani Enterprises'!Y448</f>
        <v>0</v>
      </c>
      <c r="Z448" s="48">
        <f>'Adani Enterprises'!Z448</f>
        <v>0</v>
      </c>
      <c r="AA448" s="48">
        <f>'Adani Enterprises'!AA448</f>
        <v>0</v>
      </c>
      <c r="AB448" s="48">
        <f>'Adani Enterprises'!AB448</f>
        <v>0</v>
      </c>
      <c r="AC448" s="48">
        <f>'Adani Enterprises'!AC448</f>
        <v>0</v>
      </c>
      <c r="AD448" s="48">
        <f>'Adani Enterprises'!AD448</f>
        <v>0</v>
      </c>
      <c r="AE448" s="48">
        <f>'Adani Enterprises'!AE448</f>
        <v>0</v>
      </c>
      <c r="AF448" s="48">
        <f>'Adani Enterprises'!AF448</f>
        <v>0</v>
      </c>
      <c r="AG448" s="48">
        <f>'Adani Enterprises'!AG448</f>
        <v>0</v>
      </c>
      <c r="AH448" s="48">
        <f>'Adani Enterprises'!AH448</f>
        <v>0</v>
      </c>
      <c r="AI448" s="48">
        <f>'Adani Enterprises'!AI448</f>
        <v>0</v>
      </c>
      <c r="AJ448" s="48">
        <f>'Adani Enterprises'!AJ448</f>
        <v>0</v>
      </c>
      <c r="AK448" s="48">
        <f>'Adani Enterprises'!AK448</f>
        <v>0</v>
      </c>
      <c r="AL448" s="48">
        <f>'Adani Enterprises'!AL448</f>
        <v>0</v>
      </c>
    </row>
    <row r="449" customHeight="1" spans="1:38">
      <c r="A449" s="48">
        <f>'Adani Enterprises'!A449</f>
        <v>0</v>
      </c>
      <c r="B449" s="48">
        <f>'Adani Enterprises'!B449</f>
        <v>0</v>
      </c>
      <c r="C449" s="48">
        <f>'Adani Enterprises'!C449</f>
        <v>0</v>
      </c>
      <c r="D449" s="48">
        <f>'Adani Enterprises'!D449</f>
        <v>0</v>
      </c>
      <c r="E449" s="48">
        <f>'Adani Enterprises'!E449</f>
        <v>0</v>
      </c>
      <c r="F449" s="48">
        <f>'Adani Enterprises'!F449</f>
        <v>0</v>
      </c>
      <c r="G449" s="48">
        <f>'Adani Enterprises'!G449</f>
        <v>0</v>
      </c>
      <c r="H449" s="48">
        <f>'Adani Enterprises'!H449</f>
        <v>0</v>
      </c>
      <c r="I449" s="48">
        <f>'Adani Enterprises'!I449</f>
        <v>0</v>
      </c>
      <c r="J449" s="48">
        <f>'Adani Enterprises'!J449</f>
        <v>0</v>
      </c>
      <c r="K449" s="48">
        <f>'Adani Enterprises'!K449</f>
        <v>0</v>
      </c>
      <c r="L449" s="48">
        <f>'Adani Enterprises'!L449</f>
        <v>0</v>
      </c>
      <c r="M449" s="48">
        <f>'Adani Enterprises'!M449</f>
        <v>0</v>
      </c>
      <c r="N449" s="48">
        <f>'Adani Enterprises'!N449</f>
        <v>0</v>
      </c>
      <c r="O449" s="48">
        <f>'Adani Enterprises'!O449</f>
        <v>0</v>
      </c>
      <c r="P449" s="48">
        <f>'Adani Enterprises'!P449</f>
        <v>0</v>
      </c>
      <c r="Q449" s="48">
        <f>'Adani Enterprises'!Q449</f>
        <v>0</v>
      </c>
      <c r="R449" s="48">
        <f>'Adani Enterprises'!R449</f>
        <v>0</v>
      </c>
      <c r="S449" s="48">
        <f>'Adani Enterprises'!S449</f>
        <v>0</v>
      </c>
      <c r="T449" s="48">
        <f>'Adani Enterprises'!T449</f>
        <v>0</v>
      </c>
      <c r="U449" s="48">
        <f>'Adani Enterprises'!U449</f>
        <v>0</v>
      </c>
      <c r="V449" s="48">
        <f>'Adani Enterprises'!V449</f>
        <v>0</v>
      </c>
      <c r="W449" s="48">
        <f>'Adani Enterprises'!W449</f>
        <v>0</v>
      </c>
      <c r="X449" s="48">
        <f>'Adani Enterprises'!X449</f>
        <v>0</v>
      </c>
      <c r="Y449" s="48">
        <f>'Adani Enterprises'!Y449</f>
        <v>0</v>
      </c>
      <c r="Z449" s="48">
        <f>'Adani Enterprises'!Z449</f>
        <v>0</v>
      </c>
      <c r="AA449" s="48">
        <f>'Adani Enterprises'!AA449</f>
        <v>0</v>
      </c>
      <c r="AB449" s="48">
        <f>'Adani Enterprises'!AB449</f>
        <v>0</v>
      </c>
      <c r="AC449" s="48">
        <f>'Adani Enterprises'!AC449</f>
        <v>0</v>
      </c>
      <c r="AD449" s="48">
        <f>'Adani Enterprises'!AD449</f>
        <v>0</v>
      </c>
      <c r="AE449" s="48">
        <f>'Adani Enterprises'!AE449</f>
        <v>0</v>
      </c>
      <c r="AF449" s="48">
        <f>'Adani Enterprises'!AF449</f>
        <v>0</v>
      </c>
      <c r="AG449" s="48">
        <f>'Adani Enterprises'!AG449</f>
        <v>0</v>
      </c>
      <c r="AH449" s="48">
        <f>'Adani Enterprises'!AH449</f>
        <v>0</v>
      </c>
      <c r="AI449" s="48">
        <f>'Adani Enterprises'!AI449</f>
        <v>0</v>
      </c>
      <c r="AJ449" s="48">
        <f>'Adani Enterprises'!AJ449</f>
        <v>0</v>
      </c>
      <c r="AK449" s="48">
        <f>'Adani Enterprises'!AK449</f>
        <v>0</v>
      </c>
      <c r="AL449" s="48">
        <f>'Adani Enterprises'!AL449</f>
        <v>0</v>
      </c>
    </row>
    <row r="450" customHeight="1" spans="1:38">
      <c r="A450" s="48">
        <f>'Adani Enterprises'!A450</f>
        <v>0</v>
      </c>
      <c r="B450" s="48">
        <f>'Adani Enterprises'!B450</f>
        <v>0</v>
      </c>
      <c r="C450" s="48">
        <f>'Adani Enterprises'!C450</f>
        <v>0</v>
      </c>
      <c r="D450" s="48">
        <f>'Adani Enterprises'!D450</f>
        <v>0</v>
      </c>
      <c r="E450" s="48">
        <f>'Adani Enterprises'!E450</f>
        <v>0</v>
      </c>
      <c r="F450" s="48">
        <f>'Adani Enterprises'!F450</f>
        <v>0</v>
      </c>
      <c r="G450" s="48">
        <f>'Adani Enterprises'!G450</f>
        <v>0</v>
      </c>
      <c r="H450" s="48">
        <f>'Adani Enterprises'!H450</f>
        <v>0</v>
      </c>
      <c r="I450" s="48">
        <f>'Adani Enterprises'!I450</f>
        <v>0</v>
      </c>
      <c r="J450" s="48">
        <f>'Adani Enterprises'!J450</f>
        <v>0</v>
      </c>
      <c r="K450" s="48">
        <f>'Adani Enterprises'!K450</f>
        <v>0</v>
      </c>
      <c r="L450" s="48">
        <f>'Adani Enterprises'!L450</f>
        <v>0</v>
      </c>
      <c r="M450" s="48">
        <f>'Adani Enterprises'!M450</f>
        <v>0</v>
      </c>
      <c r="N450" s="48">
        <f>'Adani Enterprises'!N450</f>
        <v>0</v>
      </c>
      <c r="O450" s="48">
        <f>'Adani Enterprises'!O450</f>
        <v>0</v>
      </c>
      <c r="P450" s="48">
        <f>'Adani Enterprises'!P450</f>
        <v>0</v>
      </c>
      <c r="Q450" s="48">
        <f>'Adani Enterprises'!Q450</f>
        <v>0</v>
      </c>
      <c r="R450" s="48">
        <f>'Adani Enterprises'!R450</f>
        <v>0</v>
      </c>
      <c r="S450" s="48">
        <f>'Adani Enterprises'!S450</f>
        <v>0</v>
      </c>
      <c r="T450" s="48">
        <f>'Adani Enterprises'!T450</f>
        <v>0</v>
      </c>
      <c r="U450" s="48">
        <f>'Adani Enterprises'!U450</f>
        <v>0</v>
      </c>
      <c r="V450" s="48">
        <f>'Adani Enterprises'!V450</f>
        <v>0</v>
      </c>
      <c r="W450" s="48">
        <f>'Adani Enterprises'!W450</f>
        <v>0</v>
      </c>
      <c r="X450" s="48">
        <f>'Adani Enterprises'!X450</f>
        <v>0</v>
      </c>
      <c r="Y450" s="48">
        <f>'Adani Enterprises'!Y450</f>
        <v>0</v>
      </c>
      <c r="Z450" s="48">
        <f>'Adani Enterprises'!Z450</f>
        <v>0</v>
      </c>
      <c r="AA450" s="48">
        <f>'Adani Enterprises'!AA450</f>
        <v>0</v>
      </c>
      <c r="AB450" s="48">
        <f>'Adani Enterprises'!AB450</f>
        <v>0</v>
      </c>
      <c r="AC450" s="48">
        <f>'Adani Enterprises'!AC450</f>
        <v>0</v>
      </c>
      <c r="AD450" s="48">
        <f>'Adani Enterprises'!AD450</f>
        <v>0</v>
      </c>
      <c r="AE450" s="48">
        <f>'Adani Enterprises'!AE450</f>
        <v>0</v>
      </c>
      <c r="AF450" s="48">
        <f>'Adani Enterprises'!AF450</f>
        <v>0</v>
      </c>
      <c r="AG450" s="48">
        <f>'Adani Enterprises'!AG450</f>
        <v>0</v>
      </c>
      <c r="AH450" s="48">
        <f>'Adani Enterprises'!AH450</f>
        <v>0</v>
      </c>
      <c r="AI450" s="48">
        <f>'Adani Enterprises'!AI450</f>
        <v>0</v>
      </c>
      <c r="AJ450" s="48">
        <f>'Adani Enterprises'!AJ450</f>
        <v>0</v>
      </c>
      <c r="AK450" s="48">
        <f>'Adani Enterprises'!AK450</f>
        <v>0</v>
      </c>
      <c r="AL450" s="48">
        <f>'Adani Enterprises'!AL450</f>
        <v>0</v>
      </c>
    </row>
    <row r="451" customHeight="1" spans="1:38">
      <c r="A451" s="48">
        <f>'Adani Enterprises'!A451</f>
        <v>0</v>
      </c>
      <c r="B451" s="48">
        <f>'Adani Enterprises'!B451</f>
        <v>0</v>
      </c>
      <c r="C451" s="48">
        <f>'Adani Enterprises'!C451</f>
        <v>0</v>
      </c>
      <c r="D451" s="48">
        <f>'Adani Enterprises'!D451</f>
        <v>0</v>
      </c>
      <c r="E451" s="48">
        <f>'Adani Enterprises'!E451</f>
        <v>0</v>
      </c>
      <c r="F451" s="48">
        <f>'Adani Enterprises'!F451</f>
        <v>0</v>
      </c>
      <c r="G451" s="48">
        <f>'Adani Enterprises'!G451</f>
        <v>0</v>
      </c>
      <c r="H451" s="48">
        <f>'Adani Enterprises'!H451</f>
        <v>0</v>
      </c>
      <c r="I451" s="48">
        <f>'Adani Enterprises'!I451</f>
        <v>0</v>
      </c>
      <c r="J451" s="48">
        <f>'Adani Enterprises'!J451</f>
        <v>0</v>
      </c>
      <c r="K451" s="48">
        <f>'Adani Enterprises'!K451</f>
        <v>0</v>
      </c>
      <c r="L451" s="48">
        <f>'Adani Enterprises'!L451</f>
        <v>0</v>
      </c>
      <c r="M451" s="48">
        <f>'Adani Enterprises'!M451</f>
        <v>0</v>
      </c>
      <c r="N451" s="48">
        <f>'Adani Enterprises'!N451</f>
        <v>0</v>
      </c>
      <c r="O451" s="48">
        <f>'Adani Enterprises'!O451</f>
        <v>0</v>
      </c>
      <c r="P451" s="48">
        <f>'Adani Enterprises'!P451</f>
        <v>0</v>
      </c>
      <c r="Q451" s="48">
        <f>'Adani Enterprises'!Q451</f>
        <v>0</v>
      </c>
      <c r="R451" s="48">
        <f>'Adani Enterprises'!R451</f>
        <v>0</v>
      </c>
      <c r="S451" s="48">
        <f>'Adani Enterprises'!S451</f>
        <v>0</v>
      </c>
      <c r="T451" s="48">
        <f>'Adani Enterprises'!T451</f>
        <v>0</v>
      </c>
      <c r="U451" s="48">
        <f>'Adani Enterprises'!U451</f>
        <v>0</v>
      </c>
      <c r="V451" s="48">
        <f>'Adani Enterprises'!V451</f>
        <v>0</v>
      </c>
      <c r="W451" s="48">
        <f>'Adani Enterprises'!W451</f>
        <v>0</v>
      </c>
      <c r="X451" s="48">
        <f>'Adani Enterprises'!X451</f>
        <v>0</v>
      </c>
      <c r="Y451" s="48">
        <f>'Adani Enterprises'!Y451</f>
        <v>0</v>
      </c>
      <c r="Z451" s="48">
        <f>'Adani Enterprises'!Z451</f>
        <v>0</v>
      </c>
      <c r="AA451" s="48">
        <f>'Adani Enterprises'!AA451</f>
        <v>0</v>
      </c>
      <c r="AB451" s="48">
        <f>'Adani Enterprises'!AB451</f>
        <v>0</v>
      </c>
      <c r="AC451" s="48">
        <f>'Adani Enterprises'!AC451</f>
        <v>0</v>
      </c>
      <c r="AD451" s="48">
        <f>'Adani Enterprises'!AD451</f>
        <v>0</v>
      </c>
      <c r="AE451" s="48">
        <f>'Adani Enterprises'!AE451</f>
        <v>0</v>
      </c>
      <c r="AF451" s="48">
        <f>'Adani Enterprises'!AF451</f>
        <v>0</v>
      </c>
      <c r="AG451" s="48">
        <f>'Adani Enterprises'!AG451</f>
        <v>0</v>
      </c>
      <c r="AH451" s="48">
        <f>'Adani Enterprises'!AH451</f>
        <v>0</v>
      </c>
      <c r="AI451" s="48">
        <f>'Adani Enterprises'!AI451</f>
        <v>0</v>
      </c>
      <c r="AJ451" s="48">
        <f>'Adani Enterprises'!AJ451</f>
        <v>0</v>
      </c>
      <c r="AK451" s="48">
        <f>'Adani Enterprises'!AK451</f>
        <v>0</v>
      </c>
      <c r="AL451" s="48">
        <f>'Adani Enterprises'!AL451</f>
        <v>0</v>
      </c>
    </row>
    <row r="452" customHeight="1" spans="1:38">
      <c r="A452" s="48">
        <f>'Adani Enterprises'!A452</f>
        <v>0</v>
      </c>
      <c r="B452" s="48">
        <f>'Adani Enterprises'!B452</f>
        <v>0</v>
      </c>
      <c r="C452" s="48">
        <f>'Adani Enterprises'!C452</f>
        <v>0</v>
      </c>
      <c r="D452" s="48">
        <f>'Adani Enterprises'!D452</f>
        <v>0</v>
      </c>
      <c r="E452" s="48">
        <f>'Adani Enterprises'!E452</f>
        <v>0</v>
      </c>
      <c r="F452" s="48">
        <f>'Adani Enterprises'!F452</f>
        <v>0</v>
      </c>
      <c r="G452" s="48">
        <f>'Adani Enterprises'!G452</f>
        <v>0</v>
      </c>
      <c r="H452" s="48">
        <f>'Adani Enterprises'!H452</f>
        <v>0</v>
      </c>
      <c r="I452" s="48">
        <f>'Adani Enterprises'!I452</f>
        <v>0</v>
      </c>
      <c r="J452" s="48">
        <f>'Adani Enterprises'!J452</f>
        <v>0</v>
      </c>
      <c r="K452" s="48">
        <f>'Adani Enterprises'!K452</f>
        <v>0</v>
      </c>
      <c r="L452" s="48">
        <f>'Adani Enterprises'!L452</f>
        <v>0</v>
      </c>
      <c r="M452" s="48">
        <f>'Adani Enterprises'!M452</f>
        <v>0</v>
      </c>
      <c r="N452" s="48">
        <f>'Adani Enterprises'!N452</f>
        <v>0</v>
      </c>
      <c r="O452" s="48">
        <f>'Adani Enterprises'!O452</f>
        <v>0</v>
      </c>
      <c r="P452" s="48">
        <f>'Adani Enterprises'!P452</f>
        <v>0</v>
      </c>
      <c r="Q452" s="48">
        <f>'Adani Enterprises'!Q452</f>
        <v>0</v>
      </c>
      <c r="R452" s="48">
        <f>'Adani Enterprises'!R452</f>
        <v>0</v>
      </c>
      <c r="S452" s="48">
        <f>'Adani Enterprises'!S452</f>
        <v>0</v>
      </c>
      <c r="T452" s="48">
        <f>'Adani Enterprises'!T452</f>
        <v>0</v>
      </c>
      <c r="U452" s="48">
        <f>'Adani Enterprises'!U452</f>
        <v>0</v>
      </c>
      <c r="V452" s="48">
        <f>'Adani Enterprises'!V452</f>
        <v>0</v>
      </c>
      <c r="W452" s="48">
        <f>'Adani Enterprises'!W452</f>
        <v>0</v>
      </c>
      <c r="X452" s="48">
        <f>'Adani Enterprises'!X452</f>
        <v>0</v>
      </c>
      <c r="Y452" s="48">
        <f>'Adani Enterprises'!Y452</f>
        <v>0</v>
      </c>
      <c r="Z452" s="48">
        <f>'Adani Enterprises'!Z452</f>
        <v>0</v>
      </c>
      <c r="AA452" s="48">
        <f>'Adani Enterprises'!AA452</f>
        <v>0</v>
      </c>
      <c r="AB452" s="48">
        <f>'Adani Enterprises'!AB452</f>
        <v>0</v>
      </c>
      <c r="AC452" s="48">
        <f>'Adani Enterprises'!AC452</f>
        <v>0</v>
      </c>
      <c r="AD452" s="48">
        <f>'Adani Enterprises'!AD452</f>
        <v>0</v>
      </c>
      <c r="AE452" s="48">
        <f>'Adani Enterprises'!AE452</f>
        <v>0</v>
      </c>
      <c r="AF452" s="48">
        <f>'Adani Enterprises'!AF452</f>
        <v>0</v>
      </c>
      <c r="AG452" s="48">
        <f>'Adani Enterprises'!AG452</f>
        <v>0</v>
      </c>
      <c r="AH452" s="48">
        <f>'Adani Enterprises'!AH452</f>
        <v>0</v>
      </c>
      <c r="AI452" s="48">
        <f>'Adani Enterprises'!AI452</f>
        <v>0</v>
      </c>
      <c r="AJ452" s="48">
        <f>'Adani Enterprises'!AJ452</f>
        <v>0</v>
      </c>
      <c r="AK452" s="48">
        <f>'Adani Enterprises'!AK452</f>
        <v>0</v>
      </c>
      <c r="AL452" s="48">
        <f>'Adani Enterprises'!AL452</f>
        <v>0</v>
      </c>
    </row>
    <row r="453" customHeight="1" spans="1:38">
      <c r="A453" s="48">
        <f>'Adani Enterprises'!A453</f>
        <v>0</v>
      </c>
      <c r="B453" s="48">
        <f>'Adani Enterprises'!B453</f>
        <v>0</v>
      </c>
      <c r="C453" s="48">
        <f>'Adani Enterprises'!C453</f>
        <v>0</v>
      </c>
      <c r="D453" s="48">
        <f>'Adani Enterprises'!D453</f>
        <v>0</v>
      </c>
      <c r="E453" s="48">
        <f>'Adani Enterprises'!E453</f>
        <v>0</v>
      </c>
      <c r="F453" s="48">
        <f>'Adani Enterprises'!F453</f>
        <v>0</v>
      </c>
      <c r="G453" s="48">
        <f>'Adani Enterprises'!G453</f>
        <v>0</v>
      </c>
      <c r="H453" s="48">
        <f>'Adani Enterprises'!H453</f>
        <v>0</v>
      </c>
      <c r="I453" s="48">
        <f>'Adani Enterprises'!I453</f>
        <v>0</v>
      </c>
      <c r="J453" s="48">
        <f>'Adani Enterprises'!J453</f>
        <v>0</v>
      </c>
      <c r="K453" s="48">
        <f>'Adani Enterprises'!K453</f>
        <v>0</v>
      </c>
      <c r="L453" s="48">
        <f>'Adani Enterprises'!L453</f>
        <v>0</v>
      </c>
      <c r="M453" s="48">
        <f>'Adani Enterprises'!M453</f>
        <v>0</v>
      </c>
      <c r="N453" s="48">
        <f>'Adani Enterprises'!N453</f>
        <v>0</v>
      </c>
      <c r="O453" s="48">
        <f>'Adani Enterprises'!O453</f>
        <v>0</v>
      </c>
      <c r="P453" s="48">
        <f>'Adani Enterprises'!P453</f>
        <v>0</v>
      </c>
      <c r="Q453" s="48">
        <f>'Adani Enterprises'!Q453</f>
        <v>0</v>
      </c>
      <c r="R453" s="48">
        <f>'Adani Enterprises'!R453</f>
        <v>0</v>
      </c>
      <c r="S453" s="48">
        <f>'Adani Enterprises'!S453</f>
        <v>0</v>
      </c>
      <c r="T453" s="48">
        <f>'Adani Enterprises'!T453</f>
        <v>0</v>
      </c>
      <c r="U453" s="48">
        <f>'Adani Enterprises'!U453</f>
        <v>0</v>
      </c>
      <c r="V453" s="48">
        <f>'Adani Enterprises'!V453</f>
        <v>0</v>
      </c>
      <c r="W453" s="48">
        <f>'Adani Enterprises'!W453</f>
        <v>0</v>
      </c>
      <c r="X453" s="48">
        <f>'Adani Enterprises'!X453</f>
        <v>0</v>
      </c>
      <c r="Y453" s="48">
        <f>'Adani Enterprises'!Y453</f>
        <v>0</v>
      </c>
      <c r="Z453" s="48">
        <f>'Adani Enterprises'!Z453</f>
        <v>0</v>
      </c>
      <c r="AA453" s="48">
        <f>'Adani Enterprises'!AA453</f>
        <v>0</v>
      </c>
      <c r="AB453" s="48">
        <f>'Adani Enterprises'!AB453</f>
        <v>0</v>
      </c>
      <c r="AC453" s="48">
        <f>'Adani Enterprises'!AC453</f>
        <v>0</v>
      </c>
      <c r="AD453" s="48">
        <f>'Adani Enterprises'!AD453</f>
        <v>0</v>
      </c>
      <c r="AE453" s="48">
        <f>'Adani Enterprises'!AE453</f>
        <v>0</v>
      </c>
      <c r="AF453" s="48">
        <f>'Adani Enterprises'!AF453</f>
        <v>0</v>
      </c>
      <c r="AG453" s="48">
        <f>'Adani Enterprises'!AG453</f>
        <v>0</v>
      </c>
      <c r="AH453" s="48">
        <f>'Adani Enterprises'!AH453</f>
        <v>0</v>
      </c>
      <c r="AI453" s="48">
        <f>'Adani Enterprises'!AI453</f>
        <v>0</v>
      </c>
      <c r="AJ453" s="48">
        <f>'Adani Enterprises'!AJ453</f>
        <v>0</v>
      </c>
      <c r="AK453" s="48">
        <f>'Adani Enterprises'!AK453</f>
        <v>0</v>
      </c>
      <c r="AL453" s="48">
        <f>'Adani Enterprises'!AL453</f>
        <v>0</v>
      </c>
    </row>
    <row r="454" customHeight="1" spans="1:38">
      <c r="A454" s="48">
        <f>'Adani Enterprises'!A454</f>
        <v>0</v>
      </c>
      <c r="B454" s="48">
        <f>'Adani Enterprises'!B454</f>
        <v>0</v>
      </c>
      <c r="C454" s="48">
        <f>'Adani Enterprises'!C454</f>
        <v>0</v>
      </c>
      <c r="D454" s="48">
        <f>'Adani Enterprises'!D454</f>
        <v>0</v>
      </c>
      <c r="E454" s="48">
        <f>'Adani Enterprises'!E454</f>
        <v>0</v>
      </c>
      <c r="F454" s="48">
        <f>'Adani Enterprises'!F454</f>
        <v>0</v>
      </c>
      <c r="G454" s="48">
        <f>'Adani Enterprises'!G454</f>
        <v>0</v>
      </c>
      <c r="H454" s="48">
        <f>'Adani Enterprises'!H454</f>
        <v>0</v>
      </c>
      <c r="I454" s="48">
        <f>'Adani Enterprises'!I454</f>
        <v>0</v>
      </c>
      <c r="J454" s="48">
        <f>'Adani Enterprises'!J454</f>
        <v>0</v>
      </c>
      <c r="K454" s="48">
        <f>'Adani Enterprises'!K454</f>
        <v>0</v>
      </c>
      <c r="L454" s="48">
        <f>'Adani Enterprises'!L454</f>
        <v>0</v>
      </c>
      <c r="M454" s="48">
        <f>'Adani Enterprises'!M454</f>
        <v>0</v>
      </c>
      <c r="N454" s="48">
        <f>'Adani Enterprises'!N454</f>
        <v>0</v>
      </c>
      <c r="O454" s="48">
        <f>'Adani Enterprises'!O454</f>
        <v>0</v>
      </c>
      <c r="P454" s="48">
        <f>'Adani Enterprises'!P454</f>
        <v>0</v>
      </c>
      <c r="Q454" s="48">
        <f>'Adani Enterprises'!Q454</f>
        <v>0</v>
      </c>
      <c r="R454" s="48">
        <f>'Adani Enterprises'!R454</f>
        <v>0</v>
      </c>
      <c r="S454" s="48">
        <f>'Adani Enterprises'!S454</f>
        <v>0</v>
      </c>
      <c r="T454" s="48">
        <f>'Adani Enterprises'!T454</f>
        <v>0</v>
      </c>
      <c r="U454" s="48">
        <f>'Adani Enterprises'!U454</f>
        <v>0</v>
      </c>
      <c r="V454" s="48">
        <f>'Adani Enterprises'!V454</f>
        <v>0</v>
      </c>
      <c r="W454" s="48">
        <f>'Adani Enterprises'!W454</f>
        <v>0</v>
      </c>
      <c r="X454" s="48">
        <f>'Adani Enterprises'!X454</f>
        <v>0</v>
      </c>
      <c r="Y454" s="48">
        <f>'Adani Enterprises'!Y454</f>
        <v>0</v>
      </c>
      <c r="Z454" s="48">
        <f>'Adani Enterprises'!Z454</f>
        <v>0</v>
      </c>
      <c r="AA454" s="48">
        <f>'Adani Enterprises'!AA454</f>
        <v>0</v>
      </c>
      <c r="AB454" s="48">
        <f>'Adani Enterprises'!AB454</f>
        <v>0</v>
      </c>
      <c r="AC454" s="48">
        <f>'Adani Enterprises'!AC454</f>
        <v>0</v>
      </c>
      <c r="AD454" s="48">
        <f>'Adani Enterprises'!AD454</f>
        <v>0</v>
      </c>
      <c r="AE454" s="48">
        <f>'Adani Enterprises'!AE454</f>
        <v>0</v>
      </c>
      <c r="AF454" s="48">
        <f>'Adani Enterprises'!AF454</f>
        <v>0</v>
      </c>
      <c r="AG454" s="48">
        <f>'Adani Enterprises'!AG454</f>
        <v>0</v>
      </c>
      <c r="AH454" s="48">
        <f>'Adani Enterprises'!AH454</f>
        <v>0</v>
      </c>
      <c r="AI454" s="48">
        <f>'Adani Enterprises'!AI454</f>
        <v>0</v>
      </c>
      <c r="AJ454" s="48">
        <f>'Adani Enterprises'!AJ454</f>
        <v>0</v>
      </c>
      <c r="AK454" s="48">
        <f>'Adani Enterprises'!AK454</f>
        <v>0</v>
      </c>
      <c r="AL454" s="48">
        <f>'Adani Enterprises'!AL454</f>
        <v>0</v>
      </c>
    </row>
    <row r="455" customHeight="1" spans="1:38">
      <c r="A455" s="48">
        <f>'Adani Enterprises'!A455</f>
        <v>0</v>
      </c>
      <c r="B455" s="48">
        <f>'Adani Enterprises'!B455</f>
        <v>0</v>
      </c>
      <c r="C455" s="48">
        <f>'Adani Enterprises'!C455</f>
        <v>0</v>
      </c>
      <c r="D455" s="48">
        <f>'Adani Enterprises'!D455</f>
        <v>0</v>
      </c>
      <c r="E455" s="48">
        <f>'Adani Enterprises'!E455</f>
        <v>0</v>
      </c>
      <c r="F455" s="48">
        <f>'Adani Enterprises'!F455</f>
        <v>0</v>
      </c>
      <c r="G455" s="48">
        <f>'Adani Enterprises'!G455</f>
        <v>0</v>
      </c>
      <c r="H455" s="48">
        <f>'Adani Enterprises'!H455</f>
        <v>0</v>
      </c>
      <c r="I455" s="48">
        <f>'Adani Enterprises'!I455</f>
        <v>0</v>
      </c>
      <c r="J455" s="48">
        <f>'Adani Enterprises'!J455</f>
        <v>0</v>
      </c>
      <c r="K455" s="48">
        <f>'Adani Enterprises'!K455</f>
        <v>0</v>
      </c>
      <c r="L455" s="48">
        <f>'Adani Enterprises'!L455</f>
        <v>0</v>
      </c>
      <c r="M455" s="48">
        <f>'Adani Enterprises'!M455</f>
        <v>0</v>
      </c>
      <c r="N455" s="48">
        <f>'Adani Enterprises'!N455</f>
        <v>0</v>
      </c>
      <c r="O455" s="48">
        <f>'Adani Enterprises'!O455</f>
        <v>0</v>
      </c>
      <c r="P455" s="48">
        <f>'Adani Enterprises'!P455</f>
        <v>0</v>
      </c>
      <c r="Q455" s="48">
        <f>'Adani Enterprises'!Q455</f>
        <v>0</v>
      </c>
      <c r="R455" s="48">
        <f>'Adani Enterprises'!R455</f>
        <v>0</v>
      </c>
      <c r="S455" s="48">
        <f>'Adani Enterprises'!S455</f>
        <v>0</v>
      </c>
      <c r="T455" s="48">
        <f>'Adani Enterprises'!T455</f>
        <v>0</v>
      </c>
      <c r="U455" s="48">
        <f>'Adani Enterprises'!U455</f>
        <v>0</v>
      </c>
      <c r="V455" s="48">
        <f>'Adani Enterprises'!V455</f>
        <v>0</v>
      </c>
      <c r="W455" s="48">
        <f>'Adani Enterprises'!W455</f>
        <v>0</v>
      </c>
      <c r="X455" s="48">
        <f>'Adani Enterprises'!X455</f>
        <v>0</v>
      </c>
      <c r="Y455" s="48">
        <f>'Adani Enterprises'!Y455</f>
        <v>0</v>
      </c>
      <c r="Z455" s="48">
        <f>'Adani Enterprises'!Z455</f>
        <v>0</v>
      </c>
      <c r="AA455" s="48">
        <f>'Adani Enterprises'!AA455</f>
        <v>0</v>
      </c>
      <c r="AB455" s="48">
        <f>'Adani Enterprises'!AB455</f>
        <v>0</v>
      </c>
      <c r="AC455" s="48">
        <f>'Adani Enterprises'!AC455</f>
        <v>0</v>
      </c>
      <c r="AD455" s="48">
        <f>'Adani Enterprises'!AD455</f>
        <v>0</v>
      </c>
      <c r="AE455" s="48">
        <f>'Adani Enterprises'!AE455</f>
        <v>0</v>
      </c>
      <c r="AF455" s="48">
        <f>'Adani Enterprises'!AF455</f>
        <v>0</v>
      </c>
      <c r="AG455" s="48">
        <f>'Adani Enterprises'!AG455</f>
        <v>0</v>
      </c>
      <c r="AH455" s="48">
        <f>'Adani Enterprises'!AH455</f>
        <v>0</v>
      </c>
      <c r="AI455" s="48">
        <f>'Adani Enterprises'!AI455</f>
        <v>0</v>
      </c>
      <c r="AJ455" s="48">
        <f>'Adani Enterprises'!AJ455</f>
        <v>0</v>
      </c>
      <c r="AK455" s="48">
        <f>'Adani Enterprises'!AK455</f>
        <v>0</v>
      </c>
      <c r="AL455" s="48">
        <f>'Adani Enterprises'!AL455</f>
        <v>0</v>
      </c>
    </row>
    <row r="456" customHeight="1" spans="1:38">
      <c r="A456" s="48">
        <f>'Adani Enterprises'!A456</f>
        <v>0</v>
      </c>
      <c r="B456" s="48">
        <f>'Adani Enterprises'!B456</f>
        <v>0</v>
      </c>
      <c r="C456" s="48">
        <f>'Adani Enterprises'!C456</f>
        <v>0</v>
      </c>
      <c r="D456" s="48">
        <f>'Adani Enterprises'!D456</f>
        <v>0</v>
      </c>
      <c r="E456" s="48">
        <f>'Adani Enterprises'!E456</f>
        <v>0</v>
      </c>
      <c r="F456" s="48">
        <f>'Adani Enterprises'!F456</f>
        <v>0</v>
      </c>
      <c r="G456" s="48">
        <f>'Adani Enterprises'!G456</f>
        <v>0</v>
      </c>
      <c r="H456" s="48">
        <f>'Adani Enterprises'!H456</f>
        <v>0</v>
      </c>
      <c r="I456" s="48">
        <f>'Adani Enterprises'!I456</f>
        <v>0</v>
      </c>
      <c r="J456" s="48">
        <f>'Adani Enterprises'!J456</f>
        <v>0</v>
      </c>
      <c r="K456" s="48">
        <f>'Adani Enterprises'!K456</f>
        <v>0</v>
      </c>
      <c r="L456" s="48">
        <f>'Adani Enterprises'!L456</f>
        <v>0</v>
      </c>
      <c r="M456" s="48">
        <f>'Adani Enterprises'!M456</f>
        <v>0</v>
      </c>
      <c r="N456" s="48">
        <f>'Adani Enterprises'!N456</f>
        <v>0</v>
      </c>
      <c r="O456" s="48">
        <f>'Adani Enterprises'!O456</f>
        <v>0</v>
      </c>
      <c r="P456" s="48">
        <f>'Adani Enterprises'!P456</f>
        <v>0</v>
      </c>
      <c r="Q456" s="48">
        <f>'Adani Enterprises'!Q456</f>
        <v>0</v>
      </c>
      <c r="R456" s="48">
        <f>'Adani Enterprises'!R456</f>
        <v>0</v>
      </c>
      <c r="S456" s="48">
        <f>'Adani Enterprises'!S456</f>
        <v>0</v>
      </c>
      <c r="T456" s="48">
        <f>'Adani Enterprises'!T456</f>
        <v>0</v>
      </c>
      <c r="U456" s="48">
        <f>'Adani Enterprises'!U456</f>
        <v>0</v>
      </c>
      <c r="V456" s="48">
        <f>'Adani Enterprises'!V456</f>
        <v>0</v>
      </c>
      <c r="W456" s="48">
        <f>'Adani Enterprises'!W456</f>
        <v>0</v>
      </c>
      <c r="X456" s="48">
        <f>'Adani Enterprises'!X456</f>
        <v>0</v>
      </c>
      <c r="Y456" s="48">
        <f>'Adani Enterprises'!Y456</f>
        <v>0</v>
      </c>
      <c r="Z456" s="48">
        <f>'Adani Enterprises'!Z456</f>
        <v>0</v>
      </c>
      <c r="AA456" s="48">
        <f>'Adani Enterprises'!AA456</f>
        <v>0</v>
      </c>
      <c r="AB456" s="48">
        <f>'Adani Enterprises'!AB456</f>
        <v>0</v>
      </c>
      <c r="AC456" s="48">
        <f>'Adani Enterprises'!AC456</f>
        <v>0</v>
      </c>
      <c r="AD456" s="48">
        <f>'Adani Enterprises'!AD456</f>
        <v>0</v>
      </c>
      <c r="AE456" s="48">
        <f>'Adani Enterprises'!AE456</f>
        <v>0</v>
      </c>
      <c r="AF456" s="48">
        <f>'Adani Enterprises'!AF456</f>
        <v>0</v>
      </c>
      <c r="AG456" s="48">
        <f>'Adani Enterprises'!AG456</f>
        <v>0</v>
      </c>
      <c r="AH456" s="48">
        <f>'Adani Enterprises'!AH456</f>
        <v>0</v>
      </c>
      <c r="AI456" s="48">
        <f>'Adani Enterprises'!AI456</f>
        <v>0</v>
      </c>
      <c r="AJ456" s="48">
        <f>'Adani Enterprises'!AJ456</f>
        <v>0</v>
      </c>
      <c r="AK456" s="48">
        <f>'Adani Enterprises'!AK456</f>
        <v>0</v>
      </c>
      <c r="AL456" s="48">
        <f>'Adani Enterprises'!AL456</f>
        <v>0</v>
      </c>
    </row>
    <row r="457" customHeight="1" spans="1:38">
      <c r="A457" s="48">
        <f>'Adani Enterprises'!A457</f>
        <v>0</v>
      </c>
      <c r="B457" s="48">
        <f>'Adani Enterprises'!B457</f>
        <v>0</v>
      </c>
      <c r="C457" s="48">
        <f>'Adani Enterprises'!C457</f>
        <v>0</v>
      </c>
      <c r="D457" s="48">
        <f>'Adani Enterprises'!D457</f>
        <v>0</v>
      </c>
      <c r="E457" s="48">
        <f>'Adani Enterprises'!E457</f>
        <v>0</v>
      </c>
      <c r="F457" s="48">
        <f>'Adani Enterprises'!F457</f>
        <v>0</v>
      </c>
      <c r="G457" s="48">
        <f>'Adani Enterprises'!G457</f>
        <v>0</v>
      </c>
      <c r="H457" s="48">
        <f>'Adani Enterprises'!H457</f>
        <v>0</v>
      </c>
      <c r="I457" s="48">
        <f>'Adani Enterprises'!I457</f>
        <v>0</v>
      </c>
      <c r="J457" s="48">
        <f>'Adani Enterprises'!J457</f>
        <v>0</v>
      </c>
      <c r="K457" s="48">
        <f>'Adani Enterprises'!K457</f>
        <v>0</v>
      </c>
      <c r="L457" s="48">
        <f>'Adani Enterprises'!L457</f>
        <v>0</v>
      </c>
      <c r="M457" s="48">
        <f>'Adani Enterprises'!M457</f>
        <v>0</v>
      </c>
      <c r="N457" s="48">
        <f>'Adani Enterprises'!N457</f>
        <v>0</v>
      </c>
      <c r="O457" s="48">
        <f>'Adani Enterprises'!O457</f>
        <v>0</v>
      </c>
      <c r="P457" s="48">
        <f>'Adani Enterprises'!P457</f>
        <v>0</v>
      </c>
      <c r="Q457" s="48">
        <f>'Adani Enterprises'!Q457</f>
        <v>0</v>
      </c>
      <c r="R457" s="48">
        <f>'Adani Enterprises'!R457</f>
        <v>0</v>
      </c>
      <c r="S457" s="48">
        <f>'Adani Enterprises'!S457</f>
        <v>0</v>
      </c>
      <c r="T457" s="48">
        <f>'Adani Enterprises'!T457</f>
        <v>0</v>
      </c>
      <c r="U457" s="48">
        <f>'Adani Enterprises'!U457</f>
        <v>0</v>
      </c>
      <c r="V457" s="48">
        <f>'Adani Enterprises'!V457</f>
        <v>0</v>
      </c>
      <c r="W457" s="48">
        <f>'Adani Enterprises'!W457</f>
        <v>0</v>
      </c>
      <c r="X457" s="48">
        <f>'Adani Enterprises'!X457</f>
        <v>0</v>
      </c>
      <c r="Y457" s="48">
        <f>'Adani Enterprises'!Y457</f>
        <v>0</v>
      </c>
      <c r="Z457" s="48">
        <f>'Adani Enterprises'!Z457</f>
        <v>0</v>
      </c>
      <c r="AA457" s="48">
        <f>'Adani Enterprises'!AA457</f>
        <v>0</v>
      </c>
      <c r="AB457" s="48">
        <f>'Adani Enterprises'!AB457</f>
        <v>0</v>
      </c>
      <c r="AC457" s="48">
        <f>'Adani Enterprises'!AC457</f>
        <v>0</v>
      </c>
      <c r="AD457" s="48">
        <f>'Adani Enterprises'!AD457</f>
        <v>0</v>
      </c>
      <c r="AE457" s="48">
        <f>'Adani Enterprises'!AE457</f>
        <v>0</v>
      </c>
      <c r="AF457" s="48">
        <f>'Adani Enterprises'!AF457</f>
        <v>0</v>
      </c>
      <c r="AG457" s="48">
        <f>'Adani Enterprises'!AG457</f>
        <v>0</v>
      </c>
      <c r="AH457" s="48">
        <f>'Adani Enterprises'!AH457</f>
        <v>0</v>
      </c>
      <c r="AI457" s="48">
        <f>'Adani Enterprises'!AI457</f>
        <v>0</v>
      </c>
      <c r="AJ457" s="48">
        <f>'Adani Enterprises'!AJ457</f>
        <v>0</v>
      </c>
      <c r="AK457" s="48">
        <f>'Adani Enterprises'!AK457</f>
        <v>0</v>
      </c>
      <c r="AL457" s="48">
        <f>'Adani Enterprises'!AL457</f>
        <v>0</v>
      </c>
    </row>
    <row r="458" customHeight="1" spans="1:38">
      <c r="A458" s="48">
        <f>'Adani Enterprises'!A458</f>
        <v>0</v>
      </c>
      <c r="B458" s="48">
        <f>'Adani Enterprises'!B458</f>
        <v>0</v>
      </c>
      <c r="C458" s="48">
        <f>'Adani Enterprises'!C458</f>
        <v>0</v>
      </c>
      <c r="D458" s="48">
        <f>'Adani Enterprises'!D458</f>
        <v>0</v>
      </c>
      <c r="E458" s="48">
        <f>'Adani Enterprises'!E458</f>
        <v>0</v>
      </c>
      <c r="F458" s="48">
        <f>'Adani Enterprises'!F458</f>
        <v>0</v>
      </c>
      <c r="G458" s="48">
        <f>'Adani Enterprises'!G458</f>
        <v>0</v>
      </c>
      <c r="H458" s="48">
        <f>'Adani Enterprises'!H458</f>
        <v>0</v>
      </c>
      <c r="I458" s="48">
        <f>'Adani Enterprises'!I458</f>
        <v>0</v>
      </c>
      <c r="J458" s="48">
        <f>'Adani Enterprises'!J458</f>
        <v>0</v>
      </c>
      <c r="K458" s="48">
        <f>'Adani Enterprises'!K458</f>
        <v>0</v>
      </c>
      <c r="L458" s="48">
        <f>'Adani Enterprises'!L458</f>
        <v>0</v>
      </c>
      <c r="M458" s="48">
        <f>'Adani Enterprises'!M458</f>
        <v>0</v>
      </c>
      <c r="N458" s="48">
        <f>'Adani Enterprises'!N458</f>
        <v>0</v>
      </c>
      <c r="O458" s="48">
        <f>'Adani Enterprises'!O458</f>
        <v>0</v>
      </c>
      <c r="P458" s="48">
        <f>'Adani Enterprises'!P458</f>
        <v>0</v>
      </c>
      <c r="Q458" s="48">
        <f>'Adani Enterprises'!Q458</f>
        <v>0</v>
      </c>
      <c r="R458" s="48">
        <f>'Adani Enterprises'!R458</f>
        <v>0</v>
      </c>
      <c r="S458" s="48">
        <f>'Adani Enterprises'!S458</f>
        <v>0</v>
      </c>
      <c r="T458" s="48">
        <f>'Adani Enterprises'!T458</f>
        <v>0</v>
      </c>
      <c r="U458" s="48">
        <f>'Adani Enterprises'!U458</f>
        <v>0</v>
      </c>
      <c r="V458" s="48">
        <f>'Adani Enterprises'!V458</f>
        <v>0</v>
      </c>
      <c r="W458" s="48">
        <f>'Adani Enterprises'!W458</f>
        <v>0</v>
      </c>
      <c r="X458" s="48">
        <f>'Adani Enterprises'!X458</f>
        <v>0</v>
      </c>
      <c r="Y458" s="48">
        <f>'Adani Enterprises'!Y458</f>
        <v>0</v>
      </c>
      <c r="Z458" s="48">
        <f>'Adani Enterprises'!Z458</f>
        <v>0</v>
      </c>
      <c r="AA458" s="48">
        <f>'Adani Enterprises'!AA458</f>
        <v>0</v>
      </c>
      <c r="AB458" s="48">
        <f>'Adani Enterprises'!AB458</f>
        <v>0</v>
      </c>
      <c r="AC458" s="48">
        <f>'Adani Enterprises'!AC458</f>
        <v>0</v>
      </c>
      <c r="AD458" s="48">
        <f>'Adani Enterprises'!AD458</f>
        <v>0</v>
      </c>
      <c r="AE458" s="48">
        <f>'Adani Enterprises'!AE458</f>
        <v>0</v>
      </c>
      <c r="AF458" s="48">
        <f>'Adani Enterprises'!AF458</f>
        <v>0</v>
      </c>
      <c r="AG458" s="48">
        <f>'Adani Enterprises'!AG458</f>
        <v>0</v>
      </c>
      <c r="AH458" s="48">
        <f>'Adani Enterprises'!AH458</f>
        <v>0</v>
      </c>
      <c r="AI458" s="48">
        <f>'Adani Enterprises'!AI458</f>
        <v>0</v>
      </c>
      <c r="AJ458" s="48">
        <f>'Adani Enterprises'!AJ458</f>
        <v>0</v>
      </c>
      <c r="AK458" s="48">
        <f>'Adani Enterprises'!AK458</f>
        <v>0</v>
      </c>
      <c r="AL458" s="48">
        <f>'Adani Enterprises'!AL458</f>
        <v>0</v>
      </c>
    </row>
    <row r="459" customHeight="1" spans="1:38">
      <c r="A459" s="48">
        <f>'Adani Enterprises'!A459</f>
        <v>0</v>
      </c>
      <c r="B459" s="48">
        <f>'Adani Enterprises'!B459</f>
        <v>0</v>
      </c>
      <c r="C459" s="48">
        <f>'Adani Enterprises'!C459</f>
        <v>0</v>
      </c>
      <c r="D459" s="48">
        <f>'Adani Enterprises'!D459</f>
        <v>0</v>
      </c>
      <c r="E459" s="48">
        <f>'Adani Enterprises'!E459</f>
        <v>0</v>
      </c>
      <c r="F459" s="48">
        <f>'Adani Enterprises'!F459</f>
        <v>0</v>
      </c>
      <c r="G459" s="48">
        <f>'Adani Enterprises'!G459</f>
        <v>0</v>
      </c>
      <c r="H459" s="48">
        <f>'Adani Enterprises'!H459</f>
        <v>0</v>
      </c>
      <c r="I459" s="48">
        <f>'Adani Enterprises'!I459</f>
        <v>0</v>
      </c>
      <c r="J459" s="48">
        <f>'Adani Enterprises'!J459</f>
        <v>0</v>
      </c>
      <c r="K459" s="48">
        <f>'Adani Enterprises'!K459</f>
        <v>0</v>
      </c>
      <c r="L459" s="48">
        <f>'Adani Enterprises'!L459</f>
        <v>0</v>
      </c>
      <c r="M459" s="48">
        <f>'Adani Enterprises'!M459</f>
        <v>0</v>
      </c>
      <c r="N459" s="48">
        <f>'Adani Enterprises'!N459</f>
        <v>0</v>
      </c>
      <c r="O459" s="48">
        <f>'Adani Enterprises'!O459</f>
        <v>0</v>
      </c>
      <c r="P459" s="48">
        <f>'Adani Enterprises'!P459</f>
        <v>0</v>
      </c>
      <c r="Q459" s="48">
        <f>'Adani Enterprises'!Q459</f>
        <v>0</v>
      </c>
      <c r="R459" s="48">
        <f>'Adani Enterprises'!R459</f>
        <v>0</v>
      </c>
      <c r="S459" s="48">
        <f>'Adani Enterprises'!S459</f>
        <v>0</v>
      </c>
      <c r="T459" s="48">
        <f>'Adani Enterprises'!T459</f>
        <v>0</v>
      </c>
      <c r="U459" s="48">
        <f>'Adani Enterprises'!U459</f>
        <v>0</v>
      </c>
      <c r="V459" s="48">
        <f>'Adani Enterprises'!V459</f>
        <v>0</v>
      </c>
      <c r="W459" s="48">
        <f>'Adani Enterprises'!W459</f>
        <v>0</v>
      </c>
      <c r="X459" s="48">
        <f>'Adani Enterprises'!X459</f>
        <v>0</v>
      </c>
      <c r="Y459" s="48">
        <f>'Adani Enterprises'!Y459</f>
        <v>0</v>
      </c>
      <c r="Z459" s="48">
        <f>'Adani Enterprises'!Z459</f>
        <v>0</v>
      </c>
      <c r="AA459" s="48">
        <f>'Adani Enterprises'!AA459</f>
        <v>0</v>
      </c>
      <c r="AB459" s="48">
        <f>'Adani Enterprises'!AB459</f>
        <v>0</v>
      </c>
      <c r="AC459" s="48">
        <f>'Adani Enterprises'!AC459</f>
        <v>0</v>
      </c>
      <c r="AD459" s="48">
        <f>'Adani Enterprises'!AD459</f>
        <v>0</v>
      </c>
      <c r="AE459" s="48">
        <f>'Adani Enterprises'!AE459</f>
        <v>0</v>
      </c>
      <c r="AF459" s="48">
        <f>'Adani Enterprises'!AF459</f>
        <v>0</v>
      </c>
      <c r="AG459" s="48">
        <f>'Adani Enterprises'!AG459</f>
        <v>0</v>
      </c>
      <c r="AH459" s="48">
        <f>'Adani Enterprises'!AH459</f>
        <v>0</v>
      </c>
      <c r="AI459" s="48">
        <f>'Adani Enterprises'!AI459</f>
        <v>0</v>
      </c>
      <c r="AJ459" s="48">
        <f>'Adani Enterprises'!AJ459</f>
        <v>0</v>
      </c>
      <c r="AK459" s="48">
        <f>'Adani Enterprises'!AK459</f>
        <v>0</v>
      </c>
      <c r="AL459" s="48">
        <f>'Adani Enterprises'!AL459</f>
        <v>0</v>
      </c>
    </row>
    <row r="460" customHeight="1" spans="1:38">
      <c r="A460" s="48">
        <f>'Adani Enterprises'!A460</f>
        <v>0</v>
      </c>
      <c r="B460" s="48">
        <f>'Adani Enterprises'!B460</f>
        <v>0</v>
      </c>
      <c r="C460" s="48">
        <f>'Adani Enterprises'!C460</f>
        <v>0</v>
      </c>
      <c r="D460" s="48">
        <f>'Adani Enterprises'!D460</f>
        <v>0</v>
      </c>
      <c r="E460" s="48">
        <f>'Adani Enterprises'!E460</f>
        <v>0</v>
      </c>
      <c r="F460" s="48">
        <f>'Adani Enterprises'!F460</f>
        <v>0</v>
      </c>
      <c r="G460" s="48">
        <f>'Adani Enterprises'!G460</f>
        <v>0</v>
      </c>
      <c r="H460" s="48">
        <f>'Adani Enterprises'!H460</f>
        <v>0</v>
      </c>
      <c r="I460" s="48">
        <f>'Adani Enterprises'!I460</f>
        <v>0</v>
      </c>
      <c r="J460" s="48">
        <f>'Adani Enterprises'!J460</f>
        <v>0</v>
      </c>
      <c r="K460" s="48">
        <f>'Adani Enterprises'!K460</f>
        <v>0</v>
      </c>
      <c r="L460" s="48">
        <f>'Adani Enterprises'!L460</f>
        <v>0</v>
      </c>
      <c r="M460" s="48">
        <f>'Adani Enterprises'!M460</f>
        <v>0</v>
      </c>
      <c r="N460" s="48">
        <f>'Adani Enterprises'!N460</f>
        <v>0</v>
      </c>
      <c r="O460" s="48">
        <f>'Adani Enterprises'!O460</f>
        <v>0</v>
      </c>
      <c r="P460" s="48">
        <f>'Adani Enterprises'!P460</f>
        <v>0</v>
      </c>
      <c r="Q460" s="48">
        <f>'Adani Enterprises'!Q460</f>
        <v>0</v>
      </c>
      <c r="R460" s="48">
        <f>'Adani Enterprises'!R460</f>
        <v>0</v>
      </c>
      <c r="S460" s="48">
        <f>'Adani Enterprises'!S460</f>
        <v>0</v>
      </c>
      <c r="T460" s="48">
        <f>'Adani Enterprises'!T460</f>
        <v>0</v>
      </c>
      <c r="U460" s="48">
        <f>'Adani Enterprises'!U460</f>
        <v>0</v>
      </c>
      <c r="V460" s="48">
        <f>'Adani Enterprises'!V460</f>
        <v>0</v>
      </c>
      <c r="W460" s="48">
        <f>'Adani Enterprises'!W460</f>
        <v>0</v>
      </c>
      <c r="X460" s="48">
        <f>'Adani Enterprises'!X460</f>
        <v>0</v>
      </c>
      <c r="Y460" s="48">
        <f>'Adani Enterprises'!Y460</f>
        <v>0</v>
      </c>
      <c r="Z460" s="48">
        <f>'Adani Enterprises'!Z460</f>
        <v>0</v>
      </c>
      <c r="AA460" s="48">
        <f>'Adani Enterprises'!AA460</f>
        <v>0</v>
      </c>
      <c r="AB460" s="48">
        <f>'Adani Enterprises'!AB460</f>
        <v>0</v>
      </c>
      <c r="AC460" s="48">
        <f>'Adani Enterprises'!AC460</f>
        <v>0</v>
      </c>
      <c r="AD460" s="48">
        <f>'Adani Enterprises'!AD460</f>
        <v>0</v>
      </c>
      <c r="AE460" s="48">
        <f>'Adani Enterprises'!AE460</f>
        <v>0</v>
      </c>
      <c r="AF460" s="48">
        <f>'Adani Enterprises'!AF460</f>
        <v>0</v>
      </c>
      <c r="AG460" s="48">
        <f>'Adani Enterprises'!AG460</f>
        <v>0</v>
      </c>
      <c r="AH460" s="48">
        <f>'Adani Enterprises'!AH460</f>
        <v>0</v>
      </c>
      <c r="AI460" s="48">
        <f>'Adani Enterprises'!AI460</f>
        <v>0</v>
      </c>
      <c r="AJ460" s="48">
        <f>'Adani Enterprises'!AJ460</f>
        <v>0</v>
      </c>
      <c r="AK460" s="48">
        <f>'Adani Enterprises'!AK460</f>
        <v>0</v>
      </c>
      <c r="AL460" s="48">
        <f>'Adani Enterprises'!AL460</f>
        <v>0</v>
      </c>
    </row>
    <row r="461" customHeight="1" spans="1:38">
      <c r="A461" s="48">
        <f>'Adani Enterprises'!A461</f>
        <v>0</v>
      </c>
      <c r="B461" s="48">
        <f>'Adani Enterprises'!B461</f>
        <v>0</v>
      </c>
      <c r="C461" s="48">
        <f>'Adani Enterprises'!C461</f>
        <v>0</v>
      </c>
      <c r="D461" s="48">
        <f>'Adani Enterprises'!D461</f>
        <v>0</v>
      </c>
      <c r="E461" s="48">
        <f>'Adani Enterprises'!E461</f>
        <v>0</v>
      </c>
      <c r="F461" s="48">
        <f>'Adani Enterprises'!F461</f>
        <v>0</v>
      </c>
      <c r="G461" s="48">
        <f>'Adani Enterprises'!G461</f>
        <v>0</v>
      </c>
      <c r="H461" s="48">
        <f>'Adani Enterprises'!H461</f>
        <v>0</v>
      </c>
      <c r="I461" s="48">
        <f>'Adani Enterprises'!I461</f>
        <v>0</v>
      </c>
      <c r="J461" s="48">
        <f>'Adani Enterprises'!J461</f>
        <v>0</v>
      </c>
      <c r="K461" s="48">
        <f>'Adani Enterprises'!K461</f>
        <v>0</v>
      </c>
      <c r="L461" s="48">
        <f>'Adani Enterprises'!L461</f>
        <v>0</v>
      </c>
      <c r="M461" s="48">
        <f>'Adani Enterprises'!M461</f>
        <v>0</v>
      </c>
      <c r="N461" s="48">
        <f>'Adani Enterprises'!N461</f>
        <v>0</v>
      </c>
      <c r="O461" s="48">
        <f>'Adani Enterprises'!O461</f>
        <v>0</v>
      </c>
      <c r="P461" s="48">
        <f>'Adani Enterprises'!P461</f>
        <v>0</v>
      </c>
      <c r="Q461" s="48">
        <f>'Adani Enterprises'!Q461</f>
        <v>0</v>
      </c>
      <c r="R461" s="48">
        <f>'Adani Enterprises'!R461</f>
        <v>0</v>
      </c>
      <c r="S461" s="48">
        <f>'Adani Enterprises'!S461</f>
        <v>0</v>
      </c>
      <c r="T461" s="48">
        <f>'Adani Enterprises'!T461</f>
        <v>0</v>
      </c>
      <c r="U461" s="48">
        <f>'Adani Enterprises'!U461</f>
        <v>0</v>
      </c>
      <c r="V461" s="48">
        <f>'Adani Enterprises'!V461</f>
        <v>0</v>
      </c>
      <c r="W461" s="48">
        <f>'Adani Enterprises'!W461</f>
        <v>0</v>
      </c>
      <c r="X461" s="48">
        <f>'Adani Enterprises'!X461</f>
        <v>0</v>
      </c>
      <c r="Y461" s="48">
        <f>'Adani Enterprises'!Y461</f>
        <v>0</v>
      </c>
      <c r="Z461" s="48">
        <f>'Adani Enterprises'!Z461</f>
        <v>0</v>
      </c>
      <c r="AA461" s="48">
        <f>'Adani Enterprises'!AA461</f>
        <v>0</v>
      </c>
      <c r="AB461" s="48">
        <f>'Adani Enterprises'!AB461</f>
        <v>0</v>
      </c>
      <c r="AC461" s="48">
        <f>'Adani Enterprises'!AC461</f>
        <v>0</v>
      </c>
      <c r="AD461" s="48">
        <f>'Adani Enterprises'!AD461</f>
        <v>0</v>
      </c>
      <c r="AE461" s="48">
        <f>'Adani Enterprises'!AE461</f>
        <v>0</v>
      </c>
      <c r="AF461" s="48">
        <f>'Adani Enterprises'!AF461</f>
        <v>0</v>
      </c>
      <c r="AG461" s="48">
        <f>'Adani Enterprises'!AG461</f>
        <v>0</v>
      </c>
      <c r="AH461" s="48">
        <f>'Adani Enterprises'!AH461</f>
        <v>0</v>
      </c>
      <c r="AI461" s="48">
        <f>'Adani Enterprises'!AI461</f>
        <v>0</v>
      </c>
      <c r="AJ461" s="48">
        <f>'Adani Enterprises'!AJ461</f>
        <v>0</v>
      </c>
      <c r="AK461" s="48">
        <f>'Adani Enterprises'!AK461</f>
        <v>0</v>
      </c>
      <c r="AL461" s="48">
        <f>'Adani Enterprises'!AL461</f>
        <v>0</v>
      </c>
    </row>
    <row r="462" customHeight="1" spans="1:38">
      <c r="A462" s="48">
        <f>'Adani Enterprises'!A462</f>
        <v>0</v>
      </c>
      <c r="B462" s="48">
        <f>'Adani Enterprises'!B462</f>
        <v>0</v>
      </c>
      <c r="C462" s="48">
        <f>'Adani Enterprises'!C462</f>
        <v>0</v>
      </c>
      <c r="D462" s="48">
        <f>'Adani Enterprises'!D462</f>
        <v>0</v>
      </c>
      <c r="E462" s="48">
        <f>'Adani Enterprises'!E462</f>
        <v>0</v>
      </c>
      <c r="F462" s="48">
        <f>'Adani Enterprises'!F462</f>
        <v>0</v>
      </c>
      <c r="G462" s="48">
        <f>'Adani Enterprises'!G462</f>
        <v>0</v>
      </c>
      <c r="H462" s="48">
        <f>'Adani Enterprises'!H462</f>
        <v>0</v>
      </c>
      <c r="I462" s="48">
        <f>'Adani Enterprises'!I462</f>
        <v>0</v>
      </c>
      <c r="J462" s="48">
        <f>'Adani Enterprises'!J462</f>
        <v>0</v>
      </c>
      <c r="K462" s="48">
        <f>'Adani Enterprises'!K462</f>
        <v>0</v>
      </c>
      <c r="L462" s="48">
        <f>'Adani Enterprises'!L462</f>
        <v>0</v>
      </c>
      <c r="M462" s="48">
        <f>'Adani Enterprises'!M462</f>
        <v>0</v>
      </c>
      <c r="N462" s="48">
        <f>'Adani Enterprises'!N462</f>
        <v>0</v>
      </c>
      <c r="O462" s="48">
        <f>'Adani Enterprises'!O462</f>
        <v>0</v>
      </c>
      <c r="P462" s="48">
        <f>'Adani Enterprises'!P462</f>
        <v>0</v>
      </c>
      <c r="Q462" s="48">
        <f>'Adani Enterprises'!Q462</f>
        <v>0</v>
      </c>
      <c r="R462" s="48">
        <f>'Adani Enterprises'!R462</f>
        <v>0</v>
      </c>
      <c r="S462" s="48">
        <f>'Adani Enterprises'!S462</f>
        <v>0</v>
      </c>
      <c r="T462" s="48">
        <f>'Adani Enterprises'!T462</f>
        <v>0</v>
      </c>
      <c r="U462" s="48">
        <f>'Adani Enterprises'!U462</f>
        <v>0</v>
      </c>
      <c r="V462" s="48">
        <f>'Adani Enterprises'!V462</f>
        <v>0</v>
      </c>
      <c r="W462" s="48">
        <f>'Adani Enterprises'!W462</f>
        <v>0</v>
      </c>
      <c r="X462" s="48">
        <f>'Adani Enterprises'!X462</f>
        <v>0</v>
      </c>
      <c r="Y462" s="48">
        <f>'Adani Enterprises'!Y462</f>
        <v>0</v>
      </c>
      <c r="Z462" s="48">
        <f>'Adani Enterprises'!Z462</f>
        <v>0</v>
      </c>
      <c r="AA462" s="48">
        <f>'Adani Enterprises'!AA462</f>
        <v>0</v>
      </c>
      <c r="AB462" s="48">
        <f>'Adani Enterprises'!AB462</f>
        <v>0</v>
      </c>
      <c r="AC462" s="48">
        <f>'Adani Enterprises'!AC462</f>
        <v>0</v>
      </c>
      <c r="AD462" s="48">
        <f>'Adani Enterprises'!AD462</f>
        <v>0</v>
      </c>
      <c r="AE462" s="48">
        <f>'Adani Enterprises'!AE462</f>
        <v>0</v>
      </c>
      <c r="AF462" s="48">
        <f>'Adani Enterprises'!AF462</f>
        <v>0</v>
      </c>
      <c r="AG462" s="48">
        <f>'Adani Enterprises'!AG462</f>
        <v>0</v>
      </c>
      <c r="AH462" s="48">
        <f>'Adani Enterprises'!AH462</f>
        <v>0</v>
      </c>
      <c r="AI462" s="48">
        <f>'Adani Enterprises'!AI462</f>
        <v>0</v>
      </c>
      <c r="AJ462" s="48">
        <f>'Adani Enterprises'!AJ462</f>
        <v>0</v>
      </c>
      <c r="AK462" s="48">
        <f>'Adani Enterprises'!AK462</f>
        <v>0</v>
      </c>
      <c r="AL462" s="48">
        <f>'Adani Enterprises'!AL462</f>
        <v>0</v>
      </c>
    </row>
    <row r="463" customHeight="1" spans="1:38">
      <c r="A463" s="48">
        <f>'Adani Enterprises'!A463</f>
        <v>0</v>
      </c>
      <c r="B463" s="48">
        <f>'Adani Enterprises'!B463</f>
        <v>0</v>
      </c>
      <c r="C463" s="48">
        <f>'Adani Enterprises'!C463</f>
        <v>0</v>
      </c>
      <c r="D463" s="48">
        <f>'Adani Enterprises'!D463</f>
        <v>0</v>
      </c>
      <c r="E463" s="48">
        <f>'Adani Enterprises'!E463</f>
        <v>0</v>
      </c>
      <c r="F463" s="48">
        <f>'Adani Enterprises'!F463</f>
        <v>0</v>
      </c>
      <c r="G463" s="48">
        <f>'Adani Enterprises'!G463</f>
        <v>0</v>
      </c>
      <c r="H463" s="48">
        <f>'Adani Enterprises'!H463</f>
        <v>0</v>
      </c>
      <c r="I463" s="48">
        <f>'Adani Enterprises'!I463</f>
        <v>0</v>
      </c>
      <c r="J463" s="48">
        <f>'Adani Enterprises'!J463</f>
        <v>0</v>
      </c>
      <c r="K463" s="48">
        <f>'Adani Enterprises'!K463</f>
        <v>0</v>
      </c>
      <c r="L463" s="48">
        <f>'Adani Enterprises'!L463</f>
        <v>0</v>
      </c>
      <c r="M463" s="48">
        <f>'Adani Enterprises'!M463</f>
        <v>0</v>
      </c>
      <c r="N463" s="48">
        <f>'Adani Enterprises'!N463</f>
        <v>0</v>
      </c>
      <c r="O463" s="48">
        <f>'Adani Enterprises'!O463</f>
        <v>0</v>
      </c>
      <c r="P463" s="48">
        <f>'Adani Enterprises'!P463</f>
        <v>0</v>
      </c>
      <c r="Q463" s="48">
        <f>'Adani Enterprises'!Q463</f>
        <v>0</v>
      </c>
      <c r="R463" s="48">
        <f>'Adani Enterprises'!R463</f>
        <v>0</v>
      </c>
      <c r="S463" s="48">
        <f>'Adani Enterprises'!S463</f>
        <v>0</v>
      </c>
      <c r="T463" s="48">
        <f>'Adani Enterprises'!T463</f>
        <v>0</v>
      </c>
      <c r="U463" s="48">
        <f>'Adani Enterprises'!U463</f>
        <v>0</v>
      </c>
      <c r="V463" s="48">
        <f>'Adani Enterprises'!V463</f>
        <v>0</v>
      </c>
      <c r="W463" s="48">
        <f>'Adani Enterprises'!W463</f>
        <v>0</v>
      </c>
      <c r="X463" s="48">
        <f>'Adani Enterprises'!X463</f>
        <v>0</v>
      </c>
      <c r="Y463" s="48">
        <f>'Adani Enterprises'!Y463</f>
        <v>0</v>
      </c>
      <c r="Z463" s="48">
        <f>'Adani Enterprises'!Z463</f>
        <v>0</v>
      </c>
      <c r="AA463" s="48">
        <f>'Adani Enterprises'!AA463</f>
        <v>0</v>
      </c>
      <c r="AB463" s="48">
        <f>'Adani Enterprises'!AB463</f>
        <v>0</v>
      </c>
      <c r="AC463" s="48">
        <f>'Adani Enterprises'!AC463</f>
        <v>0</v>
      </c>
      <c r="AD463" s="48">
        <f>'Adani Enterprises'!AD463</f>
        <v>0</v>
      </c>
      <c r="AE463" s="48">
        <f>'Adani Enterprises'!AE463</f>
        <v>0</v>
      </c>
      <c r="AF463" s="48">
        <f>'Adani Enterprises'!AF463</f>
        <v>0</v>
      </c>
      <c r="AG463" s="48">
        <f>'Adani Enterprises'!AG463</f>
        <v>0</v>
      </c>
      <c r="AH463" s="48">
        <f>'Adani Enterprises'!AH463</f>
        <v>0</v>
      </c>
      <c r="AI463" s="48">
        <f>'Adani Enterprises'!AI463</f>
        <v>0</v>
      </c>
      <c r="AJ463" s="48">
        <f>'Adani Enterprises'!AJ463</f>
        <v>0</v>
      </c>
      <c r="AK463" s="48">
        <f>'Adani Enterprises'!AK463</f>
        <v>0</v>
      </c>
      <c r="AL463" s="48">
        <f>'Adani Enterprises'!AL463</f>
        <v>0</v>
      </c>
    </row>
    <row r="464" customHeight="1" spans="1:38">
      <c r="A464" s="48">
        <f>'Adani Enterprises'!A464</f>
        <v>0</v>
      </c>
      <c r="B464" s="48">
        <f>'Adani Enterprises'!B464</f>
        <v>0</v>
      </c>
      <c r="C464" s="48">
        <f>'Adani Enterprises'!C464</f>
        <v>0</v>
      </c>
      <c r="D464" s="48">
        <f>'Adani Enterprises'!D464</f>
        <v>0</v>
      </c>
      <c r="E464" s="48">
        <f>'Adani Enterprises'!E464</f>
        <v>0</v>
      </c>
      <c r="F464" s="48">
        <f>'Adani Enterprises'!F464</f>
        <v>0</v>
      </c>
      <c r="G464" s="48">
        <f>'Adani Enterprises'!G464</f>
        <v>0</v>
      </c>
      <c r="H464" s="48">
        <f>'Adani Enterprises'!H464</f>
        <v>0</v>
      </c>
      <c r="I464" s="48">
        <f>'Adani Enterprises'!I464</f>
        <v>0</v>
      </c>
      <c r="J464" s="48">
        <f>'Adani Enterprises'!J464</f>
        <v>0</v>
      </c>
      <c r="K464" s="48">
        <f>'Adani Enterprises'!K464</f>
        <v>0</v>
      </c>
      <c r="L464" s="48">
        <f>'Adani Enterprises'!L464</f>
        <v>0</v>
      </c>
      <c r="M464" s="48">
        <f>'Adani Enterprises'!M464</f>
        <v>0</v>
      </c>
      <c r="N464" s="48">
        <f>'Adani Enterprises'!N464</f>
        <v>0</v>
      </c>
      <c r="O464" s="48">
        <f>'Adani Enterprises'!O464</f>
        <v>0</v>
      </c>
      <c r="P464" s="48">
        <f>'Adani Enterprises'!P464</f>
        <v>0</v>
      </c>
      <c r="Q464" s="48">
        <f>'Adani Enterprises'!Q464</f>
        <v>0</v>
      </c>
      <c r="R464" s="48">
        <f>'Adani Enterprises'!R464</f>
        <v>0</v>
      </c>
      <c r="S464" s="48">
        <f>'Adani Enterprises'!S464</f>
        <v>0</v>
      </c>
      <c r="T464" s="48">
        <f>'Adani Enterprises'!T464</f>
        <v>0</v>
      </c>
      <c r="U464" s="48">
        <f>'Adani Enterprises'!U464</f>
        <v>0</v>
      </c>
      <c r="V464" s="48">
        <f>'Adani Enterprises'!V464</f>
        <v>0</v>
      </c>
      <c r="W464" s="48">
        <f>'Adani Enterprises'!W464</f>
        <v>0</v>
      </c>
      <c r="X464" s="48">
        <f>'Adani Enterprises'!X464</f>
        <v>0</v>
      </c>
      <c r="Y464" s="48">
        <f>'Adani Enterprises'!Y464</f>
        <v>0</v>
      </c>
      <c r="Z464" s="48">
        <f>'Adani Enterprises'!Z464</f>
        <v>0</v>
      </c>
      <c r="AA464" s="48">
        <f>'Adani Enterprises'!AA464</f>
        <v>0</v>
      </c>
      <c r="AB464" s="48">
        <f>'Adani Enterprises'!AB464</f>
        <v>0</v>
      </c>
      <c r="AC464" s="48">
        <f>'Adani Enterprises'!AC464</f>
        <v>0</v>
      </c>
      <c r="AD464" s="48">
        <f>'Adani Enterprises'!AD464</f>
        <v>0</v>
      </c>
      <c r="AE464" s="48">
        <f>'Adani Enterprises'!AE464</f>
        <v>0</v>
      </c>
      <c r="AF464" s="48">
        <f>'Adani Enterprises'!AF464</f>
        <v>0</v>
      </c>
      <c r="AG464" s="48">
        <f>'Adani Enterprises'!AG464</f>
        <v>0</v>
      </c>
      <c r="AH464" s="48">
        <f>'Adani Enterprises'!AH464</f>
        <v>0</v>
      </c>
      <c r="AI464" s="48">
        <f>'Adani Enterprises'!AI464</f>
        <v>0</v>
      </c>
      <c r="AJ464" s="48">
        <f>'Adani Enterprises'!AJ464</f>
        <v>0</v>
      </c>
      <c r="AK464" s="48">
        <f>'Adani Enterprises'!AK464</f>
        <v>0</v>
      </c>
      <c r="AL464" s="48">
        <f>'Adani Enterprises'!AL464</f>
        <v>0</v>
      </c>
    </row>
    <row r="465" customHeight="1" spans="1:38">
      <c r="A465" s="48">
        <f>'Adani Enterprises'!A465</f>
        <v>0</v>
      </c>
      <c r="B465" s="48">
        <f>'Adani Enterprises'!B465</f>
        <v>0</v>
      </c>
      <c r="C465" s="48">
        <f>'Adani Enterprises'!C465</f>
        <v>0</v>
      </c>
      <c r="D465" s="48">
        <f>'Adani Enterprises'!D465</f>
        <v>0</v>
      </c>
      <c r="E465" s="48">
        <f>'Adani Enterprises'!E465</f>
        <v>0</v>
      </c>
      <c r="F465" s="48">
        <f>'Adani Enterprises'!F465</f>
        <v>0</v>
      </c>
      <c r="G465" s="48">
        <f>'Adani Enterprises'!G465</f>
        <v>0</v>
      </c>
      <c r="H465" s="48">
        <f>'Adani Enterprises'!H465</f>
        <v>0</v>
      </c>
      <c r="I465" s="48">
        <f>'Adani Enterprises'!I465</f>
        <v>0</v>
      </c>
      <c r="J465" s="48">
        <f>'Adani Enterprises'!J465</f>
        <v>0</v>
      </c>
      <c r="K465" s="48">
        <f>'Adani Enterprises'!K465</f>
        <v>0</v>
      </c>
      <c r="L465" s="48">
        <f>'Adani Enterprises'!L465</f>
        <v>0</v>
      </c>
      <c r="M465" s="48">
        <f>'Adani Enterprises'!M465</f>
        <v>0</v>
      </c>
      <c r="N465" s="48">
        <f>'Adani Enterprises'!N465</f>
        <v>0</v>
      </c>
      <c r="O465" s="48">
        <f>'Adani Enterprises'!O465</f>
        <v>0</v>
      </c>
      <c r="P465" s="48">
        <f>'Adani Enterprises'!P465</f>
        <v>0</v>
      </c>
      <c r="Q465" s="48">
        <f>'Adani Enterprises'!Q465</f>
        <v>0</v>
      </c>
      <c r="R465" s="48">
        <f>'Adani Enterprises'!R465</f>
        <v>0</v>
      </c>
      <c r="S465" s="48">
        <f>'Adani Enterprises'!S465</f>
        <v>0</v>
      </c>
      <c r="T465" s="48">
        <f>'Adani Enterprises'!T465</f>
        <v>0</v>
      </c>
      <c r="U465" s="48">
        <f>'Adani Enterprises'!U465</f>
        <v>0</v>
      </c>
      <c r="V465" s="48">
        <f>'Adani Enterprises'!V465</f>
        <v>0</v>
      </c>
      <c r="W465" s="48">
        <f>'Adani Enterprises'!W465</f>
        <v>0</v>
      </c>
      <c r="X465" s="48">
        <f>'Adani Enterprises'!X465</f>
        <v>0</v>
      </c>
      <c r="Y465" s="48">
        <f>'Adani Enterprises'!Y465</f>
        <v>0</v>
      </c>
      <c r="Z465" s="48">
        <f>'Adani Enterprises'!Z465</f>
        <v>0</v>
      </c>
      <c r="AA465" s="48">
        <f>'Adani Enterprises'!AA465</f>
        <v>0</v>
      </c>
      <c r="AB465" s="48">
        <f>'Adani Enterprises'!AB465</f>
        <v>0</v>
      </c>
      <c r="AC465" s="48">
        <f>'Adani Enterprises'!AC465</f>
        <v>0</v>
      </c>
      <c r="AD465" s="48">
        <f>'Adani Enterprises'!AD465</f>
        <v>0</v>
      </c>
      <c r="AE465" s="48">
        <f>'Adani Enterprises'!AE465</f>
        <v>0</v>
      </c>
      <c r="AF465" s="48">
        <f>'Adani Enterprises'!AF465</f>
        <v>0</v>
      </c>
      <c r="AG465" s="48">
        <f>'Adani Enterprises'!AG465</f>
        <v>0</v>
      </c>
      <c r="AH465" s="48">
        <f>'Adani Enterprises'!AH465</f>
        <v>0</v>
      </c>
      <c r="AI465" s="48">
        <f>'Adani Enterprises'!AI465</f>
        <v>0</v>
      </c>
      <c r="AJ465" s="48">
        <f>'Adani Enterprises'!AJ465</f>
        <v>0</v>
      </c>
      <c r="AK465" s="48">
        <f>'Adani Enterprises'!AK465</f>
        <v>0</v>
      </c>
      <c r="AL465" s="48">
        <f>'Adani Enterprises'!AL465</f>
        <v>0</v>
      </c>
    </row>
    <row r="466" customHeight="1" spans="1:38">
      <c r="A466" s="48">
        <f>'Adani Enterprises'!A466</f>
        <v>0</v>
      </c>
      <c r="B466" s="48">
        <f>'Adani Enterprises'!B466</f>
        <v>0</v>
      </c>
      <c r="C466" s="48">
        <f>'Adani Enterprises'!C466</f>
        <v>0</v>
      </c>
      <c r="D466" s="48">
        <f>'Adani Enterprises'!D466</f>
        <v>0</v>
      </c>
      <c r="E466" s="48">
        <f>'Adani Enterprises'!E466</f>
        <v>0</v>
      </c>
      <c r="F466" s="48">
        <f>'Adani Enterprises'!F466</f>
        <v>0</v>
      </c>
      <c r="G466" s="48">
        <f>'Adani Enterprises'!G466</f>
        <v>0</v>
      </c>
      <c r="H466" s="48">
        <f>'Adani Enterprises'!H466</f>
        <v>0</v>
      </c>
      <c r="I466" s="48">
        <f>'Adani Enterprises'!I466</f>
        <v>0</v>
      </c>
      <c r="J466" s="48">
        <f>'Adani Enterprises'!J466</f>
        <v>0</v>
      </c>
      <c r="K466" s="48">
        <f>'Adani Enterprises'!K466</f>
        <v>0</v>
      </c>
      <c r="L466" s="48">
        <f>'Adani Enterprises'!L466</f>
        <v>0</v>
      </c>
      <c r="M466" s="48">
        <f>'Adani Enterprises'!M466</f>
        <v>0</v>
      </c>
      <c r="N466" s="48">
        <f>'Adani Enterprises'!N466</f>
        <v>0</v>
      </c>
      <c r="O466" s="48">
        <f>'Adani Enterprises'!O466</f>
        <v>0</v>
      </c>
      <c r="P466" s="48">
        <f>'Adani Enterprises'!P466</f>
        <v>0</v>
      </c>
      <c r="Q466" s="48">
        <f>'Adani Enterprises'!Q466</f>
        <v>0</v>
      </c>
      <c r="R466" s="48">
        <f>'Adani Enterprises'!R466</f>
        <v>0</v>
      </c>
      <c r="S466" s="48">
        <f>'Adani Enterprises'!S466</f>
        <v>0</v>
      </c>
      <c r="T466" s="48">
        <f>'Adani Enterprises'!T466</f>
        <v>0</v>
      </c>
      <c r="U466" s="48">
        <f>'Adani Enterprises'!U466</f>
        <v>0</v>
      </c>
      <c r="V466" s="48">
        <f>'Adani Enterprises'!V466</f>
        <v>0</v>
      </c>
      <c r="W466" s="48">
        <f>'Adani Enterprises'!W466</f>
        <v>0</v>
      </c>
      <c r="X466" s="48">
        <f>'Adani Enterprises'!X466</f>
        <v>0</v>
      </c>
      <c r="Y466" s="48">
        <f>'Adani Enterprises'!Y466</f>
        <v>0</v>
      </c>
      <c r="Z466" s="48">
        <f>'Adani Enterprises'!Z466</f>
        <v>0</v>
      </c>
      <c r="AA466" s="48">
        <f>'Adani Enterprises'!AA466</f>
        <v>0</v>
      </c>
      <c r="AB466" s="48">
        <f>'Adani Enterprises'!AB466</f>
        <v>0</v>
      </c>
      <c r="AC466" s="48">
        <f>'Adani Enterprises'!AC466</f>
        <v>0</v>
      </c>
      <c r="AD466" s="48">
        <f>'Adani Enterprises'!AD466</f>
        <v>0</v>
      </c>
      <c r="AE466" s="48">
        <f>'Adani Enterprises'!AE466</f>
        <v>0</v>
      </c>
      <c r="AF466" s="48">
        <f>'Adani Enterprises'!AF466</f>
        <v>0</v>
      </c>
      <c r="AG466" s="48">
        <f>'Adani Enterprises'!AG466</f>
        <v>0</v>
      </c>
      <c r="AH466" s="48">
        <f>'Adani Enterprises'!AH466</f>
        <v>0</v>
      </c>
      <c r="AI466" s="48">
        <f>'Adani Enterprises'!AI466</f>
        <v>0</v>
      </c>
      <c r="AJ466" s="48">
        <f>'Adani Enterprises'!AJ466</f>
        <v>0</v>
      </c>
      <c r="AK466" s="48">
        <f>'Adani Enterprises'!AK466</f>
        <v>0</v>
      </c>
      <c r="AL466" s="48">
        <f>'Adani Enterprises'!AL466</f>
        <v>0</v>
      </c>
    </row>
    <row r="467" customHeight="1" spans="1:38">
      <c r="A467" s="48">
        <f>'Adani Enterprises'!A467</f>
        <v>0</v>
      </c>
      <c r="B467" s="48">
        <f>'Adani Enterprises'!B467</f>
        <v>0</v>
      </c>
      <c r="C467" s="48">
        <f>'Adani Enterprises'!C467</f>
        <v>0</v>
      </c>
      <c r="D467" s="48">
        <f>'Adani Enterprises'!D467</f>
        <v>0</v>
      </c>
      <c r="E467" s="48">
        <f>'Adani Enterprises'!E467</f>
        <v>0</v>
      </c>
      <c r="F467" s="48">
        <f>'Adani Enterprises'!F467</f>
        <v>0</v>
      </c>
      <c r="G467" s="48">
        <f>'Adani Enterprises'!G467</f>
        <v>0</v>
      </c>
      <c r="H467" s="48">
        <f>'Adani Enterprises'!H467</f>
        <v>0</v>
      </c>
      <c r="I467" s="48">
        <f>'Adani Enterprises'!I467</f>
        <v>0</v>
      </c>
      <c r="J467" s="48">
        <f>'Adani Enterprises'!J467</f>
        <v>0</v>
      </c>
      <c r="K467" s="48">
        <f>'Adani Enterprises'!K467</f>
        <v>0</v>
      </c>
      <c r="L467" s="48">
        <f>'Adani Enterprises'!L467</f>
        <v>0</v>
      </c>
      <c r="M467" s="48">
        <f>'Adani Enterprises'!M467</f>
        <v>0</v>
      </c>
      <c r="N467" s="48">
        <f>'Adani Enterprises'!N467</f>
        <v>0</v>
      </c>
      <c r="O467" s="48">
        <f>'Adani Enterprises'!O467</f>
        <v>0</v>
      </c>
      <c r="P467" s="48">
        <f>'Adani Enterprises'!P467</f>
        <v>0</v>
      </c>
      <c r="Q467" s="48">
        <f>'Adani Enterprises'!Q467</f>
        <v>0</v>
      </c>
      <c r="R467" s="48">
        <f>'Adani Enterprises'!R467</f>
        <v>0</v>
      </c>
      <c r="S467" s="48">
        <f>'Adani Enterprises'!S467</f>
        <v>0</v>
      </c>
      <c r="T467" s="48">
        <f>'Adani Enterprises'!T467</f>
        <v>0</v>
      </c>
      <c r="U467" s="48">
        <f>'Adani Enterprises'!U467</f>
        <v>0</v>
      </c>
      <c r="V467" s="48">
        <f>'Adani Enterprises'!V467</f>
        <v>0</v>
      </c>
      <c r="W467" s="48">
        <f>'Adani Enterprises'!W467</f>
        <v>0</v>
      </c>
      <c r="X467" s="48">
        <f>'Adani Enterprises'!X467</f>
        <v>0</v>
      </c>
      <c r="Y467" s="48">
        <f>'Adani Enterprises'!Y467</f>
        <v>0</v>
      </c>
      <c r="Z467" s="48">
        <f>'Adani Enterprises'!Z467</f>
        <v>0</v>
      </c>
      <c r="AA467" s="48">
        <f>'Adani Enterprises'!AA467</f>
        <v>0</v>
      </c>
      <c r="AB467" s="48">
        <f>'Adani Enterprises'!AB467</f>
        <v>0</v>
      </c>
      <c r="AC467" s="48">
        <f>'Adani Enterprises'!AC467</f>
        <v>0</v>
      </c>
      <c r="AD467" s="48">
        <f>'Adani Enterprises'!AD467</f>
        <v>0</v>
      </c>
      <c r="AE467" s="48">
        <f>'Adani Enterprises'!AE467</f>
        <v>0</v>
      </c>
      <c r="AF467" s="48">
        <f>'Adani Enterprises'!AF467</f>
        <v>0</v>
      </c>
      <c r="AG467" s="48">
        <f>'Adani Enterprises'!AG467</f>
        <v>0</v>
      </c>
      <c r="AH467" s="48">
        <f>'Adani Enterprises'!AH467</f>
        <v>0</v>
      </c>
      <c r="AI467" s="48">
        <f>'Adani Enterprises'!AI467</f>
        <v>0</v>
      </c>
      <c r="AJ467" s="48">
        <f>'Adani Enterprises'!AJ467</f>
        <v>0</v>
      </c>
      <c r="AK467" s="48">
        <f>'Adani Enterprises'!AK467</f>
        <v>0</v>
      </c>
      <c r="AL467" s="48">
        <f>'Adani Enterprises'!AL467</f>
        <v>0</v>
      </c>
    </row>
    <row r="468" customHeight="1" spans="1:38">
      <c r="A468" s="48">
        <f>'Adani Enterprises'!A468</f>
        <v>0</v>
      </c>
      <c r="B468" s="48">
        <f>'Adani Enterprises'!B468</f>
        <v>0</v>
      </c>
      <c r="C468" s="48">
        <f>'Adani Enterprises'!C468</f>
        <v>0</v>
      </c>
      <c r="D468" s="48">
        <f>'Adani Enterprises'!D468</f>
        <v>0</v>
      </c>
      <c r="E468" s="48">
        <f>'Adani Enterprises'!E468</f>
        <v>0</v>
      </c>
      <c r="F468" s="48">
        <f>'Adani Enterprises'!F468</f>
        <v>0</v>
      </c>
      <c r="G468" s="48">
        <f>'Adani Enterprises'!G468</f>
        <v>0</v>
      </c>
      <c r="H468" s="48">
        <f>'Adani Enterprises'!H468</f>
        <v>0</v>
      </c>
      <c r="I468" s="48">
        <f>'Adani Enterprises'!I468</f>
        <v>0</v>
      </c>
      <c r="J468" s="48">
        <f>'Adani Enterprises'!J468</f>
        <v>0</v>
      </c>
      <c r="K468" s="48">
        <f>'Adani Enterprises'!K468</f>
        <v>0</v>
      </c>
      <c r="L468" s="48">
        <f>'Adani Enterprises'!L468</f>
        <v>0</v>
      </c>
      <c r="M468" s="48">
        <f>'Adani Enterprises'!M468</f>
        <v>0</v>
      </c>
      <c r="N468" s="48">
        <f>'Adani Enterprises'!N468</f>
        <v>0</v>
      </c>
      <c r="O468" s="48">
        <f>'Adani Enterprises'!O468</f>
        <v>0</v>
      </c>
      <c r="P468" s="48">
        <f>'Adani Enterprises'!P468</f>
        <v>0</v>
      </c>
      <c r="Q468" s="48">
        <f>'Adani Enterprises'!Q468</f>
        <v>0</v>
      </c>
      <c r="R468" s="48">
        <f>'Adani Enterprises'!R468</f>
        <v>0</v>
      </c>
      <c r="S468" s="48">
        <f>'Adani Enterprises'!S468</f>
        <v>0</v>
      </c>
      <c r="T468" s="48">
        <f>'Adani Enterprises'!T468</f>
        <v>0</v>
      </c>
      <c r="U468" s="48">
        <f>'Adani Enterprises'!U468</f>
        <v>0</v>
      </c>
      <c r="V468" s="48">
        <f>'Adani Enterprises'!V468</f>
        <v>0</v>
      </c>
      <c r="W468" s="48">
        <f>'Adani Enterprises'!W468</f>
        <v>0</v>
      </c>
      <c r="X468" s="48">
        <f>'Adani Enterprises'!X468</f>
        <v>0</v>
      </c>
      <c r="Y468" s="48">
        <f>'Adani Enterprises'!Y468</f>
        <v>0</v>
      </c>
      <c r="Z468" s="48">
        <f>'Adani Enterprises'!Z468</f>
        <v>0</v>
      </c>
      <c r="AA468" s="48">
        <f>'Adani Enterprises'!AA468</f>
        <v>0</v>
      </c>
      <c r="AB468" s="48">
        <f>'Adani Enterprises'!AB468</f>
        <v>0</v>
      </c>
      <c r="AC468" s="48">
        <f>'Adani Enterprises'!AC468</f>
        <v>0</v>
      </c>
      <c r="AD468" s="48">
        <f>'Adani Enterprises'!AD468</f>
        <v>0</v>
      </c>
      <c r="AE468" s="48">
        <f>'Adani Enterprises'!AE468</f>
        <v>0</v>
      </c>
      <c r="AF468" s="48">
        <f>'Adani Enterprises'!AF468</f>
        <v>0</v>
      </c>
      <c r="AG468" s="48">
        <f>'Adani Enterprises'!AG468</f>
        <v>0</v>
      </c>
      <c r="AH468" s="48">
        <f>'Adani Enterprises'!AH468</f>
        <v>0</v>
      </c>
      <c r="AI468" s="48">
        <f>'Adani Enterprises'!AI468</f>
        <v>0</v>
      </c>
      <c r="AJ468" s="48">
        <f>'Adani Enterprises'!AJ468</f>
        <v>0</v>
      </c>
      <c r="AK468" s="48">
        <f>'Adani Enterprises'!AK468</f>
        <v>0</v>
      </c>
      <c r="AL468" s="48">
        <f>'Adani Enterprises'!AL468</f>
        <v>0</v>
      </c>
    </row>
    <row r="469" customHeight="1" spans="1:38">
      <c r="A469" s="48">
        <f>'Adani Enterprises'!A469</f>
        <v>0</v>
      </c>
      <c r="B469" s="48">
        <f>'Adani Enterprises'!B469</f>
        <v>0</v>
      </c>
      <c r="C469" s="48">
        <f>'Adani Enterprises'!C469</f>
        <v>0</v>
      </c>
      <c r="D469" s="48">
        <f>'Adani Enterprises'!D469</f>
        <v>0</v>
      </c>
      <c r="E469" s="48">
        <f>'Adani Enterprises'!E469</f>
        <v>0</v>
      </c>
      <c r="F469" s="48">
        <f>'Adani Enterprises'!F469</f>
        <v>0</v>
      </c>
      <c r="G469" s="48">
        <f>'Adani Enterprises'!G469</f>
        <v>0</v>
      </c>
      <c r="H469" s="48">
        <f>'Adani Enterprises'!H469</f>
        <v>0</v>
      </c>
      <c r="I469" s="48">
        <f>'Adani Enterprises'!I469</f>
        <v>0</v>
      </c>
      <c r="J469" s="48">
        <f>'Adani Enterprises'!J469</f>
        <v>0</v>
      </c>
      <c r="K469" s="48">
        <f>'Adani Enterprises'!K469</f>
        <v>0</v>
      </c>
      <c r="L469" s="48">
        <f>'Adani Enterprises'!L469</f>
        <v>0</v>
      </c>
      <c r="M469" s="48">
        <f>'Adani Enterprises'!M469</f>
        <v>0</v>
      </c>
      <c r="N469" s="48">
        <f>'Adani Enterprises'!N469</f>
        <v>0</v>
      </c>
      <c r="O469" s="48">
        <f>'Adani Enterprises'!O469</f>
        <v>0</v>
      </c>
      <c r="P469" s="48">
        <f>'Adani Enterprises'!P469</f>
        <v>0</v>
      </c>
      <c r="Q469" s="48">
        <f>'Adani Enterprises'!Q469</f>
        <v>0</v>
      </c>
      <c r="R469" s="48">
        <f>'Adani Enterprises'!R469</f>
        <v>0</v>
      </c>
      <c r="S469" s="48">
        <f>'Adani Enterprises'!S469</f>
        <v>0</v>
      </c>
      <c r="T469" s="48">
        <f>'Adani Enterprises'!T469</f>
        <v>0</v>
      </c>
      <c r="U469" s="48">
        <f>'Adani Enterprises'!U469</f>
        <v>0</v>
      </c>
      <c r="V469" s="48">
        <f>'Adani Enterprises'!V469</f>
        <v>0</v>
      </c>
      <c r="W469" s="48">
        <f>'Adani Enterprises'!W469</f>
        <v>0</v>
      </c>
      <c r="X469" s="48">
        <f>'Adani Enterprises'!X469</f>
        <v>0</v>
      </c>
      <c r="Y469" s="48">
        <f>'Adani Enterprises'!Y469</f>
        <v>0</v>
      </c>
      <c r="Z469" s="48">
        <f>'Adani Enterprises'!Z469</f>
        <v>0</v>
      </c>
      <c r="AA469" s="48">
        <f>'Adani Enterprises'!AA469</f>
        <v>0</v>
      </c>
      <c r="AB469" s="48">
        <f>'Adani Enterprises'!AB469</f>
        <v>0</v>
      </c>
      <c r="AC469" s="48">
        <f>'Adani Enterprises'!AC469</f>
        <v>0</v>
      </c>
      <c r="AD469" s="48">
        <f>'Adani Enterprises'!AD469</f>
        <v>0</v>
      </c>
      <c r="AE469" s="48">
        <f>'Adani Enterprises'!AE469</f>
        <v>0</v>
      </c>
      <c r="AF469" s="48">
        <f>'Adani Enterprises'!AF469</f>
        <v>0</v>
      </c>
      <c r="AG469" s="48">
        <f>'Adani Enterprises'!AG469</f>
        <v>0</v>
      </c>
      <c r="AH469" s="48">
        <f>'Adani Enterprises'!AH469</f>
        <v>0</v>
      </c>
      <c r="AI469" s="48">
        <f>'Adani Enterprises'!AI469</f>
        <v>0</v>
      </c>
      <c r="AJ469" s="48">
        <f>'Adani Enterprises'!AJ469</f>
        <v>0</v>
      </c>
      <c r="AK469" s="48">
        <f>'Adani Enterprises'!AK469</f>
        <v>0</v>
      </c>
      <c r="AL469" s="48">
        <f>'Adani Enterprises'!AL469</f>
        <v>0</v>
      </c>
    </row>
  </sheetData>
  <mergeCells count="3">
    <mergeCell ref="M1:P1"/>
    <mergeCell ref="A3:F3"/>
    <mergeCell ref="AB4:AE4"/>
  </mergeCells>
  <conditionalFormatting sqref="A1:A2 A4">
    <cfRule type="notContainsBlanks" dxfId="0" priority="1">
      <formula>LEN(TRIM(A1))&gt;0</formula>
    </cfRule>
  </conditionalFormatting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L508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8">
      <c r="A1" s="49" t="s">
        <v>264</v>
      </c>
      <c r="B1" s="50">
        <f ca="1">TODAY()</f>
        <v>45927</v>
      </c>
      <c r="C1" s="51">
        <f ca="1">DAY(B1)</f>
        <v>27</v>
      </c>
      <c r="D1" s="51">
        <f ca="1" t="shared" ref="D1:D2" si="0">MONTH(B1)</f>
        <v>9</v>
      </c>
      <c r="E1" s="51">
        <f ca="1" t="shared" ref="E1:E2" si="1">YEAR(B1)</f>
        <v>2025</v>
      </c>
      <c r="F1" s="52"/>
      <c r="G1" s="53"/>
      <c r="H1" s="51"/>
      <c r="I1" s="51"/>
      <c r="J1" s="51"/>
      <c r="K1" s="51"/>
      <c r="L1" s="51"/>
      <c r="M1" s="62" t="s">
        <v>265</v>
      </c>
      <c r="N1" s="19"/>
      <c r="O1" s="19"/>
      <c r="P1" s="19"/>
      <c r="AF1" s="48">
        <f>'Adani Enterprises'!AF1</f>
        <v>0</v>
      </c>
      <c r="AG1" s="48">
        <f>'Adani Enterprises'!AG1</f>
        <v>0</v>
      </c>
      <c r="AH1" s="48">
        <f>'Adani Enterprises'!AH1</f>
        <v>0</v>
      </c>
      <c r="AI1" s="48">
        <f>'Adani Enterprises'!AI1</f>
        <v>0</v>
      </c>
      <c r="AJ1" s="48">
        <f>'Adani Enterprises'!AJ1</f>
        <v>0</v>
      </c>
      <c r="AK1" s="48">
        <f>'Adani Enterprises'!AK1</f>
        <v>0</v>
      </c>
      <c r="AL1" s="48">
        <f>'Adani Enterprises'!AL1</f>
        <v>0</v>
      </c>
    </row>
    <row r="2" customHeight="1" spans="1:38">
      <c r="A2" s="49" t="s">
        <v>266</v>
      </c>
      <c r="B2" s="50">
        <f ca="1">EDATE(TODAY(),-6)</f>
        <v>45743</v>
      </c>
      <c r="C2" s="51">
        <f ca="1">DAY(B2)</f>
        <v>27</v>
      </c>
      <c r="D2" s="51">
        <f ca="1" t="shared" si="0"/>
        <v>3</v>
      </c>
      <c r="E2" s="51">
        <f ca="1" t="shared" si="1"/>
        <v>2025</v>
      </c>
      <c r="F2" s="52"/>
      <c r="G2" s="53"/>
      <c r="H2" s="51"/>
      <c r="I2" s="51"/>
      <c r="J2" s="51"/>
      <c r="K2" s="51"/>
      <c r="L2" s="51"/>
      <c r="M2" s="63" t="str">
        <f>IFERROR(__xludf.DUMMYFUNCTION("GOOGLEFINANCE(L3, ""close"", WORKDAY(TODAY(), -1), WORKDAY(TODAY(), -1))"),"Date")</f>
        <v>Date</v>
      </c>
      <c r="N2" s="64" t="str">
        <f>IFERROR(__xludf.DUMMYFUNCTION("""COMPUTED_VALUE"""),"Close")</f>
        <v>Close</v>
      </c>
      <c r="O2" s="63" t="str">
        <f>IFERROR(__xludf.DUMMYFUNCTION("GOOGLEFINANCE(L3, ""open"", WORKDAY(TODAY(), -1), WORKDAY(TODAY(), -1))"),"Date")</f>
        <v>Date</v>
      </c>
      <c r="P2" s="64" t="str">
        <f>IFERROR(__xludf.DUMMYFUNCTION("""COMPUTED_VALUE"""),"Open")</f>
        <v>Open</v>
      </c>
      <c r="Q2" s="72" t="str">
        <f>IFERROR(__xludf.DUMMYFUNCTION("GOOGLEFINANCE(L3, ""hIGH"", WORKDAY(TODAY(), -1), WORKDAY(TODAY(), -1))"),"Date")</f>
        <v>Date</v>
      </c>
      <c r="R2" s="48" t="str">
        <f>IFERROR(__xludf.DUMMYFUNCTION("""COMPUTED_VALUE"""),"High")</f>
        <v>High</v>
      </c>
      <c r="S2" s="72" t="str">
        <f>IFERROR(__xludf.DUMMYFUNCTION("GOOGLEFINANCE(L3, ""LOW"", WORKDAY(TODAY(), -1), WORKDAY(TODAY(), -1))"),"Date")</f>
        <v>Date</v>
      </c>
      <c r="T2" s="48" t="str">
        <f>IFERROR(__xludf.DUMMYFUNCTION("""COMPUTED_VALUE"""),"Low")</f>
        <v>Low</v>
      </c>
      <c r="AF2" s="48">
        <f>'Adani Enterprises'!AF2</f>
        <v>0</v>
      </c>
      <c r="AG2" s="48">
        <f>'Adani Enterprises'!AG2</f>
        <v>0</v>
      </c>
      <c r="AH2" s="48">
        <f>'Adani Enterprises'!AH2</f>
        <v>0</v>
      </c>
      <c r="AI2" s="48">
        <f>'Adani Enterprises'!AI2</f>
        <v>0</v>
      </c>
      <c r="AJ2" s="48">
        <f>'Adani Enterprises'!AJ2</f>
        <v>0</v>
      </c>
      <c r="AK2" s="48">
        <f>'Adani Enterprises'!AK2</f>
        <v>0</v>
      </c>
      <c r="AL2" s="48">
        <f>'Adani Enterprises'!AL2</f>
        <v>0</v>
      </c>
    </row>
    <row r="3" customHeight="1" spans="1:38">
      <c r="A3" s="54" t="s">
        <v>267</v>
      </c>
      <c r="B3" s="7"/>
      <c r="C3" s="7"/>
      <c r="D3" s="7"/>
      <c r="E3" s="7"/>
      <c r="F3" s="8"/>
      <c r="G3" s="55" t="s">
        <v>268</v>
      </c>
      <c r="H3" s="56">
        <f>IFERROR(__xludf.DUMMYFUNCTION("GOOGLEFINANCE(L3, ""price"")"),2342)</f>
        <v>2342</v>
      </c>
      <c r="I3" s="65" t="s">
        <v>269</v>
      </c>
      <c r="J3" s="56">
        <f>IFERROR(__xludf.DUMMYFUNCTION("GOOGLEFINANCE(L3, ""volume"")"),1089446)</f>
        <v>1089446</v>
      </c>
      <c r="K3" s="66" t="s">
        <v>270</v>
      </c>
      <c r="L3" s="67" t="str">
        <f>Mastersheet!B5</f>
        <v>NSE:ASIANPAINT</v>
      </c>
      <c r="M3" s="68">
        <f>IFERROR(__xludf.DUMMYFUNCTION("""COMPUTED_VALUE"""),45926.6458333333)</f>
        <v>45926.6458333333</v>
      </c>
      <c r="N3" s="67">
        <f>IFERROR(__xludf.DUMMYFUNCTION("""COMPUTED_VALUE"""),2342.8)</f>
        <v>2342.8</v>
      </c>
      <c r="O3" s="68">
        <f>IFERROR(__xludf.DUMMYFUNCTION("""COMPUTED_VALUE"""),45926.6458333333)</f>
        <v>45926.6458333333</v>
      </c>
      <c r="P3" s="67">
        <f>IFERROR(__xludf.DUMMYFUNCTION("""COMPUTED_VALUE"""),2397.5)</f>
        <v>2397.5</v>
      </c>
      <c r="Q3" s="47">
        <f>IFERROR(__xludf.DUMMYFUNCTION("""COMPUTED_VALUE"""),45926.6458333333)</f>
        <v>45926.6458333333</v>
      </c>
      <c r="R3" s="48">
        <f>IFERROR(__xludf.DUMMYFUNCTION("""COMPUTED_VALUE"""),2400)</f>
        <v>2400</v>
      </c>
      <c r="S3" s="47">
        <f>IFERROR(__xludf.DUMMYFUNCTION("""COMPUTED_VALUE"""),45926.6458333333)</f>
        <v>45926.6458333333</v>
      </c>
      <c r="T3" s="48">
        <f>IFERROR(__xludf.DUMMYFUNCTION("""COMPUTED_VALUE"""),2339)</f>
        <v>2339</v>
      </c>
      <c r="AF3" s="48">
        <f>'Adani Enterprises'!AF3</f>
        <v>0</v>
      </c>
      <c r="AG3" s="48">
        <f>'Adani Enterprises'!AG3</f>
        <v>0</v>
      </c>
      <c r="AH3" s="48">
        <f>'Adani Enterprises'!AH3</f>
        <v>0</v>
      </c>
      <c r="AI3" s="48">
        <f>'Adani Enterprises'!AI3</f>
        <v>0</v>
      </c>
      <c r="AJ3" s="48">
        <f>'Adani Enterprises'!AJ3</f>
        <v>0</v>
      </c>
      <c r="AK3" s="48">
        <f>'Adani Enterprises'!AK3</f>
        <v>0</v>
      </c>
      <c r="AL3" s="48">
        <f>'Adani Enterprises'!AL3</f>
        <v>0</v>
      </c>
    </row>
    <row r="4" customHeight="1" spans="1:38">
      <c r="A4" s="57" t="str">
        <f>IFERROR(__xludf.DUMMYFUNCTION("GOOGLEFINANCE(L3, ""CLOSE"",DATE(E2,D2,C2), DATE(E1,D1,C1), ""DAILY"")"),"Date")</f>
        <v>Date</v>
      </c>
      <c r="B4" s="58" t="str">
        <f>IFERROR(__xludf.DUMMYFUNCTION("""COMPUTED_VALUE"""),"Close")</f>
        <v>Close</v>
      </c>
      <c r="C4" s="58" t="str">
        <f>IFERROR(__xludf.DUMMYFUNCTION("GOOGLEFINANCE(L3, ""open"", DATE(E2,D2,C2), DATE(E1,D1,C1), ""DAILY"")"),"Date")</f>
        <v>Date</v>
      </c>
      <c r="D4" s="58" t="str">
        <f>IFERROR(__xludf.DUMMYFUNCTION("""COMPUTED_VALUE"""),"Open")</f>
        <v>Open</v>
      </c>
      <c r="E4" s="59" t="str">
        <f>IFERROR(__xludf.DUMMYFUNCTION("GOOGLEFINANCE(L3, ""VOLUME"", DATE(E2,D2,C2), DATE(E1,D1,C1), ""DAILY"")"),"Date")</f>
        <v>Date</v>
      </c>
      <c r="F4" s="58" t="str">
        <f>IFERROR(__xludf.DUMMYFUNCTION("""COMPUTED_VALUE"""),"Volume")</f>
        <v>Volume</v>
      </c>
      <c r="G4" s="59" t="str">
        <f>IFERROR(__xludf.DUMMYFUNCTION("GOOGLEFINANCE(L3, ""HIGH"", DATE(E2,D2,C2), DATE(E1,D1,C1), ""DAILY"")"),"Date")</f>
        <v>Date</v>
      </c>
      <c r="H4" s="59" t="str">
        <f>IFERROR(__xludf.DUMMYFUNCTION("""COMPUTED_VALUE"""),"High")</f>
        <v>High</v>
      </c>
      <c r="I4" s="59" t="str">
        <f>IFERROR(__xludf.DUMMYFUNCTION("GOOGLEFINANCE(L3, ""LOW"", DATE(E2,D2,C2), DATE(E1,D1,C1), ""DAILY"")"),"Date")</f>
        <v>Date</v>
      </c>
      <c r="J4" s="69" t="str">
        <f>IFERROR(__xludf.DUMMYFUNCTION("""COMPUTED_VALUE"""),"Low")</f>
        <v>Low</v>
      </c>
      <c r="K4" s="70" t="s">
        <v>271</v>
      </c>
      <c r="L4" s="70" t="s">
        <v>272</v>
      </c>
      <c r="M4" s="70" t="s">
        <v>273</v>
      </c>
      <c r="N4" s="70" t="s">
        <v>274</v>
      </c>
      <c r="O4" s="70" t="s">
        <v>275</v>
      </c>
      <c r="P4" s="70" t="s">
        <v>276</v>
      </c>
      <c r="Q4" s="73" t="s">
        <v>277</v>
      </c>
      <c r="R4" s="73" t="s">
        <v>278</v>
      </c>
      <c r="S4" s="73" t="s">
        <v>279</v>
      </c>
      <c r="T4" s="73" t="s">
        <v>280</v>
      </c>
      <c r="U4" s="73" t="s">
        <v>281</v>
      </c>
      <c r="V4" s="73" t="s">
        <v>282</v>
      </c>
      <c r="W4" s="70" t="s">
        <v>283</v>
      </c>
      <c r="X4" s="74" t="s">
        <v>284</v>
      </c>
      <c r="Y4" s="37" t="s">
        <v>285</v>
      </c>
      <c r="Z4" s="77" t="s">
        <v>286</v>
      </c>
      <c r="AA4" s="39" t="s">
        <v>287</v>
      </c>
      <c r="AB4" s="40" t="s">
        <v>288</v>
      </c>
      <c r="AC4" s="19"/>
      <c r="AD4" s="19"/>
      <c r="AE4" s="41"/>
      <c r="AF4" s="48">
        <f>'Adani Enterprises'!AF4</f>
        <v>0</v>
      </c>
      <c r="AG4" s="48">
        <f>'Adani Enterprises'!AG4</f>
        <v>0</v>
      </c>
      <c r="AH4" s="48">
        <f>'Adani Enterprises'!AH4</f>
        <v>0</v>
      </c>
      <c r="AI4" s="48">
        <f>'Adani Enterprises'!AI4</f>
        <v>0</v>
      </c>
      <c r="AJ4" s="48">
        <f>'Adani Enterprises'!AJ4</f>
        <v>0</v>
      </c>
      <c r="AK4" s="48">
        <f>'Adani Enterprises'!AK4</f>
        <v>0</v>
      </c>
      <c r="AL4" s="48">
        <f>'Adani Enterprises'!AL4</f>
        <v>0</v>
      </c>
    </row>
    <row r="5" customHeight="1" spans="1:38">
      <c r="A5" s="60">
        <f>IFERROR(__xludf.DUMMYFUNCTION("""COMPUTED_VALUE"""),45743.6458333333)</f>
        <v>45743.6458333333</v>
      </c>
      <c r="B5" s="61">
        <f>IFERROR(__xludf.DUMMYFUNCTION("""COMPUTED_VALUE"""),2338.1)</f>
        <v>2338.1</v>
      </c>
      <c r="C5" s="60">
        <f>IFERROR(__xludf.DUMMYFUNCTION("""COMPUTED_VALUE"""),45743.6458333333)</f>
        <v>45743.6458333333</v>
      </c>
      <c r="D5" s="61">
        <f>IFERROR(__xludf.DUMMYFUNCTION("""COMPUTED_VALUE"""),2315)</f>
        <v>2315</v>
      </c>
      <c r="E5" s="60">
        <f>IFERROR(__xludf.DUMMYFUNCTION("""COMPUTED_VALUE"""),45743.6458333333)</f>
        <v>45743.6458333333</v>
      </c>
      <c r="F5" s="61">
        <f>IFERROR(__xludf.DUMMYFUNCTION("""COMPUTED_VALUE"""),1497869)</f>
        <v>1497869</v>
      </c>
      <c r="G5" s="60">
        <f>IFERROR(__xludf.DUMMYFUNCTION("""COMPUTED_VALUE"""),45743.6458333333)</f>
        <v>45743.6458333333</v>
      </c>
      <c r="H5" s="61">
        <f>IFERROR(__xludf.DUMMYFUNCTION("""COMPUTED_VALUE"""),2350.1)</f>
        <v>2350.1</v>
      </c>
      <c r="I5" s="71">
        <f>IFERROR(__xludf.DUMMYFUNCTION("""COMPUTED_VALUE"""),45743.6458333333)</f>
        <v>45743.6458333333</v>
      </c>
      <c r="J5" s="51">
        <f>IFERROR(__xludf.DUMMYFUNCTION("""COMPUTED_VALUE"""),2290.5)</f>
        <v>2290.5</v>
      </c>
      <c r="K5" s="51"/>
      <c r="L5" s="51"/>
      <c r="M5" s="51">
        <f t="array" ref="M5">INDEX(K11:K124,MATCH(SMALL(ABS(K11:K124-H3),1),ABS(K11:K124-H3),0))</f>
        <v>2467.9</v>
      </c>
      <c r="N5" s="51">
        <f t="array" ref="N5">INDEX(K11:K124,MATCH(SMALL(ABS(K11:K124-H3),2),ABS(K11:K124-H3),0))</f>
        <v>2498.9</v>
      </c>
      <c r="O5" s="51">
        <f t="array" ref="O5">INDEX(L11:L124,MATCH(SMALL(ABS(L11:L124-H3),1),ABS(L11:L124-H3),0))</f>
        <v>2336.2</v>
      </c>
      <c r="P5" s="51">
        <f t="array" ref="P5">INDEX(L11:L124,MATCH(SMALL(ABS(L11:L124-H3),2),ABS(L11:L124-H3),0))</f>
        <v>2282.3</v>
      </c>
      <c r="Q5" s="48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S5" s="75">
        <f ca="1">IF(Q5&gt;0,Q5,S5)</f>
        <v>2498.9</v>
      </c>
      <c r="T5" s="48">
        <f ca="1">IF(AND(H3&gt;=Mastersheet!I3*S5,H3&lt;=Mastersheet!J3*S5),1,0)</f>
        <v>0</v>
      </c>
      <c r="U5" s="76">
        <f>(N3+P3)/2</f>
        <v>2370.15</v>
      </c>
      <c r="V5" s="48">
        <f>(N3+P3+R3+T3)/4</f>
        <v>2369.825</v>
      </c>
      <c r="W5" s="48">
        <f>IF(V5&gt;U5,1,0)</f>
        <v>0</v>
      </c>
      <c r="X5" s="48">
        <f>IF(V5&gt;U5,0,1)</f>
        <v>1</v>
      </c>
      <c r="Y5" s="48">
        <f>IF(COUNTIF(Mastersheet!E:E,L3)&gt;0,0,1)</f>
        <v>1</v>
      </c>
      <c r="Z5" s="78">
        <f ca="1">IF(T5*W5*Y5=1,1,0)</f>
        <v>0</v>
      </c>
      <c r="AA5" s="79"/>
      <c r="AB5" s="44" t="s">
        <v>289</v>
      </c>
      <c r="AC5" s="80" t="s">
        <v>290</v>
      </c>
      <c r="AD5" s="81" t="s">
        <v>291</v>
      </c>
      <c r="AE5" s="81" t="s">
        <v>292</v>
      </c>
      <c r="AF5" s="48">
        <f>'Adani Enterprises'!AF5</f>
        <v>0</v>
      </c>
      <c r="AG5" s="48">
        <f>'Adani Enterprises'!AG5</f>
        <v>0</v>
      </c>
      <c r="AH5" s="48">
        <f>'Adani Enterprises'!AH5</f>
        <v>0</v>
      </c>
      <c r="AI5" s="48">
        <f>'Adani Enterprises'!AI5</f>
        <v>0</v>
      </c>
      <c r="AJ5" s="48">
        <f>'Adani Enterprises'!AJ5</f>
        <v>0</v>
      </c>
      <c r="AK5" s="48">
        <f>'Adani Enterprises'!AK5</f>
        <v>0</v>
      </c>
      <c r="AL5" s="48">
        <f>'Adani Enterprises'!AL5</f>
        <v>0</v>
      </c>
    </row>
    <row r="6" customHeight="1" spans="1:38">
      <c r="A6" s="47">
        <f>IFERROR(__xludf.DUMMYFUNCTION("""COMPUTED_VALUE"""),45744.6458333333)</f>
        <v>45744.6458333333</v>
      </c>
      <c r="B6" s="48">
        <f>IFERROR(__xludf.DUMMYFUNCTION("""COMPUTED_VALUE"""),2340.65)</f>
        <v>2340.65</v>
      </c>
      <c r="C6" s="47">
        <f>IFERROR(__xludf.DUMMYFUNCTION("""COMPUTED_VALUE"""),45744.6458333333)</f>
        <v>45744.6458333333</v>
      </c>
      <c r="D6" s="48">
        <f>IFERROR(__xludf.DUMMYFUNCTION("""COMPUTED_VALUE"""),2343.95)</f>
        <v>2343.95</v>
      </c>
      <c r="E6" s="47">
        <f>IFERROR(__xludf.DUMMYFUNCTION("""COMPUTED_VALUE"""),45744.6458333333)</f>
        <v>45744.6458333333</v>
      </c>
      <c r="F6" s="48">
        <f>IFERROR(__xludf.DUMMYFUNCTION("""COMPUTED_VALUE"""),1281871)</f>
        <v>1281871</v>
      </c>
      <c r="G6" s="47">
        <f>IFERROR(__xludf.DUMMYFUNCTION("""COMPUTED_VALUE"""),45744.6458333333)</f>
        <v>45744.6458333333</v>
      </c>
      <c r="H6" s="48">
        <f>IFERROR(__xludf.DUMMYFUNCTION("""COMPUTED_VALUE"""),2364)</f>
        <v>2364</v>
      </c>
      <c r="I6" s="47">
        <f>IFERROR(__xludf.DUMMYFUNCTION("""COMPUTED_VALUE"""),45744.6458333333)</f>
        <v>45744.6458333333</v>
      </c>
      <c r="J6" s="48">
        <f>IFERROR(__xludf.DUMMYFUNCTION("""COMPUTED_VALUE"""),2325)</f>
        <v>2325</v>
      </c>
      <c r="AB6" s="48">
        <f>IF(COUNTIF(Mastersheet!E:E,L3)&gt;0,1,0)</f>
        <v>0</v>
      </c>
      <c r="AC6" s="48">
        <f>IF(AND(H3&gt;Mastersheet!L3*Mastersheet!F3,X5),1,0)</f>
        <v>1</v>
      </c>
      <c r="AD6" s="76">
        <f>IF(H3&lt;Mastersheet!M3*Mastersheet!F3,1,0)</f>
        <v>0</v>
      </c>
      <c r="AE6" s="48">
        <f>IF(OR(AC6*AB6=1,AD6*AB6=1),1,0)</f>
        <v>0</v>
      </c>
      <c r="AF6" s="48">
        <f>'Adani Enterprises'!AF6</f>
        <v>0</v>
      </c>
      <c r="AG6" s="48">
        <f>'Adani Enterprises'!AG6</f>
        <v>0</v>
      </c>
      <c r="AH6" s="48">
        <f>'Adani Enterprises'!AH6</f>
        <v>0</v>
      </c>
      <c r="AI6" s="48">
        <f>'Adani Enterprises'!AI6</f>
        <v>0</v>
      </c>
      <c r="AJ6" s="48">
        <f>'Adani Enterprises'!AJ6</f>
        <v>0</v>
      </c>
      <c r="AK6" s="48">
        <f>'Adani Enterprises'!AK6</f>
        <v>0</v>
      </c>
      <c r="AL6" s="48">
        <f>'Adani Enterprises'!AL6</f>
        <v>0</v>
      </c>
    </row>
    <row r="7" customHeight="1" spans="1:38">
      <c r="A7" s="47">
        <f>IFERROR(__xludf.DUMMYFUNCTION("""COMPUTED_VALUE"""),45748.6458333333)</f>
        <v>45748.6458333333</v>
      </c>
      <c r="B7" s="48">
        <f>IFERROR(__xludf.DUMMYFUNCTION("""COMPUTED_VALUE"""),2316)</f>
        <v>2316</v>
      </c>
      <c r="C7" s="47">
        <f>IFERROR(__xludf.DUMMYFUNCTION("""COMPUTED_VALUE"""),45748.6458333333)</f>
        <v>45748.6458333333</v>
      </c>
      <c r="D7" s="48">
        <f>IFERROR(__xludf.DUMMYFUNCTION("""COMPUTED_VALUE"""),2342)</f>
        <v>2342</v>
      </c>
      <c r="E7" s="47">
        <f>IFERROR(__xludf.DUMMYFUNCTION("""COMPUTED_VALUE"""),45748.6458333333)</f>
        <v>45748.6458333333</v>
      </c>
      <c r="F7" s="48">
        <f>IFERROR(__xludf.DUMMYFUNCTION("""COMPUTED_VALUE"""),970583)</f>
        <v>970583</v>
      </c>
      <c r="G7" s="47">
        <f>IFERROR(__xludf.DUMMYFUNCTION("""COMPUTED_VALUE"""),45748.6458333333)</f>
        <v>45748.6458333333</v>
      </c>
      <c r="H7" s="48">
        <f>IFERROR(__xludf.DUMMYFUNCTION("""COMPUTED_VALUE"""),2361.7)</f>
        <v>2361.7</v>
      </c>
      <c r="I7" s="47">
        <f>IFERROR(__xludf.DUMMYFUNCTION("""COMPUTED_VALUE"""),45748.6458333333)</f>
        <v>45748.6458333333</v>
      </c>
      <c r="J7" s="48">
        <f>IFERROR(__xludf.DUMMYFUNCTION("""COMPUTED_VALUE"""),2305.75)</f>
        <v>2305.75</v>
      </c>
      <c r="AF7" s="48">
        <f>'Adani Enterprises'!AF7</f>
        <v>0</v>
      </c>
      <c r="AG7" s="48">
        <f>'Adani Enterprises'!AG7</f>
        <v>0</v>
      </c>
      <c r="AH7" s="48">
        <f>'Adani Enterprises'!AH7</f>
        <v>0</v>
      </c>
      <c r="AI7" s="48">
        <f>'Adani Enterprises'!AI7</f>
        <v>0</v>
      </c>
      <c r="AJ7" s="48">
        <f>'Adani Enterprises'!AJ7</f>
        <v>0</v>
      </c>
      <c r="AK7" s="48">
        <f>'Adani Enterprises'!AK7</f>
        <v>0</v>
      </c>
      <c r="AL7" s="48">
        <f>'Adani Enterprises'!AL7</f>
        <v>0</v>
      </c>
    </row>
    <row r="8" customHeight="1" spans="1:38">
      <c r="A8" s="47">
        <f>IFERROR(__xludf.DUMMYFUNCTION("""COMPUTED_VALUE"""),45749.6458333333)</f>
        <v>45749.6458333333</v>
      </c>
      <c r="B8" s="48">
        <f>IFERROR(__xludf.DUMMYFUNCTION("""COMPUTED_VALUE"""),2306.65)</f>
        <v>2306.65</v>
      </c>
      <c r="C8" s="47">
        <f>IFERROR(__xludf.DUMMYFUNCTION("""COMPUTED_VALUE"""),45749.6458333333)</f>
        <v>45749.6458333333</v>
      </c>
      <c r="D8" s="48">
        <f>IFERROR(__xludf.DUMMYFUNCTION("""COMPUTED_VALUE"""),2328)</f>
        <v>2328</v>
      </c>
      <c r="E8" s="47">
        <f>IFERROR(__xludf.DUMMYFUNCTION("""COMPUTED_VALUE"""),45749.6458333333)</f>
        <v>45749.6458333333</v>
      </c>
      <c r="F8" s="48">
        <f>IFERROR(__xludf.DUMMYFUNCTION("""COMPUTED_VALUE"""),792695)</f>
        <v>792695</v>
      </c>
      <c r="G8" s="47">
        <f>IFERROR(__xludf.DUMMYFUNCTION("""COMPUTED_VALUE"""),45749.6458333333)</f>
        <v>45749.6458333333</v>
      </c>
      <c r="H8" s="48">
        <f>IFERROR(__xludf.DUMMYFUNCTION("""COMPUTED_VALUE"""),2328.4)</f>
        <v>2328.4</v>
      </c>
      <c r="I8" s="47">
        <f>IFERROR(__xludf.DUMMYFUNCTION("""COMPUTED_VALUE"""),45749.6458333333)</f>
        <v>45749.6458333333</v>
      </c>
      <c r="J8" s="48">
        <f>IFERROR(__xludf.DUMMYFUNCTION("""COMPUTED_VALUE"""),2292.15)</f>
        <v>2292.15</v>
      </c>
      <c r="AF8" s="48">
        <f>'Adani Enterprises'!AF8</f>
        <v>0</v>
      </c>
      <c r="AG8" s="48">
        <f>'Adani Enterprises'!AG8</f>
        <v>0</v>
      </c>
      <c r="AH8" s="48">
        <f>'Adani Enterprises'!AH8</f>
        <v>0</v>
      </c>
      <c r="AI8" s="48">
        <f>'Adani Enterprises'!AI8</f>
        <v>0</v>
      </c>
      <c r="AJ8" s="48">
        <f>'Adani Enterprises'!AJ8</f>
        <v>0</v>
      </c>
      <c r="AK8" s="48">
        <f>'Adani Enterprises'!AK8</f>
        <v>0</v>
      </c>
      <c r="AL8" s="48">
        <f>'Adani Enterprises'!AL8</f>
        <v>0</v>
      </c>
    </row>
    <row r="9" customHeight="1" spans="1:38">
      <c r="A9" s="47">
        <f>IFERROR(__xludf.DUMMYFUNCTION("""COMPUTED_VALUE"""),45750.6458333333)</f>
        <v>45750.6458333333</v>
      </c>
      <c r="B9" s="48">
        <f>IFERROR(__xludf.DUMMYFUNCTION("""COMPUTED_VALUE"""),2349.4)</f>
        <v>2349.4</v>
      </c>
      <c r="C9" s="47">
        <f>IFERROR(__xludf.DUMMYFUNCTION("""COMPUTED_VALUE"""),45750.6458333333)</f>
        <v>45750.6458333333</v>
      </c>
      <c r="D9" s="48">
        <f>IFERROR(__xludf.DUMMYFUNCTION("""COMPUTED_VALUE"""),2295)</f>
        <v>2295</v>
      </c>
      <c r="E9" s="47">
        <f>IFERROR(__xludf.DUMMYFUNCTION("""COMPUTED_VALUE"""),45750.6458333333)</f>
        <v>45750.6458333333</v>
      </c>
      <c r="F9" s="48">
        <f>IFERROR(__xludf.DUMMYFUNCTION("""COMPUTED_VALUE"""),608846)</f>
        <v>608846</v>
      </c>
      <c r="G9" s="47">
        <f>IFERROR(__xludf.DUMMYFUNCTION("""COMPUTED_VALUE"""),45750.6458333333)</f>
        <v>45750.6458333333</v>
      </c>
      <c r="H9" s="48">
        <f>IFERROR(__xludf.DUMMYFUNCTION("""COMPUTED_VALUE"""),2354.9)</f>
        <v>2354.9</v>
      </c>
      <c r="I9" s="47">
        <f>IFERROR(__xludf.DUMMYFUNCTION("""COMPUTED_VALUE"""),45750.6458333333)</f>
        <v>45750.6458333333</v>
      </c>
      <c r="J9" s="48">
        <f>IFERROR(__xludf.DUMMYFUNCTION("""COMPUTED_VALUE"""),2289.8)</f>
        <v>2289.8</v>
      </c>
      <c r="AF9" s="48">
        <f>'Adani Enterprises'!AF9</f>
        <v>0</v>
      </c>
      <c r="AG9" s="48">
        <f>'Adani Enterprises'!AG9</f>
        <v>0</v>
      </c>
      <c r="AH9" s="48">
        <f>'Adani Enterprises'!AH9</f>
        <v>0</v>
      </c>
      <c r="AI9" s="48">
        <f>'Adani Enterprises'!AI9</f>
        <v>0</v>
      </c>
      <c r="AJ9" s="48">
        <f>'Adani Enterprises'!AJ9</f>
        <v>0</v>
      </c>
      <c r="AK9" s="48">
        <f>'Adani Enterprises'!AK9</f>
        <v>0</v>
      </c>
      <c r="AL9" s="48">
        <f>'Adani Enterprises'!AL9</f>
        <v>0</v>
      </c>
    </row>
    <row r="10" customHeight="1" spans="1:38">
      <c r="A10" s="47">
        <f>IFERROR(__xludf.DUMMYFUNCTION("""COMPUTED_VALUE"""),45751.6458333333)</f>
        <v>45751.6458333333</v>
      </c>
      <c r="B10" s="48">
        <f>IFERROR(__xludf.DUMMYFUNCTION("""COMPUTED_VALUE"""),2356.05)</f>
        <v>2356.05</v>
      </c>
      <c r="C10" s="47">
        <f>IFERROR(__xludf.DUMMYFUNCTION("""COMPUTED_VALUE"""),45751.6458333333)</f>
        <v>45751.6458333333</v>
      </c>
      <c r="D10" s="48">
        <f>IFERROR(__xludf.DUMMYFUNCTION("""COMPUTED_VALUE"""),2349.4)</f>
        <v>2349.4</v>
      </c>
      <c r="E10" s="47">
        <f>IFERROR(__xludf.DUMMYFUNCTION("""COMPUTED_VALUE"""),45751.6458333333)</f>
        <v>45751.6458333333</v>
      </c>
      <c r="F10" s="48">
        <f>IFERROR(__xludf.DUMMYFUNCTION("""COMPUTED_VALUE"""),1163188)</f>
        <v>1163188</v>
      </c>
      <c r="G10" s="47">
        <f>IFERROR(__xludf.DUMMYFUNCTION("""COMPUTED_VALUE"""),45751.6458333333)</f>
        <v>45751.6458333333</v>
      </c>
      <c r="H10" s="48">
        <f>IFERROR(__xludf.DUMMYFUNCTION("""COMPUTED_VALUE"""),2363.95)</f>
        <v>2363.95</v>
      </c>
      <c r="I10" s="47">
        <f>IFERROR(__xludf.DUMMYFUNCTION("""COMPUTED_VALUE"""),45751.6458333333)</f>
        <v>45751.6458333333</v>
      </c>
      <c r="J10" s="48">
        <f>IFERROR(__xludf.DUMMYFUNCTION("""COMPUTED_VALUE"""),2302.8)</f>
        <v>2302.8</v>
      </c>
      <c r="AF10" s="48">
        <f>'Adani Enterprises'!AF10</f>
        <v>0</v>
      </c>
      <c r="AG10" s="48">
        <f>'Adani Enterprises'!AG10</f>
        <v>0</v>
      </c>
      <c r="AH10" s="48">
        <f>'Adani Enterprises'!AH10</f>
        <v>0</v>
      </c>
      <c r="AI10" s="48">
        <f>'Adani Enterprises'!AI10</f>
        <v>0</v>
      </c>
      <c r="AJ10" s="48">
        <f>'Adani Enterprises'!AJ10</f>
        <v>0</v>
      </c>
      <c r="AK10" s="48">
        <f>'Adani Enterprises'!AK10</f>
        <v>0</v>
      </c>
      <c r="AL10" s="48">
        <f>'Adani Enterprises'!AL10</f>
        <v>0</v>
      </c>
    </row>
    <row r="11" customHeight="1" spans="1:38">
      <c r="A11" s="47">
        <f>IFERROR(__xludf.DUMMYFUNCTION("""COMPUTED_VALUE"""),45754.6458333333)</f>
        <v>45754.6458333333</v>
      </c>
      <c r="B11" s="48">
        <f>IFERROR(__xludf.DUMMYFUNCTION("""COMPUTED_VALUE"""),2341.35)</f>
        <v>2341.35</v>
      </c>
      <c r="C11" s="47">
        <f>IFERROR(__xludf.DUMMYFUNCTION("""COMPUTED_VALUE"""),45754.6458333333)</f>
        <v>45754.6458333333</v>
      </c>
      <c r="D11" s="48">
        <f>IFERROR(__xludf.DUMMYFUNCTION("""COMPUTED_VALUE"""),2190)</f>
        <v>2190</v>
      </c>
      <c r="E11" s="47">
        <f>IFERROR(__xludf.DUMMYFUNCTION("""COMPUTED_VALUE"""),45754.6458333333)</f>
        <v>45754.6458333333</v>
      </c>
      <c r="F11" s="48">
        <f>IFERROR(__xludf.DUMMYFUNCTION("""COMPUTED_VALUE"""),1745827)</f>
        <v>1745827</v>
      </c>
      <c r="G11" s="47">
        <f>IFERROR(__xludf.DUMMYFUNCTION("""COMPUTED_VALUE"""),45754.6458333333)</f>
        <v>45754.6458333333</v>
      </c>
      <c r="H11" s="48">
        <f>IFERROR(__xludf.DUMMYFUNCTION("""COMPUTED_VALUE"""),2354)</f>
        <v>2354</v>
      </c>
      <c r="I11" s="47">
        <f>IFERROR(__xludf.DUMMYFUNCTION("""COMPUTED_VALUE"""),45754.6458333333)</f>
        <v>45754.6458333333</v>
      </c>
      <c r="J11" s="48">
        <f>IFERROR(__xludf.DUMMYFUNCTION("""COMPUTED_VALUE"""),2190)</f>
        <v>2190</v>
      </c>
      <c r="K11" s="3">
        <f t="shared" ref="K11:K125" si="2">IF(B11=MAX(B5:B17),B11,0)</f>
        <v>0</v>
      </c>
      <c r="L11" s="3">
        <f t="shared" ref="L11:L125" si="3">IF(B11=MIN(B5:B17),B11,0)</f>
        <v>0</v>
      </c>
      <c r="AF11" s="48">
        <f>'Adani Enterprises'!AF11</f>
        <v>0</v>
      </c>
      <c r="AG11" s="48">
        <f>'Adani Enterprises'!AG11</f>
        <v>0</v>
      </c>
      <c r="AH11" s="48">
        <f>'Adani Enterprises'!AH11</f>
        <v>0</v>
      </c>
      <c r="AI11" s="48">
        <f>'Adani Enterprises'!AI11</f>
        <v>0</v>
      </c>
      <c r="AJ11" s="48">
        <f>'Adani Enterprises'!AJ11</f>
        <v>0</v>
      </c>
      <c r="AK11" s="48">
        <f>'Adani Enterprises'!AK11</f>
        <v>0</v>
      </c>
      <c r="AL11" s="48">
        <f>'Adani Enterprises'!AL11</f>
        <v>0</v>
      </c>
    </row>
    <row r="12" customHeight="1" spans="1:38">
      <c r="A12" s="47">
        <f>IFERROR(__xludf.DUMMYFUNCTION("""COMPUTED_VALUE"""),45755.6458333333)</f>
        <v>45755.6458333333</v>
      </c>
      <c r="B12" s="48">
        <f>IFERROR(__xludf.DUMMYFUNCTION("""COMPUTED_VALUE"""),2394.2)</f>
        <v>2394.2</v>
      </c>
      <c r="C12" s="47">
        <f>IFERROR(__xludf.DUMMYFUNCTION("""COMPUTED_VALUE"""),45755.6458333333)</f>
        <v>45755.6458333333</v>
      </c>
      <c r="D12" s="48">
        <f>IFERROR(__xludf.DUMMYFUNCTION("""COMPUTED_VALUE"""),2356)</f>
        <v>2356</v>
      </c>
      <c r="E12" s="47">
        <f>IFERROR(__xludf.DUMMYFUNCTION("""COMPUTED_VALUE"""),45755.6458333333)</f>
        <v>45755.6458333333</v>
      </c>
      <c r="F12" s="48">
        <f>IFERROR(__xludf.DUMMYFUNCTION("""COMPUTED_VALUE"""),1876867)</f>
        <v>1876867</v>
      </c>
      <c r="G12" s="47">
        <f>IFERROR(__xludf.DUMMYFUNCTION("""COMPUTED_VALUE"""),45755.6458333333)</f>
        <v>45755.6458333333</v>
      </c>
      <c r="H12" s="48">
        <f>IFERROR(__xludf.DUMMYFUNCTION("""COMPUTED_VALUE"""),2420)</f>
        <v>2420</v>
      </c>
      <c r="I12" s="47">
        <f>IFERROR(__xludf.DUMMYFUNCTION("""COMPUTED_VALUE"""),45755.6458333333)</f>
        <v>45755.6458333333</v>
      </c>
      <c r="J12" s="48">
        <f>IFERROR(__xludf.DUMMYFUNCTION("""COMPUTED_VALUE"""),2356)</f>
        <v>2356</v>
      </c>
      <c r="K12" s="3">
        <f t="shared" si="2"/>
        <v>0</v>
      </c>
      <c r="L12" s="3">
        <f t="shared" si="3"/>
        <v>0</v>
      </c>
      <c r="AF12" s="48">
        <f>'Adani Enterprises'!AF12</f>
        <v>0</v>
      </c>
      <c r="AG12" s="48">
        <f>'Adani Enterprises'!AG12</f>
        <v>0</v>
      </c>
      <c r="AH12" s="48">
        <f>'Adani Enterprises'!AH12</f>
        <v>0</v>
      </c>
      <c r="AI12" s="48">
        <f>'Adani Enterprises'!AI12</f>
        <v>0</v>
      </c>
      <c r="AJ12" s="48">
        <f>'Adani Enterprises'!AJ12</f>
        <v>0</v>
      </c>
      <c r="AK12" s="48">
        <f>'Adani Enterprises'!AK12</f>
        <v>0</v>
      </c>
      <c r="AL12" s="48">
        <f>'Adani Enterprises'!AL12</f>
        <v>0</v>
      </c>
    </row>
    <row r="13" customHeight="1" spans="1:38">
      <c r="A13" s="47">
        <f>IFERROR(__xludf.DUMMYFUNCTION("""COMPUTED_VALUE"""),45756.6458333333)</f>
        <v>45756.6458333333</v>
      </c>
      <c r="B13" s="48">
        <f>IFERROR(__xludf.DUMMYFUNCTION("""COMPUTED_VALUE"""),2411.15)</f>
        <v>2411.15</v>
      </c>
      <c r="C13" s="47">
        <f>IFERROR(__xludf.DUMMYFUNCTION("""COMPUTED_VALUE"""),45756.6458333333)</f>
        <v>45756.6458333333</v>
      </c>
      <c r="D13" s="48">
        <f>IFERROR(__xludf.DUMMYFUNCTION("""COMPUTED_VALUE"""),2400)</f>
        <v>2400</v>
      </c>
      <c r="E13" s="47">
        <f>IFERROR(__xludf.DUMMYFUNCTION("""COMPUTED_VALUE"""),45756.6458333333)</f>
        <v>45756.6458333333</v>
      </c>
      <c r="F13" s="48">
        <f>IFERROR(__xludf.DUMMYFUNCTION("""COMPUTED_VALUE"""),1186947)</f>
        <v>1186947</v>
      </c>
      <c r="G13" s="47">
        <f>IFERROR(__xludf.DUMMYFUNCTION("""COMPUTED_VALUE"""),45756.6458333333)</f>
        <v>45756.6458333333</v>
      </c>
      <c r="H13" s="48">
        <f>IFERROR(__xludf.DUMMYFUNCTION("""COMPUTED_VALUE"""),2429.45)</f>
        <v>2429.45</v>
      </c>
      <c r="I13" s="47">
        <f>IFERROR(__xludf.DUMMYFUNCTION("""COMPUTED_VALUE"""),45756.6458333333)</f>
        <v>45756.6458333333</v>
      </c>
      <c r="J13" s="48">
        <f>IFERROR(__xludf.DUMMYFUNCTION("""COMPUTED_VALUE"""),2390.9)</f>
        <v>2390.9</v>
      </c>
      <c r="K13" s="3">
        <f t="shared" si="2"/>
        <v>0</v>
      </c>
      <c r="L13" s="3">
        <f t="shared" si="3"/>
        <v>0</v>
      </c>
      <c r="AF13" s="48">
        <f>'Adani Enterprises'!AF13</f>
        <v>0</v>
      </c>
      <c r="AG13" s="48">
        <f>'Adani Enterprises'!AG13</f>
        <v>0</v>
      </c>
      <c r="AH13" s="48">
        <f>'Adani Enterprises'!AH13</f>
        <v>0</v>
      </c>
      <c r="AI13" s="48">
        <f>'Adani Enterprises'!AI13</f>
        <v>0</v>
      </c>
      <c r="AJ13" s="48">
        <f>'Adani Enterprises'!AJ13</f>
        <v>0</v>
      </c>
      <c r="AK13" s="48">
        <f>'Adani Enterprises'!AK13</f>
        <v>0</v>
      </c>
      <c r="AL13" s="48">
        <f>'Adani Enterprises'!AL13</f>
        <v>0</v>
      </c>
    </row>
    <row r="14" customHeight="1" spans="1:38">
      <c r="A14" s="47">
        <f>IFERROR(__xludf.DUMMYFUNCTION("""COMPUTED_VALUE"""),45758.6458333333)</f>
        <v>45758.6458333333</v>
      </c>
      <c r="B14" s="48">
        <f>IFERROR(__xludf.DUMMYFUNCTION("""COMPUTED_VALUE"""),2393.6)</f>
        <v>2393.6</v>
      </c>
      <c r="C14" s="47">
        <f>IFERROR(__xludf.DUMMYFUNCTION("""COMPUTED_VALUE"""),45758.6458333333)</f>
        <v>45758.6458333333</v>
      </c>
      <c r="D14" s="48">
        <f>IFERROR(__xludf.DUMMYFUNCTION("""COMPUTED_VALUE"""),2439.5)</f>
        <v>2439.5</v>
      </c>
      <c r="E14" s="47">
        <f>IFERROR(__xludf.DUMMYFUNCTION("""COMPUTED_VALUE"""),45758.6458333333)</f>
        <v>45758.6458333333</v>
      </c>
      <c r="F14" s="48">
        <f>IFERROR(__xludf.DUMMYFUNCTION("""COMPUTED_VALUE"""),968152)</f>
        <v>968152</v>
      </c>
      <c r="G14" s="47">
        <f>IFERROR(__xludf.DUMMYFUNCTION("""COMPUTED_VALUE"""),45758.6458333333)</f>
        <v>45758.6458333333</v>
      </c>
      <c r="H14" s="48">
        <f>IFERROR(__xludf.DUMMYFUNCTION("""COMPUTED_VALUE"""),2448)</f>
        <v>2448</v>
      </c>
      <c r="I14" s="47">
        <f>IFERROR(__xludf.DUMMYFUNCTION("""COMPUTED_VALUE"""),45758.6458333333)</f>
        <v>45758.6458333333</v>
      </c>
      <c r="J14" s="48">
        <f>IFERROR(__xludf.DUMMYFUNCTION("""COMPUTED_VALUE"""),2380.25)</f>
        <v>2380.25</v>
      </c>
      <c r="K14" s="3">
        <f t="shared" si="2"/>
        <v>0</v>
      </c>
      <c r="L14" s="3">
        <f t="shared" si="3"/>
        <v>0</v>
      </c>
      <c r="AF14" s="48">
        <f>'Adani Enterprises'!AF14</f>
        <v>0</v>
      </c>
      <c r="AG14" s="48">
        <f>'Adani Enterprises'!AG14</f>
        <v>0</v>
      </c>
      <c r="AH14" s="48">
        <f>'Adani Enterprises'!AH14</f>
        <v>0</v>
      </c>
      <c r="AI14" s="48">
        <f>'Adani Enterprises'!AI14</f>
        <v>0</v>
      </c>
      <c r="AJ14" s="48">
        <f>'Adani Enterprises'!AJ14</f>
        <v>0</v>
      </c>
      <c r="AK14" s="48">
        <f>'Adani Enterprises'!AK14</f>
        <v>0</v>
      </c>
      <c r="AL14" s="48">
        <f>'Adani Enterprises'!AL14</f>
        <v>0</v>
      </c>
    </row>
    <row r="15" customHeight="1" spans="1:38">
      <c r="A15" s="47">
        <f>IFERROR(__xludf.DUMMYFUNCTION("""COMPUTED_VALUE"""),45762.6458333333)</f>
        <v>45762.6458333333</v>
      </c>
      <c r="B15" s="48">
        <f>IFERROR(__xludf.DUMMYFUNCTION("""COMPUTED_VALUE"""),2415.7)</f>
        <v>2415.7</v>
      </c>
      <c r="C15" s="47">
        <f>IFERROR(__xludf.DUMMYFUNCTION("""COMPUTED_VALUE"""),45762.6458333333)</f>
        <v>45762.6458333333</v>
      </c>
      <c r="D15" s="48">
        <f>IFERROR(__xludf.DUMMYFUNCTION("""COMPUTED_VALUE"""),2414.9)</f>
        <v>2414.9</v>
      </c>
      <c r="E15" s="47">
        <f>IFERROR(__xludf.DUMMYFUNCTION("""COMPUTED_VALUE"""),45762.6458333333)</f>
        <v>45762.6458333333</v>
      </c>
      <c r="F15" s="48">
        <f>IFERROR(__xludf.DUMMYFUNCTION("""COMPUTED_VALUE"""),1141279)</f>
        <v>1141279</v>
      </c>
      <c r="G15" s="47">
        <f>IFERROR(__xludf.DUMMYFUNCTION("""COMPUTED_VALUE"""),45762.6458333333)</f>
        <v>45762.6458333333</v>
      </c>
      <c r="H15" s="48">
        <f>IFERROR(__xludf.DUMMYFUNCTION("""COMPUTED_VALUE"""),2425)</f>
        <v>2425</v>
      </c>
      <c r="I15" s="47">
        <f>IFERROR(__xludf.DUMMYFUNCTION("""COMPUTED_VALUE"""),45762.6458333333)</f>
        <v>45762.6458333333</v>
      </c>
      <c r="J15" s="48">
        <f>IFERROR(__xludf.DUMMYFUNCTION("""COMPUTED_VALUE"""),2385)</f>
        <v>2385</v>
      </c>
      <c r="K15" s="3">
        <f t="shared" si="2"/>
        <v>0</v>
      </c>
      <c r="L15" s="3">
        <f t="shared" si="3"/>
        <v>0</v>
      </c>
      <c r="AF15" s="48">
        <f>'Adani Enterprises'!AF15</f>
        <v>0</v>
      </c>
      <c r="AG15" s="48">
        <f>'Adani Enterprises'!AG15</f>
        <v>0</v>
      </c>
      <c r="AH15" s="48">
        <f>'Adani Enterprises'!AH15</f>
        <v>0</v>
      </c>
      <c r="AI15" s="48">
        <f>'Adani Enterprises'!AI15</f>
        <v>0</v>
      </c>
      <c r="AJ15" s="48">
        <f>'Adani Enterprises'!AJ15</f>
        <v>0</v>
      </c>
      <c r="AK15" s="48">
        <f>'Adani Enterprises'!AK15</f>
        <v>0</v>
      </c>
      <c r="AL15" s="48">
        <f>'Adani Enterprises'!AL15</f>
        <v>0</v>
      </c>
    </row>
    <row r="16" customHeight="1" spans="1:38">
      <c r="A16" s="47">
        <f>IFERROR(__xludf.DUMMYFUNCTION("""COMPUTED_VALUE"""),45763.6458333333)</f>
        <v>45763.6458333333</v>
      </c>
      <c r="B16" s="48">
        <f>IFERROR(__xludf.DUMMYFUNCTION("""COMPUTED_VALUE"""),2459.9)</f>
        <v>2459.9</v>
      </c>
      <c r="C16" s="47">
        <f>IFERROR(__xludf.DUMMYFUNCTION("""COMPUTED_VALUE"""),45763.6458333333)</f>
        <v>45763.6458333333</v>
      </c>
      <c r="D16" s="48">
        <f>IFERROR(__xludf.DUMMYFUNCTION("""COMPUTED_VALUE"""),2405.1)</f>
        <v>2405.1</v>
      </c>
      <c r="E16" s="47">
        <f>IFERROR(__xludf.DUMMYFUNCTION("""COMPUTED_VALUE"""),45763.6458333333)</f>
        <v>45763.6458333333</v>
      </c>
      <c r="F16" s="48">
        <f>IFERROR(__xludf.DUMMYFUNCTION("""COMPUTED_VALUE"""),1166700)</f>
        <v>1166700</v>
      </c>
      <c r="G16" s="47">
        <f>IFERROR(__xludf.DUMMYFUNCTION("""COMPUTED_VALUE"""),45763.6458333333)</f>
        <v>45763.6458333333</v>
      </c>
      <c r="H16" s="48">
        <f>IFERROR(__xludf.DUMMYFUNCTION("""COMPUTED_VALUE"""),2468.5)</f>
        <v>2468.5</v>
      </c>
      <c r="I16" s="47">
        <f>IFERROR(__xludf.DUMMYFUNCTION("""COMPUTED_VALUE"""),45763.6458333333)</f>
        <v>45763.6458333333</v>
      </c>
      <c r="J16" s="48">
        <f>IFERROR(__xludf.DUMMYFUNCTION("""COMPUTED_VALUE"""),2403.7)</f>
        <v>2403.7</v>
      </c>
      <c r="K16" s="3">
        <f t="shared" si="2"/>
        <v>0</v>
      </c>
      <c r="L16" s="3">
        <f t="shared" si="3"/>
        <v>0</v>
      </c>
      <c r="AF16" s="48">
        <f>'Adani Enterprises'!AF16</f>
        <v>0</v>
      </c>
      <c r="AG16" s="48">
        <f>'Adani Enterprises'!AG16</f>
        <v>0</v>
      </c>
      <c r="AH16" s="48">
        <f>'Adani Enterprises'!AH16</f>
        <v>0</v>
      </c>
      <c r="AI16" s="48">
        <f>'Adani Enterprises'!AI16</f>
        <v>0</v>
      </c>
      <c r="AJ16" s="48">
        <f>'Adani Enterprises'!AJ16</f>
        <v>0</v>
      </c>
      <c r="AK16" s="48">
        <f>'Adani Enterprises'!AK16</f>
        <v>0</v>
      </c>
      <c r="AL16" s="48">
        <f>'Adani Enterprises'!AL16</f>
        <v>0</v>
      </c>
    </row>
    <row r="17" customHeight="1" spans="1:38">
      <c r="A17" s="47">
        <f>IFERROR(__xludf.DUMMYFUNCTION("""COMPUTED_VALUE"""),45764.6458333333)</f>
        <v>45764.6458333333</v>
      </c>
      <c r="B17" s="48">
        <f>IFERROR(__xludf.DUMMYFUNCTION("""COMPUTED_VALUE"""),2467.9)</f>
        <v>2467.9</v>
      </c>
      <c r="C17" s="47">
        <f>IFERROR(__xludf.DUMMYFUNCTION("""COMPUTED_VALUE"""),45764.6458333333)</f>
        <v>45764.6458333333</v>
      </c>
      <c r="D17" s="48">
        <f>IFERROR(__xludf.DUMMYFUNCTION("""COMPUTED_VALUE"""),2459.9)</f>
        <v>2459.9</v>
      </c>
      <c r="E17" s="47">
        <f>IFERROR(__xludf.DUMMYFUNCTION("""COMPUTED_VALUE"""),45764.6458333333)</f>
        <v>45764.6458333333</v>
      </c>
      <c r="F17" s="48">
        <f>IFERROR(__xludf.DUMMYFUNCTION("""COMPUTED_VALUE"""),885842)</f>
        <v>885842</v>
      </c>
      <c r="G17" s="47">
        <f>IFERROR(__xludf.DUMMYFUNCTION("""COMPUTED_VALUE"""),45764.6458333333)</f>
        <v>45764.6458333333</v>
      </c>
      <c r="H17" s="48">
        <f>IFERROR(__xludf.DUMMYFUNCTION("""COMPUTED_VALUE"""),2476.4)</f>
        <v>2476.4</v>
      </c>
      <c r="I17" s="47">
        <f>IFERROR(__xludf.DUMMYFUNCTION("""COMPUTED_VALUE"""),45764.6458333333)</f>
        <v>45764.6458333333</v>
      </c>
      <c r="J17" s="48">
        <f>IFERROR(__xludf.DUMMYFUNCTION("""COMPUTED_VALUE"""),2431)</f>
        <v>2431</v>
      </c>
      <c r="K17" s="3">
        <f t="shared" si="2"/>
        <v>2467.9</v>
      </c>
      <c r="L17" s="3">
        <f t="shared" si="3"/>
        <v>0</v>
      </c>
      <c r="AF17" s="48">
        <f>'Adani Enterprises'!AF17</f>
        <v>0</v>
      </c>
      <c r="AG17" s="48">
        <f>'Adani Enterprises'!AG17</f>
        <v>0</v>
      </c>
      <c r="AH17" s="48">
        <f>'Adani Enterprises'!AH17</f>
        <v>0</v>
      </c>
      <c r="AI17" s="48">
        <f>'Adani Enterprises'!AI17</f>
        <v>0</v>
      </c>
      <c r="AJ17" s="48">
        <f>'Adani Enterprises'!AJ17</f>
        <v>0</v>
      </c>
      <c r="AK17" s="48">
        <f>'Adani Enterprises'!AK17</f>
        <v>0</v>
      </c>
      <c r="AL17" s="48">
        <f>'Adani Enterprises'!AL17</f>
        <v>0</v>
      </c>
    </row>
    <row r="18" customHeight="1" spans="1:38">
      <c r="A18" s="47">
        <f>IFERROR(__xludf.DUMMYFUNCTION("""COMPUTED_VALUE"""),45768.6458333333)</f>
        <v>45768.6458333333</v>
      </c>
      <c r="B18" s="48">
        <f>IFERROR(__xludf.DUMMYFUNCTION("""COMPUTED_VALUE"""),2445)</f>
        <v>2445</v>
      </c>
      <c r="C18" s="47">
        <f>IFERROR(__xludf.DUMMYFUNCTION("""COMPUTED_VALUE"""),45768.6458333333)</f>
        <v>45768.6458333333</v>
      </c>
      <c r="D18" s="48">
        <f>IFERROR(__xludf.DUMMYFUNCTION("""COMPUTED_VALUE"""),2465.9)</f>
        <v>2465.9</v>
      </c>
      <c r="E18" s="47">
        <f>IFERROR(__xludf.DUMMYFUNCTION("""COMPUTED_VALUE"""),45768.6458333333)</f>
        <v>45768.6458333333</v>
      </c>
      <c r="F18" s="48">
        <f>IFERROR(__xludf.DUMMYFUNCTION("""COMPUTED_VALUE"""),541913)</f>
        <v>541913</v>
      </c>
      <c r="G18" s="47">
        <f>IFERROR(__xludf.DUMMYFUNCTION("""COMPUTED_VALUE"""),45768.6458333333)</f>
        <v>45768.6458333333</v>
      </c>
      <c r="H18" s="48">
        <f>IFERROR(__xludf.DUMMYFUNCTION("""COMPUTED_VALUE"""),2470.9)</f>
        <v>2470.9</v>
      </c>
      <c r="I18" s="47">
        <f>IFERROR(__xludf.DUMMYFUNCTION("""COMPUTED_VALUE"""),45768.6458333333)</f>
        <v>45768.6458333333</v>
      </c>
      <c r="J18" s="48">
        <f>IFERROR(__xludf.DUMMYFUNCTION("""COMPUTED_VALUE"""),2441)</f>
        <v>2441</v>
      </c>
      <c r="K18" s="3">
        <f t="shared" si="2"/>
        <v>0</v>
      </c>
      <c r="L18" s="3">
        <f t="shared" si="3"/>
        <v>0</v>
      </c>
      <c r="AF18" s="48">
        <f>'Adani Enterprises'!AF18</f>
        <v>0</v>
      </c>
      <c r="AG18" s="48">
        <f>'Adani Enterprises'!AG18</f>
        <v>0</v>
      </c>
      <c r="AH18" s="48">
        <f>'Adani Enterprises'!AH18</f>
        <v>0</v>
      </c>
      <c r="AI18" s="48">
        <f>'Adani Enterprises'!AI18</f>
        <v>0</v>
      </c>
      <c r="AJ18" s="48">
        <f>'Adani Enterprises'!AJ18</f>
        <v>0</v>
      </c>
      <c r="AK18" s="48">
        <f>'Adani Enterprises'!AK18</f>
        <v>0</v>
      </c>
      <c r="AL18" s="48">
        <f>'Adani Enterprises'!AL18</f>
        <v>0</v>
      </c>
    </row>
    <row r="19" customHeight="1" spans="1:38">
      <c r="A19" s="47">
        <f>IFERROR(__xludf.DUMMYFUNCTION("""COMPUTED_VALUE"""),45769.6458333333)</f>
        <v>45769.6458333333</v>
      </c>
      <c r="B19" s="48">
        <f>IFERROR(__xludf.DUMMYFUNCTION("""COMPUTED_VALUE"""),2432)</f>
        <v>2432</v>
      </c>
      <c r="C19" s="47">
        <f>IFERROR(__xludf.DUMMYFUNCTION("""COMPUTED_VALUE"""),45769.6458333333)</f>
        <v>45769.6458333333</v>
      </c>
      <c r="D19" s="48">
        <f>IFERROR(__xludf.DUMMYFUNCTION("""COMPUTED_VALUE"""),2445)</f>
        <v>2445</v>
      </c>
      <c r="E19" s="47">
        <f>IFERROR(__xludf.DUMMYFUNCTION("""COMPUTED_VALUE"""),45769.6458333333)</f>
        <v>45769.6458333333</v>
      </c>
      <c r="F19" s="48">
        <f>IFERROR(__xludf.DUMMYFUNCTION("""COMPUTED_VALUE"""),543658)</f>
        <v>543658</v>
      </c>
      <c r="G19" s="47">
        <f>IFERROR(__xludf.DUMMYFUNCTION("""COMPUTED_VALUE"""),45769.6458333333)</f>
        <v>45769.6458333333</v>
      </c>
      <c r="H19" s="48">
        <f>IFERROR(__xludf.DUMMYFUNCTION("""COMPUTED_VALUE"""),2450)</f>
        <v>2450</v>
      </c>
      <c r="I19" s="47">
        <f>IFERROR(__xludf.DUMMYFUNCTION("""COMPUTED_VALUE"""),45769.6458333333)</f>
        <v>45769.6458333333</v>
      </c>
      <c r="J19" s="48">
        <f>IFERROR(__xludf.DUMMYFUNCTION("""COMPUTED_VALUE"""),2413.5)</f>
        <v>2413.5</v>
      </c>
      <c r="K19" s="3">
        <f t="shared" si="2"/>
        <v>0</v>
      </c>
      <c r="L19" s="3">
        <f t="shared" si="3"/>
        <v>0</v>
      </c>
      <c r="AF19" s="48">
        <f>'Adani Enterprises'!AF19</f>
        <v>0</v>
      </c>
      <c r="AG19" s="48">
        <f>'Adani Enterprises'!AG19</f>
        <v>0</v>
      </c>
      <c r="AH19" s="48">
        <f>'Adani Enterprises'!AH19</f>
        <v>0</v>
      </c>
      <c r="AI19" s="48">
        <f>'Adani Enterprises'!AI19</f>
        <v>0</v>
      </c>
      <c r="AJ19" s="48">
        <f>'Adani Enterprises'!AJ19</f>
        <v>0</v>
      </c>
      <c r="AK19" s="48">
        <f>'Adani Enterprises'!AK19</f>
        <v>0</v>
      </c>
      <c r="AL19" s="48">
        <f>'Adani Enterprises'!AL19</f>
        <v>0</v>
      </c>
    </row>
    <row r="20" customHeight="1" spans="1:38">
      <c r="A20" s="47">
        <f>IFERROR(__xludf.DUMMYFUNCTION("""COMPUTED_VALUE"""),45770.6458333333)</f>
        <v>45770.6458333333</v>
      </c>
      <c r="B20" s="48">
        <f>IFERROR(__xludf.DUMMYFUNCTION("""COMPUTED_VALUE"""),2453.1)</f>
        <v>2453.1</v>
      </c>
      <c r="C20" s="47">
        <f>IFERROR(__xludf.DUMMYFUNCTION("""COMPUTED_VALUE"""),45770.6458333333)</f>
        <v>45770.6458333333</v>
      </c>
      <c r="D20" s="48">
        <f>IFERROR(__xludf.DUMMYFUNCTION("""COMPUTED_VALUE"""),2437)</f>
        <v>2437</v>
      </c>
      <c r="E20" s="47">
        <f>IFERROR(__xludf.DUMMYFUNCTION("""COMPUTED_VALUE"""),45770.6458333333)</f>
        <v>45770.6458333333</v>
      </c>
      <c r="F20" s="48">
        <f>IFERROR(__xludf.DUMMYFUNCTION("""COMPUTED_VALUE"""),744696)</f>
        <v>744696</v>
      </c>
      <c r="G20" s="47">
        <f>IFERROR(__xludf.DUMMYFUNCTION("""COMPUTED_VALUE"""),45770.6458333333)</f>
        <v>45770.6458333333</v>
      </c>
      <c r="H20" s="48">
        <f>IFERROR(__xludf.DUMMYFUNCTION("""COMPUTED_VALUE"""),2456.6)</f>
        <v>2456.6</v>
      </c>
      <c r="I20" s="47">
        <f>IFERROR(__xludf.DUMMYFUNCTION("""COMPUTED_VALUE"""),45770.6458333333)</f>
        <v>45770.6458333333</v>
      </c>
      <c r="J20" s="48">
        <f>IFERROR(__xludf.DUMMYFUNCTION("""COMPUTED_VALUE"""),2425.6)</f>
        <v>2425.6</v>
      </c>
      <c r="K20" s="3">
        <f t="shared" si="2"/>
        <v>0</v>
      </c>
      <c r="L20" s="3">
        <f t="shared" si="3"/>
        <v>0</v>
      </c>
      <c r="AF20" s="48">
        <f>'Adani Enterprises'!AF20</f>
        <v>0</v>
      </c>
      <c r="AG20" s="48">
        <f>'Adani Enterprises'!AG20</f>
        <v>0</v>
      </c>
      <c r="AH20" s="48">
        <f>'Adani Enterprises'!AH20</f>
        <v>0</v>
      </c>
      <c r="AI20" s="48">
        <f>'Adani Enterprises'!AI20</f>
        <v>0</v>
      </c>
      <c r="AJ20" s="48">
        <f>'Adani Enterprises'!AJ20</f>
        <v>0</v>
      </c>
      <c r="AK20" s="48">
        <f>'Adani Enterprises'!AK20</f>
        <v>0</v>
      </c>
      <c r="AL20" s="48">
        <f>'Adani Enterprises'!AL20</f>
        <v>0</v>
      </c>
    </row>
    <row r="21" customHeight="1" spans="1:38">
      <c r="A21" s="47">
        <f>IFERROR(__xludf.DUMMYFUNCTION("""COMPUTED_VALUE"""),45771.6458333333)</f>
        <v>45771.6458333333</v>
      </c>
      <c r="B21" s="48">
        <f>IFERROR(__xludf.DUMMYFUNCTION("""COMPUTED_VALUE"""),2464.4)</f>
        <v>2464.4</v>
      </c>
      <c r="C21" s="47">
        <f>IFERROR(__xludf.DUMMYFUNCTION("""COMPUTED_VALUE"""),45771.6458333333)</f>
        <v>45771.6458333333</v>
      </c>
      <c r="D21" s="48">
        <f>IFERROR(__xludf.DUMMYFUNCTION("""COMPUTED_VALUE"""),2450)</f>
        <v>2450</v>
      </c>
      <c r="E21" s="47">
        <f>IFERROR(__xludf.DUMMYFUNCTION("""COMPUTED_VALUE"""),45771.6458333333)</f>
        <v>45771.6458333333</v>
      </c>
      <c r="F21" s="48">
        <f>IFERROR(__xludf.DUMMYFUNCTION("""COMPUTED_VALUE"""),1203452)</f>
        <v>1203452</v>
      </c>
      <c r="G21" s="47">
        <f>IFERROR(__xludf.DUMMYFUNCTION("""COMPUTED_VALUE"""),45771.6458333333)</f>
        <v>45771.6458333333</v>
      </c>
      <c r="H21" s="48">
        <f>IFERROR(__xludf.DUMMYFUNCTION("""COMPUTED_VALUE"""),2491)</f>
        <v>2491</v>
      </c>
      <c r="I21" s="47">
        <f>IFERROR(__xludf.DUMMYFUNCTION("""COMPUTED_VALUE"""),45771.6458333333)</f>
        <v>45771.6458333333</v>
      </c>
      <c r="J21" s="48">
        <f>IFERROR(__xludf.DUMMYFUNCTION("""COMPUTED_VALUE"""),2435.9)</f>
        <v>2435.9</v>
      </c>
      <c r="K21" s="3">
        <f t="shared" si="2"/>
        <v>0</v>
      </c>
      <c r="L21" s="3">
        <f t="shared" si="3"/>
        <v>0</v>
      </c>
      <c r="AF21" s="48">
        <f>'Adani Enterprises'!AF21</f>
        <v>0</v>
      </c>
      <c r="AG21" s="48">
        <f>'Adani Enterprises'!AG21</f>
        <v>0</v>
      </c>
      <c r="AH21" s="48">
        <f>'Adani Enterprises'!AH21</f>
        <v>0</v>
      </c>
      <c r="AI21" s="48">
        <f>'Adani Enterprises'!AI21</f>
        <v>0</v>
      </c>
      <c r="AJ21" s="48">
        <f>'Adani Enterprises'!AJ21</f>
        <v>0</v>
      </c>
      <c r="AK21" s="48">
        <f>'Adani Enterprises'!AK21</f>
        <v>0</v>
      </c>
      <c r="AL21" s="48">
        <f>'Adani Enterprises'!AL21</f>
        <v>0</v>
      </c>
    </row>
    <row r="22" customHeight="1" spans="1:38">
      <c r="A22" s="47">
        <f>IFERROR(__xludf.DUMMYFUNCTION("""COMPUTED_VALUE"""),45772.6458333333)</f>
        <v>45772.6458333333</v>
      </c>
      <c r="B22" s="48">
        <f>IFERROR(__xludf.DUMMYFUNCTION("""COMPUTED_VALUE"""),2431.6)</f>
        <v>2431.6</v>
      </c>
      <c r="C22" s="47">
        <f>IFERROR(__xludf.DUMMYFUNCTION("""COMPUTED_VALUE"""),45772.6458333333)</f>
        <v>45772.6458333333</v>
      </c>
      <c r="D22" s="48">
        <f>IFERROR(__xludf.DUMMYFUNCTION("""COMPUTED_VALUE"""),2464.3)</f>
        <v>2464.3</v>
      </c>
      <c r="E22" s="47">
        <f>IFERROR(__xludf.DUMMYFUNCTION("""COMPUTED_VALUE"""),45772.6458333333)</f>
        <v>45772.6458333333</v>
      </c>
      <c r="F22" s="48">
        <f>IFERROR(__xludf.DUMMYFUNCTION("""COMPUTED_VALUE"""),702217)</f>
        <v>702217</v>
      </c>
      <c r="G22" s="47">
        <f>IFERROR(__xludf.DUMMYFUNCTION("""COMPUTED_VALUE"""),45772.6458333333)</f>
        <v>45772.6458333333</v>
      </c>
      <c r="H22" s="48">
        <f>IFERROR(__xludf.DUMMYFUNCTION("""COMPUTED_VALUE"""),2468.7)</f>
        <v>2468.7</v>
      </c>
      <c r="I22" s="47">
        <f>IFERROR(__xludf.DUMMYFUNCTION("""COMPUTED_VALUE"""),45772.6458333333)</f>
        <v>45772.6458333333</v>
      </c>
      <c r="J22" s="48">
        <f>IFERROR(__xludf.DUMMYFUNCTION("""COMPUTED_VALUE"""),2413.7)</f>
        <v>2413.7</v>
      </c>
      <c r="K22" s="3">
        <f t="shared" si="2"/>
        <v>0</v>
      </c>
      <c r="L22" s="3">
        <f t="shared" si="3"/>
        <v>0</v>
      </c>
      <c r="AF22" s="48">
        <f>'Adani Enterprises'!AF22</f>
        <v>0</v>
      </c>
      <c r="AG22" s="48">
        <f>'Adani Enterprises'!AG22</f>
        <v>0</v>
      </c>
      <c r="AH22" s="48">
        <f>'Adani Enterprises'!AH22</f>
        <v>0</v>
      </c>
      <c r="AI22" s="48">
        <f>'Adani Enterprises'!AI22</f>
        <v>0</v>
      </c>
      <c r="AJ22" s="48">
        <f>'Adani Enterprises'!AJ22</f>
        <v>0</v>
      </c>
      <c r="AK22" s="48">
        <f>'Adani Enterprises'!AK22</f>
        <v>0</v>
      </c>
      <c r="AL22" s="48">
        <f>'Adani Enterprises'!AL22</f>
        <v>0</v>
      </c>
    </row>
    <row r="23" customHeight="1" spans="1:38">
      <c r="A23" s="47">
        <f>IFERROR(__xludf.DUMMYFUNCTION("""COMPUTED_VALUE"""),45775.6458333333)</f>
        <v>45775.6458333333</v>
      </c>
      <c r="B23" s="48">
        <f>IFERROR(__xludf.DUMMYFUNCTION("""COMPUTED_VALUE"""),2452.2)</f>
        <v>2452.2</v>
      </c>
      <c r="C23" s="47">
        <f>IFERROR(__xludf.DUMMYFUNCTION("""COMPUTED_VALUE"""),45775.6458333333)</f>
        <v>45775.6458333333</v>
      </c>
      <c r="D23" s="48">
        <f>IFERROR(__xludf.DUMMYFUNCTION("""COMPUTED_VALUE"""),2419.9)</f>
        <v>2419.9</v>
      </c>
      <c r="E23" s="47">
        <f>IFERROR(__xludf.DUMMYFUNCTION("""COMPUTED_VALUE"""),45775.6458333333)</f>
        <v>45775.6458333333</v>
      </c>
      <c r="F23" s="48">
        <f>IFERROR(__xludf.DUMMYFUNCTION("""COMPUTED_VALUE"""),554922)</f>
        <v>554922</v>
      </c>
      <c r="G23" s="47">
        <f>IFERROR(__xludf.DUMMYFUNCTION("""COMPUTED_VALUE"""),45775.6458333333)</f>
        <v>45775.6458333333</v>
      </c>
      <c r="H23" s="48">
        <f>IFERROR(__xludf.DUMMYFUNCTION("""COMPUTED_VALUE"""),2459.8)</f>
        <v>2459.8</v>
      </c>
      <c r="I23" s="47">
        <f>IFERROR(__xludf.DUMMYFUNCTION("""COMPUTED_VALUE"""),45775.6458333333)</f>
        <v>45775.6458333333</v>
      </c>
      <c r="J23" s="48">
        <f>IFERROR(__xludf.DUMMYFUNCTION("""COMPUTED_VALUE"""),2405)</f>
        <v>2405</v>
      </c>
      <c r="K23" s="3">
        <f t="shared" si="2"/>
        <v>0</v>
      </c>
      <c r="L23" s="3">
        <f t="shared" si="3"/>
        <v>0</v>
      </c>
      <c r="AF23" s="48">
        <f>'Adani Enterprises'!AF23</f>
        <v>0</v>
      </c>
      <c r="AG23" s="48">
        <f>'Adani Enterprises'!AG23</f>
        <v>0</v>
      </c>
      <c r="AH23" s="48">
        <f>'Adani Enterprises'!AH23</f>
        <v>0</v>
      </c>
      <c r="AI23" s="48">
        <f>'Adani Enterprises'!AI23</f>
        <v>0</v>
      </c>
      <c r="AJ23" s="48">
        <f>'Adani Enterprises'!AJ23</f>
        <v>0</v>
      </c>
      <c r="AK23" s="48">
        <f>'Adani Enterprises'!AK23</f>
        <v>0</v>
      </c>
      <c r="AL23" s="48">
        <f>'Adani Enterprises'!AL23</f>
        <v>0</v>
      </c>
    </row>
    <row r="24" customHeight="1" spans="1:38">
      <c r="A24" s="47">
        <f>IFERROR(__xludf.DUMMYFUNCTION("""COMPUTED_VALUE"""),45776.6458333333)</f>
        <v>45776.6458333333</v>
      </c>
      <c r="B24" s="48">
        <f>IFERROR(__xludf.DUMMYFUNCTION("""COMPUTED_VALUE"""),2451.1)</f>
        <v>2451.1</v>
      </c>
      <c r="C24" s="47">
        <f>IFERROR(__xludf.DUMMYFUNCTION("""COMPUTED_VALUE"""),45776.6458333333)</f>
        <v>45776.6458333333</v>
      </c>
      <c r="D24" s="48">
        <f>IFERROR(__xludf.DUMMYFUNCTION("""COMPUTED_VALUE"""),2460)</f>
        <v>2460</v>
      </c>
      <c r="E24" s="47">
        <f>IFERROR(__xludf.DUMMYFUNCTION("""COMPUTED_VALUE"""),45776.6458333333)</f>
        <v>45776.6458333333</v>
      </c>
      <c r="F24" s="48">
        <f>IFERROR(__xludf.DUMMYFUNCTION("""COMPUTED_VALUE"""),1235066)</f>
        <v>1235066</v>
      </c>
      <c r="G24" s="47">
        <f>IFERROR(__xludf.DUMMYFUNCTION("""COMPUTED_VALUE"""),45776.6458333333)</f>
        <v>45776.6458333333</v>
      </c>
      <c r="H24" s="48">
        <f>IFERROR(__xludf.DUMMYFUNCTION("""COMPUTED_VALUE"""),2472)</f>
        <v>2472</v>
      </c>
      <c r="I24" s="47">
        <f>IFERROR(__xludf.DUMMYFUNCTION("""COMPUTED_VALUE"""),45776.6458333333)</f>
        <v>45776.6458333333</v>
      </c>
      <c r="J24" s="48">
        <f>IFERROR(__xludf.DUMMYFUNCTION("""COMPUTED_VALUE"""),2441.6)</f>
        <v>2441.6</v>
      </c>
      <c r="K24" s="3">
        <f t="shared" si="2"/>
        <v>0</v>
      </c>
      <c r="L24" s="3">
        <f t="shared" si="3"/>
        <v>0</v>
      </c>
      <c r="AF24" s="48">
        <f>'Adani Enterprises'!AF24</f>
        <v>0</v>
      </c>
      <c r="AG24" s="48">
        <f>'Adani Enterprises'!AG24</f>
        <v>0</v>
      </c>
      <c r="AH24" s="48">
        <f>'Adani Enterprises'!AH24</f>
        <v>0</v>
      </c>
      <c r="AI24" s="48">
        <f>'Adani Enterprises'!AI24</f>
        <v>0</v>
      </c>
      <c r="AJ24" s="48">
        <f>'Adani Enterprises'!AJ24</f>
        <v>0</v>
      </c>
      <c r="AK24" s="48">
        <f>'Adani Enterprises'!AK24</f>
        <v>0</v>
      </c>
      <c r="AL24" s="48">
        <f>'Adani Enterprises'!AL24</f>
        <v>0</v>
      </c>
    </row>
    <row r="25" customHeight="1" spans="1:38">
      <c r="A25" s="47">
        <f>IFERROR(__xludf.DUMMYFUNCTION("""COMPUTED_VALUE"""),45777.6458333333)</f>
        <v>45777.6458333333</v>
      </c>
      <c r="B25" s="48">
        <f>IFERROR(__xludf.DUMMYFUNCTION("""COMPUTED_VALUE"""),2425.7)</f>
        <v>2425.7</v>
      </c>
      <c r="C25" s="47">
        <f>IFERROR(__xludf.DUMMYFUNCTION("""COMPUTED_VALUE"""),45777.6458333333)</f>
        <v>45777.6458333333</v>
      </c>
      <c r="D25" s="48">
        <f>IFERROR(__xludf.DUMMYFUNCTION("""COMPUTED_VALUE"""),2450)</f>
        <v>2450</v>
      </c>
      <c r="E25" s="47">
        <f>IFERROR(__xludf.DUMMYFUNCTION("""COMPUTED_VALUE"""),45777.6458333333)</f>
        <v>45777.6458333333</v>
      </c>
      <c r="F25" s="48">
        <f>IFERROR(__xludf.DUMMYFUNCTION("""COMPUTED_VALUE"""),1479678)</f>
        <v>1479678</v>
      </c>
      <c r="G25" s="47">
        <f>IFERROR(__xludf.DUMMYFUNCTION("""COMPUTED_VALUE"""),45777.6458333333)</f>
        <v>45777.6458333333</v>
      </c>
      <c r="H25" s="48">
        <f>IFERROR(__xludf.DUMMYFUNCTION("""COMPUTED_VALUE"""),2462.2)</f>
        <v>2462.2</v>
      </c>
      <c r="I25" s="47">
        <f>IFERROR(__xludf.DUMMYFUNCTION("""COMPUTED_VALUE"""),45777.6458333333)</f>
        <v>45777.6458333333</v>
      </c>
      <c r="J25" s="48">
        <f>IFERROR(__xludf.DUMMYFUNCTION("""COMPUTED_VALUE"""),2401.5)</f>
        <v>2401.5</v>
      </c>
      <c r="K25" s="3">
        <f t="shared" si="2"/>
        <v>0</v>
      </c>
      <c r="L25" s="3">
        <f t="shared" si="3"/>
        <v>0</v>
      </c>
      <c r="AF25" s="48">
        <f>'Adani Enterprises'!AF25</f>
        <v>0</v>
      </c>
      <c r="AG25" s="48">
        <f>'Adani Enterprises'!AG25</f>
        <v>0</v>
      </c>
      <c r="AH25" s="48">
        <f>'Adani Enterprises'!AH25</f>
        <v>0</v>
      </c>
      <c r="AI25" s="48">
        <f>'Adani Enterprises'!AI25</f>
        <v>0</v>
      </c>
      <c r="AJ25" s="48">
        <f>'Adani Enterprises'!AJ25</f>
        <v>0</v>
      </c>
      <c r="AK25" s="48">
        <f>'Adani Enterprises'!AK25</f>
        <v>0</v>
      </c>
      <c r="AL25" s="48">
        <f>'Adani Enterprises'!AL25</f>
        <v>0</v>
      </c>
    </row>
    <row r="26" customHeight="1" spans="1:38">
      <c r="A26" s="47">
        <f>IFERROR(__xludf.DUMMYFUNCTION("""COMPUTED_VALUE"""),45779.6458333333)</f>
        <v>45779.6458333333</v>
      </c>
      <c r="B26" s="48">
        <f>IFERROR(__xludf.DUMMYFUNCTION("""COMPUTED_VALUE"""),2409.8)</f>
        <v>2409.8</v>
      </c>
      <c r="C26" s="47">
        <f>IFERROR(__xludf.DUMMYFUNCTION("""COMPUTED_VALUE"""),45779.6458333333)</f>
        <v>45779.6458333333</v>
      </c>
      <c r="D26" s="48">
        <f>IFERROR(__xludf.DUMMYFUNCTION("""COMPUTED_VALUE"""),2425)</f>
        <v>2425</v>
      </c>
      <c r="E26" s="47">
        <f>IFERROR(__xludf.DUMMYFUNCTION("""COMPUTED_VALUE"""),45779.6458333333)</f>
        <v>45779.6458333333</v>
      </c>
      <c r="F26" s="48">
        <f>IFERROR(__xludf.DUMMYFUNCTION("""COMPUTED_VALUE"""),744673)</f>
        <v>744673</v>
      </c>
      <c r="G26" s="47">
        <f>IFERROR(__xludf.DUMMYFUNCTION("""COMPUTED_VALUE"""),45779.6458333333)</f>
        <v>45779.6458333333</v>
      </c>
      <c r="H26" s="48">
        <f>IFERROR(__xludf.DUMMYFUNCTION("""COMPUTED_VALUE"""),2444.9)</f>
        <v>2444.9</v>
      </c>
      <c r="I26" s="47">
        <f>IFERROR(__xludf.DUMMYFUNCTION("""COMPUTED_VALUE"""),45779.6458333333)</f>
        <v>45779.6458333333</v>
      </c>
      <c r="J26" s="48">
        <f>IFERROR(__xludf.DUMMYFUNCTION("""COMPUTED_VALUE"""),2398)</f>
        <v>2398</v>
      </c>
      <c r="K26" s="3">
        <f t="shared" si="2"/>
        <v>0</v>
      </c>
      <c r="L26" s="3">
        <f t="shared" si="3"/>
        <v>0</v>
      </c>
      <c r="AF26" s="48">
        <f>'Adani Enterprises'!AF26</f>
        <v>0</v>
      </c>
      <c r="AG26" s="48">
        <f>'Adani Enterprises'!AG26</f>
        <v>0</v>
      </c>
      <c r="AH26" s="48">
        <f>'Adani Enterprises'!AH26</f>
        <v>0</v>
      </c>
      <c r="AI26" s="48">
        <f>'Adani Enterprises'!AI26</f>
        <v>0</v>
      </c>
      <c r="AJ26" s="48">
        <f>'Adani Enterprises'!AJ26</f>
        <v>0</v>
      </c>
      <c r="AK26" s="48">
        <f>'Adani Enterprises'!AK26</f>
        <v>0</v>
      </c>
      <c r="AL26" s="48">
        <f>'Adani Enterprises'!AL26</f>
        <v>0</v>
      </c>
    </row>
    <row r="27" customHeight="1" spans="1:38">
      <c r="A27" s="47">
        <f>IFERROR(__xludf.DUMMYFUNCTION("""COMPUTED_VALUE"""),45782.6458333333)</f>
        <v>45782.6458333333</v>
      </c>
      <c r="B27" s="48">
        <f>IFERROR(__xludf.DUMMYFUNCTION("""COMPUTED_VALUE"""),2436.9)</f>
        <v>2436.9</v>
      </c>
      <c r="C27" s="47">
        <f>IFERROR(__xludf.DUMMYFUNCTION("""COMPUTED_VALUE"""),45782.6458333333)</f>
        <v>45782.6458333333</v>
      </c>
      <c r="D27" s="48">
        <f>IFERROR(__xludf.DUMMYFUNCTION("""COMPUTED_VALUE"""),2423.1)</f>
        <v>2423.1</v>
      </c>
      <c r="E27" s="47">
        <f>IFERROR(__xludf.DUMMYFUNCTION("""COMPUTED_VALUE"""),45782.6458333333)</f>
        <v>45782.6458333333</v>
      </c>
      <c r="F27" s="48">
        <f>IFERROR(__xludf.DUMMYFUNCTION("""COMPUTED_VALUE"""),1229593)</f>
        <v>1229593</v>
      </c>
      <c r="G27" s="47">
        <f>IFERROR(__xludf.DUMMYFUNCTION("""COMPUTED_VALUE"""),45782.6458333333)</f>
        <v>45782.6458333333</v>
      </c>
      <c r="H27" s="48">
        <f>IFERROR(__xludf.DUMMYFUNCTION("""COMPUTED_VALUE"""),2475)</f>
        <v>2475</v>
      </c>
      <c r="I27" s="47">
        <f>IFERROR(__xludf.DUMMYFUNCTION("""COMPUTED_VALUE"""),45782.6458333333)</f>
        <v>45782.6458333333</v>
      </c>
      <c r="J27" s="48">
        <f>IFERROR(__xludf.DUMMYFUNCTION("""COMPUTED_VALUE"""),2423.1)</f>
        <v>2423.1</v>
      </c>
      <c r="K27" s="3">
        <f t="shared" si="2"/>
        <v>0</v>
      </c>
      <c r="L27" s="3">
        <f t="shared" si="3"/>
        <v>0</v>
      </c>
      <c r="AF27" s="48">
        <f>'Adani Enterprises'!AF27</f>
        <v>0</v>
      </c>
      <c r="AG27" s="48">
        <f>'Adani Enterprises'!AG27</f>
        <v>0</v>
      </c>
      <c r="AH27" s="48">
        <f>'Adani Enterprises'!AH27</f>
        <v>0</v>
      </c>
      <c r="AI27" s="48">
        <f>'Adani Enterprises'!AI27</f>
        <v>0</v>
      </c>
      <c r="AJ27" s="48">
        <f>'Adani Enterprises'!AJ27</f>
        <v>0</v>
      </c>
      <c r="AK27" s="48">
        <f>'Adani Enterprises'!AK27</f>
        <v>0</v>
      </c>
      <c r="AL27" s="48">
        <f>'Adani Enterprises'!AL27</f>
        <v>0</v>
      </c>
    </row>
    <row r="28" customHeight="1" spans="1:38">
      <c r="A28" s="47">
        <f>IFERROR(__xludf.DUMMYFUNCTION("""COMPUTED_VALUE"""),45783.6458333333)</f>
        <v>45783.6458333333</v>
      </c>
      <c r="B28" s="48">
        <f>IFERROR(__xludf.DUMMYFUNCTION("""COMPUTED_VALUE"""),2418)</f>
        <v>2418</v>
      </c>
      <c r="C28" s="47">
        <f>IFERROR(__xludf.DUMMYFUNCTION("""COMPUTED_VALUE"""),45783.6458333333)</f>
        <v>45783.6458333333</v>
      </c>
      <c r="D28" s="48">
        <f>IFERROR(__xludf.DUMMYFUNCTION("""COMPUTED_VALUE"""),2442)</f>
        <v>2442</v>
      </c>
      <c r="E28" s="47">
        <f>IFERROR(__xludf.DUMMYFUNCTION("""COMPUTED_VALUE"""),45783.6458333333)</f>
        <v>45783.6458333333</v>
      </c>
      <c r="F28" s="48">
        <f>IFERROR(__xludf.DUMMYFUNCTION("""COMPUTED_VALUE"""),702819)</f>
        <v>702819</v>
      </c>
      <c r="G28" s="47">
        <f>IFERROR(__xludf.DUMMYFUNCTION("""COMPUTED_VALUE"""),45783.6458333333)</f>
        <v>45783.6458333333</v>
      </c>
      <c r="H28" s="48">
        <f>IFERROR(__xludf.DUMMYFUNCTION("""COMPUTED_VALUE"""),2449.9)</f>
        <v>2449.9</v>
      </c>
      <c r="I28" s="47">
        <f>IFERROR(__xludf.DUMMYFUNCTION("""COMPUTED_VALUE"""),45783.6458333333)</f>
        <v>45783.6458333333</v>
      </c>
      <c r="J28" s="48">
        <f>IFERROR(__xludf.DUMMYFUNCTION("""COMPUTED_VALUE"""),2391.1)</f>
        <v>2391.1</v>
      </c>
      <c r="K28" s="3">
        <f t="shared" si="2"/>
        <v>0</v>
      </c>
      <c r="L28" s="3">
        <f t="shared" si="3"/>
        <v>0</v>
      </c>
      <c r="AF28" s="48">
        <f>'Adani Enterprises'!AF28</f>
        <v>0</v>
      </c>
      <c r="AG28" s="48">
        <f>'Adani Enterprises'!AG28</f>
        <v>0</v>
      </c>
      <c r="AH28" s="48">
        <f>'Adani Enterprises'!AH28</f>
        <v>0</v>
      </c>
      <c r="AI28" s="48">
        <f>'Adani Enterprises'!AI28</f>
        <v>0</v>
      </c>
      <c r="AJ28" s="48">
        <f>'Adani Enterprises'!AJ28</f>
        <v>0</v>
      </c>
      <c r="AK28" s="48">
        <f>'Adani Enterprises'!AK28</f>
        <v>0</v>
      </c>
      <c r="AL28" s="48">
        <f>'Adani Enterprises'!AL28</f>
        <v>0</v>
      </c>
    </row>
    <row r="29" customHeight="1" spans="1:38">
      <c r="A29" s="47">
        <f>IFERROR(__xludf.DUMMYFUNCTION("""COMPUTED_VALUE"""),45784.6458333333)</f>
        <v>45784.6458333333</v>
      </c>
      <c r="B29" s="48">
        <f>IFERROR(__xludf.DUMMYFUNCTION("""COMPUTED_VALUE"""),2334.1)</f>
        <v>2334.1</v>
      </c>
      <c r="C29" s="47">
        <f>IFERROR(__xludf.DUMMYFUNCTION("""COMPUTED_VALUE"""),45784.6458333333)</f>
        <v>45784.6458333333</v>
      </c>
      <c r="D29" s="48">
        <f>IFERROR(__xludf.DUMMYFUNCTION("""COMPUTED_VALUE"""),2388)</f>
        <v>2388</v>
      </c>
      <c r="E29" s="47">
        <f>IFERROR(__xludf.DUMMYFUNCTION("""COMPUTED_VALUE"""),45784.6458333333)</f>
        <v>45784.6458333333</v>
      </c>
      <c r="F29" s="48">
        <f>IFERROR(__xludf.DUMMYFUNCTION("""COMPUTED_VALUE"""),1711760)</f>
        <v>1711760</v>
      </c>
      <c r="G29" s="47">
        <f>IFERROR(__xludf.DUMMYFUNCTION("""COMPUTED_VALUE"""),45784.6458333333)</f>
        <v>45784.6458333333</v>
      </c>
      <c r="H29" s="48">
        <f>IFERROR(__xludf.DUMMYFUNCTION("""COMPUTED_VALUE"""),2405.7)</f>
        <v>2405.7</v>
      </c>
      <c r="I29" s="47">
        <f>IFERROR(__xludf.DUMMYFUNCTION("""COMPUTED_VALUE"""),45784.6458333333)</f>
        <v>45784.6458333333</v>
      </c>
      <c r="J29" s="48">
        <f>IFERROR(__xludf.DUMMYFUNCTION("""COMPUTED_VALUE"""),2318.5)</f>
        <v>2318.5</v>
      </c>
      <c r="K29" s="3">
        <f t="shared" si="2"/>
        <v>0</v>
      </c>
      <c r="L29" s="3">
        <f t="shared" si="3"/>
        <v>0</v>
      </c>
      <c r="AF29" s="48">
        <f>'Adani Enterprises'!AF29</f>
        <v>0</v>
      </c>
      <c r="AG29" s="48">
        <f>'Adani Enterprises'!AG29</f>
        <v>0</v>
      </c>
      <c r="AH29" s="48">
        <f>'Adani Enterprises'!AH29</f>
        <v>0</v>
      </c>
      <c r="AI29" s="48">
        <f>'Adani Enterprises'!AI29</f>
        <v>0</v>
      </c>
      <c r="AJ29" s="48">
        <f>'Adani Enterprises'!AJ29</f>
        <v>0</v>
      </c>
      <c r="AK29" s="48">
        <f>'Adani Enterprises'!AK29</f>
        <v>0</v>
      </c>
      <c r="AL29" s="48">
        <f>'Adani Enterprises'!AL29</f>
        <v>0</v>
      </c>
    </row>
    <row r="30" customHeight="1" spans="1:38">
      <c r="A30" s="47">
        <f>IFERROR(__xludf.DUMMYFUNCTION("""COMPUTED_VALUE"""),45785.6458333333)</f>
        <v>45785.6458333333</v>
      </c>
      <c r="B30" s="48">
        <f>IFERROR(__xludf.DUMMYFUNCTION("""COMPUTED_VALUE"""),2302.6)</f>
        <v>2302.6</v>
      </c>
      <c r="C30" s="47">
        <f>IFERROR(__xludf.DUMMYFUNCTION("""COMPUTED_VALUE"""),45785.6458333333)</f>
        <v>45785.6458333333</v>
      </c>
      <c r="D30" s="48">
        <f>IFERROR(__xludf.DUMMYFUNCTION("""COMPUTED_VALUE"""),2322)</f>
        <v>2322</v>
      </c>
      <c r="E30" s="47">
        <f>IFERROR(__xludf.DUMMYFUNCTION("""COMPUTED_VALUE"""),45785.6458333333)</f>
        <v>45785.6458333333</v>
      </c>
      <c r="F30" s="48">
        <f>IFERROR(__xludf.DUMMYFUNCTION("""COMPUTED_VALUE"""),2292261)</f>
        <v>2292261</v>
      </c>
      <c r="G30" s="47">
        <f>IFERROR(__xludf.DUMMYFUNCTION("""COMPUTED_VALUE"""),45785.6458333333)</f>
        <v>45785.6458333333</v>
      </c>
      <c r="H30" s="48">
        <f>IFERROR(__xludf.DUMMYFUNCTION("""COMPUTED_VALUE"""),2349.1)</f>
        <v>2349.1</v>
      </c>
      <c r="I30" s="47">
        <f>IFERROR(__xludf.DUMMYFUNCTION("""COMPUTED_VALUE"""),45785.6458333333)</f>
        <v>45785.6458333333</v>
      </c>
      <c r="J30" s="48">
        <f>IFERROR(__xludf.DUMMYFUNCTION("""COMPUTED_VALUE"""),2293.5)</f>
        <v>2293.5</v>
      </c>
      <c r="K30" s="3">
        <f t="shared" si="2"/>
        <v>0</v>
      </c>
      <c r="L30" s="3">
        <f t="shared" si="3"/>
        <v>0</v>
      </c>
      <c r="AF30" s="48">
        <f>'Adani Enterprises'!AF30</f>
        <v>0</v>
      </c>
      <c r="AG30" s="48">
        <f>'Adani Enterprises'!AG30</f>
        <v>0</v>
      </c>
      <c r="AH30" s="48">
        <f>'Adani Enterprises'!AH30</f>
        <v>0</v>
      </c>
      <c r="AI30" s="48">
        <f>'Adani Enterprises'!AI30</f>
        <v>0</v>
      </c>
      <c r="AJ30" s="48">
        <f>'Adani Enterprises'!AJ30</f>
        <v>0</v>
      </c>
      <c r="AK30" s="48">
        <f>'Adani Enterprises'!AK30</f>
        <v>0</v>
      </c>
      <c r="AL30" s="48">
        <f>'Adani Enterprises'!AL30</f>
        <v>0</v>
      </c>
    </row>
    <row r="31" customHeight="1" spans="1:38">
      <c r="A31" s="47">
        <f>IFERROR(__xludf.DUMMYFUNCTION("""COMPUTED_VALUE"""),45786.6458333333)</f>
        <v>45786.6458333333</v>
      </c>
      <c r="B31" s="48">
        <f>IFERROR(__xludf.DUMMYFUNCTION("""COMPUTED_VALUE"""),2299.6)</f>
        <v>2299.6</v>
      </c>
      <c r="C31" s="47">
        <f>IFERROR(__xludf.DUMMYFUNCTION("""COMPUTED_VALUE"""),45786.6458333333)</f>
        <v>45786.6458333333</v>
      </c>
      <c r="D31" s="48">
        <f>IFERROR(__xludf.DUMMYFUNCTION("""COMPUTED_VALUE"""),2246.6)</f>
        <v>2246.6</v>
      </c>
      <c r="E31" s="47">
        <f>IFERROR(__xludf.DUMMYFUNCTION("""COMPUTED_VALUE"""),45786.6458333333)</f>
        <v>45786.6458333333</v>
      </c>
      <c r="F31" s="48">
        <f>IFERROR(__xludf.DUMMYFUNCTION("""COMPUTED_VALUE"""),1503010)</f>
        <v>1503010</v>
      </c>
      <c r="G31" s="47">
        <f>IFERROR(__xludf.DUMMYFUNCTION("""COMPUTED_VALUE"""),45786.6458333333)</f>
        <v>45786.6458333333</v>
      </c>
      <c r="H31" s="48">
        <f>IFERROR(__xludf.DUMMYFUNCTION("""COMPUTED_VALUE"""),2331.8)</f>
        <v>2331.8</v>
      </c>
      <c r="I31" s="47">
        <f>IFERROR(__xludf.DUMMYFUNCTION("""COMPUTED_VALUE"""),45786.6458333333)</f>
        <v>45786.6458333333</v>
      </c>
      <c r="J31" s="48">
        <f>IFERROR(__xludf.DUMMYFUNCTION("""COMPUTED_VALUE"""),2245)</f>
        <v>2245</v>
      </c>
      <c r="K31" s="3">
        <f t="shared" si="2"/>
        <v>0</v>
      </c>
      <c r="L31" s="3">
        <f t="shared" si="3"/>
        <v>0</v>
      </c>
      <c r="AF31" s="48">
        <f>'Adani Enterprises'!AF31</f>
        <v>0</v>
      </c>
      <c r="AG31" s="48">
        <f>'Adani Enterprises'!AG31</f>
        <v>0</v>
      </c>
      <c r="AH31" s="48">
        <f>'Adani Enterprises'!AH31</f>
        <v>0</v>
      </c>
      <c r="AI31" s="48">
        <f>'Adani Enterprises'!AI31</f>
        <v>0</v>
      </c>
      <c r="AJ31" s="48">
        <f>'Adani Enterprises'!AJ31</f>
        <v>0</v>
      </c>
      <c r="AK31" s="48">
        <f>'Adani Enterprises'!AK31</f>
        <v>0</v>
      </c>
      <c r="AL31" s="48">
        <f>'Adani Enterprises'!AL31</f>
        <v>0</v>
      </c>
    </row>
    <row r="32" customHeight="1" spans="1:38">
      <c r="A32" s="47">
        <f>IFERROR(__xludf.DUMMYFUNCTION("""COMPUTED_VALUE"""),45789.6458333333)</f>
        <v>45789.6458333333</v>
      </c>
      <c r="B32" s="48">
        <f>IFERROR(__xludf.DUMMYFUNCTION("""COMPUTED_VALUE"""),2356.4)</f>
        <v>2356.4</v>
      </c>
      <c r="C32" s="47">
        <f>IFERROR(__xludf.DUMMYFUNCTION("""COMPUTED_VALUE"""),45789.6458333333)</f>
        <v>45789.6458333333</v>
      </c>
      <c r="D32" s="48">
        <f>IFERROR(__xludf.DUMMYFUNCTION("""COMPUTED_VALUE"""),2330)</f>
        <v>2330</v>
      </c>
      <c r="E32" s="47">
        <f>IFERROR(__xludf.DUMMYFUNCTION("""COMPUTED_VALUE"""),45789.6458333333)</f>
        <v>45789.6458333333</v>
      </c>
      <c r="F32" s="48">
        <f>IFERROR(__xludf.DUMMYFUNCTION("""COMPUTED_VALUE"""),940135)</f>
        <v>940135</v>
      </c>
      <c r="G32" s="47">
        <f>IFERROR(__xludf.DUMMYFUNCTION("""COMPUTED_VALUE"""),45789.6458333333)</f>
        <v>45789.6458333333</v>
      </c>
      <c r="H32" s="48">
        <f>IFERROR(__xludf.DUMMYFUNCTION("""COMPUTED_VALUE"""),2378.5)</f>
        <v>2378.5</v>
      </c>
      <c r="I32" s="47">
        <f>IFERROR(__xludf.DUMMYFUNCTION("""COMPUTED_VALUE"""),45789.6458333333)</f>
        <v>45789.6458333333</v>
      </c>
      <c r="J32" s="48">
        <f>IFERROR(__xludf.DUMMYFUNCTION("""COMPUTED_VALUE"""),2321)</f>
        <v>2321</v>
      </c>
      <c r="K32" s="3">
        <f t="shared" si="2"/>
        <v>0</v>
      </c>
      <c r="L32" s="3">
        <f t="shared" si="3"/>
        <v>0</v>
      </c>
      <c r="AF32" s="48">
        <f>'Adani Enterprises'!AF32</f>
        <v>0</v>
      </c>
      <c r="AG32" s="48">
        <f>'Adani Enterprises'!AG32</f>
        <v>0</v>
      </c>
      <c r="AH32" s="48">
        <f>'Adani Enterprises'!AH32</f>
        <v>0</v>
      </c>
      <c r="AI32" s="48">
        <f>'Adani Enterprises'!AI32</f>
        <v>0</v>
      </c>
      <c r="AJ32" s="48">
        <f>'Adani Enterprises'!AJ32</f>
        <v>0</v>
      </c>
      <c r="AK32" s="48">
        <f>'Adani Enterprises'!AK32</f>
        <v>0</v>
      </c>
      <c r="AL32" s="48">
        <f>'Adani Enterprises'!AL32</f>
        <v>0</v>
      </c>
    </row>
    <row r="33" customHeight="1" spans="1:38">
      <c r="A33" s="47">
        <f>IFERROR(__xludf.DUMMYFUNCTION("""COMPUTED_VALUE"""),45790.6458333333)</f>
        <v>45790.6458333333</v>
      </c>
      <c r="B33" s="48">
        <f>IFERROR(__xludf.DUMMYFUNCTION("""COMPUTED_VALUE"""),2324.6)</f>
        <v>2324.6</v>
      </c>
      <c r="C33" s="47">
        <f>IFERROR(__xludf.DUMMYFUNCTION("""COMPUTED_VALUE"""),45790.6458333333)</f>
        <v>45790.6458333333</v>
      </c>
      <c r="D33" s="48">
        <f>IFERROR(__xludf.DUMMYFUNCTION("""COMPUTED_VALUE"""),2354)</f>
        <v>2354</v>
      </c>
      <c r="E33" s="47">
        <f>IFERROR(__xludf.DUMMYFUNCTION("""COMPUTED_VALUE"""),45790.6458333333)</f>
        <v>45790.6458333333</v>
      </c>
      <c r="F33" s="48">
        <f>IFERROR(__xludf.DUMMYFUNCTION("""COMPUTED_VALUE"""),1220489)</f>
        <v>1220489</v>
      </c>
      <c r="G33" s="47">
        <f>IFERROR(__xludf.DUMMYFUNCTION("""COMPUTED_VALUE"""),45790.6458333333)</f>
        <v>45790.6458333333</v>
      </c>
      <c r="H33" s="48">
        <f>IFERROR(__xludf.DUMMYFUNCTION("""COMPUTED_VALUE"""),2358)</f>
        <v>2358</v>
      </c>
      <c r="I33" s="47">
        <f>IFERROR(__xludf.DUMMYFUNCTION("""COMPUTED_VALUE"""),45790.6458333333)</f>
        <v>45790.6458333333</v>
      </c>
      <c r="J33" s="48">
        <f>IFERROR(__xludf.DUMMYFUNCTION("""COMPUTED_VALUE"""),2315.1)</f>
        <v>2315.1</v>
      </c>
      <c r="K33" s="3">
        <f t="shared" si="2"/>
        <v>0</v>
      </c>
      <c r="L33" s="3">
        <f t="shared" si="3"/>
        <v>0</v>
      </c>
      <c r="AF33" s="48">
        <f>'Adani Enterprises'!AF33</f>
        <v>0</v>
      </c>
      <c r="AG33" s="48">
        <f>'Adani Enterprises'!AG33</f>
        <v>0</v>
      </c>
      <c r="AH33" s="48">
        <f>'Adani Enterprises'!AH33</f>
        <v>0</v>
      </c>
      <c r="AI33" s="48">
        <f>'Adani Enterprises'!AI33</f>
        <v>0</v>
      </c>
      <c r="AJ33" s="48">
        <f>'Adani Enterprises'!AJ33</f>
        <v>0</v>
      </c>
      <c r="AK33" s="48">
        <f>'Adani Enterprises'!AK33</f>
        <v>0</v>
      </c>
      <c r="AL33" s="48">
        <f>'Adani Enterprises'!AL33</f>
        <v>0</v>
      </c>
    </row>
    <row r="34" customHeight="1" spans="1:38">
      <c r="A34" s="47">
        <f>IFERROR(__xludf.DUMMYFUNCTION("""COMPUTED_VALUE"""),45791.6458333333)</f>
        <v>45791.6458333333</v>
      </c>
      <c r="B34" s="48">
        <f>IFERROR(__xludf.DUMMYFUNCTION("""COMPUTED_VALUE"""),2282.3)</f>
        <v>2282.3</v>
      </c>
      <c r="C34" s="47">
        <f>IFERROR(__xludf.DUMMYFUNCTION("""COMPUTED_VALUE"""),45791.6458333333)</f>
        <v>45791.6458333333</v>
      </c>
      <c r="D34" s="48">
        <f>IFERROR(__xludf.DUMMYFUNCTION("""COMPUTED_VALUE"""),2319)</f>
        <v>2319</v>
      </c>
      <c r="E34" s="47">
        <f>IFERROR(__xludf.DUMMYFUNCTION("""COMPUTED_VALUE"""),45791.6458333333)</f>
        <v>45791.6458333333</v>
      </c>
      <c r="F34" s="48">
        <f>IFERROR(__xludf.DUMMYFUNCTION("""COMPUTED_VALUE"""),1549845)</f>
        <v>1549845</v>
      </c>
      <c r="G34" s="47">
        <f>IFERROR(__xludf.DUMMYFUNCTION("""COMPUTED_VALUE"""),45791.6458333333)</f>
        <v>45791.6458333333</v>
      </c>
      <c r="H34" s="48">
        <f>IFERROR(__xludf.DUMMYFUNCTION("""COMPUTED_VALUE"""),2319)</f>
        <v>2319</v>
      </c>
      <c r="I34" s="47">
        <f>IFERROR(__xludf.DUMMYFUNCTION("""COMPUTED_VALUE"""),45791.6458333333)</f>
        <v>45791.6458333333</v>
      </c>
      <c r="J34" s="48">
        <f>IFERROR(__xludf.DUMMYFUNCTION("""COMPUTED_VALUE"""),2277.1)</f>
        <v>2277.1</v>
      </c>
      <c r="K34" s="3">
        <f t="shared" si="2"/>
        <v>0</v>
      </c>
      <c r="L34" s="3">
        <f t="shared" si="3"/>
        <v>2282.3</v>
      </c>
      <c r="AF34" s="48">
        <f>'Adani Enterprises'!AF34</f>
        <v>0</v>
      </c>
      <c r="AG34" s="48">
        <f>'Adani Enterprises'!AG34</f>
        <v>0</v>
      </c>
      <c r="AH34" s="48">
        <f>'Adani Enterprises'!AH34</f>
        <v>0</v>
      </c>
      <c r="AI34" s="48">
        <f>'Adani Enterprises'!AI34</f>
        <v>0</v>
      </c>
      <c r="AJ34" s="48">
        <f>'Adani Enterprises'!AJ34</f>
        <v>0</v>
      </c>
      <c r="AK34" s="48">
        <f>'Adani Enterprises'!AK34</f>
        <v>0</v>
      </c>
      <c r="AL34" s="48">
        <f>'Adani Enterprises'!AL34</f>
        <v>0</v>
      </c>
    </row>
    <row r="35" customHeight="1" spans="1:38">
      <c r="A35" s="47">
        <f>IFERROR(__xludf.DUMMYFUNCTION("""COMPUTED_VALUE"""),45792.6458333333)</f>
        <v>45792.6458333333</v>
      </c>
      <c r="B35" s="48">
        <f>IFERROR(__xludf.DUMMYFUNCTION("""COMPUTED_VALUE"""),2329.9)</f>
        <v>2329.9</v>
      </c>
      <c r="C35" s="47">
        <f>IFERROR(__xludf.DUMMYFUNCTION("""COMPUTED_VALUE"""),45792.6458333333)</f>
        <v>45792.6458333333</v>
      </c>
      <c r="D35" s="48">
        <f>IFERROR(__xludf.DUMMYFUNCTION("""COMPUTED_VALUE"""),2285)</f>
        <v>2285</v>
      </c>
      <c r="E35" s="47">
        <f>IFERROR(__xludf.DUMMYFUNCTION("""COMPUTED_VALUE"""),45792.6458333333)</f>
        <v>45792.6458333333</v>
      </c>
      <c r="F35" s="48">
        <f>IFERROR(__xludf.DUMMYFUNCTION("""COMPUTED_VALUE"""),1675016)</f>
        <v>1675016</v>
      </c>
      <c r="G35" s="47">
        <f>IFERROR(__xludf.DUMMYFUNCTION("""COMPUTED_VALUE"""),45792.6458333333)</f>
        <v>45792.6458333333</v>
      </c>
      <c r="H35" s="48">
        <f>IFERROR(__xludf.DUMMYFUNCTION("""COMPUTED_VALUE"""),2335.5)</f>
        <v>2335.5</v>
      </c>
      <c r="I35" s="47">
        <f>IFERROR(__xludf.DUMMYFUNCTION("""COMPUTED_VALUE"""),45792.6458333333)</f>
        <v>45792.6458333333</v>
      </c>
      <c r="J35" s="48">
        <f>IFERROR(__xludf.DUMMYFUNCTION("""COMPUTED_VALUE"""),2268)</f>
        <v>2268</v>
      </c>
      <c r="K35" s="3">
        <f t="shared" si="2"/>
        <v>0</v>
      </c>
      <c r="L35" s="3">
        <f t="shared" si="3"/>
        <v>0</v>
      </c>
      <c r="AF35" s="48">
        <f>'Adani Enterprises'!AF35</f>
        <v>0</v>
      </c>
      <c r="AG35" s="48">
        <f>'Adani Enterprises'!AG35</f>
        <v>0</v>
      </c>
      <c r="AH35" s="48">
        <f>'Adani Enterprises'!AH35</f>
        <v>0</v>
      </c>
      <c r="AI35" s="48">
        <f>'Adani Enterprises'!AI35</f>
        <v>0</v>
      </c>
      <c r="AJ35" s="48">
        <f>'Adani Enterprises'!AJ35</f>
        <v>0</v>
      </c>
      <c r="AK35" s="48">
        <f>'Adani Enterprises'!AK35</f>
        <v>0</v>
      </c>
      <c r="AL35" s="48">
        <f>'Adani Enterprises'!AL35</f>
        <v>0</v>
      </c>
    </row>
    <row r="36" customHeight="1" spans="1:38">
      <c r="A36" s="47">
        <f>IFERROR(__xludf.DUMMYFUNCTION("""COMPUTED_VALUE"""),45793.6458333333)</f>
        <v>45793.6458333333</v>
      </c>
      <c r="B36" s="48">
        <f>IFERROR(__xludf.DUMMYFUNCTION("""COMPUTED_VALUE"""),2353.6)</f>
        <v>2353.6</v>
      </c>
      <c r="C36" s="47">
        <f>IFERROR(__xludf.DUMMYFUNCTION("""COMPUTED_VALUE"""),45793.6458333333)</f>
        <v>45793.6458333333</v>
      </c>
      <c r="D36" s="48">
        <f>IFERROR(__xludf.DUMMYFUNCTION("""COMPUTED_VALUE"""),2333.9)</f>
        <v>2333.9</v>
      </c>
      <c r="E36" s="47">
        <f>IFERROR(__xludf.DUMMYFUNCTION("""COMPUTED_VALUE"""),45793.6458333333)</f>
        <v>45793.6458333333</v>
      </c>
      <c r="F36" s="48">
        <f>IFERROR(__xludf.DUMMYFUNCTION("""COMPUTED_VALUE"""),785113)</f>
        <v>785113</v>
      </c>
      <c r="G36" s="47">
        <f>IFERROR(__xludf.DUMMYFUNCTION("""COMPUTED_VALUE"""),45793.6458333333)</f>
        <v>45793.6458333333</v>
      </c>
      <c r="H36" s="48">
        <f>IFERROR(__xludf.DUMMYFUNCTION("""COMPUTED_VALUE"""),2355)</f>
        <v>2355</v>
      </c>
      <c r="I36" s="47">
        <f>IFERROR(__xludf.DUMMYFUNCTION("""COMPUTED_VALUE"""),45793.6458333333)</f>
        <v>45793.6458333333</v>
      </c>
      <c r="J36" s="48">
        <f>IFERROR(__xludf.DUMMYFUNCTION("""COMPUTED_VALUE"""),2315)</f>
        <v>2315</v>
      </c>
      <c r="K36" s="3">
        <f t="shared" si="2"/>
        <v>0</v>
      </c>
      <c r="L36" s="3">
        <f t="shared" si="3"/>
        <v>0</v>
      </c>
      <c r="AF36" s="48">
        <f>'Adani Enterprises'!AF36</f>
        <v>0</v>
      </c>
      <c r="AG36" s="48">
        <f>'Adani Enterprises'!AG36</f>
        <v>0</v>
      </c>
      <c r="AH36" s="48">
        <f>'Adani Enterprises'!AH36</f>
        <v>0</v>
      </c>
      <c r="AI36" s="48">
        <f>'Adani Enterprises'!AI36</f>
        <v>0</v>
      </c>
      <c r="AJ36" s="48">
        <f>'Adani Enterprises'!AJ36</f>
        <v>0</v>
      </c>
      <c r="AK36" s="48">
        <f>'Adani Enterprises'!AK36</f>
        <v>0</v>
      </c>
      <c r="AL36" s="48">
        <f>'Adani Enterprises'!AL36</f>
        <v>0</v>
      </c>
    </row>
    <row r="37" customHeight="1" spans="1:38">
      <c r="A37" s="47">
        <f>IFERROR(__xludf.DUMMYFUNCTION("""COMPUTED_VALUE"""),45796.6458333333)</f>
        <v>45796.6458333333</v>
      </c>
      <c r="B37" s="48">
        <f>IFERROR(__xludf.DUMMYFUNCTION("""COMPUTED_VALUE"""),2331.4)</f>
        <v>2331.4</v>
      </c>
      <c r="C37" s="47">
        <f>IFERROR(__xludf.DUMMYFUNCTION("""COMPUTED_VALUE"""),45796.6458333333)</f>
        <v>45796.6458333333</v>
      </c>
      <c r="D37" s="48">
        <f>IFERROR(__xludf.DUMMYFUNCTION("""COMPUTED_VALUE"""),2353.6)</f>
        <v>2353.6</v>
      </c>
      <c r="E37" s="47">
        <f>IFERROR(__xludf.DUMMYFUNCTION("""COMPUTED_VALUE"""),45796.6458333333)</f>
        <v>45796.6458333333</v>
      </c>
      <c r="F37" s="48">
        <f>IFERROR(__xludf.DUMMYFUNCTION("""COMPUTED_VALUE"""),552961)</f>
        <v>552961</v>
      </c>
      <c r="G37" s="47">
        <f>IFERROR(__xludf.DUMMYFUNCTION("""COMPUTED_VALUE"""),45796.6458333333)</f>
        <v>45796.6458333333</v>
      </c>
      <c r="H37" s="48">
        <f>IFERROR(__xludf.DUMMYFUNCTION("""COMPUTED_VALUE"""),2378.9)</f>
        <v>2378.9</v>
      </c>
      <c r="I37" s="47">
        <f>IFERROR(__xludf.DUMMYFUNCTION("""COMPUTED_VALUE"""),45796.6458333333)</f>
        <v>45796.6458333333</v>
      </c>
      <c r="J37" s="48">
        <f>IFERROR(__xludf.DUMMYFUNCTION("""COMPUTED_VALUE"""),2326.6)</f>
        <v>2326.6</v>
      </c>
      <c r="K37" s="3">
        <f t="shared" si="2"/>
        <v>0</v>
      </c>
      <c r="L37" s="3">
        <f t="shared" si="3"/>
        <v>0</v>
      </c>
      <c r="AF37" s="48">
        <f>'Adani Enterprises'!AF37</f>
        <v>0</v>
      </c>
      <c r="AG37" s="48">
        <f>'Adani Enterprises'!AG37</f>
        <v>0</v>
      </c>
      <c r="AH37" s="48">
        <f>'Adani Enterprises'!AH37</f>
        <v>0</v>
      </c>
      <c r="AI37" s="48">
        <f>'Adani Enterprises'!AI37</f>
        <v>0</v>
      </c>
      <c r="AJ37" s="48">
        <f>'Adani Enterprises'!AJ37</f>
        <v>0</v>
      </c>
      <c r="AK37" s="48">
        <f>'Adani Enterprises'!AK37</f>
        <v>0</v>
      </c>
      <c r="AL37" s="48">
        <f>'Adani Enterprises'!AL37</f>
        <v>0</v>
      </c>
    </row>
    <row r="38" customHeight="1" spans="1:38">
      <c r="A38" s="47">
        <f>IFERROR(__xludf.DUMMYFUNCTION("""COMPUTED_VALUE"""),45797.6458333333)</f>
        <v>45797.6458333333</v>
      </c>
      <c r="B38" s="48">
        <f>IFERROR(__xludf.DUMMYFUNCTION("""COMPUTED_VALUE"""),2295.6)</f>
        <v>2295.6</v>
      </c>
      <c r="C38" s="47">
        <f>IFERROR(__xludf.DUMMYFUNCTION("""COMPUTED_VALUE"""),45797.6458333333)</f>
        <v>45797.6458333333</v>
      </c>
      <c r="D38" s="48">
        <f>IFERROR(__xludf.DUMMYFUNCTION("""COMPUTED_VALUE"""),2347.5)</f>
        <v>2347.5</v>
      </c>
      <c r="E38" s="47">
        <f>IFERROR(__xludf.DUMMYFUNCTION("""COMPUTED_VALUE"""),45797.6458333333)</f>
        <v>45797.6458333333</v>
      </c>
      <c r="F38" s="48">
        <f>IFERROR(__xludf.DUMMYFUNCTION("""COMPUTED_VALUE"""),1095846)</f>
        <v>1095846</v>
      </c>
      <c r="G38" s="47">
        <f>IFERROR(__xludf.DUMMYFUNCTION("""COMPUTED_VALUE"""),45797.6458333333)</f>
        <v>45797.6458333333</v>
      </c>
      <c r="H38" s="48">
        <f>IFERROR(__xludf.DUMMYFUNCTION("""COMPUTED_VALUE"""),2347.7)</f>
        <v>2347.7</v>
      </c>
      <c r="I38" s="47">
        <f>IFERROR(__xludf.DUMMYFUNCTION("""COMPUTED_VALUE"""),45797.6458333333)</f>
        <v>45797.6458333333</v>
      </c>
      <c r="J38" s="48">
        <f>IFERROR(__xludf.DUMMYFUNCTION("""COMPUTED_VALUE"""),2291.4)</f>
        <v>2291.4</v>
      </c>
      <c r="K38" s="3">
        <f t="shared" si="2"/>
        <v>0</v>
      </c>
      <c r="L38" s="3">
        <f t="shared" si="3"/>
        <v>0</v>
      </c>
      <c r="AF38" s="48">
        <f>'Adani Enterprises'!AF38</f>
        <v>0</v>
      </c>
      <c r="AG38" s="48">
        <f>'Adani Enterprises'!AG38</f>
        <v>0</v>
      </c>
      <c r="AH38" s="48">
        <f>'Adani Enterprises'!AH38</f>
        <v>0</v>
      </c>
      <c r="AI38" s="48">
        <f>'Adani Enterprises'!AI38</f>
        <v>0</v>
      </c>
      <c r="AJ38" s="48">
        <f>'Adani Enterprises'!AJ38</f>
        <v>0</v>
      </c>
      <c r="AK38" s="48">
        <f>'Adani Enterprises'!AK38</f>
        <v>0</v>
      </c>
      <c r="AL38" s="48">
        <f>'Adani Enterprises'!AL38</f>
        <v>0</v>
      </c>
    </row>
    <row r="39" customHeight="1" spans="1:38">
      <c r="A39" s="47">
        <f>IFERROR(__xludf.DUMMYFUNCTION("""COMPUTED_VALUE"""),45798.6458333333)</f>
        <v>45798.6458333333</v>
      </c>
      <c r="B39" s="48">
        <f>IFERROR(__xludf.DUMMYFUNCTION("""COMPUTED_VALUE"""),2312.4)</f>
        <v>2312.4</v>
      </c>
      <c r="C39" s="47">
        <f>IFERROR(__xludf.DUMMYFUNCTION("""COMPUTED_VALUE"""),45798.6458333333)</f>
        <v>45798.6458333333</v>
      </c>
      <c r="D39" s="48">
        <f>IFERROR(__xludf.DUMMYFUNCTION("""COMPUTED_VALUE"""),2296)</f>
        <v>2296</v>
      </c>
      <c r="E39" s="47">
        <f>IFERROR(__xludf.DUMMYFUNCTION("""COMPUTED_VALUE"""),45798.6458333333)</f>
        <v>45798.6458333333</v>
      </c>
      <c r="F39" s="48">
        <f>IFERROR(__xludf.DUMMYFUNCTION("""COMPUTED_VALUE"""),469330)</f>
        <v>469330</v>
      </c>
      <c r="G39" s="47">
        <f>IFERROR(__xludf.DUMMYFUNCTION("""COMPUTED_VALUE"""),45798.6458333333)</f>
        <v>45798.6458333333</v>
      </c>
      <c r="H39" s="48">
        <f>IFERROR(__xludf.DUMMYFUNCTION("""COMPUTED_VALUE"""),2316.2)</f>
        <v>2316.2</v>
      </c>
      <c r="I39" s="47">
        <f>IFERROR(__xludf.DUMMYFUNCTION("""COMPUTED_VALUE"""),45798.6458333333)</f>
        <v>45798.6458333333</v>
      </c>
      <c r="J39" s="48">
        <f>IFERROR(__xludf.DUMMYFUNCTION("""COMPUTED_VALUE"""),2290)</f>
        <v>2290</v>
      </c>
      <c r="K39" s="3">
        <f t="shared" si="2"/>
        <v>0</v>
      </c>
      <c r="L39" s="3">
        <f t="shared" si="3"/>
        <v>0</v>
      </c>
      <c r="AF39" s="48">
        <f>'Adani Enterprises'!AF39</f>
        <v>0</v>
      </c>
      <c r="AG39" s="48">
        <f>'Adani Enterprises'!AG39</f>
        <v>0</v>
      </c>
      <c r="AH39" s="48">
        <f>'Adani Enterprises'!AH39</f>
        <v>0</v>
      </c>
      <c r="AI39" s="48">
        <f>'Adani Enterprises'!AI39</f>
        <v>0</v>
      </c>
      <c r="AJ39" s="48">
        <f>'Adani Enterprises'!AJ39</f>
        <v>0</v>
      </c>
      <c r="AK39" s="48">
        <f>'Adani Enterprises'!AK39</f>
        <v>0</v>
      </c>
      <c r="AL39" s="48">
        <f>'Adani Enterprises'!AL39</f>
        <v>0</v>
      </c>
    </row>
    <row r="40" customHeight="1" spans="1:38">
      <c r="A40" s="47">
        <f>IFERROR(__xludf.DUMMYFUNCTION("""COMPUTED_VALUE"""),45799.6458333333)</f>
        <v>45799.6458333333</v>
      </c>
      <c r="B40" s="48">
        <f>IFERROR(__xludf.DUMMYFUNCTION("""COMPUTED_VALUE"""),2299.2)</f>
        <v>2299.2</v>
      </c>
      <c r="C40" s="47">
        <f>IFERROR(__xludf.DUMMYFUNCTION("""COMPUTED_VALUE"""),45799.6458333333)</f>
        <v>45799.6458333333</v>
      </c>
      <c r="D40" s="48">
        <f>IFERROR(__xludf.DUMMYFUNCTION("""COMPUTED_VALUE"""),2309.2)</f>
        <v>2309.2</v>
      </c>
      <c r="E40" s="47">
        <f>IFERROR(__xludf.DUMMYFUNCTION("""COMPUTED_VALUE"""),45799.6458333333)</f>
        <v>45799.6458333333</v>
      </c>
      <c r="F40" s="48">
        <f>IFERROR(__xludf.DUMMYFUNCTION("""COMPUTED_VALUE"""),916504)</f>
        <v>916504</v>
      </c>
      <c r="G40" s="47">
        <f>IFERROR(__xludf.DUMMYFUNCTION("""COMPUTED_VALUE"""),45799.6458333333)</f>
        <v>45799.6458333333</v>
      </c>
      <c r="H40" s="48">
        <f>IFERROR(__xludf.DUMMYFUNCTION("""COMPUTED_VALUE"""),2310)</f>
        <v>2310</v>
      </c>
      <c r="I40" s="47">
        <f>IFERROR(__xludf.DUMMYFUNCTION("""COMPUTED_VALUE"""),45799.6458333333)</f>
        <v>45799.6458333333</v>
      </c>
      <c r="J40" s="48">
        <f>IFERROR(__xludf.DUMMYFUNCTION("""COMPUTED_VALUE"""),2283.1)</f>
        <v>2283.1</v>
      </c>
      <c r="K40" s="3">
        <f t="shared" si="2"/>
        <v>0</v>
      </c>
      <c r="L40" s="3">
        <f t="shared" si="3"/>
        <v>0</v>
      </c>
      <c r="AF40" s="48">
        <f>'Adani Enterprises'!AF40</f>
        <v>0</v>
      </c>
      <c r="AG40" s="48">
        <f>'Adani Enterprises'!AG40</f>
        <v>0</v>
      </c>
      <c r="AH40" s="48">
        <f>'Adani Enterprises'!AH40</f>
        <v>0</v>
      </c>
      <c r="AI40" s="48">
        <f>'Adani Enterprises'!AI40</f>
        <v>0</v>
      </c>
      <c r="AJ40" s="48">
        <f>'Adani Enterprises'!AJ40</f>
        <v>0</v>
      </c>
      <c r="AK40" s="48">
        <f>'Adani Enterprises'!AK40</f>
        <v>0</v>
      </c>
      <c r="AL40" s="48">
        <f>'Adani Enterprises'!AL40</f>
        <v>0</v>
      </c>
    </row>
    <row r="41" customHeight="1" spans="1:38">
      <c r="A41" s="47">
        <f>IFERROR(__xludf.DUMMYFUNCTION("""COMPUTED_VALUE"""),45800.6458333333)</f>
        <v>45800.6458333333</v>
      </c>
      <c r="B41" s="48">
        <f>IFERROR(__xludf.DUMMYFUNCTION("""COMPUTED_VALUE"""),2315.5)</f>
        <v>2315.5</v>
      </c>
      <c r="C41" s="47">
        <f>IFERROR(__xludf.DUMMYFUNCTION("""COMPUTED_VALUE"""),45800.6458333333)</f>
        <v>45800.6458333333</v>
      </c>
      <c r="D41" s="48">
        <f>IFERROR(__xludf.DUMMYFUNCTION("""COMPUTED_VALUE"""),2301.8)</f>
        <v>2301.8</v>
      </c>
      <c r="E41" s="47">
        <f>IFERROR(__xludf.DUMMYFUNCTION("""COMPUTED_VALUE"""),45800.6458333333)</f>
        <v>45800.6458333333</v>
      </c>
      <c r="F41" s="48">
        <f>IFERROR(__xludf.DUMMYFUNCTION("""COMPUTED_VALUE"""),458035)</f>
        <v>458035</v>
      </c>
      <c r="G41" s="47">
        <f>IFERROR(__xludf.DUMMYFUNCTION("""COMPUTED_VALUE"""),45800.6458333333)</f>
        <v>45800.6458333333</v>
      </c>
      <c r="H41" s="48">
        <f>IFERROR(__xludf.DUMMYFUNCTION("""COMPUTED_VALUE"""),2329)</f>
        <v>2329</v>
      </c>
      <c r="I41" s="47">
        <f>IFERROR(__xludf.DUMMYFUNCTION("""COMPUTED_VALUE"""),45800.6458333333)</f>
        <v>45800.6458333333</v>
      </c>
      <c r="J41" s="48">
        <f>IFERROR(__xludf.DUMMYFUNCTION("""COMPUTED_VALUE"""),2295)</f>
        <v>2295</v>
      </c>
      <c r="K41" s="3">
        <f t="shared" si="2"/>
        <v>0</v>
      </c>
      <c r="L41" s="3">
        <f t="shared" si="3"/>
        <v>0</v>
      </c>
      <c r="AF41" s="48">
        <f>'Adani Enterprises'!AF41</f>
        <v>0</v>
      </c>
      <c r="AG41" s="48">
        <f>'Adani Enterprises'!AG41</f>
        <v>0</v>
      </c>
      <c r="AH41" s="48">
        <f>'Adani Enterprises'!AH41</f>
        <v>0</v>
      </c>
      <c r="AI41" s="48">
        <f>'Adani Enterprises'!AI41</f>
        <v>0</v>
      </c>
      <c r="AJ41" s="48">
        <f>'Adani Enterprises'!AJ41</f>
        <v>0</v>
      </c>
      <c r="AK41" s="48">
        <f>'Adani Enterprises'!AK41</f>
        <v>0</v>
      </c>
      <c r="AL41" s="48">
        <f>'Adani Enterprises'!AL41</f>
        <v>0</v>
      </c>
    </row>
    <row r="42" customHeight="1" spans="1:38">
      <c r="A42" s="47">
        <f>IFERROR(__xludf.DUMMYFUNCTION("""COMPUTED_VALUE"""),45803.6458333333)</f>
        <v>45803.6458333333</v>
      </c>
      <c r="B42" s="48">
        <f>IFERROR(__xludf.DUMMYFUNCTION("""COMPUTED_VALUE"""),2327.2)</f>
        <v>2327.2</v>
      </c>
      <c r="C42" s="47">
        <f>IFERROR(__xludf.DUMMYFUNCTION("""COMPUTED_VALUE"""),45803.6458333333)</f>
        <v>45803.6458333333</v>
      </c>
      <c r="D42" s="48">
        <f>IFERROR(__xludf.DUMMYFUNCTION("""COMPUTED_VALUE"""),2316)</f>
        <v>2316</v>
      </c>
      <c r="E42" s="47">
        <f>IFERROR(__xludf.DUMMYFUNCTION("""COMPUTED_VALUE"""),45803.6458333333)</f>
        <v>45803.6458333333</v>
      </c>
      <c r="F42" s="48">
        <f>IFERROR(__xludf.DUMMYFUNCTION("""COMPUTED_VALUE"""),1258062)</f>
        <v>1258062</v>
      </c>
      <c r="G42" s="47">
        <f>IFERROR(__xludf.DUMMYFUNCTION("""COMPUTED_VALUE"""),45803.6458333333)</f>
        <v>45803.6458333333</v>
      </c>
      <c r="H42" s="48">
        <f>IFERROR(__xludf.DUMMYFUNCTION("""COMPUTED_VALUE"""),2338)</f>
        <v>2338</v>
      </c>
      <c r="I42" s="47">
        <f>IFERROR(__xludf.DUMMYFUNCTION("""COMPUTED_VALUE"""),45803.6458333333)</f>
        <v>45803.6458333333</v>
      </c>
      <c r="J42" s="48">
        <f>IFERROR(__xludf.DUMMYFUNCTION("""COMPUTED_VALUE"""),2302.8)</f>
        <v>2302.8</v>
      </c>
      <c r="K42" s="3">
        <f t="shared" si="2"/>
        <v>0</v>
      </c>
      <c r="L42" s="3">
        <f t="shared" si="3"/>
        <v>0</v>
      </c>
      <c r="AF42" s="48">
        <f>'Adani Enterprises'!AF42</f>
        <v>0</v>
      </c>
      <c r="AG42" s="48">
        <f>'Adani Enterprises'!AG42</f>
        <v>0</v>
      </c>
      <c r="AH42" s="48">
        <f>'Adani Enterprises'!AH42</f>
        <v>0</v>
      </c>
      <c r="AI42" s="48">
        <f>'Adani Enterprises'!AI42</f>
        <v>0</v>
      </c>
      <c r="AJ42" s="48">
        <f>'Adani Enterprises'!AJ42</f>
        <v>0</v>
      </c>
      <c r="AK42" s="48">
        <f>'Adani Enterprises'!AK42</f>
        <v>0</v>
      </c>
      <c r="AL42" s="48">
        <f>'Adani Enterprises'!AL42</f>
        <v>0</v>
      </c>
    </row>
    <row r="43" customHeight="1" spans="1:38">
      <c r="A43" s="47">
        <f>IFERROR(__xludf.DUMMYFUNCTION("""COMPUTED_VALUE"""),45804.6458333333)</f>
        <v>45804.6458333333</v>
      </c>
      <c r="B43" s="48">
        <f>IFERROR(__xludf.DUMMYFUNCTION("""COMPUTED_VALUE"""),2327.6)</f>
        <v>2327.6</v>
      </c>
      <c r="C43" s="47">
        <f>IFERROR(__xludf.DUMMYFUNCTION("""COMPUTED_VALUE"""),45804.6458333333)</f>
        <v>45804.6458333333</v>
      </c>
      <c r="D43" s="48">
        <f>IFERROR(__xludf.DUMMYFUNCTION("""COMPUTED_VALUE"""),2313.1)</f>
        <v>2313.1</v>
      </c>
      <c r="E43" s="47">
        <f>IFERROR(__xludf.DUMMYFUNCTION("""COMPUTED_VALUE"""),45804.6458333333)</f>
        <v>45804.6458333333</v>
      </c>
      <c r="F43" s="48">
        <f>IFERROR(__xludf.DUMMYFUNCTION("""COMPUTED_VALUE"""),2485428)</f>
        <v>2485428</v>
      </c>
      <c r="G43" s="47">
        <f>IFERROR(__xludf.DUMMYFUNCTION("""COMPUTED_VALUE"""),45804.6458333333)</f>
        <v>45804.6458333333</v>
      </c>
      <c r="H43" s="48">
        <f>IFERROR(__xludf.DUMMYFUNCTION("""COMPUTED_VALUE"""),2351.6)</f>
        <v>2351.6</v>
      </c>
      <c r="I43" s="47">
        <f>IFERROR(__xludf.DUMMYFUNCTION("""COMPUTED_VALUE"""),45804.6458333333)</f>
        <v>45804.6458333333</v>
      </c>
      <c r="J43" s="48">
        <f>IFERROR(__xludf.DUMMYFUNCTION("""COMPUTED_VALUE"""),2301.1)</f>
        <v>2301.1</v>
      </c>
      <c r="K43" s="3">
        <f t="shared" si="2"/>
        <v>0</v>
      </c>
      <c r="L43" s="3">
        <f t="shared" si="3"/>
        <v>0</v>
      </c>
      <c r="AF43" s="48">
        <f>'Adani Enterprises'!AF43</f>
        <v>0</v>
      </c>
      <c r="AG43" s="48">
        <f>'Adani Enterprises'!AG43</f>
        <v>0</v>
      </c>
      <c r="AH43" s="48">
        <f>'Adani Enterprises'!AH43</f>
        <v>0</v>
      </c>
      <c r="AI43" s="48">
        <f>'Adani Enterprises'!AI43</f>
        <v>0</v>
      </c>
      <c r="AJ43" s="48">
        <f>'Adani Enterprises'!AJ43</f>
        <v>0</v>
      </c>
      <c r="AK43" s="48">
        <f>'Adani Enterprises'!AK43</f>
        <v>0</v>
      </c>
      <c r="AL43" s="48">
        <f>'Adani Enterprises'!AL43</f>
        <v>0</v>
      </c>
    </row>
    <row r="44" customHeight="1" spans="1:38">
      <c r="A44" s="47">
        <f>IFERROR(__xludf.DUMMYFUNCTION("""COMPUTED_VALUE"""),45805.6458333333)</f>
        <v>45805.6458333333</v>
      </c>
      <c r="B44" s="48">
        <f>IFERROR(__xludf.DUMMYFUNCTION("""COMPUTED_VALUE"""),2303.2)</f>
        <v>2303.2</v>
      </c>
      <c r="C44" s="47">
        <f>IFERROR(__xludf.DUMMYFUNCTION("""COMPUTED_VALUE"""),45805.6458333333)</f>
        <v>45805.6458333333</v>
      </c>
      <c r="D44" s="48">
        <f>IFERROR(__xludf.DUMMYFUNCTION("""COMPUTED_VALUE"""),2327.6)</f>
        <v>2327.6</v>
      </c>
      <c r="E44" s="47">
        <f>IFERROR(__xludf.DUMMYFUNCTION("""COMPUTED_VALUE"""),45805.6458333333)</f>
        <v>45805.6458333333</v>
      </c>
      <c r="F44" s="48">
        <f>IFERROR(__xludf.DUMMYFUNCTION("""COMPUTED_VALUE"""),774808)</f>
        <v>774808</v>
      </c>
      <c r="G44" s="47">
        <f>IFERROR(__xludf.DUMMYFUNCTION("""COMPUTED_VALUE"""),45805.6458333333)</f>
        <v>45805.6458333333</v>
      </c>
      <c r="H44" s="48">
        <f>IFERROR(__xludf.DUMMYFUNCTION("""COMPUTED_VALUE"""),2333)</f>
        <v>2333</v>
      </c>
      <c r="I44" s="47">
        <f>IFERROR(__xludf.DUMMYFUNCTION("""COMPUTED_VALUE"""),45805.6458333333)</f>
        <v>45805.6458333333</v>
      </c>
      <c r="J44" s="48">
        <f>IFERROR(__xludf.DUMMYFUNCTION("""COMPUTED_VALUE"""),2300.3)</f>
        <v>2300.3</v>
      </c>
      <c r="K44" s="3">
        <f t="shared" si="2"/>
        <v>0</v>
      </c>
      <c r="L44" s="3">
        <f t="shared" si="3"/>
        <v>0</v>
      </c>
      <c r="AF44" s="48">
        <f>'Adani Enterprises'!AF44</f>
        <v>0</v>
      </c>
      <c r="AG44" s="48">
        <f>'Adani Enterprises'!AG44</f>
        <v>0</v>
      </c>
      <c r="AH44" s="48">
        <f>'Adani Enterprises'!AH44</f>
        <v>0</v>
      </c>
      <c r="AI44" s="48">
        <f>'Adani Enterprises'!AI44</f>
        <v>0</v>
      </c>
      <c r="AJ44" s="48">
        <f>'Adani Enterprises'!AJ44</f>
        <v>0</v>
      </c>
      <c r="AK44" s="48">
        <f>'Adani Enterprises'!AK44</f>
        <v>0</v>
      </c>
      <c r="AL44" s="48">
        <f>'Adani Enterprises'!AL44</f>
        <v>0</v>
      </c>
    </row>
    <row r="45" customHeight="1" spans="1:38">
      <c r="A45" s="47">
        <f>IFERROR(__xludf.DUMMYFUNCTION("""COMPUTED_VALUE"""),45806.6458333333)</f>
        <v>45806.6458333333</v>
      </c>
      <c r="B45" s="48">
        <f>IFERROR(__xludf.DUMMYFUNCTION("""COMPUTED_VALUE"""),2294.3)</f>
        <v>2294.3</v>
      </c>
      <c r="C45" s="47">
        <f>IFERROR(__xludf.DUMMYFUNCTION("""COMPUTED_VALUE"""),45806.6458333333)</f>
        <v>45806.6458333333</v>
      </c>
      <c r="D45" s="48">
        <f>IFERROR(__xludf.DUMMYFUNCTION("""COMPUTED_VALUE"""),2303.2)</f>
        <v>2303.2</v>
      </c>
      <c r="E45" s="47">
        <f>IFERROR(__xludf.DUMMYFUNCTION("""COMPUTED_VALUE"""),45806.6458333333)</f>
        <v>45806.6458333333</v>
      </c>
      <c r="F45" s="48">
        <f>IFERROR(__xludf.DUMMYFUNCTION("""COMPUTED_VALUE"""),1414643)</f>
        <v>1414643</v>
      </c>
      <c r="G45" s="47">
        <f>IFERROR(__xludf.DUMMYFUNCTION("""COMPUTED_VALUE"""),45806.6458333333)</f>
        <v>45806.6458333333</v>
      </c>
      <c r="H45" s="48">
        <f>IFERROR(__xludf.DUMMYFUNCTION("""COMPUTED_VALUE"""),2309)</f>
        <v>2309</v>
      </c>
      <c r="I45" s="47">
        <f>IFERROR(__xludf.DUMMYFUNCTION("""COMPUTED_VALUE"""),45806.6458333333)</f>
        <v>45806.6458333333</v>
      </c>
      <c r="J45" s="48">
        <f>IFERROR(__xludf.DUMMYFUNCTION("""COMPUTED_VALUE"""),2286.5)</f>
        <v>2286.5</v>
      </c>
      <c r="K45" s="3">
        <f t="shared" si="2"/>
        <v>0</v>
      </c>
      <c r="L45" s="3">
        <f t="shared" si="3"/>
        <v>0</v>
      </c>
      <c r="AF45" s="48">
        <f>'Adani Enterprises'!AF45</f>
        <v>0</v>
      </c>
      <c r="AG45" s="48">
        <f>'Adani Enterprises'!AG45</f>
        <v>0</v>
      </c>
      <c r="AH45" s="48">
        <f>'Adani Enterprises'!AH45</f>
        <v>0</v>
      </c>
      <c r="AI45" s="48">
        <f>'Adani Enterprises'!AI45</f>
        <v>0</v>
      </c>
      <c r="AJ45" s="48">
        <f>'Adani Enterprises'!AJ45</f>
        <v>0</v>
      </c>
      <c r="AK45" s="48">
        <f>'Adani Enterprises'!AK45</f>
        <v>0</v>
      </c>
      <c r="AL45" s="48">
        <f>'Adani Enterprises'!AL45</f>
        <v>0</v>
      </c>
    </row>
    <row r="46" customHeight="1" spans="1:38">
      <c r="A46" s="47">
        <f>IFERROR(__xludf.DUMMYFUNCTION("""COMPUTED_VALUE"""),45807.6458333333)</f>
        <v>45807.6458333333</v>
      </c>
      <c r="B46" s="48">
        <f>IFERROR(__xludf.DUMMYFUNCTION("""COMPUTED_VALUE"""),2259.1)</f>
        <v>2259.1</v>
      </c>
      <c r="C46" s="47">
        <f>IFERROR(__xludf.DUMMYFUNCTION("""COMPUTED_VALUE"""),45807.6458333333)</f>
        <v>45807.6458333333</v>
      </c>
      <c r="D46" s="48">
        <f>IFERROR(__xludf.DUMMYFUNCTION("""COMPUTED_VALUE"""),2296.5)</f>
        <v>2296.5</v>
      </c>
      <c r="E46" s="47">
        <f>IFERROR(__xludf.DUMMYFUNCTION("""COMPUTED_VALUE"""),45807.6458333333)</f>
        <v>45807.6458333333</v>
      </c>
      <c r="F46" s="48">
        <f>IFERROR(__xludf.DUMMYFUNCTION("""COMPUTED_VALUE"""),3610474)</f>
        <v>3610474</v>
      </c>
      <c r="G46" s="47">
        <f>IFERROR(__xludf.DUMMYFUNCTION("""COMPUTED_VALUE"""),45807.6458333333)</f>
        <v>45807.6458333333</v>
      </c>
      <c r="H46" s="48">
        <f>IFERROR(__xludf.DUMMYFUNCTION("""COMPUTED_VALUE"""),2304)</f>
        <v>2304</v>
      </c>
      <c r="I46" s="47">
        <f>IFERROR(__xludf.DUMMYFUNCTION("""COMPUTED_VALUE"""),45807.6458333333)</f>
        <v>45807.6458333333</v>
      </c>
      <c r="J46" s="48">
        <f>IFERROR(__xludf.DUMMYFUNCTION("""COMPUTED_VALUE"""),2255)</f>
        <v>2255</v>
      </c>
      <c r="K46" s="3">
        <f t="shared" si="2"/>
        <v>0</v>
      </c>
      <c r="L46" s="3">
        <f t="shared" si="3"/>
        <v>0</v>
      </c>
      <c r="AF46" s="48">
        <f>'Adani Enterprises'!AF46</f>
        <v>0</v>
      </c>
      <c r="AG46" s="48">
        <f>'Adani Enterprises'!AG46</f>
        <v>0</v>
      </c>
      <c r="AH46" s="48">
        <f>'Adani Enterprises'!AH46</f>
        <v>0</v>
      </c>
      <c r="AI46" s="48">
        <f>'Adani Enterprises'!AI46</f>
        <v>0</v>
      </c>
      <c r="AJ46" s="48">
        <f>'Adani Enterprises'!AJ46</f>
        <v>0</v>
      </c>
      <c r="AK46" s="48">
        <f>'Adani Enterprises'!AK46</f>
        <v>0</v>
      </c>
      <c r="AL46" s="48">
        <f>'Adani Enterprises'!AL46</f>
        <v>0</v>
      </c>
    </row>
    <row r="47" customHeight="1" spans="1:38">
      <c r="A47" s="47">
        <f>IFERROR(__xludf.DUMMYFUNCTION("""COMPUTED_VALUE"""),45810.6458333333)</f>
        <v>45810.6458333333</v>
      </c>
      <c r="B47" s="48">
        <f>IFERROR(__xludf.DUMMYFUNCTION("""COMPUTED_VALUE"""),2266.7)</f>
        <v>2266.7</v>
      </c>
      <c r="C47" s="47">
        <f>IFERROR(__xludf.DUMMYFUNCTION("""COMPUTED_VALUE"""),45810.6458333333)</f>
        <v>45810.6458333333</v>
      </c>
      <c r="D47" s="48">
        <f>IFERROR(__xludf.DUMMYFUNCTION("""COMPUTED_VALUE"""),2259.1)</f>
        <v>2259.1</v>
      </c>
      <c r="E47" s="47">
        <f>IFERROR(__xludf.DUMMYFUNCTION("""COMPUTED_VALUE"""),45810.6458333333)</f>
        <v>45810.6458333333</v>
      </c>
      <c r="F47" s="48">
        <f>IFERROR(__xludf.DUMMYFUNCTION("""COMPUTED_VALUE"""),702789)</f>
        <v>702789</v>
      </c>
      <c r="G47" s="47">
        <f>IFERROR(__xludf.DUMMYFUNCTION("""COMPUTED_VALUE"""),45810.6458333333)</f>
        <v>45810.6458333333</v>
      </c>
      <c r="H47" s="48">
        <f>IFERROR(__xludf.DUMMYFUNCTION("""COMPUTED_VALUE"""),2272.3)</f>
        <v>2272.3</v>
      </c>
      <c r="I47" s="47">
        <f>IFERROR(__xludf.DUMMYFUNCTION("""COMPUTED_VALUE"""),45810.6458333333)</f>
        <v>45810.6458333333</v>
      </c>
      <c r="J47" s="48">
        <f>IFERROR(__xludf.DUMMYFUNCTION("""COMPUTED_VALUE"""),2257.9)</f>
        <v>2257.9</v>
      </c>
      <c r="K47" s="3">
        <f t="shared" si="2"/>
        <v>0</v>
      </c>
      <c r="L47" s="3">
        <f t="shared" si="3"/>
        <v>0</v>
      </c>
      <c r="AF47" s="48">
        <f>'Adani Enterprises'!AF47</f>
        <v>0</v>
      </c>
      <c r="AG47" s="48">
        <f>'Adani Enterprises'!AG47</f>
        <v>0</v>
      </c>
      <c r="AH47" s="48">
        <f>'Adani Enterprises'!AH47</f>
        <v>0</v>
      </c>
      <c r="AI47" s="48">
        <f>'Adani Enterprises'!AI47</f>
        <v>0</v>
      </c>
      <c r="AJ47" s="48">
        <f>'Adani Enterprises'!AJ47</f>
        <v>0</v>
      </c>
      <c r="AK47" s="48">
        <f>'Adani Enterprises'!AK47</f>
        <v>0</v>
      </c>
      <c r="AL47" s="48">
        <f>'Adani Enterprises'!AL47</f>
        <v>0</v>
      </c>
    </row>
    <row r="48" customHeight="1" spans="1:38">
      <c r="A48" s="47">
        <f>IFERROR(__xludf.DUMMYFUNCTION("""COMPUTED_VALUE"""),45811.6458333333)</f>
        <v>45811.6458333333</v>
      </c>
      <c r="B48" s="48">
        <f>IFERROR(__xludf.DUMMYFUNCTION("""COMPUTED_VALUE"""),2255.7)</f>
        <v>2255.7</v>
      </c>
      <c r="C48" s="47">
        <f>IFERROR(__xludf.DUMMYFUNCTION("""COMPUTED_VALUE"""),45811.6458333333)</f>
        <v>45811.6458333333</v>
      </c>
      <c r="D48" s="48">
        <f>IFERROR(__xludf.DUMMYFUNCTION("""COMPUTED_VALUE"""),2272.6)</f>
        <v>2272.6</v>
      </c>
      <c r="E48" s="47">
        <f>IFERROR(__xludf.DUMMYFUNCTION("""COMPUTED_VALUE"""),45811.6458333333)</f>
        <v>45811.6458333333</v>
      </c>
      <c r="F48" s="48">
        <f>IFERROR(__xludf.DUMMYFUNCTION("""COMPUTED_VALUE"""),792587)</f>
        <v>792587</v>
      </c>
      <c r="G48" s="47">
        <f>IFERROR(__xludf.DUMMYFUNCTION("""COMPUTED_VALUE"""),45811.6458333333)</f>
        <v>45811.6458333333</v>
      </c>
      <c r="H48" s="48">
        <f>IFERROR(__xludf.DUMMYFUNCTION("""COMPUTED_VALUE"""),2287.3)</f>
        <v>2287.3</v>
      </c>
      <c r="I48" s="47">
        <f>IFERROR(__xludf.DUMMYFUNCTION("""COMPUTED_VALUE"""),45811.6458333333)</f>
        <v>45811.6458333333</v>
      </c>
      <c r="J48" s="48">
        <f>IFERROR(__xludf.DUMMYFUNCTION("""COMPUTED_VALUE"""),2246.7)</f>
        <v>2246.7</v>
      </c>
      <c r="K48" s="3">
        <f t="shared" si="2"/>
        <v>0</v>
      </c>
      <c r="L48" s="3">
        <f t="shared" si="3"/>
        <v>0</v>
      </c>
      <c r="AF48" s="48">
        <f>'Adani Enterprises'!AF48</f>
        <v>0</v>
      </c>
      <c r="AG48" s="48">
        <f>'Adani Enterprises'!AG48</f>
        <v>0</v>
      </c>
      <c r="AH48" s="48">
        <f>'Adani Enterprises'!AH48</f>
        <v>0</v>
      </c>
      <c r="AI48" s="48">
        <f>'Adani Enterprises'!AI48</f>
        <v>0</v>
      </c>
      <c r="AJ48" s="48">
        <f>'Adani Enterprises'!AJ48</f>
        <v>0</v>
      </c>
      <c r="AK48" s="48">
        <f>'Adani Enterprises'!AK48</f>
        <v>0</v>
      </c>
      <c r="AL48" s="48">
        <f>'Adani Enterprises'!AL48</f>
        <v>0</v>
      </c>
    </row>
    <row r="49" customHeight="1" spans="1:38">
      <c r="A49" s="47">
        <f>IFERROR(__xludf.DUMMYFUNCTION("""COMPUTED_VALUE"""),45812.6458333333)</f>
        <v>45812.6458333333</v>
      </c>
      <c r="B49" s="48">
        <f>IFERROR(__xludf.DUMMYFUNCTION("""COMPUTED_VALUE"""),2249)</f>
        <v>2249</v>
      </c>
      <c r="C49" s="47">
        <f>IFERROR(__xludf.DUMMYFUNCTION("""COMPUTED_VALUE"""),45812.6458333333)</f>
        <v>45812.6458333333</v>
      </c>
      <c r="D49" s="48">
        <f>IFERROR(__xludf.DUMMYFUNCTION("""COMPUTED_VALUE"""),2249.5)</f>
        <v>2249.5</v>
      </c>
      <c r="E49" s="47">
        <f>IFERROR(__xludf.DUMMYFUNCTION("""COMPUTED_VALUE"""),45812.6458333333)</f>
        <v>45812.6458333333</v>
      </c>
      <c r="F49" s="48">
        <f>IFERROR(__xludf.DUMMYFUNCTION("""COMPUTED_VALUE"""),768084)</f>
        <v>768084</v>
      </c>
      <c r="G49" s="47">
        <f>IFERROR(__xludf.DUMMYFUNCTION("""COMPUTED_VALUE"""),45812.6458333333)</f>
        <v>45812.6458333333</v>
      </c>
      <c r="H49" s="48">
        <f>IFERROR(__xludf.DUMMYFUNCTION("""COMPUTED_VALUE"""),2261)</f>
        <v>2261</v>
      </c>
      <c r="I49" s="47">
        <f>IFERROR(__xludf.DUMMYFUNCTION("""COMPUTED_VALUE"""),45812.6458333333)</f>
        <v>45812.6458333333</v>
      </c>
      <c r="J49" s="48">
        <f>IFERROR(__xludf.DUMMYFUNCTION("""COMPUTED_VALUE"""),2240.9)</f>
        <v>2240.9</v>
      </c>
      <c r="K49" s="3">
        <f t="shared" si="2"/>
        <v>0</v>
      </c>
      <c r="L49" s="3">
        <f t="shared" si="3"/>
        <v>0</v>
      </c>
      <c r="AF49" s="48">
        <f>'Adani Enterprises'!AF49</f>
        <v>0</v>
      </c>
      <c r="AG49" s="48">
        <f>'Adani Enterprises'!AG49</f>
        <v>0</v>
      </c>
      <c r="AH49" s="48">
        <f>'Adani Enterprises'!AH49</f>
        <v>0</v>
      </c>
      <c r="AI49" s="48">
        <f>'Adani Enterprises'!AI49</f>
        <v>0</v>
      </c>
      <c r="AJ49" s="48">
        <f>'Adani Enterprises'!AJ49</f>
        <v>0</v>
      </c>
      <c r="AK49" s="48">
        <f>'Adani Enterprises'!AK49</f>
        <v>0</v>
      </c>
      <c r="AL49" s="48">
        <f>'Adani Enterprises'!AL49</f>
        <v>0</v>
      </c>
    </row>
    <row r="50" customHeight="1" spans="1:38">
      <c r="A50" s="47">
        <f>IFERROR(__xludf.DUMMYFUNCTION("""COMPUTED_VALUE"""),45813.6458333333)</f>
        <v>45813.6458333333</v>
      </c>
      <c r="B50" s="48">
        <f>IFERROR(__xludf.DUMMYFUNCTION("""COMPUTED_VALUE"""),2243.5)</f>
        <v>2243.5</v>
      </c>
      <c r="C50" s="47">
        <f>IFERROR(__xludf.DUMMYFUNCTION("""COMPUTED_VALUE"""),45813.6458333333)</f>
        <v>45813.6458333333</v>
      </c>
      <c r="D50" s="48">
        <f>IFERROR(__xludf.DUMMYFUNCTION("""COMPUTED_VALUE"""),2251.1)</f>
        <v>2251.1</v>
      </c>
      <c r="E50" s="47">
        <f>IFERROR(__xludf.DUMMYFUNCTION("""COMPUTED_VALUE"""),45813.6458333333)</f>
        <v>45813.6458333333</v>
      </c>
      <c r="F50" s="48">
        <f>IFERROR(__xludf.DUMMYFUNCTION("""COMPUTED_VALUE"""),996615)</f>
        <v>996615</v>
      </c>
      <c r="G50" s="47">
        <f>IFERROR(__xludf.DUMMYFUNCTION("""COMPUTED_VALUE"""),45813.6458333333)</f>
        <v>45813.6458333333</v>
      </c>
      <c r="H50" s="48">
        <f>IFERROR(__xludf.DUMMYFUNCTION("""COMPUTED_VALUE"""),2261)</f>
        <v>2261</v>
      </c>
      <c r="I50" s="47">
        <f>IFERROR(__xludf.DUMMYFUNCTION("""COMPUTED_VALUE"""),45813.6458333333)</f>
        <v>45813.6458333333</v>
      </c>
      <c r="J50" s="48">
        <f>IFERROR(__xludf.DUMMYFUNCTION("""COMPUTED_VALUE"""),2233)</f>
        <v>2233</v>
      </c>
      <c r="K50" s="3">
        <f t="shared" si="2"/>
        <v>0</v>
      </c>
      <c r="L50" s="3">
        <f t="shared" si="3"/>
        <v>0</v>
      </c>
      <c r="AF50" s="48">
        <f>'Adani Enterprises'!AF50</f>
        <v>0</v>
      </c>
      <c r="AG50" s="48">
        <f>'Adani Enterprises'!AG50</f>
        <v>0</v>
      </c>
      <c r="AH50" s="48">
        <f>'Adani Enterprises'!AH50</f>
        <v>0</v>
      </c>
      <c r="AI50" s="48">
        <f>'Adani Enterprises'!AI50</f>
        <v>0</v>
      </c>
      <c r="AJ50" s="48">
        <f>'Adani Enterprises'!AJ50</f>
        <v>0</v>
      </c>
      <c r="AK50" s="48">
        <f>'Adani Enterprises'!AK50</f>
        <v>0</v>
      </c>
      <c r="AL50" s="48">
        <f>'Adani Enterprises'!AL50</f>
        <v>0</v>
      </c>
    </row>
    <row r="51" customHeight="1" spans="1:38">
      <c r="A51" s="47">
        <f>IFERROR(__xludf.DUMMYFUNCTION("""COMPUTED_VALUE"""),45814.6458333333)</f>
        <v>45814.6458333333</v>
      </c>
      <c r="B51" s="48">
        <f>IFERROR(__xludf.DUMMYFUNCTION("""COMPUTED_VALUE"""),2245.2)</f>
        <v>2245.2</v>
      </c>
      <c r="C51" s="47">
        <f>IFERROR(__xludf.DUMMYFUNCTION("""COMPUTED_VALUE"""),45814.6458333333)</f>
        <v>45814.6458333333</v>
      </c>
      <c r="D51" s="48">
        <f>IFERROR(__xludf.DUMMYFUNCTION("""COMPUTED_VALUE"""),2249.1)</f>
        <v>2249.1</v>
      </c>
      <c r="E51" s="47">
        <f>IFERROR(__xludf.DUMMYFUNCTION("""COMPUTED_VALUE"""),45814.6458333333)</f>
        <v>45814.6458333333</v>
      </c>
      <c r="F51" s="48">
        <f>IFERROR(__xludf.DUMMYFUNCTION("""COMPUTED_VALUE"""),822087)</f>
        <v>822087</v>
      </c>
      <c r="G51" s="47">
        <f>IFERROR(__xludf.DUMMYFUNCTION("""COMPUTED_VALUE"""),45814.6458333333)</f>
        <v>45814.6458333333</v>
      </c>
      <c r="H51" s="48">
        <f>IFERROR(__xludf.DUMMYFUNCTION("""COMPUTED_VALUE"""),2252.6)</f>
        <v>2252.6</v>
      </c>
      <c r="I51" s="47">
        <f>IFERROR(__xludf.DUMMYFUNCTION("""COMPUTED_VALUE"""),45814.6458333333)</f>
        <v>45814.6458333333</v>
      </c>
      <c r="J51" s="48">
        <f>IFERROR(__xludf.DUMMYFUNCTION("""COMPUTED_VALUE"""),2239)</f>
        <v>2239</v>
      </c>
      <c r="K51" s="3">
        <f t="shared" si="2"/>
        <v>0</v>
      </c>
      <c r="L51" s="3">
        <f t="shared" si="3"/>
        <v>0</v>
      </c>
      <c r="AF51" s="48">
        <f>'Adani Enterprises'!AF51</f>
        <v>0</v>
      </c>
      <c r="AG51" s="48">
        <f>'Adani Enterprises'!AG51</f>
        <v>0</v>
      </c>
      <c r="AH51" s="48">
        <f>'Adani Enterprises'!AH51</f>
        <v>0</v>
      </c>
      <c r="AI51" s="48">
        <f>'Adani Enterprises'!AI51</f>
        <v>0</v>
      </c>
      <c r="AJ51" s="48">
        <f>'Adani Enterprises'!AJ51</f>
        <v>0</v>
      </c>
      <c r="AK51" s="48">
        <f>'Adani Enterprises'!AK51</f>
        <v>0</v>
      </c>
      <c r="AL51" s="48">
        <f>'Adani Enterprises'!AL51</f>
        <v>0</v>
      </c>
    </row>
    <row r="52" customHeight="1" spans="1:38">
      <c r="A52" s="47">
        <f>IFERROR(__xludf.DUMMYFUNCTION("""COMPUTED_VALUE"""),45817.6458333333)</f>
        <v>45817.6458333333</v>
      </c>
      <c r="B52" s="48">
        <f>IFERROR(__xludf.DUMMYFUNCTION("""COMPUTED_VALUE"""),2247.9)</f>
        <v>2247.9</v>
      </c>
      <c r="C52" s="47">
        <f>IFERROR(__xludf.DUMMYFUNCTION("""COMPUTED_VALUE"""),45817.6458333333)</f>
        <v>45817.6458333333</v>
      </c>
      <c r="D52" s="48">
        <f>IFERROR(__xludf.DUMMYFUNCTION("""COMPUTED_VALUE"""),2240)</f>
        <v>2240</v>
      </c>
      <c r="E52" s="47">
        <f>IFERROR(__xludf.DUMMYFUNCTION("""COMPUTED_VALUE"""),45817.6458333333)</f>
        <v>45817.6458333333</v>
      </c>
      <c r="F52" s="48">
        <f>IFERROR(__xludf.DUMMYFUNCTION("""COMPUTED_VALUE"""),1041859)</f>
        <v>1041859</v>
      </c>
      <c r="G52" s="47">
        <f>IFERROR(__xludf.DUMMYFUNCTION("""COMPUTED_VALUE"""),45817.6458333333)</f>
        <v>45817.6458333333</v>
      </c>
      <c r="H52" s="48">
        <f>IFERROR(__xludf.DUMMYFUNCTION("""COMPUTED_VALUE"""),2255.8)</f>
        <v>2255.8</v>
      </c>
      <c r="I52" s="47">
        <f>IFERROR(__xludf.DUMMYFUNCTION("""COMPUTED_VALUE"""),45817.6458333333)</f>
        <v>45817.6458333333</v>
      </c>
      <c r="J52" s="48">
        <f>IFERROR(__xludf.DUMMYFUNCTION("""COMPUTED_VALUE"""),2236)</f>
        <v>2236</v>
      </c>
      <c r="K52" s="3">
        <f t="shared" si="2"/>
        <v>0</v>
      </c>
      <c r="L52" s="3">
        <f t="shared" si="3"/>
        <v>0</v>
      </c>
      <c r="AF52" s="48">
        <f>'Adani Enterprises'!AF52</f>
        <v>0</v>
      </c>
      <c r="AG52" s="48">
        <f>'Adani Enterprises'!AG52</f>
        <v>0</v>
      </c>
      <c r="AH52" s="48">
        <f>'Adani Enterprises'!AH52</f>
        <v>0</v>
      </c>
      <c r="AI52" s="48">
        <f>'Adani Enterprises'!AI52</f>
        <v>0</v>
      </c>
      <c r="AJ52" s="48">
        <f>'Adani Enterprises'!AJ52</f>
        <v>0</v>
      </c>
      <c r="AK52" s="48">
        <f>'Adani Enterprises'!AK52</f>
        <v>0</v>
      </c>
      <c r="AL52" s="48">
        <f>'Adani Enterprises'!AL52</f>
        <v>0</v>
      </c>
    </row>
    <row r="53" customHeight="1" spans="1:38">
      <c r="A53" s="47">
        <f>IFERROR(__xludf.DUMMYFUNCTION("""COMPUTED_VALUE"""),45818.6458333333)</f>
        <v>45818.6458333333</v>
      </c>
      <c r="B53" s="48">
        <f>IFERROR(__xludf.DUMMYFUNCTION("""COMPUTED_VALUE"""),2218.9)</f>
        <v>2218.9</v>
      </c>
      <c r="C53" s="47">
        <f>IFERROR(__xludf.DUMMYFUNCTION("""COMPUTED_VALUE"""),45818.6458333333)</f>
        <v>45818.6458333333</v>
      </c>
      <c r="D53" s="48">
        <f>IFERROR(__xludf.DUMMYFUNCTION("""COMPUTED_VALUE"""),2240)</f>
        <v>2240</v>
      </c>
      <c r="E53" s="47">
        <f>IFERROR(__xludf.DUMMYFUNCTION("""COMPUTED_VALUE"""),45818.6458333333)</f>
        <v>45818.6458333333</v>
      </c>
      <c r="F53" s="48">
        <f>IFERROR(__xludf.DUMMYFUNCTION("""COMPUTED_VALUE"""),1809078)</f>
        <v>1809078</v>
      </c>
      <c r="G53" s="47">
        <f>IFERROR(__xludf.DUMMYFUNCTION("""COMPUTED_VALUE"""),45818.6458333333)</f>
        <v>45818.6458333333</v>
      </c>
      <c r="H53" s="48">
        <f>IFERROR(__xludf.DUMMYFUNCTION("""COMPUTED_VALUE"""),2240)</f>
        <v>2240</v>
      </c>
      <c r="I53" s="47">
        <f>IFERROR(__xludf.DUMMYFUNCTION("""COMPUTED_VALUE"""),45818.6458333333)</f>
        <v>45818.6458333333</v>
      </c>
      <c r="J53" s="48">
        <f>IFERROR(__xludf.DUMMYFUNCTION("""COMPUTED_VALUE"""),2215.2)</f>
        <v>2215.2</v>
      </c>
      <c r="K53" s="3">
        <f t="shared" si="2"/>
        <v>0</v>
      </c>
      <c r="L53" s="3">
        <f t="shared" si="3"/>
        <v>0</v>
      </c>
      <c r="AF53" s="48">
        <f>'Adani Enterprises'!AF53</f>
        <v>0</v>
      </c>
      <c r="AG53" s="48">
        <f>'Adani Enterprises'!AG53</f>
        <v>0</v>
      </c>
      <c r="AH53" s="48">
        <f>'Adani Enterprises'!AH53</f>
        <v>0</v>
      </c>
      <c r="AI53" s="48">
        <f>'Adani Enterprises'!AI53</f>
        <v>0</v>
      </c>
      <c r="AJ53" s="48">
        <f>'Adani Enterprises'!AJ53</f>
        <v>0</v>
      </c>
      <c r="AK53" s="48">
        <f>'Adani Enterprises'!AK53</f>
        <v>0</v>
      </c>
      <c r="AL53" s="48">
        <f>'Adani Enterprises'!AL53</f>
        <v>0</v>
      </c>
    </row>
    <row r="54" customHeight="1" spans="1:38">
      <c r="A54" s="47">
        <f>IFERROR(__xludf.DUMMYFUNCTION("""COMPUTED_VALUE"""),45819.6458333333)</f>
        <v>45819.6458333333</v>
      </c>
      <c r="B54" s="48">
        <f>IFERROR(__xludf.DUMMYFUNCTION("""COMPUTED_VALUE"""),2208.8)</f>
        <v>2208.8</v>
      </c>
      <c r="C54" s="47">
        <f>IFERROR(__xludf.DUMMYFUNCTION("""COMPUTED_VALUE"""),45819.6458333333)</f>
        <v>45819.6458333333</v>
      </c>
      <c r="D54" s="48">
        <f>IFERROR(__xludf.DUMMYFUNCTION("""COMPUTED_VALUE"""),2209)</f>
        <v>2209</v>
      </c>
      <c r="E54" s="47">
        <f>IFERROR(__xludf.DUMMYFUNCTION("""COMPUTED_VALUE"""),45819.6458333333)</f>
        <v>45819.6458333333</v>
      </c>
      <c r="F54" s="48">
        <f>IFERROR(__xludf.DUMMYFUNCTION("""COMPUTED_VALUE"""),1431027)</f>
        <v>1431027</v>
      </c>
      <c r="G54" s="47">
        <f>IFERROR(__xludf.DUMMYFUNCTION("""COMPUTED_VALUE"""),45819.6458333333)</f>
        <v>45819.6458333333</v>
      </c>
      <c r="H54" s="48">
        <f>IFERROR(__xludf.DUMMYFUNCTION("""COMPUTED_VALUE"""),2225.9)</f>
        <v>2225.9</v>
      </c>
      <c r="I54" s="47">
        <f>IFERROR(__xludf.DUMMYFUNCTION("""COMPUTED_VALUE"""),45819.6458333333)</f>
        <v>45819.6458333333</v>
      </c>
      <c r="J54" s="48">
        <f>IFERROR(__xludf.DUMMYFUNCTION("""COMPUTED_VALUE"""),2207.2)</f>
        <v>2207.2</v>
      </c>
      <c r="K54" s="3">
        <f t="shared" si="2"/>
        <v>0</v>
      </c>
      <c r="L54" s="3">
        <f t="shared" si="3"/>
        <v>2208.8</v>
      </c>
      <c r="AF54" s="48">
        <f>'Adani Enterprises'!AF54</f>
        <v>0</v>
      </c>
      <c r="AG54" s="48">
        <f>'Adani Enterprises'!AG54</f>
        <v>0</v>
      </c>
      <c r="AH54" s="48">
        <f>'Adani Enterprises'!AH54</f>
        <v>0</v>
      </c>
      <c r="AI54" s="48">
        <f>'Adani Enterprises'!AI54</f>
        <v>0</v>
      </c>
      <c r="AJ54" s="48">
        <f>'Adani Enterprises'!AJ54</f>
        <v>0</v>
      </c>
      <c r="AK54" s="48">
        <f>'Adani Enterprises'!AK54</f>
        <v>0</v>
      </c>
      <c r="AL54" s="48">
        <f>'Adani Enterprises'!AL54</f>
        <v>0</v>
      </c>
    </row>
    <row r="55" customHeight="1" spans="1:38">
      <c r="A55" s="47">
        <f>IFERROR(__xludf.DUMMYFUNCTION("""COMPUTED_VALUE"""),45820.6458333333)</f>
        <v>45820.6458333333</v>
      </c>
      <c r="B55" s="48">
        <f>IFERROR(__xludf.DUMMYFUNCTION("""COMPUTED_VALUE"""),2219.4)</f>
        <v>2219.4</v>
      </c>
      <c r="C55" s="47">
        <f>IFERROR(__xludf.DUMMYFUNCTION("""COMPUTED_VALUE"""),45820.6458333333)</f>
        <v>45820.6458333333</v>
      </c>
      <c r="D55" s="48">
        <f>IFERROR(__xludf.DUMMYFUNCTION("""COMPUTED_VALUE"""),2224)</f>
        <v>2224</v>
      </c>
      <c r="E55" s="47">
        <f>IFERROR(__xludf.DUMMYFUNCTION("""COMPUTED_VALUE"""),45820.6458333333)</f>
        <v>45820.6458333333</v>
      </c>
      <c r="F55" s="48">
        <f>IFERROR(__xludf.DUMMYFUNCTION("""COMPUTED_VALUE"""),3417375)</f>
        <v>3417375</v>
      </c>
      <c r="G55" s="47">
        <f>IFERROR(__xludf.DUMMYFUNCTION("""COMPUTED_VALUE"""),45820.6458333333)</f>
        <v>45820.6458333333</v>
      </c>
      <c r="H55" s="48">
        <f>IFERROR(__xludf.DUMMYFUNCTION("""COMPUTED_VALUE"""),2263)</f>
        <v>2263</v>
      </c>
      <c r="I55" s="47">
        <f>IFERROR(__xludf.DUMMYFUNCTION("""COMPUTED_VALUE"""),45820.6458333333)</f>
        <v>45820.6458333333</v>
      </c>
      <c r="J55" s="48">
        <f>IFERROR(__xludf.DUMMYFUNCTION("""COMPUTED_VALUE"""),2208.1)</f>
        <v>2208.1</v>
      </c>
      <c r="K55" s="3">
        <f t="shared" si="2"/>
        <v>0</v>
      </c>
      <c r="L55" s="3">
        <f t="shared" si="3"/>
        <v>0</v>
      </c>
      <c r="AF55" s="48">
        <f>'Adani Enterprises'!AF55</f>
        <v>0</v>
      </c>
      <c r="AG55" s="48">
        <f>'Adani Enterprises'!AG55</f>
        <v>0</v>
      </c>
      <c r="AH55" s="48">
        <f>'Adani Enterprises'!AH55</f>
        <v>0</v>
      </c>
      <c r="AI55" s="48">
        <f>'Adani Enterprises'!AI55</f>
        <v>0</v>
      </c>
      <c r="AJ55" s="48">
        <f>'Adani Enterprises'!AJ55</f>
        <v>0</v>
      </c>
      <c r="AK55" s="48">
        <f>'Adani Enterprises'!AK55</f>
        <v>0</v>
      </c>
      <c r="AL55" s="48">
        <f>'Adani Enterprises'!AL55</f>
        <v>0</v>
      </c>
    </row>
    <row r="56" customHeight="1" spans="1:38">
      <c r="A56" s="47">
        <f>IFERROR(__xludf.DUMMYFUNCTION("""COMPUTED_VALUE"""),45821.6458333333)</f>
        <v>45821.6458333333</v>
      </c>
      <c r="B56" s="48">
        <f>IFERROR(__xludf.DUMMYFUNCTION("""COMPUTED_VALUE"""),2214.2)</f>
        <v>2214.2</v>
      </c>
      <c r="C56" s="47">
        <f>IFERROR(__xludf.DUMMYFUNCTION("""COMPUTED_VALUE"""),45821.6458333333)</f>
        <v>45821.6458333333</v>
      </c>
      <c r="D56" s="48">
        <f>IFERROR(__xludf.DUMMYFUNCTION("""COMPUTED_VALUE"""),2175)</f>
        <v>2175</v>
      </c>
      <c r="E56" s="47">
        <f>IFERROR(__xludf.DUMMYFUNCTION("""COMPUTED_VALUE"""),45821.6458333333)</f>
        <v>45821.6458333333</v>
      </c>
      <c r="F56" s="48">
        <f>IFERROR(__xludf.DUMMYFUNCTION("""COMPUTED_VALUE"""),1786808)</f>
        <v>1786808</v>
      </c>
      <c r="G56" s="47">
        <f>IFERROR(__xludf.DUMMYFUNCTION("""COMPUTED_VALUE"""),45821.6458333333)</f>
        <v>45821.6458333333</v>
      </c>
      <c r="H56" s="48">
        <f>IFERROR(__xludf.DUMMYFUNCTION("""COMPUTED_VALUE"""),2217.1)</f>
        <v>2217.1</v>
      </c>
      <c r="I56" s="47">
        <f>IFERROR(__xludf.DUMMYFUNCTION("""COMPUTED_VALUE"""),45821.6458333333)</f>
        <v>45821.6458333333</v>
      </c>
      <c r="J56" s="48">
        <f>IFERROR(__xludf.DUMMYFUNCTION("""COMPUTED_VALUE"""),2174.8)</f>
        <v>2174.8</v>
      </c>
      <c r="K56" s="3">
        <f t="shared" si="2"/>
        <v>0</v>
      </c>
      <c r="L56" s="3">
        <f t="shared" si="3"/>
        <v>0</v>
      </c>
      <c r="AF56" s="48">
        <f>'Adani Enterprises'!AF56</f>
        <v>0</v>
      </c>
      <c r="AG56" s="48">
        <f>'Adani Enterprises'!AG56</f>
        <v>0</v>
      </c>
      <c r="AH56" s="48">
        <f>'Adani Enterprises'!AH56</f>
        <v>0</v>
      </c>
      <c r="AI56" s="48">
        <f>'Adani Enterprises'!AI56</f>
        <v>0</v>
      </c>
      <c r="AJ56" s="48">
        <f>'Adani Enterprises'!AJ56</f>
        <v>0</v>
      </c>
      <c r="AK56" s="48">
        <f>'Adani Enterprises'!AK56</f>
        <v>0</v>
      </c>
      <c r="AL56" s="48">
        <f>'Adani Enterprises'!AL56</f>
        <v>0</v>
      </c>
    </row>
    <row r="57" customHeight="1" spans="1:38">
      <c r="A57" s="47">
        <f>IFERROR(__xludf.DUMMYFUNCTION("""COMPUTED_VALUE"""),45824.6458333333)</f>
        <v>45824.6458333333</v>
      </c>
      <c r="B57" s="48">
        <f>IFERROR(__xludf.DUMMYFUNCTION("""COMPUTED_VALUE"""),2244.8)</f>
        <v>2244.8</v>
      </c>
      <c r="C57" s="47">
        <f>IFERROR(__xludf.DUMMYFUNCTION("""COMPUTED_VALUE"""),45824.6458333333)</f>
        <v>45824.6458333333</v>
      </c>
      <c r="D57" s="48">
        <f>IFERROR(__xludf.DUMMYFUNCTION("""COMPUTED_VALUE"""),2214.2)</f>
        <v>2214.2</v>
      </c>
      <c r="E57" s="47">
        <f>IFERROR(__xludf.DUMMYFUNCTION("""COMPUTED_VALUE"""),45824.6458333333)</f>
        <v>45824.6458333333</v>
      </c>
      <c r="F57" s="48">
        <f>IFERROR(__xludf.DUMMYFUNCTION("""COMPUTED_VALUE"""),1301826)</f>
        <v>1301826</v>
      </c>
      <c r="G57" s="47">
        <f>IFERROR(__xludf.DUMMYFUNCTION("""COMPUTED_VALUE"""),45824.6458333333)</f>
        <v>45824.6458333333</v>
      </c>
      <c r="H57" s="48">
        <f>IFERROR(__xludf.DUMMYFUNCTION("""COMPUTED_VALUE"""),2250)</f>
        <v>2250</v>
      </c>
      <c r="I57" s="47">
        <f>IFERROR(__xludf.DUMMYFUNCTION("""COMPUTED_VALUE"""),45824.6458333333)</f>
        <v>45824.6458333333</v>
      </c>
      <c r="J57" s="48">
        <f>IFERROR(__xludf.DUMMYFUNCTION("""COMPUTED_VALUE"""),2209.3)</f>
        <v>2209.3</v>
      </c>
      <c r="K57" s="3">
        <f t="shared" si="2"/>
        <v>0</v>
      </c>
      <c r="L57" s="3">
        <f t="shared" si="3"/>
        <v>0</v>
      </c>
      <c r="AF57" s="48">
        <f>'Adani Enterprises'!AF57</f>
        <v>0</v>
      </c>
      <c r="AG57" s="48">
        <f>'Adani Enterprises'!AG57</f>
        <v>0</v>
      </c>
      <c r="AH57" s="48">
        <f>'Adani Enterprises'!AH57</f>
        <v>0</v>
      </c>
      <c r="AI57" s="48">
        <f>'Adani Enterprises'!AI57</f>
        <v>0</v>
      </c>
      <c r="AJ57" s="48">
        <f>'Adani Enterprises'!AJ57</f>
        <v>0</v>
      </c>
      <c r="AK57" s="48">
        <f>'Adani Enterprises'!AK57</f>
        <v>0</v>
      </c>
      <c r="AL57" s="48">
        <f>'Adani Enterprises'!AL57</f>
        <v>0</v>
      </c>
    </row>
    <row r="58" customHeight="1" spans="1:38">
      <c r="A58" s="47">
        <f>IFERROR(__xludf.DUMMYFUNCTION("""COMPUTED_VALUE"""),45825.6458333333)</f>
        <v>45825.6458333333</v>
      </c>
      <c r="B58" s="48">
        <f>IFERROR(__xludf.DUMMYFUNCTION("""COMPUTED_VALUE"""),2264.8)</f>
        <v>2264.8</v>
      </c>
      <c r="C58" s="47">
        <f>IFERROR(__xludf.DUMMYFUNCTION("""COMPUTED_VALUE"""),45825.6458333333)</f>
        <v>45825.6458333333</v>
      </c>
      <c r="D58" s="48">
        <f>IFERROR(__xludf.DUMMYFUNCTION("""COMPUTED_VALUE"""),2231)</f>
        <v>2231</v>
      </c>
      <c r="E58" s="47">
        <f>IFERROR(__xludf.DUMMYFUNCTION("""COMPUTED_VALUE"""),45825.6458333333)</f>
        <v>45825.6458333333</v>
      </c>
      <c r="F58" s="48">
        <f>IFERROR(__xludf.DUMMYFUNCTION("""COMPUTED_VALUE"""),1540986)</f>
        <v>1540986</v>
      </c>
      <c r="G58" s="47">
        <f>IFERROR(__xludf.DUMMYFUNCTION("""COMPUTED_VALUE"""),45825.6458333333)</f>
        <v>45825.6458333333</v>
      </c>
      <c r="H58" s="48">
        <f>IFERROR(__xludf.DUMMYFUNCTION("""COMPUTED_VALUE"""),2281)</f>
        <v>2281</v>
      </c>
      <c r="I58" s="47">
        <f>IFERROR(__xludf.DUMMYFUNCTION("""COMPUTED_VALUE"""),45825.6458333333)</f>
        <v>45825.6458333333</v>
      </c>
      <c r="J58" s="48">
        <f>IFERROR(__xludf.DUMMYFUNCTION("""COMPUTED_VALUE"""),2227)</f>
        <v>2227</v>
      </c>
      <c r="K58" s="3">
        <f t="shared" si="2"/>
        <v>0</v>
      </c>
      <c r="L58" s="3">
        <f t="shared" si="3"/>
        <v>0</v>
      </c>
      <c r="AF58" s="48">
        <f>'Adani Enterprises'!AF58</f>
        <v>0</v>
      </c>
      <c r="AG58" s="48">
        <f>'Adani Enterprises'!AG58</f>
        <v>0</v>
      </c>
      <c r="AH58" s="48">
        <f>'Adani Enterprises'!AH58</f>
        <v>0</v>
      </c>
      <c r="AI58" s="48">
        <f>'Adani Enterprises'!AI58</f>
        <v>0</v>
      </c>
      <c r="AJ58" s="48">
        <f>'Adani Enterprises'!AJ58</f>
        <v>0</v>
      </c>
      <c r="AK58" s="48">
        <f>'Adani Enterprises'!AK58</f>
        <v>0</v>
      </c>
      <c r="AL58" s="48">
        <f>'Adani Enterprises'!AL58</f>
        <v>0</v>
      </c>
    </row>
    <row r="59" customHeight="1" spans="1:38">
      <c r="A59" s="47">
        <f>IFERROR(__xludf.DUMMYFUNCTION("""COMPUTED_VALUE"""),45826.6458333333)</f>
        <v>45826.6458333333</v>
      </c>
      <c r="B59" s="48">
        <f>IFERROR(__xludf.DUMMYFUNCTION("""COMPUTED_VALUE"""),2281.4)</f>
        <v>2281.4</v>
      </c>
      <c r="C59" s="47">
        <f>IFERROR(__xludf.DUMMYFUNCTION("""COMPUTED_VALUE"""),45826.6458333333)</f>
        <v>45826.6458333333</v>
      </c>
      <c r="D59" s="48">
        <f>IFERROR(__xludf.DUMMYFUNCTION("""COMPUTED_VALUE"""),2257)</f>
        <v>2257</v>
      </c>
      <c r="E59" s="47">
        <f>IFERROR(__xludf.DUMMYFUNCTION("""COMPUTED_VALUE"""),45826.6458333333)</f>
        <v>45826.6458333333</v>
      </c>
      <c r="F59" s="48">
        <f>IFERROR(__xludf.DUMMYFUNCTION("""COMPUTED_VALUE"""),1131156)</f>
        <v>1131156</v>
      </c>
      <c r="G59" s="47">
        <f>IFERROR(__xludf.DUMMYFUNCTION("""COMPUTED_VALUE"""),45826.6458333333)</f>
        <v>45826.6458333333</v>
      </c>
      <c r="H59" s="48">
        <f>IFERROR(__xludf.DUMMYFUNCTION("""COMPUTED_VALUE"""),2284)</f>
        <v>2284</v>
      </c>
      <c r="I59" s="47">
        <f>IFERROR(__xludf.DUMMYFUNCTION("""COMPUTED_VALUE"""),45826.6458333333)</f>
        <v>45826.6458333333</v>
      </c>
      <c r="J59" s="48">
        <f>IFERROR(__xludf.DUMMYFUNCTION("""COMPUTED_VALUE"""),2255)</f>
        <v>2255</v>
      </c>
      <c r="K59" s="3">
        <f t="shared" si="2"/>
        <v>0</v>
      </c>
      <c r="L59" s="3">
        <f t="shared" si="3"/>
        <v>0</v>
      </c>
      <c r="AF59" s="48">
        <f>'Adani Enterprises'!AF59</f>
        <v>0</v>
      </c>
      <c r="AG59" s="48">
        <f>'Adani Enterprises'!AG59</f>
        <v>0</v>
      </c>
      <c r="AH59" s="48">
        <f>'Adani Enterprises'!AH59</f>
        <v>0</v>
      </c>
      <c r="AI59" s="48">
        <f>'Adani Enterprises'!AI59</f>
        <v>0</v>
      </c>
      <c r="AJ59" s="48">
        <f>'Adani Enterprises'!AJ59</f>
        <v>0</v>
      </c>
      <c r="AK59" s="48">
        <f>'Adani Enterprises'!AK59</f>
        <v>0</v>
      </c>
      <c r="AL59" s="48">
        <f>'Adani Enterprises'!AL59</f>
        <v>0</v>
      </c>
    </row>
    <row r="60" customHeight="1" spans="1:38">
      <c r="A60" s="47">
        <f>IFERROR(__xludf.DUMMYFUNCTION("""COMPUTED_VALUE"""),45827.6458333333)</f>
        <v>45827.6458333333</v>
      </c>
      <c r="B60" s="48">
        <f>IFERROR(__xludf.DUMMYFUNCTION("""COMPUTED_VALUE"""),2268)</f>
        <v>2268</v>
      </c>
      <c r="C60" s="47">
        <f>IFERROR(__xludf.DUMMYFUNCTION("""COMPUTED_VALUE"""),45827.6458333333)</f>
        <v>45827.6458333333</v>
      </c>
      <c r="D60" s="48">
        <f>IFERROR(__xludf.DUMMYFUNCTION("""COMPUTED_VALUE"""),2270)</f>
        <v>2270</v>
      </c>
      <c r="E60" s="47">
        <f>IFERROR(__xludf.DUMMYFUNCTION("""COMPUTED_VALUE"""),45827.6458333333)</f>
        <v>45827.6458333333</v>
      </c>
      <c r="F60" s="48">
        <f>IFERROR(__xludf.DUMMYFUNCTION("""COMPUTED_VALUE"""),524936)</f>
        <v>524936</v>
      </c>
      <c r="G60" s="47">
        <f>IFERROR(__xludf.DUMMYFUNCTION("""COMPUTED_VALUE"""),45827.6458333333)</f>
        <v>45827.6458333333</v>
      </c>
      <c r="H60" s="48">
        <f>IFERROR(__xludf.DUMMYFUNCTION("""COMPUTED_VALUE"""),2285)</f>
        <v>2285</v>
      </c>
      <c r="I60" s="47">
        <f>IFERROR(__xludf.DUMMYFUNCTION("""COMPUTED_VALUE"""),45827.6458333333)</f>
        <v>45827.6458333333</v>
      </c>
      <c r="J60" s="48">
        <f>IFERROR(__xludf.DUMMYFUNCTION("""COMPUTED_VALUE"""),2264)</f>
        <v>2264</v>
      </c>
      <c r="K60" s="3">
        <f t="shared" si="2"/>
        <v>0</v>
      </c>
      <c r="L60" s="3">
        <f t="shared" si="3"/>
        <v>0</v>
      </c>
      <c r="AF60" s="48">
        <f>'Adani Enterprises'!AF60</f>
        <v>0</v>
      </c>
      <c r="AG60" s="48">
        <f>'Adani Enterprises'!AG60</f>
        <v>0</v>
      </c>
      <c r="AH60" s="48">
        <f>'Adani Enterprises'!AH60</f>
        <v>0</v>
      </c>
      <c r="AI60" s="48">
        <f>'Adani Enterprises'!AI60</f>
        <v>0</v>
      </c>
      <c r="AJ60" s="48">
        <f>'Adani Enterprises'!AJ60</f>
        <v>0</v>
      </c>
      <c r="AK60" s="48">
        <f>'Adani Enterprises'!AK60</f>
        <v>0</v>
      </c>
      <c r="AL60" s="48">
        <f>'Adani Enterprises'!AL60</f>
        <v>0</v>
      </c>
    </row>
    <row r="61" customHeight="1" spans="1:38">
      <c r="A61" s="47">
        <f>IFERROR(__xludf.DUMMYFUNCTION("""COMPUTED_VALUE"""),45828.6458333333)</f>
        <v>45828.6458333333</v>
      </c>
      <c r="B61" s="48">
        <f>IFERROR(__xludf.DUMMYFUNCTION("""COMPUTED_VALUE"""),2285.7)</f>
        <v>2285.7</v>
      </c>
      <c r="C61" s="47">
        <f>IFERROR(__xludf.DUMMYFUNCTION("""COMPUTED_VALUE"""),45828.6458333333)</f>
        <v>45828.6458333333</v>
      </c>
      <c r="D61" s="48">
        <f>IFERROR(__xludf.DUMMYFUNCTION("""COMPUTED_VALUE"""),2267)</f>
        <v>2267</v>
      </c>
      <c r="E61" s="47">
        <f>IFERROR(__xludf.DUMMYFUNCTION("""COMPUTED_VALUE"""),45828.6458333333)</f>
        <v>45828.6458333333</v>
      </c>
      <c r="F61" s="48">
        <f>IFERROR(__xludf.DUMMYFUNCTION("""COMPUTED_VALUE"""),1945030)</f>
        <v>1945030</v>
      </c>
      <c r="G61" s="47">
        <f>IFERROR(__xludf.DUMMYFUNCTION("""COMPUTED_VALUE"""),45828.6458333333)</f>
        <v>45828.6458333333</v>
      </c>
      <c r="H61" s="48">
        <f>IFERROR(__xludf.DUMMYFUNCTION("""COMPUTED_VALUE"""),2289.9)</f>
        <v>2289.9</v>
      </c>
      <c r="I61" s="47">
        <f>IFERROR(__xludf.DUMMYFUNCTION("""COMPUTED_VALUE"""),45828.6458333333)</f>
        <v>45828.6458333333</v>
      </c>
      <c r="J61" s="48">
        <f>IFERROR(__xludf.DUMMYFUNCTION("""COMPUTED_VALUE"""),2263)</f>
        <v>2263</v>
      </c>
      <c r="K61" s="3">
        <f t="shared" si="2"/>
        <v>0</v>
      </c>
      <c r="L61" s="3">
        <f t="shared" si="3"/>
        <v>0</v>
      </c>
      <c r="AF61" s="48">
        <f>'Adani Enterprises'!AF61</f>
        <v>0</v>
      </c>
      <c r="AG61" s="48">
        <f>'Adani Enterprises'!AG61</f>
        <v>0</v>
      </c>
      <c r="AH61" s="48">
        <f>'Adani Enterprises'!AH61</f>
        <v>0</v>
      </c>
      <c r="AI61" s="48">
        <f>'Adani Enterprises'!AI61</f>
        <v>0</v>
      </c>
      <c r="AJ61" s="48">
        <f>'Adani Enterprises'!AJ61</f>
        <v>0</v>
      </c>
      <c r="AK61" s="48">
        <f>'Adani Enterprises'!AK61</f>
        <v>0</v>
      </c>
      <c r="AL61" s="48">
        <f>'Adani Enterprises'!AL61</f>
        <v>0</v>
      </c>
    </row>
    <row r="62" customHeight="1" spans="1:38">
      <c r="A62" s="47">
        <f>IFERROR(__xludf.DUMMYFUNCTION("""COMPUTED_VALUE"""),45831.6458333333)</f>
        <v>45831.6458333333</v>
      </c>
      <c r="B62" s="48">
        <f>IFERROR(__xludf.DUMMYFUNCTION("""COMPUTED_VALUE"""),2264.1)</f>
        <v>2264.1</v>
      </c>
      <c r="C62" s="47">
        <f>IFERROR(__xludf.DUMMYFUNCTION("""COMPUTED_VALUE"""),45831.6458333333)</f>
        <v>45831.6458333333</v>
      </c>
      <c r="D62" s="48">
        <f>IFERROR(__xludf.DUMMYFUNCTION("""COMPUTED_VALUE"""),2261.2)</f>
        <v>2261.2</v>
      </c>
      <c r="E62" s="47">
        <f>IFERROR(__xludf.DUMMYFUNCTION("""COMPUTED_VALUE"""),45831.6458333333)</f>
        <v>45831.6458333333</v>
      </c>
      <c r="F62" s="48">
        <f>IFERROR(__xludf.DUMMYFUNCTION("""COMPUTED_VALUE"""),596186)</f>
        <v>596186</v>
      </c>
      <c r="G62" s="47">
        <f>IFERROR(__xludf.DUMMYFUNCTION("""COMPUTED_VALUE"""),45831.6458333333)</f>
        <v>45831.6458333333</v>
      </c>
      <c r="H62" s="48">
        <f>IFERROR(__xludf.DUMMYFUNCTION("""COMPUTED_VALUE"""),2272.8)</f>
        <v>2272.8</v>
      </c>
      <c r="I62" s="47">
        <f>IFERROR(__xludf.DUMMYFUNCTION("""COMPUTED_VALUE"""),45831.6458333333)</f>
        <v>45831.6458333333</v>
      </c>
      <c r="J62" s="48">
        <f>IFERROR(__xludf.DUMMYFUNCTION("""COMPUTED_VALUE"""),2253.9)</f>
        <v>2253.9</v>
      </c>
      <c r="K62" s="3">
        <f t="shared" si="2"/>
        <v>0</v>
      </c>
      <c r="L62" s="3">
        <f t="shared" si="3"/>
        <v>0</v>
      </c>
      <c r="AF62" s="48">
        <f>'Adani Enterprises'!AF62</f>
        <v>0</v>
      </c>
      <c r="AG62" s="48">
        <f>'Adani Enterprises'!AG62</f>
        <v>0</v>
      </c>
      <c r="AH62" s="48">
        <f>'Adani Enterprises'!AH62</f>
        <v>0</v>
      </c>
      <c r="AI62" s="48">
        <f>'Adani Enterprises'!AI62</f>
        <v>0</v>
      </c>
      <c r="AJ62" s="48">
        <f>'Adani Enterprises'!AJ62</f>
        <v>0</v>
      </c>
      <c r="AK62" s="48">
        <f>'Adani Enterprises'!AK62</f>
        <v>0</v>
      </c>
      <c r="AL62" s="48">
        <f>'Adani Enterprises'!AL62</f>
        <v>0</v>
      </c>
    </row>
    <row r="63" customHeight="1" spans="1:38">
      <c r="A63" s="47">
        <f>IFERROR(__xludf.DUMMYFUNCTION("""COMPUTED_VALUE"""),45832.6458333333)</f>
        <v>45832.6458333333</v>
      </c>
      <c r="B63" s="48">
        <f>IFERROR(__xludf.DUMMYFUNCTION("""COMPUTED_VALUE"""),2275.3)</f>
        <v>2275.3</v>
      </c>
      <c r="C63" s="47">
        <f>IFERROR(__xludf.DUMMYFUNCTION("""COMPUTED_VALUE"""),45832.6458333333)</f>
        <v>45832.6458333333</v>
      </c>
      <c r="D63" s="48">
        <f>IFERROR(__xludf.DUMMYFUNCTION("""COMPUTED_VALUE"""),2305)</f>
        <v>2305</v>
      </c>
      <c r="E63" s="47">
        <f>IFERROR(__xludf.DUMMYFUNCTION("""COMPUTED_VALUE"""),45832.6458333333)</f>
        <v>45832.6458333333</v>
      </c>
      <c r="F63" s="48">
        <f>IFERROR(__xludf.DUMMYFUNCTION("""COMPUTED_VALUE"""),1044179)</f>
        <v>1044179</v>
      </c>
      <c r="G63" s="47">
        <f>IFERROR(__xludf.DUMMYFUNCTION("""COMPUTED_VALUE"""),45832.6458333333)</f>
        <v>45832.6458333333</v>
      </c>
      <c r="H63" s="48">
        <f>IFERROR(__xludf.DUMMYFUNCTION("""COMPUTED_VALUE"""),2309.7)</f>
        <v>2309.7</v>
      </c>
      <c r="I63" s="47">
        <f>IFERROR(__xludf.DUMMYFUNCTION("""COMPUTED_VALUE"""),45832.6458333333)</f>
        <v>45832.6458333333</v>
      </c>
      <c r="J63" s="48">
        <f>IFERROR(__xludf.DUMMYFUNCTION("""COMPUTED_VALUE"""),2268.9)</f>
        <v>2268.9</v>
      </c>
      <c r="K63" s="3">
        <f t="shared" si="2"/>
        <v>0</v>
      </c>
      <c r="L63" s="3">
        <f t="shared" si="3"/>
        <v>0</v>
      </c>
      <c r="AF63" s="48">
        <f>'Adani Enterprises'!AF63</f>
        <v>0</v>
      </c>
      <c r="AG63" s="48">
        <f>'Adani Enterprises'!AG63</f>
        <v>0</v>
      </c>
      <c r="AH63" s="48">
        <f>'Adani Enterprises'!AH63</f>
        <v>0</v>
      </c>
      <c r="AI63" s="48">
        <f>'Adani Enterprises'!AI63</f>
        <v>0</v>
      </c>
      <c r="AJ63" s="48">
        <f>'Adani Enterprises'!AJ63</f>
        <v>0</v>
      </c>
      <c r="AK63" s="48">
        <f>'Adani Enterprises'!AK63</f>
        <v>0</v>
      </c>
      <c r="AL63" s="48">
        <f>'Adani Enterprises'!AL63</f>
        <v>0</v>
      </c>
    </row>
    <row r="64" customHeight="1" spans="1:38">
      <c r="A64" s="47">
        <f>IFERROR(__xludf.DUMMYFUNCTION("""COMPUTED_VALUE"""),45833.6458333333)</f>
        <v>45833.6458333333</v>
      </c>
      <c r="B64" s="48">
        <f>IFERROR(__xludf.DUMMYFUNCTION("""COMPUTED_VALUE"""),2279.9)</f>
        <v>2279.9</v>
      </c>
      <c r="C64" s="47">
        <f>IFERROR(__xludf.DUMMYFUNCTION("""COMPUTED_VALUE"""),45833.6458333333)</f>
        <v>45833.6458333333</v>
      </c>
      <c r="D64" s="48">
        <f>IFERROR(__xludf.DUMMYFUNCTION("""COMPUTED_VALUE"""),2276.1)</f>
        <v>2276.1</v>
      </c>
      <c r="E64" s="47">
        <f>IFERROR(__xludf.DUMMYFUNCTION("""COMPUTED_VALUE"""),45833.6458333333)</f>
        <v>45833.6458333333</v>
      </c>
      <c r="F64" s="48">
        <f>IFERROR(__xludf.DUMMYFUNCTION("""COMPUTED_VALUE"""),807391)</f>
        <v>807391</v>
      </c>
      <c r="G64" s="47">
        <f>IFERROR(__xludf.DUMMYFUNCTION("""COMPUTED_VALUE"""),45833.6458333333)</f>
        <v>45833.6458333333</v>
      </c>
      <c r="H64" s="48">
        <f>IFERROR(__xludf.DUMMYFUNCTION("""COMPUTED_VALUE"""),2294.3)</f>
        <v>2294.3</v>
      </c>
      <c r="I64" s="47">
        <f>IFERROR(__xludf.DUMMYFUNCTION("""COMPUTED_VALUE"""),45833.6458333333)</f>
        <v>45833.6458333333</v>
      </c>
      <c r="J64" s="48">
        <f>IFERROR(__xludf.DUMMYFUNCTION("""COMPUTED_VALUE"""),2275.4)</f>
        <v>2275.4</v>
      </c>
      <c r="K64" s="3">
        <f t="shared" si="2"/>
        <v>0</v>
      </c>
      <c r="L64" s="3">
        <f t="shared" si="3"/>
        <v>0</v>
      </c>
      <c r="AF64" s="48">
        <f>'Adani Enterprises'!AF64</f>
        <v>0</v>
      </c>
      <c r="AG64" s="48">
        <f>'Adani Enterprises'!AG64</f>
        <v>0</v>
      </c>
      <c r="AH64" s="48">
        <f>'Adani Enterprises'!AH64</f>
        <v>0</v>
      </c>
      <c r="AI64" s="48">
        <f>'Adani Enterprises'!AI64</f>
        <v>0</v>
      </c>
      <c r="AJ64" s="48">
        <f>'Adani Enterprises'!AJ64</f>
        <v>0</v>
      </c>
      <c r="AK64" s="48">
        <f>'Adani Enterprises'!AK64</f>
        <v>0</v>
      </c>
      <c r="AL64" s="48">
        <f>'Adani Enterprises'!AL64</f>
        <v>0</v>
      </c>
    </row>
    <row r="65" customHeight="1" spans="1:38">
      <c r="A65" s="47">
        <f>IFERROR(__xludf.DUMMYFUNCTION("""COMPUTED_VALUE"""),45834.6458333333)</f>
        <v>45834.6458333333</v>
      </c>
      <c r="B65" s="48">
        <f>IFERROR(__xludf.DUMMYFUNCTION("""COMPUTED_VALUE"""),2289.8)</f>
        <v>2289.8</v>
      </c>
      <c r="C65" s="47">
        <f>IFERROR(__xludf.DUMMYFUNCTION("""COMPUTED_VALUE"""),45834.6458333333)</f>
        <v>45834.6458333333</v>
      </c>
      <c r="D65" s="48">
        <f>IFERROR(__xludf.DUMMYFUNCTION("""COMPUTED_VALUE"""),2287)</f>
        <v>2287</v>
      </c>
      <c r="E65" s="47">
        <f>IFERROR(__xludf.DUMMYFUNCTION("""COMPUTED_VALUE"""),45834.6458333333)</f>
        <v>45834.6458333333</v>
      </c>
      <c r="F65" s="48">
        <f>IFERROR(__xludf.DUMMYFUNCTION("""COMPUTED_VALUE"""),921519)</f>
        <v>921519</v>
      </c>
      <c r="G65" s="47">
        <f>IFERROR(__xludf.DUMMYFUNCTION("""COMPUTED_VALUE"""),45834.6458333333)</f>
        <v>45834.6458333333</v>
      </c>
      <c r="H65" s="48">
        <f>IFERROR(__xludf.DUMMYFUNCTION("""COMPUTED_VALUE"""),2292.6)</f>
        <v>2292.6</v>
      </c>
      <c r="I65" s="47">
        <f>IFERROR(__xludf.DUMMYFUNCTION("""COMPUTED_VALUE"""),45834.6458333333)</f>
        <v>45834.6458333333</v>
      </c>
      <c r="J65" s="48">
        <f>IFERROR(__xludf.DUMMYFUNCTION("""COMPUTED_VALUE"""),2280.2)</f>
        <v>2280.2</v>
      </c>
      <c r="K65" s="3">
        <f t="shared" si="2"/>
        <v>0</v>
      </c>
      <c r="L65" s="3">
        <f t="shared" si="3"/>
        <v>0</v>
      </c>
      <c r="AF65" s="48">
        <f>'Adani Enterprises'!AF65</f>
        <v>0</v>
      </c>
      <c r="AG65" s="48">
        <f>'Adani Enterprises'!AG65</f>
        <v>0</v>
      </c>
      <c r="AH65" s="48">
        <f>'Adani Enterprises'!AH65</f>
        <v>0</v>
      </c>
      <c r="AI65" s="48">
        <f>'Adani Enterprises'!AI65</f>
        <v>0</v>
      </c>
      <c r="AJ65" s="48">
        <f>'Adani Enterprises'!AJ65</f>
        <v>0</v>
      </c>
      <c r="AK65" s="48">
        <f>'Adani Enterprises'!AK65</f>
        <v>0</v>
      </c>
      <c r="AL65" s="48">
        <f>'Adani Enterprises'!AL65</f>
        <v>0</v>
      </c>
    </row>
    <row r="66" customHeight="1" spans="1:38">
      <c r="A66" s="47">
        <f>IFERROR(__xludf.DUMMYFUNCTION("""COMPUTED_VALUE"""),45835.6458333333)</f>
        <v>45835.6458333333</v>
      </c>
      <c r="B66" s="48">
        <f>IFERROR(__xludf.DUMMYFUNCTION("""COMPUTED_VALUE"""),2358.7)</f>
        <v>2358.7</v>
      </c>
      <c r="C66" s="47">
        <f>IFERROR(__xludf.DUMMYFUNCTION("""COMPUTED_VALUE"""),45835.6458333333)</f>
        <v>45835.6458333333</v>
      </c>
      <c r="D66" s="48">
        <f>IFERROR(__xludf.DUMMYFUNCTION("""COMPUTED_VALUE"""),2283)</f>
        <v>2283</v>
      </c>
      <c r="E66" s="47">
        <f>IFERROR(__xludf.DUMMYFUNCTION("""COMPUTED_VALUE"""),45835.6458333333)</f>
        <v>45835.6458333333</v>
      </c>
      <c r="F66" s="48">
        <f>IFERROR(__xludf.DUMMYFUNCTION("""COMPUTED_VALUE"""),1555259)</f>
        <v>1555259</v>
      </c>
      <c r="G66" s="47">
        <f>IFERROR(__xludf.DUMMYFUNCTION("""COMPUTED_VALUE"""),45835.6458333333)</f>
        <v>45835.6458333333</v>
      </c>
      <c r="H66" s="48">
        <f>IFERROR(__xludf.DUMMYFUNCTION("""COMPUTED_VALUE"""),2364.5)</f>
        <v>2364.5</v>
      </c>
      <c r="I66" s="47">
        <f>IFERROR(__xludf.DUMMYFUNCTION("""COMPUTED_VALUE"""),45835.6458333333)</f>
        <v>45835.6458333333</v>
      </c>
      <c r="J66" s="48">
        <f>IFERROR(__xludf.DUMMYFUNCTION("""COMPUTED_VALUE"""),2277.1)</f>
        <v>2277.1</v>
      </c>
      <c r="K66" s="3">
        <f t="shared" si="2"/>
        <v>0</v>
      </c>
      <c r="L66" s="3">
        <f t="shared" si="3"/>
        <v>0</v>
      </c>
      <c r="AF66" s="48">
        <f>'Adani Enterprises'!AF66</f>
        <v>0</v>
      </c>
      <c r="AG66" s="48">
        <f>'Adani Enterprises'!AG66</f>
        <v>0</v>
      </c>
      <c r="AH66" s="48">
        <f>'Adani Enterprises'!AH66</f>
        <v>0</v>
      </c>
      <c r="AI66" s="48">
        <f>'Adani Enterprises'!AI66</f>
        <v>0</v>
      </c>
      <c r="AJ66" s="48">
        <f>'Adani Enterprises'!AJ66</f>
        <v>0</v>
      </c>
      <c r="AK66" s="48">
        <f>'Adani Enterprises'!AK66</f>
        <v>0</v>
      </c>
      <c r="AL66" s="48">
        <f>'Adani Enterprises'!AL66</f>
        <v>0</v>
      </c>
    </row>
    <row r="67" customHeight="1" spans="1:38">
      <c r="A67" s="47">
        <f>IFERROR(__xludf.DUMMYFUNCTION("""COMPUTED_VALUE"""),45838.6458333333)</f>
        <v>45838.6458333333</v>
      </c>
      <c r="B67" s="48">
        <f>IFERROR(__xludf.DUMMYFUNCTION("""COMPUTED_VALUE"""),2341.1)</f>
        <v>2341.1</v>
      </c>
      <c r="C67" s="47">
        <f>IFERROR(__xludf.DUMMYFUNCTION("""COMPUTED_VALUE"""),45838.6458333333)</f>
        <v>45838.6458333333</v>
      </c>
      <c r="D67" s="48">
        <f>IFERROR(__xludf.DUMMYFUNCTION("""COMPUTED_VALUE"""),2362)</f>
        <v>2362</v>
      </c>
      <c r="E67" s="47">
        <f>IFERROR(__xludf.DUMMYFUNCTION("""COMPUTED_VALUE"""),45838.6458333333)</f>
        <v>45838.6458333333</v>
      </c>
      <c r="F67" s="48">
        <f>IFERROR(__xludf.DUMMYFUNCTION("""COMPUTED_VALUE"""),785414)</f>
        <v>785414</v>
      </c>
      <c r="G67" s="47">
        <f>IFERROR(__xludf.DUMMYFUNCTION("""COMPUTED_VALUE"""),45838.6458333333)</f>
        <v>45838.6458333333</v>
      </c>
      <c r="H67" s="48">
        <f>IFERROR(__xludf.DUMMYFUNCTION("""COMPUTED_VALUE"""),2369.9)</f>
        <v>2369.9</v>
      </c>
      <c r="I67" s="47">
        <f>IFERROR(__xludf.DUMMYFUNCTION("""COMPUTED_VALUE"""),45838.6458333333)</f>
        <v>45838.6458333333</v>
      </c>
      <c r="J67" s="48">
        <f>IFERROR(__xludf.DUMMYFUNCTION("""COMPUTED_VALUE"""),2326.1)</f>
        <v>2326.1</v>
      </c>
      <c r="K67" s="3">
        <f t="shared" si="2"/>
        <v>0</v>
      </c>
      <c r="L67" s="3">
        <f t="shared" si="3"/>
        <v>0</v>
      </c>
      <c r="AF67" s="48">
        <f>'Adani Enterprises'!AF67</f>
        <v>0</v>
      </c>
      <c r="AG67" s="48">
        <f>'Adani Enterprises'!AG67</f>
        <v>0</v>
      </c>
      <c r="AH67" s="48">
        <f>'Adani Enterprises'!AH67</f>
        <v>0</v>
      </c>
      <c r="AI67" s="48">
        <f>'Adani Enterprises'!AI67</f>
        <v>0</v>
      </c>
      <c r="AJ67" s="48">
        <f>'Adani Enterprises'!AJ67</f>
        <v>0</v>
      </c>
      <c r="AK67" s="48">
        <f>'Adani Enterprises'!AK67</f>
        <v>0</v>
      </c>
      <c r="AL67" s="48">
        <f>'Adani Enterprises'!AL67</f>
        <v>0</v>
      </c>
    </row>
    <row r="68" customHeight="1" spans="1:38">
      <c r="A68" s="47">
        <f>IFERROR(__xludf.DUMMYFUNCTION("""COMPUTED_VALUE"""),45839.6458333333)</f>
        <v>45839.6458333333</v>
      </c>
      <c r="B68" s="48">
        <f>IFERROR(__xludf.DUMMYFUNCTION("""COMPUTED_VALUE"""),2369.5)</f>
        <v>2369.5</v>
      </c>
      <c r="C68" s="47">
        <f>IFERROR(__xludf.DUMMYFUNCTION("""COMPUTED_VALUE"""),45839.6458333333)</f>
        <v>45839.6458333333</v>
      </c>
      <c r="D68" s="48">
        <f>IFERROR(__xludf.DUMMYFUNCTION("""COMPUTED_VALUE"""),2380.5)</f>
        <v>2380.5</v>
      </c>
      <c r="E68" s="47">
        <f>IFERROR(__xludf.DUMMYFUNCTION("""COMPUTED_VALUE"""),45839.6458333333)</f>
        <v>45839.6458333333</v>
      </c>
      <c r="F68" s="48">
        <f>IFERROR(__xludf.DUMMYFUNCTION("""COMPUTED_VALUE"""),1232160)</f>
        <v>1232160</v>
      </c>
      <c r="G68" s="47">
        <f>IFERROR(__xludf.DUMMYFUNCTION("""COMPUTED_VALUE"""),45839.6458333333)</f>
        <v>45839.6458333333</v>
      </c>
      <c r="H68" s="48">
        <f>IFERROR(__xludf.DUMMYFUNCTION("""COMPUTED_VALUE"""),2400)</f>
        <v>2400</v>
      </c>
      <c r="I68" s="47">
        <f>IFERROR(__xludf.DUMMYFUNCTION("""COMPUTED_VALUE"""),45839.6458333333)</f>
        <v>45839.6458333333</v>
      </c>
      <c r="J68" s="48">
        <f>IFERROR(__xludf.DUMMYFUNCTION("""COMPUTED_VALUE"""),2350.2)</f>
        <v>2350.2</v>
      </c>
      <c r="K68" s="3">
        <f t="shared" si="2"/>
        <v>0</v>
      </c>
      <c r="L68" s="3">
        <f t="shared" si="3"/>
        <v>0</v>
      </c>
      <c r="AF68" s="48">
        <f>'Adani Enterprises'!AF68</f>
        <v>0</v>
      </c>
      <c r="AG68" s="48">
        <f>'Adani Enterprises'!AG68</f>
        <v>0</v>
      </c>
      <c r="AH68" s="48">
        <f>'Adani Enterprises'!AH68</f>
        <v>0</v>
      </c>
      <c r="AI68" s="48">
        <f>'Adani Enterprises'!AI68</f>
        <v>0</v>
      </c>
      <c r="AJ68" s="48">
        <f>'Adani Enterprises'!AJ68</f>
        <v>0</v>
      </c>
      <c r="AK68" s="48">
        <f>'Adani Enterprises'!AK68</f>
        <v>0</v>
      </c>
      <c r="AL68" s="48">
        <f>'Adani Enterprises'!AL68</f>
        <v>0</v>
      </c>
    </row>
    <row r="69" customHeight="1" spans="1:38">
      <c r="A69" s="47">
        <f>IFERROR(__xludf.DUMMYFUNCTION("""COMPUTED_VALUE"""),45840.6458333333)</f>
        <v>45840.6458333333</v>
      </c>
      <c r="B69" s="48">
        <f>IFERROR(__xludf.DUMMYFUNCTION("""COMPUTED_VALUE"""),2419.4)</f>
        <v>2419.4</v>
      </c>
      <c r="C69" s="47">
        <f>IFERROR(__xludf.DUMMYFUNCTION("""COMPUTED_VALUE"""),45840.6458333333)</f>
        <v>45840.6458333333</v>
      </c>
      <c r="D69" s="48">
        <f>IFERROR(__xludf.DUMMYFUNCTION("""COMPUTED_VALUE"""),2340)</f>
        <v>2340</v>
      </c>
      <c r="E69" s="47">
        <f>IFERROR(__xludf.DUMMYFUNCTION("""COMPUTED_VALUE"""),45840.6458333333)</f>
        <v>45840.6458333333</v>
      </c>
      <c r="F69" s="48">
        <f>IFERROR(__xludf.DUMMYFUNCTION("""COMPUTED_VALUE"""),1936060)</f>
        <v>1936060</v>
      </c>
      <c r="G69" s="47">
        <f>IFERROR(__xludf.DUMMYFUNCTION("""COMPUTED_VALUE"""),45840.6458333333)</f>
        <v>45840.6458333333</v>
      </c>
      <c r="H69" s="48">
        <f>IFERROR(__xludf.DUMMYFUNCTION("""COMPUTED_VALUE"""),2430)</f>
        <v>2430</v>
      </c>
      <c r="I69" s="47">
        <f>IFERROR(__xludf.DUMMYFUNCTION("""COMPUTED_VALUE"""),45840.6458333333)</f>
        <v>45840.6458333333</v>
      </c>
      <c r="J69" s="48">
        <f>IFERROR(__xludf.DUMMYFUNCTION("""COMPUTED_VALUE"""),2327)</f>
        <v>2327</v>
      </c>
      <c r="K69" s="3">
        <f t="shared" si="2"/>
        <v>0</v>
      </c>
      <c r="L69" s="3">
        <f t="shared" si="3"/>
        <v>0</v>
      </c>
      <c r="AF69" s="48">
        <f>'Adani Enterprises'!AF69</f>
        <v>0</v>
      </c>
      <c r="AG69" s="48">
        <f>'Adani Enterprises'!AG69</f>
        <v>0</v>
      </c>
      <c r="AH69" s="48">
        <f>'Adani Enterprises'!AH69</f>
        <v>0</v>
      </c>
      <c r="AI69" s="48">
        <f>'Adani Enterprises'!AI69</f>
        <v>0</v>
      </c>
      <c r="AJ69" s="48">
        <f>'Adani Enterprises'!AJ69</f>
        <v>0</v>
      </c>
      <c r="AK69" s="48">
        <f>'Adani Enterprises'!AK69</f>
        <v>0</v>
      </c>
      <c r="AL69" s="48">
        <f>'Adani Enterprises'!AL69</f>
        <v>0</v>
      </c>
    </row>
    <row r="70" customHeight="1" spans="1:38">
      <c r="A70" s="47">
        <f>IFERROR(__xludf.DUMMYFUNCTION("""COMPUTED_VALUE"""),45841.6458333333)</f>
        <v>45841.6458333333</v>
      </c>
      <c r="B70" s="48">
        <f>IFERROR(__xludf.DUMMYFUNCTION("""COMPUTED_VALUE"""),2430.9)</f>
        <v>2430.9</v>
      </c>
      <c r="C70" s="47">
        <f>IFERROR(__xludf.DUMMYFUNCTION("""COMPUTED_VALUE"""),45841.6458333333)</f>
        <v>45841.6458333333</v>
      </c>
      <c r="D70" s="48">
        <f>IFERROR(__xludf.DUMMYFUNCTION("""COMPUTED_VALUE"""),2428.9)</f>
        <v>2428.9</v>
      </c>
      <c r="E70" s="47">
        <f>IFERROR(__xludf.DUMMYFUNCTION("""COMPUTED_VALUE"""),45841.6458333333)</f>
        <v>45841.6458333333</v>
      </c>
      <c r="F70" s="48">
        <f>IFERROR(__xludf.DUMMYFUNCTION("""COMPUTED_VALUE"""),1547489)</f>
        <v>1547489</v>
      </c>
      <c r="G70" s="47">
        <f>IFERROR(__xludf.DUMMYFUNCTION("""COMPUTED_VALUE"""),45841.6458333333)</f>
        <v>45841.6458333333</v>
      </c>
      <c r="H70" s="48">
        <f>IFERROR(__xludf.DUMMYFUNCTION("""COMPUTED_VALUE"""),2464.4)</f>
        <v>2464.4</v>
      </c>
      <c r="I70" s="47">
        <f>IFERROR(__xludf.DUMMYFUNCTION("""COMPUTED_VALUE"""),45841.6458333333)</f>
        <v>45841.6458333333</v>
      </c>
      <c r="J70" s="48">
        <f>IFERROR(__xludf.DUMMYFUNCTION("""COMPUTED_VALUE"""),2425)</f>
        <v>2425</v>
      </c>
      <c r="K70" s="3">
        <f t="shared" si="2"/>
        <v>0</v>
      </c>
      <c r="L70" s="3">
        <f t="shared" si="3"/>
        <v>0</v>
      </c>
      <c r="AF70" s="48">
        <f>'Adani Enterprises'!AF70</f>
        <v>0</v>
      </c>
      <c r="AG70" s="48">
        <f>'Adani Enterprises'!AG70</f>
        <v>0</v>
      </c>
      <c r="AH70" s="48">
        <f>'Adani Enterprises'!AH70</f>
        <v>0</v>
      </c>
      <c r="AI70" s="48">
        <f>'Adani Enterprises'!AI70</f>
        <v>0</v>
      </c>
      <c r="AJ70" s="48">
        <f>'Adani Enterprises'!AJ70</f>
        <v>0</v>
      </c>
      <c r="AK70" s="48">
        <f>'Adani Enterprises'!AK70</f>
        <v>0</v>
      </c>
      <c r="AL70" s="48">
        <f>'Adani Enterprises'!AL70</f>
        <v>0</v>
      </c>
    </row>
    <row r="71" customHeight="1" spans="1:38">
      <c r="A71" s="47">
        <f>IFERROR(__xludf.DUMMYFUNCTION("""COMPUTED_VALUE"""),45842.6458333333)</f>
        <v>45842.6458333333</v>
      </c>
      <c r="B71" s="48">
        <f>IFERROR(__xludf.DUMMYFUNCTION("""COMPUTED_VALUE"""),2424.2)</f>
        <v>2424.2</v>
      </c>
      <c r="C71" s="47">
        <f>IFERROR(__xludf.DUMMYFUNCTION("""COMPUTED_VALUE"""),45842.6458333333)</f>
        <v>45842.6458333333</v>
      </c>
      <c r="D71" s="48">
        <f>IFERROR(__xludf.DUMMYFUNCTION("""COMPUTED_VALUE"""),2430.9)</f>
        <v>2430.9</v>
      </c>
      <c r="E71" s="47">
        <f>IFERROR(__xludf.DUMMYFUNCTION("""COMPUTED_VALUE"""),45842.6458333333)</f>
        <v>45842.6458333333</v>
      </c>
      <c r="F71" s="48">
        <f>IFERROR(__xludf.DUMMYFUNCTION("""COMPUTED_VALUE"""),602320)</f>
        <v>602320</v>
      </c>
      <c r="G71" s="47">
        <f>IFERROR(__xludf.DUMMYFUNCTION("""COMPUTED_VALUE"""),45842.6458333333)</f>
        <v>45842.6458333333</v>
      </c>
      <c r="H71" s="48">
        <f>IFERROR(__xludf.DUMMYFUNCTION("""COMPUTED_VALUE"""),2443)</f>
        <v>2443</v>
      </c>
      <c r="I71" s="47">
        <f>IFERROR(__xludf.DUMMYFUNCTION("""COMPUTED_VALUE"""),45842.6458333333)</f>
        <v>45842.6458333333</v>
      </c>
      <c r="J71" s="48">
        <f>IFERROR(__xludf.DUMMYFUNCTION("""COMPUTED_VALUE"""),2412)</f>
        <v>2412</v>
      </c>
      <c r="K71" s="3">
        <f t="shared" si="2"/>
        <v>0</v>
      </c>
      <c r="L71" s="3">
        <f t="shared" si="3"/>
        <v>0</v>
      </c>
      <c r="AF71" s="48">
        <f>'Adani Enterprises'!AF71</f>
        <v>0</v>
      </c>
      <c r="AG71" s="48">
        <f>'Adani Enterprises'!AG71</f>
        <v>0</v>
      </c>
      <c r="AH71" s="48">
        <f>'Adani Enterprises'!AH71</f>
        <v>0</v>
      </c>
      <c r="AI71" s="48">
        <f>'Adani Enterprises'!AI71</f>
        <v>0</v>
      </c>
      <c r="AJ71" s="48">
        <f>'Adani Enterprises'!AJ71</f>
        <v>0</v>
      </c>
      <c r="AK71" s="48">
        <f>'Adani Enterprises'!AK71</f>
        <v>0</v>
      </c>
      <c r="AL71" s="48">
        <f>'Adani Enterprises'!AL71</f>
        <v>0</v>
      </c>
    </row>
    <row r="72" customHeight="1" spans="1:38">
      <c r="A72" s="47">
        <f>IFERROR(__xludf.DUMMYFUNCTION("""COMPUTED_VALUE"""),45845.6458333333)</f>
        <v>45845.6458333333</v>
      </c>
      <c r="B72" s="48">
        <f>IFERROR(__xludf.DUMMYFUNCTION("""COMPUTED_VALUE"""),2442.8)</f>
        <v>2442.8</v>
      </c>
      <c r="C72" s="47">
        <f>IFERROR(__xludf.DUMMYFUNCTION("""COMPUTED_VALUE"""),45845.6458333333)</f>
        <v>45845.6458333333</v>
      </c>
      <c r="D72" s="48">
        <f>IFERROR(__xludf.DUMMYFUNCTION("""COMPUTED_VALUE"""),2423.3)</f>
        <v>2423.3</v>
      </c>
      <c r="E72" s="47">
        <f>IFERROR(__xludf.DUMMYFUNCTION("""COMPUTED_VALUE"""),45845.6458333333)</f>
        <v>45845.6458333333</v>
      </c>
      <c r="F72" s="48">
        <f>IFERROR(__xludf.DUMMYFUNCTION("""COMPUTED_VALUE"""),869054)</f>
        <v>869054</v>
      </c>
      <c r="G72" s="47">
        <f>IFERROR(__xludf.DUMMYFUNCTION("""COMPUTED_VALUE"""),45845.6458333333)</f>
        <v>45845.6458333333</v>
      </c>
      <c r="H72" s="48">
        <f>IFERROR(__xludf.DUMMYFUNCTION("""COMPUTED_VALUE"""),2465.1)</f>
        <v>2465.1</v>
      </c>
      <c r="I72" s="47">
        <f>IFERROR(__xludf.DUMMYFUNCTION("""COMPUTED_VALUE"""),45845.6458333333)</f>
        <v>45845.6458333333</v>
      </c>
      <c r="J72" s="48">
        <f>IFERROR(__xludf.DUMMYFUNCTION("""COMPUTED_VALUE"""),2421)</f>
        <v>2421</v>
      </c>
      <c r="K72" s="3">
        <f t="shared" si="2"/>
        <v>0</v>
      </c>
      <c r="L72" s="3">
        <f t="shared" si="3"/>
        <v>0</v>
      </c>
      <c r="AF72" s="48">
        <f>'Adani Enterprises'!AF72</f>
        <v>0</v>
      </c>
      <c r="AG72" s="48">
        <f>'Adani Enterprises'!AG72</f>
        <v>0</v>
      </c>
      <c r="AH72" s="48">
        <f>'Adani Enterprises'!AH72</f>
        <v>0</v>
      </c>
      <c r="AI72" s="48">
        <f>'Adani Enterprises'!AI72</f>
        <v>0</v>
      </c>
      <c r="AJ72" s="48">
        <f>'Adani Enterprises'!AJ72</f>
        <v>0</v>
      </c>
      <c r="AK72" s="48">
        <f>'Adani Enterprises'!AK72</f>
        <v>0</v>
      </c>
      <c r="AL72" s="48">
        <f>'Adani Enterprises'!AL72</f>
        <v>0</v>
      </c>
    </row>
    <row r="73" customHeight="1" spans="1:38">
      <c r="A73" s="47">
        <f>IFERROR(__xludf.DUMMYFUNCTION("""COMPUTED_VALUE"""),45846.6458333333)</f>
        <v>45846.6458333333</v>
      </c>
      <c r="B73" s="48">
        <f>IFERROR(__xludf.DUMMYFUNCTION("""COMPUTED_VALUE"""),2484.6)</f>
        <v>2484.6</v>
      </c>
      <c r="C73" s="47">
        <f>IFERROR(__xludf.DUMMYFUNCTION("""COMPUTED_VALUE"""),45846.6458333333)</f>
        <v>45846.6458333333</v>
      </c>
      <c r="D73" s="48">
        <f>IFERROR(__xludf.DUMMYFUNCTION("""COMPUTED_VALUE"""),2440.5)</f>
        <v>2440.5</v>
      </c>
      <c r="E73" s="47">
        <f>IFERROR(__xludf.DUMMYFUNCTION("""COMPUTED_VALUE"""),45846.6458333333)</f>
        <v>45846.6458333333</v>
      </c>
      <c r="F73" s="48">
        <f>IFERROR(__xludf.DUMMYFUNCTION("""COMPUTED_VALUE"""),1136367)</f>
        <v>1136367</v>
      </c>
      <c r="G73" s="47">
        <f>IFERROR(__xludf.DUMMYFUNCTION("""COMPUTED_VALUE"""),45846.6458333333)</f>
        <v>45846.6458333333</v>
      </c>
      <c r="H73" s="48">
        <f>IFERROR(__xludf.DUMMYFUNCTION("""COMPUTED_VALUE"""),2488)</f>
        <v>2488</v>
      </c>
      <c r="I73" s="47">
        <f>IFERROR(__xludf.DUMMYFUNCTION("""COMPUTED_VALUE"""),45846.6458333333)</f>
        <v>45846.6458333333</v>
      </c>
      <c r="J73" s="48">
        <f>IFERROR(__xludf.DUMMYFUNCTION("""COMPUTED_VALUE"""),2437.3)</f>
        <v>2437.3</v>
      </c>
      <c r="K73" s="3">
        <f t="shared" si="2"/>
        <v>0</v>
      </c>
      <c r="L73" s="3">
        <f t="shared" si="3"/>
        <v>0</v>
      </c>
      <c r="AF73" s="48">
        <f>'Adani Enterprises'!AF73</f>
        <v>0</v>
      </c>
      <c r="AG73" s="48">
        <f>'Adani Enterprises'!AG73</f>
        <v>0</v>
      </c>
      <c r="AH73" s="48">
        <f>'Adani Enterprises'!AH73</f>
        <v>0</v>
      </c>
      <c r="AI73" s="48">
        <f>'Adani Enterprises'!AI73</f>
        <v>0</v>
      </c>
      <c r="AJ73" s="48">
        <f>'Adani Enterprises'!AJ73</f>
        <v>0</v>
      </c>
      <c r="AK73" s="48">
        <f>'Adani Enterprises'!AK73</f>
        <v>0</v>
      </c>
      <c r="AL73" s="48">
        <f>'Adani Enterprises'!AL73</f>
        <v>0</v>
      </c>
    </row>
    <row r="74" customHeight="1" spans="1:38">
      <c r="A74" s="47">
        <f>IFERROR(__xludf.DUMMYFUNCTION("""COMPUTED_VALUE"""),45847.6458333333)</f>
        <v>45847.6458333333</v>
      </c>
      <c r="B74" s="48">
        <f>IFERROR(__xludf.DUMMYFUNCTION("""COMPUTED_VALUE"""),2498.9)</f>
        <v>2498.9</v>
      </c>
      <c r="C74" s="47">
        <f>IFERROR(__xludf.DUMMYFUNCTION("""COMPUTED_VALUE"""),45847.6458333333)</f>
        <v>45847.6458333333</v>
      </c>
      <c r="D74" s="48">
        <f>IFERROR(__xludf.DUMMYFUNCTION("""COMPUTED_VALUE"""),2520.5)</f>
        <v>2520.5</v>
      </c>
      <c r="E74" s="47">
        <f>IFERROR(__xludf.DUMMYFUNCTION("""COMPUTED_VALUE"""),45847.6458333333)</f>
        <v>45847.6458333333</v>
      </c>
      <c r="F74" s="48">
        <f>IFERROR(__xludf.DUMMYFUNCTION("""COMPUTED_VALUE"""),2328785)</f>
        <v>2328785</v>
      </c>
      <c r="G74" s="47">
        <f>IFERROR(__xludf.DUMMYFUNCTION("""COMPUTED_VALUE"""),45847.6458333333)</f>
        <v>45847.6458333333</v>
      </c>
      <c r="H74" s="48">
        <f>IFERROR(__xludf.DUMMYFUNCTION("""COMPUTED_VALUE"""),2535)</f>
        <v>2535</v>
      </c>
      <c r="I74" s="47">
        <f>IFERROR(__xludf.DUMMYFUNCTION("""COMPUTED_VALUE"""),45847.6458333333)</f>
        <v>45847.6458333333</v>
      </c>
      <c r="J74" s="48">
        <f>IFERROR(__xludf.DUMMYFUNCTION("""COMPUTED_VALUE"""),2492.9)</f>
        <v>2492.9</v>
      </c>
      <c r="K74" s="3">
        <f t="shared" si="2"/>
        <v>2498.9</v>
      </c>
      <c r="L74" s="3">
        <f t="shared" si="3"/>
        <v>0</v>
      </c>
      <c r="AF74" s="48">
        <f>'Adani Enterprises'!AF74</f>
        <v>0</v>
      </c>
      <c r="AG74" s="48">
        <f>'Adani Enterprises'!AG74</f>
        <v>0</v>
      </c>
      <c r="AH74" s="48">
        <f>'Adani Enterprises'!AH74</f>
        <v>0</v>
      </c>
      <c r="AI74" s="48">
        <f>'Adani Enterprises'!AI74</f>
        <v>0</v>
      </c>
      <c r="AJ74" s="48">
        <f>'Adani Enterprises'!AJ74</f>
        <v>0</v>
      </c>
      <c r="AK74" s="48">
        <f>'Adani Enterprises'!AK74</f>
        <v>0</v>
      </c>
      <c r="AL74" s="48">
        <f>'Adani Enterprises'!AL74</f>
        <v>0</v>
      </c>
    </row>
    <row r="75" customHeight="1" spans="1:38">
      <c r="A75" s="47">
        <f>IFERROR(__xludf.DUMMYFUNCTION("""COMPUTED_VALUE"""),45848.6458333333)</f>
        <v>45848.6458333333</v>
      </c>
      <c r="B75" s="48">
        <f>IFERROR(__xludf.DUMMYFUNCTION("""COMPUTED_VALUE"""),2451.2)</f>
        <v>2451.2</v>
      </c>
      <c r="C75" s="47">
        <f>IFERROR(__xludf.DUMMYFUNCTION("""COMPUTED_VALUE"""),45848.6458333333)</f>
        <v>45848.6458333333</v>
      </c>
      <c r="D75" s="48">
        <f>IFERROR(__xludf.DUMMYFUNCTION("""COMPUTED_VALUE"""),2507.3)</f>
        <v>2507.3</v>
      </c>
      <c r="E75" s="47">
        <f>IFERROR(__xludf.DUMMYFUNCTION("""COMPUTED_VALUE"""),45848.6458333333)</f>
        <v>45848.6458333333</v>
      </c>
      <c r="F75" s="48">
        <f>IFERROR(__xludf.DUMMYFUNCTION("""COMPUTED_VALUE"""),932978)</f>
        <v>932978</v>
      </c>
      <c r="G75" s="47">
        <f>IFERROR(__xludf.DUMMYFUNCTION("""COMPUTED_VALUE"""),45848.6458333333)</f>
        <v>45848.6458333333</v>
      </c>
      <c r="H75" s="48">
        <f>IFERROR(__xludf.DUMMYFUNCTION("""COMPUTED_VALUE"""),2512)</f>
        <v>2512</v>
      </c>
      <c r="I75" s="47">
        <f>IFERROR(__xludf.DUMMYFUNCTION("""COMPUTED_VALUE"""),45848.6458333333)</f>
        <v>45848.6458333333</v>
      </c>
      <c r="J75" s="48">
        <f>IFERROR(__xludf.DUMMYFUNCTION("""COMPUTED_VALUE"""),2445.1)</f>
        <v>2445.1</v>
      </c>
      <c r="K75" s="3">
        <f t="shared" si="2"/>
        <v>0</v>
      </c>
      <c r="L75" s="3">
        <f t="shared" si="3"/>
        <v>0</v>
      </c>
      <c r="AF75" s="48">
        <f>'Adani Enterprises'!AF75</f>
        <v>0</v>
      </c>
      <c r="AG75" s="48">
        <f>'Adani Enterprises'!AG75</f>
        <v>0</v>
      </c>
      <c r="AH75" s="48">
        <f>'Adani Enterprises'!AH75</f>
        <v>0</v>
      </c>
      <c r="AI75" s="48">
        <f>'Adani Enterprises'!AI75</f>
        <v>0</v>
      </c>
      <c r="AJ75" s="48">
        <f>'Adani Enterprises'!AJ75</f>
        <v>0</v>
      </c>
      <c r="AK75" s="48">
        <f>'Adani Enterprises'!AK75</f>
        <v>0</v>
      </c>
      <c r="AL75" s="48">
        <f>'Adani Enterprises'!AL75</f>
        <v>0</v>
      </c>
    </row>
    <row r="76" customHeight="1" spans="1:38">
      <c r="A76" s="47">
        <f>IFERROR(__xludf.DUMMYFUNCTION("""COMPUTED_VALUE"""),45849.6458333333)</f>
        <v>45849.6458333333</v>
      </c>
      <c r="B76" s="48">
        <f>IFERROR(__xludf.DUMMYFUNCTION("""COMPUTED_VALUE"""),2439.2)</f>
        <v>2439.2</v>
      </c>
      <c r="C76" s="47">
        <f>IFERROR(__xludf.DUMMYFUNCTION("""COMPUTED_VALUE"""),45849.6458333333)</f>
        <v>45849.6458333333</v>
      </c>
      <c r="D76" s="48">
        <f>IFERROR(__xludf.DUMMYFUNCTION("""COMPUTED_VALUE"""),2447.5)</f>
        <v>2447.5</v>
      </c>
      <c r="E76" s="47">
        <f>IFERROR(__xludf.DUMMYFUNCTION("""COMPUTED_VALUE"""),45849.6458333333)</f>
        <v>45849.6458333333</v>
      </c>
      <c r="F76" s="48">
        <f>IFERROR(__xludf.DUMMYFUNCTION("""COMPUTED_VALUE"""),1050466)</f>
        <v>1050466</v>
      </c>
      <c r="G76" s="47">
        <f>IFERROR(__xludf.DUMMYFUNCTION("""COMPUTED_VALUE"""),45849.6458333333)</f>
        <v>45849.6458333333</v>
      </c>
      <c r="H76" s="48">
        <f>IFERROR(__xludf.DUMMYFUNCTION("""COMPUTED_VALUE"""),2484.8)</f>
        <v>2484.8</v>
      </c>
      <c r="I76" s="47">
        <f>IFERROR(__xludf.DUMMYFUNCTION("""COMPUTED_VALUE"""),45849.6458333333)</f>
        <v>45849.6458333333</v>
      </c>
      <c r="J76" s="48">
        <f>IFERROR(__xludf.DUMMYFUNCTION("""COMPUTED_VALUE"""),2435.5)</f>
        <v>2435.5</v>
      </c>
      <c r="K76" s="3">
        <f t="shared" si="2"/>
        <v>0</v>
      </c>
      <c r="L76" s="3">
        <f t="shared" si="3"/>
        <v>0</v>
      </c>
      <c r="AF76" s="48">
        <f>'Adani Enterprises'!AF76</f>
        <v>0</v>
      </c>
      <c r="AG76" s="48">
        <f>'Adani Enterprises'!AG76</f>
        <v>0</v>
      </c>
      <c r="AH76" s="48">
        <f>'Adani Enterprises'!AH76</f>
        <v>0</v>
      </c>
      <c r="AI76" s="48">
        <f>'Adani Enterprises'!AI76</f>
        <v>0</v>
      </c>
      <c r="AJ76" s="48">
        <f>'Adani Enterprises'!AJ76</f>
        <v>0</v>
      </c>
      <c r="AK76" s="48">
        <f>'Adani Enterprises'!AK76</f>
        <v>0</v>
      </c>
      <c r="AL76" s="48">
        <f>'Adani Enterprises'!AL76</f>
        <v>0</v>
      </c>
    </row>
    <row r="77" customHeight="1" spans="1:38">
      <c r="A77" s="47">
        <f>IFERROR(__xludf.DUMMYFUNCTION("""COMPUTED_VALUE"""),45852.6458333333)</f>
        <v>45852.6458333333</v>
      </c>
      <c r="B77" s="48">
        <f>IFERROR(__xludf.DUMMYFUNCTION("""COMPUTED_VALUE"""),2401.6)</f>
        <v>2401.6</v>
      </c>
      <c r="C77" s="47">
        <f>IFERROR(__xludf.DUMMYFUNCTION("""COMPUTED_VALUE"""),45852.6458333333)</f>
        <v>45852.6458333333</v>
      </c>
      <c r="D77" s="48">
        <f>IFERROR(__xludf.DUMMYFUNCTION("""COMPUTED_VALUE"""),2431.1)</f>
        <v>2431.1</v>
      </c>
      <c r="E77" s="47">
        <f>IFERROR(__xludf.DUMMYFUNCTION("""COMPUTED_VALUE"""),45852.6458333333)</f>
        <v>45852.6458333333</v>
      </c>
      <c r="F77" s="48">
        <f>IFERROR(__xludf.DUMMYFUNCTION("""COMPUTED_VALUE"""),891624)</f>
        <v>891624</v>
      </c>
      <c r="G77" s="47">
        <f>IFERROR(__xludf.DUMMYFUNCTION("""COMPUTED_VALUE"""),45852.6458333333)</f>
        <v>45852.6458333333</v>
      </c>
      <c r="H77" s="48">
        <f>IFERROR(__xludf.DUMMYFUNCTION("""COMPUTED_VALUE"""),2448.6)</f>
        <v>2448.6</v>
      </c>
      <c r="I77" s="47">
        <f>IFERROR(__xludf.DUMMYFUNCTION("""COMPUTED_VALUE"""),45852.6458333333)</f>
        <v>45852.6458333333</v>
      </c>
      <c r="J77" s="48">
        <f>IFERROR(__xludf.DUMMYFUNCTION("""COMPUTED_VALUE"""),2391)</f>
        <v>2391</v>
      </c>
      <c r="K77" s="3">
        <f t="shared" si="2"/>
        <v>0</v>
      </c>
      <c r="L77" s="3">
        <f t="shared" si="3"/>
        <v>0</v>
      </c>
      <c r="AF77" s="48">
        <f>'Adani Enterprises'!AF77</f>
        <v>0</v>
      </c>
      <c r="AG77" s="48">
        <f>'Adani Enterprises'!AG77</f>
        <v>0</v>
      </c>
      <c r="AH77" s="48">
        <f>'Adani Enterprises'!AH77</f>
        <v>0</v>
      </c>
      <c r="AI77" s="48">
        <f>'Adani Enterprises'!AI77</f>
        <v>0</v>
      </c>
      <c r="AJ77" s="48">
        <f>'Adani Enterprises'!AJ77</f>
        <v>0</v>
      </c>
      <c r="AK77" s="48">
        <f>'Adani Enterprises'!AK77</f>
        <v>0</v>
      </c>
      <c r="AL77" s="48">
        <f>'Adani Enterprises'!AL77</f>
        <v>0</v>
      </c>
    </row>
    <row r="78" customHeight="1" spans="1:38">
      <c r="A78" s="47">
        <f>IFERROR(__xludf.DUMMYFUNCTION("""COMPUTED_VALUE"""),45853.6458333333)</f>
        <v>45853.6458333333</v>
      </c>
      <c r="B78" s="48">
        <f>IFERROR(__xludf.DUMMYFUNCTION("""COMPUTED_VALUE"""),2393.5)</f>
        <v>2393.5</v>
      </c>
      <c r="C78" s="47">
        <f>IFERROR(__xludf.DUMMYFUNCTION("""COMPUTED_VALUE"""),45853.6458333333)</f>
        <v>45853.6458333333</v>
      </c>
      <c r="D78" s="48">
        <f>IFERROR(__xludf.DUMMYFUNCTION("""COMPUTED_VALUE"""),2409.9)</f>
        <v>2409.9</v>
      </c>
      <c r="E78" s="47">
        <f>IFERROR(__xludf.DUMMYFUNCTION("""COMPUTED_VALUE"""),45853.6458333333)</f>
        <v>45853.6458333333</v>
      </c>
      <c r="F78" s="48">
        <f>IFERROR(__xludf.DUMMYFUNCTION("""COMPUTED_VALUE"""),610228)</f>
        <v>610228</v>
      </c>
      <c r="G78" s="47">
        <f>IFERROR(__xludf.DUMMYFUNCTION("""COMPUTED_VALUE"""),45853.6458333333)</f>
        <v>45853.6458333333</v>
      </c>
      <c r="H78" s="48">
        <f>IFERROR(__xludf.DUMMYFUNCTION("""COMPUTED_VALUE"""),2415)</f>
        <v>2415</v>
      </c>
      <c r="I78" s="47">
        <f>IFERROR(__xludf.DUMMYFUNCTION("""COMPUTED_VALUE"""),45853.6458333333)</f>
        <v>45853.6458333333</v>
      </c>
      <c r="J78" s="48">
        <f>IFERROR(__xludf.DUMMYFUNCTION("""COMPUTED_VALUE"""),2386.3)</f>
        <v>2386.3</v>
      </c>
      <c r="K78" s="3">
        <f t="shared" si="2"/>
        <v>0</v>
      </c>
      <c r="L78" s="3">
        <f t="shared" si="3"/>
        <v>0</v>
      </c>
      <c r="AF78" s="48">
        <f>'Adani Enterprises'!AF78</f>
        <v>0</v>
      </c>
      <c r="AG78" s="48">
        <f>'Adani Enterprises'!AG78</f>
        <v>0</v>
      </c>
      <c r="AH78" s="48">
        <f>'Adani Enterprises'!AH78</f>
        <v>0</v>
      </c>
      <c r="AI78" s="48">
        <f>'Adani Enterprises'!AI78</f>
        <v>0</v>
      </c>
      <c r="AJ78" s="48">
        <f>'Adani Enterprises'!AJ78</f>
        <v>0</v>
      </c>
      <c r="AK78" s="48">
        <f>'Adani Enterprises'!AK78</f>
        <v>0</v>
      </c>
      <c r="AL78" s="48">
        <f>'Adani Enterprises'!AL78</f>
        <v>0</v>
      </c>
    </row>
    <row r="79" customHeight="1" spans="1:38">
      <c r="A79" s="47">
        <f>IFERROR(__xludf.DUMMYFUNCTION("""COMPUTED_VALUE"""),45854.6458333333)</f>
        <v>45854.6458333333</v>
      </c>
      <c r="B79" s="48">
        <f>IFERROR(__xludf.DUMMYFUNCTION("""COMPUTED_VALUE"""),2410.5)</f>
        <v>2410.5</v>
      </c>
      <c r="C79" s="47">
        <f>IFERROR(__xludf.DUMMYFUNCTION("""COMPUTED_VALUE"""),45854.6458333333)</f>
        <v>45854.6458333333</v>
      </c>
      <c r="D79" s="48">
        <f>IFERROR(__xludf.DUMMYFUNCTION("""COMPUTED_VALUE"""),2381)</f>
        <v>2381</v>
      </c>
      <c r="E79" s="47">
        <f>IFERROR(__xludf.DUMMYFUNCTION("""COMPUTED_VALUE"""),45854.6458333333)</f>
        <v>45854.6458333333</v>
      </c>
      <c r="F79" s="48">
        <f>IFERROR(__xludf.DUMMYFUNCTION("""COMPUTED_VALUE"""),1200913)</f>
        <v>1200913</v>
      </c>
      <c r="G79" s="47">
        <f>IFERROR(__xludf.DUMMYFUNCTION("""COMPUTED_VALUE"""),45854.6458333333)</f>
        <v>45854.6458333333</v>
      </c>
      <c r="H79" s="48">
        <f>IFERROR(__xludf.DUMMYFUNCTION("""COMPUTED_VALUE"""),2422.4)</f>
        <v>2422.4</v>
      </c>
      <c r="I79" s="47">
        <f>IFERROR(__xludf.DUMMYFUNCTION("""COMPUTED_VALUE"""),45854.6458333333)</f>
        <v>45854.6458333333</v>
      </c>
      <c r="J79" s="48">
        <f>IFERROR(__xludf.DUMMYFUNCTION("""COMPUTED_VALUE"""),2371)</f>
        <v>2371</v>
      </c>
      <c r="K79" s="3">
        <f t="shared" si="2"/>
        <v>0</v>
      </c>
      <c r="L79" s="3">
        <f t="shared" si="3"/>
        <v>0</v>
      </c>
      <c r="AF79" s="48">
        <f>'Adani Enterprises'!AF79</f>
        <v>0</v>
      </c>
      <c r="AG79" s="48">
        <f>'Adani Enterprises'!AG79</f>
        <v>0</v>
      </c>
      <c r="AH79" s="48">
        <f>'Adani Enterprises'!AH79</f>
        <v>0</v>
      </c>
      <c r="AI79" s="48">
        <f>'Adani Enterprises'!AI79</f>
        <v>0</v>
      </c>
      <c r="AJ79" s="48">
        <f>'Adani Enterprises'!AJ79</f>
        <v>0</v>
      </c>
      <c r="AK79" s="48">
        <f>'Adani Enterprises'!AK79</f>
        <v>0</v>
      </c>
      <c r="AL79" s="48">
        <f>'Adani Enterprises'!AL79</f>
        <v>0</v>
      </c>
    </row>
    <row r="80" customHeight="1" spans="1:38">
      <c r="A80" s="47">
        <f>IFERROR(__xludf.DUMMYFUNCTION("""COMPUTED_VALUE"""),45855.6458333333)</f>
        <v>45855.6458333333</v>
      </c>
      <c r="B80" s="48">
        <f>IFERROR(__xludf.DUMMYFUNCTION("""COMPUTED_VALUE"""),2398.9)</f>
        <v>2398.9</v>
      </c>
      <c r="C80" s="47">
        <f>IFERROR(__xludf.DUMMYFUNCTION("""COMPUTED_VALUE"""),45855.6458333333)</f>
        <v>45855.6458333333</v>
      </c>
      <c r="D80" s="48">
        <f>IFERROR(__xludf.DUMMYFUNCTION("""COMPUTED_VALUE"""),2404.1)</f>
        <v>2404.1</v>
      </c>
      <c r="E80" s="47">
        <f>IFERROR(__xludf.DUMMYFUNCTION("""COMPUTED_VALUE"""),45855.6458333333)</f>
        <v>45855.6458333333</v>
      </c>
      <c r="F80" s="48">
        <f>IFERROR(__xludf.DUMMYFUNCTION("""COMPUTED_VALUE"""),526164)</f>
        <v>526164</v>
      </c>
      <c r="G80" s="47">
        <f>IFERROR(__xludf.DUMMYFUNCTION("""COMPUTED_VALUE"""),45855.6458333333)</f>
        <v>45855.6458333333</v>
      </c>
      <c r="H80" s="48">
        <f>IFERROR(__xludf.DUMMYFUNCTION("""COMPUTED_VALUE"""),2414)</f>
        <v>2414</v>
      </c>
      <c r="I80" s="47">
        <f>IFERROR(__xludf.DUMMYFUNCTION("""COMPUTED_VALUE"""),45855.6458333333)</f>
        <v>45855.6458333333</v>
      </c>
      <c r="J80" s="48">
        <f>IFERROR(__xludf.DUMMYFUNCTION("""COMPUTED_VALUE"""),2394)</f>
        <v>2394</v>
      </c>
      <c r="K80" s="3">
        <f t="shared" si="2"/>
        <v>0</v>
      </c>
      <c r="L80" s="3">
        <f t="shared" si="3"/>
        <v>0</v>
      </c>
      <c r="AF80" s="48">
        <f>'Adani Enterprises'!AF80</f>
        <v>0</v>
      </c>
      <c r="AG80" s="48">
        <f>'Adani Enterprises'!AG80</f>
        <v>0</v>
      </c>
      <c r="AH80" s="48">
        <f>'Adani Enterprises'!AH80</f>
        <v>0</v>
      </c>
      <c r="AI80" s="48">
        <f>'Adani Enterprises'!AI80</f>
        <v>0</v>
      </c>
      <c r="AJ80" s="48">
        <f>'Adani Enterprises'!AJ80</f>
        <v>0</v>
      </c>
      <c r="AK80" s="48">
        <f>'Adani Enterprises'!AK80</f>
        <v>0</v>
      </c>
      <c r="AL80" s="48">
        <f>'Adani Enterprises'!AL80</f>
        <v>0</v>
      </c>
    </row>
    <row r="81" customHeight="1" spans="1:38">
      <c r="A81" s="47">
        <f>IFERROR(__xludf.DUMMYFUNCTION("""COMPUTED_VALUE"""),45856.6458333333)</f>
        <v>45856.6458333333</v>
      </c>
      <c r="B81" s="48">
        <f>IFERROR(__xludf.DUMMYFUNCTION("""COMPUTED_VALUE"""),2382.4)</f>
        <v>2382.4</v>
      </c>
      <c r="C81" s="47">
        <f>IFERROR(__xludf.DUMMYFUNCTION("""COMPUTED_VALUE"""),45856.6458333333)</f>
        <v>45856.6458333333</v>
      </c>
      <c r="D81" s="48">
        <f>IFERROR(__xludf.DUMMYFUNCTION("""COMPUTED_VALUE"""),2400.6)</f>
        <v>2400.6</v>
      </c>
      <c r="E81" s="47">
        <f>IFERROR(__xludf.DUMMYFUNCTION("""COMPUTED_VALUE"""),45856.6458333333)</f>
        <v>45856.6458333333</v>
      </c>
      <c r="F81" s="48">
        <f>IFERROR(__xludf.DUMMYFUNCTION("""COMPUTED_VALUE"""),599552)</f>
        <v>599552</v>
      </c>
      <c r="G81" s="47">
        <f>IFERROR(__xludf.DUMMYFUNCTION("""COMPUTED_VALUE"""),45856.6458333333)</f>
        <v>45856.6458333333</v>
      </c>
      <c r="H81" s="48">
        <f>IFERROR(__xludf.DUMMYFUNCTION("""COMPUTED_VALUE"""),2405)</f>
        <v>2405</v>
      </c>
      <c r="I81" s="47">
        <f>IFERROR(__xludf.DUMMYFUNCTION("""COMPUTED_VALUE"""),45856.6458333333)</f>
        <v>45856.6458333333</v>
      </c>
      <c r="J81" s="48">
        <f>IFERROR(__xludf.DUMMYFUNCTION("""COMPUTED_VALUE"""),2372.3)</f>
        <v>2372.3</v>
      </c>
      <c r="K81" s="3">
        <f t="shared" si="2"/>
        <v>0</v>
      </c>
      <c r="L81" s="3">
        <f t="shared" si="3"/>
        <v>0</v>
      </c>
      <c r="AF81" s="48">
        <f>'Adani Enterprises'!AF81</f>
        <v>0</v>
      </c>
      <c r="AG81" s="48">
        <f>'Adani Enterprises'!AG81</f>
        <v>0</v>
      </c>
      <c r="AH81" s="48">
        <f>'Adani Enterprises'!AH81</f>
        <v>0</v>
      </c>
      <c r="AI81" s="48">
        <f>'Adani Enterprises'!AI81</f>
        <v>0</v>
      </c>
      <c r="AJ81" s="48">
        <f>'Adani Enterprises'!AJ81</f>
        <v>0</v>
      </c>
      <c r="AK81" s="48">
        <f>'Adani Enterprises'!AK81</f>
        <v>0</v>
      </c>
      <c r="AL81" s="48">
        <f>'Adani Enterprises'!AL81</f>
        <v>0</v>
      </c>
    </row>
    <row r="82" customHeight="1" spans="1:38">
      <c r="A82" s="47">
        <f>IFERROR(__xludf.DUMMYFUNCTION("""COMPUTED_VALUE"""),45859.6458333333)</f>
        <v>45859.6458333333</v>
      </c>
      <c r="B82" s="48">
        <f>IFERROR(__xludf.DUMMYFUNCTION("""COMPUTED_VALUE"""),2375.4)</f>
        <v>2375.4</v>
      </c>
      <c r="C82" s="47">
        <f>IFERROR(__xludf.DUMMYFUNCTION("""COMPUTED_VALUE"""),45859.6458333333)</f>
        <v>45859.6458333333</v>
      </c>
      <c r="D82" s="48">
        <f>IFERROR(__xludf.DUMMYFUNCTION("""COMPUTED_VALUE"""),2382.4)</f>
        <v>2382.4</v>
      </c>
      <c r="E82" s="47">
        <f>IFERROR(__xludf.DUMMYFUNCTION("""COMPUTED_VALUE"""),45859.6458333333)</f>
        <v>45859.6458333333</v>
      </c>
      <c r="F82" s="48">
        <f>IFERROR(__xludf.DUMMYFUNCTION("""COMPUTED_VALUE"""),390934)</f>
        <v>390934</v>
      </c>
      <c r="G82" s="47">
        <f>IFERROR(__xludf.DUMMYFUNCTION("""COMPUTED_VALUE"""),45859.6458333333)</f>
        <v>45859.6458333333</v>
      </c>
      <c r="H82" s="48">
        <f>IFERROR(__xludf.DUMMYFUNCTION("""COMPUTED_VALUE"""),2408)</f>
        <v>2408</v>
      </c>
      <c r="I82" s="47">
        <f>IFERROR(__xludf.DUMMYFUNCTION("""COMPUTED_VALUE"""),45859.6458333333)</f>
        <v>45859.6458333333</v>
      </c>
      <c r="J82" s="48">
        <f>IFERROR(__xludf.DUMMYFUNCTION("""COMPUTED_VALUE"""),2360.8)</f>
        <v>2360.8</v>
      </c>
      <c r="K82" s="3">
        <f t="shared" si="2"/>
        <v>0</v>
      </c>
      <c r="L82" s="3">
        <f t="shared" si="3"/>
        <v>0</v>
      </c>
      <c r="AF82" s="48">
        <f>'Adani Enterprises'!AF82</f>
        <v>0</v>
      </c>
      <c r="AG82" s="48">
        <f>'Adani Enterprises'!AG82</f>
        <v>0</v>
      </c>
      <c r="AH82" s="48">
        <f>'Adani Enterprises'!AH82</f>
        <v>0</v>
      </c>
      <c r="AI82" s="48">
        <f>'Adani Enterprises'!AI82</f>
        <v>0</v>
      </c>
      <c r="AJ82" s="48">
        <f>'Adani Enterprises'!AJ82</f>
        <v>0</v>
      </c>
      <c r="AK82" s="48">
        <f>'Adani Enterprises'!AK82</f>
        <v>0</v>
      </c>
      <c r="AL82" s="48">
        <f>'Adani Enterprises'!AL82</f>
        <v>0</v>
      </c>
    </row>
    <row r="83" customHeight="1" spans="1:38">
      <c r="A83" s="47">
        <f>IFERROR(__xludf.DUMMYFUNCTION("""COMPUTED_VALUE"""),45860.6458333333)</f>
        <v>45860.6458333333</v>
      </c>
      <c r="B83" s="48">
        <f>IFERROR(__xludf.DUMMYFUNCTION("""COMPUTED_VALUE"""),2365.2)</f>
        <v>2365.2</v>
      </c>
      <c r="C83" s="47">
        <f>IFERROR(__xludf.DUMMYFUNCTION("""COMPUTED_VALUE"""),45860.6458333333)</f>
        <v>45860.6458333333</v>
      </c>
      <c r="D83" s="48">
        <f>IFERROR(__xludf.DUMMYFUNCTION("""COMPUTED_VALUE"""),2375.4)</f>
        <v>2375.4</v>
      </c>
      <c r="E83" s="47">
        <f>IFERROR(__xludf.DUMMYFUNCTION("""COMPUTED_VALUE"""),45860.6458333333)</f>
        <v>45860.6458333333</v>
      </c>
      <c r="F83" s="48">
        <f>IFERROR(__xludf.DUMMYFUNCTION("""COMPUTED_VALUE"""),411317)</f>
        <v>411317</v>
      </c>
      <c r="G83" s="47">
        <f>IFERROR(__xludf.DUMMYFUNCTION("""COMPUTED_VALUE"""),45860.6458333333)</f>
        <v>45860.6458333333</v>
      </c>
      <c r="H83" s="48">
        <f>IFERROR(__xludf.DUMMYFUNCTION("""COMPUTED_VALUE"""),2380.8)</f>
        <v>2380.8</v>
      </c>
      <c r="I83" s="47">
        <f>IFERROR(__xludf.DUMMYFUNCTION("""COMPUTED_VALUE"""),45860.6458333333)</f>
        <v>45860.6458333333</v>
      </c>
      <c r="J83" s="48">
        <f>IFERROR(__xludf.DUMMYFUNCTION("""COMPUTED_VALUE"""),2361.3)</f>
        <v>2361.3</v>
      </c>
      <c r="K83" s="3">
        <f t="shared" si="2"/>
        <v>0</v>
      </c>
      <c r="L83" s="3">
        <f t="shared" si="3"/>
        <v>0</v>
      </c>
      <c r="AF83" s="48">
        <f>'Adani Enterprises'!AF83</f>
        <v>0</v>
      </c>
      <c r="AG83" s="48">
        <f>'Adani Enterprises'!AG83</f>
        <v>0</v>
      </c>
      <c r="AH83" s="48">
        <f>'Adani Enterprises'!AH83</f>
        <v>0</v>
      </c>
      <c r="AI83" s="48">
        <f>'Adani Enterprises'!AI83</f>
        <v>0</v>
      </c>
      <c r="AJ83" s="48">
        <f>'Adani Enterprises'!AJ83</f>
        <v>0</v>
      </c>
      <c r="AK83" s="48">
        <f>'Adani Enterprises'!AK83</f>
        <v>0</v>
      </c>
      <c r="AL83" s="48">
        <f>'Adani Enterprises'!AL83</f>
        <v>0</v>
      </c>
    </row>
    <row r="84" customHeight="1" spans="1:38">
      <c r="A84" s="47">
        <f>IFERROR(__xludf.DUMMYFUNCTION("""COMPUTED_VALUE"""),45861.6458333333)</f>
        <v>45861.6458333333</v>
      </c>
      <c r="B84" s="48">
        <f>IFERROR(__xludf.DUMMYFUNCTION("""COMPUTED_VALUE"""),2375.4)</f>
        <v>2375.4</v>
      </c>
      <c r="C84" s="47">
        <f>IFERROR(__xludf.DUMMYFUNCTION("""COMPUTED_VALUE"""),45861.6458333333)</f>
        <v>45861.6458333333</v>
      </c>
      <c r="D84" s="48">
        <f>IFERROR(__xludf.DUMMYFUNCTION("""COMPUTED_VALUE"""),2363)</f>
        <v>2363</v>
      </c>
      <c r="E84" s="47">
        <f>IFERROR(__xludf.DUMMYFUNCTION("""COMPUTED_VALUE"""),45861.6458333333)</f>
        <v>45861.6458333333</v>
      </c>
      <c r="F84" s="48">
        <f>IFERROR(__xludf.DUMMYFUNCTION("""COMPUTED_VALUE"""),368999)</f>
        <v>368999</v>
      </c>
      <c r="G84" s="47">
        <f>IFERROR(__xludf.DUMMYFUNCTION("""COMPUTED_VALUE"""),45861.6458333333)</f>
        <v>45861.6458333333</v>
      </c>
      <c r="H84" s="48">
        <f>IFERROR(__xludf.DUMMYFUNCTION("""COMPUTED_VALUE"""),2384.7)</f>
        <v>2384.7</v>
      </c>
      <c r="I84" s="47">
        <f>IFERROR(__xludf.DUMMYFUNCTION("""COMPUTED_VALUE"""),45861.6458333333)</f>
        <v>45861.6458333333</v>
      </c>
      <c r="J84" s="48">
        <f>IFERROR(__xludf.DUMMYFUNCTION("""COMPUTED_VALUE"""),2352.6)</f>
        <v>2352.6</v>
      </c>
      <c r="K84" s="3">
        <f t="shared" si="2"/>
        <v>0</v>
      </c>
      <c r="L84" s="3">
        <f t="shared" si="3"/>
        <v>0</v>
      </c>
      <c r="AF84" s="48">
        <f>'Adani Enterprises'!AF84</f>
        <v>0</v>
      </c>
      <c r="AG84" s="48">
        <f>'Adani Enterprises'!AG84</f>
        <v>0</v>
      </c>
      <c r="AH84" s="48">
        <f>'Adani Enterprises'!AH84</f>
        <v>0</v>
      </c>
      <c r="AI84" s="48">
        <f>'Adani Enterprises'!AI84</f>
        <v>0</v>
      </c>
      <c r="AJ84" s="48">
        <f>'Adani Enterprises'!AJ84</f>
        <v>0</v>
      </c>
      <c r="AK84" s="48">
        <f>'Adani Enterprises'!AK84</f>
        <v>0</v>
      </c>
      <c r="AL84" s="48">
        <f>'Adani Enterprises'!AL84</f>
        <v>0</v>
      </c>
    </row>
    <row r="85" customHeight="1" spans="1:38">
      <c r="A85" s="47">
        <f>IFERROR(__xludf.DUMMYFUNCTION("""COMPUTED_VALUE"""),45862.6458333333)</f>
        <v>45862.6458333333</v>
      </c>
      <c r="B85" s="48">
        <f>IFERROR(__xludf.DUMMYFUNCTION("""COMPUTED_VALUE"""),2352.1)</f>
        <v>2352.1</v>
      </c>
      <c r="C85" s="47">
        <f>IFERROR(__xludf.DUMMYFUNCTION("""COMPUTED_VALUE"""),45862.6458333333)</f>
        <v>45862.6458333333</v>
      </c>
      <c r="D85" s="48">
        <f>IFERROR(__xludf.DUMMYFUNCTION("""COMPUTED_VALUE"""),2375.4)</f>
        <v>2375.4</v>
      </c>
      <c r="E85" s="47">
        <f>IFERROR(__xludf.DUMMYFUNCTION("""COMPUTED_VALUE"""),45862.6458333333)</f>
        <v>45862.6458333333</v>
      </c>
      <c r="F85" s="48">
        <f>IFERROR(__xludf.DUMMYFUNCTION("""COMPUTED_VALUE"""),506960)</f>
        <v>506960</v>
      </c>
      <c r="G85" s="47">
        <f>IFERROR(__xludf.DUMMYFUNCTION("""COMPUTED_VALUE"""),45862.6458333333)</f>
        <v>45862.6458333333</v>
      </c>
      <c r="H85" s="48">
        <f>IFERROR(__xludf.DUMMYFUNCTION("""COMPUTED_VALUE"""),2380)</f>
        <v>2380</v>
      </c>
      <c r="I85" s="47">
        <f>IFERROR(__xludf.DUMMYFUNCTION("""COMPUTED_VALUE"""),45862.6458333333)</f>
        <v>45862.6458333333</v>
      </c>
      <c r="J85" s="48">
        <f>IFERROR(__xludf.DUMMYFUNCTION("""COMPUTED_VALUE"""),2341)</f>
        <v>2341</v>
      </c>
      <c r="K85" s="3">
        <f t="shared" si="2"/>
        <v>0</v>
      </c>
      <c r="L85" s="3">
        <f t="shared" si="3"/>
        <v>0</v>
      </c>
      <c r="AF85" s="48">
        <f>'Adani Enterprises'!AF85</f>
        <v>0</v>
      </c>
      <c r="AG85" s="48">
        <f>'Adani Enterprises'!AG85</f>
        <v>0</v>
      </c>
      <c r="AH85" s="48">
        <f>'Adani Enterprises'!AH85</f>
        <v>0</v>
      </c>
      <c r="AI85" s="48">
        <f>'Adani Enterprises'!AI85</f>
        <v>0</v>
      </c>
      <c r="AJ85" s="48">
        <f>'Adani Enterprises'!AJ85</f>
        <v>0</v>
      </c>
      <c r="AK85" s="48">
        <f>'Adani Enterprises'!AK85</f>
        <v>0</v>
      </c>
      <c r="AL85" s="48">
        <f>'Adani Enterprises'!AL85</f>
        <v>0</v>
      </c>
    </row>
    <row r="86" customHeight="1" spans="1:38">
      <c r="A86" s="47">
        <f>IFERROR(__xludf.DUMMYFUNCTION("""COMPUTED_VALUE"""),45863.6458333333)</f>
        <v>45863.6458333333</v>
      </c>
      <c r="B86" s="48">
        <f>IFERROR(__xludf.DUMMYFUNCTION("""COMPUTED_VALUE"""),2336.2)</f>
        <v>2336.2</v>
      </c>
      <c r="C86" s="47">
        <f>IFERROR(__xludf.DUMMYFUNCTION("""COMPUTED_VALUE"""),45863.6458333333)</f>
        <v>45863.6458333333</v>
      </c>
      <c r="D86" s="48">
        <f>IFERROR(__xludf.DUMMYFUNCTION("""COMPUTED_VALUE"""),2340)</f>
        <v>2340</v>
      </c>
      <c r="E86" s="47">
        <f>IFERROR(__xludf.DUMMYFUNCTION("""COMPUTED_VALUE"""),45863.6458333333)</f>
        <v>45863.6458333333</v>
      </c>
      <c r="F86" s="48">
        <f>IFERROR(__xludf.DUMMYFUNCTION("""COMPUTED_VALUE"""),383636)</f>
        <v>383636</v>
      </c>
      <c r="G86" s="47">
        <f>IFERROR(__xludf.DUMMYFUNCTION("""COMPUTED_VALUE"""),45863.6458333333)</f>
        <v>45863.6458333333</v>
      </c>
      <c r="H86" s="48">
        <f>IFERROR(__xludf.DUMMYFUNCTION("""COMPUTED_VALUE"""),2350.5)</f>
        <v>2350.5</v>
      </c>
      <c r="I86" s="47">
        <f>IFERROR(__xludf.DUMMYFUNCTION("""COMPUTED_VALUE"""),45863.6458333333)</f>
        <v>45863.6458333333</v>
      </c>
      <c r="J86" s="48">
        <f>IFERROR(__xludf.DUMMYFUNCTION("""COMPUTED_VALUE"""),2325.8)</f>
        <v>2325.8</v>
      </c>
      <c r="K86" s="3">
        <f t="shared" si="2"/>
        <v>0</v>
      </c>
      <c r="L86" s="3">
        <f t="shared" si="3"/>
        <v>2336.2</v>
      </c>
      <c r="AF86" s="48">
        <f>'Adani Enterprises'!AF86</f>
        <v>0</v>
      </c>
      <c r="AG86" s="48">
        <f>'Adani Enterprises'!AG86</f>
        <v>0</v>
      </c>
      <c r="AH86" s="48">
        <f>'Adani Enterprises'!AH86</f>
        <v>0</v>
      </c>
      <c r="AI86" s="48">
        <f>'Adani Enterprises'!AI86</f>
        <v>0</v>
      </c>
      <c r="AJ86" s="48">
        <f>'Adani Enterprises'!AJ86</f>
        <v>0</v>
      </c>
      <c r="AK86" s="48">
        <f>'Adani Enterprises'!AK86</f>
        <v>0</v>
      </c>
      <c r="AL86" s="48">
        <f>'Adani Enterprises'!AL86</f>
        <v>0</v>
      </c>
    </row>
    <row r="87" customHeight="1" spans="1:38">
      <c r="A87" s="47">
        <f>IFERROR(__xludf.DUMMYFUNCTION("""COMPUTED_VALUE"""),45866.6458333333)</f>
        <v>45866.6458333333</v>
      </c>
      <c r="B87" s="48">
        <f>IFERROR(__xludf.DUMMYFUNCTION("""COMPUTED_VALUE"""),2359.6)</f>
        <v>2359.6</v>
      </c>
      <c r="C87" s="47">
        <f>IFERROR(__xludf.DUMMYFUNCTION("""COMPUTED_VALUE"""),45866.6458333333)</f>
        <v>45866.6458333333</v>
      </c>
      <c r="D87" s="48">
        <f>IFERROR(__xludf.DUMMYFUNCTION("""COMPUTED_VALUE"""),2336.2)</f>
        <v>2336.2</v>
      </c>
      <c r="E87" s="47">
        <f>IFERROR(__xludf.DUMMYFUNCTION("""COMPUTED_VALUE"""),45866.6458333333)</f>
        <v>45866.6458333333</v>
      </c>
      <c r="F87" s="48">
        <f>IFERROR(__xludf.DUMMYFUNCTION("""COMPUTED_VALUE"""),650364)</f>
        <v>650364</v>
      </c>
      <c r="G87" s="47">
        <f>IFERROR(__xludf.DUMMYFUNCTION("""COMPUTED_VALUE"""),45866.6458333333)</f>
        <v>45866.6458333333</v>
      </c>
      <c r="H87" s="48">
        <f>IFERROR(__xludf.DUMMYFUNCTION("""COMPUTED_VALUE"""),2366.4)</f>
        <v>2366.4</v>
      </c>
      <c r="I87" s="47">
        <f>IFERROR(__xludf.DUMMYFUNCTION("""COMPUTED_VALUE"""),45866.6458333333)</f>
        <v>45866.6458333333</v>
      </c>
      <c r="J87" s="48">
        <f>IFERROR(__xludf.DUMMYFUNCTION("""COMPUTED_VALUE"""),2320)</f>
        <v>2320</v>
      </c>
      <c r="K87" s="3">
        <f t="shared" si="2"/>
        <v>0</v>
      </c>
      <c r="L87" s="3">
        <f t="shared" si="3"/>
        <v>0</v>
      </c>
      <c r="AF87" s="48">
        <f>'Adani Enterprises'!AF87</f>
        <v>0</v>
      </c>
      <c r="AG87" s="48">
        <f>'Adani Enterprises'!AG87</f>
        <v>0</v>
      </c>
      <c r="AH87" s="48">
        <f>'Adani Enterprises'!AH87</f>
        <v>0</v>
      </c>
      <c r="AI87" s="48">
        <f>'Adani Enterprises'!AI87</f>
        <v>0</v>
      </c>
      <c r="AJ87" s="48">
        <f>'Adani Enterprises'!AJ87</f>
        <v>0</v>
      </c>
      <c r="AK87" s="48">
        <f>'Adani Enterprises'!AK87</f>
        <v>0</v>
      </c>
      <c r="AL87" s="48">
        <f>'Adani Enterprises'!AL87</f>
        <v>0</v>
      </c>
    </row>
    <row r="88" customHeight="1" spans="1:38">
      <c r="A88" s="47">
        <f>IFERROR(__xludf.DUMMYFUNCTION("""COMPUTED_VALUE"""),45867.6458333333)</f>
        <v>45867.6458333333</v>
      </c>
      <c r="B88" s="48">
        <f>IFERROR(__xludf.DUMMYFUNCTION("""COMPUTED_VALUE"""),2401.5)</f>
        <v>2401.5</v>
      </c>
      <c r="C88" s="47">
        <f>IFERROR(__xludf.DUMMYFUNCTION("""COMPUTED_VALUE"""),45867.6458333333)</f>
        <v>45867.6458333333</v>
      </c>
      <c r="D88" s="48">
        <f>IFERROR(__xludf.DUMMYFUNCTION("""COMPUTED_VALUE"""),2359)</f>
        <v>2359</v>
      </c>
      <c r="E88" s="47">
        <f>IFERROR(__xludf.DUMMYFUNCTION("""COMPUTED_VALUE"""),45867.6458333333)</f>
        <v>45867.6458333333</v>
      </c>
      <c r="F88" s="48">
        <f>IFERROR(__xludf.DUMMYFUNCTION("""COMPUTED_VALUE"""),1742815)</f>
        <v>1742815</v>
      </c>
      <c r="G88" s="47">
        <f>IFERROR(__xludf.DUMMYFUNCTION("""COMPUTED_VALUE"""),45867.6458333333)</f>
        <v>45867.6458333333</v>
      </c>
      <c r="H88" s="48">
        <f>IFERROR(__xludf.DUMMYFUNCTION("""COMPUTED_VALUE"""),2418.3)</f>
        <v>2418.3</v>
      </c>
      <c r="I88" s="47">
        <f>IFERROR(__xludf.DUMMYFUNCTION("""COMPUTED_VALUE"""),45867.6458333333)</f>
        <v>45867.6458333333</v>
      </c>
      <c r="J88" s="48">
        <f>IFERROR(__xludf.DUMMYFUNCTION("""COMPUTED_VALUE"""),2325)</f>
        <v>2325</v>
      </c>
      <c r="K88" s="3">
        <f t="shared" si="2"/>
        <v>0</v>
      </c>
      <c r="L88" s="3">
        <f t="shared" si="3"/>
        <v>0</v>
      </c>
      <c r="AF88" s="48">
        <f>'Adani Enterprises'!AF88</f>
        <v>0</v>
      </c>
      <c r="AG88" s="48">
        <f>'Adani Enterprises'!AG88</f>
        <v>0</v>
      </c>
      <c r="AH88" s="48">
        <f>'Adani Enterprises'!AH88</f>
        <v>0</v>
      </c>
      <c r="AI88" s="48">
        <f>'Adani Enterprises'!AI88</f>
        <v>0</v>
      </c>
      <c r="AJ88" s="48">
        <f>'Adani Enterprises'!AJ88</f>
        <v>0</v>
      </c>
      <c r="AK88" s="48">
        <f>'Adani Enterprises'!AK88</f>
        <v>0</v>
      </c>
      <c r="AL88" s="48">
        <f>'Adani Enterprises'!AL88</f>
        <v>0</v>
      </c>
    </row>
    <row r="89" customHeight="1" spans="1:38">
      <c r="A89" s="47">
        <f>IFERROR(__xludf.DUMMYFUNCTION("""COMPUTED_VALUE"""),45868.6458333333)</f>
        <v>45868.6458333333</v>
      </c>
      <c r="B89" s="48">
        <f>IFERROR(__xludf.DUMMYFUNCTION("""COMPUTED_VALUE"""),2415.8)</f>
        <v>2415.8</v>
      </c>
      <c r="C89" s="47">
        <f>IFERROR(__xludf.DUMMYFUNCTION("""COMPUTED_VALUE"""),45868.6458333333)</f>
        <v>45868.6458333333</v>
      </c>
      <c r="D89" s="48">
        <f>IFERROR(__xludf.DUMMYFUNCTION("""COMPUTED_VALUE"""),2409)</f>
        <v>2409</v>
      </c>
      <c r="E89" s="47">
        <f>IFERROR(__xludf.DUMMYFUNCTION("""COMPUTED_VALUE"""),45868.6458333333)</f>
        <v>45868.6458333333</v>
      </c>
      <c r="F89" s="48">
        <f>IFERROR(__xludf.DUMMYFUNCTION("""COMPUTED_VALUE"""),1685818)</f>
        <v>1685818</v>
      </c>
      <c r="G89" s="47">
        <f>IFERROR(__xludf.DUMMYFUNCTION("""COMPUTED_VALUE"""),45868.6458333333)</f>
        <v>45868.6458333333</v>
      </c>
      <c r="H89" s="48">
        <f>IFERROR(__xludf.DUMMYFUNCTION("""COMPUTED_VALUE"""),2443.8)</f>
        <v>2443.8</v>
      </c>
      <c r="I89" s="47">
        <f>IFERROR(__xludf.DUMMYFUNCTION("""COMPUTED_VALUE"""),45868.6458333333)</f>
        <v>45868.6458333333</v>
      </c>
      <c r="J89" s="48">
        <f>IFERROR(__xludf.DUMMYFUNCTION("""COMPUTED_VALUE"""),2366.5)</f>
        <v>2366.5</v>
      </c>
      <c r="K89" s="3">
        <f t="shared" si="2"/>
        <v>0</v>
      </c>
      <c r="L89" s="3">
        <f t="shared" si="3"/>
        <v>0</v>
      </c>
      <c r="AF89" s="48">
        <f>'Adani Enterprises'!AF89</f>
        <v>0</v>
      </c>
      <c r="AG89" s="48">
        <f>'Adani Enterprises'!AG89</f>
        <v>0</v>
      </c>
      <c r="AH89" s="48">
        <f>'Adani Enterprises'!AH89</f>
        <v>0</v>
      </c>
      <c r="AI89" s="48">
        <f>'Adani Enterprises'!AI89</f>
        <v>0</v>
      </c>
      <c r="AJ89" s="48">
        <f>'Adani Enterprises'!AJ89</f>
        <v>0</v>
      </c>
      <c r="AK89" s="48">
        <f>'Adani Enterprises'!AK89</f>
        <v>0</v>
      </c>
      <c r="AL89" s="48">
        <f>'Adani Enterprises'!AL89</f>
        <v>0</v>
      </c>
    </row>
    <row r="90" customHeight="1" spans="1:38">
      <c r="A90" s="47">
        <f>IFERROR(__xludf.DUMMYFUNCTION("""COMPUTED_VALUE"""),45869.6458333333)</f>
        <v>45869.6458333333</v>
      </c>
      <c r="B90" s="48">
        <f>IFERROR(__xludf.DUMMYFUNCTION("""COMPUTED_VALUE"""),2396.1)</f>
        <v>2396.1</v>
      </c>
      <c r="C90" s="47">
        <f>IFERROR(__xludf.DUMMYFUNCTION("""COMPUTED_VALUE"""),45869.6458333333)</f>
        <v>45869.6458333333</v>
      </c>
      <c r="D90" s="48">
        <f>IFERROR(__xludf.DUMMYFUNCTION("""COMPUTED_VALUE"""),2401.4)</f>
        <v>2401.4</v>
      </c>
      <c r="E90" s="47">
        <f>IFERROR(__xludf.DUMMYFUNCTION("""COMPUTED_VALUE"""),45869.6458333333)</f>
        <v>45869.6458333333</v>
      </c>
      <c r="F90" s="48">
        <f>IFERROR(__xludf.DUMMYFUNCTION("""COMPUTED_VALUE"""),1274735)</f>
        <v>1274735</v>
      </c>
      <c r="G90" s="47">
        <f>IFERROR(__xludf.DUMMYFUNCTION("""COMPUTED_VALUE"""),45869.6458333333)</f>
        <v>45869.6458333333</v>
      </c>
      <c r="H90" s="48">
        <f>IFERROR(__xludf.DUMMYFUNCTION("""COMPUTED_VALUE"""),2417.2)</f>
        <v>2417.2</v>
      </c>
      <c r="I90" s="47">
        <f>IFERROR(__xludf.DUMMYFUNCTION("""COMPUTED_VALUE"""),45869.6458333333)</f>
        <v>45869.6458333333</v>
      </c>
      <c r="J90" s="48">
        <f>IFERROR(__xludf.DUMMYFUNCTION("""COMPUTED_VALUE"""),2373.5)</f>
        <v>2373.5</v>
      </c>
      <c r="K90" s="3">
        <f t="shared" si="2"/>
        <v>0</v>
      </c>
      <c r="L90" s="3">
        <f t="shared" si="3"/>
        <v>0</v>
      </c>
      <c r="AF90" s="48">
        <f>'Adani Enterprises'!AF90</f>
        <v>0</v>
      </c>
      <c r="AG90" s="48">
        <f>'Adani Enterprises'!AG90</f>
        <v>0</v>
      </c>
      <c r="AH90" s="48">
        <f>'Adani Enterprises'!AH90</f>
        <v>0</v>
      </c>
      <c r="AI90" s="48">
        <f>'Adani Enterprises'!AI90</f>
        <v>0</v>
      </c>
      <c r="AJ90" s="48">
        <f>'Adani Enterprises'!AJ90</f>
        <v>0</v>
      </c>
      <c r="AK90" s="48">
        <f>'Adani Enterprises'!AK90</f>
        <v>0</v>
      </c>
      <c r="AL90" s="48">
        <f>'Adani Enterprises'!AL90</f>
        <v>0</v>
      </c>
    </row>
    <row r="91" customHeight="1" spans="1:38">
      <c r="A91" s="47">
        <f>IFERROR(__xludf.DUMMYFUNCTION("""COMPUTED_VALUE"""),45870.6458333333)</f>
        <v>45870.6458333333</v>
      </c>
      <c r="B91" s="48">
        <f>IFERROR(__xludf.DUMMYFUNCTION("""COMPUTED_VALUE"""),2431)</f>
        <v>2431</v>
      </c>
      <c r="C91" s="47">
        <f>IFERROR(__xludf.DUMMYFUNCTION("""COMPUTED_VALUE"""),45870.6458333333)</f>
        <v>45870.6458333333</v>
      </c>
      <c r="D91" s="48">
        <f>IFERROR(__xludf.DUMMYFUNCTION("""COMPUTED_VALUE"""),2378)</f>
        <v>2378</v>
      </c>
      <c r="E91" s="47">
        <f>IFERROR(__xludf.DUMMYFUNCTION("""COMPUTED_VALUE"""),45870.6458333333)</f>
        <v>45870.6458333333</v>
      </c>
      <c r="F91" s="48">
        <f>IFERROR(__xludf.DUMMYFUNCTION("""COMPUTED_VALUE"""),2225293)</f>
        <v>2225293</v>
      </c>
      <c r="G91" s="47">
        <f>IFERROR(__xludf.DUMMYFUNCTION("""COMPUTED_VALUE"""),45870.6458333333)</f>
        <v>45870.6458333333</v>
      </c>
      <c r="H91" s="48">
        <f>IFERROR(__xludf.DUMMYFUNCTION("""COMPUTED_VALUE"""),2472)</f>
        <v>2472</v>
      </c>
      <c r="I91" s="47">
        <f>IFERROR(__xludf.DUMMYFUNCTION("""COMPUTED_VALUE"""),45870.6458333333)</f>
        <v>45870.6458333333</v>
      </c>
      <c r="J91" s="48">
        <f>IFERROR(__xludf.DUMMYFUNCTION("""COMPUTED_VALUE"""),2378)</f>
        <v>2378</v>
      </c>
      <c r="K91" s="3">
        <f t="shared" si="2"/>
        <v>0</v>
      </c>
      <c r="L91" s="3">
        <f t="shared" si="3"/>
        <v>0</v>
      </c>
      <c r="AF91" s="48">
        <f>'Adani Enterprises'!AF91</f>
        <v>0</v>
      </c>
      <c r="AG91" s="48">
        <f>'Adani Enterprises'!AG91</f>
        <v>0</v>
      </c>
      <c r="AH91" s="48">
        <f>'Adani Enterprises'!AH91</f>
        <v>0</v>
      </c>
      <c r="AI91" s="48">
        <f>'Adani Enterprises'!AI91</f>
        <v>0</v>
      </c>
      <c r="AJ91" s="48">
        <f>'Adani Enterprises'!AJ91</f>
        <v>0</v>
      </c>
      <c r="AK91" s="48">
        <f>'Adani Enterprises'!AK91</f>
        <v>0</v>
      </c>
      <c r="AL91" s="48">
        <f>'Adani Enterprises'!AL91</f>
        <v>0</v>
      </c>
    </row>
    <row r="92" customHeight="1" spans="1:38">
      <c r="A92" s="47">
        <f>IFERROR(__xludf.DUMMYFUNCTION("""COMPUTED_VALUE"""),45873.6458333333)</f>
        <v>45873.6458333333</v>
      </c>
      <c r="B92" s="48">
        <f>IFERROR(__xludf.DUMMYFUNCTION("""COMPUTED_VALUE"""),2449.8)</f>
        <v>2449.8</v>
      </c>
      <c r="C92" s="47">
        <f>IFERROR(__xludf.DUMMYFUNCTION("""COMPUTED_VALUE"""),45873.6458333333)</f>
        <v>45873.6458333333</v>
      </c>
      <c r="D92" s="48">
        <f>IFERROR(__xludf.DUMMYFUNCTION("""COMPUTED_VALUE"""),2443.2)</f>
        <v>2443.2</v>
      </c>
      <c r="E92" s="47">
        <f>IFERROR(__xludf.DUMMYFUNCTION("""COMPUTED_VALUE"""),45873.6458333333)</f>
        <v>45873.6458333333</v>
      </c>
      <c r="F92" s="48">
        <f>IFERROR(__xludf.DUMMYFUNCTION("""COMPUTED_VALUE"""),1165898)</f>
        <v>1165898</v>
      </c>
      <c r="G92" s="47">
        <f>IFERROR(__xludf.DUMMYFUNCTION("""COMPUTED_VALUE"""),45873.6458333333)</f>
        <v>45873.6458333333</v>
      </c>
      <c r="H92" s="48">
        <f>IFERROR(__xludf.DUMMYFUNCTION("""COMPUTED_VALUE"""),2467)</f>
        <v>2467</v>
      </c>
      <c r="I92" s="47">
        <f>IFERROR(__xludf.DUMMYFUNCTION("""COMPUTED_VALUE"""),45873.6458333333)</f>
        <v>45873.6458333333</v>
      </c>
      <c r="J92" s="48">
        <f>IFERROR(__xludf.DUMMYFUNCTION("""COMPUTED_VALUE"""),2439.6)</f>
        <v>2439.6</v>
      </c>
      <c r="K92" s="3">
        <f t="shared" si="2"/>
        <v>0</v>
      </c>
      <c r="L92" s="3">
        <f t="shared" si="3"/>
        <v>0</v>
      </c>
      <c r="AF92" s="48">
        <f>'Adani Enterprises'!AF92</f>
        <v>0</v>
      </c>
      <c r="AG92" s="48">
        <f>'Adani Enterprises'!AG92</f>
        <v>0</v>
      </c>
      <c r="AH92" s="48">
        <f>'Adani Enterprises'!AH92</f>
        <v>0</v>
      </c>
      <c r="AI92" s="48">
        <f>'Adani Enterprises'!AI92</f>
        <v>0</v>
      </c>
      <c r="AJ92" s="48">
        <f>'Adani Enterprises'!AJ92</f>
        <v>0</v>
      </c>
      <c r="AK92" s="48">
        <f>'Adani Enterprises'!AK92</f>
        <v>0</v>
      </c>
      <c r="AL92" s="48">
        <f>'Adani Enterprises'!AL92</f>
        <v>0</v>
      </c>
    </row>
    <row r="93" customHeight="1" spans="1:38">
      <c r="A93" s="47">
        <f>IFERROR(__xludf.DUMMYFUNCTION("""COMPUTED_VALUE"""),45874.6458333333)</f>
        <v>45874.6458333333</v>
      </c>
      <c r="B93" s="48">
        <f>IFERROR(__xludf.DUMMYFUNCTION("""COMPUTED_VALUE"""),2436.8)</f>
        <v>2436.8</v>
      </c>
      <c r="C93" s="47">
        <f>IFERROR(__xludf.DUMMYFUNCTION("""COMPUTED_VALUE"""),45874.6458333333)</f>
        <v>45874.6458333333</v>
      </c>
      <c r="D93" s="48">
        <f>IFERROR(__xludf.DUMMYFUNCTION("""COMPUTED_VALUE"""),2461.9)</f>
        <v>2461.9</v>
      </c>
      <c r="E93" s="47">
        <f>IFERROR(__xludf.DUMMYFUNCTION("""COMPUTED_VALUE"""),45874.6458333333)</f>
        <v>45874.6458333333</v>
      </c>
      <c r="F93" s="48">
        <f>IFERROR(__xludf.DUMMYFUNCTION("""COMPUTED_VALUE"""),659094)</f>
        <v>659094</v>
      </c>
      <c r="G93" s="47">
        <f>IFERROR(__xludf.DUMMYFUNCTION("""COMPUTED_VALUE"""),45874.6458333333)</f>
        <v>45874.6458333333</v>
      </c>
      <c r="H93" s="48">
        <f>IFERROR(__xludf.DUMMYFUNCTION("""COMPUTED_VALUE"""),2463.7)</f>
        <v>2463.7</v>
      </c>
      <c r="I93" s="47">
        <f>IFERROR(__xludf.DUMMYFUNCTION("""COMPUTED_VALUE"""),45874.6458333333)</f>
        <v>45874.6458333333</v>
      </c>
      <c r="J93" s="48">
        <f>IFERROR(__xludf.DUMMYFUNCTION("""COMPUTED_VALUE"""),2409.1)</f>
        <v>2409.1</v>
      </c>
      <c r="K93" s="3">
        <f t="shared" si="2"/>
        <v>0</v>
      </c>
      <c r="L93" s="3">
        <f t="shared" si="3"/>
        <v>0</v>
      </c>
      <c r="AF93" s="48">
        <f>'Adani Enterprises'!AF93</f>
        <v>0</v>
      </c>
      <c r="AG93" s="48">
        <f>'Adani Enterprises'!AG93</f>
        <v>0</v>
      </c>
      <c r="AH93" s="48">
        <f>'Adani Enterprises'!AH93</f>
        <v>0</v>
      </c>
      <c r="AI93" s="48">
        <f>'Adani Enterprises'!AI93</f>
        <v>0</v>
      </c>
      <c r="AJ93" s="48">
        <f>'Adani Enterprises'!AJ93</f>
        <v>0</v>
      </c>
      <c r="AK93" s="48">
        <f>'Adani Enterprises'!AK93</f>
        <v>0</v>
      </c>
      <c r="AL93" s="48">
        <f>'Adani Enterprises'!AL93</f>
        <v>0</v>
      </c>
    </row>
    <row r="94" customHeight="1" spans="1:38">
      <c r="A94" s="47">
        <f>IFERROR(__xludf.DUMMYFUNCTION("""COMPUTED_VALUE"""),45875.6458333333)</f>
        <v>45875.6458333333</v>
      </c>
      <c r="B94" s="48">
        <f>IFERROR(__xludf.DUMMYFUNCTION("""COMPUTED_VALUE"""),2491.2)</f>
        <v>2491.2</v>
      </c>
      <c r="C94" s="47">
        <f>IFERROR(__xludf.DUMMYFUNCTION("""COMPUTED_VALUE"""),45875.6458333333)</f>
        <v>45875.6458333333</v>
      </c>
      <c r="D94" s="48">
        <f>IFERROR(__xludf.DUMMYFUNCTION("""COMPUTED_VALUE"""),2440)</f>
        <v>2440</v>
      </c>
      <c r="E94" s="47">
        <f>IFERROR(__xludf.DUMMYFUNCTION("""COMPUTED_VALUE"""),45875.6458333333)</f>
        <v>45875.6458333333</v>
      </c>
      <c r="F94" s="48">
        <f>IFERROR(__xludf.DUMMYFUNCTION("""COMPUTED_VALUE"""),2019109)</f>
        <v>2019109</v>
      </c>
      <c r="G94" s="47">
        <f>IFERROR(__xludf.DUMMYFUNCTION("""COMPUTED_VALUE"""),45875.6458333333)</f>
        <v>45875.6458333333</v>
      </c>
      <c r="H94" s="48">
        <f>IFERROR(__xludf.DUMMYFUNCTION("""COMPUTED_VALUE"""),2505.6)</f>
        <v>2505.6</v>
      </c>
      <c r="I94" s="47">
        <f>IFERROR(__xludf.DUMMYFUNCTION("""COMPUTED_VALUE"""),45875.6458333333)</f>
        <v>45875.6458333333</v>
      </c>
      <c r="J94" s="48">
        <f>IFERROR(__xludf.DUMMYFUNCTION("""COMPUTED_VALUE"""),2440)</f>
        <v>2440</v>
      </c>
      <c r="K94" s="3">
        <f t="shared" si="2"/>
        <v>0</v>
      </c>
      <c r="L94" s="3">
        <f t="shared" si="3"/>
        <v>0</v>
      </c>
      <c r="AF94" s="48">
        <f>'Adani Enterprises'!AF94</f>
        <v>0</v>
      </c>
      <c r="AG94" s="48">
        <f>'Adani Enterprises'!AG94</f>
        <v>0</v>
      </c>
      <c r="AH94" s="48">
        <f>'Adani Enterprises'!AH94</f>
        <v>0</v>
      </c>
      <c r="AI94" s="48">
        <f>'Adani Enterprises'!AI94</f>
        <v>0</v>
      </c>
      <c r="AJ94" s="48">
        <f>'Adani Enterprises'!AJ94</f>
        <v>0</v>
      </c>
      <c r="AK94" s="48">
        <f>'Adani Enterprises'!AK94</f>
        <v>0</v>
      </c>
      <c r="AL94" s="48">
        <f>'Adani Enterprises'!AL94</f>
        <v>0</v>
      </c>
    </row>
    <row r="95" customHeight="1" spans="1:38">
      <c r="A95" s="47">
        <f>IFERROR(__xludf.DUMMYFUNCTION("""COMPUTED_VALUE"""),45876.6458333333)</f>
        <v>45876.6458333333</v>
      </c>
      <c r="B95" s="48">
        <f>IFERROR(__xludf.DUMMYFUNCTION("""COMPUTED_VALUE"""),2506.5)</f>
        <v>2506.5</v>
      </c>
      <c r="C95" s="47">
        <f>IFERROR(__xludf.DUMMYFUNCTION("""COMPUTED_VALUE"""),45876.6458333333)</f>
        <v>45876.6458333333</v>
      </c>
      <c r="D95" s="48">
        <f>IFERROR(__xludf.DUMMYFUNCTION("""COMPUTED_VALUE"""),2484.1)</f>
        <v>2484.1</v>
      </c>
      <c r="E95" s="47">
        <f>IFERROR(__xludf.DUMMYFUNCTION("""COMPUTED_VALUE"""),45876.6458333333)</f>
        <v>45876.6458333333</v>
      </c>
      <c r="F95" s="48">
        <f>IFERROR(__xludf.DUMMYFUNCTION("""COMPUTED_VALUE"""),1502806)</f>
        <v>1502806</v>
      </c>
      <c r="G95" s="47">
        <f>IFERROR(__xludf.DUMMYFUNCTION("""COMPUTED_VALUE"""),45876.6458333333)</f>
        <v>45876.6458333333</v>
      </c>
      <c r="H95" s="48">
        <f>IFERROR(__xludf.DUMMYFUNCTION("""COMPUTED_VALUE"""),2510)</f>
        <v>2510</v>
      </c>
      <c r="I95" s="47">
        <f>IFERROR(__xludf.DUMMYFUNCTION("""COMPUTED_VALUE"""),45876.6458333333)</f>
        <v>45876.6458333333</v>
      </c>
      <c r="J95" s="48">
        <f>IFERROR(__xludf.DUMMYFUNCTION("""COMPUTED_VALUE"""),2466.9)</f>
        <v>2466.9</v>
      </c>
      <c r="K95" s="3">
        <f t="shared" si="2"/>
        <v>0</v>
      </c>
      <c r="L95" s="3">
        <f t="shared" si="3"/>
        <v>0</v>
      </c>
      <c r="AF95" s="48">
        <f>'Adani Enterprises'!AF95</f>
        <v>0</v>
      </c>
      <c r="AG95" s="48">
        <f>'Adani Enterprises'!AG95</f>
        <v>0</v>
      </c>
      <c r="AH95" s="48">
        <f>'Adani Enterprises'!AH95</f>
        <v>0</v>
      </c>
      <c r="AI95" s="48">
        <f>'Adani Enterprises'!AI95</f>
        <v>0</v>
      </c>
      <c r="AJ95" s="48">
        <f>'Adani Enterprises'!AJ95</f>
        <v>0</v>
      </c>
      <c r="AK95" s="48">
        <f>'Adani Enterprises'!AK95</f>
        <v>0</v>
      </c>
      <c r="AL95" s="48">
        <f>'Adani Enterprises'!AL95</f>
        <v>0</v>
      </c>
    </row>
    <row r="96" customHeight="1" spans="1:38">
      <c r="A96" s="47">
        <f>IFERROR(__xludf.DUMMYFUNCTION("""COMPUTED_VALUE"""),45877.6458333333)</f>
        <v>45877.6458333333</v>
      </c>
      <c r="B96" s="48">
        <f>IFERROR(__xludf.DUMMYFUNCTION("""COMPUTED_VALUE"""),2475.6)</f>
        <v>2475.6</v>
      </c>
      <c r="C96" s="47">
        <f>IFERROR(__xludf.DUMMYFUNCTION("""COMPUTED_VALUE"""),45877.6458333333)</f>
        <v>45877.6458333333</v>
      </c>
      <c r="D96" s="48">
        <f>IFERROR(__xludf.DUMMYFUNCTION("""COMPUTED_VALUE"""),2506.5)</f>
        <v>2506.5</v>
      </c>
      <c r="E96" s="47">
        <f>IFERROR(__xludf.DUMMYFUNCTION("""COMPUTED_VALUE"""),45877.6458333333)</f>
        <v>45877.6458333333</v>
      </c>
      <c r="F96" s="48">
        <f>IFERROR(__xludf.DUMMYFUNCTION("""COMPUTED_VALUE"""),1178226)</f>
        <v>1178226</v>
      </c>
      <c r="G96" s="47">
        <f>IFERROR(__xludf.DUMMYFUNCTION("""COMPUTED_VALUE"""),45877.6458333333)</f>
        <v>45877.6458333333</v>
      </c>
      <c r="H96" s="48">
        <f>IFERROR(__xludf.DUMMYFUNCTION("""COMPUTED_VALUE"""),2511.7)</f>
        <v>2511.7</v>
      </c>
      <c r="I96" s="47">
        <f>IFERROR(__xludf.DUMMYFUNCTION("""COMPUTED_VALUE"""),45877.6458333333)</f>
        <v>45877.6458333333</v>
      </c>
      <c r="J96" s="48">
        <f>IFERROR(__xludf.DUMMYFUNCTION("""COMPUTED_VALUE"""),2468.5)</f>
        <v>2468.5</v>
      </c>
      <c r="K96" s="3">
        <f t="shared" si="2"/>
        <v>0</v>
      </c>
      <c r="L96" s="3">
        <f t="shared" si="3"/>
        <v>0</v>
      </c>
      <c r="AF96" s="48">
        <f>'Adani Enterprises'!AF96</f>
        <v>0</v>
      </c>
      <c r="AG96" s="48">
        <f>'Adani Enterprises'!AG96</f>
        <v>0</v>
      </c>
      <c r="AH96" s="48">
        <f>'Adani Enterprises'!AH96</f>
        <v>0</v>
      </c>
      <c r="AI96" s="48">
        <f>'Adani Enterprises'!AI96</f>
        <v>0</v>
      </c>
      <c r="AJ96" s="48">
        <f>'Adani Enterprises'!AJ96</f>
        <v>0</v>
      </c>
      <c r="AK96" s="48">
        <f>'Adani Enterprises'!AK96</f>
        <v>0</v>
      </c>
      <c r="AL96" s="48">
        <f>'Adani Enterprises'!AL96</f>
        <v>0</v>
      </c>
    </row>
    <row r="97" customHeight="1" spans="1:38">
      <c r="A97" s="47">
        <f>IFERROR(__xludf.DUMMYFUNCTION("""COMPUTED_VALUE"""),45880.6458333333)</f>
        <v>45880.6458333333</v>
      </c>
      <c r="B97" s="48">
        <f>IFERROR(__xludf.DUMMYFUNCTION("""COMPUTED_VALUE"""),2489.1)</f>
        <v>2489.1</v>
      </c>
      <c r="C97" s="47">
        <f>IFERROR(__xludf.DUMMYFUNCTION("""COMPUTED_VALUE"""),45880.6458333333)</f>
        <v>45880.6458333333</v>
      </c>
      <c r="D97" s="48">
        <f>IFERROR(__xludf.DUMMYFUNCTION("""COMPUTED_VALUE"""),2463.9)</f>
        <v>2463.9</v>
      </c>
      <c r="E97" s="47">
        <f>IFERROR(__xludf.DUMMYFUNCTION("""COMPUTED_VALUE"""),45880.6458333333)</f>
        <v>45880.6458333333</v>
      </c>
      <c r="F97" s="48">
        <f>IFERROR(__xludf.DUMMYFUNCTION("""COMPUTED_VALUE"""),721135)</f>
        <v>721135</v>
      </c>
      <c r="G97" s="47">
        <f>IFERROR(__xludf.DUMMYFUNCTION("""COMPUTED_VALUE"""),45880.6458333333)</f>
        <v>45880.6458333333</v>
      </c>
      <c r="H97" s="48">
        <f>IFERROR(__xludf.DUMMYFUNCTION("""COMPUTED_VALUE"""),2504.2)</f>
        <v>2504.2</v>
      </c>
      <c r="I97" s="47">
        <f>IFERROR(__xludf.DUMMYFUNCTION("""COMPUTED_VALUE"""),45880.6458333333)</f>
        <v>45880.6458333333</v>
      </c>
      <c r="J97" s="48">
        <f>IFERROR(__xludf.DUMMYFUNCTION("""COMPUTED_VALUE"""),2452)</f>
        <v>2452</v>
      </c>
      <c r="K97" s="3">
        <f t="shared" si="2"/>
        <v>0</v>
      </c>
      <c r="L97" s="3">
        <f t="shared" si="3"/>
        <v>0</v>
      </c>
      <c r="AF97" s="48">
        <f>'Adani Enterprises'!AF97</f>
        <v>0</v>
      </c>
      <c r="AG97" s="48">
        <f>'Adani Enterprises'!AG97</f>
        <v>0</v>
      </c>
      <c r="AH97" s="48">
        <f>'Adani Enterprises'!AH97</f>
        <v>0</v>
      </c>
      <c r="AI97" s="48">
        <f>'Adani Enterprises'!AI97</f>
        <v>0</v>
      </c>
      <c r="AJ97" s="48">
        <f>'Adani Enterprises'!AJ97</f>
        <v>0</v>
      </c>
      <c r="AK97" s="48">
        <f>'Adani Enterprises'!AK97</f>
        <v>0</v>
      </c>
      <c r="AL97" s="48">
        <f>'Adani Enterprises'!AL97</f>
        <v>0</v>
      </c>
    </row>
    <row r="98" customHeight="1" spans="1:38">
      <c r="A98" s="47">
        <f>IFERROR(__xludf.DUMMYFUNCTION("""COMPUTED_VALUE"""),45881.6458333333)</f>
        <v>45881.6458333333</v>
      </c>
      <c r="B98" s="48">
        <f>IFERROR(__xludf.DUMMYFUNCTION("""COMPUTED_VALUE"""),2478.3)</f>
        <v>2478.3</v>
      </c>
      <c r="C98" s="47">
        <f>IFERROR(__xludf.DUMMYFUNCTION("""COMPUTED_VALUE"""),45881.6458333333)</f>
        <v>45881.6458333333</v>
      </c>
      <c r="D98" s="48">
        <f>IFERROR(__xludf.DUMMYFUNCTION("""COMPUTED_VALUE"""),2489.1)</f>
        <v>2489.1</v>
      </c>
      <c r="E98" s="47">
        <f>IFERROR(__xludf.DUMMYFUNCTION("""COMPUTED_VALUE"""),45881.6458333333)</f>
        <v>45881.6458333333</v>
      </c>
      <c r="F98" s="48">
        <f>IFERROR(__xludf.DUMMYFUNCTION("""COMPUTED_VALUE"""),608984)</f>
        <v>608984</v>
      </c>
      <c r="G98" s="47">
        <f>IFERROR(__xludf.DUMMYFUNCTION("""COMPUTED_VALUE"""),45881.6458333333)</f>
        <v>45881.6458333333</v>
      </c>
      <c r="H98" s="48">
        <f>IFERROR(__xludf.DUMMYFUNCTION("""COMPUTED_VALUE"""),2502.8)</f>
        <v>2502.8</v>
      </c>
      <c r="I98" s="47">
        <f>IFERROR(__xludf.DUMMYFUNCTION("""COMPUTED_VALUE"""),45881.6458333333)</f>
        <v>45881.6458333333</v>
      </c>
      <c r="J98" s="48">
        <f>IFERROR(__xludf.DUMMYFUNCTION("""COMPUTED_VALUE"""),2474)</f>
        <v>2474</v>
      </c>
      <c r="K98" s="3">
        <f t="shared" si="2"/>
        <v>0</v>
      </c>
      <c r="L98" s="3">
        <f t="shared" si="3"/>
        <v>0</v>
      </c>
      <c r="AF98" s="48">
        <f>'Adani Enterprises'!AF98</f>
        <v>0</v>
      </c>
      <c r="AG98" s="48">
        <f>'Adani Enterprises'!AG98</f>
        <v>0</v>
      </c>
      <c r="AH98" s="48">
        <f>'Adani Enterprises'!AH98</f>
        <v>0</v>
      </c>
      <c r="AI98" s="48">
        <f>'Adani Enterprises'!AI98</f>
        <v>0</v>
      </c>
      <c r="AJ98" s="48">
        <f>'Adani Enterprises'!AJ98</f>
        <v>0</v>
      </c>
      <c r="AK98" s="48">
        <f>'Adani Enterprises'!AK98</f>
        <v>0</v>
      </c>
      <c r="AL98" s="48">
        <f>'Adani Enterprises'!AL98</f>
        <v>0</v>
      </c>
    </row>
    <row r="99" customHeight="1" spans="1:38">
      <c r="A99" s="47">
        <f>IFERROR(__xludf.DUMMYFUNCTION("""COMPUTED_VALUE"""),45882.6458333333)</f>
        <v>45882.6458333333</v>
      </c>
      <c r="B99" s="48">
        <f>IFERROR(__xludf.DUMMYFUNCTION("""COMPUTED_VALUE"""),2500.2)</f>
        <v>2500.2</v>
      </c>
      <c r="C99" s="47">
        <f>IFERROR(__xludf.DUMMYFUNCTION("""COMPUTED_VALUE"""),45882.6458333333)</f>
        <v>45882.6458333333</v>
      </c>
      <c r="D99" s="48">
        <f>IFERROR(__xludf.DUMMYFUNCTION("""COMPUTED_VALUE"""),2479.8)</f>
        <v>2479.8</v>
      </c>
      <c r="E99" s="47">
        <f>IFERROR(__xludf.DUMMYFUNCTION("""COMPUTED_VALUE"""),45882.6458333333)</f>
        <v>45882.6458333333</v>
      </c>
      <c r="F99" s="48">
        <f>IFERROR(__xludf.DUMMYFUNCTION("""COMPUTED_VALUE"""),350844)</f>
        <v>350844</v>
      </c>
      <c r="G99" s="47">
        <f>IFERROR(__xludf.DUMMYFUNCTION("""COMPUTED_VALUE"""),45882.6458333333)</f>
        <v>45882.6458333333</v>
      </c>
      <c r="H99" s="48">
        <f>IFERROR(__xludf.DUMMYFUNCTION("""COMPUTED_VALUE"""),2504.4)</f>
        <v>2504.4</v>
      </c>
      <c r="I99" s="47">
        <f>IFERROR(__xludf.DUMMYFUNCTION("""COMPUTED_VALUE"""),45882.6458333333)</f>
        <v>45882.6458333333</v>
      </c>
      <c r="J99" s="48">
        <f>IFERROR(__xludf.DUMMYFUNCTION("""COMPUTED_VALUE"""),2461.2)</f>
        <v>2461.2</v>
      </c>
      <c r="K99" s="3">
        <f t="shared" si="2"/>
        <v>0</v>
      </c>
      <c r="L99" s="3">
        <f t="shared" si="3"/>
        <v>0</v>
      </c>
      <c r="AF99" s="48">
        <f>'Adani Enterprises'!AF99</f>
        <v>0</v>
      </c>
      <c r="AG99" s="48">
        <f>'Adani Enterprises'!AG99</f>
        <v>0</v>
      </c>
      <c r="AH99" s="48">
        <f>'Adani Enterprises'!AH99</f>
        <v>0</v>
      </c>
      <c r="AI99" s="48">
        <f>'Adani Enterprises'!AI99</f>
        <v>0</v>
      </c>
      <c r="AJ99" s="48">
        <f>'Adani Enterprises'!AJ99</f>
        <v>0</v>
      </c>
      <c r="AK99" s="48">
        <f>'Adani Enterprises'!AK99</f>
        <v>0</v>
      </c>
      <c r="AL99" s="48">
        <f>'Adani Enterprises'!AL99</f>
        <v>0</v>
      </c>
    </row>
    <row r="100" customHeight="1" spans="1:38">
      <c r="A100" s="47">
        <f>IFERROR(__xludf.DUMMYFUNCTION("""COMPUTED_VALUE"""),45883.6458333333)</f>
        <v>45883.6458333333</v>
      </c>
      <c r="B100" s="48">
        <f>IFERROR(__xludf.DUMMYFUNCTION("""COMPUTED_VALUE"""),2528.7)</f>
        <v>2528.7</v>
      </c>
      <c r="C100" s="47">
        <f>IFERROR(__xludf.DUMMYFUNCTION("""COMPUTED_VALUE"""),45883.6458333333)</f>
        <v>45883.6458333333</v>
      </c>
      <c r="D100" s="48">
        <f>IFERROR(__xludf.DUMMYFUNCTION("""COMPUTED_VALUE"""),2505)</f>
        <v>2505</v>
      </c>
      <c r="E100" s="47">
        <f>IFERROR(__xludf.DUMMYFUNCTION("""COMPUTED_VALUE"""),45883.6458333333)</f>
        <v>45883.6458333333</v>
      </c>
      <c r="F100" s="48">
        <f>IFERROR(__xludf.DUMMYFUNCTION("""COMPUTED_VALUE"""),1088550)</f>
        <v>1088550</v>
      </c>
      <c r="G100" s="47">
        <f>IFERROR(__xludf.DUMMYFUNCTION("""COMPUTED_VALUE"""),45883.6458333333)</f>
        <v>45883.6458333333</v>
      </c>
      <c r="H100" s="48">
        <f>IFERROR(__xludf.DUMMYFUNCTION("""COMPUTED_VALUE"""),2534.9)</f>
        <v>2534.9</v>
      </c>
      <c r="I100" s="47">
        <f>IFERROR(__xludf.DUMMYFUNCTION("""COMPUTED_VALUE"""),45883.6458333333)</f>
        <v>45883.6458333333</v>
      </c>
      <c r="J100" s="48">
        <f>IFERROR(__xludf.DUMMYFUNCTION("""COMPUTED_VALUE"""),2497.7)</f>
        <v>2497.7</v>
      </c>
      <c r="K100" s="3">
        <f t="shared" si="2"/>
        <v>0</v>
      </c>
      <c r="L100" s="3">
        <f t="shared" si="3"/>
        <v>0</v>
      </c>
      <c r="AF100" s="48">
        <f>'Adani Enterprises'!AF100</f>
        <v>0</v>
      </c>
      <c r="AG100" s="48">
        <f>'Adani Enterprises'!AG100</f>
        <v>0</v>
      </c>
      <c r="AH100" s="48">
        <f>'Adani Enterprises'!AH100</f>
        <v>0</v>
      </c>
      <c r="AI100" s="48">
        <f>'Adani Enterprises'!AI100</f>
        <v>0</v>
      </c>
      <c r="AJ100" s="48">
        <f>'Adani Enterprises'!AJ100</f>
        <v>0</v>
      </c>
      <c r="AK100" s="48">
        <f>'Adani Enterprises'!AK100</f>
        <v>0</v>
      </c>
      <c r="AL100" s="48">
        <f>'Adani Enterprises'!AL100</f>
        <v>0</v>
      </c>
    </row>
    <row r="101" customHeight="1" spans="1:38">
      <c r="A101" s="47">
        <f>IFERROR(__xludf.DUMMYFUNCTION("""COMPUTED_VALUE"""),45887.6458333333)</f>
        <v>45887.6458333333</v>
      </c>
      <c r="B101" s="48">
        <f>IFERROR(__xludf.DUMMYFUNCTION("""COMPUTED_VALUE"""),2587.4)</f>
        <v>2587.4</v>
      </c>
      <c r="C101" s="47">
        <f>IFERROR(__xludf.DUMMYFUNCTION("""COMPUTED_VALUE"""),45887.6458333333)</f>
        <v>45887.6458333333</v>
      </c>
      <c r="D101" s="48">
        <f>IFERROR(__xludf.DUMMYFUNCTION("""COMPUTED_VALUE"""),2550)</f>
        <v>2550</v>
      </c>
      <c r="E101" s="47">
        <f>IFERROR(__xludf.DUMMYFUNCTION("""COMPUTED_VALUE"""),45887.6458333333)</f>
        <v>45887.6458333333</v>
      </c>
      <c r="F101" s="48">
        <f>IFERROR(__xludf.DUMMYFUNCTION("""COMPUTED_VALUE"""),1755615)</f>
        <v>1755615</v>
      </c>
      <c r="G101" s="47">
        <f>IFERROR(__xludf.DUMMYFUNCTION("""COMPUTED_VALUE"""),45887.6458333333)</f>
        <v>45887.6458333333</v>
      </c>
      <c r="H101" s="48">
        <f>IFERROR(__xludf.DUMMYFUNCTION("""COMPUTED_VALUE"""),2595)</f>
        <v>2595</v>
      </c>
      <c r="I101" s="47">
        <f>IFERROR(__xludf.DUMMYFUNCTION("""COMPUTED_VALUE"""),45887.6458333333)</f>
        <v>45887.6458333333</v>
      </c>
      <c r="J101" s="48">
        <f>IFERROR(__xludf.DUMMYFUNCTION("""COMPUTED_VALUE"""),2536.6)</f>
        <v>2536.6</v>
      </c>
      <c r="K101" s="3">
        <f t="shared" si="2"/>
        <v>2587.4</v>
      </c>
      <c r="L101" s="3">
        <f t="shared" si="3"/>
        <v>0</v>
      </c>
      <c r="AF101" s="48">
        <f>'Adani Enterprises'!AF101</f>
        <v>0</v>
      </c>
      <c r="AG101" s="48">
        <f>'Adani Enterprises'!AG101</f>
        <v>0</v>
      </c>
      <c r="AH101" s="48">
        <f>'Adani Enterprises'!AH101</f>
        <v>0</v>
      </c>
      <c r="AI101" s="48">
        <f>'Adani Enterprises'!AI101</f>
        <v>0</v>
      </c>
      <c r="AJ101" s="48">
        <f>'Adani Enterprises'!AJ101</f>
        <v>0</v>
      </c>
      <c r="AK101" s="48">
        <f>'Adani Enterprises'!AK101</f>
        <v>0</v>
      </c>
      <c r="AL101" s="48">
        <f>'Adani Enterprises'!AL101</f>
        <v>0</v>
      </c>
    </row>
    <row r="102" customHeight="1" spans="1:38">
      <c r="A102" s="47">
        <f>IFERROR(__xludf.DUMMYFUNCTION("""COMPUTED_VALUE"""),45888.6458333333)</f>
        <v>45888.6458333333</v>
      </c>
      <c r="B102" s="48">
        <f>IFERROR(__xludf.DUMMYFUNCTION("""COMPUTED_VALUE"""),2579.4)</f>
        <v>2579.4</v>
      </c>
      <c r="C102" s="47">
        <f>IFERROR(__xludf.DUMMYFUNCTION("""COMPUTED_VALUE"""),45888.6458333333)</f>
        <v>45888.6458333333</v>
      </c>
      <c r="D102" s="48">
        <f>IFERROR(__xludf.DUMMYFUNCTION("""COMPUTED_VALUE"""),2587.4)</f>
        <v>2587.4</v>
      </c>
      <c r="E102" s="47">
        <f>IFERROR(__xludf.DUMMYFUNCTION("""COMPUTED_VALUE"""),45888.6458333333)</f>
        <v>45888.6458333333</v>
      </c>
      <c r="F102" s="48">
        <f>IFERROR(__xludf.DUMMYFUNCTION("""COMPUTED_VALUE"""),698587)</f>
        <v>698587</v>
      </c>
      <c r="G102" s="47">
        <f>IFERROR(__xludf.DUMMYFUNCTION("""COMPUTED_VALUE"""),45888.6458333333)</f>
        <v>45888.6458333333</v>
      </c>
      <c r="H102" s="48">
        <f>IFERROR(__xludf.DUMMYFUNCTION("""COMPUTED_VALUE"""),2595)</f>
        <v>2595</v>
      </c>
      <c r="I102" s="47">
        <f>IFERROR(__xludf.DUMMYFUNCTION("""COMPUTED_VALUE"""),45888.6458333333)</f>
        <v>45888.6458333333</v>
      </c>
      <c r="J102" s="48">
        <f>IFERROR(__xludf.DUMMYFUNCTION("""COMPUTED_VALUE"""),2561.2)</f>
        <v>2561.2</v>
      </c>
      <c r="K102" s="3">
        <f t="shared" si="2"/>
        <v>0</v>
      </c>
      <c r="L102" s="3">
        <f t="shared" si="3"/>
        <v>0</v>
      </c>
      <c r="AF102" s="48">
        <f>'Adani Enterprises'!AF102</f>
        <v>0</v>
      </c>
      <c r="AG102" s="48">
        <f>'Adani Enterprises'!AG102</f>
        <v>0</v>
      </c>
      <c r="AH102" s="48">
        <f>'Adani Enterprises'!AH102</f>
        <v>0</v>
      </c>
      <c r="AI102" s="48">
        <f>'Adani Enterprises'!AI102</f>
        <v>0</v>
      </c>
      <c r="AJ102" s="48">
        <f>'Adani Enterprises'!AJ102</f>
        <v>0</v>
      </c>
      <c r="AK102" s="48">
        <f>'Adani Enterprises'!AK102</f>
        <v>0</v>
      </c>
      <c r="AL102" s="48">
        <f>'Adani Enterprises'!AL102</f>
        <v>0</v>
      </c>
    </row>
    <row r="103" customHeight="1" spans="1:38">
      <c r="A103" s="47">
        <f>IFERROR(__xludf.DUMMYFUNCTION("""COMPUTED_VALUE"""),45889.6458333333)</f>
        <v>45889.6458333333</v>
      </c>
      <c r="B103" s="48">
        <f>IFERROR(__xludf.DUMMYFUNCTION("""COMPUTED_VALUE"""),2570.1)</f>
        <v>2570.1</v>
      </c>
      <c r="C103" s="47">
        <f>IFERROR(__xludf.DUMMYFUNCTION("""COMPUTED_VALUE"""),45889.6458333333)</f>
        <v>45889.6458333333</v>
      </c>
      <c r="D103" s="48">
        <f>IFERROR(__xludf.DUMMYFUNCTION("""COMPUTED_VALUE"""),2578)</f>
        <v>2578</v>
      </c>
      <c r="E103" s="47">
        <f>IFERROR(__xludf.DUMMYFUNCTION("""COMPUTED_VALUE"""),45889.6458333333)</f>
        <v>45889.6458333333</v>
      </c>
      <c r="F103" s="48">
        <f>IFERROR(__xludf.DUMMYFUNCTION("""COMPUTED_VALUE"""),308028)</f>
        <v>308028</v>
      </c>
      <c r="G103" s="47">
        <f>IFERROR(__xludf.DUMMYFUNCTION("""COMPUTED_VALUE"""),45889.6458333333)</f>
        <v>45889.6458333333</v>
      </c>
      <c r="H103" s="48">
        <f>IFERROR(__xludf.DUMMYFUNCTION("""COMPUTED_VALUE"""),2579.3)</f>
        <v>2579.3</v>
      </c>
      <c r="I103" s="47">
        <f>IFERROR(__xludf.DUMMYFUNCTION("""COMPUTED_VALUE"""),45889.6458333333)</f>
        <v>45889.6458333333</v>
      </c>
      <c r="J103" s="48">
        <f>IFERROR(__xludf.DUMMYFUNCTION("""COMPUTED_VALUE"""),2563.4)</f>
        <v>2563.4</v>
      </c>
      <c r="K103" s="3">
        <f t="shared" si="2"/>
        <v>0</v>
      </c>
      <c r="L103" s="3">
        <f t="shared" si="3"/>
        <v>0</v>
      </c>
      <c r="AF103" s="48">
        <f>'Adani Enterprises'!AF103</f>
        <v>0</v>
      </c>
      <c r="AG103" s="48">
        <f>'Adani Enterprises'!AG103</f>
        <v>0</v>
      </c>
      <c r="AH103" s="48">
        <f>'Adani Enterprises'!AH103</f>
        <v>0</v>
      </c>
      <c r="AI103" s="48">
        <f>'Adani Enterprises'!AI103</f>
        <v>0</v>
      </c>
      <c r="AJ103" s="48">
        <f>'Adani Enterprises'!AJ103</f>
        <v>0</v>
      </c>
      <c r="AK103" s="48">
        <f>'Adani Enterprises'!AK103</f>
        <v>0</v>
      </c>
      <c r="AL103" s="48">
        <f>'Adani Enterprises'!AL103</f>
        <v>0</v>
      </c>
    </row>
    <row r="104" customHeight="1" spans="1:38">
      <c r="A104" s="47">
        <f>IFERROR(__xludf.DUMMYFUNCTION("""COMPUTED_VALUE"""),45890.6458333333)</f>
        <v>45890.6458333333</v>
      </c>
      <c r="B104" s="48">
        <f>IFERROR(__xludf.DUMMYFUNCTION("""COMPUTED_VALUE"""),2566.6)</f>
        <v>2566.6</v>
      </c>
      <c r="C104" s="47">
        <f>IFERROR(__xludf.DUMMYFUNCTION("""COMPUTED_VALUE"""),45890.6458333333)</f>
        <v>45890.6458333333</v>
      </c>
      <c r="D104" s="48">
        <f>IFERROR(__xludf.DUMMYFUNCTION("""COMPUTED_VALUE"""),2574.9)</f>
        <v>2574.9</v>
      </c>
      <c r="E104" s="47">
        <f>IFERROR(__xludf.DUMMYFUNCTION("""COMPUTED_VALUE"""),45890.6458333333)</f>
        <v>45890.6458333333</v>
      </c>
      <c r="F104" s="48">
        <f>IFERROR(__xludf.DUMMYFUNCTION("""COMPUTED_VALUE"""),781082)</f>
        <v>781082</v>
      </c>
      <c r="G104" s="47">
        <f>IFERROR(__xludf.DUMMYFUNCTION("""COMPUTED_VALUE"""),45890.6458333333)</f>
        <v>45890.6458333333</v>
      </c>
      <c r="H104" s="48">
        <f>IFERROR(__xludf.DUMMYFUNCTION("""COMPUTED_VALUE"""),2576)</f>
        <v>2576</v>
      </c>
      <c r="I104" s="47">
        <f>IFERROR(__xludf.DUMMYFUNCTION("""COMPUTED_VALUE"""),45890.6458333333)</f>
        <v>45890.6458333333</v>
      </c>
      <c r="J104" s="48">
        <f>IFERROR(__xludf.DUMMYFUNCTION("""COMPUTED_VALUE"""),2559.3)</f>
        <v>2559.3</v>
      </c>
      <c r="K104" s="3">
        <f t="shared" si="2"/>
        <v>0</v>
      </c>
      <c r="L104" s="3">
        <f t="shared" si="3"/>
        <v>0</v>
      </c>
      <c r="AF104" s="48">
        <f>'Adani Enterprises'!AF104</f>
        <v>0</v>
      </c>
      <c r="AG104" s="48">
        <f>'Adani Enterprises'!AG104</f>
        <v>0</v>
      </c>
      <c r="AH104" s="48">
        <f>'Adani Enterprises'!AH104</f>
        <v>0</v>
      </c>
      <c r="AI104" s="48">
        <f>'Adani Enterprises'!AI104</f>
        <v>0</v>
      </c>
      <c r="AJ104" s="48">
        <f>'Adani Enterprises'!AJ104</f>
        <v>0</v>
      </c>
      <c r="AK104" s="48">
        <f>'Adani Enterprises'!AK104</f>
        <v>0</v>
      </c>
      <c r="AL104" s="48">
        <f>'Adani Enterprises'!AL104</f>
        <v>0</v>
      </c>
    </row>
    <row r="105" customHeight="1" spans="1:38">
      <c r="A105" s="47">
        <f>IFERROR(__xludf.DUMMYFUNCTION("""COMPUTED_VALUE"""),45891.6458333333)</f>
        <v>45891.6458333333</v>
      </c>
      <c r="B105" s="48">
        <f>IFERROR(__xludf.DUMMYFUNCTION("""COMPUTED_VALUE"""),2504.5)</f>
        <v>2504.5</v>
      </c>
      <c r="C105" s="47">
        <f>IFERROR(__xludf.DUMMYFUNCTION("""COMPUTED_VALUE"""),45891.6458333333)</f>
        <v>45891.6458333333</v>
      </c>
      <c r="D105" s="48">
        <f>IFERROR(__xludf.DUMMYFUNCTION("""COMPUTED_VALUE"""),2562.8)</f>
        <v>2562.8</v>
      </c>
      <c r="E105" s="47">
        <f>IFERROR(__xludf.DUMMYFUNCTION("""COMPUTED_VALUE"""),45891.6458333333)</f>
        <v>45891.6458333333</v>
      </c>
      <c r="F105" s="48">
        <f>IFERROR(__xludf.DUMMYFUNCTION("""COMPUTED_VALUE"""),523774)</f>
        <v>523774</v>
      </c>
      <c r="G105" s="47">
        <f>IFERROR(__xludf.DUMMYFUNCTION("""COMPUTED_VALUE"""),45891.6458333333)</f>
        <v>45891.6458333333</v>
      </c>
      <c r="H105" s="48">
        <f>IFERROR(__xludf.DUMMYFUNCTION("""COMPUTED_VALUE"""),2569.3)</f>
        <v>2569.3</v>
      </c>
      <c r="I105" s="47">
        <f>IFERROR(__xludf.DUMMYFUNCTION("""COMPUTED_VALUE"""),45891.6458333333)</f>
        <v>45891.6458333333</v>
      </c>
      <c r="J105" s="48">
        <f>IFERROR(__xludf.DUMMYFUNCTION("""COMPUTED_VALUE"""),2501.1)</f>
        <v>2501.1</v>
      </c>
      <c r="K105" s="3">
        <f t="shared" si="2"/>
        <v>0</v>
      </c>
      <c r="L105" s="3">
        <f t="shared" si="3"/>
        <v>0</v>
      </c>
      <c r="AF105" s="48">
        <f>'Adani Enterprises'!AF105</f>
        <v>0</v>
      </c>
      <c r="AG105" s="48">
        <f>'Adani Enterprises'!AG105</f>
        <v>0</v>
      </c>
      <c r="AH105" s="48">
        <f>'Adani Enterprises'!AH105</f>
        <v>0</v>
      </c>
      <c r="AI105" s="48">
        <f>'Adani Enterprises'!AI105</f>
        <v>0</v>
      </c>
      <c r="AJ105" s="48">
        <f>'Adani Enterprises'!AJ105</f>
        <v>0</v>
      </c>
      <c r="AK105" s="48">
        <f>'Adani Enterprises'!AK105</f>
        <v>0</v>
      </c>
      <c r="AL105" s="48">
        <f>'Adani Enterprises'!AL105</f>
        <v>0</v>
      </c>
    </row>
    <row r="106" customHeight="1" spans="1:38">
      <c r="A106" s="47">
        <f>IFERROR(__xludf.DUMMYFUNCTION("""COMPUTED_VALUE"""),45894.6458333333)</f>
        <v>45894.6458333333</v>
      </c>
      <c r="B106" s="48">
        <f>IFERROR(__xludf.DUMMYFUNCTION("""COMPUTED_VALUE"""),2492.9)</f>
        <v>2492.9</v>
      </c>
      <c r="C106" s="47">
        <f>IFERROR(__xludf.DUMMYFUNCTION("""COMPUTED_VALUE"""),45894.6458333333)</f>
        <v>45894.6458333333</v>
      </c>
      <c r="D106" s="48">
        <f>IFERROR(__xludf.DUMMYFUNCTION("""COMPUTED_VALUE"""),2516)</f>
        <v>2516</v>
      </c>
      <c r="E106" s="47">
        <f>IFERROR(__xludf.DUMMYFUNCTION("""COMPUTED_VALUE"""),45894.6458333333)</f>
        <v>45894.6458333333</v>
      </c>
      <c r="F106" s="48">
        <f>IFERROR(__xludf.DUMMYFUNCTION("""COMPUTED_VALUE"""),766497)</f>
        <v>766497</v>
      </c>
      <c r="G106" s="47">
        <f>IFERROR(__xludf.DUMMYFUNCTION("""COMPUTED_VALUE"""),45894.6458333333)</f>
        <v>45894.6458333333</v>
      </c>
      <c r="H106" s="48">
        <f>IFERROR(__xludf.DUMMYFUNCTION("""COMPUTED_VALUE"""),2522.5)</f>
        <v>2522.5</v>
      </c>
      <c r="I106" s="47">
        <f>IFERROR(__xludf.DUMMYFUNCTION("""COMPUTED_VALUE"""),45894.6458333333)</f>
        <v>45894.6458333333</v>
      </c>
      <c r="J106" s="48">
        <f>IFERROR(__xludf.DUMMYFUNCTION("""COMPUTED_VALUE"""),2476)</f>
        <v>2476</v>
      </c>
      <c r="K106" s="3">
        <f t="shared" si="2"/>
        <v>0</v>
      </c>
      <c r="L106" s="3">
        <f t="shared" si="3"/>
        <v>0</v>
      </c>
      <c r="AF106" s="48">
        <f>'Adani Enterprises'!AF106</f>
        <v>0</v>
      </c>
      <c r="AG106" s="48">
        <f>'Adani Enterprises'!AG106</f>
        <v>0</v>
      </c>
      <c r="AH106" s="48">
        <f>'Adani Enterprises'!AH106</f>
        <v>0</v>
      </c>
      <c r="AI106" s="48">
        <f>'Adani Enterprises'!AI106</f>
        <v>0</v>
      </c>
      <c r="AJ106" s="48">
        <f>'Adani Enterprises'!AJ106</f>
        <v>0</v>
      </c>
      <c r="AK106" s="48">
        <f>'Adani Enterprises'!AK106</f>
        <v>0</v>
      </c>
      <c r="AL106" s="48">
        <f>'Adani Enterprises'!AL106</f>
        <v>0</v>
      </c>
    </row>
    <row r="107" customHeight="1" spans="1:38">
      <c r="A107" s="47">
        <f>IFERROR(__xludf.DUMMYFUNCTION("""COMPUTED_VALUE"""),45895.6458333333)</f>
        <v>45895.6458333333</v>
      </c>
      <c r="B107" s="48">
        <f>IFERROR(__xludf.DUMMYFUNCTION("""COMPUTED_VALUE"""),2481.4)</f>
        <v>2481.4</v>
      </c>
      <c r="C107" s="47">
        <f>IFERROR(__xludf.DUMMYFUNCTION("""COMPUTED_VALUE"""),45895.6458333333)</f>
        <v>45895.6458333333</v>
      </c>
      <c r="D107" s="48">
        <f>IFERROR(__xludf.DUMMYFUNCTION("""COMPUTED_VALUE"""),2481.1)</f>
        <v>2481.1</v>
      </c>
      <c r="E107" s="47">
        <f>IFERROR(__xludf.DUMMYFUNCTION("""COMPUTED_VALUE"""),45895.6458333333)</f>
        <v>45895.6458333333</v>
      </c>
      <c r="F107" s="48">
        <f>IFERROR(__xludf.DUMMYFUNCTION("""COMPUTED_VALUE"""),7106393)</f>
        <v>7106393</v>
      </c>
      <c r="G107" s="47">
        <f>IFERROR(__xludf.DUMMYFUNCTION("""COMPUTED_VALUE"""),45895.6458333333)</f>
        <v>45895.6458333333</v>
      </c>
      <c r="H107" s="48">
        <f>IFERROR(__xludf.DUMMYFUNCTION("""COMPUTED_VALUE"""),2523.3)</f>
        <v>2523.3</v>
      </c>
      <c r="I107" s="47">
        <f>IFERROR(__xludf.DUMMYFUNCTION("""COMPUTED_VALUE"""),45895.6458333333)</f>
        <v>45895.6458333333</v>
      </c>
      <c r="J107" s="48">
        <f>IFERROR(__xludf.DUMMYFUNCTION("""COMPUTED_VALUE"""),2468)</f>
        <v>2468</v>
      </c>
      <c r="K107" s="3">
        <f t="shared" si="2"/>
        <v>0</v>
      </c>
      <c r="L107" s="3">
        <f t="shared" si="3"/>
        <v>2481.4</v>
      </c>
      <c r="AF107" s="48">
        <f>'Adani Enterprises'!AF107</f>
        <v>0</v>
      </c>
      <c r="AG107" s="48">
        <f>'Adani Enterprises'!AG107</f>
        <v>0</v>
      </c>
      <c r="AH107" s="48">
        <f>'Adani Enterprises'!AH107</f>
        <v>0</v>
      </c>
      <c r="AI107" s="48">
        <f>'Adani Enterprises'!AI107</f>
        <v>0</v>
      </c>
      <c r="AJ107" s="48">
        <f>'Adani Enterprises'!AJ107</f>
        <v>0</v>
      </c>
      <c r="AK107" s="48">
        <f>'Adani Enterprises'!AK107</f>
        <v>0</v>
      </c>
      <c r="AL107" s="48">
        <f>'Adani Enterprises'!AL107</f>
        <v>0</v>
      </c>
    </row>
    <row r="108" customHeight="1" spans="1:38">
      <c r="A108" s="47">
        <f>IFERROR(__xludf.DUMMYFUNCTION("""COMPUTED_VALUE"""),45897.6458333333)</f>
        <v>45897.6458333333</v>
      </c>
      <c r="B108" s="48">
        <f>IFERROR(__xludf.DUMMYFUNCTION("""COMPUTED_VALUE"""),2489)</f>
        <v>2489</v>
      </c>
      <c r="C108" s="47">
        <f>IFERROR(__xludf.DUMMYFUNCTION("""COMPUTED_VALUE"""),45897.6458333333)</f>
        <v>45897.6458333333</v>
      </c>
      <c r="D108" s="48">
        <f>IFERROR(__xludf.DUMMYFUNCTION("""COMPUTED_VALUE"""),2465)</f>
        <v>2465</v>
      </c>
      <c r="E108" s="47">
        <f>IFERROR(__xludf.DUMMYFUNCTION("""COMPUTED_VALUE"""),45897.6458333333)</f>
        <v>45897.6458333333</v>
      </c>
      <c r="F108" s="48">
        <f>IFERROR(__xludf.DUMMYFUNCTION("""COMPUTED_VALUE"""),1485769)</f>
        <v>1485769</v>
      </c>
      <c r="G108" s="47">
        <f>IFERROR(__xludf.DUMMYFUNCTION("""COMPUTED_VALUE"""),45897.6458333333)</f>
        <v>45897.6458333333</v>
      </c>
      <c r="H108" s="48">
        <f>IFERROR(__xludf.DUMMYFUNCTION("""COMPUTED_VALUE"""),2528)</f>
        <v>2528</v>
      </c>
      <c r="I108" s="47">
        <f>IFERROR(__xludf.DUMMYFUNCTION("""COMPUTED_VALUE"""),45897.6458333333)</f>
        <v>45897.6458333333</v>
      </c>
      <c r="J108" s="48">
        <f>IFERROR(__xludf.DUMMYFUNCTION("""COMPUTED_VALUE"""),2465)</f>
        <v>2465</v>
      </c>
      <c r="K108" s="3">
        <f t="shared" si="2"/>
        <v>0</v>
      </c>
      <c r="L108" s="3">
        <f t="shared" si="3"/>
        <v>0</v>
      </c>
      <c r="AF108" s="48">
        <f>'Adani Enterprises'!AF108</f>
        <v>0</v>
      </c>
      <c r="AG108" s="48">
        <f>'Adani Enterprises'!AG108</f>
        <v>0</v>
      </c>
      <c r="AH108" s="48">
        <f>'Adani Enterprises'!AH108</f>
        <v>0</v>
      </c>
      <c r="AI108" s="48">
        <f>'Adani Enterprises'!AI108</f>
        <v>0</v>
      </c>
      <c r="AJ108" s="48">
        <f>'Adani Enterprises'!AJ108</f>
        <v>0</v>
      </c>
      <c r="AK108" s="48">
        <f>'Adani Enterprises'!AK108</f>
        <v>0</v>
      </c>
      <c r="AL108" s="48">
        <f>'Adani Enterprises'!AL108</f>
        <v>0</v>
      </c>
    </row>
    <row r="109" customHeight="1" spans="1:38">
      <c r="A109" s="47">
        <f>IFERROR(__xludf.DUMMYFUNCTION("""COMPUTED_VALUE"""),45898.6458333333)</f>
        <v>45898.6458333333</v>
      </c>
      <c r="B109" s="48">
        <f>IFERROR(__xludf.DUMMYFUNCTION("""COMPUTED_VALUE"""),2518.6)</f>
        <v>2518.6</v>
      </c>
      <c r="C109" s="47">
        <f>IFERROR(__xludf.DUMMYFUNCTION("""COMPUTED_VALUE"""),45898.6458333333)</f>
        <v>45898.6458333333</v>
      </c>
      <c r="D109" s="48">
        <f>IFERROR(__xludf.DUMMYFUNCTION("""COMPUTED_VALUE"""),2491)</f>
        <v>2491</v>
      </c>
      <c r="E109" s="47">
        <f>IFERROR(__xludf.DUMMYFUNCTION("""COMPUTED_VALUE"""),45898.6458333333)</f>
        <v>45898.6458333333</v>
      </c>
      <c r="F109" s="48">
        <f>IFERROR(__xludf.DUMMYFUNCTION("""COMPUTED_VALUE"""),1798653)</f>
        <v>1798653</v>
      </c>
      <c r="G109" s="47">
        <f>IFERROR(__xludf.DUMMYFUNCTION("""COMPUTED_VALUE"""),45898.6458333333)</f>
        <v>45898.6458333333</v>
      </c>
      <c r="H109" s="48">
        <f>IFERROR(__xludf.DUMMYFUNCTION("""COMPUTED_VALUE"""),2531.6)</f>
        <v>2531.6</v>
      </c>
      <c r="I109" s="47">
        <f>IFERROR(__xludf.DUMMYFUNCTION("""COMPUTED_VALUE"""),45898.6458333333)</f>
        <v>45898.6458333333</v>
      </c>
      <c r="J109" s="48">
        <f>IFERROR(__xludf.DUMMYFUNCTION("""COMPUTED_VALUE"""),2490)</f>
        <v>2490</v>
      </c>
      <c r="K109" s="3">
        <f t="shared" si="2"/>
        <v>0</v>
      </c>
      <c r="L109" s="3">
        <f t="shared" si="3"/>
        <v>0</v>
      </c>
      <c r="AF109" s="48">
        <f>'Adani Enterprises'!AF109</f>
        <v>0</v>
      </c>
      <c r="AG109" s="48">
        <f>'Adani Enterprises'!AG109</f>
        <v>0</v>
      </c>
      <c r="AH109" s="48">
        <f>'Adani Enterprises'!AH109</f>
        <v>0</v>
      </c>
      <c r="AI109" s="48">
        <f>'Adani Enterprises'!AI109</f>
        <v>0</v>
      </c>
      <c r="AJ109" s="48">
        <f>'Adani Enterprises'!AJ109</f>
        <v>0</v>
      </c>
      <c r="AK109" s="48">
        <f>'Adani Enterprises'!AK109</f>
        <v>0</v>
      </c>
      <c r="AL109" s="48">
        <f>'Adani Enterprises'!AL109</f>
        <v>0</v>
      </c>
    </row>
    <row r="110" customHeight="1" spans="1:38">
      <c r="A110" s="47">
        <f>IFERROR(__xludf.DUMMYFUNCTION("""COMPUTED_VALUE"""),45901.6458333333)</f>
        <v>45901.6458333333</v>
      </c>
      <c r="B110" s="48">
        <f>IFERROR(__xludf.DUMMYFUNCTION("""COMPUTED_VALUE"""),2570.2)</f>
        <v>2570.2</v>
      </c>
      <c r="C110" s="47">
        <f>IFERROR(__xludf.DUMMYFUNCTION("""COMPUTED_VALUE"""),45901.6458333333)</f>
        <v>45901.6458333333</v>
      </c>
      <c r="D110" s="48">
        <f>IFERROR(__xludf.DUMMYFUNCTION("""COMPUTED_VALUE"""),2518)</f>
        <v>2518</v>
      </c>
      <c r="E110" s="47">
        <f>IFERROR(__xludf.DUMMYFUNCTION("""COMPUTED_VALUE"""),45901.6458333333)</f>
        <v>45901.6458333333</v>
      </c>
      <c r="F110" s="48">
        <f>IFERROR(__xludf.DUMMYFUNCTION("""COMPUTED_VALUE"""),1314833)</f>
        <v>1314833</v>
      </c>
      <c r="G110" s="47">
        <f>IFERROR(__xludf.DUMMYFUNCTION("""COMPUTED_VALUE"""),45901.6458333333)</f>
        <v>45901.6458333333</v>
      </c>
      <c r="H110" s="48">
        <f>IFERROR(__xludf.DUMMYFUNCTION("""COMPUTED_VALUE"""),2577.8)</f>
        <v>2577.8</v>
      </c>
      <c r="I110" s="47">
        <f>IFERROR(__xludf.DUMMYFUNCTION("""COMPUTED_VALUE"""),45901.6458333333)</f>
        <v>45901.6458333333</v>
      </c>
      <c r="J110" s="48">
        <f>IFERROR(__xludf.DUMMYFUNCTION("""COMPUTED_VALUE"""),2515.1)</f>
        <v>2515.1</v>
      </c>
      <c r="K110" s="3">
        <f t="shared" si="2"/>
        <v>0</v>
      </c>
      <c r="L110" s="3">
        <f t="shared" si="3"/>
        <v>0</v>
      </c>
      <c r="AF110" s="48">
        <f>'Adani Enterprises'!AF110</f>
        <v>0</v>
      </c>
      <c r="AG110" s="48">
        <f>'Adani Enterprises'!AG110</f>
        <v>0</v>
      </c>
      <c r="AH110" s="48">
        <f>'Adani Enterprises'!AH110</f>
        <v>0</v>
      </c>
      <c r="AI110" s="48">
        <f>'Adani Enterprises'!AI110</f>
        <v>0</v>
      </c>
      <c r="AJ110" s="48">
        <f>'Adani Enterprises'!AJ110</f>
        <v>0</v>
      </c>
      <c r="AK110" s="48">
        <f>'Adani Enterprises'!AK110</f>
        <v>0</v>
      </c>
      <c r="AL110" s="48">
        <f>'Adani Enterprises'!AL110</f>
        <v>0</v>
      </c>
    </row>
    <row r="111" customHeight="1" spans="1:38">
      <c r="A111" s="47">
        <f>IFERROR(__xludf.DUMMYFUNCTION("""COMPUTED_VALUE"""),45902.6458333333)</f>
        <v>45902.6458333333</v>
      </c>
      <c r="B111" s="48">
        <f>IFERROR(__xludf.DUMMYFUNCTION("""COMPUTED_VALUE"""),2540)</f>
        <v>2540</v>
      </c>
      <c r="C111" s="47">
        <f>IFERROR(__xludf.DUMMYFUNCTION("""COMPUTED_VALUE"""),45902.6458333333)</f>
        <v>45902.6458333333</v>
      </c>
      <c r="D111" s="48">
        <f>IFERROR(__xludf.DUMMYFUNCTION("""COMPUTED_VALUE"""),2569)</f>
        <v>2569</v>
      </c>
      <c r="E111" s="47">
        <f>IFERROR(__xludf.DUMMYFUNCTION("""COMPUTED_VALUE"""),45902.6458333333)</f>
        <v>45902.6458333333</v>
      </c>
      <c r="F111" s="48">
        <f>IFERROR(__xludf.DUMMYFUNCTION("""COMPUTED_VALUE"""),1024054)</f>
        <v>1024054</v>
      </c>
      <c r="G111" s="47">
        <f>IFERROR(__xludf.DUMMYFUNCTION("""COMPUTED_VALUE"""),45902.6458333333)</f>
        <v>45902.6458333333</v>
      </c>
      <c r="H111" s="48">
        <f>IFERROR(__xludf.DUMMYFUNCTION("""COMPUTED_VALUE"""),2571.9)</f>
        <v>2571.9</v>
      </c>
      <c r="I111" s="47">
        <f>IFERROR(__xludf.DUMMYFUNCTION("""COMPUTED_VALUE"""),45902.6458333333)</f>
        <v>45902.6458333333</v>
      </c>
      <c r="J111" s="48">
        <f>IFERROR(__xludf.DUMMYFUNCTION("""COMPUTED_VALUE"""),2531)</f>
        <v>2531</v>
      </c>
      <c r="K111" s="3">
        <f t="shared" si="2"/>
        <v>0</v>
      </c>
      <c r="L111" s="3">
        <f t="shared" si="3"/>
        <v>0</v>
      </c>
      <c r="AF111" s="48">
        <f>'Adani Enterprises'!AF111</f>
        <v>0</v>
      </c>
      <c r="AG111" s="48">
        <f>'Adani Enterprises'!AG111</f>
        <v>0</v>
      </c>
      <c r="AH111" s="48">
        <f>'Adani Enterprises'!AH111</f>
        <v>0</v>
      </c>
      <c r="AI111" s="48">
        <f>'Adani Enterprises'!AI111</f>
        <v>0</v>
      </c>
      <c r="AJ111" s="48">
        <f>'Adani Enterprises'!AJ111</f>
        <v>0</v>
      </c>
      <c r="AK111" s="48">
        <f>'Adani Enterprises'!AK111</f>
        <v>0</v>
      </c>
      <c r="AL111" s="48">
        <f>'Adani Enterprises'!AL111</f>
        <v>0</v>
      </c>
    </row>
    <row r="112" customHeight="1" spans="1:38">
      <c r="A112" s="47">
        <f>IFERROR(__xludf.DUMMYFUNCTION("""COMPUTED_VALUE"""),45903.6458333333)</f>
        <v>45903.6458333333</v>
      </c>
      <c r="B112" s="48">
        <f>IFERROR(__xludf.DUMMYFUNCTION("""COMPUTED_VALUE"""),2553.9)</f>
        <v>2553.9</v>
      </c>
      <c r="C112" s="47">
        <f>IFERROR(__xludf.DUMMYFUNCTION("""COMPUTED_VALUE"""),45903.6458333333)</f>
        <v>45903.6458333333</v>
      </c>
      <c r="D112" s="48">
        <f>IFERROR(__xludf.DUMMYFUNCTION("""COMPUTED_VALUE"""),2530)</f>
        <v>2530</v>
      </c>
      <c r="E112" s="47">
        <f>IFERROR(__xludf.DUMMYFUNCTION("""COMPUTED_VALUE"""),45903.6458333333)</f>
        <v>45903.6458333333</v>
      </c>
      <c r="F112" s="48">
        <f>IFERROR(__xludf.DUMMYFUNCTION("""COMPUTED_VALUE"""),925847)</f>
        <v>925847</v>
      </c>
      <c r="G112" s="47">
        <f>IFERROR(__xludf.DUMMYFUNCTION("""COMPUTED_VALUE"""),45903.6458333333)</f>
        <v>45903.6458333333</v>
      </c>
      <c r="H112" s="48">
        <f>IFERROR(__xludf.DUMMYFUNCTION("""COMPUTED_VALUE"""),2565.1)</f>
        <v>2565.1</v>
      </c>
      <c r="I112" s="47">
        <f>IFERROR(__xludf.DUMMYFUNCTION("""COMPUTED_VALUE"""),45903.6458333333)</f>
        <v>45903.6458333333</v>
      </c>
      <c r="J112" s="48">
        <f>IFERROR(__xludf.DUMMYFUNCTION("""COMPUTED_VALUE"""),2527.3)</f>
        <v>2527.3</v>
      </c>
      <c r="K112" s="3">
        <f t="shared" si="2"/>
        <v>0</v>
      </c>
      <c r="L112" s="3">
        <f t="shared" si="3"/>
        <v>0</v>
      </c>
      <c r="AF112" s="48">
        <f>'Adani Enterprises'!AF112</f>
        <v>0</v>
      </c>
      <c r="AG112" s="48">
        <f>'Adani Enterprises'!AG112</f>
        <v>0</v>
      </c>
      <c r="AH112" s="48">
        <f>'Adani Enterprises'!AH112</f>
        <v>0</v>
      </c>
      <c r="AI112" s="48">
        <f>'Adani Enterprises'!AI112</f>
        <v>0</v>
      </c>
      <c r="AJ112" s="48">
        <f>'Adani Enterprises'!AJ112</f>
        <v>0</v>
      </c>
      <c r="AK112" s="48">
        <f>'Adani Enterprises'!AK112</f>
        <v>0</v>
      </c>
      <c r="AL112" s="48">
        <f>'Adani Enterprises'!AL112</f>
        <v>0</v>
      </c>
    </row>
    <row r="113" customHeight="1" spans="1:38">
      <c r="A113" s="47">
        <f>IFERROR(__xludf.DUMMYFUNCTION("""COMPUTED_VALUE"""),45904.6458333333)</f>
        <v>45904.6458333333</v>
      </c>
      <c r="B113" s="48">
        <f>IFERROR(__xludf.DUMMYFUNCTION("""COMPUTED_VALUE"""),2568.6)</f>
        <v>2568.6</v>
      </c>
      <c r="C113" s="47">
        <f>IFERROR(__xludf.DUMMYFUNCTION("""COMPUTED_VALUE"""),45904.6458333333)</f>
        <v>45904.6458333333</v>
      </c>
      <c r="D113" s="48">
        <f>IFERROR(__xludf.DUMMYFUNCTION("""COMPUTED_VALUE"""),2553.9)</f>
        <v>2553.9</v>
      </c>
      <c r="E113" s="47">
        <f>IFERROR(__xludf.DUMMYFUNCTION("""COMPUTED_VALUE"""),45904.6458333333)</f>
        <v>45904.6458333333</v>
      </c>
      <c r="F113" s="48">
        <f>IFERROR(__xludf.DUMMYFUNCTION("""COMPUTED_VALUE"""),933071)</f>
        <v>933071</v>
      </c>
      <c r="G113" s="47">
        <f>IFERROR(__xludf.DUMMYFUNCTION("""COMPUTED_VALUE"""),45904.6458333333)</f>
        <v>45904.6458333333</v>
      </c>
      <c r="H113" s="48">
        <f>IFERROR(__xludf.DUMMYFUNCTION("""COMPUTED_VALUE"""),2583)</f>
        <v>2583</v>
      </c>
      <c r="I113" s="47">
        <f>IFERROR(__xludf.DUMMYFUNCTION("""COMPUTED_VALUE"""),45904.6458333333)</f>
        <v>45904.6458333333</v>
      </c>
      <c r="J113" s="48">
        <f>IFERROR(__xludf.DUMMYFUNCTION("""COMPUTED_VALUE"""),2553)</f>
        <v>2553</v>
      </c>
      <c r="K113" s="3">
        <f t="shared" si="2"/>
        <v>0</v>
      </c>
      <c r="L113" s="3">
        <f t="shared" si="3"/>
        <v>0</v>
      </c>
      <c r="AF113" s="48">
        <f>'Adani Enterprises'!AF113</f>
        <v>0</v>
      </c>
      <c r="AG113" s="48">
        <f>'Adani Enterprises'!AG113</f>
        <v>0</v>
      </c>
      <c r="AH113" s="48">
        <f>'Adani Enterprises'!AH113</f>
        <v>0</v>
      </c>
      <c r="AI113" s="48">
        <f>'Adani Enterprises'!AI113</f>
        <v>0</v>
      </c>
      <c r="AJ113" s="48">
        <f>'Adani Enterprises'!AJ113</f>
        <v>0</v>
      </c>
      <c r="AK113" s="48">
        <f>'Adani Enterprises'!AK113</f>
        <v>0</v>
      </c>
      <c r="AL113" s="48">
        <f>'Adani Enterprises'!AL113</f>
        <v>0</v>
      </c>
    </row>
    <row r="114" customHeight="1" spans="1:38">
      <c r="A114" s="47">
        <f>IFERROR(__xludf.DUMMYFUNCTION("""COMPUTED_VALUE"""),45905.6458333333)</f>
        <v>45905.6458333333</v>
      </c>
      <c r="B114" s="48">
        <f>IFERROR(__xludf.DUMMYFUNCTION("""COMPUTED_VALUE"""),2579.9)</f>
        <v>2579.9</v>
      </c>
      <c r="C114" s="47">
        <f>IFERROR(__xludf.DUMMYFUNCTION("""COMPUTED_VALUE"""),45905.6458333333)</f>
        <v>45905.6458333333</v>
      </c>
      <c r="D114" s="48">
        <f>IFERROR(__xludf.DUMMYFUNCTION("""COMPUTED_VALUE"""),2565)</f>
        <v>2565</v>
      </c>
      <c r="E114" s="47">
        <f>IFERROR(__xludf.DUMMYFUNCTION("""COMPUTED_VALUE"""),45905.6458333333)</f>
        <v>45905.6458333333</v>
      </c>
      <c r="F114" s="48">
        <f>IFERROR(__xludf.DUMMYFUNCTION("""COMPUTED_VALUE"""),1153436)</f>
        <v>1153436</v>
      </c>
      <c r="G114" s="47">
        <f>IFERROR(__xludf.DUMMYFUNCTION("""COMPUTED_VALUE"""),45905.6458333333)</f>
        <v>45905.6458333333</v>
      </c>
      <c r="H114" s="48">
        <f>IFERROR(__xludf.DUMMYFUNCTION("""COMPUTED_VALUE"""),2602)</f>
        <v>2602</v>
      </c>
      <c r="I114" s="47">
        <f>IFERROR(__xludf.DUMMYFUNCTION("""COMPUTED_VALUE"""),45905.6458333333)</f>
        <v>45905.6458333333</v>
      </c>
      <c r="J114" s="48">
        <f>IFERROR(__xludf.DUMMYFUNCTION("""COMPUTED_VALUE"""),2565)</f>
        <v>2565</v>
      </c>
      <c r="K114" s="3">
        <f t="shared" si="2"/>
        <v>2579.9</v>
      </c>
      <c r="L114" s="3">
        <f t="shared" si="3"/>
        <v>0</v>
      </c>
      <c r="AF114" s="48">
        <f>'Adani Enterprises'!AF114</f>
        <v>0</v>
      </c>
      <c r="AG114" s="48">
        <f>'Adani Enterprises'!AG114</f>
        <v>0</v>
      </c>
      <c r="AH114" s="48">
        <f>'Adani Enterprises'!AH114</f>
        <v>0</v>
      </c>
      <c r="AI114" s="48">
        <f>'Adani Enterprises'!AI114</f>
        <v>0</v>
      </c>
      <c r="AJ114" s="48">
        <f>'Adani Enterprises'!AJ114</f>
        <v>0</v>
      </c>
      <c r="AK114" s="48">
        <f>'Adani Enterprises'!AK114</f>
        <v>0</v>
      </c>
      <c r="AL114" s="48">
        <f>'Adani Enterprises'!AL114</f>
        <v>0</v>
      </c>
    </row>
    <row r="115" customHeight="1" spans="1:38">
      <c r="A115" s="47">
        <f>IFERROR(__xludf.DUMMYFUNCTION("""COMPUTED_VALUE"""),45908.6458333333)</f>
        <v>45908.6458333333</v>
      </c>
      <c r="B115" s="48">
        <f>IFERROR(__xludf.DUMMYFUNCTION("""COMPUTED_VALUE"""),2530.8)</f>
        <v>2530.8</v>
      </c>
      <c r="C115" s="47">
        <f>IFERROR(__xludf.DUMMYFUNCTION("""COMPUTED_VALUE"""),45908.6458333333)</f>
        <v>45908.6458333333</v>
      </c>
      <c r="D115" s="48">
        <f>IFERROR(__xludf.DUMMYFUNCTION("""COMPUTED_VALUE"""),2579.9)</f>
        <v>2579.9</v>
      </c>
      <c r="E115" s="47">
        <f>IFERROR(__xludf.DUMMYFUNCTION("""COMPUTED_VALUE"""),45908.6458333333)</f>
        <v>45908.6458333333</v>
      </c>
      <c r="F115" s="48">
        <f>IFERROR(__xludf.DUMMYFUNCTION("""COMPUTED_VALUE"""),742880)</f>
        <v>742880</v>
      </c>
      <c r="G115" s="47">
        <f>IFERROR(__xludf.DUMMYFUNCTION("""COMPUTED_VALUE"""),45908.6458333333)</f>
        <v>45908.6458333333</v>
      </c>
      <c r="H115" s="48">
        <f>IFERROR(__xludf.DUMMYFUNCTION("""COMPUTED_VALUE"""),2589.6)</f>
        <v>2589.6</v>
      </c>
      <c r="I115" s="47">
        <f>IFERROR(__xludf.DUMMYFUNCTION("""COMPUTED_VALUE"""),45908.6458333333)</f>
        <v>45908.6458333333</v>
      </c>
      <c r="J115" s="48">
        <f>IFERROR(__xludf.DUMMYFUNCTION("""COMPUTED_VALUE"""),2526.4)</f>
        <v>2526.4</v>
      </c>
      <c r="K115" s="3">
        <f t="shared" si="2"/>
        <v>0</v>
      </c>
      <c r="L115" s="3">
        <f t="shared" si="3"/>
        <v>0</v>
      </c>
      <c r="AF115" s="48">
        <f>'Adani Enterprises'!AF115</f>
        <v>0</v>
      </c>
      <c r="AG115" s="48">
        <f>'Adani Enterprises'!AG115</f>
        <v>0</v>
      </c>
      <c r="AH115" s="48">
        <f>'Adani Enterprises'!AH115</f>
        <v>0</v>
      </c>
      <c r="AI115" s="48">
        <f>'Adani Enterprises'!AI115</f>
        <v>0</v>
      </c>
      <c r="AJ115" s="48">
        <f>'Adani Enterprises'!AJ115</f>
        <v>0</v>
      </c>
      <c r="AK115" s="48">
        <f>'Adani Enterprises'!AK115</f>
        <v>0</v>
      </c>
      <c r="AL115" s="48">
        <f>'Adani Enterprises'!AL115</f>
        <v>0</v>
      </c>
    </row>
    <row r="116" customHeight="1" spans="1:38">
      <c r="A116" s="47">
        <f>IFERROR(__xludf.DUMMYFUNCTION("""COMPUTED_VALUE"""),45909.6458333333)</f>
        <v>45909.6458333333</v>
      </c>
      <c r="B116" s="48">
        <f>IFERROR(__xludf.DUMMYFUNCTION("""COMPUTED_VALUE"""),2537.3)</f>
        <v>2537.3</v>
      </c>
      <c r="C116" s="47">
        <f>IFERROR(__xludf.DUMMYFUNCTION("""COMPUTED_VALUE"""),45909.6458333333)</f>
        <v>45909.6458333333</v>
      </c>
      <c r="D116" s="48">
        <f>IFERROR(__xludf.DUMMYFUNCTION("""COMPUTED_VALUE"""),2540)</f>
        <v>2540</v>
      </c>
      <c r="E116" s="47">
        <f>IFERROR(__xludf.DUMMYFUNCTION("""COMPUTED_VALUE"""),45909.6458333333)</f>
        <v>45909.6458333333</v>
      </c>
      <c r="F116" s="48">
        <f>IFERROR(__xludf.DUMMYFUNCTION("""COMPUTED_VALUE"""),702450)</f>
        <v>702450</v>
      </c>
      <c r="G116" s="47">
        <f>IFERROR(__xludf.DUMMYFUNCTION("""COMPUTED_VALUE"""),45909.6458333333)</f>
        <v>45909.6458333333</v>
      </c>
      <c r="H116" s="48">
        <f>IFERROR(__xludf.DUMMYFUNCTION("""COMPUTED_VALUE"""),2551.6)</f>
        <v>2551.6</v>
      </c>
      <c r="I116" s="47">
        <f>IFERROR(__xludf.DUMMYFUNCTION("""COMPUTED_VALUE"""),45909.6458333333)</f>
        <v>45909.6458333333</v>
      </c>
      <c r="J116" s="48">
        <f>IFERROR(__xludf.DUMMYFUNCTION("""COMPUTED_VALUE"""),2524.8)</f>
        <v>2524.8</v>
      </c>
      <c r="K116" s="3">
        <f t="shared" si="2"/>
        <v>0</v>
      </c>
      <c r="L116" s="3">
        <f t="shared" si="3"/>
        <v>0</v>
      </c>
      <c r="AF116" s="48">
        <f>'Adani Enterprises'!AF116</f>
        <v>0</v>
      </c>
      <c r="AG116" s="48">
        <f>'Adani Enterprises'!AG116</f>
        <v>0</v>
      </c>
      <c r="AH116" s="48">
        <f>'Adani Enterprises'!AH116</f>
        <v>0</v>
      </c>
      <c r="AI116" s="48">
        <f>'Adani Enterprises'!AI116</f>
        <v>0</v>
      </c>
      <c r="AJ116" s="48">
        <f>'Adani Enterprises'!AJ116</f>
        <v>0</v>
      </c>
      <c r="AK116" s="48">
        <f>'Adani Enterprises'!AK116</f>
        <v>0</v>
      </c>
      <c r="AL116" s="48">
        <f>'Adani Enterprises'!AL116</f>
        <v>0</v>
      </c>
    </row>
    <row r="117" customHeight="1" spans="1:38">
      <c r="A117" s="47">
        <f>IFERROR(__xludf.DUMMYFUNCTION("""COMPUTED_VALUE"""),45910.6458333333)</f>
        <v>45910.6458333333</v>
      </c>
      <c r="B117" s="48">
        <f>IFERROR(__xludf.DUMMYFUNCTION("""COMPUTED_VALUE"""),2543.3)</f>
        <v>2543.3</v>
      </c>
      <c r="C117" s="47">
        <f>IFERROR(__xludf.DUMMYFUNCTION("""COMPUTED_VALUE"""),45910.6458333333)</f>
        <v>45910.6458333333</v>
      </c>
      <c r="D117" s="48">
        <f>IFERROR(__xludf.DUMMYFUNCTION("""COMPUTED_VALUE"""),2537.3)</f>
        <v>2537.3</v>
      </c>
      <c r="E117" s="47">
        <f>IFERROR(__xludf.DUMMYFUNCTION("""COMPUTED_VALUE"""),45910.6458333333)</f>
        <v>45910.6458333333</v>
      </c>
      <c r="F117" s="48">
        <f>IFERROR(__xludf.DUMMYFUNCTION("""COMPUTED_VALUE"""),520584)</f>
        <v>520584</v>
      </c>
      <c r="G117" s="47">
        <f>IFERROR(__xludf.DUMMYFUNCTION("""COMPUTED_VALUE"""),45910.6458333333)</f>
        <v>45910.6458333333</v>
      </c>
      <c r="H117" s="48">
        <f>IFERROR(__xludf.DUMMYFUNCTION("""COMPUTED_VALUE"""),2555)</f>
        <v>2555</v>
      </c>
      <c r="I117" s="47">
        <f>IFERROR(__xludf.DUMMYFUNCTION("""COMPUTED_VALUE"""),45910.6458333333)</f>
        <v>45910.6458333333</v>
      </c>
      <c r="J117" s="48">
        <f>IFERROR(__xludf.DUMMYFUNCTION("""COMPUTED_VALUE"""),2525.1)</f>
        <v>2525.1</v>
      </c>
      <c r="K117" s="3">
        <f t="shared" si="2"/>
        <v>0</v>
      </c>
      <c r="L117" s="3">
        <f t="shared" si="3"/>
        <v>0</v>
      </c>
      <c r="AF117" s="48">
        <f>'Adani Enterprises'!AF117</f>
        <v>0</v>
      </c>
      <c r="AG117" s="48">
        <f>'Adani Enterprises'!AG117</f>
        <v>0</v>
      </c>
      <c r="AH117" s="48">
        <f>'Adani Enterprises'!AH117</f>
        <v>0</v>
      </c>
      <c r="AI117" s="48">
        <f>'Adani Enterprises'!AI117</f>
        <v>0</v>
      </c>
      <c r="AJ117" s="48">
        <f>'Adani Enterprises'!AJ117</f>
        <v>0</v>
      </c>
      <c r="AK117" s="48">
        <f>'Adani Enterprises'!AK117</f>
        <v>0</v>
      </c>
      <c r="AL117" s="48">
        <f>'Adani Enterprises'!AL117</f>
        <v>0</v>
      </c>
    </row>
    <row r="118" customHeight="1" spans="1:38">
      <c r="A118" s="47">
        <f>IFERROR(__xludf.DUMMYFUNCTION("""COMPUTED_VALUE"""),45911.6458333333)</f>
        <v>45911.6458333333</v>
      </c>
      <c r="B118" s="48">
        <f>IFERROR(__xludf.DUMMYFUNCTION("""COMPUTED_VALUE"""),2555.9)</f>
        <v>2555.9</v>
      </c>
      <c r="C118" s="47">
        <f>IFERROR(__xludf.DUMMYFUNCTION("""COMPUTED_VALUE"""),45911.6458333333)</f>
        <v>45911.6458333333</v>
      </c>
      <c r="D118" s="48">
        <f>IFERROR(__xludf.DUMMYFUNCTION("""COMPUTED_VALUE"""),2541)</f>
        <v>2541</v>
      </c>
      <c r="E118" s="47">
        <f>IFERROR(__xludf.DUMMYFUNCTION("""COMPUTED_VALUE"""),45911.6458333333)</f>
        <v>45911.6458333333</v>
      </c>
      <c r="F118" s="48">
        <f>IFERROR(__xludf.DUMMYFUNCTION("""COMPUTED_VALUE"""),423961)</f>
        <v>423961</v>
      </c>
      <c r="G118" s="47">
        <f>IFERROR(__xludf.DUMMYFUNCTION("""COMPUTED_VALUE"""),45911.6458333333)</f>
        <v>45911.6458333333</v>
      </c>
      <c r="H118" s="48">
        <f>IFERROR(__xludf.DUMMYFUNCTION("""COMPUTED_VALUE"""),2559.5)</f>
        <v>2559.5</v>
      </c>
      <c r="I118" s="47">
        <f>IFERROR(__xludf.DUMMYFUNCTION("""COMPUTED_VALUE"""),45911.6458333333)</f>
        <v>45911.6458333333</v>
      </c>
      <c r="J118" s="48">
        <f>IFERROR(__xludf.DUMMYFUNCTION("""COMPUTED_VALUE"""),2535.7)</f>
        <v>2535.7</v>
      </c>
      <c r="K118" s="3">
        <f t="shared" si="2"/>
        <v>0</v>
      </c>
      <c r="L118" s="3">
        <f t="shared" si="3"/>
        <v>0</v>
      </c>
      <c r="AF118" s="48">
        <f>'Adani Enterprises'!AF118</f>
        <v>0</v>
      </c>
      <c r="AG118" s="48">
        <f>'Adani Enterprises'!AG118</f>
        <v>0</v>
      </c>
      <c r="AH118" s="48">
        <f>'Adani Enterprises'!AH118</f>
        <v>0</v>
      </c>
      <c r="AI118" s="48">
        <f>'Adani Enterprises'!AI118</f>
        <v>0</v>
      </c>
      <c r="AJ118" s="48">
        <f>'Adani Enterprises'!AJ118</f>
        <v>0</v>
      </c>
      <c r="AK118" s="48">
        <f>'Adani Enterprises'!AK118</f>
        <v>0</v>
      </c>
      <c r="AL118" s="48">
        <f>'Adani Enterprises'!AL118</f>
        <v>0</v>
      </c>
    </row>
    <row r="119" customHeight="1" spans="1:38">
      <c r="A119" s="47">
        <f>IFERROR(__xludf.DUMMYFUNCTION("""COMPUTED_VALUE"""),45912.6458333333)</f>
        <v>45912.6458333333</v>
      </c>
      <c r="B119" s="48">
        <f>IFERROR(__xludf.DUMMYFUNCTION("""COMPUTED_VALUE"""),2546.3)</f>
        <v>2546.3</v>
      </c>
      <c r="C119" s="47">
        <f>IFERROR(__xludf.DUMMYFUNCTION("""COMPUTED_VALUE"""),45912.6458333333)</f>
        <v>45912.6458333333</v>
      </c>
      <c r="D119" s="48">
        <f>IFERROR(__xludf.DUMMYFUNCTION("""COMPUTED_VALUE"""),2560)</f>
        <v>2560</v>
      </c>
      <c r="E119" s="47">
        <f>IFERROR(__xludf.DUMMYFUNCTION("""COMPUTED_VALUE"""),45912.6458333333)</f>
        <v>45912.6458333333</v>
      </c>
      <c r="F119" s="48">
        <f>IFERROR(__xludf.DUMMYFUNCTION("""COMPUTED_VALUE"""),547539)</f>
        <v>547539</v>
      </c>
      <c r="G119" s="47">
        <f>IFERROR(__xludf.DUMMYFUNCTION("""COMPUTED_VALUE"""),45912.6458333333)</f>
        <v>45912.6458333333</v>
      </c>
      <c r="H119" s="48">
        <f>IFERROR(__xludf.DUMMYFUNCTION("""COMPUTED_VALUE"""),2568.3)</f>
        <v>2568.3</v>
      </c>
      <c r="I119" s="47">
        <f>IFERROR(__xludf.DUMMYFUNCTION("""COMPUTED_VALUE"""),45912.6458333333)</f>
        <v>45912.6458333333</v>
      </c>
      <c r="J119" s="48">
        <f>IFERROR(__xludf.DUMMYFUNCTION("""COMPUTED_VALUE"""),2537.2)</f>
        <v>2537.2</v>
      </c>
      <c r="K119" s="3">
        <f t="shared" si="2"/>
        <v>0</v>
      </c>
      <c r="L119" s="3">
        <f t="shared" si="3"/>
        <v>0</v>
      </c>
      <c r="AF119" s="48">
        <f>'Adani Enterprises'!AF119</f>
        <v>0</v>
      </c>
      <c r="AG119" s="48">
        <f>'Adani Enterprises'!AG119</f>
        <v>0</v>
      </c>
      <c r="AH119" s="48">
        <f>'Adani Enterprises'!AH119</f>
        <v>0</v>
      </c>
      <c r="AI119" s="48">
        <f>'Adani Enterprises'!AI119</f>
        <v>0</v>
      </c>
      <c r="AJ119" s="48">
        <f>'Adani Enterprises'!AJ119</f>
        <v>0</v>
      </c>
      <c r="AK119" s="48">
        <f>'Adani Enterprises'!AK119</f>
        <v>0</v>
      </c>
      <c r="AL119" s="48">
        <f>'Adani Enterprises'!AL119</f>
        <v>0</v>
      </c>
    </row>
    <row r="120" customHeight="1" spans="1:38">
      <c r="A120" s="47">
        <f>IFERROR(__xludf.DUMMYFUNCTION("""COMPUTED_VALUE"""),45915.6458333333)</f>
        <v>45915.6458333333</v>
      </c>
      <c r="B120" s="48">
        <f>IFERROR(__xludf.DUMMYFUNCTION("""COMPUTED_VALUE"""),2502.6)</f>
        <v>2502.6</v>
      </c>
      <c r="C120" s="47">
        <f>IFERROR(__xludf.DUMMYFUNCTION("""COMPUTED_VALUE"""),45915.6458333333)</f>
        <v>45915.6458333333</v>
      </c>
      <c r="D120" s="48">
        <f>IFERROR(__xludf.DUMMYFUNCTION("""COMPUTED_VALUE"""),2535.1)</f>
        <v>2535.1</v>
      </c>
      <c r="E120" s="47">
        <f>IFERROR(__xludf.DUMMYFUNCTION("""COMPUTED_VALUE"""),45915.6458333333)</f>
        <v>45915.6458333333</v>
      </c>
      <c r="F120" s="48">
        <f>IFERROR(__xludf.DUMMYFUNCTION("""COMPUTED_VALUE"""),583051)</f>
        <v>583051</v>
      </c>
      <c r="G120" s="47">
        <f>IFERROR(__xludf.DUMMYFUNCTION("""COMPUTED_VALUE"""),45915.6458333333)</f>
        <v>45915.6458333333</v>
      </c>
      <c r="H120" s="48">
        <f>IFERROR(__xludf.DUMMYFUNCTION("""COMPUTED_VALUE"""),2543.5)</f>
        <v>2543.5</v>
      </c>
      <c r="I120" s="47">
        <f>IFERROR(__xludf.DUMMYFUNCTION("""COMPUTED_VALUE"""),45915.6458333333)</f>
        <v>45915.6458333333</v>
      </c>
      <c r="J120" s="48">
        <f>IFERROR(__xludf.DUMMYFUNCTION("""COMPUTED_VALUE"""),2498)</f>
        <v>2498</v>
      </c>
      <c r="K120" s="3">
        <f t="shared" si="2"/>
        <v>0</v>
      </c>
      <c r="L120" s="3">
        <f t="shared" si="3"/>
        <v>0</v>
      </c>
      <c r="AF120" s="48">
        <f>'Adani Enterprises'!AF120</f>
        <v>0</v>
      </c>
      <c r="AG120" s="48">
        <f>'Adani Enterprises'!AG120</f>
        <v>0</v>
      </c>
      <c r="AH120" s="48">
        <f>'Adani Enterprises'!AH120</f>
        <v>0</v>
      </c>
      <c r="AI120" s="48">
        <f>'Adani Enterprises'!AI120</f>
        <v>0</v>
      </c>
      <c r="AJ120" s="48">
        <f>'Adani Enterprises'!AJ120</f>
        <v>0</v>
      </c>
      <c r="AK120" s="48">
        <f>'Adani Enterprises'!AK120</f>
        <v>0</v>
      </c>
      <c r="AL120" s="48">
        <f>'Adani Enterprises'!AL120</f>
        <v>0</v>
      </c>
    </row>
    <row r="121" customHeight="1" spans="1:38">
      <c r="A121" s="47">
        <f>IFERROR(__xludf.DUMMYFUNCTION("""COMPUTED_VALUE"""),45916.6458333333)</f>
        <v>45916.6458333333</v>
      </c>
      <c r="B121" s="48">
        <f>IFERROR(__xludf.DUMMYFUNCTION("""COMPUTED_VALUE"""),2480.9)</f>
        <v>2480.9</v>
      </c>
      <c r="C121" s="47">
        <f>IFERROR(__xludf.DUMMYFUNCTION("""COMPUTED_VALUE"""),45916.6458333333)</f>
        <v>45916.6458333333</v>
      </c>
      <c r="D121" s="48">
        <f>IFERROR(__xludf.DUMMYFUNCTION("""COMPUTED_VALUE"""),2495)</f>
        <v>2495</v>
      </c>
      <c r="E121" s="47">
        <f>IFERROR(__xludf.DUMMYFUNCTION("""COMPUTED_VALUE"""),45916.6458333333)</f>
        <v>45916.6458333333</v>
      </c>
      <c r="F121" s="48">
        <f>IFERROR(__xludf.DUMMYFUNCTION("""COMPUTED_VALUE"""),760790)</f>
        <v>760790</v>
      </c>
      <c r="G121" s="47">
        <f>IFERROR(__xludf.DUMMYFUNCTION("""COMPUTED_VALUE"""),45916.6458333333)</f>
        <v>45916.6458333333</v>
      </c>
      <c r="H121" s="48">
        <f>IFERROR(__xludf.DUMMYFUNCTION("""COMPUTED_VALUE"""),2509.9)</f>
        <v>2509.9</v>
      </c>
      <c r="I121" s="47">
        <f>IFERROR(__xludf.DUMMYFUNCTION("""COMPUTED_VALUE"""),45916.6458333333)</f>
        <v>45916.6458333333</v>
      </c>
      <c r="J121" s="48">
        <f>IFERROR(__xludf.DUMMYFUNCTION("""COMPUTED_VALUE"""),2474.5)</f>
        <v>2474.5</v>
      </c>
      <c r="K121" s="3">
        <f t="shared" si="2"/>
        <v>0</v>
      </c>
      <c r="L121" s="3">
        <f t="shared" si="3"/>
        <v>0</v>
      </c>
      <c r="AF121" s="48">
        <f>'Adani Enterprises'!AF121</f>
        <v>0</v>
      </c>
      <c r="AG121" s="48">
        <f>'Adani Enterprises'!AG121</f>
        <v>0</v>
      </c>
      <c r="AH121" s="48">
        <f>'Adani Enterprises'!AH121</f>
        <v>0</v>
      </c>
      <c r="AI121" s="48">
        <f>'Adani Enterprises'!AI121</f>
        <v>0</v>
      </c>
      <c r="AJ121" s="48">
        <f>'Adani Enterprises'!AJ121</f>
        <v>0</v>
      </c>
      <c r="AK121" s="48">
        <f>'Adani Enterprises'!AK121</f>
        <v>0</v>
      </c>
      <c r="AL121" s="48">
        <f>'Adani Enterprises'!AL121</f>
        <v>0</v>
      </c>
    </row>
    <row r="122" customHeight="1" spans="1:38">
      <c r="A122" s="47">
        <f>IFERROR(__xludf.DUMMYFUNCTION("""COMPUTED_VALUE"""),45917.6458333333)</f>
        <v>45917.6458333333</v>
      </c>
      <c r="B122" s="48">
        <f>IFERROR(__xludf.DUMMYFUNCTION("""COMPUTED_VALUE"""),2493.6)</f>
        <v>2493.6</v>
      </c>
      <c r="C122" s="47">
        <f>IFERROR(__xludf.DUMMYFUNCTION("""COMPUTED_VALUE"""),45917.6458333333)</f>
        <v>45917.6458333333</v>
      </c>
      <c r="D122" s="48">
        <f>IFERROR(__xludf.DUMMYFUNCTION("""COMPUTED_VALUE"""),2482)</f>
        <v>2482</v>
      </c>
      <c r="E122" s="47">
        <f>IFERROR(__xludf.DUMMYFUNCTION("""COMPUTED_VALUE"""),45917.6458333333)</f>
        <v>45917.6458333333</v>
      </c>
      <c r="F122" s="48">
        <f>IFERROR(__xludf.DUMMYFUNCTION("""COMPUTED_VALUE"""),359627)</f>
        <v>359627</v>
      </c>
      <c r="G122" s="47">
        <f>IFERROR(__xludf.DUMMYFUNCTION("""COMPUTED_VALUE"""),45917.6458333333)</f>
        <v>45917.6458333333</v>
      </c>
      <c r="H122" s="48">
        <f>IFERROR(__xludf.DUMMYFUNCTION("""COMPUTED_VALUE"""),2496.9)</f>
        <v>2496.9</v>
      </c>
      <c r="I122" s="47">
        <f>IFERROR(__xludf.DUMMYFUNCTION("""COMPUTED_VALUE"""),45917.6458333333)</f>
        <v>45917.6458333333</v>
      </c>
      <c r="J122" s="48">
        <f>IFERROR(__xludf.DUMMYFUNCTION("""COMPUTED_VALUE"""),2480.8)</f>
        <v>2480.8</v>
      </c>
      <c r="K122" s="3">
        <f t="shared" si="2"/>
        <v>0</v>
      </c>
      <c r="L122" s="3">
        <f t="shared" si="3"/>
        <v>0</v>
      </c>
      <c r="AF122" s="48">
        <f>'Adani Enterprises'!AF122</f>
        <v>0</v>
      </c>
      <c r="AG122" s="48">
        <f>'Adani Enterprises'!AG122</f>
        <v>0</v>
      </c>
      <c r="AH122" s="48">
        <f>'Adani Enterprises'!AH122</f>
        <v>0</v>
      </c>
      <c r="AI122" s="48">
        <f>'Adani Enterprises'!AI122</f>
        <v>0</v>
      </c>
      <c r="AJ122" s="48">
        <f>'Adani Enterprises'!AJ122</f>
        <v>0</v>
      </c>
      <c r="AK122" s="48">
        <f>'Adani Enterprises'!AK122</f>
        <v>0</v>
      </c>
      <c r="AL122" s="48">
        <f>'Adani Enterprises'!AL122</f>
        <v>0</v>
      </c>
    </row>
    <row r="123" customHeight="1" spans="1:38">
      <c r="A123" s="47">
        <f>IFERROR(__xludf.DUMMYFUNCTION("""COMPUTED_VALUE"""),45918.6458333333)</f>
        <v>45918.6458333333</v>
      </c>
      <c r="B123" s="48">
        <f>IFERROR(__xludf.DUMMYFUNCTION("""COMPUTED_VALUE"""),2478.7)</f>
        <v>2478.7</v>
      </c>
      <c r="C123" s="47">
        <f>IFERROR(__xludf.DUMMYFUNCTION("""COMPUTED_VALUE"""),45918.6458333333)</f>
        <v>45918.6458333333</v>
      </c>
      <c r="D123" s="48">
        <f>IFERROR(__xludf.DUMMYFUNCTION("""COMPUTED_VALUE"""),2497.9)</f>
        <v>2497.9</v>
      </c>
      <c r="E123" s="47">
        <f>IFERROR(__xludf.DUMMYFUNCTION("""COMPUTED_VALUE"""),45918.6458333333)</f>
        <v>45918.6458333333</v>
      </c>
      <c r="F123" s="48">
        <f>IFERROR(__xludf.DUMMYFUNCTION("""COMPUTED_VALUE"""),400796)</f>
        <v>400796</v>
      </c>
      <c r="G123" s="47">
        <f>IFERROR(__xludf.DUMMYFUNCTION("""COMPUTED_VALUE"""),45918.6458333333)</f>
        <v>45918.6458333333</v>
      </c>
      <c r="H123" s="48">
        <f>IFERROR(__xludf.DUMMYFUNCTION("""COMPUTED_VALUE"""),2506.2)</f>
        <v>2506.2</v>
      </c>
      <c r="I123" s="47">
        <f>IFERROR(__xludf.DUMMYFUNCTION("""COMPUTED_VALUE"""),45918.6458333333)</f>
        <v>45918.6458333333</v>
      </c>
      <c r="J123" s="48">
        <f>IFERROR(__xludf.DUMMYFUNCTION("""COMPUTED_VALUE"""),2469.3)</f>
        <v>2469.3</v>
      </c>
      <c r="K123" s="3">
        <f t="shared" si="2"/>
        <v>0</v>
      </c>
      <c r="L123" s="3">
        <f t="shared" si="3"/>
        <v>0</v>
      </c>
      <c r="AF123" s="48">
        <f>'Adani Enterprises'!AF123</f>
        <v>0</v>
      </c>
      <c r="AG123" s="48">
        <f>'Adani Enterprises'!AG123</f>
        <v>0</v>
      </c>
      <c r="AH123" s="48">
        <f>'Adani Enterprises'!AH123</f>
        <v>0</v>
      </c>
      <c r="AI123" s="48">
        <f>'Adani Enterprises'!AI123</f>
        <v>0</v>
      </c>
      <c r="AJ123" s="48">
        <f>'Adani Enterprises'!AJ123</f>
        <v>0</v>
      </c>
      <c r="AK123" s="48">
        <f>'Adani Enterprises'!AK123</f>
        <v>0</v>
      </c>
      <c r="AL123" s="48">
        <f>'Adani Enterprises'!AL123</f>
        <v>0</v>
      </c>
    </row>
    <row r="124" customHeight="1" spans="1:38">
      <c r="A124" s="47">
        <f>IFERROR(__xludf.DUMMYFUNCTION("""COMPUTED_VALUE"""),45919.6458333333)</f>
        <v>45919.6458333333</v>
      </c>
      <c r="B124" s="48">
        <f>IFERROR(__xludf.DUMMYFUNCTION("""COMPUTED_VALUE"""),2481.7)</f>
        <v>2481.7</v>
      </c>
      <c r="C124" s="47">
        <f>IFERROR(__xludf.DUMMYFUNCTION("""COMPUTED_VALUE"""),45919.6458333333)</f>
        <v>45919.6458333333</v>
      </c>
      <c r="D124" s="48">
        <f>IFERROR(__xludf.DUMMYFUNCTION("""COMPUTED_VALUE"""),2475)</f>
        <v>2475</v>
      </c>
      <c r="E124" s="47">
        <f>IFERROR(__xludf.DUMMYFUNCTION("""COMPUTED_VALUE"""),45919.6458333333)</f>
        <v>45919.6458333333</v>
      </c>
      <c r="F124" s="48">
        <f>IFERROR(__xludf.DUMMYFUNCTION("""COMPUTED_VALUE"""),3731525)</f>
        <v>3731525</v>
      </c>
      <c r="G124" s="47">
        <f>IFERROR(__xludf.DUMMYFUNCTION("""COMPUTED_VALUE"""),45919.6458333333)</f>
        <v>45919.6458333333</v>
      </c>
      <c r="H124" s="48">
        <f>IFERROR(__xludf.DUMMYFUNCTION("""COMPUTED_VALUE"""),2509.5)</f>
        <v>2509.5</v>
      </c>
      <c r="I124" s="47">
        <f>IFERROR(__xludf.DUMMYFUNCTION("""COMPUTED_VALUE"""),45919.6458333333)</f>
        <v>45919.6458333333</v>
      </c>
      <c r="J124" s="48">
        <f>IFERROR(__xludf.DUMMYFUNCTION("""COMPUTED_VALUE"""),2468.5)</f>
        <v>2468.5</v>
      </c>
      <c r="K124" s="3">
        <f t="shared" si="2"/>
        <v>0</v>
      </c>
      <c r="L124" s="3">
        <f t="shared" si="3"/>
        <v>0</v>
      </c>
      <c r="AF124" s="48">
        <f>'Adani Enterprises'!AF124</f>
        <v>0</v>
      </c>
      <c r="AG124" s="48">
        <f>'Adani Enterprises'!AG124</f>
        <v>0</v>
      </c>
      <c r="AH124" s="48">
        <f>'Adani Enterprises'!AH124</f>
        <v>0</v>
      </c>
      <c r="AI124" s="48">
        <f>'Adani Enterprises'!AI124</f>
        <v>0</v>
      </c>
      <c r="AJ124" s="48">
        <f>'Adani Enterprises'!AJ124</f>
        <v>0</v>
      </c>
      <c r="AK124" s="48">
        <f>'Adani Enterprises'!AK124</f>
        <v>0</v>
      </c>
      <c r="AL124" s="48">
        <f>'Adani Enterprises'!AL124</f>
        <v>0</v>
      </c>
    </row>
    <row r="125" customHeight="1" spans="1:38">
      <c r="A125" s="47">
        <f>IFERROR(__xludf.DUMMYFUNCTION("""COMPUTED_VALUE"""),45922.6458333333)</f>
        <v>45922.6458333333</v>
      </c>
      <c r="B125" s="48">
        <f>IFERROR(__xludf.DUMMYFUNCTION("""COMPUTED_VALUE"""),2482.7)</f>
        <v>2482.7</v>
      </c>
      <c r="C125" s="47">
        <f>IFERROR(__xludf.DUMMYFUNCTION("""COMPUTED_VALUE"""),45922.6458333333)</f>
        <v>45922.6458333333</v>
      </c>
      <c r="D125" s="48">
        <f>IFERROR(__xludf.DUMMYFUNCTION("""COMPUTED_VALUE"""),2494.1)</f>
        <v>2494.1</v>
      </c>
      <c r="E125" s="47">
        <f>IFERROR(__xludf.DUMMYFUNCTION("""COMPUTED_VALUE"""),45922.6458333333)</f>
        <v>45922.6458333333</v>
      </c>
      <c r="F125" s="48">
        <f>IFERROR(__xludf.DUMMYFUNCTION("""COMPUTED_VALUE"""),872806)</f>
        <v>872806</v>
      </c>
      <c r="G125" s="47">
        <f>IFERROR(__xludf.DUMMYFUNCTION("""COMPUTED_VALUE"""),45922.6458333333)</f>
        <v>45922.6458333333</v>
      </c>
      <c r="H125" s="48">
        <f>IFERROR(__xludf.DUMMYFUNCTION("""COMPUTED_VALUE"""),2503)</f>
        <v>2503</v>
      </c>
      <c r="I125" s="47">
        <f>IFERROR(__xludf.DUMMYFUNCTION("""COMPUTED_VALUE"""),45922.6458333333)</f>
        <v>45922.6458333333</v>
      </c>
      <c r="J125" s="48">
        <f>IFERROR(__xludf.DUMMYFUNCTION("""COMPUTED_VALUE"""),2474.1)</f>
        <v>2474.1</v>
      </c>
      <c r="K125" s="3">
        <f t="shared" si="2"/>
        <v>0</v>
      </c>
      <c r="L125" s="3">
        <f t="shared" si="3"/>
        <v>0</v>
      </c>
      <c r="AF125" s="48">
        <f>'Adani Enterprises'!AF125</f>
        <v>0</v>
      </c>
      <c r="AG125" s="48">
        <f>'Adani Enterprises'!AG125</f>
        <v>0</v>
      </c>
      <c r="AH125" s="48">
        <f>'Adani Enterprises'!AH125</f>
        <v>0</v>
      </c>
      <c r="AI125" s="48">
        <f>'Adani Enterprises'!AI125</f>
        <v>0</v>
      </c>
      <c r="AJ125" s="48">
        <f>'Adani Enterprises'!AJ125</f>
        <v>0</v>
      </c>
      <c r="AK125" s="48">
        <f>'Adani Enterprises'!AK125</f>
        <v>0</v>
      </c>
      <c r="AL125" s="48">
        <f>'Adani Enterprises'!AL125</f>
        <v>0</v>
      </c>
    </row>
    <row r="126" customHeight="1" spans="1:38">
      <c r="A126" s="47">
        <f>IFERROR(__xludf.DUMMYFUNCTION("""COMPUTED_VALUE"""),45923.6458333333)</f>
        <v>45923.6458333333</v>
      </c>
      <c r="B126" s="48">
        <f>IFERROR(__xludf.DUMMYFUNCTION("""COMPUTED_VALUE"""),2446.9)</f>
        <v>2446.9</v>
      </c>
      <c r="C126" s="47">
        <f>IFERROR(__xludf.DUMMYFUNCTION("""COMPUTED_VALUE"""),45923.6458333333)</f>
        <v>45923.6458333333</v>
      </c>
      <c r="D126" s="48">
        <f>IFERROR(__xludf.DUMMYFUNCTION("""COMPUTED_VALUE"""),2472.1)</f>
        <v>2472.1</v>
      </c>
      <c r="E126" s="47">
        <f>IFERROR(__xludf.DUMMYFUNCTION("""COMPUTED_VALUE"""),45923.6458333333)</f>
        <v>45923.6458333333</v>
      </c>
      <c r="F126" s="48">
        <f>IFERROR(__xludf.DUMMYFUNCTION("""COMPUTED_VALUE"""),1332111)</f>
        <v>1332111</v>
      </c>
      <c r="G126" s="47">
        <f>IFERROR(__xludf.DUMMYFUNCTION("""COMPUTED_VALUE"""),45923.6458333333)</f>
        <v>45923.6458333333</v>
      </c>
      <c r="H126" s="48">
        <f>IFERROR(__xludf.DUMMYFUNCTION("""COMPUTED_VALUE"""),2483.8)</f>
        <v>2483.8</v>
      </c>
      <c r="I126" s="47">
        <f>IFERROR(__xludf.DUMMYFUNCTION("""COMPUTED_VALUE"""),45923.6458333333)</f>
        <v>45923.6458333333</v>
      </c>
      <c r="J126" s="48">
        <f>IFERROR(__xludf.DUMMYFUNCTION("""COMPUTED_VALUE"""),2428)</f>
        <v>2428</v>
      </c>
      <c r="AF126" s="48">
        <f>'Adani Enterprises'!AF126</f>
        <v>0</v>
      </c>
      <c r="AG126" s="48">
        <f>'Adani Enterprises'!AG126</f>
        <v>0</v>
      </c>
      <c r="AH126" s="48">
        <f>'Adani Enterprises'!AH126</f>
        <v>0</v>
      </c>
      <c r="AI126" s="48">
        <f>'Adani Enterprises'!AI126</f>
        <v>0</v>
      </c>
      <c r="AJ126" s="48">
        <f>'Adani Enterprises'!AJ126</f>
        <v>0</v>
      </c>
      <c r="AK126" s="48">
        <f>'Adani Enterprises'!AK126</f>
        <v>0</v>
      </c>
      <c r="AL126" s="48">
        <f>'Adani Enterprises'!AL126</f>
        <v>0</v>
      </c>
    </row>
    <row r="127" customHeight="1" spans="1:38">
      <c r="A127" s="47">
        <f>IFERROR(__xludf.DUMMYFUNCTION("""COMPUTED_VALUE"""),45924.6458333333)</f>
        <v>45924.6458333333</v>
      </c>
      <c r="B127" s="48">
        <f>IFERROR(__xludf.DUMMYFUNCTION("""COMPUTED_VALUE"""),2457.2)</f>
        <v>2457.2</v>
      </c>
      <c r="C127" s="47">
        <f>IFERROR(__xludf.DUMMYFUNCTION("""COMPUTED_VALUE"""),45924.6458333333)</f>
        <v>45924.6458333333</v>
      </c>
      <c r="D127" s="48">
        <f>IFERROR(__xludf.DUMMYFUNCTION("""COMPUTED_VALUE"""),2446)</f>
        <v>2446</v>
      </c>
      <c r="E127" s="47">
        <f>IFERROR(__xludf.DUMMYFUNCTION("""COMPUTED_VALUE"""),45924.6458333333)</f>
        <v>45924.6458333333</v>
      </c>
      <c r="F127" s="48">
        <f>IFERROR(__xludf.DUMMYFUNCTION("""COMPUTED_VALUE"""),637749)</f>
        <v>637749</v>
      </c>
      <c r="G127" s="47">
        <f>IFERROR(__xludf.DUMMYFUNCTION("""COMPUTED_VALUE"""),45924.6458333333)</f>
        <v>45924.6458333333</v>
      </c>
      <c r="H127" s="48">
        <f>IFERROR(__xludf.DUMMYFUNCTION("""COMPUTED_VALUE"""),2475)</f>
        <v>2475</v>
      </c>
      <c r="I127" s="47">
        <f>IFERROR(__xludf.DUMMYFUNCTION("""COMPUTED_VALUE"""),45924.6458333333)</f>
        <v>45924.6458333333</v>
      </c>
      <c r="J127" s="48">
        <f>IFERROR(__xludf.DUMMYFUNCTION("""COMPUTED_VALUE"""),2443.2)</f>
        <v>2443.2</v>
      </c>
      <c r="AF127" s="48">
        <f>'Adani Enterprises'!AF127</f>
        <v>0</v>
      </c>
      <c r="AG127" s="48">
        <f>'Adani Enterprises'!AG127</f>
        <v>0</v>
      </c>
      <c r="AH127" s="48">
        <f>'Adani Enterprises'!AH127</f>
        <v>0</v>
      </c>
      <c r="AI127" s="48">
        <f>'Adani Enterprises'!AI127</f>
        <v>0</v>
      </c>
      <c r="AJ127" s="48">
        <f>'Adani Enterprises'!AJ127</f>
        <v>0</v>
      </c>
      <c r="AK127" s="48">
        <f>'Adani Enterprises'!AK127</f>
        <v>0</v>
      </c>
      <c r="AL127" s="48">
        <f>'Adani Enterprises'!AL127</f>
        <v>0</v>
      </c>
    </row>
    <row r="128" customHeight="1" spans="1:38">
      <c r="A128" s="47">
        <f>IFERROR(__xludf.DUMMYFUNCTION("""COMPUTED_VALUE"""),45925.6458333333)</f>
        <v>45925.6458333333</v>
      </c>
      <c r="B128" s="48">
        <f>IFERROR(__xludf.DUMMYFUNCTION("""COMPUTED_VALUE"""),2404)</f>
        <v>2404</v>
      </c>
      <c r="C128" s="47">
        <f>IFERROR(__xludf.DUMMYFUNCTION("""COMPUTED_VALUE"""),45925.6458333333)</f>
        <v>45925.6458333333</v>
      </c>
      <c r="D128" s="48">
        <f>IFERROR(__xludf.DUMMYFUNCTION("""COMPUTED_VALUE"""),2458.5)</f>
        <v>2458.5</v>
      </c>
      <c r="E128" s="47">
        <f>IFERROR(__xludf.DUMMYFUNCTION("""COMPUTED_VALUE"""),45925.6458333333)</f>
        <v>45925.6458333333</v>
      </c>
      <c r="F128" s="48">
        <f>IFERROR(__xludf.DUMMYFUNCTION("""COMPUTED_VALUE"""),1518215)</f>
        <v>1518215</v>
      </c>
      <c r="G128" s="47">
        <f>IFERROR(__xludf.DUMMYFUNCTION("""COMPUTED_VALUE"""),45925.6458333333)</f>
        <v>45925.6458333333</v>
      </c>
      <c r="H128" s="48">
        <f>IFERROR(__xludf.DUMMYFUNCTION("""COMPUTED_VALUE"""),2462.7)</f>
        <v>2462.7</v>
      </c>
      <c r="I128" s="47">
        <f>IFERROR(__xludf.DUMMYFUNCTION("""COMPUTED_VALUE"""),45925.6458333333)</f>
        <v>45925.6458333333</v>
      </c>
      <c r="J128" s="48">
        <f>IFERROR(__xludf.DUMMYFUNCTION("""COMPUTED_VALUE"""),2388)</f>
        <v>2388</v>
      </c>
      <c r="AF128" s="48">
        <f>'Adani Enterprises'!AF128</f>
        <v>0</v>
      </c>
      <c r="AG128" s="48">
        <f>'Adani Enterprises'!AG128</f>
        <v>0</v>
      </c>
      <c r="AH128" s="48">
        <f>'Adani Enterprises'!AH128</f>
        <v>0</v>
      </c>
      <c r="AI128" s="48">
        <f>'Adani Enterprises'!AI128</f>
        <v>0</v>
      </c>
      <c r="AJ128" s="48">
        <f>'Adani Enterprises'!AJ128</f>
        <v>0</v>
      </c>
      <c r="AK128" s="48">
        <f>'Adani Enterprises'!AK128</f>
        <v>0</v>
      </c>
      <c r="AL128" s="48">
        <f>'Adani Enterprises'!AL128</f>
        <v>0</v>
      </c>
    </row>
    <row r="129" customHeight="1" spans="1:38">
      <c r="A129" s="47">
        <f>IFERROR(__xludf.DUMMYFUNCTION("""COMPUTED_VALUE"""),45926.6458333333)</f>
        <v>45926.6458333333</v>
      </c>
      <c r="B129" s="48">
        <f>IFERROR(__xludf.DUMMYFUNCTION("""COMPUTED_VALUE"""),2342.8)</f>
        <v>2342.8</v>
      </c>
      <c r="C129" s="47">
        <f>IFERROR(__xludf.DUMMYFUNCTION("""COMPUTED_VALUE"""),45926.6458333333)</f>
        <v>45926.6458333333</v>
      </c>
      <c r="D129" s="48">
        <f>IFERROR(__xludf.DUMMYFUNCTION("""COMPUTED_VALUE"""),2397.5)</f>
        <v>2397.5</v>
      </c>
      <c r="E129" s="47">
        <f>IFERROR(__xludf.DUMMYFUNCTION("""COMPUTED_VALUE"""),45926.6458333333)</f>
        <v>45926.6458333333</v>
      </c>
      <c r="F129" s="48">
        <f>IFERROR(__xludf.DUMMYFUNCTION("""COMPUTED_VALUE"""),1089446)</f>
        <v>1089446</v>
      </c>
      <c r="G129" s="47">
        <f>IFERROR(__xludf.DUMMYFUNCTION("""COMPUTED_VALUE"""),45926.6458333333)</f>
        <v>45926.6458333333</v>
      </c>
      <c r="H129" s="48">
        <f>IFERROR(__xludf.DUMMYFUNCTION("""COMPUTED_VALUE"""),2400)</f>
        <v>2400</v>
      </c>
      <c r="I129" s="47">
        <f>IFERROR(__xludf.DUMMYFUNCTION("""COMPUTED_VALUE"""),45926.6458333333)</f>
        <v>45926.6458333333</v>
      </c>
      <c r="J129" s="48">
        <f>IFERROR(__xludf.DUMMYFUNCTION("""COMPUTED_VALUE"""),2339)</f>
        <v>2339</v>
      </c>
      <c r="K129" s="48">
        <f>'Adani Enterprises'!K129</f>
        <v>0</v>
      </c>
      <c r="L129" s="48">
        <f>'Adani Enterprises'!L129</f>
        <v>0</v>
      </c>
      <c r="M129" s="48">
        <f>'Adani Enterprises'!M129</f>
        <v>0</v>
      </c>
      <c r="N129" s="48">
        <f>'Adani Enterprises'!N129</f>
        <v>0</v>
      </c>
      <c r="O129" s="48">
        <f>'Adani Enterprises'!O129</f>
        <v>0</v>
      </c>
      <c r="P129" s="48">
        <f>'Adani Enterprises'!P129</f>
        <v>0</v>
      </c>
      <c r="Q129" s="48">
        <f>'Adani Enterprises'!Q129</f>
        <v>0</v>
      </c>
      <c r="R129" s="48">
        <f>'Adani Enterprises'!R129</f>
        <v>0</v>
      </c>
      <c r="S129" s="48">
        <f>'Adani Enterprises'!S129</f>
        <v>0</v>
      </c>
      <c r="T129" s="48">
        <f>'Adani Enterprises'!T129</f>
        <v>0</v>
      </c>
      <c r="U129" s="48">
        <f>'Adani Enterprises'!U129</f>
        <v>0</v>
      </c>
      <c r="V129" s="48">
        <f>'Adani Enterprises'!V129</f>
        <v>0</v>
      </c>
      <c r="W129" s="48">
        <f>'Adani Enterprises'!W129</f>
        <v>0</v>
      </c>
      <c r="X129" s="48">
        <f>'Adani Enterprises'!X129</f>
        <v>0</v>
      </c>
      <c r="Y129" s="48">
        <f>'Adani Enterprises'!Y129</f>
        <v>0</v>
      </c>
      <c r="Z129" s="48">
        <f>'Adani Enterprises'!Z129</f>
        <v>0</v>
      </c>
      <c r="AA129" s="48">
        <f>'Adani Enterprises'!AA129</f>
        <v>0</v>
      </c>
      <c r="AB129" s="48">
        <f>'Adani Enterprises'!AB129</f>
        <v>0</v>
      </c>
      <c r="AC129" s="48">
        <f>'Adani Enterprises'!AC129</f>
        <v>0</v>
      </c>
      <c r="AD129" s="48">
        <f>'Adani Enterprises'!AD129</f>
        <v>0</v>
      </c>
      <c r="AE129" s="48">
        <f>'Adani Enterprises'!AE129</f>
        <v>0</v>
      </c>
      <c r="AF129" s="48">
        <f>'Adani Enterprises'!AF129</f>
        <v>0</v>
      </c>
      <c r="AG129" s="48">
        <f>'Adani Enterprises'!AG129</f>
        <v>0</v>
      </c>
      <c r="AH129" s="48">
        <f>'Adani Enterprises'!AH129</f>
        <v>0</v>
      </c>
      <c r="AI129" s="48">
        <f>'Adani Enterprises'!AI129</f>
        <v>0</v>
      </c>
      <c r="AJ129" s="48">
        <f>'Adani Enterprises'!AJ129</f>
        <v>0</v>
      </c>
      <c r="AK129" s="48">
        <f>'Adani Enterprises'!AK129</f>
        <v>0</v>
      </c>
      <c r="AL129" s="48">
        <f>'Adani Enterprises'!AL129</f>
        <v>0</v>
      </c>
    </row>
    <row r="130" customHeight="1" spans="11:38">
      <c r="K130" s="48">
        <f>'Adani Enterprises'!K130</f>
        <v>0</v>
      </c>
      <c r="L130" s="48">
        <f>'Adani Enterprises'!L130</f>
        <v>0</v>
      </c>
      <c r="M130" s="48">
        <f>'Adani Enterprises'!M130</f>
        <v>0</v>
      </c>
      <c r="N130" s="48">
        <f>'Adani Enterprises'!N130</f>
        <v>0</v>
      </c>
      <c r="O130" s="48">
        <f>'Adani Enterprises'!O130</f>
        <v>0</v>
      </c>
      <c r="P130" s="48">
        <f>'Adani Enterprises'!P130</f>
        <v>0</v>
      </c>
      <c r="Q130" s="48">
        <f>'Adani Enterprises'!Q130</f>
        <v>0</v>
      </c>
      <c r="R130" s="48">
        <f>'Adani Enterprises'!R130</f>
        <v>0</v>
      </c>
      <c r="S130" s="48">
        <f>'Adani Enterprises'!S130</f>
        <v>0</v>
      </c>
      <c r="T130" s="48">
        <f>'Adani Enterprises'!T130</f>
        <v>0</v>
      </c>
      <c r="U130" s="48">
        <f>'Adani Enterprises'!U130</f>
        <v>0</v>
      </c>
      <c r="V130" s="48">
        <f>'Adani Enterprises'!V130</f>
        <v>0</v>
      </c>
      <c r="W130" s="48">
        <f>'Adani Enterprises'!W130</f>
        <v>0</v>
      </c>
      <c r="X130" s="48">
        <f>'Adani Enterprises'!X130</f>
        <v>0</v>
      </c>
      <c r="Y130" s="48">
        <f>'Adani Enterprises'!Y130</f>
        <v>0</v>
      </c>
      <c r="Z130" s="48">
        <f>'Adani Enterprises'!Z130</f>
        <v>0</v>
      </c>
      <c r="AA130" s="48">
        <f>'Adani Enterprises'!AA130</f>
        <v>0</v>
      </c>
      <c r="AB130" s="48">
        <f>'Adani Enterprises'!AB130</f>
        <v>0</v>
      </c>
      <c r="AC130" s="48">
        <f>'Adani Enterprises'!AC130</f>
        <v>0</v>
      </c>
      <c r="AD130" s="48">
        <f>'Adani Enterprises'!AD130</f>
        <v>0</v>
      </c>
      <c r="AE130" s="48">
        <f>'Adani Enterprises'!AE130</f>
        <v>0</v>
      </c>
      <c r="AF130" s="48">
        <f>'Adani Enterprises'!AF130</f>
        <v>0</v>
      </c>
      <c r="AG130" s="48">
        <f>'Adani Enterprises'!AG130</f>
        <v>0</v>
      </c>
      <c r="AH130" s="48">
        <f>'Adani Enterprises'!AH130</f>
        <v>0</v>
      </c>
      <c r="AI130" s="48">
        <f>'Adani Enterprises'!AI130</f>
        <v>0</v>
      </c>
      <c r="AJ130" s="48">
        <f>'Adani Enterprises'!AJ130</f>
        <v>0</v>
      </c>
      <c r="AK130" s="48">
        <f>'Adani Enterprises'!AK130</f>
        <v>0</v>
      </c>
      <c r="AL130" s="48">
        <f>'Adani Enterprises'!AL130</f>
        <v>0</v>
      </c>
    </row>
    <row r="131" customHeight="1" spans="1:38">
      <c r="A131" s="48">
        <f>'Adani Enterprises'!A131</f>
        <v>0</v>
      </c>
      <c r="B131" s="48">
        <f>'Adani Enterprises'!B131</f>
        <v>0</v>
      </c>
      <c r="C131" s="48">
        <f>'Adani Enterprises'!C131</f>
        <v>0</v>
      </c>
      <c r="D131" s="48">
        <f>'Adani Enterprises'!D131</f>
        <v>0</v>
      </c>
      <c r="E131" s="48">
        <f>'Adani Enterprises'!E131</f>
        <v>0</v>
      </c>
      <c r="F131" s="48">
        <f>'Adani Enterprises'!F131</f>
        <v>0</v>
      </c>
      <c r="G131" s="48">
        <f>'Adani Enterprises'!G131</f>
        <v>0</v>
      </c>
      <c r="H131" s="48">
        <f>'Adani Enterprises'!H131</f>
        <v>0</v>
      </c>
      <c r="I131" s="48">
        <f>'Adani Enterprises'!I131</f>
        <v>0</v>
      </c>
      <c r="J131" s="48">
        <f>'Adani Enterprises'!J131</f>
        <v>0</v>
      </c>
      <c r="K131" s="48">
        <f>'Adani Enterprises'!K131</f>
        <v>0</v>
      </c>
      <c r="L131" s="48">
        <f>'Adani Enterprises'!L131</f>
        <v>0</v>
      </c>
      <c r="M131" s="48">
        <f>'Adani Enterprises'!M131</f>
        <v>0</v>
      </c>
      <c r="N131" s="48">
        <f>'Adani Enterprises'!N131</f>
        <v>0</v>
      </c>
      <c r="O131" s="48">
        <f>'Adani Enterprises'!O131</f>
        <v>0</v>
      </c>
      <c r="P131" s="48">
        <f>'Adani Enterprises'!P131</f>
        <v>0</v>
      </c>
      <c r="Q131" s="48">
        <f>'Adani Enterprises'!Q131</f>
        <v>0</v>
      </c>
      <c r="R131" s="48">
        <f>'Adani Enterprises'!R131</f>
        <v>0</v>
      </c>
      <c r="S131" s="48">
        <f>'Adani Enterprises'!S131</f>
        <v>0</v>
      </c>
      <c r="T131" s="48">
        <f>'Adani Enterprises'!T131</f>
        <v>0</v>
      </c>
      <c r="U131" s="48">
        <f>'Adani Enterprises'!U131</f>
        <v>0</v>
      </c>
      <c r="V131" s="48">
        <f>'Adani Enterprises'!V131</f>
        <v>0</v>
      </c>
      <c r="W131" s="48">
        <f>'Adani Enterprises'!W131</f>
        <v>0</v>
      </c>
      <c r="X131" s="48">
        <f>'Adani Enterprises'!X131</f>
        <v>0</v>
      </c>
      <c r="Y131" s="48">
        <f>'Adani Enterprises'!Y131</f>
        <v>0</v>
      </c>
      <c r="Z131" s="48">
        <f>'Adani Enterprises'!Z131</f>
        <v>0</v>
      </c>
      <c r="AA131" s="48">
        <f>'Adani Enterprises'!AA131</f>
        <v>0</v>
      </c>
      <c r="AB131" s="48">
        <f>'Adani Enterprises'!AB131</f>
        <v>0</v>
      </c>
      <c r="AC131" s="48">
        <f>'Adani Enterprises'!AC131</f>
        <v>0</v>
      </c>
      <c r="AD131" s="48">
        <f>'Adani Enterprises'!AD131</f>
        <v>0</v>
      </c>
      <c r="AE131" s="48">
        <f>'Adani Enterprises'!AE131</f>
        <v>0</v>
      </c>
      <c r="AF131" s="48">
        <f>'Adani Enterprises'!AF131</f>
        <v>0</v>
      </c>
      <c r="AG131" s="48">
        <f>'Adani Enterprises'!AG131</f>
        <v>0</v>
      </c>
      <c r="AH131" s="48">
        <f>'Adani Enterprises'!AH131</f>
        <v>0</v>
      </c>
      <c r="AI131" s="48">
        <f>'Adani Enterprises'!AI131</f>
        <v>0</v>
      </c>
      <c r="AJ131" s="48">
        <f>'Adani Enterprises'!AJ131</f>
        <v>0</v>
      </c>
      <c r="AK131" s="48">
        <f>'Adani Enterprises'!AK131</f>
        <v>0</v>
      </c>
      <c r="AL131" s="48">
        <f>'Adani Enterprises'!AL131</f>
        <v>0</v>
      </c>
    </row>
    <row r="132" customHeight="1" spans="1:38">
      <c r="A132" s="48">
        <f>'Adani Enterprises'!A132</f>
        <v>0</v>
      </c>
      <c r="B132" s="48">
        <f>'Adani Enterprises'!B132</f>
        <v>0</v>
      </c>
      <c r="C132" s="48">
        <f>'Adani Enterprises'!C132</f>
        <v>0</v>
      </c>
      <c r="D132" s="48">
        <f>'Adani Enterprises'!D132</f>
        <v>0</v>
      </c>
      <c r="E132" s="48">
        <f>'Adani Enterprises'!E132</f>
        <v>0</v>
      </c>
      <c r="F132" s="48">
        <f>'Adani Enterprises'!F132</f>
        <v>0</v>
      </c>
      <c r="G132" s="48">
        <f>'Adani Enterprises'!G132</f>
        <v>0</v>
      </c>
      <c r="H132" s="48">
        <f>'Adani Enterprises'!H132</f>
        <v>0</v>
      </c>
      <c r="I132" s="48">
        <f>'Adani Enterprises'!I132</f>
        <v>0</v>
      </c>
      <c r="J132" s="48">
        <f>'Adani Enterprises'!J132</f>
        <v>0</v>
      </c>
      <c r="K132" s="48">
        <f>'Adani Enterprises'!K132</f>
        <v>0</v>
      </c>
      <c r="L132" s="48">
        <f>'Adani Enterprises'!L132</f>
        <v>0</v>
      </c>
      <c r="M132" s="48">
        <f>'Adani Enterprises'!M132</f>
        <v>0</v>
      </c>
      <c r="N132" s="48">
        <f>'Adani Enterprises'!N132</f>
        <v>0</v>
      </c>
      <c r="O132" s="48">
        <f>'Adani Enterprises'!O132</f>
        <v>0</v>
      </c>
      <c r="P132" s="48">
        <f>'Adani Enterprises'!P132</f>
        <v>0</v>
      </c>
      <c r="Q132" s="48">
        <f>'Adani Enterprises'!Q132</f>
        <v>0</v>
      </c>
      <c r="R132" s="48">
        <f>'Adani Enterprises'!R132</f>
        <v>0</v>
      </c>
      <c r="S132" s="48">
        <f>'Adani Enterprises'!S132</f>
        <v>0</v>
      </c>
      <c r="T132" s="48">
        <f>'Adani Enterprises'!T132</f>
        <v>0</v>
      </c>
      <c r="U132" s="48">
        <f>'Adani Enterprises'!U132</f>
        <v>0</v>
      </c>
      <c r="V132" s="48">
        <f>'Adani Enterprises'!V132</f>
        <v>0</v>
      </c>
      <c r="W132" s="48">
        <f>'Adani Enterprises'!W132</f>
        <v>0</v>
      </c>
      <c r="X132" s="48">
        <f>'Adani Enterprises'!X132</f>
        <v>0</v>
      </c>
      <c r="Y132" s="48">
        <f>'Adani Enterprises'!Y132</f>
        <v>0</v>
      </c>
      <c r="Z132" s="48">
        <f>'Adani Enterprises'!Z132</f>
        <v>0</v>
      </c>
      <c r="AA132" s="48">
        <f>'Adani Enterprises'!AA132</f>
        <v>0</v>
      </c>
      <c r="AB132" s="48">
        <f>'Adani Enterprises'!AB132</f>
        <v>0</v>
      </c>
      <c r="AC132" s="48">
        <f>'Adani Enterprises'!AC132</f>
        <v>0</v>
      </c>
      <c r="AD132" s="48">
        <f>'Adani Enterprises'!AD132</f>
        <v>0</v>
      </c>
      <c r="AE132" s="48">
        <f>'Adani Enterprises'!AE132</f>
        <v>0</v>
      </c>
      <c r="AF132" s="48">
        <f>'Adani Enterprises'!AF132</f>
        <v>0</v>
      </c>
      <c r="AG132" s="48">
        <f>'Adani Enterprises'!AG132</f>
        <v>0</v>
      </c>
      <c r="AH132" s="48">
        <f>'Adani Enterprises'!AH132</f>
        <v>0</v>
      </c>
      <c r="AI132" s="48">
        <f>'Adani Enterprises'!AI132</f>
        <v>0</v>
      </c>
      <c r="AJ132" s="48">
        <f>'Adani Enterprises'!AJ132</f>
        <v>0</v>
      </c>
      <c r="AK132" s="48">
        <f>'Adani Enterprises'!AK132</f>
        <v>0</v>
      </c>
      <c r="AL132" s="48">
        <f>'Adani Enterprises'!AL132</f>
        <v>0</v>
      </c>
    </row>
    <row r="133" customHeight="1" spans="1:38">
      <c r="A133" s="48">
        <f>'Adani Enterprises'!A133</f>
        <v>0</v>
      </c>
      <c r="B133" s="48">
        <f>'Adani Enterprises'!B133</f>
        <v>0</v>
      </c>
      <c r="C133" s="48">
        <f>'Adani Enterprises'!C133</f>
        <v>0</v>
      </c>
      <c r="D133" s="48">
        <f>'Adani Enterprises'!D133</f>
        <v>0</v>
      </c>
      <c r="E133" s="48">
        <f>'Adani Enterprises'!E133</f>
        <v>0</v>
      </c>
      <c r="F133" s="48">
        <f>'Adani Enterprises'!F133</f>
        <v>0</v>
      </c>
      <c r="G133" s="48">
        <f>'Adani Enterprises'!G133</f>
        <v>0</v>
      </c>
      <c r="H133" s="48">
        <f>'Adani Enterprises'!H133</f>
        <v>0</v>
      </c>
      <c r="I133" s="48">
        <f>'Adani Enterprises'!I133</f>
        <v>0</v>
      </c>
      <c r="J133" s="48">
        <f>'Adani Enterprises'!J133</f>
        <v>0</v>
      </c>
      <c r="K133" s="48">
        <f>'Adani Enterprises'!K133</f>
        <v>0</v>
      </c>
      <c r="L133" s="48">
        <f>'Adani Enterprises'!L133</f>
        <v>0</v>
      </c>
      <c r="M133" s="48">
        <f>'Adani Enterprises'!M133</f>
        <v>0</v>
      </c>
      <c r="N133" s="48">
        <f>'Adani Enterprises'!N133</f>
        <v>0</v>
      </c>
      <c r="O133" s="48">
        <f>'Adani Enterprises'!O133</f>
        <v>0</v>
      </c>
      <c r="P133" s="48">
        <f>'Adani Enterprises'!P133</f>
        <v>0</v>
      </c>
      <c r="Q133" s="48">
        <f>'Adani Enterprises'!Q133</f>
        <v>0</v>
      </c>
      <c r="R133" s="48">
        <f>'Adani Enterprises'!R133</f>
        <v>0</v>
      </c>
      <c r="S133" s="48">
        <f>'Adani Enterprises'!S133</f>
        <v>0</v>
      </c>
      <c r="T133" s="48">
        <f>'Adani Enterprises'!T133</f>
        <v>0</v>
      </c>
      <c r="U133" s="48">
        <f>'Adani Enterprises'!U133</f>
        <v>0</v>
      </c>
      <c r="V133" s="48">
        <f>'Adani Enterprises'!V133</f>
        <v>0</v>
      </c>
      <c r="W133" s="48">
        <f>'Adani Enterprises'!W133</f>
        <v>0</v>
      </c>
      <c r="X133" s="48">
        <f>'Adani Enterprises'!X133</f>
        <v>0</v>
      </c>
      <c r="Y133" s="48">
        <f>'Adani Enterprises'!Y133</f>
        <v>0</v>
      </c>
      <c r="Z133" s="48">
        <f>'Adani Enterprises'!Z133</f>
        <v>0</v>
      </c>
      <c r="AA133" s="48">
        <f>'Adani Enterprises'!AA133</f>
        <v>0</v>
      </c>
      <c r="AB133" s="48">
        <f>'Adani Enterprises'!AB133</f>
        <v>0</v>
      </c>
      <c r="AC133" s="48">
        <f>'Adani Enterprises'!AC133</f>
        <v>0</v>
      </c>
      <c r="AD133" s="48">
        <f>'Adani Enterprises'!AD133</f>
        <v>0</v>
      </c>
      <c r="AE133" s="48">
        <f>'Adani Enterprises'!AE133</f>
        <v>0</v>
      </c>
      <c r="AF133" s="48">
        <f>'Adani Enterprises'!AF133</f>
        <v>0</v>
      </c>
      <c r="AG133" s="48">
        <f>'Adani Enterprises'!AG133</f>
        <v>0</v>
      </c>
      <c r="AH133" s="48">
        <f>'Adani Enterprises'!AH133</f>
        <v>0</v>
      </c>
      <c r="AI133" s="48">
        <f>'Adani Enterprises'!AI133</f>
        <v>0</v>
      </c>
      <c r="AJ133" s="48">
        <f>'Adani Enterprises'!AJ133</f>
        <v>0</v>
      </c>
      <c r="AK133" s="48">
        <f>'Adani Enterprises'!AK133</f>
        <v>0</v>
      </c>
      <c r="AL133" s="48">
        <f>'Adani Enterprises'!AL133</f>
        <v>0</v>
      </c>
    </row>
    <row r="134" customHeight="1" spans="1:38">
      <c r="A134" s="48">
        <f>'Adani Enterprises'!A134</f>
        <v>0</v>
      </c>
      <c r="B134" s="48">
        <f>'Adani Enterprises'!B134</f>
        <v>0</v>
      </c>
      <c r="C134" s="48">
        <f>'Adani Enterprises'!C134</f>
        <v>0</v>
      </c>
      <c r="D134" s="48">
        <f>'Adani Enterprises'!D134</f>
        <v>0</v>
      </c>
      <c r="E134" s="48">
        <f>'Adani Enterprises'!E134</f>
        <v>0</v>
      </c>
      <c r="F134" s="48">
        <f>'Adani Enterprises'!F134</f>
        <v>0</v>
      </c>
      <c r="G134" s="48">
        <f>'Adani Enterprises'!G134</f>
        <v>0</v>
      </c>
      <c r="H134" s="48">
        <f>'Adani Enterprises'!H134</f>
        <v>0</v>
      </c>
      <c r="I134" s="48">
        <f>'Adani Enterprises'!I134</f>
        <v>0</v>
      </c>
      <c r="J134" s="48">
        <f>'Adani Enterprises'!J134</f>
        <v>0</v>
      </c>
      <c r="K134" s="48">
        <f>'Adani Enterprises'!K134</f>
        <v>0</v>
      </c>
      <c r="L134" s="48">
        <f>'Adani Enterprises'!L134</f>
        <v>0</v>
      </c>
      <c r="M134" s="48">
        <f>'Adani Enterprises'!M134</f>
        <v>0</v>
      </c>
      <c r="N134" s="48">
        <f>'Adani Enterprises'!N134</f>
        <v>0</v>
      </c>
      <c r="O134" s="48">
        <f>'Adani Enterprises'!O134</f>
        <v>0</v>
      </c>
      <c r="P134" s="48">
        <f>'Adani Enterprises'!P134</f>
        <v>0</v>
      </c>
      <c r="Q134" s="48">
        <f>'Adani Enterprises'!Q134</f>
        <v>0</v>
      </c>
      <c r="R134" s="48">
        <f>'Adani Enterprises'!R134</f>
        <v>0</v>
      </c>
      <c r="S134" s="48">
        <f>'Adani Enterprises'!S134</f>
        <v>0</v>
      </c>
      <c r="T134" s="48">
        <f>'Adani Enterprises'!T134</f>
        <v>0</v>
      </c>
      <c r="U134" s="48">
        <f>'Adani Enterprises'!U134</f>
        <v>0</v>
      </c>
      <c r="V134" s="48">
        <f>'Adani Enterprises'!V134</f>
        <v>0</v>
      </c>
      <c r="W134" s="48">
        <f>'Adani Enterprises'!W134</f>
        <v>0</v>
      </c>
      <c r="X134" s="48">
        <f>'Adani Enterprises'!X134</f>
        <v>0</v>
      </c>
      <c r="Y134" s="48">
        <f>'Adani Enterprises'!Y134</f>
        <v>0</v>
      </c>
      <c r="Z134" s="48">
        <f>'Adani Enterprises'!Z134</f>
        <v>0</v>
      </c>
      <c r="AA134" s="48">
        <f>'Adani Enterprises'!AA134</f>
        <v>0</v>
      </c>
      <c r="AB134" s="48">
        <f>'Adani Enterprises'!AB134</f>
        <v>0</v>
      </c>
      <c r="AC134" s="48">
        <f>'Adani Enterprises'!AC134</f>
        <v>0</v>
      </c>
      <c r="AD134" s="48">
        <f>'Adani Enterprises'!AD134</f>
        <v>0</v>
      </c>
      <c r="AE134" s="48">
        <f>'Adani Enterprises'!AE134</f>
        <v>0</v>
      </c>
      <c r="AF134" s="48">
        <f>'Adani Enterprises'!AF134</f>
        <v>0</v>
      </c>
      <c r="AG134" s="48">
        <f>'Adani Enterprises'!AG134</f>
        <v>0</v>
      </c>
      <c r="AH134" s="48">
        <f>'Adani Enterprises'!AH134</f>
        <v>0</v>
      </c>
      <c r="AI134" s="48">
        <f>'Adani Enterprises'!AI134</f>
        <v>0</v>
      </c>
      <c r="AJ134" s="48">
        <f>'Adani Enterprises'!AJ134</f>
        <v>0</v>
      </c>
      <c r="AK134" s="48">
        <f>'Adani Enterprises'!AK134</f>
        <v>0</v>
      </c>
      <c r="AL134" s="48">
        <f>'Adani Enterprises'!AL134</f>
        <v>0</v>
      </c>
    </row>
    <row r="135" customHeight="1" spans="1:38">
      <c r="A135" s="48">
        <f>'Adani Enterprises'!A135</f>
        <v>0</v>
      </c>
      <c r="B135" s="48">
        <f>'Adani Enterprises'!B135</f>
        <v>0</v>
      </c>
      <c r="C135" s="48">
        <f>'Adani Enterprises'!C135</f>
        <v>0</v>
      </c>
      <c r="D135" s="48">
        <f>'Adani Enterprises'!D135</f>
        <v>0</v>
      </c>
      <c r="E135" s="48">
        <f>'Adani Enterprises'!E135</f>
        <v>0</v>
      </c>
      <c r="F135" s="48">
        <f>'Adani Enterprises'!F135</f>
        <v>0</v>
      </c>
      <c r="G135" s="48">
        <f>'Adani Enterprises'!G135</f>
        <v>0</v>
      </c>
      <c r="H135" s="48">
        <f>'Adani Enterprises'!H135</f>
        <v>0</v>
      </c>
      <c r="I135" s="48">
        <f>'Adani Enterprises'!I135</f>
        <v>0</v>
      </c>
      <c r="J135" s="48">
        <f>'Adani Enterprises'!J135</f>
        <v>0</v>
      </c>
      <c r="K135" s="48">
        <f>'Adani Enterprises'!K135</f>
        <v>0</v>
      </c>
      <c r="L135" s="48">
        <f>'Adani Enterprises'!L135</f>
        <v>0</v>
      </c>
      <c r="M135" s="48">
        <f>'Adani Enterprises'!M135</f>
        <v>0</v>
      </c>
      <c r="N135" s="48">
        <f>'Adani Enterprises'!N135</f>
        <v>0</v>
      </c>
      <c r="O135" s="48">
        <f>'Adani Enterprises'!O135</f>
        <v>0</v>
      </c>
      <c r="P135" s="48">
        <f>'Adani Enterprises'!P135</f>
        <v>0</v>
      </c>
      <c r="Q135" s="48">
        <f>'Adani Enterprises'!Q135</f>
        <v>0</v>
      </c>
      <c r="R135" s="48">
        <f>'Adani Enterprises'!R135</f>
        <v>0</v>
      </c>
      <c r="S135" s="48">
        <f>'Adani Enterprises'!S135</f>
        <v>0</v>
      </c>
      <c r="T135" s="48">
        <f>'Adani Enterprises'!T135</f>
        <v>0</v>
      </c>
      <c r="U135" s="48">
        <f>'Adani Enterprises'!U135</f>
        <v>0</v>
      </c>
      <c r="V135" s="48">
        <f>'Adani Enterprises'!V135</f>
        <v>0</v>
      </c>
      <c r="W135" s="48">
        <f>'Adani Enterprises'!W135</f>
        <v>0</v>
      </c>
      <c r="X135" s="48">
        <f>'Adani Enterprises'!X135</f>
        <v>0</v>
      </c>
      <c r="Y135" s="48">
        <f>'Adani Enterprises'!Y135</f>
        <v>0</v>
      </c>
      <c r="Z135" s="48">
        <f>'Adani Enterprises'!Z135</f>
        <v>0</v>
      </c>
      <c r="AA135" s="48">
        <f>'Adani Enterprises'!AA135</f>
        <v>0</v>
      </c>
      <c r="AB135" s="48">
        <f>'Adani Enterprises'!AB135</f>
        <v>0</v>
      </c>
      <c r="AC135" s="48">
        <f>'Adani Enterprises'!AC135</f>
        <v>0</v>
      </c>
      <c r="AD135" s="48">
        <f>'Adani Enterprises'!AD135</f>
        <v>0</v>
      </c>
      <c r="AE135" s="48">
        <f>'Adani Enterprises'!AE135</f>
        <v>0</v>
      </c>
      <c r="AF135" s="48">
        <f>'Adani Enterprises'!AF135</f>
        <v>0</v>
      </c>
      <c r="AG135" s="48">
        <f>'Adani Enterprises'!AG135</f>
        <v>0</v>
      </c>
      <c r="AH135" s="48">
        <f>'Adani Enterprises'!AH135</f>
        <v>0</v>
      </c>
      <c r="AI135" s="48">
        <f>'Adani Enterprises'!AI135</f>
        <v>0</v>
      </c>
      <c r="AJ135" s="48">
        <f>'Adani Enterprises'!AJ135</f>
        <v>0</v>
      </c>
      <c r="AK135" s="48">
        <f>'Adani Enterprises'!AK135</f>
        <v>0</v>
      </c>
      <c r="AL135" s="48">
        <f>'Adani Enterprises'!AL135</f>
        <v>0</v>
      </c>
    </row>
    <row r="136" customHeight="1" spans="1:38">
      <c r="A136" s="48">
        <f>'Adani Enterprises'!A136</f>
        <v>0</v>
      </c>
      <c r="B136" s="48">
        <f>'Adani Enterprises'!B136</f>
        <v>0</v>
      </c>
      <c r="C136" s="48">
        <f>'Adani Enterprises'!C136</f>
        <v>0</v>
      </c>
      <c r="D136" s="48">
        <f>'Adani Enterprises'!D136</f>
        <v>0</v>
      </c>
      <c r="E136" s="48">
        <f>'Adani Enterprises'!E136</f>
        <v>0</v>
      </c>
      <c r="F136" s="48">
        <f>'Adani Enterprises'!F136</f>
        <v>0</v>
      </c>
      <c r="G136" s="48">
        <f>'Adani Enterprises'!G136</f>
        <v>0</v>
      </c>
      <c r="H136" s="48">
        <f>'Adani Enterprises'!H136</f>
        <v>0</v>
      </c>
      <c r="I136" s="48">
        <f>'Adani Enterprises'!I136</f>
        <v>0</v>
      </c>
      <c r="J136" s="48">
        <f>'Adani Enterprises'!J136</f>
        <v>0</v>
      </c>
      <c r="K136" s="48">
        <f>'Adani Enterprises'!K136</f>
        <v>0</v>
      </c>
      <c r="L136" s="48">
        <f>'Adani Enterprises'!L136</f>
        <v>0</v>
      </c>
      <c r="M136" s="48">
        <f>'Adani Enterprises'!M136</f>
        <v>0</v>
      </c>
      <c r="N136" s="48">
        <f>'Adani Enterprises'!N136</f>
        <v>0</v>
      </c>
      <c r="O136" s="48">
        <f>'Adani Enterprises'!O136</f>
        <v>0</v>
      </c>
      <c r="P136" s="48">
        <f>'Adani Enterprises'!P136</f>
        <v>0</v>
      </c>
      <c r="Q136" s="48">
        <f>'Adani Enterprises'!Q136</f>
        <v>0</v>
      </c>
      <c r="R136" s="48">
        <f>'Adani Enterprises'!R136</f>
        <v>0</v>
      </c>
      <c r="S136" s="48">
        <f>'Adani Enterprises'!S136</f>
        <v>0</v>
      </c>
      <c r="T136" s="48">
        <f>'Adani Enterprises'!T136</f>
        <v>0</v>
      </c>
      <c r="U136" s="48">
        <f>'Adani Enterprises'!U136</f>
        <v>0</v>
      </c>
      <c r="V136" s="48">
        <f>'Adani Enterprises'!V136</f>
        <v>0</v>
      </c>
      <c r="W136" s="48">
        <f>'Adani Enterprises'!W136</f>
        <v>0</v>
      </c>
      <c r="X136" s="48">
        <f>'Adani Enterprises'!X136</f>
        <v>0</v>
      </c>
      <c r="Y136" s="48">
        <f>'Adani Enterprises'!Y136</f>
        <v>0</v>
      </c>
      <c r="Z136" s="48">
        <f>'Adani Enterprises'!Z136</f>
        <v>0</v>
      </c>
      <c r="AA136" s="48">
        <f>'Adani Enterprises'!AA136</f>
        <v>0</v>
      </c>
      <c r="AB136" s="48">
        <f>'Adani Enterprises'!AB136</f>
        <v>0</v>
      </c>
      <c r="AC136" s="48">
        <f>'Adani Enterprises'!AC136</f>
        <v>0</v>
      </c>
      <c r="AD136" s="48">
        <f>'Adani Enterprises'!AD136</f>
        <v>0</v>
      </c>
      <c r="AE136" s="48">
        <f>'Adani Enterprises'!AE136</f>
        <v>0</v>
      </c>
      <c r="AF136" s="48">
        <f>'Adani Enterprises'!AF136</f>
        <v>0</v>
      </c>
      <c r="AG136" s="48">
        <f>'Adani Enterprises'!AG136</f>
        <v>0</v>
      </c>
      <c r="AH136" s="48">
        <f>'Adani Enterprises'!AH136</f>
        <v>0</v>
      </c>
      <c r="AI136" s="48">
        <f>'Adani Enterprises'!AI136</f>
        <v>0</v>
      </c>
      <c r="AJ136" s="48">
        <f>'Adani Enterprises'!AJ136</f>
        <v>0</v>
      </c>
      <c r="AK136" s="48">
        <f>'Adani Enterprises'!AK136</f>
        <v>0</v>
      </c>
      <c r="AL136" s="48">
        <f>'Adani Enterprises'!AL136</f>
        <v>0</v>
      </c>
    </row>
    <row r="137" customHeight="1" spans="1:38">
      <c r="A137" s="48">
        <f>'Adani Enterprises'!A137</f>
        <v>0</v>
      </c>
      <c r="B137" s="48">
        <f>'Adani Enterprises'!B137</f>
        <v>0</v>
      </c>
      <c r="C137" s="48">
        <f>'Adani Enterprises'!C137</f>
        <v>0</v>
      </c>
      <c r="D137" s="48">
        <f>'Adani Enterprises'!D137</f>
        <v>0</v>
      </c>
      <c r="E137" s="48">
        <f>'Adani Enterprises'!E137</f>
        <v>0</v>
      </c>
      <c r="F137" s="48">
        <f>'Adani Enterprises'!F137</f>
        <v>0</v>
      </c>
      <c r="G137" s="48">
        <f>'Adani Enterprises'!G137</f>
        <v>0</v>
      </c>
      <c r="H137" s="48">
        <f>'Adani Enterprises'!H137</f>
        <v>0</v>
      </c>
      <c r="I137" s="48">
        <f>'Adani Enterprises'!I137</f>
        <v>0</v>
      </c>
      <c r="J137" s="48">
        <f>'Adani Enterprises'!J137</f>
        <v>0</v>
      </c>
      <c r="K137" s="48">
        <f>'Adani Enterprises'!K137</f>
        <v>0</v>
      </c>
      <c r="L137" s="48">
        <f>'Adani Enterprises'!L137</f>
        <v>0</v>
      </c>
      <c r="M137" s="48">
        <f>'Adani Enterprises'!M137</f>
        <v>0</v>
      </c>
      <c r="N137" s="48">
        <f>'Adani Enterprises'!N137</f>
        <v>0</v>
      </c>
      <c r="O137" s="48">
        <f>'Adani Enterprises'!O137</f>
        <v>0</v>
      </c>
      <c r="P137" s="48">
        <f>'Adani Enterprises'!P137</f>
        <v>0</v>
      </c>
      <c r="Q137" s="48">
        <f>'Adani Enterprises'!Q137</f>
        <v>0</v>
      </c>
      <c r="R137" s="48">
        <f>'Adani Enterprises'!R137</f>
        <v>0</v>
      </c>
      <c r="S137" s="48">
        <f>'Adani Enterprises'!S137</f>
        <v>0</v>
      </c>
      <c r="T137" s="48">
        <f>'Adani Enterprises'!T137</f>
        <v>0</v>
      </c>
      <c r="U137" s="48">
        <f>'Adani Enterprises'!U137</f>
        <v>0</v>
      </c>
      <c r="V137" s="48">
        <f>'Adani Enterprises'!V137</f>
        <v>0</v>
      </c>
      <c r="W137" s="48">
        <f>'Adani Enterprises'!W137</f>
        <v>0</v>
      </c>
      <c r="X137" s="48">
        <f>'Adani Enterprises'!X137</f>
        <v>0</v>
      </c>
      <c r="Y137" s="48">
        <f>'Adani Enterprises'!Y137</f>
        <v>0</v>
      </c>
      <c r="Z137" s="48">
        <f>'Adani Enterprises'!Z137</f>
        <v>0</v>
      </c>
      <c r="AA137" s="48">
        <f>'Adani Enterprises'!AA137</f>
        <v>0</v>
      </c>
      <c r="AB137" s="48">
        <f>'Adani Enterprises'!AB137</f>
        <v>0</v>
      </c>
      <c r="AC137" s="48">
        <f>'Adani Enterprises'!AC137</f>
        <v>0</v>
      </c>
      <c r="AD137" s="48">
        <f>'Adani Enterprises'!AD137</f>
        <v>0</v>
      </c>
      <c r="AE137" s="48">
        <f>'Adani Enterprises'!AE137</f>
        <v>0</v>
      </c>
      <c r="AF137" s="48">
        <f>'Adani Enterprises'!AF137</f>
        <v>0</v>
      </c>
      <c r="AG137" s="48">
        <f>'Adani Enterprises'!AG137</f>
        <v>0</v>
      </c>
      <c r="AH137" s="48">
        <f>'Adani Enterprises'!AH137</f>
        <v>0</v>
      </c>
      <c r="AI137" s="48">
        <f>'Adani Enterprises'!AI137</f>
        <v>0</v>
      </c>
      <c r="AJ137" s="48">
        <f>'Adani Enterprises'!AJ137</f>
        <v>0</v>
      </c>
      <c r="AK137" s="48">
        <f>'Adani Enterprises'!AK137</f>
        <v>0</v>
      </c>
      <c r="AL137" s="48">
        <f>'Adani Enterprises'!AL137</f>
        <v>0</v>
      </c>
    </row>
    <row r="138" customHeight="1" spans="1:38">
      <c r="A138" s="48">
        <f>'Adani Enterprises'!A138</f>
        <v>0</v>
      </c>
      <c r="B138" s="48">
        <f>'Adani Enterprises'!B138</f>
        <v>0</v>
      </c>
      <c r="C138" s="48">
        <f>'Adani Enterprises'!C138</f>
        <v>0</v>
      </c>
      <c r="D138" s="48">
        <f>'Adani Enterprises'!D138</f>
        <v>0</v>
      </c>
      <c r="E138" s="48">
        <f>'Adani Enterprises'!E138</f>
        <v>0</v>
      </c>
      <c r="F138" s="48">
        <f>'Adani Enterprises'!F138</f>
        <v>0</v>
      </c>
      <c r="G138" s="48">
        <f>'Adani Enterprises'!G138</f>
        <v>0</v>
      </c>
      <c r="H138" s="48">
        <f>'Adani Enterprises'!H138</f>
        <v>0</v>
      </c>
      <c r="I138" s="48">
        <f>'Adani Enterprises'!I138</f>
        <v>0</v>
      </c>
      <c r="J138" s="48">
        <f>'Adani Enterprises'!J138</f>
        <v>0</v>
      </c>
      <c r="K138" s="48">
        <f>'Adani Enterprises'!K138</f>
        <v>0</v>
      </c>
      <c r="L138" s="48">
        <f>'Adani Enterprises'!L138</f>
        <v>0</v>
      </c>
      <c r="M138" s="48">
        <f>'Adani Enterprises'!M138</f>
        <v>0</v>
      </c>
      <c r="N138" s="48">
        <f>'Adani Enterprises'!N138</f>
        <v>0</v>
      </c>
      <c r="O138" s="48">
        <f>'Adani Enterprises'!O138</f>
        <v>0</v>
      </c>
      <c r="P138" s="48">
        <f>'Adani Enterprises'!P138</f>
        <v>0</v>
      </c>
      <c r="Q138" s="48">
        <f>'Adani Enterprises'!Q138</f>
        <v>0</v>
      </c>
      <c r="R138" s="48">
        <f>'Adani Enterprises'!R138</f>
        <v>0</v>
      </c>
      <c r="S138" s="48">
        <f>'Adani Enterprises'!S138</f>
        <v>0</v>
      </c>
      <c r="T138" s="48">
        <f>'Adani Enterprises'!T138</f>
        <v>0</v>
      </c>
      <c r="U138" s="48">
        <f>'Adani Enterprises'!U138</f>
        <v>0</v>
      </c>
      <c r="V138" s="48">
        <f>'Adani Enterprises'!V138</f>
        <v>0</v>
      </c>
      <c r="W138" s="48">
        <f>'Adani Enterprises'!W138</f>
        <v>0</v>
      </c>
      <c r="X138" s="48">
        <f>'Adani Enterprises'!X138</f>
        <v>0</v>
      </c>
      <c r="Y138" s="48">
        <f>'Adani Enterprises'!Y138</f>
        <v>0</v>
      </c>
      <c r="Z138" s="48">
        <f>'Adani Enterprises'!Z138</f>
        <v>0</v>
      </c>
      <c r="AA138" s="48">
        <f>'Adani Enterprises'!AA138</f>
        <v>0</v>
      </c>
      <c r="AB138" s="48">
        <f>'Adani Enterprises'!AB138</f>
        <v>0</v>
      </c>
      <c r="AC138" s="48">
        <f>'Adani Enterprises'!AC138</f>
        <v>0</v>
      </c>
      <c r="AD138" s="48">
        <f>'Adani Enterprises'!AD138</f>
        <v>0</v>
      </c>
      <c r="AE138" s="48">
        <f>'Adani Enterprises'!AE138</f>
        <v>0</v>
      </c>
      <c r="AF138" s="48">
        <f>'Adani Enterprises'!AF138</f>
        <v>0</v>
      </c>
      <c r="AG138" s="48">
        <f>'Adani Enterprises'!AG138</f>
        <v>0</v>
      </c>
      <c r="AH138" s="48">
        <f>'Adani Enterprises'!AH138</f>
        <v>0</v>
      </c>
      <c r="AI138" s="48">
        <f>'Adani Enterprises'!AI138</f>
        <v>0</v>
      </c>
      <c r="AJ138" s="48">
        <f>'Adani Enterprises'!AJ138</f>
        <v>0</v>
      </c>
      <c r="AK138" s="48">
        <f>'Adani Enterprises'!AK138</f>
        <v>0</v>
      </c>
      <c r="AL138" s="48">
        <f>'Adani Enterprises'!AL138</f>
        <v>0</v>
      </c>
    </row>
    <row r="139" customHeight="1" spans="1:38">
      <c r="A139" s="48">
        <f>'Adani Enterprises'!A139</f>
        <v>0</v>
      </c>
      <c r="B139" s="48">
        <f>'Adani Enterprises'!B139</f>
        <v>0</v>
      </c>
      <c r="C139" s="48">
        <f>'Adani Enterprises'!C139</f>
        <v>0</v>
      </c>
      <c r="D139" s="48">
        <f>'Adani Enterprises'!D139</f>
        <v>0</v>
      </c>
      <c r="E139" s="48">
        <f>'Adani Enterprises'!E139</f>
        <v>0</v>
      </c>
      <c r="F139" s="48">
        <f>'Adani Enterprises'!F139</f>
        <v>0</v>
      </c>
      <c r="G139" s="48">
        <f>'Adani Enterprises'!G139</f>
        <v>0</v>
      </c>
      <c r="H139" s="48">
        <f>'Adani Enterprises'!H139</f>
        <v>0</v>
      </c>
      <c r="I139" s="48">
        <f>'Adani Enterprises'!I139</f>
        <v>0</v>
      </c>
      <c r="J139" s="48">
        <f>'Adani Enterprises'!J139</f>
        <v>0</v>
      </c>
      <c r="K139" s="48">
        <f>'Adani Enterprises'!K139</f>
        <v>0</v>
      </c>
      <c r="L139" s="48">
        <f>'Adani Enterprises'!L139</f>
        <v>0</v>
      </c>
      <c r="M139" s="48">
        <f>'Adani Enterprises'!M139</f>
        <v>0</v>
      </c>
      <c r="N139" s="48">
        <f>'Adani Enterprises'!N139</f>
        <v>0</v>
      </c>
      <c r="O139" s="48">
        <f>'Adani Enterprises'!O139</f>
        <v>0</v>
      </c>
      <c r="P139" s="48">
        <f>'Adani Enterprises'!P139</f>
        <v>0</v>
      </c>
      <c r="Q139" s="48">
        <f>'Adani Enterprises'!Q139</f>
        <v>0</v>
      </c>
      <c r="R139" s="48">
        <f>'Adani Enterprises'!R139</f>
        <v>0</v>
      </c>
      <c r="S139" s="48">
        <f>'Adani Enterprises'!S139</f>
        <v>0</v>
      </c>
      <c r="T139" s="48">
        <f>'Adani Enterprises'!T139</f>
        <v>0</v>
      </c>
      <c r="U139" s="48">
        <f>'Adani Enterprises'!U139</f>
        <v>0</v>
      </c>
      <c r="V139" s="48">
        <f>'Adani Enterprises'!V139</f>
        <v>0</v>
      </c>
      <c r="W139" s="48">
        <f>'Adani Enterprises'!W139</f>
        <v>0</v>
      </c>
      <c r="X139" s="48">
        <f>'Adani Enterprises'!X139</f>
        <v>0</v>
      </c>
      <c r="Y139" s="48">
        <f>'Adani Enterprises'!Y139</f>
        <v>0</v>
      </c>
      <c r="Z139" s="48">
        <f>'Adani Enterprises'!Z139</f>
        <v>0</v>
      </c>
      <c r="AA139" s="48">
        <f>'Adani Enterprises'!AA139</f>
        <v>0</v>
      </c>
      <c r="AB139" s="48">
        <f>'Adani Enterprises'!AB139</f>
        <v>0</v>
      </c>
      <c r="AC139" s="48">
        <f>'Adani Enterprises'!AC139</f>
        <v>0</v>
      </c>
      <c r="AD139" s="48">
        <f>'Adani Enterprises'!AD139</f>
        <v>0</v>
      </c>
      <c r="AE139" s="48">
        <f>'Adani Enterprises'!AE139</f>
        <v>0</v>
      </c>
      <c r="AF139" s="48">
        <f>'Adani Enterprises'!AF139</f>
        <v>0</v>
      </c>
      <c r="AG139" s="48">
        <f>'Adani Enterprises'!AG139</f>
        <v>0</v>
      </c>
      <c r="AH139" s="48">
        <f>'Adani Enterprises'!AH139</f>
        <v>0</v>
      </c>
      <c r="AI139" s="48">
        <f>'Adani Enterprises'!AI139</f>
        <v>0</v>
      </c>
      <c r="AJ139" s="48">
        <f>'Adani Enterprises'!AJ139</f>
        <v>0</v>
      </c>
      <c r="AK139" s="48">
        <f>'Adani Enterprises'!AK139</f>
        <v>0</v>
      </c>
      <c r="AL139" s="48">
        <f>'Adani Enterprises'!AL139</f>
        <v>0</v>
      </c>
    </row>
    <row r="140" customHeight="1" spans="1:38">
      <c r="A140" s="48">
        <f>'Adani Enterprises'!A140</f>
        <v>0</v>
      </c>
      <c r="B140" s="48">
        <f>'Adani Enterprises'!B140</f>
        <v>0</v>
      </c>
      <c r="C140" s="48">
        <f>'Adani Enterprises'!C140</f>
        <v>0</v>
      </c>
      <c r="D140" s="48">
        <f>'Adani Enterprises'!D140</f>
        <v>0</v>
      </c>
      <c r="E140" s="48">
        <f>'Adani Enterprises'!E140</f>
        <v>0</v>
      </c>
      <c r="F140" s="48">
        <f>'Adani Enterprises'!F140</f>
        <v>0</v>
      </c>
      <c r="G140" s="48">
        <f>'Adani Enterprises'!G140</f>
        <v>0</v>
      </c>
      <c r="H140" s="48">
        <f>'Adani Enterprises'!H140</f>
        <v>0</v>
      </c>
      <c r="I140" s="48">
        <f>'Adani Enterprises'!I140</f>
        <v>0</v>
      </c>
      <c r="J140" s="48">
        <f>'Adani Enterprises'!J140</f>
        <v>0</v>
      </c>
      <c r="K140" s="48">
        <f>'Adani Enterprises'!K140</f>
        <v>0</v>
      </c>
      <c r="L140" s="48">
        <f>'Adani Enterprises'!L140</f>
        <v>0</v>
      </c>
      <c r="M140" s="48">
        <f>'Adani Enterprises'!M140</f>
        <v>0</v>
      </c>
      <c r="N140" s="48">
        <f>'Adani Enterprises'!N140</f>
        <v>0</v>
      </c>
      <c r="O140" s="48">
        <f>'Adani Enterprises'!O140</f>
        <v>0</v>
      </c>
      <c r="P140" s="48">
        <f>'Adani Enterprises'!P140</f>
        <v>0</v>
      </c>
      <c r="Q140" s="48">
        <f>'Adani Enterprises'!Q140</f>
        <v>0</v>
      </c>
      <c r="R140" s="48">
        <f>'Adani Enterprises'!R140</f>
        <v>0</v>
      </c>
      <c r="S140" s="48">
        <f>'Adani Enterprises'!S140</f>
        <v>0</v>
      </c>
      <c r="T140" s="48">
        <f>'Adani Enterprises'!T140</f>
        <v>0</v>
      </c>
      <c r="U140" s="48">
        <f>'Adani Enterprises'!U140</f>
        <v>0</v>
      </c>
      <c r="V140" s="48">
        <f>'Adani Enterprises'!V140</f>
        <v>0</v>
      </c>
      <c r="W140" s="48">
        <f>'Adani Enterprises'!W140</f>
        <v>0</v>
      </c>
      <c r="X140" s="48">
        <f>'Adani Enterprises'!X140</f>
        <v>0</v>
      </c>
      <c r="Y140" s="48">
        <f>'Adani Enterprises'!Y140</f>
        <v>0</v>
      </c>
      <c r="Z140" s="48">
        <f>'Adani Enterprises'!Z140</f>
        <v>0</v>
      </c>
      <c r="AA140" s="48">
        <f>'Adani Enterprises'!AA140</f>
        <v>0</v>
      </c>
      <c r="AB140" s="48">
        <f>'Adani Enterprises'!AB140</f>
        <v>0</v>
      </c>
      <c r="AC140" s="48">
        <f>'Adani Enterprises'!AC140</f>
        <v>0</v>
      </c>
      <c r="AD140" s="48">
        <f>'Adani Enterprises'!AD140</f>
        <v>0</v>
      </c>
      <c r="AE140" s="48">
        <f>'Adani Enterprises'!AE140</f>
        <v>0</v>
      </c>
      <c r="AF140" s="48">
        <f>'Adani Enterprises'!AF140</f>
        <v>0</v>
      </c>
      <c r="AG140" s="48">
        <f>'Adani Enterprises'!AG140</f>
        <v>0</v>
      </c>
      <c r="AH140" s="48">
        <f>'Adani Enterprises'!AH140</f>
        <v>0</v>
      </c>
      <c r="AI140" s="48">
        <f>'Adani Enterprises'!AI140</f>
        <v>0</v>
      </c>
      <c r="AJ140" s="48">
        <f>'Adani Enterprises'!AJ140</f>
        <v>0</v>
      </c>
      <c r="AK140" s="48">
        <f>'Adani Enterprises'!AK140</f>
        <v>0</v>
      </c>
      <c r="AL140" s="48">
        <f>'Adani Enterprises'!AL140</f>
        <v>0</v>
      </c>
    </row>
    <row r="141" customHeight="1" spans="1:38">
      <c r="A141" s="48">
        <f>'Adani Enterprises'!A141</f>
        <v>0</v>
      </c>
      <c r="B141" s="48">
        <f>'Adani Enterprises'!B141</f>
        <v>0</v>
      </c>
      <c r="C141" s="48">
        <f>'Adani Enterprises'!C141</f>
        <v>0</v>
      </c>
      <c r="D141" s="48">
        <f>'Adani Enterprises'!D141</f>
        <v>0</v>
      </c>
      <c r="E141" s="48">
        <f>'Adani Enterprises'!E141</f>
        <v>0</v>
      </c>
      <c r="F141" s="48">
        <f>'Adani Enterprises'!F141</f>
        <v>0</v>
      </c>
      <c r="G141" s="48">
        <f>'Adani Enterprises'!G141</f>
        <v>0</v>
      </c>
      <c r="H141" s="48">
        <f>'Adani Enterprises'!H141</f>
        <v>0</v>
      </c>
      <c r="I141" s="48">
        <f>'Adani Enterprises'!I141</f>
        <v>0</v>
      </c>
      <c r="J141" s="48">
        <f>'Adani Enterprises'!J141</f>
        <v>0</v>
      </c>
      <c r="K141" s="48">
        <f>'Adani Enterprises'!K141</f>
        <v>0</v>
      </c>
      <c r="L141" s="48">
        <f>'Adani Enterprises'!L141</f>
        <v>0</v>
      </c>
      <c r="M141" s="48">
        <f>'Adani Enterprises'!M141</f>
        <v>0</v>
      </c>
      <c r="N141" s="48">
        <f>'Adani Enterprises'!N141</f>
        <v>0</v>
      </c>
      <c r="O141" s="48">
        <f>'Adani Enterprises'!O141</f>
        <v>0</v>
      </c>
      <c r="P141" s="48">
        <f>'Adani Enterprises'!P141</f>
        <v>0</v>
      </c>
      <c r="Q141" s="48">
        <f>'Adani Enterprises'!Q141</f>
        <v>0</v>
      </c>
      <c r="R141" s="48">
        <f>'Adani Enterprises'!R141</f>
        <v>0</v>
      </c>
      <c r="S141" s="48">
        <f>'Adani Enterprises'!S141</f>
        <v>0</v>
      </c>
      <c r="T141" s="48">
        <f>'Adani Enterprises'!T141</f>
        <v>0</v>
      </c>
      <c r="U141" s="48">
        <f>'Adani Enterprises'!U141</f>
        <v>0</v>
      </c>
      <c r="V141" s="48">
        <f>'Adani Enterprises'!V141</f>
        <v>0</v>
      </c>
      <c r="W141" s="48">
        <f>'Adani Enterprises'!W141</f>
        <v>0</v>
      </c>
      <c r="X141" s="48">
        <f>'Adani Enterprises'!X141</f>
        <v>0</v>
      </c>
      <c r="Y141" s="48">
        <f>'Adani Enterprises'!Y141</f>
        <v>0</v>
      </c>
      <c r="Z141" s="48">
        <f>'Adani Enterprises'!Z141</f>
        <v>0</v>
      </c>
      <c r="AA141" s="48">
        <f>'Adani Enterprises'!AA141</f>
        <v>0</v>
      </c>
      <c r="AB141" s="48">
        <f>'Adani Enterprises'!AB141</f>
        <v>0</v>
      </c>
      <c r="AC141" s="48">
        <f>'Adani Enterprises'!AC141</f>
        <v>0</v>
      </c>
      <c r="AD141" s="48">
        <f>'Adani Enterprises'!AD141</f>
        <v>0</v>
      </c>
      <c r="AE141" s="48">
        <f>'Adani Enterprises'!AE141</f>
        <v>0</v>
      </c>
      <c r="AF141" s="48">
        <f>'Adani Enterprises'!AF141</f>
        <v>0</v>
      </c>
      <c r="AG141" s="48">
        <f>'Adani Enterprises'!AG141</f>
        <v>0</v>
      </c>
      <c r="AH141" s="48">
        <f>'Adani Enterprises'!AH141</f>
        <v>0</v>
      </c>
      <c r="AI141" s="48">
        <f>'Adani Enterprises'!AI141</f>
        <v>0</v>
      </c>
      <c r="AJ141" s="48">
        <f>'Adani Enterprises'!AJ141</f>
        <v>0</v>
      </c>
      <c r="AK141" s="48">
        <f>'Adani Enterprises'!AK141</f>
        <v>0</v>
      </c>
      <c r="AL141" s="48">
        <f>'Adani Enterprises'!AL141</f>
        <v>0</v>
      </c>
    </row>
    <row r="142" customHeight="1" spans="1:38">
      <c r="A142" s="48">
        <f>'Adani Enterprises'!A142</f>
        <v>0</v>
      </c>
      <c r="B142" s="48">
        <f>'Adani Enterprises'!B142</f>
        <v>0</v>
      </c>
      <c r="C142" s="48">
        <f>'Adani Enterprises'!C142</f>
        <v>0</v>
      </c>
      <c r="D142" s="48">
        <f>'Adani Enterprises'!D142</f>
        <v>0</v>
      </c>
      <c r="E142" s="48">
        <f>'Adani Enterprises'!E142</f>
        <v>0</v>
      </c>
      <c r="F142" s="48">
        <f>'Adani Enterprises'!F142</f>
        <v>0</v>
      </c>
      <c r="G142" s="48">
        <f>'Adani Enterprises'!G142</f>
        <v>0</v>
      </c>
      <c r="H142" s="48">
        <f>'Adani Enterprises'!H142</f>
        <v>0</v>
      </c>
      <c r="I142" s="48">
        <f>'Adani Enterprises'!I142</f>
        <v>0</v>
      </c>
      <c r="J142" s="48">
        <f>'Adani Enterprises'!J142</f>
        <v>0</v>
      </c>
      <c r="K142" s="48">
        <f>'Adani Enterprises'!K142</f>
        <v>0</v>
      </c>
      <c r="L142" s="48">
        <f>'Adani Enterprises'!L142</f>
        <v>0</v>
      </c>
      <c r="M142" s="48">
        <f>'Adani Enterprises'!M142</f>
        <v>0</v>
      </c>
      <c r="N142" s="48">
        <f>'Adani Enterprises'!N142</f>
        <v>0</v>
      </c>
      <c r="O142" s="48">
        <f>'Adani Enterprises'!O142</f>
        <v>0</v>
      </c>
      <c r="P142" s="48">
        <f>'Adani Enterprises'!P142</f>
        <v>0</v>
      </c>
      <c r="Q142" s="48">
        <f>'Adani Enterprises'!Q142</f>
        <v>0</v>
      </c>
      <c r="R142" s="48">
        <f>'Adani Enterprises'!R142</f>
        <v>0</v>
      </c>
      <c r="S142" s="48">
        <f>'Adani Enterprises'!S142</f>
        <v>0</v>
      </c>
      <c r="T142" s="48">
        <f>'Adani Enterprises'!T142</f>
        <v>0</v>
      </c>
      <c r="U142" s="48">
        <f>'Adani Enterprises'!U142</f>
        <v>0</v>
      </c>
      <c r="V142" s="48">
        <f>'Adani Enterprises'!V142</f>
        <v>0</v>
      </c>
      <c r="W142" s="48">
        <f>'Adani Enterprises'!W142</f>
        <v>0</v>
      </c>
      <c r="X142" s="48">
        <f>'Adani Enterprises'!X142</f>
        <v>0</v>
      </c>
      <c r="Y142" s="48">
        <f>'Adani Enterprises'!Y142</f>
        <v>0</v>
      </c>
      <c r="Z142" s="48">
        <f>'Adani Enterprises'!Z142</f>
        <v>0</v>
      </c>
      <c r="AA142" s="48">
        <f>'Adani Enterprises'!AA142</f>
        <v>0</v>
      </c>
      <c r="AB142" s="48">
        <f>'Adani Enterprises'!AB142</f>
        <v>0</v>
      </c>
      <c r="AC142" s="48">
        <f>'Adani Enterprises'!AC142</f>
        <v>0</v>
      </c>
      <c r="AD142" s="48">
        <f>'Adani Enterprises'!AD142</f>
        <v>0</v>
      </c>
      <c r="AE142" s="48">
        <f>'Adani Enterprises'!AE142</f>
        <v>0</v>
      </c>
      <c r="AF142" s="48">
        <f>'Adani Enterprises'!AF142</f>
        <v>0</v>
      </c>
      <c r="AG142" s="48">
        <f>'Adani Enterprises'!AG142</f>
        <v>0</v>
      </c>
      <c r="AH142" s="48">
        <f>'Adani Enterprises'!AH142</f>
        <v>0</v>
      </c>
      <c r="AI142" s="48">
        <f>'Adani Enterprises'!AI142</f>
        <v>0</v>
      </c>
      <c r="AJ142" s="48">
        <f>'Adani Enterprises'!AJ142</f>
        <v>0</v>
      </c>
      <c r="AK142" s="48">
        <f>'Adani Enterprises'!AK142</f>
        <v>0</v>
      </c>
      <c r="AL142" s="48">
        <f>'Adani Enterprises'!AL142</f>
        <v>0</v>
      </c>
    </row>
    <row r="143" customHeight="1" spans="1:38">
      <c r="A143" s="48">
        <f>'Adani Enterprises'!A143</f>
        <v>0</v>
      </c>
      <c r="B143" s="48">
        <f>'Adani Enterprises'!B143</f>
        <v>0</v>
      </c>
      <c r="C143" s="48">
        <f>'Adani Enterprises'!C143</f>
        <v>0</v>
      </c>
      <c r="D143" s="48">
        <f>'Adani Enterprises'!D143</f>
        <v>0</v>
      </c>
      <c r="E143" s="48">
        <f>'Adani Enterprises'!E143</f>
        <v>0</v>
      </c>
      <c r="F143" s="48">
        <f>'Adani Enterprises'!F143</f>
        <v>0</v>
      </c>
      <c r="G143" s="48">
        <f>'Adani Enterprises'!G143</f>
        <v>0</v>
      </c>
      <c r="H143" s="48">
        <f>'Adani Enterprises'!H143</f>
        <v>0</v>
      </c>
      <c r="I143" s="48">
        <f>'Adani Enterprises'!I143</f>
        <v>0</v>
      </c>
      <c r="J143" s="48">
        <f>'Adani Enterprises'!J143</f>
        <v>0</v>
      </c>
      <c r="K143" s="48">
        <f>'Adani Enterprises'!K143</f>
        <v>0</v>
      </c>
      <c r="L143" s="48">
        <f>'Adani Enterprises'!L143</f>
        <v>0</v>
      </c>
      <c r="M143" s="48">
        <f>'Adani Enterprises'!M143</f>
        <v>0</v>
      </c>
      <c r="N143" s="48">
        <f>'Adani Enterprises'!N143</f>
        <v>0</v>
      </c>
      <c r="O143" s="48">
        <f>'Adani Enterprises'!O143</f>
        <v>0</v>
      </c>
      <c r="P143" s="48">
        <f>'Adani Enterprises'!P143</f>
        <v>0</v>
      </c>
      <c r="Q143" s="48">
        <f>'Adani Enterprises'!Q143</f>
        <v>0</v>
      </c>
      <c r="R143" s="48">
        <f>'Adani Enterprises'!R143</f>
        <v>0</v>
      </c>
      <c r="S143" s="48">
        <f>'Adani Enterprises'!S143</f>
        <v>0</v>
      </c>
      <c r="T143" s="48">
        <f>'Adani Enterprises'!T143</f>
        <v>0</v>
      </c>
      <c r="U143" s="48">
        <f>'Adani Enterprises'!U143</f>
        <v>0</v>
      </c>
      <c r="V143" s="48">
        <f>'Adani Enterprises'!V143</f>
        <v>0</v>
      </c>
      <c r="W143" s="48">
        <f>'Adani Enterprises'!W143</f>
        <v>0</v>
      </c>
      <c r="X143" s="48">
        <f>'Adani Enterprises'!X143</f>
        <v>0</v>
      </c>
      <c r="Y143" s="48">
        <f>'Adani Enterprises'!Y143</f>
        <v>0</v>
      </c>
      <c r="Z143" s="48">
        <f>'Adani Enterprises'!Z143</f>
        <v>0</v>
      </c>
      <c r="AA143" s="48">
        <f>'Adani Enterprises'!AA143</f>
        <v>0</v>
      </c>
      <c r="AB143" s="48">
        <f>'Adani Enterprises'!AB143</f>
        <v>0</v>
      </c>
      <c r="AC143" s="48">
        <f>'Adani Enterprises'!AC143</f>
        <v>0</v>
      </c>
      <c r="AD143" s="48">
        <f>'Adani Enterprises'!AD143</f>
        <v>0</v>
      </c>
      <c r="AE143" s="48">
        <f>'Adani Enterprises'!AE143</f>
        <v>0</v>
      </c>
      <c r="AF143" s="48">
        <f>'Adani Enterprises'!AF143</f>
        <v>0</v>
      </c>
      <c r="AG143" s="48">
        <f>'Adani Enterprises'!AG143</f>
        <v>0</v>
      </c>
      <c r="AH143" s="48">
        <f>'Adani Enterprises'!AH143</f>
        <v>0</v>
      </c>
      <c r="AI143" s="48">
        <f>'Adani Enterprises'!AI143</f>
        <v>0</v>
      </c>
      <c r="AJ143" s="48">
        <f>'Adani Enterprises'!AJ143</f>
        <v>0</v>
      </c>
      <c r="AK143" s="48">
        <f>'Adani Enterprises'!AK143</f>
        <v>0</v>
      </c>
      <c r="AL143" s="48">
        <f>'Adani Enterprises'!AL143</f>
        <v>0</v>
      </c>
    </row>
    <row r="144" customHeight="1" spans="1:38">
      <c r="A144" s="48">
        <f>'Adani Enterprises'!A144</f>
        <v>0</v>
      </c>
      <c r="B144" s="48">
        <f>'Adani Enterprises'!B144</f>
        <v>0</v>
      </c>
      <c r="C144" s="48">
        <f>'Adani Enterprises'!C144</f>
        <v>0</v>
      </c>
      <c r="D144" s="48">
        <f>'Adani Enterprises'!D144</f>
        <v>0</v>
      </c>
      <c r="E144" s="48">
        <f>'Adani Enterprises'!E144</f>
        <v>0</v>
      </c>
      <c r="F144" s="48">
        <f>'Adani Enterprises'!F144</f>
        <v>0</v>
      </c>
      <c r="G144" s="48">
        <f>'Adani Enterprises'!G144</f>
        <v>0</v>
      </c>
      <c r="H144" s="48">
        <f>'Adani Enterprises'!H144</f>
        <v>0</v>
      </c>
      <c r="I144" s="48">
        <f>'Adani Enterprises'!I144</f>
        <v>0</v>
      </c>
      <c r="J144" s="48">
        <f>'Adani Enterprises'!J144</f>
        <v>0</v>
      </c>
      <c r="K144" s="48">
        <f>'Adani Enterprises'!K144</f>
        <v>0</v>
      </c>
      <c r="L144" s="48">
        <f>'Adani Enterprises'!L144</f>
        <v>0</v>
      </c>
      <c r="M144" s="48">
        <f>'Adani Enterprises'!M144</f>
        <v>0</v>
      </c>
      <c r="N144" s="48">
        <f>'Adani Enterprises'!N144</f>
        <v>0</v>
      </c>
      <c r="O144" s="48">
        <f>'Adani Enterprises'!O144</f>
        <v>0</v>
      </c>
      <c r="P144" s="48">
        <f>'Adani Enterprises'!P144</f>
        <v>0</v>
      </c>
      <c r="Q144" s="48">
        <f>'Adani Enterprises'!Q144</f>
        <v>0</v>
      </c>
      <c r="R144" s="48">
        <f>'Adani Enterprises'!R144</f>
        <v>0</v>
      </c>
      <c r="S144" s="48">
        <f>'Adani Enterprises'!S144</f>
        <v>0</v>
      </c>
      <c r="T144" s="48">
        <f>'Adani Enterprises'!T144</f>
        <v>0</v>
      </c>
      <c r="U144" s="48">
        <f>'Adani Enterprises'!U144</f>
        <v>0</v>
      </c>
      <c r="V144" s="48">
        <f>'Adani Enterprises'!V144</f>
        <v>0</v>
      </c>
      <c r="W144" s="48">
        <f>'Adani Enterprises'!W144</f>
        <v>0</v>
      </c>
      <c r="X144" s="48">
        <f>'Adani Enterprises'!X144</f>
        <v>0</v>
      </c>
      <c r="Y144" s="48">
        <f>'Adani Enterprises'!Y144</f>
        <v>0</v>
      </c>
      <c r="Z144" s="48">
        <f>'Adani Enterprises'!Z144</f>
        <v>0</v>
      </c>
      <c r="AA144" s="48">
        <f>'Adani Enterprises'!AA144</f>
        <v>0</v>
      </c>
      <c r="AB144" s="48">
        <f>'Adani Enterprises'!AB144</f>
        <v>0</v>
      </c>
      <c r="AC144" s="48">
        <f>'Adani Enterprises'!AC144</f>
        <v>0</v>
      </c>
      <c r="AD144" s="48">
        <f>'Adani Enterprises'!AD144</f>
        <v>0</v>
      </c>
      <c r="AE144" s="48">
        <f>'Adani Enterprises'!AE144</f>
        <v>0</v>
      </c>
      <c r="AF144" s="48">
        <f>'Adani Enterprises'!AF144</f>
        <v>0</v>
      </c>
      <c r="AG144" s="48">
        <f>'Adani Enterprises'!AG144</f>
        <v>0</v>
      </c>
      <c r="AH144" s="48">
        <f>'Adani Enterprises'!AH144</f>
        <v>0</v>
      </c>
      <c r="AI144" s="48">
        <f>'Adani Enterprises'!AI144</f>
        <v>0</v>
      </c>
      <c r="AJ144" s="48">
        <f>'Adani Enterprises'!AJ144</f>
        <v>0</v>
      </c>
      <c r="AK144" s="48">
        <f>'Adani Enterprises'!AK144</f>
        <v>0</v>
      </c>
      <c r="AL144" s="48">
        <f>'Adani Enterprises'!AL144</f>
        <v>0</v>
      </c>
    </row>
    <row r="145" customHeight="1" spans="1:38">
      <c r="A145" s="48">
        <f>'Adani Enterprises'!A145</f>
        <v>0</v>
      </c>
      <c r="B145" s="48">
        <f>'Adani Enterprises'!B145</f>
        <v>0</v>
      </c>
      <c r="C145" s="48">
        <f>'Adani Enterprises'!C145</f>
        <v>0</v>
      </c>
      <c r="D145" s="48">
        <f>'Adani Enterprises'!D145</f>
        <v>0</v>
      </c>
      <c r="E145" s="48">
        <f>'Adani Enterprises'!E145</f>
        <v>0</v>
      </c>
      <c r="F145" s="48">
        <f>'Adani Enterprises'!F145</f>
        <v>0</v>
      </c>
      <c r="G145" s="48">
        <f>'Adani Enterprises'!G145</f>
        <v>0</v>
      </c>
      <c r="H145" s="48">
        <f>'Adani Enterprises'!H145</f>
        <v>0</v>
      </c>
      <c r="I145" s="48">
        <f>'Adani Enterprises'!I145</f>
        <v>0</v>
      </c>
      <c r="J145" s="48">
        <f>'Adani Enterprises'!J145</f>
        <v>0</v>
      </c>
      <c r="K145" s="48">
        <f>'Adani Enterprises'!K145</f>
        <v>0</v>
      </c>
      <c r="L145" s="48">
        <f>'Adani Enterprises'!L145</f>
        <v>0</v>
      </c>
      <c r="M145" s="48">
        <f>'Adani Enterprises'!M145</f>
        <v>0</v>
      </c>
      <c r="N145" s="48">
        <f>'Adani Enterprises'!N145</f>
        <v>0</v>
      </c>
      <c r="O145" s="48">
        <f>'Adani Enterprises'!O145</f>
        <v>0</v>
      </c>
      <c r="P145" s="48">
        <f>'Adani Enterprises'!P145</f>
        <v>0</v>
      </c>
      <c r="Q145" s="48">
        <f>'Adani Enterprises'!Q145</f>
        <v>0</v>
      </c>
      <c r="R145" s="48">
        <f>'Adani Enterprises'!R145</f>
        <v>0</v>
      </c>
      <c r="S145" s="48">
        <f>'Adani Enterprises'!S145</f>
        <v>0</v>
      </c>
      <c r="T145" s="48">
        <f>'Adani Enterprises'!T145</f>
        <v>0</v>
      </c>
      <c r="U145" s="48">
        <f>'Adani Enterprises'!U145</f>
        <v>0</v>
      </c>
      <c r="V145" s="48">
        <f>'Adani Enterprises'!V145</f>
        <v>0</v>
      </c>
      <c r="W145" s="48">
        <f>'Adani Enterprises'!W145</f>
        <v>0</v>
      </c>
      <c r="X145" s="48">
        <f>'Adani Enterprises'!X145</f>
        <v>0</v>
      </c>
      <c r="Y145" s="48">
        <f>'Adani Enterprises'!Y145</f>
        <v>0</v>
      </c>
      <c r="Z145" s="48">
        <f>'Adani Enterprises'!Z145</f>
        <v>0</v>
      </c>
      <c r="AA145" s="48">
        <f>'Adani Enterprises'!AA145</f>
        <v>0</v>
      </c>
      <c r="AB145" s="48">
        <f>'Adani Enterprises'!AB145</f>
        <v>0</v>
      </c>
      <c r="AC145" s="48">
        <f>'Adani Enterprises'!AC145</f>
        <v>0</v>
      </c>
      <c r="AD145" s="48">
        <f>'Adani Enterprises'!AD145</f>
        <v>0</v>
      </c>
      <c r="AE145" s="48">
        <f>'Adani Enterprises'!AE145</f>
        <v>0</v>
      </c>
      <c r="AF145" s="48">
        <f>'Adani Enterprises'!AF145</f>
        <v>0</v>
      </c>
      <c r="AG145" s="48">
        <f>'Adani Enterprises'!AG145</f>
        <v>0</v>
      </c>
      <c r="AH145" s="48">
        <f>'Adani Enterprises'!AH145</f>
        <v>0</v>
      </c>
      <c r="AI145" s="48">
        <f>'Adani Enterprises'!AI145</f>
        <v>0</v>
      </c>
      <c r="AJ145" s="48">
        <f>'Adani Enterprises'!AJ145</f>
        <v>0</v>
      </c>
      <c r="AK145" s="48">
        <f>'Adani Enterprises'!AK145</f>
        <v>0</v>
      </c>
      <c r="AL145" s="48">
        <f>'Adani Enterprises'!AL145</f>
        <v>0</v>
      </c>
    </row>
    <row r="146" customHeight="1" spans="1:38">
      <c r="A146" s="48">
        <f>'Adani Enterprises'!A146</f>
        <v>0</v>
      </c>
      <c r="B146" s="48">
        <f>'Adani Enterprises'!B146</f>
        <v>0</v>
      </c>
      <c r="C146" s="48">
        <f>'Adani Enterprises'!C146</f>
        <v>0</v>
      </c>
      <c r="D146" s="48">
        <f>'Adani Enterprises'!D146</f>
        <v>0</v>
      </c>
      <c r="E146" s="48">
        <f>'Adani Enterprises'!E146</f>
        <v>0</v>
      </c>
      <c r="F146" s="48">
        <f>'Adani Enterprises'!F146</f>
        <v>0</v>
      </c>
      <c r="G146" s="48">
        <f>'Adani Enterprises'!G146</f>
        <v>0</v>
      </c>
      <c r="H146" s="48">
        <f>'Adani Enterprises'!H146</f>
        <v>0</v>
      </c>
      <c r="I146" s="48">
        <f>'Adani Enterprises'!I146</f>
        <v>0</v>
      </c>
      <c r="J146" s="48">
        <f>'Adani Enterprises'!J146</f>
        <v>0</v>
      </c>
      <c r="K146" s="48">
        <f>'Adani Enterprises'!K146</f>
        <v>0</v>
      </c>
      <c r="L146" s="48">
        <f>'Adani Enterprises'!L146</f>
        <v>0</v>
      </c>
      <c r="M146" s="48">
        <f>'Adani Enterprises'!M146</f>
        <v>0</v>
      </c>
      <c r="N146" s="48">
        <f>'Adani Enterprises'!N146</f>
        <v>0</v>
      </c>
      <c r="O146" s="48">
        <f>'Adani Enterprises'!O146</f>
        <v>0</v>
      </c>
      <c r="P146" s="48">
        <f>'Adani Enterprises'!P146</f>
        <v>0</v>
      </c>
      <c r="Q146" s="48">
        <f>'Adani Enterprises'!Q146</f>
        <v>0</v>
      </c>
      <c r="R146" s="48">
        <f>'Adani Enterprises'!R146</f>
        <v>0</v>
      </c>
      <c r="S146" s="48">
        <f>'Adani Enterprises'!S146</f>
        <v>0</v>
      </c>
      <c r="T146" s="48">
        <f>'Adani Enterprises'!T146</f>
        <v>0</v>
      </c>
      <c r="U146" s="48">
        <f>'Adani Enterprises'!U146</f>
        <v>0</v>
      </c>
      <c r="V146" s="48">
        <f>'Adani Enterprises'!V146</f>
        <v>0</v>
      </c>
      <c r="W146" s="48">
        <f>'Adani Enterprises'!W146</f>
        <v>0</v>
      </c>
      <c r="X146" s="48">
        <f>'Adani Enterprises'!X146</f>
        <v>0</v>
      </c>
      <c r="Y146" s="48">
        <f>'Adani Enterprises'!Y146</f>
        <v>0</v>
      </c>
      <c r="Z146" s="48">
        <f>'Adani Enterprises'!Z146</f>
        <v>0</v>
      </c>
      <c r="AA146" s="48">
        <f>'Adani Enterprises'!AA146</f>
        <v>0</v>
      </c>
      <c r="AB146" s="48">
        <f>'Adani Enterprises'!AB146</f>
        <v>0</v>
      </c>
      <c r="AC146" s="48">
        <f>'Adani Enterprises'!AC146</f>
        <v>0</v>
      </c>
      <c r="AD146" s="48">
        <f>'Adani Enterprises'!AD146</f>
        <v>0</v>
      </c>
      <c r="AE146" s="48">
        <f>'Adani Enterprises'!AE146</f>
        <v>0</v>
      </c>
      <c r="AF146" s="48">
        <f>'Adani Enterprises'!AF146</f>
        <v>0</v>
      </c>
      <c r="AG146" s="48">
        <f>'Adani Enterprises'!AG146</f>
        <v>0</v>
      </c>
      <c r="AH146" s="48">
        <f>'Adani Enterprises'!AH146</f>
        <v>0</v>
      </c>
      <c r="AI146" s="48">
        <f>'Adani Enterprises'!AI146</f>
        <v>0</v>
      </c>
      <c r="AJ146" s="48">
        <f>'Adani Enterprises'!AJ146</f>
        <v>0</v>
      </c>
      <c r="AK146" s="48">
        <f>'Adani Enterprises'!AK146</f>
        <v>0</v>
      </c>
      <c r="AL146" s="48">
        <f>'Adani Enterprises'!AL146</f>
        <v>0</v>
      </c>
    </row>
    <row r="147" customHeight="1" spans="1:38">
      <c r="A147" s="48">
        <f>'Adani Enterprises'!A147</f>
        <v>0</v>
      </c>
      <c r="B147" s="48">
        <f>'Adani Enterprises'!B147</f>
        <v>0</v>
      </c>
      <c r="C147" s="48">
        <f>'Adani Enterprises'!C147</f>
        <v>0</v>
      </c>
      <c r="D147" s="48">
        <f>'Adani Enterprises'!D147</f>
        <v>0</v>
      </c>
      <c r="E147" s="48">
        <f>'Adani Enterprises'!E147</f>
        <v>0</v>
      </c>
      <c r="F147" s="48">
        <f>'Adani Enterprises'!F147</f>
        <v>0</v>
      </c>
      <c r="G147" s="48">
        <f>'Adani Enterprises'!G147</f>
        <v>0</v>
      </c>
      <c r="H147" s="48">
        <f>'Adani Enterprises'!H147</f>
        <v>0</v>
      </c>
      <c r="I147" s="48">
        <f>'Adani Enterprises'!I147</f>
        <v>0</v>
      </c>
      <c r="J147" s="48">
        <f>'Adani Enterprises'!J147</f>
        <v>0</v>
      </c>
      <c r="K147" s="48">
        <f>'Adani Enterprises'!K147</f>
        <v>0</v>
      </c>
      <c r="L147" s="48">
        <f>'Adani Enterprises'!L147</f>
        <v>0</v>
      </c>
      <c r="M147" s="48">
        <f>'Adani Enterprises'!M147</f>
        <v>0</v>
      </c>
      <c r="N147" s="48">
        <f>'Adani Enterprises'!N147</f>
        <v>0</v>
      </c>
      <c r="O147" s="48">
        <f>'Adani Enterprises'!O147</f>
        <v>0</v>
      </c>
      <c r="P147" s="48">
        <f>'Adani Enterprises'!P147</f>
        <v>0</v>
      </c>
      <c r="Q147" s="48">
        <f>'Adani Enterprises'!Q147</f>
        <v>0</v>
      </c>
      <c r="R147" s="48">
        <f>'Adani Enterprises'!R147</f>
        <v>0</v>
      </c>
      <c r="S147" s="48">
        <f>'Adani Enterprises'!S147</f>
        <v>0</v>
      </c>
      <c r="T147" s="48">
        <f>'Adani Enterprises'!T147</f>
        <v>0</v>
      </c>
      <c r="U147" s="48">
        <f>'Adani Enterprises'!U147</f>
        <v>0</v>
      </c>
      <c r="V147" s="48">
        <f>'Adani Enterprises'!V147</f>
        <v>0</v>
      </c>
      <c r="W147" s="48">
        <f>'Adani Enterprises'!W147</f>
        <v>0</v>
      </c>
      <c r="X147" s="48">
        <f>'Adani Enterprises'!X147</f>
        <v>0</v>
      </c>
      <c r="Y147" s="48">
        <f>'Adani Enterprises'!Y147</f>
        <v>0</v>
      </c>
      <c r="Z147" s="48">
        <f>'Adani Enterprises'!Z147</f>
        <v>0</v>
      </c>
      <c r="AA147" s="48">
        <f>'Adani Enterprises'!AA147</f>
        <v>0</v>
      </c>
      <c r="AB147" s="48">
        <f>'Adani Enterprises'!AB147</f>
        <v>0</v>
      </c>
      <c r="AC147" s="48">
        <f>'Adani Enterprises'!AC147</f>
        <v>0</v>
      </c>
      <c r="AD147" s="48">
        <f>'Adani Enterprises'!AD147</f>
        <v>0</v>
      </c>
      <c r="AE147" s="48">
        <f>'Adani Enterprises'!AE147</f>
        <v>0</v>
      </c>
      <c r="AF147" s="48">
        <f>'Adani Enterprises'!AF147</f>
        <v>0</v>
      </c>
      <c r="AG147" s="48">
        <f>'Adani Enterprises'!AG147</f>
        <v>0</v>
      </c>
      <c r="AH147" s="48">
        <f>'Adani Enterprises'!AH147</f>
        <v>0</v>
      </c>
      <c r="AI147" s="48">
        <f>'Adani Enterprises'!AI147</f>
        <v>0</v>
      </c>
      <c r="AJ147" s="48">
        <f>'Adani Enterprises'!AJ147</f>
        <v>0</v>
      </c>
      <c r="AK147" s="48">
        <f>'Adani Enterprises'!AK147</f>
        <v>0</v>
      </c>
      <c r="AL147" s="48">
        <f>'Adani Enterprises'!AL147</f>
        <v>0</v>
      </c>
    </row>
    <row r="148" customHeight="1" spans="1:38">
      <c r="A148" s="48">
        <f>'Adani Enterprises'!A148</f>
        <v>0</v>
      </c>
      <c r="B148" s="48">
        <f>'Adani Enterprises'!B148</f>
        <v>0</v>
      </c>
      <c r="C148" s="48">
        <f>'Adani Enterprises'!C148</f>
        <v>0</v>
      </c>
      <c r="D148" s="48">
        <f>'Adani Enterprises'!D148</f>
        <v>0</v>
      </c>
      <c r="E148" s="48">
        <f>'Adani Enterprises'!E148</f>
        <v>0</v>
      </c>
      <c r="F148" s="48">
        <f>'Adani Enterprises'!F148</f>
        <v>0</v>
      </c>
      <c r="G148" s="48">
        <f>'Adani Enterprises'!G148</f>
        <v>0</v>
      </c>
      <c r="H148" s="48">
        <f>'Adani Enterprises'!H148</f>
        <v>0</v>
      </c>
      <c r="I148" s="48">
        <f>'Adani Enterprises'!I148</f>
        <v>0</v>
      </c>
      <c r="J148" s="48">
        <f>'Adani Enterprises'!J148</f>
        <v>0</v>
      </c>
      <c r="K148" s="48">
        <f>'Adani Enterprises'!K148</f>
        <v>0</v>
      </c>
      <c r="L148" s="48">
        <f>'Adani Enterprises'!L148</f>
        <v>0</v>
      </c>
      <c r="M148" s="48">
        <f>'Adani Enterprises'!M148</f>
        <v>0</v>
      </c>
      <c r="N148" s="48">
        <f>'Adani Enterprises'!N148</f>
        <v>0</v>
      </c>
      <c r="O148" s="48">
        <f>'Adani Enterprises'!O148</f>
        <v>0</v>
      </c>
      <c r="P148" s="48">
        <f>'Adani Enterprises'!P148</f>
        <v>0</v>
      </c>
      <c r="Q148" s="48">
        <f>'Adani Enterprises'!Q148</f>
        <v>0</v>
      </c>
      <c r="R148" s="48">
        <f>'Adani Enterprises'!R148</f>
        <v>0</v>
      </c>
      <c r="S148" s="48">
        <f>'Adani Enterprises'!S148</f>
        <v>0</v>
      </c>
      <c r="T148" s="48">
        <f>'Adani Enterprises'!T148</f>
        <v>0</v>
      </c>
      <c r="U148" s="48">
        <f>'Adani Enterprises'!U148</f>
        <v>0</v>
      </c>
      <c r="V148" s="48">
        <f>'Adani Enterprises'!V148</f>
        <v>0</v>
      </c>
      <c r="W148" s="48">
        <f>'Adani Enterprises'!W148</f>
        <v>0</v>
      </c>
      <c r="X148" s="48">
        <f>'Adani Enterprises'!X148</f>
        <v>0</v>
      </c>
      <c r="Y148" s="48">
        <f>'Adani Enterprises'!Y148</f>
        <v>0</v>
      </c>
      <c r="Z148" s="48">
        <f>'Adani Enterprises'!Z148</f>
        <v>0</v>
      </c>
      <c r="AA148" s="48">
        <f>'Adani Enterprises'!AA148</f>
        <v>0</v>
      </c>
      <c r="AB148" s="48">
        <f>'Adani Enterprises'!AB148</f>
        <v>0</v>
      </c>
      <c r="AC148" s="48">
        <f>'Adani Enterprises'!AC148</f>
        <v>0</v>
      </c>
      <c r="AD148" s="48">
        <f>'Adani Enterprises'!AD148</f>
        <v>0</v>
      </c>
      <c r="AE148" s="48">
        <f>'Adani Enterprises'!AE148</f>
        <v>0</v>
      </c>
      <c r="AF148" s="48">
        <f>'Adani Enterprises'!AF148</f>
        <v>0</v>
      </c>
      <c r="AG148" s="48">
        <f>'Adani Enterprises'!AG148</f>
        <v>0</v>
      </c>
      <c r="AH148" s="48">
        <f>'Adani Enterprises'!AH148</f>
        <v>0</v>
      </c>
      <c r="AI148" s="48">
        <f>'Adani Enterprises'!AI148</f>
        <v>0</v>
      </c>
      <c r="AJ148" s="48">
        <f>'Adani Enterprises'!AJ148</f>
        <v>0</v>
      </c>
      <c r="AK148" s="48">
        <f>'Adani Enterprises'!AK148</f>
        <v>0</v>
      </c>
      <c r="AL148" s="48">
        <f>'Adani Enterprises'!AL148</f>
        <v>0</v>
      </c>
    </row>
    <row r="149" customHeight="1" spans="1:38">
      <c r="A149" s="48">
        <f>'Adani Enterprises'!A149</f>
        <v>0</v>
      </c>
      <c r="B149" s="48">
        <f>'Adani Enterprises'!B149</f>
        <v>0</v>
      </c>
      <c r="C149" s="48">
        <f>'Adani Enterprises'!C149</f>
        <v>0</v>
      </c>
      <c r="D149" s="48">
        <f>'Adani Enterprises'!D149</f>
        <v>0</v>
      </c>
      <c r="E149" s="48">
        <f>'Adani Enterprises'!E149</f>
        <v>0</v>
      </c>
      <c r="F149" s="48">
        <f>'Adani Enterprises'!F149</f>
        <v>0</v>
      </c>
      <c r="G149" s="48">
        <f>'Adani Enterprises'!G149</f>
        <v>0</v>
      </c>
      <c r="H149" s="48">
        <f>'Adani Enterprises'!H149</f>
        <v>0</v>
      </c>
      <c r="I149" s="48">
        <f>'Adani Enterprises'!I149</f>
        <v>0</v>
      </c>
      <c r="J149" s="48">
        <f>'Adani Enterprises'!J149</f>
        <v>0</v>
      </c>
      <c r="K149" s="48">
        <f>'Adani Enterprises'!K149</f>
        <v>0</v>
      </c>
      <c r="L149" s="48">
        <f>'Adani Enterprises'!L149</f>
        <v>0</v>
      </c>
      <c r="M149" s="48">
        <f>'Adani Enterprises'!M149</f>
        <v>0</v>
      </c>
      <c r="N149" s="48">
        <f>'Adani Enterprises'!N149</f>
        <v>0</v>
      </c>
      <c r="O149" s="48">
        <f>'Adani Enterprises'!O149</f>
        <v>0</v>
      </c>
      <c r="P149" s="48">
        <f>'Adani Enterprises'!P149</f>
        <v>0</v>
      </c>
      <c r="Q149" s="48">
        <f>'Adani Enterprises'!Q149</f>
        <v>0</v>
      </c>
      <c r="R149" s="48">
        <f>'Adani Enterprises'!R149</f>
        <v>0</v>
      </c>
      <c r="S149" s="48">
        <f>'Adani Enterprises'!S149</f>
        <v>0</v>
      </c>
      <c r="T149" s="48">
        <f>'Adani Enterprises'!T149</f>
        <v>0</v>
      </c>
      <c r="U149" s="48">
        <f>'Adani Enterprises'!U149</f>
        <v>0</v>
      </c>
      <c r="V149" s="48">
        <f>'Adani Enterprises'!V149</f>
        <v>0</v>
      </c>
      <c r="W149" s="48">
        <f>'Adani Enterprises'!W149</f>
        <v>0</v>
      </c>
      <c r="X149" s="48">
        <f>'Adani Enterprises'!X149</f>
        <v>0</v>
      </c>
      <c r="Y149" s="48">
        <f>'Adani Enterprises'!Y149</f>
        <v>0</v>
      </c>
      <c r="Z149" s="48">
        <f>'Adani Enterprises'!Z149</f>
        <v>0</v>
      </c>
      <c r="AA149" s="48">
        <f>'Adani Enterprises'!AA149</f>
        <v>0</v>
      </c>
      <c r="AB149" s="48">
        <f>'Adani Enterprises'!AB149</f>
        <v>0</v>
      </c>
      <c r="AC149" s="48">
        <f>'Adani Enterprises'!AC149</f>
        <v>0</v>
      </c>
      <c r="AD149" s="48">
        <f>'Adani Enterprises'!AD149</f>
        <v>0</v>
      </c>
      <c r="AE149" s="48">
        <f>'Adani Enterprises'!AE149</f>
        <v>0</v>
      </c>
      <c r="AF149" s="48">
        <f>'Adani Enterprises'!AF149</f>
        <v>0</v>
      </c>
      <c r="AG149" s="48">
        <f>'Adani Enterprises'!AG149</f>
        <v>0</v>
      </c>
      <c r="AH149" s="48">
        <f>'Adani Enterprises'!AH149</f>
        <v>0</v>
      </c>
      <c r="AI149" s="48">
        <f>'Adani Enterprises'!AI149</f>
        <v>0</v>
      </c>
      <c r="AJ149" s="48">
        <f>'Adani Enterprises'!AJ149</f>
        <v>0</v>
      </c>
      <c r="AK149" s="48">
        <f>'Adani Enterprises'!AK149</f>
        <v>0</v>
      </c>
      <c r="AL149" s="48">
        <f>'Adani Enterprises'!AL149</f>
        <v>0</v>
      </c>
    </row>
    <row r="150" customHeight="1" spans="1:38">
      <c r="A150" s="48">
        <f>'Adani Enterprises'!A150</f>
        <v>0</v>
      </c>
      <c r="B150" s="48">
        <f>'Adani Enterprises'!B150</f>
        <v>0</v>
      </c>
      <c r="C150" s="48">
        <f>'Adani Enterprises'!C150</f>
        <v>0</v>
      </c>
      <c r="D150" s="48">
        <f>'Adani Enterprises'!D150</f>
        <v>0</v>
      </c>
      <c r="E150" s="48">
        <f>'Adani Enterprises'!E150</f>
        <v>0</v>
      </c>
      <c r="F150" s="48">
        <f>'Adani Enterprises'!F150</f>
        <v>0</v>
      </c>
      <c r="G150" s="48">
        <f>'Adani Enterprises'!G150</f>
        <v>0</v>
      </c>
      <c r="H150" s="48">
        <f>'Adani Enterprises'!H150</f>
        <v>0</v>
      </c>
      <c r="I150" s="48">
        <f>'Adani Enterprises'!I150</f>
        <v>0</v>
      </c>
      <c r="J150" s="48">
        <f>'Adani Enterprises'!J150</f>
        <v>0</v>
      </c>
      <c r="K150" s="48">
        <f>'Adani Enterprises'!K150</f>
        <v>0</v>
      </c>
      <c r="L150" s="48">
        <f>'Adani Enterprises'!L150</f>
        <v>0</v>
      </c>
      <c r="M150" s="48">
        <f>'Adani Enterprises'!M150</f>
        <v>0</v>
      </c>
      <c r="N150" s="48">
        <f>'Adani Enterprises'!N150</f>
        <v>0</v>
      </c>
      <c r="O150" s="48">
        <f>'Adani Enterprises'!O150</f>
        <v>0</v>
      </c>
      <c r="P150" s="48">
        <f>'Adani Enterprises'!P150</f>
        <v>0</v>
      </c>
      <c r="Q150" s="48">
        <f>'Adani Enterprises'!Q150</f>
        <v>0</v>
      </c>
      <c r="R150" s="48">
        <f>'Adani Enterprises'!R150</f>
        <v>0</v>
      </c>
      <c r="S150" s="48">
        <f>'Adani Enterprises'!S150</f>
        <v>0</v>
      </c>
      <c r="T150" s="48">
        <f>'Adani Enterprises'!T150</f>
        <v>0</v>
      </c>
      <c r="U150" s="48">
        <f>'Adani Enterprises'!U150</f>
        <v>0</v>
      </c>
      <c r="V150" s="48">
        <f>'Adani Enterprises'!V150</f>
        <v>0</v>
      </c>
      <c r="W150" s="48">
        <f>'Adani Enterprises'!W150</f>
        <v>0</v>
      </c>
      <c r="X150" s="48">
        <f>'Adani Enterprises'!X150</f>
        <v>0</v>
      </c>
      <c r="Y150" s="48">
        <f>'Adani Enterprises'!Y150</f>
        <v>0</v>
      </c>
      <c r="Z150" s="48">
        <f>'Adani Enterprises'!Z150</f>
        <v>0</v>
      </c>
      <c r="AA150" s="48">
        <f>'Adani Enterprises'!AA150</f>
        <v>0</v>
      </c>
      <c r="AB150" s="48">
        <f>'Adani Enterprises'!AB150</f>
        <v>0</v>
      </c>
      <c r="AC150" s="48">
        <f>'Adani Enterprises'!AC150</f>
        <v>0</v>
      </c>
      <c r="AD150" s="48">
        <f>'Adani Enterprises'!AD150</f>
        <v>0</v>
      </c>
      <c r="AE150" s="48">
        <f>'Adani Enterprises'!AE150</f>
        <v>0</v>
      </c>
      <c r="AF150" s="48">
        <f>'Adani Enterprises'!AF150</f>
        <v>0</v>
      </c>
      <c r="AG150" s="48">
        <f>'Adani Enterprises'!AG150</f>
        <v>0</v>
      </c>
      <c r="AH150" s="48">
        <f>'Adani Enterprises'!AH150</f>
        <v>0</v>
      </c>
      <c r="AI150" s="48">
        <f>'Adani Enterprises'!AI150</f>
        <v>0</v>
      </c>
      <c r="AJ150" s="48">
        <f>'Adani Enterprises'!AJ150</f>
        <v>0</v>
      </c>
      <c r="AK150" s="48">
        <f>'Adani Enterprises'!AK150</f>
        <v>0</v>
      </c>
      <c r="AL150" s="48">
        <f>'Adani Enterprises'!AL150</f>
        <v>0</v>
      </c>
    </row>
    <row r="151" customHeight="1" spans="1:38">
      <c r="A151" s="48">
        <f>'Adani Enterprises'!A151</f>
        <v>0</v>
      </c>
      <c r="B151" s="48">
        <f>'Adani Enterprises'!B151</f>
        <v>0</v>
      </c>
      <c r="C151" s="48">
        <f>'Adani Enterprises'!C151</f>
        <v>0</v>
      </c>
      <c r="D151" s="48">
        <f>'Adani Enterprises'!D151</f>
        <v>0</v>
      </c>
      <c r="E151" s="48">
        <f>'Adani Enterprises'!E151</f>
        <v>0</v>
      </c>
      <c r="F151" s="48">
        <f>'Adani Enterprises'!F151</f>
        <v>0</v>
      </c>
      <c r="G151" s="48">
        <f>'Adani Enterprises'!G151</f>
        <v>0</v>
      </c>
      <c r="H151" s="48">
        <f>'Adani Enterprises'!H151</f>
        <v>0</v>
      </c>
      <c r="I151" s="48">
        <f>'Adani Enterprises'!I151</f>
        <v>0</v>
      </c>
      <c r="J151" s="48">
        <f>'Adani Enterprises'!J151</f>
        <v>0</v>
      </c>
      <c r="K151" s="48">
        <f>'Adani Enterprises'!K151</f>
        <v>0</v>
      </c>
      <c r="L151" s="48">
        <f>'Adani Enterprises'!L151</f>
        <v>0</v>
      </c>
      <c r="M151" s="48">
        <f>'Adani Enterprises'!M151</f>
        <v>0</v>
      </c>
      <c r="N151" s="48">
        <f>'Adani Enterprises'!N151</f>
        <v>0</v>
      </c>
      <c r="O151" s="48">
        <f>'Adani Enterprises'!O151</f>
        <v>0</v>
      </c>
      <c r="P151" s="48">
        <f>'Adani Enterprises'!P151</f>
        <v>0</v>
      </c>
      <c r="Q151" s="48">
        <f>'Adani Enterprises'!Q151</f>
        <v>0</v>
      </c>
      <c r="R151" s="48">
        <f>'Adani Enterprises'!R151</f>
        <v>0</v>
      </c>
      <c r="S151" s="48">
        <f>'Adani Enterprises'!S151</f>
        <v>0</v>
      </c>
      <c r="T151" s="48">
        <f>'Adani Enterprises'!T151</f>
        <v>0</v>
      </c>
      <c r="U151" s="48">
        <f>'Adani Enterprises'!U151</f>
        <v>0</v>
      </c>
      <c r="V151" s="48">
        <f>'Adani Enterprises'!V151</f>
        <v>0</v>
      </c>
      <c r="W151" s="48">
        <f>'Adani Enterprises'!W151</f>
        <v>0</v>
      </c>
      <c r="X151" s="48">
        <f>'Adani Enterprises'!X151</f>
        <v>0</v>
      </c>
      <c r="Y151" s="48">
        <f>'Adani Enterprises'!Y151</f>
        <v>0</v>
      </c>
      <c r="Z151" s="48">
        <f>'Adani Enterprises'!Z151</f>
        <v>0</v>
      </c>
      <c r="AA151" s="48">
        <f>'Adani Enterprises'!AA151</f>
        <v>0</v>
      </c>
      <c r="AB151" s="48">
        <f>'Adani Enterprises'!AB151</f>
        <v>0</v>
      </c>
      <c r="AC151" s="48">
        <f>'Adani Enterprises'!AC151</f>
        <v>0</v>
      </c>
      <c r="AD151" s="48">
        <f>'Adani Enterprises'!AD151</f>
        <v>0</v>
      </c>
      <c r="AE151" s="48">
        <f>'Adani Enterprises'!AE151</f>
        <v>0</v>
      </c>
      <c r="AF151" s="48">
        <f>'Adani Enterprises'!AF151</f>
        <v>0</v>
      </c>
      <c r="AG151" s="48">
        <f>'Adani Enterprises'!AG151</f>
        <v>0</v>
      </c>
      <c r="AH151" s="48">
        <f>'Adani Enterprises'!AH151</f>
        <v>0</v>
      </c>
      <c r="AI151" s="48">
        <f>'Adani Enterprises'!AI151</f>
        <v>0</v>
      </c>
      <c r="AJ151" s="48">
        <f>'Adani Enterprises'!AJ151</f>
        <v>0</v>
      </c>
      <c r="AK151" s="48">
        <f>'Adani Enterprises'!AK151</f>
        <v>0</v>
      </c>
      <c r="AL151" s="48">
        <f>'Adani Enterprises'!AL151</f>
        <v>0</v>
      </c>
    </row>
    <row r="152" customHeight="1" spans="1:38">
      <c r="A152" s="48">
        <f>'Adani Enterprises'!A152</f>
        <v>0</v>
      </c>
      <c r="B152" s="48">
        <f>'Adani Enterprises'!B152</f>
        <v>0</v>
      </c>
      <c r="C152" s="48">
        <f>'Adani Enterprises'!C152</f>
        <v>0</v>
      </c>
      <c r="D152" s="48">
        <f>'Adani Enterprises'!D152</f>
        <v>0</v>
      </c>
      <c r="E152" s="48">
        <f>'Adani Enterprises'!E152</f>
        <v>0</v>
      </c>
      <c r="F152" s="48">
        <f>'Adani Enterprises'!F152</f>
        <v>0</v>
      </c>
      <c r="G152" s="48">
        <f>'Adani Enterprises'!G152</f>
        <v>0</v>
      </c>
      <c r="H152" s="48">
        <f>'Adani Enterprises'!H152</f>
        <v>0</v>
      </c>
      <c r="I152" s="48">
        <f>'Adani Enterprises'!I152</f>
        <v>0</v>
      </c>
      <c r="J152" s="48">
        <f>'Adani Enterprises'!J152</f>
        <v>0</v>
      </c>
      <c r="K152" s="48">
        <f>'Adani Enterprises'!K152</f>
        <v>0</v>
      </c>
      <c r="L152" s="48">
        <f>'Adani Enterprises'!L152</f>
        <v>0</v>
      </c>
      <c r="M152" s="48">
        <f>'Adani Enterprises'!M152</f>
        <v>0</v>
      </c>
      <c r="N152" s="48">
        <f>'Adani Enterprises'!N152</f>
        <v>0</v>
      </c>
      <c r="O152" s="48">
        <f>'Adani Enterprises'!O152</f>
        <v>0</v>
      </c>
      <c r="P152" s="48">
        <f>'Adani Enterprises'!P152</f>
        <v>0</v>
      </c>
      <c r="Q152" s="48">
        <f>'Adani Enterprises'!Q152</f>
        <v>0</v>
      </c>
      <c r="R152" s="48">
        <f>'Adani Enterprises'!R152</f>
        <v>0</v>
      </c>
      <c r="S152" s="48">
        <f>'Adani Enterprises'!S152</f>
        <v>0</v>
      </c>
      <c r="T152" s="48">
        <f>'Adani Enterprises'!T152</f>
        <v>0</v>
      </c>
      <c r="U152" s="48">
        <f>'Adani Enterprises'!U152</f>
        <v>0</v>
      </c>
      <c r="V152" s="48">
        <f>'Adani Enterprises'!V152</f>
        <v>0</v>
      </c>
      <c r="W152" s="48">
        <f>'Adani Enterprises'!W152</f>
        <v>0</v>
      </c>
      <c r="X152" s="48">
        <f>'Adani Enterprises'!X152</f>
        <v>0</v>
      </c>
      <c r="Y152" s="48">
        <f>'Adani Enterprises'!Y152</f>
        <v>0</v>
      </c>
      <c r="Z152" s="48">
        <f>'Adani Enterprises'!Z152</f>
        <v>0</v>
      </c>
      <c r="AA152" s="48">
        <f>'Adani Enterprises'!AA152</f>
        <v>0</v>
      </c>
      <c r="AB152" s="48">
        <f>'Adani Enterprises'!AB152</f>
        <v>0</v>
      </c>
      <c r="AC152" s="48">
        <f>'Adani Enterprises'!AC152</f>
        <v>0</v>
      </c>
      <c r="AD152" s="48">
        <f>'Adani Enterprises'!AD152</f>
        <v>0</v>
      </c>
      <c r="AE152" s="48">
        <f>'Adani Enterprises'!AE152</f>
        <v>0</v>
      </c>
      <c r="AF152" s="48">
        <f>'Adani Enterprises'!AF152</f>
        <v>0</v>
      </c>
      <c r="AG152" s="48">
        <f>'Adani Enterprises'!AG152</f>
        <v>0</v>
      </c>
      <c r="AH152" s="48">
        <f>'Adani Enterprises'!AH152</f>
        <v>0</v>
      </c>
      <c r="AI152" s="48">
        <f>'Adani Enterprises'!AI152</f>
        <v>0</v>
      </c>
      <c r="AJ152" s="48">
        <f>'Adani Enterprises'!AJ152</f>
        <v>0</v>
      </c>
      <c r="AK152" s="48">
        <f>'Adani Enterprises'!AK152</f>
        <v>0</v>
      </c>
      <c r="AL152" s="48">
        <f>'Adani Enterprises'!AL152</f>
        <v>0</v>
      </c>
    </row>
    <row r="153" customHeight="1" spans="1:38">
      <c r="A153" s="48">
        <f>'Adani Enterprises'!A153</f>
        <v>0</v>
      </c>
      <c r="B153" s="48">
        <f>'Adani Enterprises'!B153</f>
        <v>0</v>
      </c>
      <c r="C153" s="48">
        <f>'Adani Enterprises'!C153</f>
        <v>0</v>
      </c>
      <c r="D153" s="48">
        <f>'Adani Enterprises'!D153</f>
        <v>0</v>
      </c>
      <c r="E153" s="48">
        <f>'Adani Enterprises'!E153</f>
        <v>0</v>
      </c>
      <c r="F153" s="48">
        <f>'Adani Enterprises'!F153</f>
        <v>0</v>
      </c>
      <c r="G153" s="48">
        <f>'Adani Enterprises'!G153</f>
        <v>0</v>
      </c>
      <c r="H153" s="48">
        <f>'Adani Enterprises'!H153</f>
        <v>0</v>
      </c>
      <c r="I153" s="48">
        <f>'Adani Enterprises'!I153</f>
        <v>0</v>
      </c>
      <c r="J153" s="48">
        <f>'Adani Enterprises'!J153</f>
        <v>0</v>
      </c>
      <c r="K153" s="48">
        <f>'Adani Enterprises'!K153</f>
        <v>0</v>
      </c>
      <c r="L153" s="48">
        <f>'Adani Enterprises'!L153</f>
        <v>0</v>
      </c>
      <c r="M153" s="48">
        <f>'Adani Enterprises'!M153</f>
        <v>0</v>
      </c>
      <c r="N153" s="48">
        <f>'Adani Enterprises'!N153</f>
        <v>0</v>
      </c>
      <c r="O153" s="48">
        <f>'Adani Enterprises'!O153</f>
        <v>0</v>
      </c>
      <c r="P153" s="48">
        <f>'Adani Enterprises'!P153</f>
        <v>0</v>
      </c>
      <c r="Q153" s="48">
        <f>'Adani Enterprises'!Q153</f>
        <v>0</v>
      </c>
      <c r="R153" s="48">
        <f>'Adani Enterprises'!R153</f>
        <v>0</v>
      </c>
      <c r="S153" s="48">
        <f>'Adani Enterprises'!S153</f>
        <v>0</v>
      </c>
      <c r="T153" s="48">
        <f>'Adani Enterprises'!T153</f>
        <v>0</v>
      </c>
      <c r="U153" s="48">
        <f>'Adani Enterprises'!U153</f>
        <v>0</v>
      </c>
      <c r="V153" s="48">
        <f>'Adani Enterprises'!V153</f>
        <v>0</v>
      </c>
      <c r="W153" s="48">
        <f>'Adani Enterprises'!W153</f>
        <v>0</v>
      </c>
      <c r="X153" s="48">
        <f>'Adani Enterprises'!X153</f>
        <v>0</v>
      </c>
      <c r="Y153" s="48">
        <f>'Adani Enterprises'!Y153</f>
        <v>0</v>
      </c>
      <c r="Z153" s="48">
        <f>'Adani Enterprises'!Z153</f>
        <v>0</v>
      </c>
      <c r="AA153" s="48">
        <f>'Adani Enterprises'!AA153</f>
        <v>0</v>
      </c>
      <c r="AB153" s="48">
        <f>'Adani Enterprises'!AB153</f>
        <v>0</v>
      </c>
      <c r="AC153" s="48">
        <f>'Adani Enterprises'!AC153</f>
        <v>0</v>
      </c>
      <c r="AD153" s="48">
        <f>'Adani Enterprises'!AD153</f>
        <v>0</v>
      </c>
      <c r="AE153" s="48">
        <f>'Adani Enterprises'!AE153</f>
        <v>0</v>
      </c>
      <c r="AF153" s="48">
        <f>'Adani Enterprises'!AF153</f>
        <v>0</v>
      </c>
      <c r="AG153" s="48">
        <f>'Adani Enterprises'!AG153</f>
        <v>0</v>
      </c>
      <c r="AH153" s="48">
        <f>'Adani Enterprises'!AH153</f>
        <v>0</v>
      </c>
      <c r="AI153" s="48">
        <f>'Adani Enterprises'!AI153</f>
        <v>0</v>
      </c>
      <c r="AJ153" s="48">
        <f>'Adani Enterprises'!AJ153</f>
        <v>0</v>
      </c>
      <c r="AK153" s="48">
        <f>'Adani Enterprises'!AK153</f>
        <v>0</v>
      </c>
      <c r="AL153" s="48">
        <f>'Adani Enterprises'!AL153</f>
        <v>0</v>
      </c>
    </row>
    <row r="154" customHeight="1" spans="1:38">
      <c r="A154" s="48">
        <f>'Adani Enterprises'!A154</f>
        <v>0</v>
      </c>
      <c r="B154" s="48">
        <f>'Adani Enterprises'!B154</f>
        <v>0</v>
      </c>
      <c r="C154" s="48">
        <f>'Adani Enterprises'!C154</f>
        <v>0</v>
      </c>
      <c r="D154" s="48">
        <f>'Adani Enterprises'!D154</f>
        <v>0</v>
      </c>
      <c r="E154" s="48">
        <f>'Adani Enterprises'!E154</f>
        <v>0</v>
      </c>
      <c r="F154" s="48">
        <f>'Adani Enterprises'!F154</f>
        <v>0</v>
      </c>
      <c r="G154" s="48">
        <f>'Adani Enterprises'!G154</f>
        <v>0</v>
      </c>
      <c r="H154" s="48">
        <f>'Adani Enterprises'!H154</f>
        <v>0</v>
      </c>
      <c r="I154" s="48">
        <f>'Adani Enterprises'!I154</f>
        <v>0</v>
      </c>
      <c r="J154" s="48">
        <f>'Adani Enterprises'!J154</f>
        <v>0</v>
      </c>
      <c r="K154" s="48">
        <f>'Adani Enterprises'!K154</f>
        <v>0</v>
      </c>
      <c r="L154" s="48">
        <f>'Adani Enterprises'!L154</f>
        <v>0</v>
      </c>
      <c r="M154" s="48">
        <f>'Adani Enterprises'!M154</f>
        <v>0</v>
      </c>
      <c r="N154" s="48">
        <f>'Adani Enterprises'!N154</f>
        <v>0</v>
      </c>
      <c r="O154" s="48">
        <f>'Adani Enterprises'!O154</f>
        <v>0</v>
      </c>
      <c r="P154" s="48">
        <f>'Adani Enterprises'!P154</f>
        <v>0</v>
      </c>
      <c r="Q154" s="48">
        <f>'Adani Enterprises'!Q154</f>
        <v>0</v>
      </c>
      <c r="R154" s="48">
        <f>'Adani Enterprises'!R154</f>
        <v>0</v>
      </c>
      <c r="S154" s="48">
        <f>'Adani Enterprises'!S154</f>
        <v>0</v>
      </c>
      <c r="T154" s="48">
        <f>'Adani Enterprises'!T154</f>
        <v>0</v>
      </c>
      <c r="U154" s="48">
        <f>'Adani Enterprises'!U154</f>
        <v>0</v>
      </c>
      <c r="V154" s="48">
        <f>'Adani Enterprises'!V154</f>
        <v>0</v>
      </c>
      <c r="W154" s="48">
        <f>'Adani Enterprises'!W154</f>
        <v>0</v>
      </c>
      <c r="X154" s="48">
        <f>'Adani Enterprises'!X154</f>
        <v>0</v>
      </c>
      <c r="Y154" s="48">
        <f>'Adani Enterprises'!Y154</f>
        <v>0</v>
      </c>
      <c r="Z154" s="48">
        <f>'Adani Enterprises'!Z154</f>
        <v>0</v>
      </c>
      <c r="AA154" s="48">
        <f>'Adani Enterprises'!AA154</f>
        <v>0</v>
      </c>
      <c r="AB154" s="48">
        <f>'Adani Enterprises'!AB154</f>
        <v>0</v>
      </c>
      <c r="AC154" s="48">
        <f>'Adani Enterprises'!AC154</f>
        <v>0</v>
      </c>
      <c r="AD154" s="48">
        <f>'Adani Enterprises'!AD154</f>
        <v>0</v>
      </c>
      <c r="AE154" s="48">
        <f>'Adani Enterprises'!AE154</f>
        <v>0</v>
      </c>
      <c r="AF154" s="48">
        <f>'Adani Enterprises'!AF154</f>
        <v>0</v>
      </c>
      <c r="AG154" s="48">
        <f>'Adani Enterprises'!AG154</f>
        <v>0</v>
      </c>
      <c r="AH154" s="48">
        <f>'Adani Enterprises'!AH154</f>
        <v>0</v>
      </c>
      <c r="AI154" s="48">
        <f>'Adani Enterprises'!AI154</f>
        <v>0</v>
      </c>
      <c r="AJ154" s="48">
        <f>'Adani Enterprises'!AJ154</f>
        <v>0</v>
      </c>
      <c r="AK154" s="48">
        <f>'Adani Enterprises'!AK154</f>
        <v>0</v>
      </c>
      <c r="AL154" s="48">
        <f>'Adani Enterprises'!AL154</f>
        <v>0</v>
      </c>
    </row>
    <row r="155" customHeight="1" spans="1:38">
      <c r="A155" s="48">
        <f>'Adani Enterprises'!A155</f>
        <v>0</v>
      </c>
      <c r="B155" s="48">
        <f>'Adani Enterprises'!B155</f>
        <v>0</v>
      </c>
      <c r="C155" s="48">
        <f>'Adani Enterprises'!C155</f>
        <v>0</v>
      </c>
      <c r="D155" s="48">
        <f>'Adani Enterprises'!D155</f>
        <v>0</v>
      </c>
      <c r="E155" s="48">
        <f>'Adani Enterprises'!E155</f>
        <v>0</v>
      </c>
      <c r="F155" s="48">
        <f>'Adani Enterprises'!F155</f>
        <v>0</v>
      </c>
      <c r="G155" s="48">
        <f>'Adani Enterprises'!G155</f>
        <v>0</v>
      </c>
      <c r="H155" s="48">
        <f>'Adani Enterprises'!H155</f>
        <v>0</v>
      </c>
      <c r="I155" s="48">
        <f>'Adani Enterprises'!I155</f>
        <v>0</v>
      </c>
      <c r="J155" s="48">
        <f>'Adani Enterprises'!J155</f>
        <v>0</v>
      </c>
      <c r="K155" s="48">
        <f>'Adani Enterprises'!K155</f>
        <v>0</v>
      </c>
      <c r="L155" s="48">
        <f>'Adani Enterprises'!L155</f>
        <v>0</v>
      </c>
      <c r="M155" s="48">
        <f>'Adani Enterprises'!M155</f>
        <v>0</v>
      </c>
      <c r="N155" s="48">
        <f>'Adani Enterprises'!N155</f>
        <v>0</v>
      </c>
      <c r="O155" s="48">
        <f>'Adani Enterprises'!O155</f>
        <v>0</v>
      </c>
      <c r="P155" s="48">
        <f>'Adani Enterprises'!P155</f>
        <v>0</v>
      </c>
      <c r="Q155" s="48">
        <f>'Adani Enterprises'!Q155</f>
        <v>0</v>
      </c>
      <c r="R155" s="48">
        <f>'Adani Enterprises'!R155</f>
        <v>0</v>
      </c>
      <c r="S155" s="48">
        <f>'Adani Enterprises'!S155</f>
        <v>0</v>
      </c>
      <c r="T155" s="48">
        <f>'Adani Enterprises'!T155</f>
        <v>0</v>
      </c>
      <c r="U155" s="48">
        <f>'Adani Enterprises'!U155</f>
        <v>0</v>
      </c>
      <c r="V155" s="48">
        <f>'Adani Enterprises'!V155</f>
        <v>0</v>
      </c>
      <c r="W155" s="48">
        <f>'Adani Enterprises'!W155</f>
        <v>0</v>
      </c>
      <c r="X155" s="48">
        <f>'Adani Enterprises'!X155</f>
        <v>0</v>
      </c>
      <c r="Y155" s="48">
        <f>'Adani Enterprises'!Y155</f>
        <v>0</v>
      </c>
      <c r="Z155" s="48">
        <f>'Adani Enterprises'!Z155</f>
        <v>0</v>
      </c>
      <c r="AA155" s="48">
        <f>'Adani Enterprises'!AA155</f>
        <v>0</v>
      </c>
      <c r="AB155" s="48">
        <f>'Adani Enterprises'!AB155</f>
        <v>0</v>
      </c>
      <c r="AC155" s="48">
        <f>'Adani Enterprises'!AC155</f>
        <v>0</v>
      </c>
      <c r="AD155" s="48">
        <f>'Adani Enterprises'!AD155</f>
        <v>0</v>
      </c>
      <c r="AE155" s="48">
        <f>'Adani Enterprises'!AE155</f>
        <v>0</v>
      </c>
      <c r="AF155" s="48">
        <f>'Adani Enterprises'!AF155</f>
        <v>0</v>
      </c>
      <c r="AG155" s="48">
        <f>'Adani Enterprises'!AG155</f>
        <v>0</v>
      </c>
      <c r="AH155" s="48">
        <f>'Adani Enterprises'!AH155</f>
        <v>0</v>
      </c>
      <c r="AI155" s="48">
        <f>'Adani Enterprises'!AI155</f>
        <v>0</v>
      </c>
      <c r="AJ155" s="48">
        <f>'Adani Enterprises'!AJ155</f>
        <v>0</v>
      </c>
      <c r="AK155" s="48">
        <f>'Adani Enterprises'!AK155</f>
        <v>0</v>
      </c>
      <c r="AL155" s="48">
        <f>'Adani Enterprises'!AL155</f>
        <v>0</v>
      </c>
    </row>
    <row r="156" customHeight="1" spans="1:38">
      <c r="A156" s="48">
        <f>'Adani Enterprises'!A156</f>
        <v>0</v>
      </c>
      <c r="B156" s="48">
        <f>'Adani Enterprises'!B156</f>
        <v>0</v>
      </c>
      <c r="C156" s="48">
        <f>'Adani Enterprises'!C156</f>
        <v>0</v>
      </c>
      <c r="D156" s="48">
        <f>'Adani Enterprises'!D156</f>
        <v>0</v>
      </c>
      <c r="E156" s="48">
        <f>'Adani Enterprises'!E156</f>
        <v>0</v>
      </c>
      <c r="F156" s="48">
        <f>'Adani Enterprises'!F156</f>
        <v>0</v>
      </c>
      <c r="G156" s="48">
        <f>'Adani Enterprises'!G156</f>
        <v>0</v>
      </c>
      <c r="H156" s="48">
        <f>'Adani Enterprises'!H156</f>
        <v>0</v>
      </c>
      <c r="I156" s="48">
        <f>'Adani Enterprises'!I156</f>
        <v>0</v>
      </c>
      <c r="J156" s="48">
        <f>'Adani Enterprises'!J156</f>
        <v>0</v>
      </c>
      <c r="K156" s="48">
        <f>'Adani Enterprises'!K156</f>
        <v>0</v>
      </c>
      <c r="L156" s="48">
        <f>'Adani Enterprises'!L156</f>
        <v>0</v>
      </c>
      <c r="M156" s="48">
        <f>'Adani Enterprises'!M156</f>
        <v>0</v>
      </c>
      <c r="N156" s="48">
        <f>'Adani Enterprises'!N156</f>
        <v>0</v>
      </c>
      <c r="O156" s="48">
        <f>'Adani Enterprises'!O156</f>
        <v>0</v>
      </c>
      <c r="P156" s="48">
        <f>'Adani Enterprises'!P156</f>
        <v>0</v>
      </c>
      <c r="Q156" s="48">
        <f>'Adani Enterprises'!Q156</f>
        <v>0</v>
      </c>
      <c r="R156" s="48">
        <f>'Adani Enterprises'!R156</f>
        <v>0</v>
      </c>
      <c r="S156" s="48">
        <f>'Adani Enterprises'!S156</f>
        <v>0</v>
      </c>
      <c r="T156" s="48">
        <f>'Adani Enterprises'!T156</f>
        <v>0</v>
      </c>
      <c r="U156" s="48">
        <f>'Adani Enterprises'!U156</f>
        <v>0</v>
      </c>
      <c r="V156" s="48">
        <f>'Adani Enterprises'!V156</f>
        <v>0</v>
      </c>
      <c r="W156" s="48">
        <f>'Adani Enterprises'!W156</f>
        <v>0</v>
      </c>
      <c r="X156" s="48">
        <f>'Adani Enterprises'!X156</f>
        <v>0</v>
      </c>
      <c r="Y156" s="48">
        <f>'Adani Enterprises'!Y156</f>
        <v>0</v>
      </c>
      <c r="Z156" s="48">
        <f>'Adani Enterprises'!Z156</f>
        <v>0</v>
      </c>
      <c r="AA156" s="48">
        <f>'Adani Enterprises'!AA156</f>
        <v>0</v>
      </c>
      <c r="AB156" s="48">
        <f>'Adani Enterprises'!AB156</f>
        <v>0</v>
      </c>
      <c r="AC156" s="48">
        <f>'Adani Enterprises'!AC156</f>
        <v>0</v>
      </c>
      <c r="AD156" s="48">
        <f>'Adani Enterprises'!AD156</f>
        <v>0</v>
      </c>
      <c r="AE156" s="48">
        <f>'Adani Enterprises'!AE156</f>
        <v>0</v>
      </c>
      <c r="AF156" s="48">
        <f>'Adani Enterprises'!AF156</f>
        <v>0</v>
      </c>
      <c r="AG156" s="48">
        <f>'Adani Enterprises'!AG156</f>
        <v>0</v>
      </c>
      <c r="AH156" s="48">
        <f>'Adani Enterprises'!AH156</f>
        <v>0</v>
      </c>
      <c r="AI156" s="48">
        <f>'Adani Enterprises'!AI156</f>
        <v>0</v>
      </c>
      <c r="AJ156" s="48">
        <f>'Adani Enterprises'!AJ156</f>
        <v>0</v>
      </c>
      <c r="AK156" s="48">
        <f>'Adani Enterprises'!AK156</f>
        <v>0</v>
      </c>
      <c r="AL156" s="48">
        <f>'Adani Enterprises'!AL156</f>
        <v>0</v>
      </c>
    </row>
    <row r="157" customHeight="1" spans="1:38">
      <c r="A157" s="48">
        <f>'Adani Enterprises'!A157</f>
        <v>0</v>
      </c>
      <c r="B157" s="48">
        <f>'Adani Enterprises'!B157</f>
        <v>0</v>
      </c>
      <c r="C157" s="48">
        <f>'Adani Enterprises'!C157</f>
        <v>0</v>
      </c>
      <c r="D157" s="48">
        <f>'Adani Enterprises'!D157</f>
        <v>0</v>
      </c>
      <c r="E157" s="48">
        <f>'Adani Enterprises'!E157</f>
        <v>0</v>
      </c>
      <c r="F157" s="48">
        <f>'Adani Enterprises'!F157</f>
        <v>0</v>
      </c>
      <c r="G157" s="48">
        <f>'Adani Enterprises'!G157</f>
        <v>0</v>
      </c>
      <c r="H157" s="48">
        <f>'Adani Enterprises'!H157</f>
        <v>0</v>
      </c>
      <c r="I157" s="48">
        <f>'Adani Enterprises'!I157</f>
        <v>0</v>
      </c>
      <c r="J157" s="48">
        <f>'Adani Enterprises'!J157</f>
        <v>0</v>
      </c>
      <c r="K157" s="48">
        <f>'Adani Enterprises'!K157</f>
        <v>0</v>
      </c>
      <c r="L157" s="48">
        <f>'Adani Enterprises'!L157</f>
        <v>0</v>
      </c>
      <c r="M157" s="48">
        <f>'Adani Enterprises'!M157</f>
        <v>0</v>
      </c>
      <c r="N157" s="48">
        <f>'Adani Enterprises'!N157</f>
        <v>0</v>
      </c>
      <c r="O157" s="48">
        <f>'Adani Enterprises'!O157</f>
        <v>0</v>
      </c>
      <c r="P157" s="48">
        <f>'Adani Enterprises'!P157</f>
        <v>0</v>
      </c>
      <c r="Q157" s="48">
        <f>'Adani Enterprises'!Q157</f>
        <v>0</v>
      </c>
      <c r="R157" s="48">
        <f>'Adani Enterprises'!R157</f>
        <v>0</v>
      </c>
      <c r="S157" s="48">
        <f>'Adani Enterprises'!S157</f>
        <v>0</v>
      </c>
      <c r="T157" s="48">
        <f>'Adani Enterprises'!T157</f>
        <v>0</v>
      </c>
      <c r="U157" s="48">
        <f>'Adani Enterprises'!U157</f>
        <v>0</v>
      </c>
      <c r="V157" s="48">
        <f>'Adani Enterprises'!V157</f>
        <v>0</v>
      </c>
      <c r="W157" s="48">
        <f>'Adani Enterprises'!W157</f>
        <v>0</v>
      </c>
      <c r="X157" s="48">
        <f>'Adani Enterprises'!X157</f>
        <v>0</v>
      </c>
      <c r="Y157" s="48">
        <f>'Adani Enterprises'!Y157</f>
        <v>0</v>
      </c>
      <c r="Z157" s="48">
        <f>'Adani Enterprises'!Z157</f>
        <v>0</v>
      </c>
      <c r="AA157" s="48">
        <f>'Adani Enterprises'!AA157</f>
        <v>0</v>
      </c>
      <c r="AB157" s="48">
        <f>'Adani Enterprises'!AB157</f>
        <v>0</v>
      </c>
      <c r="AC157" s="48">
        <f>'Adani Enterprises'!AC157</f>
        <v>0</v>
      </c>
      <c r="AD157" s="48">
        <f>'Adani Enterprises'!AD157</f>
        <v>0</v>
      </c>
      <c r="AE157" s="48">
        <f>'Adani Enterprises'!AE157</f>
        <v>0</v>
      </c>
      <c r="AF157" s="48">
        <f>'Adani Enterprises'!AF157</f>
        <v>0</v>
      </c>
      <c r="AG157" s="48">
        <f>'Adani Enterprises'!AG157</f>
        <v>0</v>
      </c>
      <c r="AH157" s="48">
        <f>'Adani Enterprises'!AH157</f>
        <v>0</v>
      </c>
      <c r="AI157" s="48">
        <f>'Adani Enterprises'!AI157</f>
        <v>0</v>
      </c>
      <c r="AJ157" s="48">
        <f>'Adani Enterprises'!AJ157</f>
        <v>0</v>
      </c>
      <c r="AK157" s="48">
        <f>'Adani Enterprises'!AK157</f>
        <v>0</v>
      </c>
      <c r="AL157" s="48">
        <f>'Adani Enterprises'!AL157</f>
        <v>0</v>
      </c>
    </row>
    <row r="158" customHeight="1" spans="1:38">
      <c r="A158" s="48">
        <f>'Adani Enterprises'!A158</f>
        <v>0</v>
      </c>
      <c r="B158" s="48">
        <f>'Adani Enterprises'!B158</f>
        <v>0</v>
      </c>
      <c r="C158" s="48">
        <f>'Adani Enterprises'!C158</f>
        <v>0</v>
      </c>
      <c r="D158" s="48">
        <f>'Adani Enterprises'!D158</f>
        <v>0</v>
      </c>
      <c r="E158" s="48">
        <f>'Adani Enterprises'!E158</f>
        <v>0</v>
      </c>
      <c r="F158" s="48">
        <f>'Adani Enterprises'!F158</f>
        <v>0</v>
      </c>
      <c r="G158" s="48">
        <f>'Adani Enterprises'!G158</f>
        <v>0</v>
      </c>
      <c r="H158" s="48">
        <f>'Adani Enterprises'!H158</f>
        <v>0</v>
      </c>
      <c r="I158" s="48">
        <f>'Adani Enterprises'!I158</f>
        <v>0</v>
      </c>
      <c r="J158" s="48">
        <f>'Adani Enterprises'!J158</f>
        <v>0</v>
      </c>
      <c r="K158" s="48">
        <f>'Adani Enterprises'!K158</f>
        <v>0</v>
      </c>
      <c r="L158" s="48">
        <f>'Adani Enterprises'!L158</f>
        <v>0</v>
      </c>
      <c r="M158" s="48">
        <f>'Adani Enterprises'!M158</f>
        <v>0</v>
      </c>
      <c r="N158" s="48">
        <f>'Adani Enterprises'!N158</f>
        <v>0</v>
      </c>
      <c r="O158" s="48">
        <f>'Adani Enterprises'!O158</f>
        <v>0</v>
      </c>
      <c r="P158" s="48">
        <f>'Adani Enterprises'!P158</f>
        <v>0</v>
      </c>
      <c r="Q158" s="48">
        <f>'Adani Enterprises'!Q158</f>
        <v>0</v>
      </c>
      <c r="R158" s="48">
        <f>'Adani Enterprises'!R158</f>
        <v>0</v>
      </c>
      <c r="S158" s="48">
        <f>'Adani Enterprises'!S158</f>
        <v>0</v>
      </c>
      <c r="T158" s="48">
        <f>'Adani Enterprises'!T158</f>
        <v>0</v>
      </c>
      <c r="U158" s="48">
        <f>'Adani Enterprises'!U158</f>
        <v>0</v>
      </c>
      <c r="V158" s="48">
        <f>'Adani Enterprises'!V158</f>
        <v>0</v>
      </c>
      <c r="W158" s="48">
        <f>'Adani Enterprises'!W158</f>
        <v>0</v>
      </c>
      <c r="X158" s="48">
        <f>'Adani Enterprises'!X158</f>
        <v>0</v>
      </c>
      <c r="Y158" s="48">
        <f>'Adani Enterprises'!Y158</f>
        <v>0</v>
      </c>
      <c r="Z158" s="48">
        <f>'Adani Enterprises'!Z158</f>
        <v>0</v>
      </c>
      <c r="AA158" s="48">
        <f>'Adani Enterprises'!AA158</f>
        <v>0</v>
      </c>
      <c r="AB158" s="48">
        <f>'Adani Enterprises'!AB158</f>
        <v>0</v>
      </c>
      <c r="AC158" s="48">
        <f>'Adani Enterprises'!AC158</f>
        <v>0</v>
      </c>
      <c r="AD158" s="48">
        <f>'Adani Enterprises'!AD158</f>
        <v>0</v>
      </c>
      <c r="AE158" s="48">
        <f>'Adani Enterprises'!AE158</f>
        <v>0</v>
      </c>
      <c r="AF158" s="48">
        <f>'Adani Enterprises'!AF158</f>
        <v>0</v>
      </c>
      <c r="AG158" s="48">
        <f>'Adani Enterprises'!AG158</f>
        <v>0</v>
      </c>
      <c r="AH158" s="48">
        <f>'Adani Enterprises'!AH158</f>
        <v>0</v>
      </c>
      <c r="AI158" s="48">
        <f>'Adani Enterprises'!AI158</f>
        <v>0</v>
      </c>
      <c r="AJ158" s="48">
        <f>'Adani Enterprises'!AJ158</f>
        <v>0</v>
      </c>
      <c r="AK158" s="48">
        <f>'Adani Enterprises'!AK158</f>
        <v>0</v>
      </c>
      <c r="AL158" s="48">
        <f>'Adani Enterprises'!AL158</f>
        <v>0</v>
      </c>
    </row>
    <row r="159" customHeight="1" spans="1:38">
      <c r="A159" s="48">
        <f>'Adani Enterprises'!A159</f>
        <v>0</v>
      </c>
      <c r="B159" s="48">
        <f>'Adani Enterprises'!B159</f>
        <v>0</v>
      </c>
      <c r="C159" s="48">
        <f>'Adani Enterprises'!C159</f>
        <v>0</v>
      </c>
      <c r="D159" s="48">
        <f>'Adani Enterprises'!D159</f>
        <v>0</v>
      </c>
      <c r="E159" s="48">
        <f>'Adani Enterprises'!E159</f>
        <v>0</v>
      </c>
      <c r="F159" s="48">
        <f>'Adani Enterprises'!F159</f>
        <v>0</v>
      </c>
      <c r="G159" s="48">
        <f>'Adani Enterprises'!G159</f>
        <v>0</v>
      </c>
      <c r="H159" s="48">
        <f>'Adani Enterprises'!H159</f>
        <v>0</v>
      </c>
      <c r="I159" s="48">
        <f>'Adani Enterprises'!I159</f>
        <v>0</v>
      </c>
      <c r="J159" s="48">
        <f>'Adani Enterprises'!J159</f>
        <v>0</v>
      </c>
      <c r="K159" s="48">
        <f>'Adani Enterprises'!K159</f>
        <v>0</v>
      </c>
      <c r="L159" s="48">
        <f>'Adani Enterprises'!L159</f>
        <v>0</v>
      </c>
      <c r="M159" s="48">
        <f>'Adani Enterprises'!M159</f>
        <v>0</v>
      </c>
      <c r="N159" s="48">
        <f>'Adani Enterprises'!N159</f>
        <v>0</v>
      </c>
      <c r="O159" s="48">
        <f>'Adani Enterprises'!O159</f>
        <v>0</v>
      </c>
      <c r="P159" s="48">
        <f>'Adani Enterprises'!P159</f>
        <v>0</v>
      </c>
      <c r="Q159" s="48">
        <f>'Adani Enterprises'!Q159</f>
        <v>0</v>
      </c>
      <c r="R159" s="48">
        <f>'Adani Enterprises'!R159</f>
        <v>0</v>
      </c>
      <c r="S159" s="48">
        <f>'Adani Enterprises'!S159</f>
        <v>0</v>
      </c>
      <c r="T159" s="48">
        <f>'Adani Enterprises'!T159</f>
        <v>0</v>
      </c>
      <c r="U159" s="48">
        <f>'Adani Enterprises'!U159</f>
        <v>0</v>
      </c>
      <c r="V159" s="48">
        <f>'Adani Enterprises'!V159</f>
        <v>0</v>
      </c>
      <c r="W159" s="48">
        <f>'Adani Enterprises'!W159</f>
        <v>0</v>
      </c>
      <c r="X159" s="48">
        <f>'Adani Enterprises'!X159</f>
        <v>0</v>
      </c>
      <c r="Y159" s="48">
        <f>'Adani Enterprises'!Y159</f>
        <v>0</v>
      </c>
      <c r="Z159" s="48">
        <f>'Adani Enterprises'!Z159</f>
        <v>0</v>
      </c>
      <c r="AA159" s="48">
        <f>'Adani Enterprises'!AA159</f>
        <v>0</v>
      </c>
      <c r="AB159" s="48">
        <f>'Adani Enterprises'!AB159</f>
        <v>0</v>
      </c>
      <c r="AC159" s="48">
        <f>'Adani Enterprises'!AC159</f>
        <v>0</v>
      </c>
      <c r="AD159" s="48">
        <f>'Adani Enterprises'!AD159</f>
        <v>0</v>
      </c>
      <c r="AE159" s="48">
        <f>'Adani Enterprises'!AE159</f>
        <v>0</v>
      </c>
      <c r="AF159" s="48">
        <f>'Adani Enterprises'!AF159</f>
        <v>0</v>
      </c>
      <c r="AG159" s="48">
        <f>'Adani Enterprises'!AG159</f>
        <v>0</v>
      </c>
      <c r="AH159" s="48">
        <f>'Adani Enterprises'!AH159</f>
        <v>0</v>
      </c>
      <c r="AI159" s="48">
        <f>'Adani Enterprises'!AI159</f>
        <v>0</v>
      </c>
      <c r="AJ159" s="48">
        <f>'Adani Enterprises'!AJ159</f>
        <v>0</v>
      </c>
      <c r="AK159" s="48">
        <f>'Adani Enterprises'!AK159</f>
        <v>0</v>
      </c>
      <c r="AL159" s="48">
        <f>'Adani Enterprises'!AL159</f>
        <v>0</v>
      </c>
    </row>
    <row r="160" customHeight="1" spans="1:38">
      <c r="A160" s="48">
        <f>'Adani Enterprises'!A160</f>
        <v>0</v>
      </c>
      <c r="B160" s="48">
        <f>'Adani Enterprises'!B160</f>
        <v>0</v>
      </c>
      <c r="C160" s="48">
        <f>'Adani Enterprises'!C160</f>
        <v>0</v>
      </c>
      <c r="D160" s="48">
        <f>'Adani Enterprises'!D160</f>
        <v>0</v>
      </c>
      <c r="E160" s="48">
        <f>'Adani Enterprises'!E160</f>
        <v>0</v>
      </c>
      <c r="F160" s="48">
        <f>'Adani Enterprises'!F160</f>
        <v>0</v>
      </c>
      <c r="G160" s="48">
        <f>'Adani Enterprises'!G160</f>
        <v>0</v>
      </c>
      <c r="H160" s="48">
        <f>'Adani Enterprises'!H160</f>
        <v>0</v>
      </c>
      <c r="I160" s="48">
        <f>'Adani Enterprises'!I160</f>
        <v>0</v>
      </c>
      <c r="J160" s="48">
        <f>'Adani Enterprises'!J160</f>
        <v>0</v>
      </c>
      <c r="K160" s="48">
        <f>'Adani Enterprises'!K160</f>
        <v>0</v>
      </c>
      <c r="L160" s="48">
        <f>'Adani Enterprises'!L160</f>
        <v>0</v>
      </c>
      <c r="M160" s="48">
        <f>'Adani Enterprises'!M160</f>
        <v>0</v>
      </c>
      <c r="N160" s="48">
        <f>'Adani Enterprises'!N160</f>
        <v>0</v>
      </c>
      <c r="O160" s="48">
        <f>'Adani Enterprises'!O160</f>
        <v>0</v>
      </c>
      <c r="P160" s="48">
        <f>'Adani Enterprises'!P160</f>
        <v>0</v>
      </c>
      <c r="Q160" s="48">
        <f>'Adani Enterprises'!Q160</f>
        <v>0</v>
      </c>
      <c r="R160" s="48">
        <f>'Adani Enterprises'!R160</f>
        <v>0</v>
      </c>
      <c r="S160" s="48">
        <f>'Adani Enterprises'!S160</f>
        <v>0</v>
      </c>
      <c r="T160" s="48">
        <f>'Adani Enterprises'!T160</f>
        <v>0</v>
      </c>
      <c r="U160" s="48">
        <f>'Adani Enterprises'!U160</f>
        <v>0</v>
      </c>
      <c r="V160" s="48">
        <f>'Adani Enterprises'!V160</f>
        <v>0</v>
      </c>
      <c r="W160" s="48">
        <f>'Adani Enterprises'!W160</f>
        <v>0</v>
      </c>
      <c r="X160" s="48">
        <f>'Adani Enterprises'!X160</f>
        <v>0</v>
      </c>
      <c r="Y160" s="48">
        <f>'Adani Enterprises'!Y160</f>
        <v>0</v>
      </c>
      <c r="Z160" s="48">
        <f>'Adani Enterprises'!Z160</f>
        <v>0</v>
      </c>
      <c r="AA160" s="48">
        <f>'Adani Enterprises'!AA160</f>
        <v>0</v>
      </c>
      <c r="AB160" s="48">
        <f>'Adani Enterprises'!AB160</f>
        <v>0</v>
      </c>
      <c r="AC160" s="48">
        <f>'Adani Enterprises'!AC160</f>
        <v>0</v>
      </c>
      <c r="AD160" s="48">
        <f>'Adani Enterprises'!AD160</f>
        <v>0</v>
      </c>
      <c r="AE160" s="48">
        <f>'Adani Enterprises'!AE160</f>
        <v>0</v>
      </c>
      <c r="AF160" s="48">
        <f>'Adani Enterprises'!AF160</f>
        <v>0</v>
      </c>
      <c r="AG160" s="48">
        <f>'Adani Enterprises'!AG160</f>
        <v>0</v>
      </c>
      <c r="AH160" s="48">
        <f>'Adani Enterprises'!AH160</f>
        <v>0</v>
      </c>
      <c r="AI160" s="48">
        <f>'Adani Enterprises'!AI160</f>
        <v>0</v>
      </c>
      <c r="AJ160" s="48">
        <f>'Adani Enterprises'!AJ160</f>
        <v>0</v>
      </c>
      <c r="AK160" s="48">
        <f>'Adani Enterprises'!AK160</f>
        <v>0</v>
      </c>
      <c r="AL160" s="48">
        <f>'Adani Enterprises'!AL160</f>
        <v>0</v>
      </c>
    </row>
    <row r="161" customHeight="1" spans="1:38">
      <c r="A161" s="48">
        <f>'Adani Enterprises'!A161</f>
        <v>0</v>
      </c>
      <c r="B161" s="48">
        <f>'Adani Enterprises'!B161</f>
        <v>0</v>
      </c>
      <c r="C161" s="48">
        <f>'Adani Enterprises'!C161</f>
        <v>0</v>
      </c>
      <c r="D161" s="48">
        <f>'Adani Enterprises'!D161</f>
        <v>0</v>
      </c>
      <c r="E161" s="48">
        <f>'Adani Enterprises'!E161</f>
        <v>0</v>
      </c>
      <c r="F161" s="48">
        <f>'Adani Enterprises'!F161</f>
        <v>0</v>
      </c>
      <c r="G161" s="48">
        <f>'Adani Enterprises'!G161</f>
        <v>0</v>
      </c>
      <c r="H161" s="48">
        <f>'Adani Enterprises'!H161</f>
        <v>0</v>
      </c>
      <c r="I161" s="48">
        <f>'Adani Enterprises'!I161</f>
        <v>0</v>
      </c>
      <c r="J161" s="48">
        <f>'Adani Enterprises'!J161</f>
        <v>0</v>
      </c>
      <c r="K161" s="48">
        <f>'Adani Enterprises'!K161</f>
        <v>0</v>
      </c>
      <c r="L161" s="48">
        <f>'Adani Enterprises'!L161</f>
        <v>0</v>
      </c>
      <c r="M161" s="48">
        <f>'Adani Enterprises'!M161</f>
        <v>0</v>
      </c>
      <c r="N161" s="48">
        <f>'Adani Enterprises'!N161</f>
        <v>0</v>
      </c>
      <c r="O161" s="48">
        <f>'Adani Enterprises'!O161</f>
        <v>0</v>
      </c>
      <c r="P161" s="48">
        <f>'Adani Enterprises'!P161</f>
        <v>0</v>
      </c>
      <c r="Q161" s="48">
        <f>'Adani Enterprises'!Q161</f>
        <v>0</v>
      </c>
      <c r="R161" s="48">
        <f>'Adani Enterprises'!R161</f>
        <v>0</v>
      </c>
      <c r="S161" s="48">
        <f>'Adani Enterprises'!S161</f>
        <v>0</v>
      </c>
      <c r="T161" s="48">
        <f>'Adani Enterprises'!T161</f>
        <v>0</v>
      </c>
      <c r="U161" s="48">
        <f>'Adani Enterprises'!U161</f>
        <v>0</v>
      </c>
      <c r="V161" s="48">
        <f>'Adani Enterprises'!V161</f>
        <v>0</v>
      </c>
      <c r="W161" s="48">
        <f>'Adani Enterprises'!W161</f>
        <v>0</v>
      </c>
      <c r="X161" s="48">
        <f>'Adani Enterprises'!X161</f>
        <v>0</v>
      </c>
      <c r="Y161" s="48">
        <f>'Adani Enterprises'!Y161</f>
        <v>0</v>
      </c>
      <c r="Z161" s="48">
        <f>'Adani Enterprises'!Z161</f>
        <v>0</v>
      </c>
      <c r="AA161" s="48">
        <f>'Adani Enterprises'!AA161</f>
        <v>0</v>
      </c>
      <c r="AB161" s="48">
        <f>'Adani Enterprises'!AB161</f>
        <v>0</v>
      </c>
      <c r="AC161" s="48">
        <f>'Adani Enterprises'!AC161</f>
        <v>0</v>
      </c>
      <c r="AD161" s="48">
        <f>'Adani Enterprises'!AD161</f>
        <v>0</v>
      </c>
      <c r="AE161" s="48">
        <f>'Adani Enterprises'!AE161</f>
        <v>0</v>
      </c>
      <c r="AF161" s="48">
        <f>'Adani Enterprises'!AF161</f>
        <v>0</v>
      </c>
      <c r="AG161" s="48">
        <f>'Adani Enterprises'!AG161</f>
        <v>0</v>
      </c>
      <c r="AH161" s="48">
        <f>'Adani Enterprises'!AH161</f>
        <v>0</v>
      </c>
      <c r="AI161" s="48">
        <f>'Adani Enterprises'!AI161</f>
        <v>0</v>
      </c>
      <c r="AJ161" s="48">
        <f>'Adani Enterprises'!AJ161</f>
        <v>0</v>
      </c>
      <c r="AK161" s="48">
        <f>'Adani Enterprises'!AK161</f>
        <v>0</v>
      </c>
      <c r="AL161" s="48">
        <f>'Adani Enterprises'!AL161</f>
        <v>0</v>
      </c>
    </row>
    <row r="162" customHeight="1" spans="1:38">
      <c r="A162" s="48">
        <f>'Adani Enterprises'!A162</f>
        <v>0</v>
      </c>
      <c r="B162" s="48">
        <f>'Adani Enterprises'!B162</f>
        <v>0</v>
      </c>
      <c r="C162" s="48">
        <f>'Adani Enterprises'!C162</f>
        <v>0</v>
      </c>
      <c r="D162" s="48">
        <f>'Adani Enterprises'!D162</f>
        <v>0</v>
      </c>
      <c r="E162" s="48">
        <f>'Adani Enterprises'!E162</f>
        <v>0</v>
      </c>
      <c r="F162" s="48">
        <f>'Adani Enterprises'!F162</f>
        <v>0</v>
      </c>
      <c r="G162" s="48">
        <f>'Adani Enterprises'!G162</f>
        <v>0</v>
      </c>
      <c r="H162" s="48">
        <f>'Adani Enterprises'!H162</f>
        <v>0</v>
      </c>
      <c r="I162" s="48">
        <f>'Adani Enterprises'!I162</f>
        <v>0</v>
      </c>
      <c r="J162" s="48">
        <f>'Adani Enterprises'!J162</f>
        <v>0</v>
      </c>
      <c r="K162" s="48">
        <f>'Adani Enterprises'!K162</f>
        <v>0</v>
      </c>
      <c r="L162" s="48">
        <f>'Adani Enterprises'!L162</f>
        <v>0</v>
      </c>
      <c r="M162" s="48">
        <f>'Adani Enterprises'!M162</f>
        <v>0</v>
      </c>
      <c r="N162" s="48">
        <f>'Adani Enterprises'!N162</f>
        <v>0</v>
      </c>
      <c r="O162" s="48">
        <f>'Adani Enterprises'!O162</f>
        <v>0</v>
      </c>
      <c r="P162" s="48">
        <f>'Adani Enterprises'!P162</f>
        <v>0</v>
      </c>
      <c r="Q162" s="48">
        <f>'Adani Enterprises'!Q162</f>
        <v>0</v>
      </c>
      <c r="R162" s="48">
        <f>'Adani Enterprises'!R162</f>
        <v>0</v>
      </c>
      <c r="S162" s="48">
        <f>'Adani Enterprises'!S162</f>
        <v>0</v>
      </c>
      <c r="T162" s="48">
        <f>'Adani Enterprises'!T162</f>
        <v>0</v>
      </c>
      <c r="U162" s="48">
        <f>'Adani Enterprises'!U162</f>
        <v>0</v>
      </c>
      <c r="V162" s="48">
        <f>'Adani Enterprises'!V162</f>
        <v>0</v>
      </c>
      <c r="W162" s="48">
        <f>'Adani Enterprises'!W162</f>
        <v>0</v>
      </c>
      <c r="X162" s="48">
        <f>'Adani Enterprises'!X162</f>
        <v>0</v>
      </c>
      <c r="Y162" s="48">
        <f>'Adani Enterprises'!Y162</f>
        <v>0</v>
      </c>
      <c r="Z162" s="48">
        <f>'Adani Enterprises'!Z162</f>
        <v>0</v>
      </c>
      <c r="AA162" s="48">
        <f>'Adani Enterprises'!AA162</f>
        <v>0</v>
      </c>
      <c r="AB162" s="48">
        <f>'Adani Enterprises'!AB162</f>
        <v>0</v>
      </c>
      <c r="AC162" s="48">
        <f>'Adani Enterprises'!AC162</f>
        <v>0</v>
      </c>
      <c r="AD162" s="48">
        <f>'Adani Enterprises'!AD162</f>
        <v>0</v>
      </c>
      <c r="AE162" s="48">
        <f>'Adani Enterprises'!AE162</f>
        <v>0</v>
      </c>
      <c r="AF162" s="48">
        <f>'Adani Enterprises'!AF162</f>
        <v>0</v>
      </c>
      <c r="AG162" s="48">
        <f>'Adani Enterprises'!AG162</f>
        <v>0</v>
      </c>
      <c r="AH162" s="48">
        <f>'Adani Enterprises'!AH162</f>
        <v>0</v>
      </c>
      <c r="AI162" s="48">
        <f>'Adani Enterprises'!AI162</f>
        <v>0</v>
      </c>
      <c r="AJ162" s="48">
        <f>'Adani Enterprises'!AJ162</f>
        <v>0</v>
      </c>
      <c r="AK162" s="48">
        <f>'Adani Enterprises'!AK162</f>
        <v>0</v>
      </c>
      <c r="AL162" s="48">
        <f>'Adani Enterprises'!AL162</f>
        <v>0</v>
      </c>
    </row>
    <row r="163" customHeight="1" spans="1:38">
      <c r="A163" s="48">
        <f>'Adani Enterprises'!A163</f>
        <v>0</v>
      </c>
      <c r="B163" s="48">
        <f>'Adani Enterprises'!B163</f>
        <v>0</v>
      </c>
      <c r="C163" s="48">
        <f>'Adani Enterprises'!C163</f>
        <v>0</v>
      </c>
      <c r="D163" s="48">
        <f>'Adani Enterprises'!D163</f>
        <v>0</v>
      </c>
      <c r="E163" s="48">
        <f>'Adani Enterprises'!E163</f>
        <v>0</v>
      </c>
      <c r="F163" s="48">
        <f>'Adani Enterprises'!F163</f>
        <v>0</v>
      </c>
      <c r="G163" s="48">
        <f>'Adani Enterprises'!G163</f>
        <v>0</v>
      </c>
      <c r="H163" s="48">
        <f>'Adani Enterprises'!H163</f>
        <v>0</v>
      </c>
      <c r="I163" s="48">
        <f>'Adani Enterprises'!I163</f>
        <v>0</v>
      </c>
      <c r="J163" s="48">
        <f>'Adani Enterprises'!J163</f>
        <v>0</v>
      </c>
      <c r="K163" s="48">
        <f>'Adani Enterprises'!K163</f>
        <v>0</v>
      </c>
      <c r="L163" s="48">
        <f>'Adani Enterprises'!L163</f>
        <v>0</v>
      </c>
      <c r="M163" s="48">
        <f>'Adani Enterprises'!M163</f>
        <v>0</v>
      </c>
      <c r="N163" s="48">
        <f>'Adani Enterprises'!N163</f>
        <v>0</v>
      </c>
      <c r="O163" s="48">
        <f>'Adani Enterprises'!O163</f>
        <v>0</v>
      </c>
      <c r="P163" s="48">
        <f>'Adani Enterprises'!P163</f>
        <v>0</v>
      </c>
      <c r="Q163" s="48">
        <f>'Adani Enterprises'!Q163</f>
        <v>0</v>
      </c>
      <c r="R163" s="48">
        <f>'Adani Enterprises'!R163</f>
        <v>0</v>
      </c>
      <c r="S163" s="48">
        <f>'Adani Enterprises'!S163</f>
        <v>0</v>
      </c>
      <c r="T163" s="48">
        <f>'Adani Enterprises'!T163</f>
        <v>0</v>
      </c>
      <c r="U163" s="48">
        <f>'Adani Enterprises'!U163</f>
        <v>0</v>
      </c>
      <c r="V163" s="48">
        <f>'Adani Enterprises'!V163</f>
        <v>0</v>
      </c>
      <c r="W163" s="48">
        <f>'Adani Enterprises'!W163</f>
        <v>0</v>
      </c>
      <c r="X163" s="48">
        <f>'Adani Enterprises'!X163</f>
        <v>0</v>
      </c>
      <c r="Y163" s="48">
        <f>'Adani Enterprises'!Y163</f>
        <v>0</v>
      </c>
      <c r="Z163" s="48">
        <f>'Adani Enterprises'!Z163</f>
        <v>0</v>
      </c>
      <c r="AA163" s="48">
        <f>'Adani Enterprises'!AA163</f>
        <v>0</v>
      </c>
      <c r="AB163" s="48">
        <f>'Adani Enterprises'!AB163</f>
        <v>0</v>
      </c>
      <c r="AC163" s="48">
        <f>'Adani Enterprises'!AC163</f>
        <v>0</v>
      </c>
      <c r="AD163" s="48">
        <f>'Adani Enterprises'!AD163</f>
        <v>0</v>
      </c>
      <c r="AE163" s="48">
        <f>'Adani Enterprises'!AE163</f>
        <v>0</v>
      </c>
      <c r="AF163" s="48">
        <f>'Adani Enterprises'!AF163</f>
        <v>0</v>
      </c>
      <c r="AG163" s="48">
        <f>'Adani Enterprises'!AG163</f>
        <v>0</v>
      </c>
      <c r="AH163" s="48">
        <f>'Adani Enterprises'!AH163</f>
        <v>0</v>
      </c>
      <c r="AI163" s="48">
        <f>'Adani Enterprises'!AI163</f>
        <v>0</v>
      </c>
      <c r="AJ163" s="48">
        <f>'Adani Enterprises'!AJ163</f>
        <v>0</v>
      </c>
      <c r="AK163" s="48">
        <f>'Adani Enterprises'!AK163</f>
        <v>0</v>
      </c>
      <c r="AL163" s="48">
        <f>'Adani Enterprises'!AL163</f>
        <v>0</v>
      </c>
    </row>
    <row r="164" customHeight="1" spans="1:38">
      <c r="A164" s="48">
        <f>'Adani Enterprises'!A164</f>
        <v>0</v>
      </c>
      <c r="B164" s="48">
        <f>'Adani Enterprises'!B164</f>
        <v>0</v>
      </c>
      <c r="C164" s="48">
        <f>'Adani Enterprises'!C164</f>
        <v>0</v>
      </c>
      <c r="D164" s="48">
        <f>'Adani Enterprises'!D164</f>
        <v>0</v>
      </c>
      <c r="E164" s="48">
        <f>'Adani Enterprises'!E164</f>
        <v>0</v>
      </c>
      <c r="F164" s="48">
        <f>'Adani Enterprises'!F164</f>
        <v>0</v>
      </c>
      <c r="G164" s="48">
        <f>'Adani Enterprises'!G164</f>
        <v>0</v>
      </c>
      <c r="H164" s="48">
        <f>'Adani Enterprises'!H164</f>
        <v>0</v>
      </c>
      <c r="I164" s="48">
        <f>'Adani Enterprises'!I164</f>
        <v>0</v>
      </c>
      <c r="J164" s="48">
        <f>'Adani Enterprises'!J164</f>
        <v>0</v>
      </c>
      <c r="K164" s="48">
        <f>'Adani Enterprises'!K164</f>
        <v>0</v>
      </c>
      <c r="L164" s="48">
        <f>'Adani Enterprises'!L164</f>
        <v>0</v>
      </c>
      <c r="M164" s="48">
        <f>'Adani Enterprises'!M164</f>
        <v>0</v>
      </c>
      <c r="N164" s="48">
        <f>'Adani Enterprises'!N164</f>
        <v>0</v>
      </c>
      <c r="O164" s="48">
        <f>'Adani Enterprises'!O164</f>
        <v>0</v>
      </c>
      <c r="P164" s="48">
        <f>'Adani Enterprises'!P164</f>
        <v>0</v>
      </c>
      <c r="Q164" s="48">
        <f>'Adani Enterprises'!Q164</f>
        <v>0</v>
      </c>
      <c r="R164" s="48">
        <f>'Adani Enterprises'!R164</f>
        <v>0</v>
      </c>
      <c r="S164" s="48">
        <f>'Adani Enterprises'!S164</f>
        <v>0</v>
      </c>
      <c r="T164" s="48">
        <f>'Adani Enterprises'!T164</f>
        <v>0</v>
      </c>
      <c r="U164" s="48">
        <f>'Adani Enterprises'!U164</f>
        <v>0</v>
      </c>
      <c r="V164" s="48">
        <f>'Adani Enterprises'!V164</f>
        <v>0</v>
      </c>
      <c r="W164" s="48">
        <f>'Adani Enterprises'!W164</f>
        <v>0</v>
      </c>
      <c r="X164" s="48">
        <f>'Adani Enterprises'!X164</f>
        <v>0</v>
      </c>
      <c r="Y164" s="48">
        <f>'Adani Enterprises'!Y164</f>
        <v>0</v>
      </c>
      <c r="Z164" s="48">
        <f>'Adani Enterprises'!Z164</f>
        <v>0</v>
      </c>
      <c r="AA164" s="48">
        <f>'Adani Enterprises'!AA164</f>
        <v>0</v>
      </c>
      <c r="AB164" s="48">
        <f>'Adani Enterprises'!AB164</f>
        <v>0</v>
      </c>
      <c r="AC164" s="48">
        <f>'Adani Enterprises'!AC164</f>
        <v>0</v>
      </c>
      <c r="AD164" s="48">
        <f>'Adani Enterprises'!AD164</f>
        <v>0</v>
      </c>
      <c r="AE164" s="48">
        <f>'Adani Enterprises'!AE164</f>
        <v>0</v>
      </c>
      <c r="AF164" s="48">
        <f>'Adani Enterprises'!AF164</f>
        <v>0</v>
      </c>
      <c r="AG164" s="48">
        <f>'Adani Enterprises'!AG164</f>
        <v>0</v>
      </c>
      <c r="AH164" s="48">
        <f>'Adani Enterprises'!AH164</f>
        <v>0</v>
      </c>
      <c r="AI164" s="48">
        <f>'Adani Enterprises'!AI164</f>
        <v>0</v>
      </c>
      <c r="AJ164" s="48">
        <f>'Adani Enterprises'!AJ164</f>
        <v>0</v>
      </c>
      <c r="AK164" s="48">
        <f>'Adani Enterprises'!AK164</f>
        <v>0</v>
      </c>
      <c r="AL164" s="48">
        <f>'Adani Enterprises'!AL164</f>
        <v>0</v>
      </c>
    </row>
    <row r="165" customHeight="1" spans="1:38">
      <c r="A165" s="48">
        <f>'Adani Enterprises'!A165</f>
        <v>0</v>
      </c>
      <c r="B165" s="48">
        <f>'Adani Enterprises'!B165</f>
        <v>0</v>
      </c>
      <c r="C165" s="48">
        <f>'Adani Enterprises'!C165</f>
        <v>0</v>
      </c>
      <c r="D165" s="48">
        <f>'Adani Enterprises'!D165</f>
        <v>0</v>
      </c>
      <c r="E165" s="48">
        <f>'Adani Enterprises'!E165</f>
        <v>0</v>
      </c>
      <c r="F165" s="48">
        <f>'Adani Enterprises'!F165</f>
        <v>0</v>
      </c>
      <c r="G165" s="48">
        <f>'Adani Enterprises'!G165</f>
        <v>0</v>
      </c>
      <c r="H165" s="48">
        <f>'Adani Enterprises'!H165</f>
        <v>0</v>
      </c>
      <c r="I165" s="48">
        <f>'Adani Enterprises'!I165</f>
        <v>0</v>
      </c>
      <c r="J165" s="48">
        <f>'Adani Enterprises'!J165</f>
        <v>0</v>
      </c>
      <c r="K165" s="48">
        <f>'Adani Enterprises'!K165</f>
        <v>0</v>
      </c>
      <c r="L165" s="48">
        <f>'Adani Enterprises'!L165</f>
        <v>0</v>
      </c>
      <c r="M165" s="48">
        <f>'Adani Enterprises'!M165</f>
        <v>0</v>
      </c>
      <c r="N165" s="48">
        <f>'Adani Enterprises'!N165</f>
        <v>0</v>
      </c>
      <c r="O165" s="48">
        <f>'Adani Enterprises'!O165</f>
        <v>0</v>
      </c>
      <c r="P165" s="48">
        <f>'Adani Enterprises'!P165</f>
        <v>0</v>
      </c>
      <c r="Q165" s="48">
        <f>'Adani Enterprises'!Q165</f>
        <v>0</v>
      </c>
      <c r="R165" s="48">
        <f>'Adani Enterprises'!R165</f>
        <v>0</v>
      </c>
      <c r="S165" s="48">
        <f>'Adani Enterprises'!S165</f>
        <v>0</v>
      </c>
      <c r="T165" s="48">
        <f>'Adani Enterprises'!T165</f>
        <v>0</v>
      </c>
      <c r="U165" s="48">
        <f>'Adani Enterprises'!U165</f>
        <v>0</v>
      </c>
      <c r="V165" s="48">
        <f>'Adani Enterprises'!V165</f>
        <v>0</v>
      </c>
      <c r="W165" s="48">
        <f>'Adani Enterprises'!W165</f>
        <v>0</v>
      </c>
      <c r="X165" s="48">
        <f>'Adani Enterprises'!X165</f>
        <v>0</v>
      </c>
      <c r="Y165" s="48">
        <f>'Adani Enterprises'!Y165</f>
        <v>0</v>
      </c>
      <c r="Z165" s="48">
        <f>'Adani Enterprises'!Z165</f>
        <v>0</v>
      </c>
      <c r="AA165" s="48">
        <f>'Adani Enterprises'!AA165</f>
        <v>0</v>
      </c>
      <c r="AB165" s="48">
        <f>'Adani Enterprises'!AB165</f>
        <v>0</v>
      </c>
      <c r="AC165" s="48">
        <f>'Adani Enterprises'!AC165</f>
        <v>0</v>
      </c>
      <c r="AD165" s="48">
        <f>'Adani Enterprises'!AD165</f>
        <v>0</v>
      </c>
      <c r="AE165" s="48">
        <f>'Adani Enterprises'!AE165</f>
        <v>0</v>
      </c>
      <c r="AF165" s="48">
        <f>'Adani Enterprises'!AF165</f>
        <v>0</v>
      </c>
      <c r="AG165" s="48">
        <f>'Adani Enterprises'!AG165</f>
        <v>0</v>
      </c>
      <c r="AH165" s="48">
        <f>'Adani Enterprises'!AH165</f>
        <v>0</v>
      </c>
      <c r="AI165" s="48">
        <f>'Adani Enterprises'!AI165</f>
        <v>0</v>
      </c>
      <c r="AJ165" s="48">
        <f>'Adani Enterprises'!AJ165</f>
        <v>0</v>
      </c>
      <c r="AK165" s="48">
        <f>'Adani Enterprises'!AK165</f>
        <v>0</v>
      </c>
      <c r="AL165" s="48">
        <f>'Adani Enterprises'!AL165</f>
        <v>0</v>
      </c>
    </row>
    <row r="166" customHeight="1" spans="1:38">
      <c r="A166" s="48">
        <f>'Adani Enterprises'!A166</f>
        <v>0</v>
      </c>
      <c r="B166" s="48">
        <f>'Adani Enterprises'!B166</f>
        <v>0</v>
      </c>
      <c r="C166" s="48">
        <f>'Adani Enterprises'!C166</f>
        <v>0</v>
      </c>
      <c r="D166" s="48">
        <f>'Adani Enterprises'!D166</f>
        <v>0</v>
      </c>
      <c r="E166" s="48">
        <f>'Adani Enterprises'!E166</f>
        <v>0</v>
      </c>
      <c r="F166" s="48">
        <f>'Adani Enterprises'!F166</f>
        <v>0</v>
      </c>
      <c r="G166" s="48">
        <f>'Adani Enterprises'!G166</f>
        <v>0</v>
      </c>
      <c r="H166" s="48">
        <f>'Adani Enterprises'!H166</f>
        <v>0</v>
      </c>
      <c r="I166" s="48">
        <f>'Adani Enterprises'!I166</f>
        <v>0</v>
      </c>
      <c r="J166" s="48">
        <f>'Adani Enterprises'!J166</f>
        <v>0</v>
      </c>
      <c r="K166" s="48">
        <f>'Adani Enterprises'!K166</f>
        <v>0</v>
      </c>
      <c r="L166" s="48">
        <f>'Adani Enterprises'!L166</f>
        <v>0</v>
      </c>
      <c r="M166" s="48">
        <f>'Adani Enterprises'!M166</f>
        <v>0</v>
      </c>
      <c r="N166" s="48">
        <f>'Adani Enterprises'!N166</f>
        <v>0</v>
      </c>
      <c r="O166" s="48">
        <f>'Adani Enterprises'!O166</f>
        <v>0</v>
      </c>
      <c r="P166" s="48">
        <f>'Adani Enterprises'!P166</f>
        <v>0</v>
      </c>
      <c r="Q166" s="48">
        <f>'Adani Enterprises'!Q166</f>
        <v>0</v>
      </c>
      <c r="R166" s="48">
        <f>'Adani Enterprises'!R166</f>
        <v>0</v>
      </c>
      <c r="S166" s="48">
        <f>'Adani Enterprises'!S166</f>
        <v>0</v>
      </c>
      <c r="T166" s="48">
        <f>'Adani Enterprises'!T166</f>
        <v>0</v>
      </c>
      <c r="U166" s="48">
        <f>'Adani Enterprises'!U166</f>
        <v>0</v>
      </c>
      <c r="V166" s="48">
        <f>'Adani Enterprises'!V166</f>
        <v>0</v>
      </c>
      <c r="W166" s="48">
        <f>'Adani Enterprises'!W166</f>
        <v>0</v>
      </c>
      <c r="X166" s="48">
        <f>'Adani Enterprises'!X166</f>
        <v>0</v>
      </c>
      <c r="Y166" s="48">
        <f>'Adani Enterprises'!Y166</f>
        <v>0</v>
      </c>
      <c r="Z166" s="48">
        <f>'Adani Enterprises'!Z166</f>
        <v>0</v>
      </c>
      <c r="AA166" s="48">
        <f>'Adani Enterprises'!AA166</f>
        <v>0</v>
      </c>
      <c r="AB166" s="48">
        <f>'Adani Enterprises'!AB166</f>
        <v>0</v>
      </c>
      <c r="AC166" s="48">
        <f>'Adani Enterprises'!AC166</f>
        <v>0</v>
      </c>
      <c r="AD166" s="48">
        <f>'Adani Enterprises'!AD166</f>
        <v>0</v>
      </c>
      <c r="AE166" s="48">
        <f>'Adani Enterprises'!AE166</f>
        <v>0</v>
      </c>
      <c r="AF166" s="48">
        <f>'Adani Enterprises'!AF166</f>
        <v>0</v>
      </c>
      <c r="AG166" s="48">
        <f>'Adani Enterprises'!AG166</f>
        <v>0</v>
      </c>
      <c r="AH166" s="48">
        <f>'Adani Enterprises'!AH166</f>
        <v>0</v>
      </c>
      <c r="AI166" s="48">
        <f>'Adani Enterprises'!AI166</f>
        <v>0</v>
      </c>
      <c r="AJ166" s="48">
        <f>'Adani Enterprises'!AJ166</f>
        <v>0</v>
      </c>
      <c r="AK166" s="48">
        <f>'Adani Enterprises'!AK166</f>
        <v>0</v>
      </c>
      <c r="AL166" s="48">
        <f>'Adani Enterprises'!AL166</f>
        <v>0</v>
      </c>
    </row>
    <row r="167" customHeight="1" spans="1:38">
      <c r="A167" s="48">
        <f>'Adani Enterprises'!A167</f>
        <v>0</v>
      </c>
      <c r="B167" s="48">
        <f>'Adani Enterprises'!B167</f>
        <v>0</v>
      </c>
      <c r="C167" s="48">
        <f>'Adani Enterprises'!C167</f>
        <v>0</v>
      </c>
      <c r="D167" s="48">
        <f>'Adani Enterprises'!D167</f>
        <v>0</v>
      </c>
      <c r="E167" s="48">
        <f>'Adani Enterprises'!E167</f>
        <v>0</v>
      </c>
      <c r="F167" s="48">
        <f>'Adani Enterprises'!F167</f>
        <v>0</v>
      </c>
      <c r="G167" s="48">
        <f>'Adani Enterprises'!G167</f>
        <v>0</v>
      </c>
      <c r="H167" s="48">
        <f>'Adani Enterprises'!H167</f>
        <v>0</v>
      </c>
      <c r="I167" s="48">
        <f>'Adani Enterprises'!I167</f>
        <v>0</v>
      </c>
      <c r="J167" s="48">
        <f>'Adani Enterprises'!J167</f>
        <v>0</v>
      </c>
      <c r="K167" s="48">
        <f>'Adani Enterprises'!K167</f>
        <v>0</v>
      </c>
      <c r="L167" s="48">
        <f>'Adani Enterprises'!L167</f>
        <v>0</v>
      </c>
      <c r="M167" s="48">
        <f>'Adani Enterprises'!M167</f>
        <v>0</v>
      </c>
      <c r="N167" s="48">
        <f>'Adani Enterprises'!N167</f>
        <v>0</v>
      </c>
      <c r="O167" s="48">
        <f>'Adani Enterprises'!O167</f>
        <v>0</v>
      </c>
      <c r="P167" s="48">
        <f>'Adani Enterprises'!P167</f>
        <v>0</v>
      </c>
      <c r="Q167" s="48">
        <f>'Adani Enterprises'!Q167</f>
        <v>0</v>
      </c>
      <c r="R167" s="48">
        <f>'Adani Enterprises'!R167</f>
        <v>0</v>
      </c>
      <c r="S167" s="48">
        <f>'Adani Enterprises'!S167</f>
        <v>0</v>
      </c>
      <c r="T167" s="48">
        <f>'Adani Enterprises'!T167</f>
        <v>0</v>
      </c>
      <c r="U167" s="48">
        <f>'Adani Enterprises'!U167</f>
        <v>0</v>
      </c>
      <c r="V167" s="48">
        <f>'Adani Enterprises'!V167</f>
        <v>0</v>
      </c>
      <c r="W167" s="48">
        <f>'Adani Enterprises'!W167</f>
        <v>0</v>
      </c>
      <c r="X167" s="48">
        <f>'Adani Enterprises'!X167</f>
        <v>0</v>
      </c>
      <c r="Y167" s="48">
        <f>'Adani Enterprises'!Y167</f>
        <v>0</v>
      </c>
      <c r="Z167" s="48">
        <f>'Adani Enterprises'!Z167</f>
        <v>0</v>
      </c>
      <c r="AA167" s="48">
        <f>'Adani Enterprises'!AA167</f>
        <v>0</v>
      </c>
      <c r="AB167" s="48">
        <f>'Adani Enterprises'!AB167</f>
        <v>0</v>
      </c>
      <c r="AC167" s="48">
        <f>'Adani Enterprises'!AC167</f>
        <v>0</v>
      </c>
      <c r="AD167" s="48">
        <f>'Adani Enterprises'!AD167</f>
        <v>0</v>
      </c>
      <c r="AE167" s="48">
        <f>'Adani Enterprises'!AE167</f>
        <v>0</v>
      </c>
      <c r="AF167" s="48">
        <f>'Adani Enterprises'!AF167</f>
        <v>0</v>
      </c>
      <c r="AG167" s="48">
        <f>'Adani Enterprises'!AG167</f>
        <v>0</v>
      </c>
      <c r="AH167" s="48">
        <f>'Adani Enterprises'!AH167</f>
        <v>0</v>
      </c>
      <c r="AI167" s="48">
        <f>'Adani Enterprises'!AI167</f>
        <v>0</v>
      </c>
      <c r="AJ167" s="48">
        <f>'Adani Enterprises'!AJ167</f>
        <v>0</v>
      </c>
      <c r="AK167" s="48">
        <f>'Adani Enterprises'!AK167</f>
        <v>0</v>
      </c>
      <c r="AL167" s="48">
        <f>'Adani Enterprises'!AL167</f>
        <v>0</v>
      </c>
    </row>
    <row r="168" customHeight="1" spans="1:38">
      <c r="A168" s="48">
        <f>'Adani Enterprises'!A168</f>
        <v>0</v>
      </c>
      <c r="B168" s="48">
        <f>'Adani Enterprises'!B168</f>
        <v>0</v>
      </c>
      <c r="C168" s="48">
        <f>'Adani Enterprises'!C168</f>
        <v>0</v>
      </c>
      <c r="D168" s="48">
        <f>'Adani Enterprises'!D168</f>
        <v>0</v>
      </c>
      <c r="E168" s="48">
        <f>'Adani Enterprises'!E168</f>
        <v>0</v>
      </c>
      <c r="F168" s="48">
        <f>'Adani Enterprises'!F168</f>
        <v>0</v>
      </c>
      <c r="G168" s="48">
        <f>'Adani Enterprises'!G168</f>
        <v>0</v>
      </c>
      <c r="H168" s="48">
        <f>'Adani Enterprises'!H168</f>
        <v>0</v>
      </c>
      <c r="I168" s="48">
        <f>'Adani Enterprises'!I168</f>
        <v>0</v>
      </c>
      <c r="J168" s="48">
        <f>'Adani Enterprises'!J168</f>
        <v>0</v>
      </c>
      <c r="K168" s="48">
        <f>'Adani Enterprises'!K168</f>
        <v>0</v>
      </c>
      <c r="L168" s="48">
        <f>'Adani Enterprises'!L168</f>
        <v>0</v>
      </c>
      <c r="M168" s="48">
        <f>'Adani Enterprises'!M168</f>
        <v>0</v>
      </c>
      <c r="N168" s="48">
        <f>'Adani Enterprises'!N168</f>
        <v>0</v>
      </c>
      <c r="O168" s="48">
        <f>'Adani Enterprises'!O168</f>
        <v>0</v>
      </c>
      <c r="P168" s="48">
        <f>'Adani Enterprises'!P168</f>
        <v>0</v>
      </c>
      <c r="Q168" s="48">
        <f>'Adani Enterprises'!Q168</f>
        <v>0</v>
      </c>
      <c r="R168" s="48">
        <f>'Adani Enterprises'!R168</f>
        <v>0</v>
      </c>
      <c r="S168" s="48">
        <f>'Adani Enterprises'!S168</f>
        <v>0</v>
      </c>
      <c r="T168" s="48">
        <f>'Adani Enterprises'!T168</f>
        <v>0</v>
      </c>
      <c r="U168" s="48">
        <f>'Adani Enterprises'!U168</f>
        <v>0</v>
      </c>
      <c r="V168" s="48">
        <f>'Adani Enterprises'!V168</f>
        <v>0</v>
      </c>
      <c r="W168" s="48">
        <f>'Adani Enterprises'!W168</f>
        <v>0</v>
      </c>
      <c r="X168" s="48">
        <f>'Adani Enterprises'!X168</f>
        <v>0</v>
      </c>
      <c r="Y168" s="48">
        <f>'Adani Enterprises'!Y168</f>
        <v>0</v>
      </c>
      <c r="Z168" s="48">
        <f>'Adani Enterprises'!Z168</f>
        <v>0</v>
      </c>
      <c r="AA168" s="48">
        <f>'Adani Enterprises'!AA168</f>
        <v>0</v>
      </c>
      <c r="AB168" s="48">
        <f>'Adani Enterprises'!AB168</f>
        <v>0</v>
      </c>
      <c r="AC168" s="48">
        <f>'Adani Enterprises'!AC168</f>
        <v>0</v>
      </c>
      <c r="AD168" s="48">
        <f>'Adani Enterprises'!AD168</f>
        <v>0</v>
      </c>
      <c r="AE168" s="48">
        <f>'Adani Enterprises'!AE168</f>
        <v>0</v>
      </c>
      <c r="AF168" s="48">
        <f>'Adani Enterprises'!AF168</f>
        <v>0</v>
      </c>
      <c r="AG168" s="48">
        <f>'Adani Enterprises'!AG168</f>
        <v>0</v>
      </c>
      <c r="AH168" s="48">
        <f>'Adani Enterprises'!AH168</f>
        <v>0</v>
      </c>
      <c r="AI168" s="48">
        <f>'Adani Enterprises'!AI168</f>
        <v>0</v>
      </c>
      <c r="AJ168" s="48">
        <f>'Adani Enterprises'!AJ168</f>
        <v>0</v>
      </c>
      <c r="AK168" s="48">
        <f>'Adani Enterprises'!AK168</f>
        <v>0</v>
      </c>
      <c r="AL168" s="48">
        <f>'Adani Enterprises'!AL168</f>
        <v>0</v>
      </c>
    </row>
    <row r="169" customHeight="1" spans="1:38">
      <c r="A169" s="48">
        <f>'Adani Enterprises'!A169</f>
        <v>0</v>
      </c>
      <c r="B169" s="48">
        <f>'Adani Enterprises'!B169</f>
        <v>0</v>
      </c>
      <c r="C169" s="48">
        <f>'Adani Enterprises'!C169</f>
        <v>0</v>
      </c>
      <c r="D169" s="48">
        <f>'Adani Enterprises'!D169</f>
        <v>0</v>
      </c>
      <c r="E169" s="48">
        <f>'Adani Enterprises'!E169</f>
        <v>0</v>
      </c>
      <c r="F169" s="48">
        <f>'Adani Enterprises'!F169</f>
        <v>0</v>
      </c>
      <c r="G169" s="48">
        <f>'Adani Enterprises'!G169</f>
        <v>0</v>
      </c>
      <c r="H169" s="48">
        <f>'Adani Enterprises'!H169</f>
        <v>0</v>
      </c>
      <c r="I169" s="48">
        <f>'Adani Enterprises'!I169</f>
        <v>0</v>
      </c>
      <c r="J169" s="48">
        <f>'Adani Enterprises'!J169</f>
        <v>0</v>
      </c>
      <c r="K169" s="48">
        <f>'Adani Enterprises'!K169</f>
        <v>0</v>
      </c>
      <c r="L169" s="48">
        <f>'Adani Enterprises'!L169</f>
        <v>0</v>
      </c>
      <c r="M169" s="48">
        <f>'Adani Enterprises'!M169</f>
        <v>0</v>
      </c>
      <c r="N169" s="48">
        <f>'Adani Enterprises'!N169</f>
        <v>0</v>
      </c>
      <c r="O169" s="48">
        <f>'Adani Enterprises'!O169</f>
        <v>0</v>
      </c>
      <c r="P169" s="48">
        <f>'Adani Enterprises'!P169</f>
        <v>0</v>
      </c>
      <c r="Q169" s="48">
        <f>'Adani Enterprises'!Q169</f>
        <v>0</v>
      </c>
      <c r="R169" s="48">
        <f>'Adani Enterprises'!R169</f>
        <v>0</v>
      </c>
      <c r="S169" s="48">
        <f>'Adani Enterprises'!S169</f>
        <v>0</v>
      </c>
      <c r="T169" s="48">
        <f>'Adani Enterprises'!T169</f>
        <v>0</v>
      </c>
      <c r="U169" s="48">
        <f>'Adani Enterprises'!U169</f>
        <v>0</v>
      </c>
      <c r="V169" s="48">
        <f>'Adani Enterprises'!V169</f>
        <v>0</v>
      </c>
      <c r="W169" s="48">
        <f>'Adani Enterprises'!W169</f>
        <v>0</v>
      </c>
      <c r="X169" s="48">
        <f>'Adani Enterprises'!X169</f>
        <v>0</v>
      </c>
      <c r="Y169" s="48">
        <f>'Adani Enterprises'!Y169</f>
        <v>0</v>
      </c>
      <c r="Z169" s="48">
        <f>'Adani Enterprises'!Z169</f>
        <v>0</v>
      </c>
      <c r="AA169" s="48">
        <f>'Adani Enterprises'!AA169</f>
        <v>0</v>
      </c>
      <c r="AB169" s="48">
        <f>'Adani Enterprises'!AB169</f>
        <v>0</v>
      </c>
      <c r="AC169" s="48">
        <f>'Adani Enterprises'!AC169</f>
        <v>0</v>
      </c>
      <c r="AD169" s="48">
        <f>'Adani Enterprises'!AD169</f>
        <v>0</v>
      </c>
      <c r="AE169" s="48">
        <f>'Adani Enterprises'!AE169</f>
        <v>0</v>
      </c>
      <c r="AF169" s="48">
        <f>'Adani Enterprises'!AF169</f>
        <v>0</v>
      </c>
      <c r="AG169" s="48">
        <f>'Adani Enterprises'!AG169</f>
        <v>0</v>
      </c>
      <c r="AH169" s="48">
        <f>'Adani Enterprises'!AH169</f>
        <v>0</v>
      </c>
      <c r="AI169" s="48">
        <f>'Adani Enterprises'!AI169</f>
        <v>0</v>
      </c>
      <c r="AJ169" s="48">
        <f>'Adani Enterprises'!AJ169</f>
        <v>0</v>
      </c>
      <c r="AK169" s="48">
        <f>'Adani Enterprises'!AK169</f>
        <v>0</v>
      </c>
      <c r="AL169" s="48">
        <f>'Adani Enterprises'!AL169</f>
        <v>0</v>
      </c>
    </row>
    <row r="170" customHeight="1" spans="1:38">
      <c r="A170" s="48">
        <f>'Adani Enterprises'!A170</f>
        <v>0</v>
      </c>
      <c r="B170" s="48">
        <f>'Adani Enterprises'!B170</f>
        <v>0</v>
      </c>
      <c r="C170" s="48">
        <f>'Adani Enterprises'!C170</f>
        <v>0</v>
      </c>
      <c r="D170" s="48">
        <f>'Adani Enterprises'!D170</f>
        <v>0</v>
      </c>
      <c r="E170" s="48">
        <f>'Adani Enterprises'!E170</f>
        <v>0</v>
      </c>
      <c r="F170" s="48">
        <f>'Adani Enterprises'!F170</f>
        <v>0</v>
      </c>
      <c r="G170" s="48">
        <f>'Adani Enterprises'!G170</f>
        <v>0</v>
      </c>
      <c r="H170" s="48">
        <f>'Adani Enterprises'!H170</f>
        <v>0</v>
      </c>
      <c r="I170" s="48">
        <f>'Adani Enterprises'!I170</f>
        <v>0</v>
      </c>
      <c r="J170" s="48">
        <f>'Adani Enterprises'!J170</f>
        <v>0</v>
      </c>
      <c r="K170" s="48">
        <f>'Adani Enterprises'!K170</f>
        <v>0</v>
      </c>
      <c r="L170" s="48">
        <f>'Adani Enterprises'!L170</f>
        <v>0</v>
      </c>
      <c r="M170" s="48">
        <f>'Adani Enterprises'!M170</f>
        <v>0</v>
      </c>
      <c r="N170" s="48">
        <f>'Adani Enterprises'!N170</f>
        <v>0</v>
      </c>
      <c r="O170" s="48">
        <f>'Adani Enterprises'!O170</f>
        <v>0</v>
      </c>
      <c r="P170" s="48">
        <f>'Adani Enterprises'!P170</f>
        <v>0</v>
      </c>
      <c r="Q170" s="48">
        <f>'Adani Enterprises'!Q170</f>
        <v>0</v>
      </c>
      <c r="R170" s="48">
        <f>'Adani Enterprises'!R170</f>
        <v>0</v>
      </c>
      <c r="S170" s="48">
        <f>'Adani Enterprises'!S170</f>
        <v>0</v>
      </c>
      <c r="T170" s="48">
        <f>'Adani Enterprises'!T170</f>
        <v>0</v>
      </c>
      <c r="U170" s="48">
        <f>'Adani Enterprises'!U170</f>
        <v>0</v>
      </c>
      <c r="V170" s="48">
        <f>'Adani Enterprises'!V170</f>
        <v>0</v>
      </c>
      <c r="W170" s="48">
        <f>'Adani Enterprises'!W170</f>
        <v>0</v>
      </c>
      <c r="X170" s="48">
        <f>'Adani Enterprises'!X170</f>
        <v>0</v>
      </c>
      <c r="Y170" s="48">
        <f>'Adani Enterprises'!Y170</f>
        <v>0</v>
      </c>
      <c r="Z170" s="48">
        <f>'Adani Enterprises'!Z170</f>
        <v>0</v>
      </c>
      <c r="AA170" s="48">
        <f>'Adani Enterprises'!AA170</f>
        <v>0</v>
      </c>
      <c r="AB170" s="48">
        <f>'Adani Enterprises'!AB170</f>
        <v>0</v>
      </c>
      <c r="AC170" s="48">
        <f>'Adani Enterprises'!AC170</f>
        <v>0</v>
      </c>
      <c r="AD170" s="48">
        <f>'Adani Enterprises'!AD170</f>
        <v>0</v>
      </c>
      <c r="AE170" s="48">
        <f>'Adani Enterprises'!AE170</f>
        <v>0</v>
      </c>
      <c r="AF170" s="48">
        <f>'Adani Enterprises'!AF170</f>
        <v>0</v>
      </c>
      <c r="AG170" s="48">
        <f>'Adani Enterprises'!AG170</f>
        <v>0</v>
      </c>
      <c r="AH170" s="48">
        <f>'Adani Enterprises'!AH170</f>
        <v>0</v>
      </c>
      <c r="AI170" s="48">
        <f>'Adani Enterprises'!AI170</f>
        <v>0</v>
      </c>
      <c r="AJ170" s="48">
        <f>'Adani Enterprises'!AJ170</f>
        <v>0</v>
      </c>
      <c r="AK170" s="48">
        <f>'Adani Enterprises'!AK170</f>
        <v>0</v>
      </c>
      <c r="AL170" s="48">
        <f>'Adani Enterprises'!AL170</f>
        <v>0</v>
      </c>
    </row>
    <row r="171" customHeight="1" spans="1:38">
      <c r="A171" s="48">
        <f>'Adani Enterprises'!A171</f>
        <v>0</v>
      </c>
      <c r="B171" s="48">
        <f>'Adani Enterprises'!B171</f>
        <v>0</v>
      </c>
      <c r="C171" s="48">
        <f>'Adani Enterprises'!C171</f>
        <v>0</v>
      </c>
      <c r="D171" s="48">
        <f>'Adani Enterprises'!D171</f>
        <v>0</v>
      </c>
      <c r="E171" s="48">
        <f>'Adani Enterprises'!E171</f>
        <v>0</v>
      </c>
      <c r="F171" s="48">
        <f>'Adani Enterprises'!F171</f>
        <v>0</v>
      </c>
      <c r="G171" s="48">
        <f>'Adani Enterprises'!G171</f>
        <v>0</v>
      </c>
      <c r="H171" s="48">
        <f>'Adani Enterprises'!H171</f>
        <v>0</v>
      </c>
      <c r="I171" s="48">
        <f>'Adani Enterprises'!I171</f>
        <v>0</v>
      </c>
      <c r="J171" s="48">
        <f>'Adani Enterprises'!J171</f>
        <v>0</v>
      </c>
      <c r="K171" s="48">
        <f>'Adani Enterprises'!K171</f>
        <v>0</v>
      </c>
      <c r="L171" s="48">
        <f>'Adani Enterprises'!L171</f>
        <v>0</v>
      </c>
      <c r="M171" s="48">
        <f>'Adani Enterprises'!M171</f>
        <v>0</v>
      </c>
      <c r="N171" s="48">
        <f>'Adani Enterprises'!N171</f>
        <v>0</v>
      </c>
      <c r="O171" s="48">
        <f>'Adani Enterprises'!O171</f>
        <v>0</v>
      </c>
      <c r="P171" s="48">
        <f>'Adani Enterprises'!P171</f>
        <v>0</v>
      </c>
      <c r="Q171" s="48">
        <f>'Adani Enterprises'!Q171</f>
        <v>0</v>
      </c>
      <c r="R171" s="48">
        <f>'Adani Enterprises'!R171</f>
        <v>0</v>
      </c>
      <c r="S171" s="48">
        <f>'Adani Enterprises'!S171</f>
        <v>0</v>
      </c>
      <c r="T171" s="48">
        <f>'Adani Enterprises'!T171</f>
        <v>0</v>
      </c>
      <c r="U171" s="48">
        <f>'Adani Enterprises'!U171</f>
        <v>0</v>
      </c>
      <c r="V171" s="48">
        <f>'Adani Enterprises'!V171</f>
        <v>0</v>
      </c>
      <c r="W171" s="48">
        <f>'Adani Enterprises'!W171</f>
        <v>0</v>
      </c>
      <c r="X171" s="48">
        <f>'Adani Enterprises'!X171</f>
        <v>0</v>
      </c>
      <c r="Y171" s="48">
        <f>'Adani Enterprises'!Y171</f>
        <v>0</v>
      </c>
      <c r="Z171" s="48">
        <f>'Adani Enterprises'!Z171</f>
        <v>0</v>
      </c>
      <c r="AA171" s="48">
        <f>'Adani Enterprises'!AA171</f>
        <v>0</v>
      </c>
      <c r="AB171" s="48">
        <f>'Adani Enterprises'!AB171</f>
        <v>0</v>
      </c>
      <c r="AC171" s="48">
        <f>'Adani Enterprises'!AC171</f>
        <v>0</v>
      </c>
      <c r="AD171" s="48">
        <f>'Adani Enterprises'!AD171</f>
        <v>0</v>
      </c>
      <c r="AE171" s="48">
        <f>'Adani Enterprises'!AE171</f>
        <v>0</v>
      </c>
      <c r="AF171" s="48">
        <f>'Adani Enterprises'!AF171</f>
        <v>0</v>
      </c>
      <c r="AG171" s="48">
        <f>'Adani Enterprises'!AG171</f>
        <v>0</v>
      </c>
      <c r="AH171" s="48">
        <f>'Adani Enterprises'!AH171</f>
        <v>0</v>
      </c>
      <c r="AI171" s="48">
        <f>'Adani Enterprises'!AI171</f>
        <v>0</v>
      </c>
      <c r="AJ171" s="48">
        <f>'Adani Enterprises'!AJ171</f>
        <v>0</v>
      </c>
      <c r="AK171" s="48">
        <f>'Adani Enterprises'!AK171</f>
        <v>0</v>
      </c>
      <c r="AL171" s="48">
        <f>'Adani Enterprises'!AL171</f>
        <v>0</v>
      </c>
    </row>
    <row r="172" customHeight="1" spans="1:38">
      <c r="A172" s="48">
        <f>'Adani Enterprises'!A172</f>
        <v>0</v>
      </c>
      <c r="B172" s="48">
        <f>'Adani Enterprises'!B172</f>
        <v>0</v>
      </c>
      <c r="C172" s="48">
        <f>'Adani Enterprises'!C172</f>
        <v>0</v>
      </c>
      <c r="D172" s="48">
        <f>'Adani Enterprises'!D172</f>
        <v>0</v>
      </c>
      <c r="E172" s="48">
        <f>'Adani Enterprises'!E172</f>
        <v>0</v>
      </c>
      <c r="F172" s="48">
        <f>'Adani Enterprises'!F172</f>
        <v>0</v>
      </c>
      <c r="G172" s="48">
        <f>'Adani Enterprises'!G172</f>
        <v>0</v>
      </c>
      <c r="H172" s="48">
        <f>'Adani Enterprises'!H172</f>
        <v>0</v>
      </c>
      <c r="I172" s="48">
        <f>'Adani Enterprises'!I172</f>
        <v>0</v>
      </c>
      <c r="J172" s="48">
        <f>'Adani Enterprises'!J172</f>
        <v>0</v>
      </c>
      <c r="K172" s="48">
        <f>'Adani Enterprises'!K172</f>
        <v>0</v>
      </c>
      <c r="L172" s="48">
        <f>'Adani Enterprises'!L172</f>
        <v>0</v>
      </c>
      <c r="M172" s="48">
        <f>'Adani Enterprises'!M172</f>
        <v>0</v>
      </c>
      <c r="N172" s="48">
        <f>'Adani Enterprises'!N172</f>
        <v>0</v>
      </c>
      <c r="O172" s="48">
        <f>'Adani Enterprises'!O172</f>
        <v>0</v>
      </c>
      <c r="P172" s="48">
        <f>'Adani Enterprises'!P172</f>
        <v>0</v>
      </c>
      <c r="Q172" s="48">
        <f>'Adani Enterprises'!Q172</f>
        <v>0</v>
      </c>
      <c r="R172" s="48">
        <f>'Adani Enterprises'!R172</f>
        <v>0</v>
      </c>
      <c r="S172" s="48">
        <f>'Adani Enterprises'!S172</f>
        <v>0</v>
      </c>
      <c r="T172" s="48">
        <f>'Adani Enterprises'!T172</f>
        <v>0</v>
      </c>
      <c r="U172" s="48">
        <f>'Adani Enterprises'!U172</f>
        <v>0</v>
      </c>
      <c r="V172" s="48">
        <f>'Adani Enterprises'!V172</f>
        <v>0</v>
      </c>
      <c r="W172" s="48">
        <f>'Adani Enterprises'!W172</f>
        <v>0</v>
      </c>
      <c r="X172" s="48">
        <f>'Adani Enterprises'!X172</f>
        <v>0</v>
      </c>
      <c r="Y172" s="48">
        <f>'Adani Enterprises'!Y172</f>
        <v>0</v>
      </c>
      <c r="Z172" s="48">
        <f>'Adani Enterprises'!Z172</f>
        <v>0</v>
      </c>
      <c r="AA172" s="48">
        <f>'Adani Enterprises'!AA172</f>
        <v>0</v>
      </c>
      <c r="AB172" s="48">
        <f>'Adani Enterprises'!AB172</f>
        <v>0</v>
      </c>
      <c r="AC172" s="48">
        <f>'Adani Enterprises'!AC172</f>
        <v>0</v>
      </c>
      <c r="AD172" s="48">
        <f>'Adani Enterprises'!AD172</f>
        <v>0</v>
      </c>
      <c r="AE172" s="48">
        <f>'Adani Enterprises'!AE172</f>
        <v>0</v>
      </c>
      <c r="AF172" s="48">
        <f>'Adani Enterprises'!AF172</f>
        <v>0</v>
      </c>
      <c r="AG172" s="48">
        <f>'Adani Enterprises'!AG172</f>
        <v>0</v>
      </c>
      <c r="AH172" s="48">
        <f>'Adani Enterprises'!AH172</f>
        <v>0</v>
      </c>
      <c r="AI172" s="48">
        <f>'Adani Enterprises'!AI172</f>
        <v>0</v>
      </c>
      <c r="AJ172" s="48">
        <f>'Adani Enterprises'!AJ172</f>
        <v>0</v>
      </c>
      <c r="AK172" s="48">
        <f>'Adani Enterprises'!AK172</f>
        <v>0</v>
      </c>
      <c r="AL172" s="48">
        <f>'Adani Enterprises'!AL172</f>
        <v>0</v>
      </c>
    </row>
    <row r="173" customHeight="1" spans="1:38">
      <c r="A173" s="48">
        <f>'Adani Enterprises'!A173</f>
        <v>0</v>
      </c>
      <c r="B173" s="48">
        <f>'Adani Enterprises'!B173</f>
        <v>0</v>
      </c>
      <c r="C173" s="48">
        <f>'Adani Enterprises'!C173</f>
        <v>0</v>
      </c>
      <c r="D173" s="48">
        <f>'Adani Enterprises'!D173</f>
        <v>0</v>
      </c>
      <c r="E173" s="48">
        <f>'Adani Enterprises'!E173</f>
        <v>0</v>
      </c>
      <c r="F173" s="48">
        <f>'Adani Enterprises'!F173</f>
        <v>0</v>
      </c>
      <c r="G173" s="48">
        <f>'Adani Enterprises'!G173</f>
        <v>0</v>
      </c>
      <c r="H173" s="48">
        <f>'Adani Enterprises'!H173</f>
        <v>0</v>
      </c>
      <c r="I173" s="48">
        <f>'Adani Enterprises'!I173</f>
        <v>0</v>
      </c>
      <c r="J173" s="48">
        <f>'Adani Enterprises'!J173</f>
        <v>0</v>
      </c>
      <c r="K173" s="48">
        <f>'Adani Enterprises'!K173</f>
        <v>0</v>
      </c>
      <c r="L173" s="48">
        <f>'Adani Enterprises'!L173</f>
        <v>0</v>
      </c>
      <c r="M173" s="48">
        <f>'Adani Enterprises'!M173</f>
        <v>0</v>
      </c>
      <c r="N173" s="48">
        <f>'Adani Enterprises'!N173</f>
        <v>0</v>
      </c>
      <c r="O173" s="48">
        <f>'Adani Enterprises'!O173</f>
        <v>0</v>
      </c>
      <c r="P173" s="48">
        <f>'Adani Enterprises'!P173</f>
        <v>0</v>
      </c>
      <c r="Q173" s="48">
        <f>'Adani Enterprises'!Q173</f>
        <v>0</v>
      </c>
      <c r="R173" s="48">
        <f>'Adani Enterprises'!R173</f>
        <v>0</v>
      </c>
      <c r="S173" s="48">
        <f>'Adani Enterprises'!S173</f>
        <v>0</v>
      </c>
      <c r="T173" s="48">
        <f>'Adani Enterprises'!T173</f>
        <v>0</v>
      </c>
      <c r="U173" s="48">
        <f>'Adani Enterprises'!U173</f>
        <v>0</v>
      </c>
      <c r="V173" s="48">
        <f>'Adani Enterprises'!V173</f>
        <v>0</v>
      </c>
      <c r="W173" s="48">
        <f>'Adani Enterprises'!W173</f>
        <v>0</v>
      </c>
      <c r="X173" s="48">
        <f>'Adani Enterprises'!X173</f>
        <v>0</v>
      </c>
      <c r="Y173" s="48">
        <f>'Adani Enterprises'!Y173</f>
        <v>0</v>
      </c>
      <c r="Z173" s="48">
        <f>'Adani Enterprises'!Z173</f>
        <v>0</v>
      </c>
      <c r="AA173" s="48">
        <f>'Adani Enterprises'!AA173</f>
        <v>0</v>
      </c>
      <c r="AB173" s="48">
        <f>'Adani Enterprises'!AB173</f>
        <v>0</v>
      </c>
      <c r="AC173" s="48">
        <f>'Adani Enterprises'!AC173</f>
        <v>0</v>
      </c>
      <c r="AD173" s="48">
        <f>'Adani Enterprises'!AD173</f>
        <v>0</v>
      </c>
      <c r="AE173" s="48">
        <f>'Adani Enterprises'!AE173</f>
        <v>0</v>
      </c>
      <c r="AF173" s="48">
        <f>'Adani Enterprises'!AF173</f>
        <v>0</v>
      </c>
      <c r="AG173" s="48">
        <f>'Adani Enterprises'!AG173</f>
        <v>0</v>
      </c>
      <c r="AH173" s="48">
        <f>'Adani Enterprises'!AH173</f>
        <v>0</v>
      </c>
      <c r="AI173" s="48">
        <f>'Adani Enterprises'!AI173</f>
        <v>0</v>
      </c>
      <c r="AJ173" s="48">
        <f>'Adani Enterprises'!AJ173</f>
        <v>0</v>
      </c>
      <c r="AK173" s="48">
        <f>'Adani Enterprises'!AK173</f>
        <v>0</v>
      </c>
      <c r="AL173" s="48">
        <f>'Adani Enterprises'!AL173</f>
        <v>0</v>
      </c>
    </row>
    <row r="174" customHeight="1" spans="1:38">
      <c r="A174" s="48">
        <f>'Adani Enterprises'!A174</f>
        <v>0</v>
      </c>
      <c r="B174" s="48">
        <f>'Adani Enterprises'!B174</f>
        <v>0</v>
      </c>
      <c r="C174" s="48">
        <f>'Adani Enterprises'!C174</f>
        <v>0</v>
      </c>
      <c r="D174" s="48">
        <f>'Adani Enterprises'!D174</f>
        <v>0</v>
      </c>
      <c r="E174" s="48">
        <f>'Adani Enterprises'!E174</f>
        <v>0</v>
      </c>
      <c r="F174" s="48">
        <f>'Adani Enterprises'!F174</f>
        <v>0</v>
      </c>
      <c r="G174" s="48">
        <f>'Adani Enterprises'!G174</f>
        <v>0</v>
      </c>
      <c r="H174" s="48">
        <f>'Adani Enterprises'!H174</f>
        <v>0</v>
      </c>
      <c r="I174" s="48">
        <f>'Adani Enterprises'!I174</f>
        <v>0</v>
      </c>
      <c r="J174" s="48">
        <f>'Adani Enterprises'!J174</f>
        <v>0</v>
      </c>
      <c r="K174" s="48">
        <f>'Adani Enterprises'!K174</f>
        <v>0</v>
      </c>
      <c r="L174" s="48">
        <f>'Adani Enterprises'!L174</f>
        <v>0</v>
      </c>
      <c r="M174" s="48">
        <f>'Adani Enterprises'!M174</f>
        <v>0</v>
      </c>
      <c r="N174" s="48">
        <f>'Adani Enterprises'!N174</f>
        <v>0</v>
      </c>
      <c r="O174" s="48">
        <f>'Adani Enterprises'!O174</f>
        <v>0</v>
      </c>
      <c r="P174" s="48">
        <f>'Adani Enterprises'!P174</f>
        <v>0</v>
      </c>
      <c r="Q174" s="48">
        <f>'Adani Enterprises'!Q174</f>
        <v>0</v>
      </c>
      <c r="R174" s="48">
        <f>'Adani Enterprises'!R174</f>
        <v>0</v>
      </c>
      <c r="S174" s="48">
        <f>'Adani Enterprises'!S174</f>
        <v>0</v>
      </c>
      <c r="T174" s="48">
        <f>'Adani Enterprises'!T174</f>
        <v>0</v>
      </c>
      <c r="U174" s="48">
        <f>'Adani Enterprises'!U174</f>
        <v>0</v>
      </c>
      <c r="V174" s="48">
        <f>'Adani Enterprises'!V174</f>
        <v>0</v>
      </c>
      <c r="W174" s="48">
        <f>'Adani Enterprises'!W174</f>
        <v>0</v>
      </c>
      <c r="X174" s="48">
        <f>'Adani Enterprises'!X174</f>
        <v>0</v>
      </c>
      <c r="Y174" s="48">
        <f>'Adani Enterprises'!Y174</f>
        <v>0</v>
      </c>
      <c r="Z174" s="48">
        <f>'Adani Enterprises'!Z174</f>
        <v>0</v>
      </c>
      <c r="AA174" s="48">
        <f>'Adani Enterprises'!AA174</f>
        <v>0</v>
      </c>
      <c r="AB174" s="48">
        <f>'Adani Enterprises'!AB174</f>
        <v>0</v>
      </c>
      <c r="AC174" s="48">
        <f>'Adani Enterprises'!AC174</f>
        <v>0</v>
      </c>
      <c r="AD174" s="48">
        <f>'Adani Enterprises'!AD174</f>
        <v>0</v>
      </c>
      <c r="AE174" s="48">
        <f>'Adani Enterprises'!AE174</f>
        <v>0</v>
      </c>
      <c r="AF174" s="48">
        <f>'Adani Enterprises'!AF174</f>
        <v>0</v>
      </c>
      <c r="AG174" s="48">
        <f>'Adani Enterprises'!AG174</f>
        <v>0</v>
      </c>
      <c r="AH174" s="48">
        <f>'Adani Enterprises'!AH174</f>
        <v>0</v>
      </c>
      <c r="AI174" s="48">
        <f>'Adani Enterprises'!AI174</f>
        <v>0</v>
      </c>
      <c r="AJ174" s="48">
        <f>'Adani Enterprises'!AJ174</f>
        <v>0</v>
      </c>
      <c r="AK174" s="48">
        <f>'Adani Enterprises'!AK174</f>
        <v>0</v>
      </c>
      <c r="AL174" s="48">
        <f>'Adani Enterprises'!AL174</f>
        <v>0</v>
      </c>
    </row>
    <row r="175" customHeight="1" spans="1:38">
      <c r="A175" s="48">
        <f>'Adani Enterprises'!A175</f>
        <v>0</v>
      </c>
      <c r="B175" s="48">
        <f>'Adani Enterprises'!B175</f>
        <v>0</v>
      </c>
      <c r="C175" s="48">
        <f>'Adani Enterprises'!C175</f>
        <v>0</v>
      </c>
      <c r="D175" s="48">
        <f>'Adani Enterprises'!D175</f>
        <v>0</v>
      </c>
      <c r="E175" s="48">
        <f>'Adani Enterprises'!E175</f>
        <v>0</v>
      </c>
      <c r="F175" s="48">
        <f>'Adani Enterprises'!F175</f>
        <v>0</v>
      </c>
      <c r="G175" s="48">
        <f>'Adani Enterprises'!G175</f>
        <v>0</v>
      </c>
      <c r="H175" s="48">
        <f>'Adani Enterprises'!H175</f>
        <v>0</v>
      </c>
      <c r="I175" s="48">
        <f>'Adani Enterprises'!I175</f>
        <v>0</v>
      </c>
      <c r="J175" s="48">
        <f>'Adani Enterprises'!J175</f>
        <v>0</v>
      </c>
      <c r="K175" s="48">
        <f>'Adani Enterprises'!K175</f>
        <v>0</v>
      </c>
      <c r="L175" s="48">
        <f>'Adani Enterprises'!L175</f>
        <v>0</v>
      </c>
      <c r="M175" s="48">
        <f>'Adani Enterprises'!M175</f>
        <v>0</v>
      </c>
      <c r="N175" s="48">
        <f>'Adani Enterprises'!N175</f>
        <v>0</v>
      </c>
      <c r="O175" s="48">
        <f>'Adani Enterprises'!O175</f>
        <v>0</v>
      </c>
      <c r="P175" s="48">
        <f>'Adani Enterprises'!P175</f>
        <v>0</v>
      </c>
      <c r="Q175" s="48">
        <f>'Adani Enterprises'!Q175</f>
        <v>0</v>
      </c>
      <c r="R175" s="48">
        <f>'Adani Enterprises'!R175</f>
        <v>0</v>
      </c>
      <c r="S175" s="48">
        <f>'Adani Enterprises'!S175</f>
        <v>0</v>
      </c>
      <c r="T175" s="48">
        <f>'Adani Enterprises'!T175</f>
        <v>0</v>
      </c>
      <c r="U175" s="48">
        <f>'Adani Enterprises'!U175</f>
        <v>0</v>
      </c>
      <c r="V175" s="48">
        <f>'Adani Enterprises'!V175</f>
        <v>0</v>
      </c>
      <c r="W175" s="48">
        <f>'Adani Enterprises'!W175</f>
        <v>0</v>
      </c>
      <c r="X175" s="48">
        <f>'Adani Enterprises'!X175</f>
        <v>0</v>
      </c>
      <c r="Y175" s="48">
        <f>'Adani Enterprises'!Y175</f>
        <v>0</v>
      </c>
      <c r="Z175" s="48">
        <f>'Adani Enterprises'!Z175</f>
        <v>0</v>
      </c>
      <c r="AA175" s="48">
        <f>'Adani Enterprises'!AA175</f>
        <v>0</v>
      </c>
      <c r="AB175" s="48">
        <f>'Adani Enterprises'!AB175</f>
        <v>0</v>
      </c>
      <c r="AC175" s="48">
        <f>'Adani Enterprises'!AC175</f>
        <v>0</v>
      </c>
      <c r="AD175" s="48">
        <f>'Adani Enterprises'!AD175</f>
        <v>0</v>
      </c>
      <c r="AE175" s="48">
        <f>'Adani Enterprises'!AE175</f>
        <v>0</v>
      </c>
      <c r="AF175" s="48">
        <f>'Adani Enterprises'!AF175</f>
        <v>0</v>
      </c>
      <c r="AG175" s="48">
        <f>'Adani Enterprises'!AG175</f>
        <v>0</v>
      </c>
      <c r="AH175" s="48">
        <f>'Adani Enterprises'!AH175</f>
        <v>0</v>
      </c>
      <c r="AI175" s="48">
        <f>'Adani Enterprises'!AI175</f>
        <v>0</v>
      </c>
      <c r="AJ175" s="48">
        <f>'Adani Enterprises'!AJ175</f>
        <v>0</v>
      </c>
      <c r="AK175" s="48">
        <f>'Adani Enterprises'!AK175</f>
        <v>0</v>
      </c>
      <c r="AL175" s="48">
        <f>'Adani Enterprises'!AL175</f>
        <v>0</v>
      </c>
    </row>
    <row r="176" customHeight="1" spans="1:38">
      <c r="A176" s="48">
        <f>'Adani Enterprises'!A176</f>
        <v>0</v>
      </c>
      <c r="B176" s="48">
        <f>'Adani Enterprises'!B176</f>
        <v>0</v>
      </c>
      <c r="C176" s="48">
        <f>'Adani Enterprises'!C176</f>
        <v>0</v>
      </c>
      <c r="D176" s="48">
        <f>'Adani Enterprises'!D176</f>
        <v>0</v>
      </c>
      <c r="E176" s="48">
        <f>'Adani Enterprises'!E176</f>
        <v>0</v>
      </c>
      <c r="F176" s="48">
        <f>'Adani Enterprises'!F176</f>
        <v>0</v>
      </c>
      <c r="G176" s="48">
        <f>'Adani Enterprises'!G176</f>
        <v>0</v>
      </c>
      <c r="H176" s="48">
        <f>'Adani Enterprises'!H176</f>
        <v>0</v>
      </c>
      <c r="I176" s="48">
        <f>'Adani Enterprises'!I176</f>
        <v>0</v>
      </c>
      <c r="J176" s="48">
        <f>'Adani Enterprises'!J176</f>
        <v>0</v>
      </c>
      <c r="K176" s="48">
        <f>'Adani Enterprises'!K176</f>
        <v>0</v>
      </c>
      <c r="L176" s="48">
        <f>'Adani Enterprises'!L176</f>
        <v>0</v>
      </c>
      <c r="M176" s="48">
        <f>'Adani Enterprises'!M176</f>
        <v>0</v>
      </c>
      <c r="N176" s="48">
        <f>'Adani Enterprises'!N176</f>
        <v>0</v>
      </c>
      <c r="O176" s="48">
        <f>'Adani Enterprises'!O176</f>
        <v>0</v>
      </c>
      <c r="P176" s="48">
        <f>'Adani Enterprises'!P176</f>
        <v>0</v>
      </c>
      <c r="Q176" s="48">
        <f>'Adani Enterprises'!Q176</f>
        <v>0</v>
      </c>
      <c r="R176" s="48">
        <f>'Adani Enterprises'!R176</f>
        <v>0</v>
      </c>
      <c r="S176" s="48">
        <f>'Adani Enterprises'!S176</f>
        <v>0</v>
      </c>
      <c r="T176" s="48">
        <f>'Adani Enterprises'!T176</f>
        <v>0</v>
      </c>
      <c r="U176" s="48">
        <f>'Adani Enterprises'!U176</f>
        <v>0</v>
      </c>
      <c r="V176" s="48">
        <f>'Adani Enterprises'!V176</f>
        <v>0</v>
      </c>
      <c r="W176" s="48">
        <f>'Adani Enterprises'!W176</f>
        <v>0</v>
      </c>
      <c r="X176" s="48">
        <f>'Adani Enterprises'!X176</f>
        <v>0</v>
      </c>
      <c r="Y176" s="48">
        <f>'Adani Enterprises'!Y176</f>
        <v>0</v>
      </c>
      <c r="Z176" s="48">
        <f>'Adani Enterprises'!Z176</f>
        <v>0</v>
      </c>
      <c r="AA176" s="48">
        <f>'Adani Enterprises'!AA176</f>
        <v>0</v>
      </c>
      <c r="AB176" s="48">
        <f>'Adani Enterprises'!AB176</f>
        <v>0</v>
      </c>
      <c r="AC176" s="48">
        <f>'Adani Enterprises'!AC176</f>
        <v>0</v>
      </c>
      <c r="AD176" s="48">
        <f>'Adani Enterprises'!AD176</f>
        <v>0</v>
      </c>
      <c r="AE176" s="48">
        <f>'Adani Enterprises'!AE176</f>
        <v>0</v>
      </c>
      <c r="AF176" s="48">
        <f>'Adani Enterprises'!AF176</f>
        <v>0</v>
      </c>
      <c r="AG176" s="48">
        <f>'Adani Enterprises'!AG176</f>
        <v>0</v>
      </c>
      <c r="AH176" s="48">
        <f>'Adani Enterprises'!AH176</f>
        <v>0</v>
      </c>
      <c r="AI176" s="48">
        <f>'Adani Enterprises'!AI176</f>
        <v>0</v>
      </c>
      <c r="AJ176" s="48">
        <f>'Adani Enterprises'!AJ176</f>
        <v>0</v>
      </c>
      <c r="AK176" s="48">
        <f>'Adani Enterprises'!AK176</f>
        <v>0</v>
      </c>
      <c r="AL176" s="48">
        <f>'Adani Enterprises'!AL176</f>
        <v>0</v>
      </c>
    </row>
    <row r="177" customHeight="1" spans="1:38">
      <c r="A177" s="48">
        <f>'Adani Enterprises'!A177</f>
        <v>0</v>
      </c>
      <c r="B177" s="48">
        <f>'Adani Enterprises'!B177</f>
        <v>0</v>
      </c>
      <c r="C177" s="48">
        <f>'Adani Enterprises'!C177</f>
        <v>0</v>
      </c>
      <c r="D177" s="48">
        <f>'Adani Enterprises'!D177</f>
        <v>0</v>
      </c>
      <c r="E177" s="48">
        <f>'Adani Enterprises'!E177</f>
        <v>0</v>
      </c>
      <c r="F177" s="48">
        <f>'Adani Enterprises'!F177</f>
        <v>0</v>
      </c>
      <c r="G177" s="48">
        <f>'Adani Enterprises'!G177</f>
        <v>0</v>
      </c>
      <c r="H177" s="48">
        <f>'Adani Enterprises'!H177</f>
        <v>0</v>
      </c>
      <c r="I177" s="48">
        <f>'Adani Enterprises'!I177</f>
        <v>0</v>
      </c>
      <c r="J177" s="48">
        <f>'Adani Enterprises'!J177</f>
        <v>0</v>
      </c>
      <c r="K177" s="48">
        <f>'Adani Enterprises'!K177</f>
        <v>0</v>
      </c>
      <c r="L177" s="48">
        <f>'Adani Enterprises'!L177</f>
        <v>0</v>
      </c>
      <c r="M177" s="48">
        <f>'Adani Enterprises'!M177</f>
        <v>0</v>
      </c>
      <c r="N177" s="48">
        <f>'Adani Enterprises'!N177</f>
        <v>0</v>
      </c>
      <c r="O177" s="48">
        <f>'Adani Enterprises'!O177</f>
        <v>0</v>
      </c>
      <c r="P177" s="48">
        <f>'Adani Enterprises'!P177</f>
        <v>0</v>
      </c>
      <c r="Q177" s="48">
        <f>'Adani Enterprises'!Q177</f>
        <v>0</v>
      </c>
      <c r="R177" s="48">
        <f>'Adani Enterprises'!R177</f>
        <v>0</v>
      </c>
      <c r="S177" s="48">
        <f>'Adani Enterprises'!S177</f>
        <v>0</v>
      </c>
      <c r="T177" s="48">
        <f>'Adani Enterprises'!T177</f>
        <v>0</v>
      </c>
      <c r="U177" s="48">
        <f>'Adani Enterprises'!U177</f>
        <v>0</v>
      </c>
      <c r="V177" s="48">
        <f>'Adani Enterprises'!V177</f>
        <v>0</v>
      </c>
      <c r="W177" s="48">
        <f>'Adani Enterprises'!W177</f>
        <v>0</v>
      </c>
      <c r="X177" s="48">
        <f>'Adani Enterprises'!X177</f>
        <v>0</v>
      </c>
      <c r="Y177" s="48">
        <f>'Adani Enterprises'!Y177</f>
        <v>0</v>
      </c>
      <c r="Z177" s="48">
        <f>'Adani Enterprises'!Z177</f>
        <v>0</v>
      </c>
      <c r="AA177" s="48">
        <f>'Adani Enterprises'!AA177</f>
        <v>0</v>
      </c>
      <c r="AB177" s="48">
        <f>'Adani Enterprises'!AB177</f>
        <v>0</v>
      </c>
      <c r="AC177" s="48">
        <f>'Adani Enterprises'!AC177</f>
        <v>0</v>
      </c>
      <c r="AD177" s="48">
        <f>'Adani Enterprises'!AD177</f>
        <v>0</v>
      </c>
      <c r="AE177" s="48">
        <f>'Adani Enterprises'!AE177</f>
        <v>0</v>
      </c>
      <c r="AF177" s="48">
        <f>'Adani Enterprises'!AF177</f>
        <v>0</v>
      </c>
      <c r="AG177" s="48">
        <f>'Adani Enterprises'!AG177</f>
        <v>0</v>
      </c>
      <c r="AH177" s="48">
        <f>'Adani Enterprises'!AH177</f>
        <v>0</v>
      </c>
      <c r="AI177" s="48">
        <f>'Adani Enterprises'!AI177</f>
        <v>0</v>
      </c>
      <c r="AJ177" s="48">
        <f>'Adani Enterprises'!AJ177</f>
        <v>0</v>
      </c>
      <c r="AK177" s="48">
        <f>'Adani Enterprises'!AK177</f>
        <v>0</v>
      </c>
      <c r="AL177" s="48">
        <f>'Adani Enterprises'!AL177</f>
        <v>0</v>
      </c>
    </row>
    <row r="178" customHeight="1" spans="1:38">
      <c r="A178" s="48">
        <f>'Adani Enterprises'!A178</f>
        <v>0</v>
      </c>
      <c r="B178" s="48">
        <f>'Adani Enterprises'!B178</f>
        <v>0</v>
      </c>
      <c r="C178" s="48">
        <f>'Adani Enterprises'!C178</f>
        <v>0</v>
      </c>
      <c r="D178" s="48">
        <f>'Adani Enterprises'!D178</f>
        <v>0</v>
      </c>
      <c r="E178" s="48">
        <f>'Adani Enterprises'!E178</f>
        <v>0</v>
      </c>
      <c r="F178" s="48">
        <f>'Adani Enterprises'!F178</f>
        <v>0</v>
      </c>
      <c r="G178" s="48">
        <f>'Adani Enterprises'!G178</f>
        <v>0</v>
      </c>
      <c r="H178" s="48">
        <f>'Adani Enterprises'!H178</f>
        <v>0</v>
      </c>
      <c r="I178" s="48">
        <f>'Adani Enterprises'!I178</f>
        <v>0</v>
      </c>
      <c r="J178" s="48">
        <f>'Adani Enterprises'!J178</f>
        <v>0</v>
      </c>
      <c r="K178" s="48">
        <f>'Adani Enterprises'!K178</f>
        <v>0</v>
      </c>
      <c r="L178" s="48">
        <f>'Adani Enterprises'!L178</f>
        <v>0</v>
      </c>
      <c r="M178" s="48">
        <f>'Adani Enterprises'!M178</f>
        <v>0</v>
      </c>
      <c r="N178" s="48">
        <f>'Adani Enterprises'!N178</f>
        <v>0</v>
      </c>
      <c r="O178" s="48">
        <f>'Adani Enterprises'!O178</f>
        <v>0</v>
      </c>
      <c r="P178" s="48">
        <f>'Adani Enterprises'!P178</f>
        <v>0</v>
      </c>
      <c r="Q178" s="48">
        <f>'Adani Enterprises'!Q178</f>
        <v>0</v>
      </c>
      <c r="R178" s="48">
        <f>'Adani Enterprises'!R178</f>
        <v>0</v>
      </c>
      <c r="S178" s="48">
        <f>'Adani Enterprises'!S178</f>
        <v>0</v>
      </c>
      <c r="T178" s="48">
        <f>'Adani Enterprises'!T178</f>
        <v>0</v>
      </c>
      <c r="U178" s="48">
        <f>'Adani Enterprises'!U178</f>
        <v>0</v>
      </c>
      <c r="V178" s="48">
        <f>'Adani Enterprises'!V178</f>
        <v>0</v>
      </c>
      <c r="W178" s="48">
        <f>'Adani Enterprises'!W178</f>
        <v>0</v>
      </c>
      <c r="X178" s="48">
        <f>'Adani Enterprises'!X178</f>
        <v>0</v>
      </c>
      <c r="Y178" s="48">
        <f>'Adani Enterprises'!Y178</f>
        <v>0</v>
      </c>
      <c r="Z178" s="48">
        <f>'Adani Enterprises'!Z178</f>
        <v>0</v>
      </c>
      <c r="AA178" s="48">
        <f>'Adani Enterprises'!AA178</f>
        <v>0</v>
      </c>
      <c r="AB178" s="48">
        <f>'Adani Enterprises'!AB178</f>
        <v>0</v>
      </c>
      <c r="AC178" s="48">
        <f>'Adani Enterprises'!AC178</f>
        <v>0</v>
      </c>
      <c r="AD178" s="48">
        <f>'Adani Enterprises'!AD178</f>
        <v>0</v>
      </c>
      <c r="AE178" s="48">
        <f>'Adani Enterprises'!AE178</f>
        <v>0</v>
      </c>
      <c r="AF178" s="48">
        <f>'Adani Enterprises'!AF178</f>
        <v>0</v>
      </c>
      <c r="AG178" s="48">
        <f>'Adani Enterprises'!AG178</f>
        <v>0</v>
      </c>
      <c r="AH178" s="48">
        <f>'Adani Enterprises'!AH178</f>
        <v>0</v>
      </c>
      <c r="AI178" s="48">
        <f>'Adani Enterprises'!AI178</f>
        <v>0</v>
      </c>
      <c r="AJ178" s="48">
        <f>'Adani Enterprises'!AJ178</f>
        <v>0</v>
      </c>
      <c r="AK178" s="48">
        <f>'Adani Enterprises'!AK178</f>
        <v>0</v>
      </c>
      <c r="AL178" s="48">
        <f>'Adani Enterprises'!AL178</f>
        <v>0</v>
      </c>
    </row>
    <row r="179" customHeight="1" spans="1:38">
      <c r="A179" s="48">
        <f>'Adani Enterprises'!A179</f>
        <v>0</v>
      </c>
      <c r="B179" s="48">
        <f>'Adani Enterprises'!B179</f>
        <v>0</v>
      </c>
      <c r="C179" s="48">
        <f>'Adani Enterprises'!C179</f>
        <v>0</v>
      </c>
      <c r="D179" s="48">
        <f>'Adani Enterprises'!D179</f>
        <v>0</v>
      </c>
      <c r="E179" s="48">
        <f>'Adani Enterprises'!E179</f>
        <v>0</v>
      </c>
      <c r="F179" s="48">
        <f>'Adani Enterprises'!F179</f>
        <v>0</v>
      </c>
      <c r="G179" s="48">
        <f>'Adani Enterprises'!G179</f>
        <v>0</v>
      </c>
      <c r="H179" s="48">
        <f>'Adani Enterprises'!H179</f>
        <v>0</v>
      </c>
      <c r="I179" s="48">
        <f>'Adani Enterprises'!I179</f>
        <v>0</v>
      </c>
      <c r="J179" s="48">
        <f>'Adani Enterprises'!J179</f>
        <v>0</v>
      </c>
      <c r="K179" s="48">
        <f>'Adani Enterprises'!K179</f>
        <v>0</v>
      </c>
      <c r="L179" s="48">
        <f>'Adani Enterprises'!L179</f>
        <v>0</v>
      </c>
      <c r="M179" s="48">
        <f>'Adani Enterprises'!M179</f>
        <v>0</v>
      </c>
      <c r="N179" s="48">
        <f>'Adani Enterprises'!N179</f>
        <v>0</v>
      </c>
      <c r="O179" s="48">
        <f>'Adani Enterprises'!O179</f>
        <v>0</v>
      </c>
      <c r="P179" s="48">
        <f>'Adani Enterprises'!P179</f>
        <v>0</v>
      </c>
      <c r="Q179" s="48">
        <f>'Adani Enterprises'!Q179</f>
        <v>0</v>
      </c>
      <c r="R179" s="48">
        <f>'Adani Enterprises'!R179</f>
        <v>0</v>
      </c>
      <c r="S179" s="48">
        <f>'Adani Enterprises'!S179</f>
        <v>0</v>
      </c>
      <c r="T179" s="48">
        <f>'Adani Enterprises'!T179</f>
        <v>0</v>
      </c>
      <c r="U179" s="48">
        <f>'Adani Enterprises'!U179</f>
        <v>0</v>
      </c>
      <c r="V179" s="48">
        <f>'Adani Enterprises'!V179</f>
        <v>0</v>
      </c>
      <c r="W179" s="48">
        <f>'Adani Enterprises'!W179</f>
        <v>0</v>
      </c>
      <c r="X179" s="48">
        <f>'Adani Enterprises'!X179</f>
        <v>0</v>
      </c>
      <c r="Y179" s="48">
        <f>'Adani Enterprises'!Y179</f>
        <v>0</v>
      </c>
      <c r="Z179" s="48">
        <f>'Adani Enterprises'!Z179</f>
        <v>0</v>
      </c>
      <c r="AA179" s="48">
        <f>'Adani Enterprises'!AA179</f>
        <v>0</v>
      </c>
      <c r="AB179" s="48">
        <f>'Adani Enterprises'!AB179</f>
        <v>0</v>
      </c>
      <c r="AC179" s="48">
        <f>'Adani Enterprises'!AC179</f>
        <v>0</v>
      </c>
      <c r="AD179" s="48">
        <f>'Adani Enterprises'!AD179</f>
        <v>0</v>
      </c>
      <c r="AE179" s="48">
        <f>'Adani Enterprises'!AE179</f>
        <v>0</v>
      </c>
      <c r="AF179" s="48">
        <f>'Adani Enterprises'!AF179</f>
        <v>0</v>
      </c>
      <c r="AG179" s="48">
        <f>'Adani Enterprises'!AG179</f>
        <v>0</v>
      </c>
      <c r="AH179" s="48">
        <f>'Adani Enterprises'!AH179</f>
        <v>0</v>
      </c>
      <c r="AI179" s="48">
        <f>'Adani Enterprises'!AI179</f>
        <v>0</v>
      </c>
      <c r="AJ179" s="48">
        <f>'Adani Enterprises'!AJ179</f>
        <v>0</v>
      </c>
      <c r="AK179" s="48">
        <f>'Adani Enterprises'!AK179</f>
        <v>0</v>
      </c>
      <c r="AL179" s="48">
        <f>'Adani Enterprises'!AL179</f>
        <v>0</v>
      </c>
    </row>
    <row r="180" customHeight="1" spans="1:38">
      <c r="A180" s="48">
        <f>'Adani Enterprises'!A180</f>
        <v>0</v>
      </c>
      <c r="B180" s="48">
        <f>'Adani Enterprises'!B180</f>
        <v>0</v>
      </c>
      <c r="C180" s="48">
        <f>'Adani Enterprises'!C180</f>
        <v>0</v>
      </c>
      <c r="D180" s="48">
        <f>'Adani Enterprises'!D180</f>
        <v>0</v>
      </c>
      <c r="E180" s="48">
        <f>'Adani Enterprises'!E180</f>
        <v>0</v>
      </c>
      <c r="F180" s="48">
        <f>'Adani Enterprises'!F180</f>
        <v>0</v>
      </c>
      <c r="G180" s="48">
        <f>'Adani Enterprises'!G180</f>
        <v>0</v>
      </c>
      <c r="H180" s="48">
        <f>'Adani Enterprises'!H180</f>
        <v>0</v>
      </c>
      <c r="I180" s="48">
        <f>'Adani Enterprises'!I180</f>
        <v>0</v>
      </c>
      <c r="J180" s="48">
        <f>'Adani Enterprises'!J180</f>
        <v>0</v>
      </c>
      <c r="K180" s="48">
        <f>'Adani Enterprises'!K180</f>
        <v>0</v>
      </c>
      <c r="L180" s="48">
        <f>'Adani Enterprises'!L180</f>
        <v>0</v>
      </c>
      <c r="M180" s="48">
        <f>'Adani Enterprises'!M180</f>
        <v>0</v>
      </c>
      <c r="N180" s="48">
        <f>'Adani Enterprises'!N180</f>
        <v>0</v>
      </c>
      <c r="O180" s="48">
        <f>'Adani Enterprises'!O180</f>
        <v>0</v>
      </c>
      <c r="P180" s="48">
        <f>'Adani Enterprises'!P180</f>
        <v>0</v>
      </c>
      <c r="Q180" s="48">
        <f>'Adani Enterprises'!Q180</f>
        <v>0</v>
      </c>
      <c r="R180" s="48">
        <f>'Adani Enterprises'!R180</f>
        <v>0</v>
      </c>
      <c r="S180" s="48">
        <f>'Adani Enterprises'!S180</f>
        <v>0</v>
      </c>
      <c r="T180" s="48">
        <f>'Adani Enterprises'!T180</f>
        <v>0</v>
      </c>
      <c r="U180" s="48">
        <f>'Adani Enterprises'!U180</f>
        <v>0</v>
      </c>
      <c r="V180" s="48">
        <f>'Adani Enterprises'!V180</f>
        <v>0</v>
      </c>
      <c r="W180" s="48">
        <f>'Adani Enterprises'!W180</f>
        <v>0</v>
      </c>
      <c r="X180" s="48">
        <f>'Adani Enterprises'!X180</f>
        <v>0</v>
      </c>
      <c r="Y180" s="48">
        <f>'Adani Enterprises'!Y180</f>
        <v>0</v>
      </c>
      <c r="Z180" s="48">
        <f>'Adani Enterprises'!Z180</f>
        <v>0</v>
      </c>
      <c r="AA180" s="48">
        <f>'Adani Enterprises'!AA180</f>
        <v>0</v>
      </c>
      <c r="AB180" s="48">
        <f>'Adani Enterprises'!AB180</f>
        <v>0</v>
      </c>
      <c r="AC180" s="48">
        <f>'Adani Enterprises'!AC180</f>
        <v>0</v>
      </c>
      <c r="AD180" s="48">
        <f>'Adani Enterprises'!AD180</f>
        <v>0</v>
      </c>
      <c r="AE180" s="48">
        <f>'Adani Enterprises'!AE180</f>
        <v>0</v>
      </c>
      <c r="AF180" s="48">
        <f>'Adani Enterprises'!AF180</f>
        <v>0</v>
      </c>
      <c r="AG180" s="48">
        <f>'Adani Enterprises'!AG180</f>
        <v>0</v>
      </c>
      <c r="AH180" s="48">
        <f>'Adani Enterprises'!AH180</f>
        <v>0</v>
      </c>
      <c r="AI180" s="48">
        <f>'Adani Enterprises'!AI180</f>
        <v>0</v>
      </c>
      <c r="AJ180" s="48">
        <f>'Adani Enterprises'!AJ180</f>
        <v>0</v>
      </c>
      <c r="AK180" s="48">
        <f>'Adani Enterprises'!AK180</f>
        <v>0</v>
      </c>
      <c r="AL180" s="48">
        <f>'Adani Enterprises'!AL180</f>
        <v>0</v>
      </c>
    </row>
    <row r="181" customHeight="1" spans="1:38">
      <c r="A181" s="48">
        <f>'Adani Enterprises'!A181</f>
        <v>0</v>
      </c>
      <c r="B181" s="48">
        <f>'Adani Enterprises'!B181</f>
        <v>0</v>
      </c>
      <c r="C181" s="48">
        <f>'Adani Enterprises'!C181</f>
        <v>0</v>
      </c>
      <c r="D181" s="48">
        <f>'Adani Enterprises'!D181</f>
        <v>0</v>
      </c>
      <c r="E181" s="48">
        <f>'Adani Enterprises'!E181</f>
        <v>0</v>
      </c>
      <c r="F181" s="48">
        <f>'Adani Enterprises'!F181</f>
        <v>0</v>
      </c>
      <c r="G181" s="48">
        <f>'Adani Enterprises'!G181</f>
        <v>0</v>
      </c>
      <c r="H181" s="48">
        <f>'Adani Enterprises'!H181</f>
        <v>0</v>
      </c>
      <c r="I181" s="48">
        <f>'Adani Enterprises'!I181</f>
        <v>0</v>
      </c>
      <c r="J181" s="48">
        <f>'Adani Enterprises'!J181</f>
        <v>0</v>
      </c>
      <c r="K181" s="48">
        <f>'Adani Enterprises'!K181</f>
        <v>0</v>
      </c>
      <c r="L181" s="48">
        <f>'Adani Enterprises'!L181</f>
        <v>0</v>
      </c>
      <c r="M181" s="48">
        <f>'Adani Enterprises'!M181</f>
        <v>0</v>
      </c>
      <c r="N181" s="48">
        <f>'Adani Enterprises'!N181</f>
        <v>0</v>
      </c>
      <c r="O181" s="48">
        <f>'Adani Enterprises'!O181</f>
        <v>0</v>
      </c>
      <c r="P181" s="48">
        <f>'Adani Enterprises'!P181</f>
        <v>0</v>
      </c>
      <c r="Q181" s="48">
        <f>'Adani Enterprises'!Q181</f>
        <v>0</v>
      </c>
      <c r="R181" s="48">
        <f>'Adani Enterprises'!R181</f>
        <v>0</v>
      </c>
      <c r="S181" s="48">
        <f>'Adani Enterprises'!S181</f>
        <v>0</v>
      </c>
      <c r="T181" s="48">
        <f>'Adani Enterprises'!T181</f>
        <v>0</v>
      </c>
      <c r="U181" s="48">
        <f>'Adani Enterprises'!U181</f>
        <v>0</v>
      </c>
      <c r="V181" s="48">
        <f>'Adani Enterprises'!V181</f>
        <v>0</v>
      </c>
      <c r="W181" s="48">
        <f>'Adani Enterprises'!W181</f>
        <v>0</v>
      </c>
      <c r="X181" s="48">
        <f>'Adani Enterprises'!X181</f>
        <v>0</v>
      </c>
      <c r="Y181" s="48">
        <f>'Adani Enterprises'!Y181</f>
        <v>0</v>
      </c>
      <c r="Z181" s="48">
        <f>'Adani Enterprises'!Z181</f>
        <v>0</v>
      </c>
      <c r="AA181" s="48">
        <f>'Adani Enterprises'!AA181</f>
        <v>0</v>
      </c>
      <c r="AB181" s="48">
        <f>'Adani Enterprises'!AB181</f>
        <v>0</v>
      </c>
      <c r="AC181" s="48">
        <f>'Adani Enterprises'!AC181</f>
        <v>0</v>
      </c>
      <c r="AD181" s="48">
        <f>'Adani Enterprises'!AD181</f>
        <v>0</v>
      </c>
      <c r="AE181" s="48">
        <f>'Adani Enterprises'!AE181</f>
        <v>0</v>
      </c>
      <c r="AF181" s="48">
        <f>'Adani Enterprises'!AF181</f>
        <v>0</v>
      </c>
      <c r="AG181" s="48">
        <f>'Adani Enterprises'!AG181</f>
        <v>0</v>
      </c>
      <c r="AH181" s="48">
        <f>'Adani Enterprises'!AH181</f>
        <v>0</v>
      </c>
      <c r="AI181" s="48">
        <f>'Adani Enterprises'!AI181</f>
        <v>0</v>
      </c>
      <c r="AJ181" s="48">
        <f>'Adani Enterprises'!AJ181</f>
        <v>0</v>
      </c>
      <c r="AK181" s="48">
        <f>'Adani Enterprises'!AK181</f>
        <v>0</v>
      </c>
      <c r="AL181" s="48">
        <f>'Adani Enterprises'!AL181</f>
        <v>0</v>
      </c>
    </row>
    <row r="182" customHeight="1" spans="1:38">
      <c r="A182" s="48">
        <f>'Adani Enterprises'!A182</f>
        <v>0</v>
      </c>
      <c r="B182" s="48">
        <f>'Adani Enterprises'!B182</f>
        <v>0</v>
      </c>
      <c r="C182" s="48">
        <f>'Adani Enterprises'!C182</f>
        <v>0</v>
      </c>
      <c r="D182" s="48">
        <f>'Adani Enterprises'!D182</f>
        <v>0</v>
      </c>
      <c r="E182" s="48">
        <f>'Adani Enterprises'!E182</f>
        <v>0</v>
      </c>
      <c r="F182" s="48">
        <f>'Adani Enterprises'!F182</f>
        <v>0</v>
      </c>
      <c r="G182" s="48">
        <f>'Adani Enterprises'!G182</f>
        <v>0</v>
      </c>
      <c r="H182" s="48">
        <f>'Adani Enterprises'!H182</f>
        <v>0</v>
      </c>
      <c r="I182" s="48">
        <f>'Adani Enterprises'!I182</f>
        <v>0</v>
      </c>
      <c r="J182" s="48">
        <f>'Adani Enterprises'!J182</f>
        <v>0</v>
      </c>
      <c r="K182" s="48">
        <f>'Adani Enterprises'!K182</f>
        <v>0</v>
      </c>
      <c r="L182" s="48">
        <f>'Adani Enterprises'!L182</f>
        <v>0</v>
      </c>
      <c r="M182" s="48">
        <f>'Adani Enterprises'!M182</f>
        <v>0</v>
      </c>
      <c r="N182" s="48">
        <f>'Adani Enterprises'!N182</f>
        <v>0</v>
      </c>
      <c r="O182" s="48">
        <f>'Adani Enterprises'!O182</f>
        <v>0</v>
      </c>
      <c r="P182" s="48">
        <f>'Adani Enterprises'!P182</f>
        <v>0</v>
      </c>
      <c r="Q182" s="48">
        <f>'Adani Enterprises'!Q182</f>
        <v>0</v>
      </c>
      <c r="R182" s="48">
        <f>'Adani Enterprises'!R182</f>
        <v>0</v>
      </c>
      <c r="S182" s="48">
        <f>'Adani Enterprises'!S182</f>
        <v>0</v>
      </c>
      <c r="T182" s="48">
        <f>'Adani Enterprises'!T182</f>
        <v>0</v>
      </c>
      <c r="U182" s="48">
        <f>'Adani Enterprises'!U182</f>
        <v>0</v>
      </c>
      <c r="V182" s="48">
        <f>'Adani Enterprises'!V182</f>
        <v>0</v>
      </c>
      <c r="W182" s="48">
        <f>'Adani Enterprises'!W182</f>
        <v>0</v>
      </c>
      <c r="X182" s="48">
        <f>'Adani Enterprises'!X182</f>
        <v>0</v>
      </c>
      <c r="Y182" s="48">
        <f>'Adani Enterprises'!Y182</f>
        <v>0</v>
      </c>
      <c r="Z182" s="48">
        <f>'Adani Enterprises'!Z182</f>
        <v>0</v>
      </c>
      <c r="AA182" s="48">
        <f>'Adani Enterprises'!AA182</f>
        <v>0</v>
      </c>
      <c r="AB182" s="48">
        <f>'Adani Enterprises'!AB182</f>
        <v>0</v>
      </c>
      <c r="AC182" s="48">
        <f>'Adani Enterprises'!AC182</f>
        <v>0</v>
      </c>
      <c r="AD182" s="48">
        <f>'Adani Enterprises'!AD182</f>
        <v>0</v>
      </c>
      <c r="AE182" s="48">
        <f>'Adani Enterprises'!AE182</f>
        <v>0</v>
      </c>
      <c r="AF182" s="48">
        <f>'Adani Enterprises'!AF182</f>
        <v>0</v>
      </c>
      <c r="AG182" s="48">
        <f>'Adani Enterprises'!AG182</f>
        <v>0</v>
      </c>
      <c r="AH182" s="48">
        <f>'Adani Enterprises'!AH182</f>
        <v>0</v>
      </c>
      <c r="AI182" s="48">
        <f>'Adani Enterprises'!AI182</f>
        <v>0</v>
      </c>
      <c r="AJ182" s="48">
        <f>'Adani Enterprises'!AJ182</f>
        <v>0</v>
      </c>
      <c r="AK182" s="48">
        <f>'Adani Enterprises'!AK182</f>
        <v>0</v>
      </c>
      <c r="AL182" s="48">
        <f>'Adani Enterprises'!AL182</f>
        <v>0</v>
      </c>
    </row>
    <row r="183" customHeight="1" spans="1:38">
      <c r="A183" s="48">
        <f>'Adani Enterprises'!A183</f>
        <v>0</v>
      </c>
      <c r="B183" s="48">
        <f>'Adani Enterprises'!B183</f>
        <v>0</v>
      </c>
      <c r="C183" s="48">
        <f>'Adani Enterprises'!C183</f>
        <v>0</v>
      </c>
      <c r="D183" s="48">
        <f>'Adani Enterprises'!D183</f>
        <v>0</v>
      </c>
      <c r="E183" s="48">
        <f>'Adani Enterprises'!E183</f>
        <v>0</v>
      </c>
      <c r="F183" s="48">
        <f>'Adani Enterprises'!F183</f>
        <v>0</v>
      </c>
      <c r="G183" s="48">
        <f>'Adani Enterprises'!G183</f>
        <v>0</v>
      </c>
      <c r="H183" s="48">
        <f>'Adani Enterprises'!H183</f>
        <v>0</v>
      </c>
      <c r="I183" s="48">
        <f>'Adani Enterprises'!I183</f>
        <v>0</v>
      </c>
      <c r="J183" s="48">
        <f>'Adani Enterprises'!J183</f>
        <v>0</v>
      </c>
      <c r="K183" s="48">
        <f>'Adani Enterprises'!K183</f>
        <v>0</v>
      </c>
      <c r="L183" s="48">
        <f>'Adani Enterprises'!L183</f>
        <v>0</v>
      </c>
      <c r="M183" s="48">
        <f>'Adani Enterprises'!M183</f>
        <v>0</v>
      </c>
      <c r="N183" s="48">
        <f>'Adani Enterprises'!N183</f>
        <v>0</v>
      </c>
      <c r="O183" s="48">
        <f>'Adani Enterprises'!O183</f>
        <v>0</v>
      </c>
      <c r="P183" s="48">
        <f>'Adani Enterprises'!P183</f>
        <v>0</v>
      </c>
      <c r="Q183" s="48">
        <f>'Adani Enterprises'!Q183</f>
        <v>0</v>
      </c>
      <c r="R183" s="48">
        <f>'Adani Enterprises'!R183</f>
        <v>0</v>
      </c>
      <c r="S183" s="48">
        <f>'Adani Enterprises'!S183</f>
        <v>0</v>
      </c>
      <c r="T183" s="48">
        <f>'Adani Enterprises'!T183</f>
        <v>0</v>
      </c>
      <c r="U183" s="48">
        <f>'Adani Enterprises'!U183</f>
        <v>0</v>
      </c>
      <c r="V183" s="48">
        <f>'Adani Enterprises'!V183</f>
        <v>0</v>
      </c>
      <c r="W183" s="48">
        <f>'Adani Enterprises'!W183</f>
        <v>0</v>
      </c>
      <c r="X183" s="48">
        <f>'Adani Enterprises'!X183</f>
        <v>0</v>
      </c>
      <c r="Y183" s="48">
        <f>'Adani Enterprises'!Y183</f>
        <v>0</v>
      </c>
      <c r="Z183" s="48">
        <f>'Adani Enterprises'!Z183</f>
        <v>0</v>
      </c>
      <c r="AA183" s="48">
        <f>'Adani Enterprises'!AA183</f>
        <v>0</v>
      </c>
      <c r="AB183" s="48">
        <f>'Adani Enterprises'!AB183</f>
        <v>0</v>
      </c>
      <c r="AC183" s="48">
        <f>'Adani Enterprises'!AC183</f>
        <v>0</v>
      </c>
      <c r="AD183" s="48">
        <f>'Adani Enterprises'!AD183</f>
        <v>0</v>
      </c>
      <c r="AE183" s="48">
        <f>'Adani Enterprises'!AE183</f>
        <v>0</v>
      </c>
      <c r="AF183" s="48">
        <f>'Adani Enterprises'!AF183</f>
        <v>0</v>
      </c>
      <c r="AG183" s="48">
        <f>'Adani Enterprises'!AG183</f>
        <v>0</v>
      </c>
      <c r="AH183" s="48">
        <f>'Adani Enterprises'!AH183</f>
        <v>0</v>
      </c>
      <c r="AI183" s="48">
        <f>'Adani Enterprises'!AI183</f>
        <v>0</v>
      </c>
      <c r="AJ183" s="48">
        <f>'Adani Enterprises'!AJ183</f>
        <v>0</v>
      </c>
      <c r="AK183" s="48">
        <f>'Adani Enterprises'!AK183</f>
        <v>0</v>
      </c>
      <c r="AL183" s="48">
        <f>'Adani Enterprises'!AL183</f>
        <v>0</v>
      </c>
    </row>
    <row r="184" customHeight="1" spans="1:38">
      <c r="A184" s="48">
        <f>'Adani Enterprises'!A184</f>
        <v>0</v>
      </c>
      <c r="B184" s="48">
        <f>'Adani Enterprises'!B184</f>
        <v>0</v>
      </c>
      <c r="C184" s="48">
        <f>'Adani Enterprises'!C184</f>
        <v>0</v>
      </c>
      <c r="D184" s="48">
        <f>'Adani Enterprises'!D184</f>
        <v>0</v>
      </c>
      <c r="E184" s="48">
        <f>'Adani Enterprises'!E184</f>
        <v>0</v>
      </c>
      <c r="F184" s="48">
        <f>'Adani Enterprises'!F184</f>
        <v>0</v>
      </c>
      <c r="G184" s="48">
        <f>'Adani Enterprises'!G184</f>
        <v>0</v>
      </c>
      <c r="H184" s="48">
        <f>'Adani Enterprises'!H184</f>
        <v>0</v>
      </c>
      <c r="I184" s="48">
        <f>'Adani Enterprises'!I184</f>
        <v>0</v>
      </c>
      <c r="J184" s="48">
        <f>'Adani Enterprises'!J184</f>
        <v>0</v>
      </c>
      <c r="K184" s="48">
        <f>'Adani Enterprises'!K184</f>
        <v>0</v>
      </c>
      <c r="L184" s="48">
        <f>'Adani Enterprises'!L184</f>
        <v>0</v>
      </c>
      <c r="M184" s="48">
        <f>'Adani Enterprises'!M184</f>
        <v>0</v>
      </c>
      <c r="N184" s="48">
        <f>'Adani Enterprises'!N184</f>
        <v>0</v>
      </c>
      <c r="O184" s="48">
        <f>'Adani Enterprises'!O184</f>
        <v>0</v>
      </c>
      <c r="P184" s="48">
        <f>'Adani Enterprises'!P184</f>
        <v>0</v>
      </c>
      <c r="Q184" s="48">
        <f>'Adani Enterprises'!Q184</f>
        <v>0</v>
      </c>
      <c r="R184" s="48">
        <f>'Adani Enterprises'!R184</f>
        <v>0</v>
      </c>
      <c r="S184" s="48">
        <f>'Adani Enterprises'!S184</f>
        <v>0</v>
      </c>
      <c r="T184" s="48">
        <f>'Adani Enterprises'!T184</f>
        <v>0</v>
      </c>
      <c r="U184" s="48">
        <f>'Adani Enterprises'!U184</f>
        <v>0</v>
      </c>
      <c r="V184" s="48">
        <f>'Adani Enterprises'!V184</f>
        <v>0</v>
      </c>
      <c r="W184" s="48">
        <f>'Adani Enterprises'!W184</f>
        <v>0</v>
      </c>
      <c r="X184" s="48">
        <f>'Adani Enterprises'!X184</f>
        <v>0</v>
      </c>
      <c r="Y184" s="48">
        <f>'Adani Enterprises'!Y184</f>
        <v>0</v>
      </c>
      <c r="Z184" s="48">
        <f>'Adani Enterprises'!Z184</f>
        <v>0</v>
      </c>
      <c r="AA184" s="48">
        <f>'Adani Enterprises'!AA184</f>
        <v>0</v>
      </c>
      <c r="AB184" s="48">
        <f>'Adani Enterprises'!AB184</f>
        <v>0</v>
      </c>
      <c r="AC184" s="48">
        <f>'Adani Enterprises'!AC184</f>
        <v>0</v>
      </c>
      <c r="AD184" s="48">
        <f>'Adani Enterprises'!AD184</f>
        <v>0</v>
      </c>
      <c r="AE184" s="48">
        <f>'Adani Enterprises'!AE184</f>
        <v>0</v>
      </c>
      <c r="AF184" s="48">
        <f>'Adani Enterprises'!AF184</f>
        <v>0</v>
      </c>
      <c r="AG184" s="48">
        <f>'Adani Enterprises'!AG184</f>
        <v>0</v>
      </c>
      <c r="AH184" s="48">
        <f>'Adani Enterprises'!AH184</f>
        <v>0</v>
      </c>
      <c r="AI184" s="48">
        <f>'Adani Enterprises'!AI184</f>
        <v>0</v>
      </c>
      <c r="AJ184" s="48">
        <f>'Adani Enterprises'!AJ184</f>
        <v>0</v>
      </c>
      <c r="AK184" s="48">
        <f>'Adani Enterprises'!AK184</f>
        <v>0</v>
      </c>
      <c r="AL184" s="48">
        <f>'Adani Enterprises'!AL184</f>
        <v>0</v>
      </c>
    </row>
    <row r="185" customHeight="1" spans="1:38">
      <c r="A185" s="48">
        <f>'Adani Enterprises'!A185</f>
        <v>0</v>
      </c>
      <c r="B185" s="48">
        <f>'Adani Enterprises'!B185</f>
        <v>0</v>
      </c>
      <c r="C185" s="48">
        <f>'Adani Enterprises'!C185</f>
        <v>0</v>
      </c>
      <c r="D185" s="48">
        <f>'Adani Enterprises'!D185</f>
        <v>0</v>
      </c>
      <c r="E185" s="48">
        <f>'Adani Enterprises'!E185</f>
        <v>0</v>
      </c>
      <c r="F185" s="48">
        <f>'Adani Enterprises'!F185</f>
        <v>0</v>
      </c>
      <c r="G185" s="48">
        <f>'Adani Enterprises'!G185</f>
        <v>0</v>
      </c>
      <c r="H185" s="48">
        <f>'Adani Enterprises'!H185</f>
        <v>0</v>
      </c>
      <c r="I185" s="48">
        <f>'Adani Enterprises'!I185</f>
        <v>0</v>
      </c>
      <c r="J185" s="48">
        <f>'Adani Enterprises'!J185</f>
        <v>0</v>
      </c>
      <c r="K185" s="48">
        <f>'Adani Enterprises'!K185</f>
        <v>0</v>
      </c>
      <c r="L185" s="48">
        <f>'Adani Enterprises'!L185</f>
        <v>0</v>
      </c>
      <c r="M185" s="48">
        <f>'Adani Enterprises'!M185</f>
        <v>0</v>
      </c>
      <c r="N185" s="48">
        <f>'Adani Enterprises'!N185</f>
        <v>0</v>
      </c>
      <c r="O185" s="48">
        <f>'Adani Enterprises'!O185</f>
        <v>0</v>
      </c>
      <c r="P185" s="48">
        <f>'Adani Enterprises'!P185</f>
        <v>0</v>
      </c>
      <c r="Q185" s="48">
        <f>'Adani Enterprises'!Q185</f>
        <v>0</v>
      </c>
      <c r="R185" s="48">
        <f>'Adani Enterprises'!R185</f>
        <v>0</v>
      </c>
      <c r="S185" s="48">
        <f>'Adani Enterprises'!S185</f>
        <v>0</v>
      </c>
      <c r="T185" s="48">
        <f>'Adani Enterprises'!T185</f>
        <v>0</v>
      </c>
      <c r="U185" s="48">
        <f>'Adani Enterprises'!U185</f>
        <v>0</v>
      </c>
      <c r="V185" s="48">
        <f>'Adani Enterprises'!V185</f>
        <v>0</v>
      </c>
      <c r="W185" s="48">
        <f>'Adani Enterprises'!W185</f>
        <v>0</v>
      </c>
      <c r="X185" s="48">
        <f>'Adani Enterprises'!X185</f>
        <v>0</v>
      </c>
      <c r="Y185" s="48">
        <f>'Adani Enterprises'!Y185</f>
        <v>0</v>
      </c>
      <c r="Z185" s="48">
        <f>'Adani Enterprises'!Z185</f>
        <v>0</v>
      </c>
      <c r="AA185" s="48">
        <f>'Adani Enterprises'!AA185</f>
        <v>0</v>
      </c>
      <c r="AB185" s="48">
        <f>'Adani Enterprises'!AB185</f>
        <v>0</v>
      </c>
      <c r="AC185" s="48">
        <f>'Adani Enterprises'!AC185</f>
        <v>0</v>
      </c>
      <c r="AD185" s="48">
        <f>'Adani Enterprises'!AD185</f>
        <v>0</v>
      </c>
      <c r="AE185" s="48">
        <f>'Adani Enterprises'!AE185</f>
        <v>0</v>
      </c>
      <c r="AF185" s="48">
        <f>'Adani Enterprises'!AF185</f>
        <v>0</v>
      </c>
      <c r="AG185" s="48">
        <f>'Adani Enterprises'!AG185</f>
        <v>0</v>
      </c>
      <c r="AH185" s="48">
        <f>'Adani Enterprises'!AH185</f>
        <v>0</v>
      </c>
      <c r="AI185" s="48">
        <f>'Adani Enterprises'!AI185</f>
        <v>0</v>
      </c>
      <c r="AJ185" s="48">
        <f>'Adani Enterprises'!AJ185</f>
        <v>0</v>
      </c>
      <c r="AK185" s="48">
        <f>'Adani Enterprises'!AK185</f>
        <v>0</v>
      </c>
      <c r="AL185" s="48">
        <f>'Adani Enterprises'!AL185</f>
        <v>0</v>
      </c>
    </row>
    <row r="186" customHeight="1" spans="1:38">
      <c r="A186" s="48">
        <f>'Adani Enterprises'!A186</f>
        <v>0</v>
      </c>
      <c r="B186" s="48">
        <f>'Adani Enterprises'!B186</f>
        <v>0</v>
      </c>
      <c r="C186" s="48">
        <f>'Adani Enterprises'!C186</f>
        <v>0</v>
      </c>
      <c r="D186" s="48">
        <f>'Adani Enterprises'!D186</f>
        <v>0</v>
      </c>
      <c r="E186" s="48">
        <f>'Adani Enterprises'!E186</f>
        <v>0</v>
      </c>
      <c r="F186" s="48">
        <f>'Adani Enterprises'!F186</f>
        <v>0</v>
      </c>
      <c r="G186" s="48">
        <f>'Adani Enterprises'!G186</f>
        <v>0</v>
      </c>
      <c r="H186" s="48">
        <f>'Adani Enterprises'!H186</f>
        <v>0</v>
      </c>
      <c r="I186" s="48">
        <f>'Adani Enterprises'!I186</f>
        <v>0</v>
      </c>
      <c r="J186" s="48">
        <f>'Adani Enterprises'!J186</f>
        <v>0</v>
      </c>
      <c r="K186" s="48">
        <f>'Adani Enterprises'!K186</f>
        <v>0</v>
      </c>
      <c r="L186" s="48">
        <f>'Adani Enterprises'!L186</f>
        <v>0</v>
      </c>
      <c r="M186" s="48">
        <f>'Adani Enterprises'!M186</f>
        <v>0</v>
      </c>
      <c r="N186" s="48">
        <f>'Adani Enterprises'!N186</f>
        <v>0</v>
      </c>
      <c r="O186" s="48">
        <f>'Adani Enterprises'!O186</f>
        <v>0</v>
      </c>
      <c r="P186" s="48">
        <f>'Adani Enterprises'!P186</f>
        <v>0</v>
      </c>
      <c r="Q186" s="48">
        <f>'Adani Enterprises'!Q186</f>
        <v>0</v>
      </c>
      <c r="R186" s="48">
        <f>'Adani Enterprises'!R186</f>
        <v>0</v>
      </c>
      <c r="S186" s="48">
        <f>'Adani Enterprises'!S186</f>
        <v>0</v>
      </c>
      <c r="T186" s="48">
        <f>'Adani Enterprises'!T186</f>
        <v>0</v>
      </c>
      <c r="U186" s="48">
        <f>'Adani Enterprises'!U186</f>
        <v>0</v>
      </c>
      <c r="V186" s="48">
        <f>'Adani Enterprises'!V186</f>
        <v>0</v>
      </c>
      <c r="W186" s="48">
        <f>'Adani Enterprises'!W186</f>
        <v>0</v>
      </c>
      <c r="X186" s="48">
        <f>'Adani Enterprises'!X186</f>
        <v>0</v>
      </c>
      <c r="Y186" s="48">
        <f>'Adani Enterprises'!Y186</f>
        <v>0</v>
      </c>
      <c r="Z186" s="48">
        <f>'Adani Enterprises'!Z186</f>
        <v>0</v>
      </c>
      <c r="AA186" s="48">
        <f>'Adani Enterprises'!AA186</f>
        <v>0</v>
      </c>
      <c r="AB186" s="48">
        <f>'Adani Enterprises'!AB186</f>
        <v>0</v>
      </c>
      <c r="AC186" s="48">
        <f>'Adani Enterprises'!AC186</f>
        <v>0</v>
      </c>
      <c r="AD186" s="48">
        <f>'Adani Enterprises'!AD186</f>
        <v>0</v>
      </c>
      <c r="AE186" s="48">
        <f>'Adani Enterprises'!AE186</f>
        <v>0</v>
      </c>
      <c r="AF186" s="48">
        <f>'Adani Enterprises'!AF186</f>
        <v>0</v>
      </c>
      <c r="AG186" s="48">
        <f>'Adani Enterprises'!AG186</f>
        <v>0</v>
      </c>
      <c r="AH186" s="48">
        <f>'Adani Enterprises'!AH186</f>
        <v>0</v>
      </c>
      <c r="AI186" s="48">
        <f>'Adani Enterprises'!AI186</f>
        <v>0</v>
      </c>
      <c r="AJ186" s="48">
        <f>'Adani Enterprises'!AJ186</f>
        <v>0</v>
      </c>
      <c r="AK186" s="48">
        <f>'Adani Enterprises'!AK186</f>
        <v>0</v>
      </c>
      <c r="AL186" s="48">
        <f>'Adani Enterprises'!AL186</f>
        <v>0</v>
      </c>
    </row>
    <row r="187" customHeight="1" spans="1:38">
      <c r="A187" s="48">
        <f>'Adani Enterprises'!A187</f>
        <v>0</v>
      </c>
      <c r="B187" s="48">
        <f>'Adani Enterprises'!B187</f>
        <v>0</v>
      </c>
      <c r="C187" s="48">
        <f>'Adani Enterprises'!C187</f>
        <v>0</v>
      </c>
      <c r="D187" s="48">
        <f>'Adani Enterprises'!D187</f>
        <v>0</v>
      </c>
      <c r="E187" s="48">
        <f>'Adani Enterprises'!E187</f>
        <v>0</v>
      </c>
      <c r="F187" s="48">
        <f>'Adani Enterprises'!F187</f>
        <v>0</v>
      </c>
      <c r="G187" s="48">
        <f>'Adani Enterprises'!G187</f>
        <v>0</v>
      </c>
      <c r="H187" s="48">
        <f>'Adani Enterprises'!H187</f>
        <v>0</v>
      </c>
      <c r="I187" s="48">
        <f>'Adani Enterprises'!I187</f>
        <v>0</v>
      </c>
      <c r="J187" s="48">
        <f>'Adani Enterprises'!J187</f>
        <v>0</v>
      </c>
      <c r="K187" s="48">
        <f>'Adani Enterprises'!K187</f>
        <v>0</v>
      </c>
      <c r="L187" s="48">
        <f>'Adani Enterprises'!L187</f>
        <v>0</v>
      </c>
      <c r="M187" s="48">
        <f>'Adani Enterprises'!M187</f>
        <v>0</v>
      </c>
      <c r="N187" s="48">
        <f>'Adani Enterprises'!N187</f>
        <v>0</v>
      </c>
      <c r="O187" s="48">
        <f>'Adani Enterprises'!O187</f>
        <v>0</v>
      </c>
      <c r="P187" s="48">
        <f>'Adani Enterprises'!P187</f>
        <v>0</v>
      </c>
      <c r="Q187" s="48">
        <f>'Adani Enterprises'!Q187</f>
        <v>0</v>
      </c>
      <c r="R187" s="48">
        <f>'Adani Enterprises'!R187</f>
        <v>0</v>
      </c>
      <c r="S187" s="48">
        <f>'Adani Enterprises'!S187</f>
        <v>0</v>
      </c>
      <c r="T187" s="48">
        <f>'Adani Enterprises'!T187</f>
        <v>0</v>
      </c>
      <c r="U187" s="48">
        <f>'Adani Enterprises'!U187</f>
        <v>0</v>
      </c>
      <c r="V187" s="48">
        <f>'Adani Enterprises'!V187</f>
        <v>0</v>
      </c>
      <c r="W187" s="48">
        <f>'Adani Enterprises'!W187</f>
        <v>0</v>
      </c>
      <c r="X187" s="48">
        <f>'Adani Enterprises'!X187</f>
        <v>0</v>
      </c>
      <c r="Y187" s="48">
        <f>'Adani Enterprises'!Y187</f>
        <v>0</v>
      </c>
      <c r="Z187" s="48">
        <f>'Adani Enterprises'!Z187</f>
        <v>0</v>
      </c>
      <c r="AA187" s="48">
        <f>'Adani Enterprises'!AA187</f>
        <v>0</v>
      </c>
      <c r="AB187" s="48">
        <f>'Adani Enterprises'!AB187</f>
        <v>0</v>
      </c>
      <c r="AC187" s="48">
        <f>'Adani Enterprises'!AC187</f>
        <v>0</v>
      </c>
      <c r="AD187" s="48">
        <f>'Adani Enterprises'!AD187</f>
        <v>0</v>
      </c>
      <c r="AE187" s="48">
        <f>'Adani Enterprises'!AE187</f>
        <v>0</v>
      </c>
      <c r="AF187" s="48">
        <f>'Adani Enterprises'!AF187</f>
        <v>0</v>
      </c>
      <c r="AG187" s="48">
        <f>'Adani Enterprises'!AG187</f>
        <v>0</v>
      </c>
      <c r="AH187" s="48">
        <f>'Adani Enterprises'!AH187</f>
        <v>0</v>
      </c>
      <c r="AI187" s="48">
        <f>'Adani Enterprises'!AI187</f>
        <v>0</v>
      </c>
      <c r="AJ187" s="48">
        <f>'Adani Enterprises'!AJ187</f>
        <v>0</v>
      </c>
      <c r="AK187" s="48">
        <f>'Adani Enterprises'!AK187</f>
        <v>0</v>
      </c>
      <c r="AL187" s="48">
        <f>'Adani Enterprises'!AL187</f>
        <v>0</v>
      </c>
    </row>
    <row r="188" customHeight="1" spans="1:38">
      <c r="A188" s="48">
        <f>'Adani Enterprises'!A188</f>
        <v>0</v>
      </c>
      <c r="B188" s="48">
        <f>'Adani Enterprises'!B188</f>
        <v>0</v>
      </c>
      <c r="C188" s="48">
        <f>'Adani Enterprises'!C188</f>
        <v>0</v>
      </c>
      <c r="D188" s="48">
        <f>'Adani Enterprises'!D188</f>
        <v>0</v>
      </c>
      <c r="E188" s="48">
        <f>'Adani Enterprises'!E188</f>
        <v>0</v>
      </c>
      <c r="F188" s="48">
        <f>'Adani Enterprises'!F188</f>
        <v>0</v>
      </c>
      <c r="G188" s="48">
        <f>'Adani Enterprises'!G188</f>
        <v>0</v>
      </c>
      <c r="H188" s="48">
        <f>'Adani Enterprises'!H188</f>
        <v>0</v>
      </c>
      <c r="I188" s="48">
        <f>'Adani Enterprises'!I188</f>
        <v>0</v>
      </c>
      <c r="J188" s="48">
        <f>'Adani Enterprises'!J188</f>
        <v>0</v>
      </c>
      <c r="K188" s="48">
        <f>'Adani Enterprises'!K188</f>
        <v>0</v>
      </c>
      <c r="L188" s="48">
        <f>'Adani Enterprises'!L188</f>
        <v>0</v>
      </c>
      <c r="M188" s="48">
        <f>'Adani Enterprises'!M188</f>
        <v>0</v>
      </c>
      <c r="N188" s="48">
        <f>'Adani Enterprises'!N188</f>
        <v>0</v>
      </c>
      <c r="O188" s="48">
        <f>'Adani Enterprises'!O188</f>
        <v>0</v>
      </c>
      <c r="P188" s="48">
        <f>'Adani Enterprises'!P188</f>
        <v>0</v>
      </c>
      <c r="Q188" s="48">
        <f>'Adani Enterprises'!Q188</f>
        <v>0</v>
      </c>
      <c r="R188" s="48">
        <f>'Adani Enterprises'!R188</f>
        <v>0</v>
      </c>
      <c r="S188" s="48">
        <f>'Adani Enterprises'!S188</f>
        <v>0</v>
      </c>
      <c r="T188" s="48">
        <f>'Adani Enterprises'!T188</f>
        <v>0</v>
      </c>
      <c r="U188" s="48">
        <f>'Adani Enterprises'!U188</f>
        <v>0</v>
      </c>
      <c r="V188" s="48">
        <f>'Adani Enterprises'!V188</f>
        <v>0</v>
      </c>
      <c r="W188" s="48">
        <f>'Adani Enterprises'!W188</f>
        <v>0</v>
      </c>
      <c r="X188" s="48">
        <f>'Adani Enterprises'!X188</f>
        <v>0</v>
      </c>
      <c r="Y188" s="48">
        <f>'Adani Enterprises'!Y188</f>
        <v>0</v>
      </c>
      <c r="Z188" s="48">
        <f>'Adani Enterprises'!Z188</f>
        <v>0</v>
      </c>
      <c r="AA188" s="48">
        <f>'Adani Enterprises'!AA188</f>
        <v>0</v>
      </c>
      <c r="AB188" s="48">
        <f>'Adani Enterprises'!AB188</f>
        <v>0</v>
      </c>
      <c r="AC188" s="48">
        <f>'Adani Enterprises'!AC188</f>
        <v>0</v>
      </c>
      <c r="AD188" s="48">
        <f>'Adani Enterprises'!AD188</f>
        <v>0</v>
      </c>
      <c r="AE188" s="48">
        <f>'Adani Enterprises'!AE188</f>
        <v>0</v>
      </c>
      <c r="AF188" s="48">
        <f>'Adani Enterprises'!AF188</f>
        <v>0</v>
      </c>
      <c r="AG188" s="48">
        <f>'Adani Enterprises'!AG188</f>
        <v>0</v>
      </c>
      <c r="AH188" s="48">
        <f>'Adani Enterprises'!AH188</f>
        <v>0</v>
      </c>
      <c r="AI188" s="48">
        <f>'Adani Enterprises'!AI188</f>
        <v>0</v>
      </c>
      <c r="AJ188" s="48">
        <f>'Adani Enterprises'!AJ188</f>
        <v>0</v>
      </c>
      <c r="AK188" s="48">
        <f>'Adani Enterprises'!AK188</f>
        <v>0</v>
      </c>
      <c r="AL188" s="48">
        <f>'Adani Enterprises'!AL188</f>
        <v>0</v>
      </c>
    </row>
    <row r="189" customHeight="1" spans="1:38">
      <c r="A189" s="48">
        <f>'Adani Enterprises'!A189</f>
        <v>0</v>
      </c>
      <c r="B189" s="48">
        <f>'Adani Enterprises'!B189</f>
        <v>0</v>
      </c>
      <c r="C189" s="48">
        <f>'Adani Enterprises'!C189</f>
        <v>0</v>
      </c>
      <c r="D189" s="48">
        <f>'Adani Enterprises'!D189</f>
        <v>0</v>
      </c>
      <c r="E189" s="48">
        <f>'Adani Enterprises'!E189</f>
        <v>0</v>
      </c>
      <c r="F189" s="48">
        <f>'Adani Enterprises'!F189</f>
        <v>0</v>
      </c>
      <c r="G189" s="48">
        <f>'Adani Enterprises'!G189</f>
        <v>0</v>
      </c>
      <c r="H189" s="48">
        <f>'Adani Enterprises'!H189</f>
        <v>0</v>
      </c>
      <c r="I189" s="48">
        <f>'Adani Enterprises'!I189</f>
        <v>0</v>
      </c>
      <c r="J189" s="48">
        <f>'Adani Enterprises'!J189</f>
        <v>0</v>
      </c>
      <c r="K189" s="48">
        <f>'Adani Enterprises'!K189</f>
        <v>0</v>
      </c>
      <c r="L189" s="48">
        <f>'Adani Enterprises'!L189</f>
        <v>0</v>
      </c>
      <c r="M189" s="48">
        <f>'Adani Enterprises'!M189</f>
        <v>0</v>
      </c>
      <c r="N189" s="48">
        <f>'Adani Enterprises'!N189</f>
        <v>0</v>
      </c>
      <c r="O189" s="48">
        <f>'Adani Enterprises'!O189</f>
        <v>0</v>
      </c>
      <c r="P189" s="48">
        <f>'Adani Enterprises'!P189</f>
        <v>0</v>
      </c>
      <c r="Q189" s="48">
        <f>'Adani Enterprises'!Q189</f>
        <v>0</v>
      </c>
      <c r="R189" s="48">
        <f>'Adani Enterprises'!R189</f>
        <v>0</v>
      </c>
      <c r="S189" s="48">
        <f>'Adani Enterprises'!S189</f>
        <v>0</v>
      </c>
      <c r="T189" s="48">
        <f>'Adani Enterprises'!T189</f>
        <v>0</v>
      </c>
      <c r="U189" s="48">
        <f>'Adani Enterprises'!U189</f>
        <v>0</v>
      </c>
      <c r="V189" s="48">
        <f>'Adani Enterprises'!V189</f>
        <v>0</v>
      </c>
      <c r="W189" s="48">
        <f>'Adani Enterprises'!W189</f>
        <v>0</v>
      </c>
      <c r="X189" s="48">
        <f>'Adani Enterprises'!X189</f>
        <v>0</v>
      </c>
      <c r="Y189" s="48">
        <f>'Adani Enterprises'!Y189</f>
        <v>0</v>
      </c>
      <c r="Z189" s="48">
        <f>'Adani Enterprises'!Z189</f>
        <v>0</v>
      </c>
      <c r="AA189" s="48">
        <f>'Adani Enterprises'!AA189</f>
        <v>0</v>
      </c>
      <c r="AB189" s="48">
        <f>'Adani Enterprises'!AB189</f>
        <v>0</v>
      </c>
      <c r="AC189" s="48">
        <f>'Adani Enterprises'!AC189</f>
        <v>0</v>
      </c>
      <c r="AD189" s="48">
        <f>'Adani Enterprises'!AD189</f>
        <v>0</v>
      </c>
      <c r="AE189" s="48">
        <f>'Adani Enterprises'!AE189</f>
        <v>0</v>
      </c>
      <c r="AF189" s="48">
        <f>'Adani Enterprises'!AF189</f>
        <v>0</v>
      </c>
      <c r="AG189" s="48">
        <f>'Adani Enterprises'!AG189</f>
        <v>0</v>
      </c>
      <c r="AH189" s="48">
        <f>'Adani Enterprises'!AH189</f>
        <v>0</v>
      </c>
      <c r="AI189" s="48">
        <f>'Adani Enterprises'!AI189</f>
        <v>0</v>
      </c>
      <c r="AJ189" s="48">
        <f>'Adani Enterprises'!AJ189</f>
        <v>0</v>
      </c>
      <c r="AK189" s="48">
        <f>'Adani Enterprises'!AK189</f>
        <v>0</v>
      </c>
      <c r="AL189" s="48">
        <f>'Adani Enterprises'!AL189</f>
        <v>0</v>
      </c>
    </row>
    <row r="190" customHeight="1" spans="1:38">
      <c r="A190" s="48">
        <f>'Adani Enterprises'!A190</f>
        <v>0</v>
      </c>
      <c r="B190" s="48">
        <f>'Adani Enterprises'!B190</f>
        <v>0</v>
      </c>
      <c r="C190" s="48">
        <f>'Adani Enterprises'!C190</f>
        <v>0</v>
      </c>
      <c r="D190" s="48">
        <f>'Adani Enterprises'!D190</f>
        <v>0</v>
      </c>
      <c r="E190" s="48">
        <f>'Adani Enterprises'!E190</f>
        <v>0</v>
      </c>
      <c r="F190" s="48">
        <f>'Adani Enterprises'!F190</f>
        <v>0</v>
      </c>
      <c r="G190" s="48">
        <f>'Adani Enterprises'!G190</f>
        <v>0</v>
      </c>
      <c r="H190" s="48">
        <f>'Adani Enterprises'!H190</f>
        <v>0</v>
      </c>
      <c r="I190" s="48">
        <f>'Adani Enterprises'!I190</f>
        <v>0</v>
      </c>
      <c r="J190" s="48">
        <f>'Adani Enterprises'!J190</f>
        <v>0</v>
      </c>
      <c r="K190" s="48">
        <f>'Adani Enterprises'!K190</f>
        <v>0</v>
      </c>
      <c r="L190" s="48">
        <f>'Adani Enterprises'!L190</f>
        <v>0</v>
      </c>
      <c r="M190" s="48">
        <f>'Adani Enterprises'!M190</f>
        <v>0</v>
      </c>
      <c r="N190" s="48">
        <f>'Adani Enterprises'!N190</f>
        <v>0</v>
      </c>
      <c r="O190" s="48">
        <f>'Adani Enterprises'!O190</f>
        <v>0</v>
      </c>
      <c r="P190" s="48">
        <f>'Adani Enterprises'!P190</f>
        <v>0</v>
      </c>
      <c r="Q190" s="48">
        <f>'Adani Enterprises'!Q190</f>
        <v>0</v>
      </c>
      <c r="R190" s="48">
        <f>'Adani Enterprises'!R190</f>
        <v>0</v>
      </c>
      <c r="S190" s="48">
        <f>'Adani Enterprises'!S190</f>
        <v>0</v>
      </c>
      <c r="T190" s="48">
        <f>'Adani Enterprises'!T190</f>
        <v>0</v>
      </c>
      <c r="U190" s="48">
        <f>'Adani Enterprises'!U190</f>
        <v>0</v>
      </c>
      <c r="V190" s="48">
        <f>'Adani Enterprises'!V190</f>
        <v>0</v>
      </c>
      <c r="W190" s="48">
        <f>'Adani Enterprises'!W190</f>
        <v>0</v>
      </c>
      <c r="X190" s="48">
        <f>'Adani Enterprises'!X190</f>
        <v>0</v>
      </c>
      <c r="Y190" s="48">
        <f>'Adani Enterprises'!Y190</f>
        <v>0</v>
      </c>
      <c r="Z190" s="48">
        <f>'Adani Enterprises'!Z190</f>
        <v>0</v>
      </c>
      <c r="AA190" s="48">
        <f>'Adani Enterprises'!AA190</f>
        <v>0</v>
      </c>
      <c r="AB190" s="48">
        <f>'Adani Enterprises'!AB190</f>
        <v>0</v>
      </c>
      <c r="AC190" s="48">
        <f>'Adani Enterprises'!AC190</f>
        <v>0</v>
      </c>
      <c r="AD190" s="48">
        <f>'Adani Enterprises'!AD190</f>
        <v>0</v>
      </c>
      <c r="AE190" s="48">
        <f>'Adani Enterprises'!AE190</f>
        <v>0</v>
      </c>
      <c r="AF190" s="48">
        <f>'Adani Enterprises'!AF190</f>
        <v>0</v>
      </c>
      <c r="AG190" s="48">
        <f>'Adani Enterprises'!AG190</f>
        <v>0</v>
      </c>
      <c r="AH190" s="48">
        <f>'Adani Enterprises'!AH190</f>
        <v>0</v>
      </c>
      <c r="AI190" s="48">
        <f>'Adani Enterprises'!AI190</f>
        <v>0</v>
      </c>
      <c r="AJ190" s="48">
        <f>'Adani Enterprises'!AJ190</f>
        <v>0</v>
      </c>
      <c r="AK190" s="48">
        <f>'Adani Enterprises'!AK190</f>
        <v>0</v>
      </c>
      <c r="AL190" s="48">
        <f>'Adani Enterprises'!AL190</f>
        <v>0</v>
      </c>
    </row>
    <row r="191" customHeight="1" spans="1:38">
      <c r="A191" s="48">
        <f>'Adani Enterprises'!A191</f>
        <v>0</v>
      </c>
      <c r="B191" s="48">
        <f>'Adani Enterprises'!B191</f>
        <v>0</v>
      </c>
      <c r="C191" s="48">
        <f>'Adani Enterprises'!C191</f>
        <v>0</v>
      </c>
      <c r="D191" s="48">
        <f>'Adani Enterprises'!D191</f>
        <v>0</v>
      </c>
      <c r="E191" s="48">
        <f>'Adani Enterprises'!E191</f>
        <v>0</v>
      </c>
      <c r="F191" s="48">
        <f>'Adani Enterprises'!F191</f>
        <v>0</v>
      </c>
      <c r="G191" s="48">
        <f>'Adani Enterprises'!G191</f>
        <v>0</v>
      </c>
      <c r="H191" s="48">
        <f>'Adani Enterprises'!H191</f>
        <v>0</v>
      </c>
      <c r="I191" s="48">
        <f>'Adani Enterprises'!I191</f>
        <v>0</v>
      </c>
      <c r="J191" s="48">
        <f>'Adani Enterprises'!J191</f>
        <v>0</v>
      </c>
      <c r="K191" s="48">
        <f>'Adani Enterprises'!K191</f>
        <v>0</v>
      </c>
      <c r="L191" s="48">
        <f>'Adani Enterprises'!L191</f>
        <v>0</v>
      </c>
      <c r="M191" s="48">
        <f>'Adani Enterprises'!M191</f>
        <v>0</v>
      </c>
      <c r="N191" s="48">
        <f>'Adani Enterprises'!N191</f>
        <v>0</v>
      </c>
      <c r="O191" s="48">
        <f>'Adani Enterprises'!O191</f>
        <v>0</v>
      </c>
      <c r="P191" s="48">
        <f>'Adani Enterprises'!P191</f>
        <v>0</v>
      </c>
      <c r="Q191" s="48">
        <f>'Adani Enterprises'!Q191</f>
        <v>0</v>
      </c>
      <c r="R191" s="48">
        <f>'Adani Enterprises'!R191</f>
        <v>0</v>
      </c>
      <c r="S191" s="48">
        <f>'Adani Enterprises'!S191</f>
        <v>0</v>
      </c>
      <c r="T191" s="48">
        <f>'Adani Enterprises'!T191</f>
        <v>0</v>
      </c>
      <c r="U191" s="48">
        <f>'Adani Enterprises'!U191</f>
        <v>0</v>
      </c>
      <c r="V191" s="48">
        <f>'Adani Enterprises'!V191</f>
        <v>0</v>
      </c>
      <c r="W191" s="48">
        <f>'Adani Enterprises'!W191</f>
        <v>0</v>
      </c>
      <c r="X191" s="48">
        <f>'Adani Enterprises'!X191</f>
        <v>0</v>
      </c>
      <c r="Y191" s="48">
        <f>'Adani Enterprises'!Y191</f>
        <v>0</v>
      </c>
      <c r="Z191" s="48">
        <f>'Adani Enterprises'!Z191</f>
        <v>0</v>
      </c>
      <c r="AA191" s="48">
        <f>'Adani Enterprises'!AA191</f>
        <v>0</v>
      </c>
      <c r="AB191" s="48">
        <f>'Adani Enterprises'!AB191</f>
        <v>0</v>
      </c>
      <c r="AC191" s="48">
        <f>'Adani Enterprises'!AC191</f>
        <v>0</v>
      </c>
      <c r="AD191" s="48">
        <f>'Adani Enterprises'!AD191</f>
        <v>0</v>
      </c>
      <c r="AE191" s="48">
        <f>'Adani Enterprises'!AE191</f>
        <v>0</v>
      </c>
      <c r="AF191" s="48">
        <f>'Adani Enterprises'!AF191</f>
        <v>0</v>
      </c>
      <c r="AG191" s="48">
        <f>'Adani Enterprises'!AG191</f>
        <v>0</v>
      </c>
      <c r="AH191" s="48">
        <f>'Adani Enterprises'!AH191</f>
        <v>0</v>
      </c>
      <c r="AI191" s="48">
        <f>'Adani Enterprises'!AI191</f>
        <v>0</v>
      </c>
      <c r="AJ191" s="48">
        <f>'Adani Enterprises'!AJ191</f>
        <v>0</v>
      </c>
      <c r="AK191" s="48">
        <f>'Adani Enterprises'!AK191</f>
        <v>0</v>
      </c>
      <c r="AL191" s="48">
        <f>'Adani Enterprises'!AL191</f>
        <v>0</v>
      </c>
    </row>
    <row r="192" customHeight="1" spans="1:38">
      <c r="A192" s="48">
        <f>'Adani Enterprises'!A192</f>
        <v>0</v>
      </c>
      <c r="B192" s="48">
        <f>'Adani Enterprises'!B192</f>
        <v>0</v>
      </c>
      <c r="C192" s="48">
        <f>'Adani Enterprises'!C192</f>
        <v>0</v>
      </c>
      <c r="D192" s="48">
        <f>'Adani Enterprises'!D192</f>
        <v>0</v>
      </c>
      <c r="E192" s="48">
        <f>'Adani Enterprises'!E192</f>
        <v>0</v>
      </c>
      <c r="F192" s="48">
        <f>'Adani Enterprises'!F192</f>
        <v>0</v>
      </c>
      <c r="G192" s="48">
        <f>'Adani Enterprises'!G192</f>
        <v>0</v>
      </c>
      <c r="H192" s="48">
        <f>'Adani Enterprises'!H192</f>
        <v>0</v>
      </c>
      <c r="I192" s="48">
        <f>'Adani Enterprises'!I192</f>
        <v>0</v>
      </c>
      <c r="J192" s="48">
        <f>'Adani Enterprises'!J192</f>
        <v>0</v>
      </c>
      <c r="K192" s="48">
        <f>'Adani Enterprises'!K192</f>
        <v>0</v>
      </c>
      <c r="L192" s="48">
        <f>'Adani Enterprises'!L192</f>
        <v>0</v>
      </c>
      <c r="M192" s="48">
        <f>'Adani Enterprises'!M192</f>
        <v>0</v>
      </c>
      <c r="N192" s="48">
        <f>'Adani Enterprises'!N192</f>
        <v>0</v>
      </c>
      <c r="O192" s="48">
        <f>'Adani Enterprises'!O192</f>
        <v>0</v>
      </c>
      <c r="P192" s="48">
        <f>'Adani Enterprises'!P192</f>
        <v>0</v>
      </c>
      <c r="Q192" s="48">
        <f>'Adani Enterprises'!Q192</f>
        <v>0</v>
      </c>
      <c r="R192" s="48">
        <f>'Adani Enterprises'!R192</f>
        <v>0</v>
      </c>
      <c r="S192" s="48">
        <f>'Adani Enterprises'!S192</f>
        <v>0</v>
      </c>
      <c r="T192" s="48">
        <f>'Adani Enterprises'!T192</f>
        <v>0</v>
      </c>
      <c r="U192" s="48">
        <f>'Adani Enterprises'!U192</f>
        <v>0</v>
      </c>
      <c r="V192" s="48">
        <f>'Adani Enterprises'!V192</f>
        <v>0</v>
      </c>
      <c r="W192" s="48">
        <f>'Adani Enterprises'!W192</f>
        <v>0</v>
      </c>
      <c r="X192" s="48">
        <f>'Adani Enterprises'!X192</f>
        <v>0</v>
      </c>
      <c r="Y192" s="48">
        <f>'Adani Enterprises'!Y192</f>
        <v>0</v>
      </c>
      <c r="Z192" s="48">
        <f>'Adani Enterprises'!Z192</f>
        <v>0</v>
      </c>
      <c r="AA192" s="48">
        <f>'Adani Enterprises'!AA192</f>
        <v>0</v>
      </c>
      <c r="AB192" s="48">
        <f>'Adani Enterprises'!AB192</f>
        <v>0</v>
      </c>
      <c r="AC192" s="48">
        <f>'Adani Enterprises'!AC192</f>
        <v>0</v>
      </c>
      <c r="AD192" s="48">
        <f>'Adani Enterprises'!AD192</f>
        <v>0</v>
      </c>
      <c r="AE192" s="48">
        <f>'Adani Enterprises'!AE192</f>
        <v>0</v>
      </c>
      <c r="AF192" s="48">
        <f>'Adani Enterprises'!AF192</f>
        <v>0</v>
      </c>
      <c r="AG192" s="48">
        <f>'Adani Enterprises'!AG192</f>
        <v>0</v>
      </c>
      <c r="AH192" s="48">
        <f>'Adani Enterprises'!AH192</f>
        <v>0</v>
      </c>
      <c r="AI192" s="48">
        <f>'Adani Enterprises'!AI192</f>
        <v>0</v>
      </c>
      <c r="AJ192" s="48">
        <f>'Adani Enterprises'!AJ192</f>
        <v>0</v>
      </c>
      <c r="AK192" s="48">
        <f>'Adani Enterprises'!AK192</f>
        <v>0</v>
      </c>
      <c r="AL192" s="48">
        <f>'Adani Enterprises'!AL192</f>
        <v>0</v>
      </c>
    </row>
    <row r="193" customHeight="1" spans="1:38">
      <c r="A193" s="48">
        <f>'Adani Enterprises'!A193</f>
        <v>0</v>
      </c>
      <c r="B193" s="48">
        <f>'Adani Enterprises'!B193</f>
        <v>0</v>
      </c>
      <c r="C193" s="48">
        <f>'Adani Enterprises'!C193</f>
        <v>0</v>
      </c>
      <c r="D193" s="48">
        <f>'Adani Enterprises'!D193</f>
        <v>0</v>
      </c>
      <c r="E193" s="48">
        <f>'Adani Enterprises'!E193</f>
        <v>0</v>
      </c>
      <c r="F193" s="48">
        <f>'Adani Enterprises'!F193</f>
        <v>0</v>
      </c>
      <c r="G193" s="48">
        <f>'Adani Enterprises'!G193</f>
        <v>0</v>
      </c>
      <c r="H193" s="48">
        <f>'Adani Enterprises'!H193</f>
        <v>0</v>
      </c>
      <c r="I193" s="48">
        <f>'Adani Enterprises'!I193</f>
        <v>0</v>
      </c>
      <c r="J193" s="48">
        <f>'Adani Enterprises'!J193</f>
        <v>0</v>
      </c>
      <c r="K193" s="48">
        <f>'Adani Enterprises'!K193</f>
        <v>0</v>
      </c>
      <c r="L193" s="48">
        <f>'Adani Enterprises'!L193</f>
        <v>0</v>
      </c>
      <c r="M193" s="48">
        <f>'Adani Enterprises'!M193</f>
        <v>0</v>
      </c>
      <c r="N193" s="48">
        <f>'Adani Enterprises'!N193</f>
        <v>0</v>
      </c>
      <c r="O193" s="48">
        <f>'Adani Enterprises'!O193</f>
        <v>0</v>
      </c>
      <c r="P193" s="48">
        <f>'Adani Enterprises'!P193</f>
        <v>0</v>
      </c>
      <c r="Q193" s="48">
        <f>'Adani Enterprises'!Q193</f>
        <v>0</v>
      </c>
      <c r="R193" s="48">
        <f>'Adani Enterprises'!R193</f>
        <v>0</v>
      </c>
      <c r="S193" s="48">
        <f>'Adani Enterprises'!S193</f>
        <v>0</v>
      </c>
      <c r="T193" s="48">
        <f>'Adani Enterprises'!T193</f>
        <v>0</v>
      </c>
      <c r="U193" s="48">
        <f>'Adani Enterprises'!U193</f>
        <v>0</v>
      </c>
      <c r="V193" s="48">
        <f>'Adani Enterprises'!V193</f>
        <v>0</v>
      </c>
      <c r="W193" s="48">
        <f>'Adani Enterprises'!W193</f>
        <v>0</v>
      </c>
      <c r="X193" s="48">
        <f>'Adani Enterprises'!X193</f>
        <v>0</v>
      </c>
      <c r="Y193" s="48">
        <f>'Adani Enterprises'!Y193</f>
        <v>0</v>
      </c>
      <c r="Z193" s="48">
        <f>'Adani Enterprises'!Z193</f>
        <v>0</v>
      </c>
      <c r="AA193" s="48">
        <f>'Adani Enterprises'!AA193</f>
        <v>0</v>
      </c>
      <c r="AB193" s="48">
        <f>'Adani Enterprises'!AB193</f>
        <v>0</v>
      </c>
      <c r="AC193" s="48">
        <f>'Adani Enterprises'!AC193</f>
        <v>0</v>
      </c>
      <c r="AD193" s="48">
        <f>'Adani Enterprises'!AD193</f>
        <v>0</v>
      </c>
      <c r="AE193" s="48">
        <f>'Adani Enterprises'!AE193</f>
        <v>0</v>
      </c>
      <c r="AF193" s="48">
        <f>'Adani Enterprises'!AF193</f>
        <v>0</v>
      </c>
      <c r="AG193" s="48">
        <f>'Adani Enterprises'!AG193</f>
        <v>0</v>
      </c>
      <c r="AH193" s="48">
        <f>'Adani Enterprises'!AH193</f>
        <v>0</v>
      </c>
      <c r="AI193" s="48">
        <f>'Adani Enterprises'!AI193</f>
        <v>0</v>
      </c>
      <c r="AJ193" s="48">
        <f>'Adani Enterprises'!AJ193</f>
        <v>0</v>
      </c>
      <c r="AK193" s="48">
        <f>'Adani Enterprises'!AK193</f>
        <v>0</v>
      </c>
      <c r="AL193" s="48">
        <f>'Adani Enterprises'!AL193</f>
        <v>0</v>
      </c>
    </row>
    <row r="194" customHeight="1" spans="1:38">
      <c r="A194" s="48">
        <f>'Adani Enterprises'!A194</f>
        <v>0</v>
      </c>
      <c r="B194" s="48">
        <f>'Adani Enterprises'!B194</f>
        <v>0</v>
      </c>
      <c r="C194" s="48">
        <f>'Adani Enterprises'!C194</f>
        <v>0</v>
      </c>
      <c r="D194" s="48">
        <f>'Adani Enterprises'!D194</f>
        <v>0</v>
      </c>
      <c r="E194" s="48">
        <f>'Adani Enterprises'!E194</f>
        <v>0</v>
      </c>
      <c r="F194" s="48">
        <f>'Adani Enterprises'!F194</f>
        <v>0</v>
      </c>
      <c r="G194" s="48">
        <f>'Adani Enterprises'!G194</f>
        <v>0</v>
      </c>
      <c r="H194" s="48">
        <f>'Adani Enterprises'!H194</f>
        <v>0</v>
      </c>
      <c r="I194" s="48">
        <f>'Adani Enterprises'!I194</f>
        <v>0</v>
      </c>
      <c r="J194" s="48">
        <f>'Adani Enterprises'!J194</f>
        <v>0</v>
      </c>
      <c r="K194" s="48">
        <f>'Adani Enterprises'!K194</f>
        <v>0</v>
      </c>
      <c r="L194" s="48">
        <f>'Adani Enterprises'!L194</f>
        <v>0</v>
      </c>
      <c r="M194" s="48">
        <f>'Adani Enterprises'!M194</f>
        <v>0</v>
      </c>
      <c r="N194" s="48">
        <f>'Adani Enterprises'!N194</f>
        <v>0</v>
      </c>
      <c r="O194" s="48">
        <f>'Adani Enterprises'!O194</f>
        <v>0</v>
      </c>
      <c r="P194" s="48">
        <f>'Adani Enterprises'!P194</f>
        <v>0</v>
      </c>
      <c r="Q194" s="48">
        <f>'Adani Enterprises'!Q194</f>
        <v>0</v>
      </c>
      <c r="R194" s="48">
        <f>'Adani Enterprises'!R194</f>
        <v>0</v>
      </c>
      <c r="S194" s="48">
        <f>'Adani Enterprises'!S194</f>
        <v>0</v>
      </c>
      <c r="T194" s="48">
        <f>'Adani Enterprises'!T194</f>
        <v>0</v>
      </c>
      <c r="U194" s="48">
        <f>'Adani Enterprises'!U194</f>
        <v>0</v>
      </c>
      <c r="V194" s="48">
        <f>'Adani Enterprises'!V194</f>
        <v>0</v>
      </c>
      <c r="W194" s="48">
        <f>'Adani Enterprises'!W194</f>
        <v>0</v>
      </c>
      <c r="X194" s="48">
        <f>'Adani Enterprises'!X194</f>
        <v>0</v>
      </c>
      <c r="Y194" s="48">
        <f>'Adani Enterprises'!Y194</f>
        <v>0</v>
      </c>
      <c r="Z194" s="48">
        <f>'Adani Enterprises'!Z194</f>
        <v>0</v>
      </c>
      <c r="AA194" s="48">
        <f>'Adani Enterprises'!AA194</f>
        <v>0</v>
      </c>
      <c r="AB194" s="48">
        <f>'Adani Enterprises'!AB194</f>
        <v>0</v>
      </c>
      <c r="AC194" s="48">
        <f>'Adani Enterprises'!AC194</f>
        <v>0</v>
      </c>
      <c r="AD194" s="48">
        <f>'Adani Enterprises'!AD194</f>
        <v>0</v>
      </c>
      <c r="AE194" s="48">
        <f>'Adani Enterprises'!AE194</f>
        <v>0</v>
      </c>
      <c r="AF194" s="48">
        <f>'Adani Enterprises'!AF194</f>
        <v>0</v>
      </c>
      <c r="AG194" s="48">
        <f>'Adani Enterprises'!AG194</f>
        <v>0</v>
      </c>
      <c r="AH194" s="48">
        <f>'Adani Enterprises'!AH194</f>
        <v>0</v>
      </c>
      <c r="AI194" s="48">
        <f>'Adani Enterprises'!AI194</f>
        <v>0</v>
      </c>
      <c r="AJ194" s="48">
        <f>'Adani Enterprises'!AJ194</f>
        <v>0</v>
      </c>
      <c r="AK194" s="48">
        <f>'Adani Enterprises'!AK194</f>
        <v>0</v>
      </c>
      <c r="AL194" s="48">
        <f>'Adani Enterprises'!AL194</f>
        <v>0</v>
      </c>
    </row>
    <row r="195" customHeight="1" spans="1:38">
      <c r="A195" s="48">
        <f>'Adani Enterprises'!A195</f>
        <v>0</v>
      </c>
      <c r="B195" s="48">
        <f>'Adani Enterprises'!B195</f>
        <v>0</v>
      </c>
      <c r="C195" s="48">
        <f>'Adani Enterprises'!C195</f>
        <v>0</v>
      </c>
      <c r="D195" s="48">
        <f>'Adani Enterprises'!D195</f>
        <v>0</v>
      </c>
      <c r="E195" s="48">
        <f>'Adani Enterprises'!E195</f>
        <v>0</v>
      </c>
      <c r="F195" s="48">
        <f>'Adani Enterprises'!F195</f>
        <v>0</v>
      </c>
      <c r="G195" s="48">
        <f>'Adani Enterprises'!G195</f>
        <v>0</v>
      </c>
      <c r="H195" s="48">
        <f>'Adani Enterprises'!H195</f>
        <v>0</v>
      </c>
      <c r="I195" s="48">
        <f>'Adani Enterprises'!I195</f>
        <v>0</v>
      </c>
      <c r="J195" s="48">
        <f>'Adani Enterprises'!J195</f>
        <v>0</v>
      </c>
      <c r="K195" s="48">
        <f>'Adani Enterprises'!K195</f>
        <v>0</v>
      </c>
      <c r="L195" s="48">
        <f>'Adani Enterprises'!L195</f>
        <v>0</v>
      </c>
      <c r="M195" s="48">
        <f>'Adani Enterprises'!M195</f>
        <v>0</v>
      </c>
      <c r="N195" s="48">
        <f>'Adani Enterprises'!N195</f>
        <v>0</v>
      </c>
      <c r="O195" s="48">
        <f>'Adani Enterprises'!O195</f>
        <v>0</v>
      </c>
      <c r="P195" s="48">
        <f>'Adani Enterprises'!P195</f>
        <v>0</v>
      </c>
      <c r="Q195" s="48">
        <f>'Adani Enterprises'!Q195</f>
        <v>0</v>
      </c>
      <c r="R195" s="48">
        <f>'Adani Enterprises'!R195</f>
        <v>0</v>
      </c>
      <c r="S195" s="48">
        <f>'Adani Enterprises'!S195</f>
        <v>0</v>
      </c>
      <c r="T195" s="48">
        <f>'Adani Enterprises'!T195</f>
        <v>0</v>
      </c>
      <c r="U195" s="48">
        <f>'Adani Enterprises'!U195</f>
        <v>0</v>
      </c>
      <c r="V195" s="48">
        <f>'Adani Enterprises'!V195</f>
        <v>0</v>
      </c>
      <c r="W195" s="48">
        <f>'Adani Enterprises'!W195</f>
        <v>0</v>
      </c>
      <c r="X195" s="48">
        <f>'Adani Enterprises'!X195</f>
        <v>0</v>
      </c>
      <c r="Y195" s="48">
        <f>'Adani Enterprises'!Y195</f>
        <v>0</v>
      </c>
      <c r="Z195" s="48">
        <f>'Adani Enterprises'!Z195</f>
        <v>0</v>
      </c>
      <c r="AA195" s="48">
        <f>'Adani Enterprises'!AA195</f>
        <v>0</v>
      </c>
      <c r="AB195" s="48">
        <f>'Adani Enterprises'!AB195</f>
        <v>0</v>
      </c>
      <c r="AC195" s="48">
        <f>'Adani Enterprises'!AC195</f>
        <v>0</v>
      </c>
      <c r="AD195" s="48">
        <f>'Adani Enterprises'!AD195</f>
        <v>0</v>
      </c>
      <c r="AE195" s="48">
        <f>'Adani Enterprises'!AE195</f>
        <v>0</v>
      </c>
      <c r="AF195" s="48">
        <f>'Adani Enterprises'!AF195</f>
        <v>0</v>
      </c>
      <c r="AG195" s="48">
        <f>'Adani Enterprises'!AG195</f>
        <v>0</v>
      </c>
      <c r="AH195" s="48">
        <f>'Adani Enterprises'!AH195</f>
        <v>0</v>
      </c>
      <c r="AI195" s="48">
        <f>'Adani Enterprises'!AI195</f>
        <v>0</v>
      </c>
      <c r="AJ195" s="48">
        <f>'Adani Enterprises'!AJ195</f>
        <v>0</v>
      </c>
      <c r="AK195" s="48">
        <f>'Adani Enterprises'!AK195</f>
        <v>0</v>
      </c>
      <c r="AL195" s="48">
        <f>'Adani Enterprises'!AL195</f>
        <v>0</v>
      </c>
    </row>
    <row r="196" customHeight="1" spans="1:38">
      <c r="A196" s="48">
        <f>'Adani Enterprises'!A196</f>
        <v>0</v>
      </c>
      <c r="B196" s="48">
        <f>'Adani Enterprises'!B196</f>
        <v>0</v>
      </c>
      <c r="C196" s="48">
        <f>'Adani Enterprises'!C196</f>
        <v>0</v>
      </c>
      <c r="D196" s="48">
        <f>'Adani Enterprises'!D196</f>
        <v>0</v>
      </c>
      <c r="E196" s="48">
        <f>'Adani Enterprises'!E196</f>
        <v>0</v>
      </c>
      <c r="F196" s="48">
        <f>'Adani Enterprises'!F196</f>
        <v>0</v>
      </c>
      <c r="G196" s="48">
        <f>'Adani Enterprises'!G196</f>
        <v>0</v>
      </c>
      <c r="H196" s="48">
        <f>'Adani Enterprises'!H196</f>
        <v>0</v>
      </c>
      <c r="I196" s="48">
        <f>'Adani Enterprises'!I196</f>
        <v>0</v>
      </c>
      <c r="J196" s="48">
        <f>'Adani Enterprises'!J196</f>
        <v>0</v>
      </c>
      <c r="K196" s="48">
        <f>'Adani Enterprises'!K196</f>
        <v>0</v>
      </c>
      <c r="L196" s="48">
        <f>'Adani Enterprises'!L196</f>
        <v>0</v>
      </c>
      <c r="M196" s="48">
        <f>'Adani Enterprises'!M196</f>
        <v>0</v>
      </c>
      <c r="N196" s="48">
        <f>'Adani Enterprises'!N196</f>
        <v>0</v>
      </c>
      <c r="O196" s="48">
        <f>'Adani Enterprises'!O196</f>
        <v>0</v>
      </c>
      <c r="P196" s="48">
        <f>'Adani Enterprises'!P196</f>
        <v>0</v>
      </c>
      <c r="Q196" s="48">
        <f>'Adani Enterprises'!Q196</f>
        <v>0</v>
      </c>
      <c r="R196" s="48">
        <f>'Adani Enterprises'!R196</f>
        <v>0</v>
      </c>
      <c r="S196" s="48">
        <f>'Adani Enterprises'!S196</f>
        <v>0</v>
      </c>
      <c r="T196" s="48">
        <f>'Adani Enterprises'!T196</f>
        <v>0</v>
      </c>
      <c r="U196" s="48">
        <f>'Adani Enterprises'!U196</f>
        <v>0</v>
      </c>
      <c r="V196" s="48">
        <f>'Adani Enterprises'!V196</f>
        <v>0</v>
      </c>
      <c r="W196" s="48">
        <f>'Adani Enterprises'!W196</f>
        <v>0</v>
      </c>
      <c r="X196" s="48">
        <f>'Adani Enterprises'!X196</f>
        <v>0</v>
      </c>
      <c r="Y196" s="48">
        <f>'Adani Enterprises'!Y196</f>
        <v>0</v>
      </c>
      <c r="Z196" s="48">
        <f>'Adani Enterprises'!Z196</f>
        <v>0</v>
      </c>
      <c r="AA196" s="48">
        <f>'Adani Enterprises'!AA196</f>
        <v>0</v>
      </c>
      <c r="AB196" s="48">
        <f>'Adani Enterprises'!AB196</f>
        <v>0</v>
      </c>
      <c r="AC196" s="48">
        <f>'Adani Enterprises'!AC196</f>
        <v>0</v>
      </c>
      <c r="AD196" s="48">
        <f>'Adani Enterprises'!AD196</f>
        <v>0</v>
      </c>
      <c r="AE196" s="48">
        <f>'Adani Enterprises'!AE196</f>
        <v>0</v>
      </c>
      <c r="AF196" s="48">
        <f>'Adani Enterprises'!AF196</f>
        <v>0</v>
      </c>
      <c r="AG196" s="48">
        <f>'Adani Enterprises'!AG196</f>
        <v>0</v>
      </c>
      <c r="AH196" s="48">
        <f>'Adani Enterprises'!AH196</f>
        <v>0</v>
      </c>
      <c r="AI196" s="48">
        <f>'Adani Enterprises'!AI196</f>
        <v>0</v>
      </c>
      <c r="AJ196" s="48">
        <f>'Adani Enterprises'!AJ196</f>
        <v>0</v>
      </c>
      <c r="AK196" s="48">
        <f>'Adani Enterprises'!AK196</f>
        <v>0</v>
      </c>
      <c r="AL196" s="48">
        <f>'Adani Enterprises'!AL196</f>
        <v>0</v>
      </c>
    </row>
    <row r="197" customHeight="1" spans="1:38">
      <c r="A197" s="48">
        <f>'Adani Enterprises'!A197</f>
        <v>0</v>
      </c>
      <c r="B197" s="48">
        <f>'Adani Enterprises'!B197</f>
        <v>0</v>
      </c>
      <c r="C197" s="48">
        <f>'Adani Enterprises'!C197</f>
        <v>0</v>
      </c>
      <c r="D197" s="48">
        <f>'Adani Enterprises'!D197</f>
        <v>0</v>
      </c>
      <c r="E197" s="48">
        <f>'Adani Enterprises'!E197</f>
        <v>0</v>
      </c>
      <c r="F197" s="48">
        <f>'Adani Enterprises'!F197</f>
        <v>0</v>
      </c>
      <c r="G197" s="48">
        <f>'Adani Enterprises'!G197</f>
        <v>0</v>
      </c>
      <c r="H197" s="48">
        <f>'Adani Enterprises'!H197</f>
        <v>0</v>
      </c>
      <c r="I197" s="48">
        <f>'Adani Enterprises'!I197</f>
        <v>0</v>
      </c>
      <c r="J197" s="48">
        <f>'Adani Enterprises'!J197</f>
        <v>0</v>
      </c>
      <c r="K197" s="48">
        <f>'Adani Enterprises'!K197</f>
        <v>0</v>
      </c>
      <c r="L197" s="48">
        <f>'Adani Enterprises'!L197</f>
        <v>0</v>
      </c>
      <c r="M197" s="48">
        <f>'Adani Enterprises'!M197</f>
        <v>0</v>
      </c>
      <c r="N197" s="48">
        <f>'Adani Enterprises'!N197</f>
        <v>0</v>
      </c>
      <c r="O197" s="48">
        <f>'Adani Enterprises'!O197</f>
        <v>0</v>
      </c>
      <c r="P197" s="48">
        <f>'Adani Enterprises'!P197</f>
        <v>0</v>
      </c>
      <c r="Q197" s="48">
        <f>'Adani Enterprises'!Q197</f>
        <v>0</v>
      </c>
      <c r="R197" s="48">
        <f>'Adani Enterprises'!R197</f>
        <v>0</v>
      </c>
      <c r="S197" s="48">
        <f>'Adani Enterprises'!S197</f>
        <v>0</v>
      </c>
      <c r="T197" s="48">
        <f>'Adani Enterprises'!T197</f>
        <v>0</v>
      </c>
      <c r="U197" s="48">
        <f>'Adani Enterprises'!U197</f>
        <v>0</v>
      </c>
      <c r="V197" s="48">
        <f>'Adani Enterprises'!V197</f>
        <v>0</v>
      </c>
      <c r="W197" s="48">
        <f>'Adani Enterprises'!W197</f>
        <v>0</v>
      </c>
      <c r="X197" s="48">
        <f>'Adani Enterprises'!X197</f>
        <v>0</v>
      </c>
      <c r="Y197" s="48">
        <f>'Adani Enterprises'!Y197</f>
        <v>0</v>
      </c>
      <c r="Z197" s="48">
        <f>'Adani Enterprises'!Z197</f>
        <v>0</v>
      </c>
      <c r="AA197" s="48">
        <f>'Adani Enterprises'!AA197</f>
        <v>0</v>
      </c>
      <c r="AB197" s="48">
        <f>'Adani Enterprises'!AB197</f>
        <v>0</v>
      </c>
      <c r="AC197" s="48">
        <f>'Adani Enterprises'!AC197</f>
        <v>0</v>
      </c>
      <c r="AD197" s="48">
        <f>'Adani Enterprises'!AD197</f>
        <v>0</v>
      </c>
      <c r="AE197" s="48">
        <f>'Adani Enterprises'!AE197</f>
        <v>0</v>
      </c>
      <c r="AF197" s="48">
        <f>'Adani Enterprises'!AF197</f>
        <v>0</v>
      </c>
      <c r="AG197" s="48">
        <f>'Adani Enterprises'!AG197</f>
        <v>0</v>
      </c>
      <c r="AH197" s="48">
        <f>'Adani Enterprises'!AH197</f>
        <v>0</v>
      </c>
      <c r="AI197" s="48">
        <f>'Adani Enterprises'!AI197</f>
        <v>0</v>
      </c>
      <c r="AJ197" s="48">
        <f>'Adani Enterprises'!AJ197</f>
        <v>0</v>
      </c>
      <c r="AK197" s="48">
        <f>'Adani Enterprises'!AK197</f>
        <v>0</v>
      </c>
      <c r="AL197" s="48">
        <f>'Adani Enterprises'!AL197</f>
        <v>0</v>
      </c>
    </row>
    <row r="198" customHeight="1" spans="1:38">
      <c r="A198" s="48">
        <f>'Adani Enterprises'!A198</f>
        <v>0</v>
      </c>
      <c r="B198" s="48">
        <f>'Adani Enterprises'!B198</f>
        <v>0</v>
      </c>
      <c r="C198" s="48">
        <f>'Adani Enterprises'!C198</f>
        <v>0</v>
      </c>
      <c r="D198" s="48">
        <f>'Adani Enterprises'!D198</f>
        <v>0</v>
      </c>
      <c r="E198" s="48">
        <f>'Adani Enterprises'!E198</f>
        <v>0</v>
      </c>
      <c r="F198" s="48">
        <f>'Adani Enterprises'!F198</f>
        <v>0</v>
      </c>
      <c r="G198" s="48">
        <f>'Adani Enterprises'!G198</f>
        <v>0</v>
      </c>
      <c r="H198" s="48">
        <f>'Adani Enterprises'!H198</f>
        <v>0</v>
      </c>
      <c r="I198" s="48">
        <f>'Adani Enterprises'!I198</f>
        <v>0</v>
      </c>
      <c r="J198" s="48">
        <f>'Adani Enterprises'!J198</f>
        <v>0</v>
      </c>
      <c r="K198" s="48">
        <f>'Adani Enterprises'!K198</f>
        <v>0</v>
      </c>
      <c r="L198" s="48">
        <f>'Adani Enterprises'!L198</f>
        <v>0</v>
      </c>
      <c r="M198" s="48">
        <f>'Adani Enterprises'!M198</f>
        <v>0</v>
      </c>
      <c r="N198" s="48">
        <f>'Adani Enterprises'!N198</f>
        <v>0</v>
      </c>
      <c r="O198" s="48">
        <f>'Adani Enterprises'!O198</f>
        <v>0</v>
      </c>
      <c r="P198" s="48">
        <f>'Adani Enterprises'!P198</f>
        <v>0</v>
      </c>
      <c r="Q198" s="48">
        <f>'Adani Enterprises'!Q198</f>
        <v>0</v>
      </c>
      <c r="R198" s="48">
        <f>'Adani Enterprises'!R198</f>
        <v>0</v>
      </c>
      <c r="S198" s="48">
        <f>'Adani Enterprises'!S198</f>
        <v>0</v>
      </c>
      <c r="T198" s="48">
        <f>'Adani Enterprises'!T198</f>
        <v>0</v>
      </c>
      <c r="U198" s="48">
        <f>'Adani Enterprises'!U198</f>
        <v>0</v>
      </c>
      <c r="V198" s="48">
        <f>'Adani Enterprises'!V198</f>
        <v>0</v>
      </c>
      <c r="W198" s="48">
        <f>'Adani Enterprises'!W198</f>
        <v>0</v>
      </c>
      <c r="X198" s="48">
        <f>'Adani Enterprises'!X198</f>
        <v>0</v>
      </c>
      <c r="Y198" s="48">
        <f>'Adani Enterprises'!Y198</f>
        <v>0</v>
      </c>
      <c r="Z198" s="48">
        <f>'Adani Enterprises'!Z198</f>
        <v>0</v>
      </c>
      <c r="AA198" s="48">
        <f>'Adani Enterprises'!AA198</f>
        <v>0</v>
      </c>
      <c r="AB198" s="48">
        <f>'Adani Enterprises'!AB198</f>
        <v>0</v>
      </c>
      <c r="AC198" s="48">
        <f>'Adani Enterprises'!AC198</f>
        <v>0</v>
      </c>
      <c r="AD198" s="48">
        <f>'Adani Enterprises'!AD198</f>
        <v>0</v>
      </c>
      <c r="AE198" s="48">
        <f>'Adani Enterprises'!AE198</f>
        <v>0</v>
      </c>
      <c r="AF198" s="48">
        <f>'Adani Enterprises'!AF198</f>
        <v>0</v>
      </c>
      <c r="AG198" s="48">
        <f>'Adani Enterprises'!AG198</f>
        <v>0</v>
      </c>
      <c r="AH198" s="48">
        <f>'Adani Enterprises'!AH198</f>
        <v>0</v>
      </c>
      <c r="AI198" s="48">
        <f>'Adani Enterprises'!AI198</f>
        <v>0</v>
      </c>
      <c r="AJ198" s="48">
        <f>'Adani Enterprises'!AJ198</f>
        <v>0</v>
      </c>
      <c r="AK198" s="48">
        <f>'Adani Enterprises'!AK198</f>
        <v>0</v>
      </c>
      <c r="AL198" s="48">
        <f>'Adani Enterprises'!AL198</f>
        <v>0</v>
      </c>
    </row>
    <row r="199" customHeight="1" spans="1:38">
      <c r="A199" s="48">
        <f>'Adani Enterprises'!A199</f>
        <v>0</v>
      </c>
      <c r="B199" s="48">
        <f>'Adani Enterprises'!B199</f>
        <v>0</v>
      </c>
      <c r="C199" s="48">
        <f>'Adani Enterprises'!C199</f>
        <v>0</v>
      </c>
      <c r="D199" s="48">
        <f>'Adani Enterprises'!D199</f>
        <v>0</v>
      </c>
      <c r="E199" s="48">
        <f>'Adani Enterprises'!E199</f>
        <v>0</v>
      </c>
      <c r="F199" s="48">
        <f>'Adani Enterprises'!F199</f>
        <v>0</v>
      </c>
      <c r="G199" s="48">
        <f>'Adani Enterprises'!G199</f>
        <v>0</v>
      </c>
      <c r="H199" s="48">
        <f>'Adani Enterprises'!H199</f>
        <v>0</v>
      </c>
      <c r="I199" s="48">
        <f>'Adani Enterprises'!I199</f>
        <v>0</v>
      </c>
      <c r="J199" s="48">
        <f>'Adani Enterprises'!J199</f>
        <v>0</v>
      </c>
      <c r="K199" s="48">
        <f>'Adani Enterprises'!K199</f>
        <v>0</v>
      </c>
      <c r="L199" s="48">
        <f>'Adani Enterprises'!L199</f>
        <v>0</v>
      </c>
      <c r="M199" s="48">
        <f>'Adani Enterprises'!M199</f>
        <v>0</v>
      </c>
      <c r="N199" s="48">
        <f>'Adani Enterprises'!N199</f>
        <v>0</v>
      </c>
      <c r="O199" s="48">
        <f>'Adani Enterprises'!O199</f>
        <v>0</v>
      </c>
      <c r="P199" s="48">
        <f>'Adani Enterprises'!P199</f>
        <v>0</v>
      </c>
      <c r="Q199" s="48">
        <f>'Adani Enterprises'!Q199</f>
        <v>0</v>
      </c>
      <c r="R199" s="48">
        <f>'Adani Enterprises'!R199</f>
        <v>0</v>
      </c>
      <c r="S199" s="48">
        <f>'Adani Enterprises'!S199</f>
        <v>0</v>
      </c>
      <c r="T199" s="48">
        <f>'Adani Enterprises'!T199</f>
        <v>0</v>
      </c>
      <c r="U199" s="48">
        <f>'Adani Enterprises'!U199</f>
        <v>0</v>
      </c>
      <c r="V199" s="48">
        <f>'Adani Enterprises'!V199</f>
        <v>0</v>
      </c>
      <c r="W199" s="48">
        <f>'Adani Enterprises'!W199</f>
        <v>0</v>
      </c>
      <c r="X199" s="48">
        <f>'Adani Enterprises'!X199</f>
        <v>0</v>
      </c>
      <c r="Y199" s="48">
        <f>'Adani Enterprises'!Y199</f>
        <v>0</v>
      </c>
      <c r="Z199" s="48">
        <f>'Adani Enterprises'!Z199</f>
        <v>0</v>
      </c>
      <c r="AA199" s="48">
        <f>'Adani Enterprises'!AA199</f>
        <v>0</v>
      </c>
      <c r="AB199" s="48">
        <f>'Adani Enterprises'!AB199</f>
        <v>0</v>
      </c>
      <c r="AC199" s="48">
        <f>'Adani Enterprises'!AC199</f>
        <v>0</v>
      </c>
      <c r="AD199" s="48">
        <f>'Adani Enterprises'!AD199</f>
        <v>0</v>
      </c>
      <c r="AE199" s="48">
        <f>'Adani Enterprises'!AE199</f>
        <v>0</v>
      </c>
      <c r="AF199" s="48">
        <f>'Adani Enterprises'!AF199</f>
        <v>0</v>
      </c>
      <c r="AG199" s="48">
        <f>'Adani Enterprises'!AG199</f>
        <v>0</v>
      </c>
      <c r="AH199" s="48">
        <f>'Adani Enterprises'!AH199</f>
        <v>0</v>
      </c>
      <c r="AI199" s="48">
        <f>'Adani Enterprises'!AI199</f>
        <v>0</v>
      </c>
      <c r="AJ199" s="48">
        <f>'Adani Enterprises'!AJ199</f>
        <v>0</v>
      </c>
      <c r="AK199" s="48">
        <f>'Adani Enterprises'!AK199</f>
        <v>0</v>
      </c>
      <c r="AL199" s="48">
        <f>'Adani Enterprises'!AL199</f>
        <v>0</v>
      </c>
    </row>
    <row r="200" customHeight="1" spans="1:38">
      <c r="A200" s="48">
        <f>'Adani Enterprises'!A200</f>
        <v>0</v>
      </c>
      <c r="B200" s="48">
        <f>'Adani Enterprises'!B200</f>
        <v>0</v>
      </c>
      <c r="C200" s="48">
        <f>'Adani Enterprises'!C200</f>
        <v>0</v>
      </c>
      <c r="D200" s="48">
        <f>'Adani Enterprises'!D200</f>
        <v>0</v>
      </c>
      <c r="E200" s="48">
        <f>'Adani Enterprises'!E200</f>
        <v>0</v>
      </c>
      <c r="F200" s="48">
        <f>'Adani Enterprises'!F200</f>
        <v>0</v>
      </c>
      <c r="G200" s="48">
        <f>'Adani Enterprises'!G200</f>
        <v>0</v>
      </c>
      <c r="H200" s="48">
        <f>'Adani Enterprises'!H200</f>
        <v>0</v>
      </c>
      <c r="I200" s="48">
        <f>'Adani Enterprises'!I200</f>
        <v>0</v>
      </c>
      <c r="J200" s="48">
        <f>'Adani Enterprises'!J200</f>
        <v>0</v>
      </c>
      <c r="K200" s="48">
        <f>'Adani Enterprises'!K200</f>
        <v>0</v>
      </c>
      <c r="L200" s="48">
        <f>'Adani Enterprises'!L200</f>
        <v>0</v>
      </c>
      <c r="M200" s="48">
        <f>'Adani Enterprises'!M200</f>
        <v>0</v>
      </c>
      <c r="N200" s="48">
        <f>'Adani Enterprises'!N200</f>
        <v>0</v>
      </c>
      <c r="O200" s="48">
        <f>'Adani Enterprises'!O200</f>
        <v>0</v>
      </c>
      <c r="P200" s="48">
        <f>'Adani Enterprises'!P200</f>
        <v>0</v>
      </c>
      <c r="Q200" s="48">
        <f>'Adani Enterprises'!Q200</f>
        <v>0</v>
      </c>
      <c r="R200" s="48">
        <f>'Adani Enterprises'!R200</f>
        <v>0</v>
      </c>
      <c r="S200" s="48">
        <f>'Adani Enterprises'!S200</f>
        <v>0</v>
      </c>
      <c r="T200" s="48">
        <f>'Adani Enterprises'!T200</f>
        <v>0</v>
      </c>
      <c r="U200" s="48">
        <f>'Adani Enterprises'!U200</f>
        <v>0</v>
      </c>
      <c r="V200" s="48">
        <f>'Adani Enterprises'!V200</f>
        <v>0</v>
      </c>
      <c r="W200" s="48">
        <f>'Adani Enterprises'!W200</f>
        <v>0</v>
      </c>
      <c r="X200" s="48">
        <f>'Adani Enterprises'!X200</f>
        <v>0</v>
      </c>
      <c r="Y200" s="48">
        <f>'Adani Enterprises'!Y200</f>
        <v>0</v>
      </c>
      <c r="Z200" s="48">
        <f>'Adani Enterprises'!Z200</f>
        <v>0</v>
      </c>
      <c r="AA200" s="48">
        <f>'Adani Enterprises'!AA200</f>
        <v>0</v>
      </c>
      <c r="AB200" s="48">
        <f>'Adani Enterprises'!AB200</f>
        <v>0</v>
      </c>
      <c r="AC200" s="48">
        <f>'Adani Enterprises'!AC200</f>
        <v>0</v>
      </c>
      <c r="AD200" s="48">
        <f>'Adani Enterprises'!AD200</f>
        <v>0</v>
      </c>
      <c r="AE200" s="48">
        <f>'Adani Enterprises'!AE200</f>
        <v>0</v>
      </c>
      <c r="AF200" s="48">
        <f>'Adani Enterprises'!AF200</f>
        <v>0</v>
      </c>
      <c r="AG200" s="48">
        <f>'Adani Enterprises'!AG200</f>
        <v>0</v>
      </c>
      <c r="AH200" s="48">
        <f>'Adani Enterprises'!AH200</f>
        <v>0</v>
      </c>
      <c r="AI200" s="48">
        <f>'Adani Enterprises'!AI200</f>
        <v>0</v>
      </c>
      <c r="AJ200" s="48">
        <f>'Adani Enterprises'!AJ200</f>
        <v>0</v>
      </c>
      <c r="AK200" s="48">
        <f>'Adani Enterprises'!AK200</f>
        <v>0</v>
      </c>
      <c r="AL200" s="48">
        <f>'Adani Enterprises'!AL200</f>
        <v>0</v>
      </c>
    </row>
    <row r="201" customHeight="1" spans="1:38">
      <c r="A201" s="48">
        <f>'Adani Enterprises'!A201</f>
        <v>0</v>
      </c>
      <c r="B201" s="48">
        <f>'Adani Enterprises'!B201</f>
        <v>0</v>
      </c>
      <c r="C201" s="48">
        <f>'Adani Enterprises'!C201</f>
        <v>0</v>
      </c>
      <c r="D201" s="48">
        <f>'Adani Enterprises'!D201</f>
        <v>0</v>
      </c>
      <c r="E201" s="48">
        <f>'Adani Enterprises'!E201</f>
        <v>0</v>
      </c>
      <c r="F201" s="48">
        <f>'Adani Enterprises'!F201</f>
        <v>0</v>
      </c>
      <c r="G201" s="48">
        <f>'Adani Enterprises'!G201</f>
        <v>0</v>
      </c>
      <c r="H201" s="48">
        <f>'Adani Enterprises'!H201</f>
        <v>0</v>
      </c>
      <c r="I201" s="48">
        <f>'Adani Enterprises'!I201</f>
        <v>0</v>
      </c>
      <c r="J201" s="48">
        <f>'Adani Enterprises'!J201</f>
        <v>0</v>
      </c>
      <c r="K201" s="48">
        <f>'Adani Enterprises'!K201</f>
        <v>0</v>
      </c>
      <c r="L201" s="48">
        <f>'Adani Enterprises'!L201</f>
        <v>0</v>
      </c>
      <c r="M201" s="48">
        <f>'Adani Enterprises'!M201</f>
        <v>0</v>
      </c>
      <c r="N201" s="48">
        <f>'Adani Enterprises'!N201</f>
        <v>0</v>
      </c>
      <c r="O201" s="48">
        <f>'Adani Enterprises'!O201</f>
        <v>0</v>
      </c>
      <c r="P201" s="48">
        <f>'Adani Enterprises'!P201</f>
        <v>0</v>
      </c>
      <c r="Q201" s="48">
        <f>'Adani Enterprises'!Q201</f>
        <v>0</v>
      </c>
      <c r="R201" s="48">
        <f>'Adani Enterprises'!R201</f>
        <v>0</v>
      </c>
      <c r="S201" s="48">
        <f>'Adani Enterprises'!S201</f>
        <v>0</v>
      </c>
      <c r="T201" s="48">
        <f>'Adani Enterprises'!T201</f>
        <v>0</v>
      </c>
      <c r="U201" s="48">
        <f>'Adani Enterprises'!U201</f>
        <v>0</v>
      </c>
      <c r="V201" s="48">
        <f>'Adani Enterprises'!V201</f>
        <v>0</v>
      </c>
      <c r="W201" s="48">
        <f>'Adani Enterprises'!W201</f>
        <v>0</v>
      </c>
      <c r="X201" s="48">
        <f>'Adani Enterprises'!X201</f>
        <v>0</v>
      </c>
      <c r="Y201" s="48">
        <f>'Adani Enterprises'!Y201</f>
        <v>0</v>
      </c>
      <c r="Z201" s="48">
        <f>'Adani Enterprises'!Z201</f>
        <v>0</v>
      </c>
      <c r="AA201" s="48">
        <f>'Adani Enterprises'!AA201</f>
        <v>0</v>
      </c>
      <c r="AB201" s="48">
        <f>'Adani Enterprises'!AB201</f>
        <v>0</v>
      </c>
      <c r="AC201" s="48">
        <f>'Adani Enterprises'!AC201</f>
        <v>0</v>
      </c>
      <c r="AD201" s="48">
        <f>'Adani Enterprises'!AD201</f>
        <v>0</v>
      </c>
      <c r="AE201" s="48">
        <f>'Adani Enterprises'!AE201</f>
        <v>0</v>
      </c>
      <c r="AF201" s="48">
        <f>'Adani Enterprises'!AF201</f>
        <v>0</v>
      </c>
      <c r="AG201" s="48">
        <f>'Adani Enterprises'!AG201</f>
        <v>0</v>
      </c>
      <c r="AH201" s="48">
        <f>'Adani Enterprises'!AH201</f>
        <v>0</v>
      </c>
      <c r="AI201" s="48">
        <f>'Adani Enterprises'!AI201</f>
        <v>0</v>
      </c>
      <c r="AJ201" s="48">
        <f>'Adani Enterprises'!AJ201</f>
        <v>0</v>
      </c>
      <c r="AK201" s="48">
        <f>'Adani Enterprises'!AK201</f>
        <v>0</v>
      </c>
      <c r="AL201" s="48">
        <f>'Adani Enterprises'!AL201</f>
        <v>0</v>
      </c>
    </row>
    <row r="202" customHeight="1" spans="1:38">
      <c r="A202" s="48">
        <f>'Adani Enterprises'!A202</f>
        <v>0</v>
      </c>
      <c r="B202" s="48">
        <f>'Adani Enterprises'!B202</f>
        <v>0</v>
      </c>
      <c r="C202" s="48">
        <f>'Adani Enterprises'!C202</f>
        <v>0</v>
      </c>
      <c r="D202" s="48">
        <f>'Adani Enterprises'!D202</f>
        <v>0</v>
      </c>
      <c r="E202" s="48">
        <f>'Adani Enterprises'!E202</f>
        <v>0</v>
      </c>
      <c r="F202" s="48">
        <f>'Adani Enterprises'!F202</f>
        <v>0</v>
      </c>
      <c r="G202" s="48">
        <f>'Adani Enterprises'!G202</f>
        <v>0</v>
      </c>
      <c r="H202" s="48">
        <f>'Adani Enterprises'!H202</f>
        <v>0</v>
      </c>
      <c r="I202" s="48">
        <f>'Adani Enterprises'!I202</f>
        <v>0</v>
      </c>
      <c r="J202" s="48">
        <f>'Adani Enterprises'!J202</f>
        <v>0</v>
      </c>
      <c r="K202" s="48">
        <f>'Adani Enterprises'!K202</f>
        <v>0</v>
      </c>
      <c r="L202" s="48">
        <f>'Adani Enterprises'!L202</f>
        <v>0</v>
      </c>
      <c r="M202" s="48">
        <f>'Adani Enterprises'!M202</f>
        <v>0</v>
      </c>
      <c r="N202" s="48">
        <f>'Adani Enterprises'!N202</f>
        <v>0</v>
      </c>
      <c r="O202" s="48">
        <f>'Adani Enterprises'!O202</f>
        <v>0</v>
      </c>
      <c r="P202" s="48">
        <f>'Adani Enterprises'!P202</f>
        <v>0</v>
      </c>
      <c r="Q202" s="48">
        <f>'Adani Enterprises'!Q202</f>
        <v>0</v>
      </c>
      <c r="R202" s="48">
        <f>'Adani Enterprises'!R202</f>
        <v>0</v>
      </c>
      <c r="S202" s="48">
        <f>'Adani Enterprises'!S202</f>
        <v>0</v>
      </c>
      <c r="T202" s="48">
        <f>'Adani Enterprises'!T202</f>
        <v>0</v>
      </c>
      <c r="U202" s="48">
        <f>'Adani Enterprises'!U202</f>
        <v>0</v>
      </c>
      <c r="V202" s="48">
        <f>'Adani Enterprises'!V202</f>
        <v>0</v>
      </c>
      <c r="W202" s="48">
        <f>'Adani Enterprises'!W202</f>
        <v>0</v>
      </c>
      <c r="X202" s="48">
        <f>'Adani Enterprises'!X202</f>
        <v>0</v>
      </c>
      <c r="Y202" s="48">
        <f>'Adani Enterprises'!Y202</f>
        <v>0</v>
      </c>
      <c r="Z202" s="48">
        <f>'Adani Enterprises'!Z202</f>
        <v>0</v>
      </c>
      <c r="AA202" s="48">
        <f>'Adani Enterprises'!AA202</f>
        <v>0</v>
      </c>
      <c r="AB202" s="48">
        <f>'Adani Enterprises'!AB202</f>
        <v>0</v>
      </c>
      <c r="AC202" s="48">
        <f>'Adani Enterprises'!AC202</f>
        <v>0</v>
      </c>
      <c r="AD202" s="48">
        <f>'Adani Enterprises'!AD202</f>
        <v>0</v>
      </c>
      <c r="AE202" s="48">
        <f>'Adani Enterprises'!AE202</f>
        <v>0</v>
      </c>
      <c r="AF202" s="48">
        <f>'Adani Enterprises'!AF202</f>
        <v>0</v>
      </c>
      <c r="AG202" s="48">
        <f>'Adani Enterprises'!AG202</f>
        <v>0</v>
      </c>
      <c r="AH202" s="48">
        <f>'Adani Enterprises'!AH202</f>
        <v>0</v>
      </c>
      <c r="AI202" s="48">
        <f>'Adani Enterprises'!AI202</f>
        <v>0</v>
      </c>
      <c r="AJ202" s="48">
        <f>'Adani Enterprises'!AJ202</f>
        <v>0</v>
      </c>
      <c r="AK202" s="48">
        <f>'Adani Enterprises'!AK202</f>
        <v>0</v>
      </c>
      <c r="AL202" s="48">
        <f>'Adani Enterprises'!AL202</f>
        <v>0</v>
      </c>
    </row>
    <row r="203" customHeight="1" spans="1:38">
      <c r="A203" s="48">
        <f>'Adani Enterprises'!A203</f>
        <v>0</v>
      </c>
      <c r="B203" s="48">
        <f>'Adani Enterprises'!B203</f>
        <v>0</v>
      </c>
      <c r="C203" s="48">
        <f>'Adani Enterprises'!C203</f>
        <v>0</v>
      </c>
      <c r="D203" s="48">
        <f>'Adani Enterprises'!D203</f>
        <v>0</v>
      </c>
      <c r="E203" s="48">
        <f>'Adani Enterprises'!E203</f>
        <v>0</v>
      </c>
      <c r="F203" s="48">
        <f>'Adani Enterprises'!F203</f>
        <v>0</v>
      </c>
      <c r="G203" s="48">
        <f>'Adani Enterprises'!G203</f>
        <v>0</v>
      </c>
      <c r="H203" s="48">
        <f>'Adani Enterprises'!H203</f>
        <v>0</v>
      </c>
      <c r="I203" s="48">
        <f>'Adani Enterprises'!I203</f>
        <v>0</v>
      </c>
      <c r="J203" s="48">
        <f>'Adani Enterprises'!J203</f>
        <v>0</v>
      </c>
      <c r="K203" s="48">
        <f>'Adani Enterprises'!K203</f>
        <v>0</v>
      </c>
      <c r="L203" s="48">
        <f>'Adani Enterprises'!L203</f>
        <v>0</v>
      </c>
      <c r="M203" s="48">
        <f>'Adani Enterprises'!M203</f>
        <v>0</v>
      </c>
      <c r="N203" s="48">
        <f>'Adani Enterprises'!N203</f>
        <v>0</v>
      </c>
      <c r="O203" s="48">
        <f>'Adani Enterprises'!O203</f>
        <v>0</v>
      </c>
      <c r="P203" s="48">
        <f>'Adani Enterprises'!P203</f>
        <v>0</v>
      </c>
      <c r="Q203" s="48">
        <f>'Adani Enterprises'!Q203</f>
        <v>0</v>
      </c>
      <c r="R203" s="48">
        <f>'Adani Enterprises'!R203</f>
        <v>0</v>
      </c>
      <c r="S203" s="48">
        <f>'Adani Enterprises'!S203</f>
        <v>0</v>
      </c>
      <c r="T203" s="48">
        <f>'Adani Enterprises'!T203</f>
        <v>0</v>
      </c>
      <c r="U203" s="48">
        <f>'Adani Enterprises'!U203</f>
        <v>0</v>
      </c>
      <c r="V203" s="48">
        <f>'Adani Enterprises'!V203</f>
        <v>0</v>
      </c>
      <c r="W203" s="48">
        <f>'Adani Enterprises'!W203</f>
        <v>0</v>
      </c>
      <c r="X203" s="48">
        <f>'Adani Enterprises'!X203</f>
        <v>0</v>
      </c>
      <c r="Y203" s="48">
        <f>'Adani Enterprises'!Y203</f>
        <v>0</v>
      </c>
      <c r="Z203" s="48">
        <f>'Adani Enterprises'!Z203</f>
        <v>0</v>
      </c>
      <c r="AA203" s="48">
        <f>'Adani Enterprises'!AA203</f>
        <v>0</v>
      </c>
      <c r="AB203" s="48">
        <f>'Adani Enterprises'!AB203</f>
        <v>0</v>
      </c>
      <c r="AC203" s="48">
        <f>'Adani Enterprises'!AC203</f>
        <v>0</v>
      </c>
      <c r="AD203" s="48">
        <f>'Adani Enterprises'!AD203</f>
        <v>0</v>
      </c>
      <c r="AE203" s="48">
        <f>'Adani Enterprises'!AE203</f>
        <v>0</v>
      </c>
      <c r="AF203" s="48">
        <f>'Adani Enterprises'!AF203</f>
        <v>0</v>
      </c>
      <c r="AG203" s="48">
        <f>'Adani Enterprises'!AG203</f>
        <v>0</v>
      </c>
      <c r="AH203" s="48">
        <f>'Adani Enterprises'!AH203</f>
        <v>0</v>
      </c>
      <c r="AI203" s="48">
        <f>'Adani Enterprises'!AI203</f>
        <v>0</v>
      </c>
      <c r="AJ203" s="48">
        <f>'Adani Enterprises'!AJ203</f>
        <v>0</v>
      </c>
      <c r="AK203" s="48">
        <f>'Adani Enterprises'!AK203</f>
        <v>0</v>
      </c>
      <c r="AL203" s="48">
        <f>'Adani Enterprises'!AL203</f>
        <v>0</v>
      </c>
    </row>
    <row r="204" customHeight="1" spans="1:38">
      <c r="A204" s="48">
        <f>'Adani Enterprises'!A204</f>
        <v>0</v>
      </c>
      <c r="B204" s="48">
        <f>'Adani Enterprises'!B204</f>
        <v>0</v>
      </c>
      <c r="C204" s="48">
        <f>'Adani Enterprises'!C204</f>
        <v>0</v>
      </c>
      <c r="D204" s="48">
        <f>'Adani Enterprises'!D204</f>
        <v>0</v>
      </c>
      <c r="E204" s="48">
        <f>'Adani Enterprises'!E204</f>
        <v>0</v>
      </c>
      <c r="F204" s="48">
        <f>'Adani Enterprises'!F204</f>
        <v>0</v>
      </c>
      <c r="G204" s="48">
        <f>'Adani Enterprises'!G204</f>
        <v>0</v>
      </c>
      <c r="H204" s="48">
        <f>'Adani Enterprises'!H204</f>
        <v>0</v>
      </c>
      <c r="I204" s="48">
        <f>'Adani Enterprises'!I204</f>
        <v>0</v>
      </c>
      <c r="J204" s="48">
        <f>'Adani Enterprises'!J204</f>
        <v>0</v>
      </c>
      <c r="K204" s="48">
        <f>'Adani Enterprises'!K204</f>
        <v>0</v>
      </c>
      <c r="L204" s="48">
        <f>'Adani Enterprises'!L204</f>
        <v>0</v>
      </c>
      <c r="M204" s="48">
        <f>'Adani Enterprises'!M204</f>
        <v>0</v>
      </c>
      <c r="N204" s="48">
        <f>'Adani Enterprises'!N204</f>
        <v>0</v>
      </c>
      <c r="O204" s="48">
        <f>'Adani Enterprises'!O204</f>
        <v>0</v>
      </c>
      <c r="P204" s="48">
        <f>'Adani Enterprises'!P204</f>
        <v>0</v>
      </c>
      <c r="Q204" s="48">
        <f>'Adani Enterprises'!Q204</f>
        <v>0</v>
      </c>
      <c r="R204" s="48">
        <f>'Adani Enterprises'!R204</f>
        <v>0</v>
      </c>
      <c r="S204" s="48">
        <f>'Adani Enterprises'!S204</f>
        <v>0</v>
      </c>
      <c r="T204" s="48">
        <f>'Adani Enterprises'!T204</f>
        <v>0</v>
      </c>
      <c r="U204" s="48">
        <f>'Adani Enterprises'!U204</f>
        <v>0</v>
      </c>
      <c r="V204" s="48">
        <f>'Adani Enterprises'!V204</f>
        <v>0</v>
      </c>
      <c r="W204" s="48">
        <f>'Adani Enterprises'!W204</f>
        <v>0</v>
      </c>
      <c r="X204" s="48">
        <f>'Adani Enterprises'!X204</f>
        <v>0</v>
      </c>
      <c r="Y204" s="48">
        <f>'Adani Enterprises'!Y204</f>
        <v>0</v>
      </c>
      <c r="Z204" s="48">
        <f>'Adani Enterprises'!Z204</f>
        <v>0</v>
      </c>
      <c r="AA204" s="48">
        <f>'Adani Enterprises'!AA204</f>
        <v>0</v>
      </c>
      <c r="AB204" s="48">
        <f>'Adani Enterprises'!AB204</f>
        <v>0</v>
      </c>
      <c r="AC204" s="48">
        <f>'Adani Enterprises'!AC204</f>
        <v>0</v>
      </c>
      <c r="AD204" s="48">
        <f>'Adani Enterprises'!AD204</f>
        <v>0</v>
      </c>
      <c r="AE204" s="48">
        <f>'Adani Enterprises'!AE204</f>
        <v>0</v>
      </c>
      <c r="AF204" s="48">
        <f>'Adani Enterprises'!AF204</f>
        <v>0</v>
      </c>
      <c r="AG204" s="48">
        <f>'Adani Enterprises'!AG204</f>
        <v>0</v>
      </c>
      <c r="AH204" s="48">
        <f>'Adani Enterprises'!AH204</f>
        <v>0</v>
      </c>
      <c r="AI204" s="48">
        <f>'Adani Enterprises'!AI204</f>
        <v>0</v>
      </c>
      <c r="AJ204" s="48">
        <f>'Adani Enterprises'!AJ204</f>
        <v>0</v>
      </c>
      <c r="AK204" s="48">
        <f>'Adani Enterprises'!AK204</f>
        <v>0</v>
      </c>
      <c r="AL204" s="48">
        <f>'Adani Enterprises'!AL204</f>
        <v>0</v>
      </c>
    </row>
    <row r="205" customHeight="1" spans="1:38">
      <c r="A205" s="48">
        <f>'Adani Enterprises'!A205</f>
        <v>0</v>
      </c>
      <c r="B205" s="48">
        <f>'Adani Enterprises'!B205</f>
        <v>0</v>
      </c>
      <c r="C205" s="48">
        <f>'Adani Enterprises'!C205</f>
        <v>0</v>
      </c>
      <c r="D205" s="48">
        <f>'Adani Enterprises'!D205</f>
        <v>0</v>
      </c>
      <c r="E205" s="48">
        <f>'Adani Enterprises'!E205</f>
        <v>0</v>
      </c>
      <c r="F205" s="48">
        <f>'Adani Enterprises'!F205</f>
        <v>0</v>
      </c>
      <c r="G205" s="48">
        <f>'Adani Enterprises'!G205</f>
        <v>0</v>
      </c>
      <c r="H205" s="48">
        <f>'Adani Enterprises'!H205</f>
        <v>0</v>
      </c>
      <c r="I205" s="48">
        <f>'Adani Enterprises'!I205</f>
        <v>0</v>
      </c>
      <c r="J205" s="48">
        <f>'Adani Enterprises'!J205</f>
        <v>0</v>
      </c>
      <c r="K205" s="48">
        <f>'Adani Enterprises'!K205</f>
        <v>0</v>
      </c>
      <c r="L205" s="48">
        <f>'Adani Enterprises'!L205</f>
        <v>0</v>
      </c>
      <c r="M205" s="48">
        <f>'Adani Enterprises'!M205</f>
        <v>0</v>
      </c>
      <c r="N205" s="48">
        <f>'Adani Enterprises'!N205</f>
        <v>0</v>
      </c>
      <c r="O205" s="48">
        <f>'Adani Enterprises'!O205</f>
        <v>0</v>
      </c>
      <c r="P205" s="48">
        <f>'Adani Enterprises'!P205</f>
        <v>0</v>
      </c>
      <c r="Q205" s="48">
        <f>'Adani Enterprises'!Q205</f>
        <v>0</v>
      </c>
      <c r="R205" s="48">
        <f>'Adani Enterprises'!R205</f>
        <v>0</v>
      </c>
      <c r="S205" s="48">
        <f>'Adani Enterprises'!S205</f>
        <v>0</v>
      </c>
      <c r="T205" s="48">
        <f>'Adani Enterprises'!T205</f>
        <v>0</v>
      </c>
      <c r="U205" s="48">
        <f>'Adani Enterprises'!U205</f>
        <v>0</v>
      </c>
      <c r="V205" s="48">
        <f>'Adani Enterprises'!V205</f>
        <v>0</v>
      </c>
      <c r="W205" s="48">
        <f>'Adani Enterprises'!W205</f>
        <v>0</v>
      </c>
      <c r="X205" s="48">
        <f>'Adani Enterprises'!X205</f>
        <v>0</v>
      </c>
      <c r="Y205" s="48">
        <f>'Adani Enterprises'!Y205</f>
        <v>0</v>
      </c>
      <c r="Z205" s="48">
        <f>'Adani Enterprises'!Z205</f>
        <v>0</v>
      </c>
      <c r="AA205" s="48">
        <f>'Adani Enterprises'!AA205</f>
        <v>0</v>
      </c>
      <c r="AB205" s="48">
        <f>'Adani Enterprises'!AB205</f>
        <v>0</v>
      </c>
      <c r="AC205" s="48">
        <f>'Adani Enterprises'!AC205</f>
        <v>0</v>
      </c>
      <c r="AD205" s="48">
        <f>'Adani Enterprises'!AD205</f>
        <v>0</v>
      </c>
      <c r="AE205" s="48">
        <f>'Adani Enterprises'!AE205</f>
        <v>0</v>
      </c>
      <c r="AF205" s="48">
        <f>'Adani Enterprises'!AF205</f>
        <v>0</v>
      </c>
      <c r="AG205" s="48">
        <f>'Adani Enterprises'!AG205</f>
        <v>0</v>
      </c>
      <c r="AH205" s="48">
        <f>'Adani Enterprises'!AH205</f>
        <v>0</v>
      </c>
      <c r="AI205" s="48">
        <f>'Adani Enterprises'!AI205</f>
        <v>0</v>
      </c>
      <c r="AJ205" s="48">
        <f>'Adani Enterprises'!AJ205</f>
        <v>0</v>
      </c>
      <c r="AK205" s="48">
        <f>'Adani Enterprises'!AK205</f>
        <v>0</v>
      </c>
      <c r="AL205" s="48">
        <f>'Adani Enterprises'!AL205</f>
        <v>0</v>
      </c>
    </row>
    <row r="206" customHeight="1" spans="1:38">
      <c r="A206" s="48">
        <f>'Adani Enterprises'!A206</f>
        <v>0</v>
      </c>
      <c r="B206" s="48">
        <f>'Adani Enterprises'!B206</f>
        <v>0</v>
      </c>
      <c r="C206" s="48">
        <f>'Adani Enterprises'!C206</f>
        <v>0</v>
      </c>
      <c r="D206" s="48">
        <f>'Adani Enterprises'!D206</f>
        <v>0</v>
      </c>
      <c r="E206" s="48">
        <f>'Adani Enterprises'!E206</f>
        <v>0</v>
      </c>
      <c r="F206" s="48">
        <f>'Adani Enterprises'!F206</f>
        <v>0</v>
      </c>
      <c r="G206" s="48">
        <f>'Adani Enterprises'!G206</f>
        <v>0</v>
      </c>
      <c r="H206" s="48">
        <f>'Adani Enterprises'!H206</f>
        <v>0</v>
      </c>
      <c r="I206" s="48">
        <f>'Adani Enterprises'!I206</f>
        <v>0</v>
      </c>
      <c r="J206" s="48">
        <f>'Adani Enterprises'!J206</f>
        <v>0</v>
      </c>
      <c r="K206" s="48">
        <f>'Adani Enterprises'!K206</f>
        <v>0</v>
      </c>
      <c r="L206" s="48">
        <f>'Adani Enterprises'!L206</f>
        <v>0</v>
      </c>
      <c r="M206" s="48">
        <f>'Adani Enterprises'!M206</f>
        <v>0</v>
      </c>
      <c r="N206" s="48">
        <f>'Adani Enterprises'!N206</f>
        <v>0</v>
      </c>
      <c r="O206" s="48">
        <f>'Adani Enterprises'!O206</f>
        <v>0</v>
      </c>
      <c r="P206" s="48">
        <f>'Adani Enterprises'!P206</f>
        <v>0</v>
      </c>
      <c r="Q206" s="48">
        <f>'Adani Enterprises'!Q206</f>
        <v>0</v>
      </c>
      <c r="R206" s="48">
        <f>'Adani Enterprises'!R206</f>
        <v>0</v>
      </c>
      <c r="S206" s="48">
        <f>'Adani Enterprises'!S206</f>
        <v>0</v>
      </c>
      <c r="T206" s="48">
        <f>'Adani Enterprises'!T206</f>
        <v>0</v>
      </c>
      <c r="U206" s="48">
        <f>'Adani Enterprises'!U206</f>
        <v>0</v>
      </c>
      <c r="V206" s="48">
        <f>'Adani Enterprises'!V206</f>
        <v>0</v>
      </c>
      <c r="W206" s="48">
        <f>'Adani Enterprises'!W206</f>
        <v>0</v>
      </c>
      <c r="X206" s="48">
        <f>'Adani Enterprises'!X206</f>
        <v>0</v>
      </c>
      <c r="Y206" s="48">
        <f>'Adani Enterprises'!Y206</f>
        <v>0</v>
      </c>
      <c r="Z206" s="48">
        <f>'Adani Enterprises'!Z206</f>
        <v>0</v>
      </c>
      <c r="AA206" s="48">
        <f>'Adani Enterprises'!AA206</f>
        <v>0</v>
      </c>
      <c r="AB206" s="48">
        <f>'Adani Enterprises'!AB206</f>
        <v>0</v>
      </c>
      <c r="AC206" s="48">
        <f>'Adani Enterprises'!AC206</f>
        <v>0</v>
      </c>
      <c r="AD206" s="48">
        <f>'Adani Enterprises'!AD206</f>
        <v>0</v>
      </c>
      <c r="AE206" s="48">
        <f>'Adani Enterprises'!AE206</f>
        <v>0</v>
      </c>
      <c r="AF206" s="48">
        <f>'Adani Enterprises'!AF206</f>
        <v>0</v>
      </c>
      <c r="AG206" s="48">
        <f>'Adani Enterprises'!AG206</f>
        <v>0</v>
      </c>
      <c r="AH206" s="48">
        <f>'Adani Enterprises'!AH206</f>
        <v>0</v>
      </c>
      <c r="AI206" s="48">
        <f>'Adani Enterprises'!AI206</f>
        <v>0</v>
      </c>
      <c r="AJ206" s="48">
        <f>'Adani Enterprises'!AJ206</f>
        <v>0</v>
      </c>
      <c r="AK206" s="48">
        <f>'Adani Enterprises'!AK206</f>
        <v>0</v>
      </c>
      <c r="AL206" s="48">
        <f>'Adani Enterprises'!AL206</f>
        <v>0</v>
      </c>
    </row>
    <row r="207" customHeight="1" spans="1:38">
      <c r="A207" s="48">
        <f>'Adani Enterprises'!A207</f>
        <v>0</v>
      </c>
      <c r="B207" s="48">
        <f>'Adani Enterprises'!B207</f>
        <v>0</v>
      </c>
      <c r="C207" s="48">
        <f>'Adani Enterprises'!C207</f>
        <v>0</v>
      </c>
      <c r="D207" s="48">
        <f>'Adani Enterprises'!D207</f>
        <v>0</v>
      </c>
      <c r="E207" s="48">
        <f>'Adani Enterprises'!E207</f>
        <v>0</v>
      </c>
      <c r="F207" s="48">
        <f>'Adani Enterprises'!F207</f>
        <v>0</v>
      </c>
      <c r="G207" s="48">
        <f>'Adani Enterprises'!G207</f>
        <v>0</v>
      </c>
      <c r="H207" s="48">
        <f>'Adani Enterprises'!H207</f>
        <v>0</v>
      </c>
      <c r="I207" s="48">
        <f>'Adani Enterprises'!I207</f>
        <v>0</v>
      </c>
      <c r="J207" s="48">
        <f>'Adani Enterprises'!J207</f>
        <v>0</v>
      </c>
      <c r="K207" s="48">
        <f>'Adani Enterprises'!K207</f>
        <v>0</v>
      </c>
      <c r="L207" s="48">
        <f>'Adani Enterprises'!L207</f>
        <v>0</v>
      </c>
      <c r="M207" s="48">
        <f>'Adani Enterprises'!M207</f>
        <v>0</v>
      </c>
      <c r="N207" s="48">
        <f>'Adani Enterprises'!N207</f>
        <v>0</v>
      </c>
      <c r="O207" s="48">
        <f>'Adani Enterprises'!O207</f>
        <v>0</v>
      </c>
      <c r="P207" s="48">
        <f>'Adani Enterprises'!P207</f>
        <v>0</v>
      </c>
      <c r="Q207" s="48">
        <f>'Adani Enterprises'!Q207</f>
        <v>0</v>
      </c>
      <c r="R207" s="48">
        <f>'Adani Enterprises'!R207</f>
        <v>0</v>
      </c>
      <c r="S207" s="48">
        <f>'Adani Enterprises'!S207</f>
        <v>0</v>
      </c>
      <c r="T207" s="48">
        <f>'Adani Enterprises'!T207</f>
        <v>0</v>
      </c>
      <c r="U207" s="48">
        <f>'Adani Enterprises'!U207</f>
        <v>0</v>
      </c>
      <c r="V207" s="48">
        <f>'Adani Enterprises'!V207</f>
        <v>0</v>
      </c>
      <c r="W207" s="48">
        <f>'Adani Enterprises'!W207</f>
        <v>0</v>
      </c>
      <c r="X207" s="48">
        <f>'Adani Enterprises'!X207</f>
        <v>0</v>
      </c>
      <c r="Y207" s="48">
        <f>'Adani Enterprises'!Y207</f>
        <v>0</v>
      </c>
      <c r="Z207" s="48">
        <f>'Adani Enterprises'!Z207</f>
        <v>0</v>
      </c>
      <c r="AA207" s="48">
        <f>'Adani Enterprises'!AA207</f>
        <v>0</v>
      </c>
      <c r="AB207" s="48">
        <f>'Adani Enterprises'!AB207</f>
        <v>0</v>
      </c>
      <c r="AC207" s="48">
        <f>'Adani Enterprises'!AC207</f>
        <v>0</v>
      </c>
      <c r="AD207" s="48">
        <f>'Adani Enterprises'!AD207</f>
        <v>0</v>
      </c>
      <c r="AE207" s="48">
        <f>'Adani Enterprises'!AE207</f>
        <v>0</v>
      </c>
      <c r="AF207" s="48">
        <f>'Adani Enterprises'!AF207</f>
        <v>0</v>
      </c>
      <c r="AG207" s="48">
        <f>'Adani Enterprises'!AG207</f>
        <v>0</v>
      </c>
      <c r="AH207" s="48">
        <f>'Adani Enterprises'!AH207</f>
        <v>0</v>
      </c>
      <c r="AI207" s="48">
        <f>'Adani Enterprises'!AI207</f>
        <v>0</v>
      </c>
      <c r="AJ207" s="48">
        <f>'Adani Enterprises'!AJ207</f>
        <v>0</v>
      </c>
      <c r="AK207" s="48">
        <f>'Adani Enterprises'!AK207</f>
        <v>0</v>
      </c>
      <c r="AL207" s="48">
        <f>'Adani Enterprises'!AL207</f>
        <v>0</v>
      </c>
    </row>
    <row r="208" customHeight="1" spans="1:38">
      <c r="A208" s="48">
        <f>'Adani Enterprises'!A208</f>
        <v>0</v>
      </c>
      <c r="B208" s="48">
        <f>'Adani Enterprises'!B208</f>
        <v>0</v>
      </c>
      <c r="C208" s="48">
        <f>'Adani Enterprises'!C208</f>
        <v>0</v>
      </c>
      <c r="D208" s="48">
        <f>'Adani Enterprises'!D208</f>
        <v>0</v>
      </c>
      <c r="E208" s="48">
        <f>'Adani Enterprises'!E208</f>
        <v>0</v>
      </c>
      <c r="F208" s="48">
        <f>'Adani Enterprises'!F208</f>
        <v>0</v>
      </c>
      <c r="G208" s="48">
        <f>'Adani Enterprises'!G208</f>
        <v>0</v>
      </c>
      <c r="H208" s="48">
        <f>'Adani Enterprises'!H208</f>
        <v>0</v>
      </c>
      <c r="I208" s="48">
        <f>'Adani Enterprises'!I208</f>
        <v>0</v>
      </c>
      <c r="J208" s="48">
        <f>'Adani Enterprises'!J208</f>
        <v>0</v>
      </c>
      <c r="K208" s="48">
        <f>'Adani Enterprises'!K208</f>
        <v>0</v>
      </c>
      <c r="L208" s="48">
        <f>'Adani Enterprises'!L208</f>
        <v>0</v>
      </c>
      <c r="M208" s="48">
        <f>'Adani Enterprises'!M208</f>
        <v>0</v>
      </c>
      <c r="N208" s="48">
        <f>'Adani Enterprises'!N208</f>
        <v>0</v>
      </c>
      <c r="O208" s="48">
        <f>'Adani Enterprises'!O208</f>
        <v>0</v>
      </c>
      <c r="P208" s="48">
        <f>'Adani Enterprises'!P208</f>
        <v>0</v>
      </c>
      <c r="Q208" s="48">
        <f>'Adani Enterprises'!Q208</f>
        <v>0</v>
      </c>
      <c r="R208" s="48">
        <f>'Adani Enterprises'!R208</f>
        <v>0</v>
      </c>
      <c r="S208" s="48">
        <f>'Adani Enterprises'!S208</f>
        <v>0</v>
      </c>
      <c r="T208" s="48">
        <f>'Adani Enterprises'!T208</f>
        <v>0</v>
      </c>
      <c r="U208" s="48">
        <f>'Adani Enterprises'!U208</f>
        <v>0</v>
      </c>
      <c r="V208" s="48">
        <f>'Adani Enterprises'!V208</f>
        <v>0</v>
      </c>
      <c r="W208" s="48">
        <f>'Adani Enterprises'!W208</f>
        <v>0</v>
      </c>
      <c r="X208" s="48">
        <f>'Adani Enterprises'!X208</f>
        <v>0</v>
      </c>
      <c r="Y208" s="48">
        <f>'Adani Enterprises'!Y208</f>
        <v>0</v>
      </c>
      <c r="Z208" s="48">
        <f>'Adani Enterprises'!Z208</f>
        <v>0</v>
      </c>
      <c r="AA208" s="48">
        <f>'Adani Enterprises'!AA208</f>
        <v>0</v>
      </c>
      <c r="AB208" s="48">
        <f>'Adani Enterprises'!AB208</f>
        <v>0</v>
      </c>
      <c r="AC208" s="48">
        <f>'Adani Enterprises'!AC208</f>
        <v>0</v>
      </c>
      <c r="AD208" s="48">
        <f>'Adani Enterprises'!AD208</f>
        <v>0</v>
      </c>
      <c r="AE208" s="48">
        <f>'Adani Enterprises'!AE208</f>
        <v>0</v>
      </c>
      <c r="AF208" s="48">
        <f>'Adani Enterprises'!AF208</f>
        <v>0</v>
      </c>
      <c r="AG208" s="48">
        <f>'Adani Enterprises'!AG208</f>
        <v>0</v>
      </c>
      <c r="AH208" s="48">
        <f>'Adani Enterprises'!AH208</f>
        <v>0</v>
      </c>
      <c r="AI208" s="48">
        <f>'Adani Enterprises'!AI208</f>
        <v>0</v>
      </c>
      <c r="AJ208" s="48">
        <f>'Adani Enterprises'!AJ208</f>
        <v>0</v>
      </c>
      <c r="AK208" s="48">
        <f>'Adani Enterprises'!AK208</f>
        <v>0</v>
      </c>
      <c r="AL208" s="48">
        <f>'Adani Enterprises'!AL208</f>
        <v>0</v>
      </c>
    </row>
    <row r="209" customHeight="1" spans="1:38">
      <c r="A209" s="48">
        <f>'Adani Enterprises'!A209</f>
        <v>0</v>
      </c>
      <c r="B209" s="48">
        <f>'Adani Enterprises'!B209</f>
        <v>0</v>
      </c>
      <c r="C209" s="48">
        <f>'Adani Enterprises'!C209</f>
        <v>0</v>
      </c>
      <c r="D209" s="48">
        <f>'Adani Enterprises'!D209</f>
        <v>0</v>
      </c>
      <c r="E209" s="48">
        <f>'Adani Enterprises'!E209</f>
        <v>0</v>
      </c>
      <c r="F209" s="48">
        <f>'Adani Enterprises'!F209</f>
        <v>0</v>
      </c>
      <c r="G209" s="48">
        <f>'Adani Enterprises'!G209</f>
        <v>0</v>
      </c>
      <c r="H209" s="48">
        <f>'Adani Enterprises'!H209</f>
        <v>0</v>
      </c>
      <c r="I209" s="48">
        <f>'Adani Enterprises'!I209</f>
        <v>0</v>
      </c>
      <c r="J209" s="48">
        <f>'Adani Enterprises'!J209</f>
        <v>0</v>
      </c>
      <c r="K209" s="48">
        <f>'Adani Enterprises'!K209</f>
        <v>0</v>
      </c>
      <c r="L209" s="48">
        <f>'Adani Enterprises'!L209</f>
        <v>0</v>
      </c>
      <c r="M209" s="48">
        <f>'Adani Enterprises'!M209</f>
        <v>0</v>
      </c>
      <c r="N209" s="48">
        <f>'Adani Enterprises'!N209</f>
        <v>0</v>
      </c>
      <c r="O209" s="48">
        <f>'Adani Enterprises'!O209</f>
        <v>0</v>
      </c>
      <c r="P209" s="48">
        <f>'Adani Enterprises'!P209</f>
        <v>0</v>
      </c>
      <c r="Q209" s="48">
        <f>'Adani Enterprises'!Q209</f>
        <v>0</v>
      </c>
      <c r="R209" s="48">
        <f>'Adani Enterprises'!R209</f>
        <v>0</v>
      </c>
      <c r="S209" s="48">
        <f>'Adani Enterprises'!S209</f>
        <v>0</v>
      </c>
      <c r="T209" s="48">
        <f>'Adani Enterprises'!T209</f>
        <v>0</v>
      </c>
      <c r="U209" s="48">
        <f>'Adani Enterprises'!U209</f>
        <v>0</v>
      </c>
      <c r="V209" s="48">
        <f>'Adani Enterprises'!V209</f>
        <v>0</v>
      </c>
      <c r="W209" s="48">
        <f>'Adani Enterprises'!W209</f>
        <v>0</v>
      </c>
      <c r="X209" s="48">
        <f>'Adani Enterprises'!X209</f>
        <v>0</v>
      </c>
      <c r="Y209" s="48">
        <f>'Adani Enterprises'!Y209</f>
        <v>0</v>
      </c>
      <c r="Z209" s="48">
        <f>'Adani Enterprises'!Z209</f>
        <v>0</v>
      </c>
      <c r="AA209" s="48">
        <f>'Adani Enterprises'!AA209</f>
        <v>0</v>
      </c>
      <c r="AB209" s="48">
        <f>'Adani Enterprises'!AB209</f>
        <v>0</v>
      </c>
      <c r="AC209" s="48">
        <f>'Adani Enterprises'!AC209</f>
        <v>0</v>
      </c>
      <c r="AD209" s="48">
        <f>'Adani Enterprises'!AD209</f>
        <v>0</v>
      </c>
      <c r="AE209" s="48">
        <f>'Adani Enterprises'!AE209</f>
        <v>0</v>
      </c>
      <c r="AF209" s="48">
        <f>'Adani Enterprises'!AF209</f>
        <v>0</v>
      </c>
      <c r="AG209" s="48">
        <f>'Adani Enterprises'!AG209</f>
        <v>0</v>
      </c>
      <c r="AH209" s="48">
        <f>'Adani Enterprises'!AH209</f>
        <v>0</v>
      </c>
      <c r="AI209" s="48">
        <f>'Adani Enterprises'!AI209</f>
        <v>0</v>
      </c>
      <c r="AJ209" s="48">
        <f>'Adani Enterprises'!AJ209</f>
        <v>0</v>
      </c>
      <c r="AK209" s="48">
        <f>'Adani Enterprises'!AK209</f>
        <v>0</v>
      </c>
      <c r="AL209" s="48">
        <f>'Adani Enterprises'!AL209</f>
        <v>0</v>
      </c>
    </row>
    <row r="210" customHeight="1" spans="1:38">
      <c r="A210" s="48">
        <f>'Adani Enterprises'!A210</f>
        <v>0</v>
      </c>
      <c r="B210" s="48">
        <f>'Adani Enterprises'!B210</f>
        <v>0</v>
      </c>
      <c r="C210" s="48">
        <f>'Adani Enterprises'!C210</f>
        <v>0</v>
      </c>
      <c r="D210" s="48">
        <f>'Adani Enterprises'!D210</f>
        <v>0</v>
      </c>
      <c r="E210" s="48">
        <f>'Adani Enterprises'!E210</f>
        <v>0</v>
      </c>
      <c r="F210" s="48">
        <f>'Adani Enterprises'!F210</f>
        <v>0</v>
      </c>
      <c r="G210" s="48">
        <f>'Adani Enterprises'!G210</f>
        <v>0</v>
      </c>
      <c r="H210" s="48">
        <f>'Adani Enterprises'!H210</f>
        <v>0</v>
      </c>
      <c r="I210" s="48">
        <f>'Adani Enterprises'!I210</f>
        <v>0</v>
      </c>
      <c r="J210" s="48">
        <f>'Adani Enterprises'!J210</f>
        <v>0</v>
      </c>
      <c r="K210" s="48">
        <f>'Adani Enterprises'!K210</f>
        <v>0</v>
      </c>
      <c r="L210" s="48">
        <f>'Adani Enterprises'!L210</f>
        <v>0</v>
      </c>
      <c r="M210" s="48">
        <f>'Adani Enterprises'!M210</f>
        <v>0</v>
      </c>
      <c r="N210" s="48">
        <f>'Adani Enterprises'!N210</f>
        <v>0</v>
      </c>
      <c r="O210" s="48">
        <f>'Adani Enterprises'!O210</f>
        <v>0</v>
      </c>
      <c r="P210" s="48">
        <f>'Adani Enterprises'!P210</f>
        <v>0</v>
      </c>
      <c r="Q210" s="48">
        <f>'Adani Enterprises'!Q210</f>
        <v>0</v>
      </c>
      <c r="R210" s="48">
        <f>'Adani Enterprises'!R210</f>
        <v>0</v>
      </c>
      <c r="S210" s="48">
        <f>'Adani Enterprises'!S210</f>
        <v>0</v>
      </c>
      <c r="T210" s="48">
        <f>'Adani Enterprises'!T210</f>
        <v>0</v>
      </c>
      <c r="U210" s="48">
        <f>'Adani Enterprises'!U210</f>
        <v>0</v>
      </c>
      <c r="V210" s="48">
        <f>'Adani Enterprises'!V210</f>
        <v>0</v>
      </c>
      <c r="W210" s="48">
        <f>'Adani Enterprises'!W210</f>
        <v>0</v>
      </c>
      <c r="X210" s="48">
        <f>'Adani Enterprises'!X210</f>
        <v>0</v>
      </c>
      <c r="Y210" s="48">
        <f>'Adani Enterprises'!Y210</f>
        <v>0</v>
      </c>
      <c r="Z210" s="48">
        <f>'Adani Enterprises'!Z210</f>
        <v>0</v>
      </c>
      <c r="AA210" s="48">
        <f>'Adani Enterprises'!AA210</f>
        <v>0</v>
      </c>
      <c r="AB210" s="48">
        <f>'Adani Enterprises'!AB210</f>
        <v>0</v>
      </c>
      <c r="AC210" s="48">
        <f>'Adani Enterprises'!AC210</f>
        <v>0</v>
      </c>
      <c r="AD210" s="48">
        <f>'Adani Enterprises'!AD210</f>
        <v>0</v>
      </c>
      <c r="AE210" s="48">
        <f>'Adani Enterprises'!AE210</f>
        <v>0</v>
      </c>
      <c r="AF210" s="48">
        <f>'Adani Enterprises'!AF210</f>
        <v>0</v>
      </c>
      <c r="AG210" s="48">
        <f>'Adani Enterprises'!AG210</f>
        <v>0</v>
      </c>
      <c r="AH210" s="48">
        <f>'Adani Enterprises'!AH210</f>
        <v>0</v>
      </c>
      <c r="AI210" s="48">
        <f>'Adani Enterprises'!AI210</f>
        <v>0</v>
      </c>
      <c r="AJ210" s="48">
        <f>'Adani Enterprises'!AJ210</f>
        <v>0</v>
      </c>
      <c r="AK210" s="48">
        <f>'Adani Enterprises'!AK210</f>
        <v>0</v>
      </c>
      <c r="AL210" s="48">
        <f>'Adani Enterprises'!AL210</f>
        <v>0</v>
      </c>
    </row>
    <row r="211" customHeight="1" spans="1:38">
      <c r="A211" s="48">
        <f>'Adani Enterprises'!A211</f>
        <v>0</v>
      </c>
      <c r="B211" s="48">
        <f>'Adani Enterprises'!B211</f>
        <v>0</v>
      </c>
      <c r="C211" s="48">
        <f>'Adani Enterprises'!C211</f>
        <v>0</v>
      </c>
      <c r="D211" s="48">
        <f>'Adani Enterprises'!D211</f>
        <v>0</v>
      </c>
      <c r="E211" s="48">
        <f>'Adani Enterprises'!E211</f>
        <v>0</v>
      </c>
      <c r="F211" s="48">
        <f>'Adani Enterprises'!F211</f>
        <v>0</v>
      </c>
      <c r="G211" s="48">
        <f>'Adani Enterprises'!G211</f>
        <v>0</v>
      </c>
      <c r="H211" s="48">
        <f>'Adani Enterprises'!H211</f>
        <v>0</v>
      </c>
      <c r="I211" s="48">
        <f>'Adani Enterprises'!I211</f>
        <v>0</v>
      </c>
      <c r="J211" s="48">
        <f>'Adani Enterprises'!J211</f>
        <v>0</v>
      </c>
      <c r="K211" s="48">
        <f>'Adani Enterprises'!K211</f>
        <v>0</v>
      </c>
      <c r="L211" s="48">
        <f>'Adani Enterprises'!L211</f>
        <v>0</v>
      </c>
      <c r="M211" s="48">
        <f>'Adani Enterprises'!M211</f>
        <v>0</v>
      </c>
      <c r="N211" s="48">
        <f>'Adani Enterprises'!N211</f>
        <v>0</v>
      </c>
      <c r="O211" s="48">
        <f>'Adani Enterprises'!O211</f>
        <v>0</v>
      </c>
      <c r="P211" s="48">
        <f>'Adani Enterprises'!P211</f>
        <v>0</v>
      </c>
      <c r="Q211" s="48">
        <f>'Adani Enterprises'!Q211</f>
        <v>0</v>
      </c>
      <c r="R211" s="48">
        <f>'Adani Enterprises'!R211</f>
        <v>0</v>
      </c>
      <c r="S211" s="48">
        <f>'Adani Enterprises'!S211</f>
        <v>0</v>
      </c>
      <c r="T211" s="48">
        <f>'Adani Enterprises'!T211</f>
        <v>0</v>
      </c>
      <c r="U211" s="48">
        <f>'Adani Enterprises'!U211</f>
        <v>0</v>
      </c>
      <c r="V211" s="48">
        <f>'Adani Enterprises'!V211</f>
        <v>0</v>
      </c>
      <c r="W211" s="48">
        <f>'Adani Enterprises'!W211</f>
        <v>0</v>
      </c>
      <c r="X211" s="48">
        <f>'Adani Enterprises'!X211</f>
        <v>0</v>
      </c>
      <c r="Y211" s="48">
        <f>'Adani Enterprises'!Y211</f>
        <v>0</v>
      </c>
      <c r="Z211" s="48">
        <f>'Adani Enterprises'!Z211</f>
        <v>0</v>
      </c>
      <c r="AA211" s="48">
        <f>'Adani Enterprises'!AA211</f>
        <v>0</v>
      </c>
      <c r="AB211" s="48">
        <f>'Adani Enterprises'!AB211</f>
        <v>0</v>
      </c>
      <c r="AC211" s="48">
        <f>'Adani Enterprises'!AC211</f>
        <v>0</v>
      </c>
      <c r="AD211" s="48">
        <f>'Adani Enterprises'!AD211</f>
        <v>0</v>
      </c>
      <c r="AE211" s="48">
        <f>'Adani Enterprises'!AE211</f>
        <v>0</v>
      </c>
      <c r="AF211" s="48">
        <f>'Adani Enterprises'!AF211</f>
        <v>0</v>
      </c>
      <c r="AG211" s="48">
        <f>'Adani Enterprises'!AG211</f>
        <v>0</v>
      </c>
      <c r="AH211" s="48">
        <f>'Adani Enterprises'!AH211</f>
        <v>0</v>
      </c>
      <c r="AI211" s="48">
        <f>'Adani Enterprises'!AI211</f>
        <v>0</v>
      </c>
      <c r="AJ211" s="48">
        <f>'Adani Enterprises'!AJ211</f>
        <v>0</v>
      </c>
      <c r="AK211" s="48">
        <f>'Adani Enterprises'!AK211</f>
        <v>0</v>
      </c>
      <c r="AL211" s="48">
        <f>'Adani Enterprises'!AL211</f>
        <v>0</v>
      </c>
    </row>
    <row r="212" customHeight="1" spans="1:38">
      <c r="A212" s="48">
        <f>'Adani Enterprises'!A212</f>
        <v>0</v>
      </c>
      <c r="B212" s="48">
        <f>'Adani Enterprises'!B212</f>
        <v>0</v>
      </c>
      <c r="C212" s="48">
        <f>'Adani Enterprises'!C212</f>
        <v>0</v>
      </c>
      <c r="D212" s="48">
        <f>'Adani Enterprises'!D212</f>
        <v>0</v>
      </c>
      <c r="E212" s="48">
        <f>'Adani Enterprises'!E212</f>
        <v>0</v>
      </c>
      <c r="F212" s="48">
        <f>'Adani Enterprises'!F212</f>
        <v>0</v>
      </c>
      <c r="G212" s="48">
        <f>'Adani Enterprises'!G212</f>
        <v>0</v>
      </c>
      <c r="H212" s="48">
        <f>'Adani Enterprises'!H212</f>
        <v>0</v>
      </c>
      <c r="I212" s="48">
        <f>'Adani Enterprises'!I212</f>
        <v>0</v>
      </c>
      <c r="J212" s="48">
        <f>'Adani Enterprises'!J212</f>
        <v>0</v>
      </c>
      <c r="K212" s="48">
        <f>'Adani Enterprises'!K212</f>
        <v>0</v>
      </c>
      <c r="L212" s="48">
        <f>'Adani Enterprises'!L212</f>
        <v>0</v>
      </c>
      <c r="M212" s="48">
        <f>'Adani Enterprises'!M212</f>
        <v>0</v>
      </c>
      <c r="N212" s="48">
        <f>'Adani Enterprises'!N212</f>
        <v>0</v>
      </c>
      <c r="O212" s="48">
        <f>'Adani Enterprises'!O212</f>
        <v>0</v>
      </c>
      <c r="P212" s="48">
        <f>'Adani Enterprises'!P212</f>
        <v>0</v>
      </c>
      <c r="Q212" s="48">
        <f>'Adani Enterprises'!Q212</f>
        <v>0</v>
      </c>
      <c r="R212" s="48">
        <f>'Adani Enterprises'!R212</f>
        <v>0</v>
      </c>
      <c r="S212" s="48">
        <f>'Adani Enterprises'!S212</f>
        <v>0</v>
      </c>
      <c r="T212" s="48">
        <f>'Adani Enterprises'!T212</f>
        <v>0</v>
      </c>
      <c r="U212" s="48">
        <f>'Adani Enterprises'!U212</f>
        <v>0</v>
      </c>
      <c r="V212" s="48">
        <f>'Adani Enterprises'!V212</f>
        <v>0</v>
      </c>
      <c r="W212" s="48">
        <f>'Adani Enterprises'!W212</f>
        <v>0</v>
      </c>
      <c r="X212" s="48">
        <f>'Adani Enterprises'!X212</f>
        <v>0</v>
      </c>
      <c r="Y212" s="48">
        <f>'Adani Enterprises'!Y212</f>
        <v>0</v>
      </c>
      <c r="Z212" s="48">
        <f>'Adani Enterprises'!Z212</f>
        <v>0</v>
      </c>
      <c r="AA212" s="48">
        <f>'Adani Enterprises'!AA212</f>
        <v>0</v>
      </c>
      <c r="AB212" s="48">
        <f>'Adani Enterprises'!AB212</f>
        <v>0</v>
      </c>
      <c r="AC212" s="48">
        <f>'Adani Enterprises'!AC212</f>
        <v>0</v>
      </c>
      <c r="AD212" s="48">
        <f>'Adani Enterprises'!AD212</f>
        <v>0</v>
      </c>
      <c r="AE212" s="48">
        <f>'Adani Enterprises'!AE212</f>
        <v>0</v>
      </c>
      <c r="AF212" s="48">
        <f>'Adani Enterprises'!AF212</f>
        <v>0</v>
      </c>
      <c r="AG212" s="48">
        <f>'Adani Enterprises'!AG212</f>
        <v>0</v>
      </c>
      <c r="AH212" s="48">
        <f>'Adani Enterprises'!AH212</f>
        <v>0</v>
      </c>
      <c r="AI212" s="48">
        <f>'Adani Enterprises'!AI212</f>
        <v>0</v>
      </c>
      <c r="AJ212" s="48">
        <f>'Adani Enterprises'!AJ212</f>
        <v>0</v>
      </c>
      <c r="AK212" s="48">
        <f>'Adani Enterprises'!AK212</f>
        <v>0</v>
      </c>
      <c r="AL212" s="48">
        <f>'Adani Enterprises'!AL212</f>
        <v>0</v>
      </c>
    </row>
    <row r="213" customHeight="1" spans="1:38">
      <c r="A213" s="48">
        <f>'Adani Enterprises'!A213</f>
        <v>0</v>
      </c>
      <c r="B213" s="48">
        <f>'Adani Enterprises'!B213</f>
        <v>0</v>
      </c>
      <c r="C213" s="48">
        <f>'Adani Enterprises'!C213</f>
        <v>0</v>
      </c>
      <c r="D213" s="48">
        <f>'Adani Enterprises'!D213</f>
        <v>0</v>
      </c>
      <c r="E213" s="48">
        <f>'Adani Enterprises'!E213</f>
        <v>0</v>
      </c>
      <c r="F213" s="48">
        <f>'Adani Enterprises'!F213</f>
        <v>0</v>
      </c>
      <c r="G213" s="48">
        <f>'Adani Enterprises'!G213</f>
        <v>0</v>
      </c>
      <c r="H213" s="48">
        <f>'Adani Enterprises'!H213</f>
        <v>0</v>
      </c>
      <c r="I213" s="48">
        <f>'Adani Enterprises'!I213</f>
        <v>0</v>
      </c>
      <c r="J213" s="48">
        <f>'Adani Enterprises'!J213</f>
        <v>0</v>
      </c>
      <c r="K213" s="48">
        <f>'Adani Enterprises'!K213</f>
        <v>0</v>
      </c>
      <c r="L213" s="48">
        <f>'Adani Enterprises'!L213</f>
        <v>0</v>
      </c>
      <c r="M213" s="48">
        <f>'Adani Enterprises'!M213</f>
        <v>0</v>
      </c>
      <c r="N213" s="48">
        <f>'Adani Enterprises'!N213</f>
        <v>0</v>
      </c>
      <c r="O213" s="48">
        <f>'Adani Enterprises'!O213</f>
        <v>0</v>
      </c>
      <c r="P213" s="48">
        <f>'Adani Enterprises'!P213</f>
        <v>0</v>
      </c>
      <c r="Q213" s="48">
        <f>'Adani Enterprises'!Q213</f>
        <v>0</v>
      </c>
      <c r="R213" s="48">
        <f>'Adani Enterprises'!R213</f>
        <v>0</v>
      </c>
      <c r="S213" s="48">
        <f>'Adani Enterprises'!S213</f>
        <v>0</v>
      </c>
      <c r="T213" s="48">
        <f>'Adani Enterprises'!T213</f>
        <v>0</v>
      </c>
      <c r="U213" s="48">
        <f>'Adani Enterprises'!U213</f>
        <v>0</v>
      </c>
      <c r="V213" s="48">
        <f>'Adani Enterprises'!V213</f>
        <v>0</v>
      </c>
      <c r="W213" s="48">
        <f>'Adani Enterprises'!W213</f>
        <v>0</v>
      </c>
      <c r="X213" s="48">
        <f>'Adani Enterprises'!X213</f>
        <v>0</v>
      </c>
      <c r="Y213" s="48">
        <f>'Adani Enterprises'!Y213</f>
        <v>0</v>
      </c>
      <c r="Z213" s="48">
        <f>'Adani Enterprises'!Z213</f>
        <v>0</v>
      </c>
      <c r="AA213" s="48">
        <f>'Adani Enterprises'!AA213</f>
        <v>0</v>
      </c>
      <c r="AB213" s="48">
        <f>'Adani Enterprises'!AB213</f>
        <v>0</v>
      </c>
      <c r="AC213" s="48">
        <f>'Adani Enterprises'!AC213</f>
        <v>0</v>
      </c>
      <c r="AD213" s="48">
        <f>'Adani Enterprises'!AD213</f>
        <v>0</v>
      </c>
      <c r="AE213" s="48">
        <f>'Adani Enterprises'!AE213</f>
        <v>0</v>
      </c>
      <c r="AF213" s="48">
        <f>'Adani Enterprises'!AF213</f>
        <v>0</v>
      </c>
      <c r="AG213" s="48">
        <f>'Adani Enterprises'!AG213</f>
        <v>0</v>
      </c>
      <c r="AH213" s="48">
        <f>'Adani Enterprises'!AH213</f>
        <v>0</v>
      </c>
      <c r="AI213" s="48">
        <f>'Adani Enterprises'!AI213</f>
        <v>0</v>
      </c>
      <c r="AJ213" s="48">
        <f>'Adani Enterprises'!AJ213</f>
        <v>0</v>
      </c>
      <c r="AK213" s="48">
        <f>'Adani Enterprises'!AK213</f>
        <v>0</v>
      </c>
      <c r="AL213" s="48">
        <f>'Adani Enterprises'!AL213</f>
        <v>0</v>
      </c>
    </row>
    <row r="214" customHeight="1" spans="1:38">
      <c r="A214" s="48">
        <f>'Adani Enterprises'!A214</f>
        <v>0</v>
      </c>
      <c r="B214" s="48">
        <f>'Adani Enterprises'!B214</f>
        <v>0</v>
      </c>
      <c r="C214" s="48">
        <f>'Adani Enterprises'!C214</f>
        <v>0</v>
      </c>
      <c r="D214" s="48">
        <f>'Adani Enterprises'!D214</f>
        <v>0</v>
      </c>
      <c r="E214" s="48">
        <f>'Adani Enterprises'!E214</f>
        <v>0</v>
      </c>
      <c r="F214" s="48">
        <f>'Adani Enterprises'!F214</f>
        <v>0</v>
      </c>
      <c r="G214" s="48">
        <f>'Adani Enterprises'!G214</f>
        <v>0</v>
      </c>
      <c r="H214" s="48">
        <f>'Adani Enterprises'!H214</f>
        <v>0</v>
      </c>
      <c r="I214" s="48">
        <f>'Adani Enterprises'!I214</f>
        <v>0</v>
      </c>
      <c r="J214" s="48">
        <f>'Adani Enterprises'!J214</f>
        <v>0</v>
      </c>
      <c r="K214" s="48">
        <f>'Adani Enterprises'!K214</f>
        <v>0</v>
      </c>
      <c r="L214" s="48">
        <f>'Adani Enterprises'!L214</f>
        <v>0</v>
      </c>
      <c r="M214" s="48">
        <f>'Adani Enterprises'!M214</f>
        <v>0</v>
      </c>
      <c r="N214" s="48">
        <f>'Adani Enterprises'!N214</f>
        <v>0</v>
      </c>
      <c r="O214" s="48">
        <f>'Adani Enterprises'!O214</f>
        <v>0</v>
      </c>
      <c r="P214" s="48">
        <f>'Adani Enterprises'!P214</f>
        <v>0</v>
      </c>
      <c r="Q214" s="48">
        <f>'Adani Enterprises'!Q214</f>
        <v>0</v>
      </c>
      <c r="R214" s="48">
        <f>'Adani Enterprises'!R214</f>
        <v>0</v>
      </c>
      <c r="S214" s="48">
        <f>'Adani Enterprises'!S214</f>
        <v>0</v>
      </c>
      <c r="T214" s="48">
        <f>'Adani Enterprises'!T214</f>
        <v>0</v>
      </c>
      <c r="U214" s="48">
        <f>'Adani Enterprises'!U214</f>
        <v>0</v>
      </c>
      <c r="V214" s="48">
        <f>'Adani Enterprises'!V214</f>
        <v>0</v>
      </c>
      <c r="W214" s="48">
        <f>'Adani Enterprises'!W214</f>
        <v>0</v>
      </c>
      <c r="X214" s="48">
        <f>'Adani Enterprises'!X214</f>
        <v>0</v>
      </c>
      <c r="Y214" s="48">
        <f>'Adani Enterprises'!Y214</f>
        <v>0</v>
      </c>
      <c r="Z214" s="48">
        <f>'Adani Enterprises'!Z214</f>
        <v>0</v>
      </c>
      <c r="AA214" s="48">
        <f>'Adani Enterprises'!AA214</f>
        <v>0</v>
      </c>
      <c r="AB214" s="48">
        <f>'Adani Enterprises'!AB214</f>
        <v>0</v>
      </c>
      <c r="AC214" s="48">
        <f>'Adani Enterprises'!AC214</f>
        <v>0</v>
      </c>
      <c r="AD214" s="48">
        <f>'Adani Enterprises'!AD214</f>
        <v>0</v>
      </c>
      <c r="AE214" s="48">
        <f>'Adani Enterprises'!AE214</f>
        <v>0</v>
      </c>
      <c r="AF214" s="48">
        <f>'Adani Enterprises'!AF214</f>
        <v>0</v>
      </c>
      <c r="AG214" s="48">
        <f>'Adani Enterprises'!AG214</f>
        <v>0</v>
      </c>
      <c r="AH214" s="48">
        <f>'Adani Enterprises'!AH214</f>
        <v>0</v>
      </c>
      <c r="AI214" s="48">
        <f>'Adani Enterprises'!AI214</f>
        <v>0</v>
      </c>
      <c r="AJ214" s="48">
        <f>'Adani Enterprises'!AJ214</f>
        <v>0</v>
      </c>
      <c r="AK214" s="48">
        <f>'Adani Enterprises'!AK214</f>
        <v>0</v>
      </c>
      <c r="AL214" s="48">
        <f>'Adani Enterprises'!AL214</f>
        <v>0</v>
      </c>
    </row>
    <row r="215" customHeight="1" spans="1:38">
      <c r="A215" s="48">
        <f>'Adani Enterprises'!A215</f>
        <v>0</v>
      </c>
      <c r="B215" s="48">
        <f>'Adani Enterprises'!B215</f>
        <v>0</v>
      </c>
      <c r="C215" s="48">
        <f>'Adani Enterprises'!C215</f>
        <v>0</v>
      </c>
      <c r="D215" s="48">
        <f>'Adani Enterprises'!D215</f>
        <v>0</v>
      </c>
      <c r="E215" s="48">
        <f>'Adani Enterprises'!E215</f>
        <v>0</v>
      </c>
      <c r="F215" s="48">
        <f>'Adani Enterprises'!F215</f>
        <v>0</v>
      </c>
      <c r="G215" s="48">
        <f>'Adani Enterprises'!G215</f>
        <v>0</v>
      </c>
      <c r="H215" s="48">
        <f>'Adani Enterprises'!H215</f>
        <v>0</v>
      </c>
      <c r="I215" s="48">
        <f>'Adani Enterprises'!I215</f>
        <v>0</v>
      </c>
      <c r="J215" s="48">
        <f>'Adani Enterprises'!J215</f>
        <v>0</v>
      </c>
      <c r="K215" s="48">
        <f>'Adani Enterprises'!K215</f>
        <v>0</v>
      </c>
      <c r="L215" s="48">
        <f>'Adani Enterprises'!L215</f>
        <v>0</v>
      </c>
      <c r="M215" s="48">
        <f>'Adani Enterprises'!M215</f>
        <v>0</v>
      </c>
      <c r="N215" s="48">
        <f>'Adani Enterprises'!N215</f>
        <v>0</v>
      </c>
      <c r="O215" s="48">
        <f>'Adani Enterprises'!O215</f>
        <v>0</v>
      </c>
      <c r="P215" s="48">
        <f>'Adani Enterprises'!P215</f>
        <v>0</v>
      </c>
      <c r="Q215" s="48">
        <f>'Adani Enterprises'!Q215</f>
        <v>0</v>
      </c>
      <c r="R215" s="48">
        <f>'Adani Enterprises'!R215</f>
        <v>0</v>
      </c>
      <c r="S215" s="48">
        <f>'Adani Enterprises'!S215</f>
        <v>0</v>
      </c>
      <c r="T215" s="48">
        <f>'Adani Enterprises'!T215</f>
        <v>0</v>
      </c>
      <c r="U215" s="48">
        <f>'Adani Enterprises'!U215</f>
        <v>0</v>
      </c>
      <c r="V215" s="48">
        <f>'Adani Enterprises'!V215</f>
        <v>0</v>
      </c>
      <c r="W215" s="48">
        <f>'Adani Enterprises'!W215</f>
        <v>0</v>
      </c>
      <c r="X215" s="48">
        <f>'Adani Enterprises'!X215</f>
        <v>0</v>
      </c>
      <c r="Y215" s="48">
        <f>'Adani Enterprises'!Y215</f>
        <v>0</v>
      </c>
      <c r="Z215" s="48">
        <f>'Adani Enterprises'!Z215</f>
        <v>0</v>
      </c>
      <c r="AA215" s="48">
        <f>'Adani Enterprises'!AA215</f>
        <v>0</v>
      </c>
      <c r="AB215" s="48">
        <f>'Adani Enterprises'!AB215</f>
        <v>0</v>
      </c>
      <c r="AC215" s="48">
        <f>'Adani Enterprises'!AC215</f>
        <v>0</v>
      </c>
      <c r="AD215" s="48">
        <f>'Adani Enterprises'!AD215</f>
        <v>0</v>
      </c>
      <c r="AE215" s="48">
        <f>'Adani Enterprises'!AE215</f>
        <v>0</v>
      </c>
      <c r="AF215" s="48">
        <f>'Adani Enterprises'!AF215</f>
        <v>0</v>
      </c>
      <c r="AG215" s="48">
        <f>'Adani Enterprises'!AG215</f>
        <v>0</v>
      </c>
      <c r="AH215" s="48">
        <f>'Adani Enterprises'!AH215</f>
        <v>0</v>
      </c>
      <c r="AI215" s="48">
        <f>'Adani Enterprises'!AI215</f>
        <v>0</v>
      </c>
      <c r="AJ215" s="48">
        <f>'Adani Enterprises'!AJ215</f>
        <v>0</v>
      </c>
      <c r="AK215" s="48">
        <f>'Adani Enterprises'!AK215</f>
        <v>0</v>
      </c>
      <c r="AL215" s="48">
        <f>'Adani Enterprises'!AL215</f>
        <v>0</v>
      </c>
    </row>
    <row r="216" customHeight="1" spans="1:38">
      <c r="A216" s="48">
        <f>'Adani Enterprises'!A216</f>
        <v>0</v>
      </c>
      <c r="B216" s="48">
        <f>'Adani Enterprises'!B216</f>
        <v>0</v>
      </c>
      <c r="C216" s="48">
        <f>'Adani Enterprises'!C216</f>
        <v>0</v>
      </c>
      <c r="D216" s="48">
        <f>'Adani Enterprises'!D216</f>
        <v>0</v>
      </c>
      <c r="E216" s="48">
        <f>'Adani Enterprises'!E216</f>
        <v>0</v>
      </c>
      <c r="F216" s="48">
        <f>'Adani Enterprises'!F216</f>
        <v>0</v>
      </c>
      <c r="G216" s="48">
        <f>'Adani Enterprises'!G216</f>
        <v>0</v>
      </c>
      <c r="H216" s="48">
        <f>'Adani Enterprises'!H216</f>
        <v>0</v>
      </c>
      <c r="I216" s="48">
        <f>'Adani Enterprises'!I216</f>
        <v>0</v>
      </c>
      <c r="J216" s="48">
        <f>'Adani Enterprises'!J216</f>
        <v>0</v>
      </c>
      <c r="K216" s="48">
        <f>'Adani Enterprises'!K216</f>
        <v>0</v>
      </c>
      <c r="L216" s="48">
        <f>'Adani Enterprises'!L216</f>
        <v>0</v>
      </c>
      <c r="M216" s="48">
        <f>'Adani Enterprises'!M216</f>
        <v>0</v>
      </c>
      <c r="N216" s="48">
        <f>'Adani Enterprises'!N216</f>
        <v>0</v>
      </c>
      <c r="O216" s="48">
        <f>'Adani Enterprises'!O216</f>
        <v>0</v>
      </c>
      <c r="P216" s="48">
        <f>'Adani Enterprises'!P216</f>
        <v>0</v>
      </c>
      <c r="Q216" s="48">
        <f>'Adani Enterprises'!Q216</f>
        <v>0</v>
      </c>
      <c r="R216" s="48">
        <f>'Adani Enterprises'!R216</f>
        <v>0</v>
      </c>
      <c r="S216" s="48">
        <f>'Adani Enterprises'!S216</f>
        <v>0</v>
      </c>
      <c r="T216" s="48">
        <f>'Adani Enterprises'!T216</f>
        <v>0</v>
      </c>
      <c r="U216" s="48">
        <f>'Adani Enterprises'!U216</f>
        <v>0</v>
      </c>
      <c r="V216" s="48">
        <f>'Adani Enterprises'!V216</f>
        <v>0</v>
      </c>
      <c r="W216" s="48">
        <f>'Adani Enterprises'!W216</f>
        <v>0</v>
      </c>
      <c r="X216" s="48">
        <f>'Adani Enterprises'!X216</f>
        <v>0</v>
      </c>
      <c r="Y216" s="48">
        <f>'Adani Enterprises'!Y216</f>
        <v>0</v>
      </c>
      <c r="Z216" s="48">
        <f>'Adani Enterprises'!Z216</f>
        <v>0</v>
      </c>
      <c r="AA216" s="48">
        <f>'Adani Enterprises'!AA216</f>
        <v>0</v>
      </c>
      <c r="AB216" s="48">
        <f>'Adani Enterprises'!AB216</f>
        <v>0</v>
      </c>
      <c r="AC216" s="48">
        <f>'Adani Enterprises'!AC216</f>
        <v>0</v>
      </c>
      <c r="AD216" s="48">
        <f>'Adani Enterprises'!AD216</f>
        <v>0</v>
      </c>
      <c r="AE216" s="48">
        <f>'Adani Enterprises'!AE216</f>
        <v>0</v>
      </c>
      <c r="AF216" s="48">
        <f>'Adani Enterprises'!AF216</f>
        <v>0</v>
      </c>
      <c r="AG216" s="48">
        <f>'Adani Enterprises'!AG216</f>
        <v>0</v>
      </c>
      <c r="AH216" s="48">
        <f>'Adani Enterprises'!AH216</f>
        <v>0</v>
      </c>
      <c r="AI216" s="48">
        <f>'Adani Enterprises'!AI216</f>
        <v>0</v>
      </c>
      <c r="AJ216" s="48">
        <f>'Adani Enterprises'!AJ216</f>
        <v>0</v>
      </c>
      <c r="AK216" s="48">
        <f>'Adani Enterprises'!AK216</f>
        <v>0</v>
      </c>
      <c r="AL216" s="48">
        <f>'Adani Enterprises'!AL216</f>
        <v>0</v>
      </c>
    </row>
    <row r="217" customHeight="1" spans="1:38">
      <c r="A217" s="48">
        <f>'Adani Enterprises'!A217</f>
        <v>0</v>
      </c>
      <c r="B217" s="48">
        <f>'Adani Enterprises'!B217</f>
        <v>0</v>
      </c>
      <c r="C217" s="48">
        <f>'Adani Enterprises'!C217</f>
        <v>0</v>
      </c>
      <c r="D217" s="48">
        <f>'Adani Enterprises'!D217</f>
        <v>0</v>
      </c>
      <c r="E217" s="48">
        <f>'Adani Enterprises'!E217</f>
        <v>0</v>
      </c>
      <c r="F217" s="48">
        <f>'Adani Enterprises'!F217</f>
        <v>0</v>
      </c>
      <c r="G217" s="48">
        <f>'Adani Enterprises'!G217</f>
        <v>0</v>
      </c>
      <c r="H217" s="48">
        <f>'Adani Enterprises'!H217</f>
        <v>0</v>
      </c>
      <c r="I217" s="48">
        <f>'Adani Enterprises'!I217</f>
        <v>0</v>
      </c>
      <c r="J217" s="48">
        <f>'Adani Enterprises'!J217</f>
        <v>0</v>
      </c>
      <c r="K217" s="48">
        <f>'Adani Enterprises'!K217</f>
        <v>0</v>
      </c>
      <c r="L217" s="48">
        <f>'Adani Enterprises'!L217</f>
        <v>0</v>
      </c>
      <c r="M217" s="48">
        <f>'Adani Enterprises'!M217</f>
        <v>0</v>
      </c>
      <c r="N217" s="48">
        <f>'Adani Enterprises'!N217</f>
        <v>0</v>
      </c>
      <c r="O217" s="48">
        <f>'Adani Enterprises'!O217</f>
        <v>0</v>
      </c>
      <c r="P217" s="48">
        <f>'Adani Enterprises'!P217</f>
        <v>0</v>
      </c>
      <c r="Q217" s="48">
        <f>'Adani Enterprises'!Q217</f>
        <v>0</v>
      </c>
      <c r="R217" s="48">
        <f>'Adani Enterprises'!R217</f>
        <v>0</v>
      </c>
      <c r="S217" s="48">
        <f>'Adani Enterprises'!S217</f>
        <v>0</v>
      </c>
      <c r="T217" s="48">
        <f>'Adani Enterprises'!T217</f>
        <v>0</v>
      </c>
      <c r="U217" s="48">
        <f>'Adani Enterprises'!U217</f>
        <v>0</v>
      </c>
      <c r="V217" s="48">
        <f>'Adani Enterprises'!V217</f>
        <v>0</v>
      </c>
      <c r="W217" s="48">
        <f>'Adani Enterprises'!W217</f>
        <v>0</v>
      </c>
      <c r="X217" s="48">
        <f>'Adani Enterprises'!X217</f>
        <v>0</v>
      </c>
      <c r="Y217" s="48">
        <f>'Adani Enterprises'!Y217</f>
        <v>0</v>
      </c>
      <c r="Z217" s="48">
        <f>'Adani Enterprises'!Z217</f>
        <v>0</v>
      </c>
      <c r="AA217" s="48">
        <f>'Adani Enterprises'!AA217</f>
        <v>0</v>
      </c>
      <c r="AB217" s="48">
        <f>'Adani Enterprises'!AB217</f>
        <v>0</v>
      </c>
      <c r="AC217" s="48">
        <f>'Adani Enterprises'!AC217</f>
        <v>0</v>
      </c>
      <c r="AD217" s="48">
        <f>'Adani Enterprises'!AD217</f>
        <v>0</v>
      </c>
      <c r="AE217" s="48">
        <f>'Adani Enterprises'!AE217</f>
        <v>0</v>
      </c>
      <c r="AF217" s="48">
        <f>'Adani Enterprises'!AF217</f>
        <v>0</v>
      </c>
      <c r="AG217" s="48">
        <f>'Adani Enterprises'!AG217</f>
        <v>0</v>
      </c>
      <c r="AH217" s="48">
        <f>'Adani Enterprises'!AH217</f>
        <v>0</v>
      </c>
      <c r="AI217" s="48">
        <f>'Adani Enterprises'!AI217</f>
        <v>0</v>
      </c>
      <c r="AJ217" s="48">
        <f>'Adani Enterprises'!AJ217</f>
        <v>0</v>
      </c>
      <c r="AK217" s="48">
        <f>'Adani Enterprises'!AK217</f>
        <v>0</v>
      </c>
      <c r="AL217" s="48">
        <f>'Adani Enterprises'!AL217</f>
        <v>0</v>
      </c>
    </row>
    <row r="218" customHeight="1" spans="1:38">
      <c r="A218" s="48">
        <f>'Adani Enterprises'!A218</f>
        <v>0</v>
      </c>
      <c r="B218" s="48">
        <f>'Adani Enterprises'!B218</f>
        <v>0</v>
      </c>
      <c r="C218" s="48">
        <f>'Adani Enterprises'!C218</f>
        <v>0</v>
      </c>
      <c r="D218" s="48">
        <f>'Adani Enterprises'!D218</f>
        <v>0</v>
      </c>
      <c r="E218" s="48">
        <f>'Adani Enterprises'!E218</f>
        <v>0</v>
      </c>
      <c r="F218" s="48">
        <f>'Adani Enterprises'!F218</f>
        <v>0</v>
      </c>
      <c r="G218" s="48">
        <f>'Adani Enterprises'!G218</f>
        <v>0</v>
      </c>
      <c r="H218" s="48">
        <f>'Adani Enterprises'!H218</f>
        <v>0</v>
      </c>
      <c r="I218" s="48">
        <f>'Adani Enterprises'!I218</f>
        <v>0</v>
      </c>
      <c r="J218" s="48">
        <f>'Adani Enterprises'!J218</f>
        <v>0</v>
      </c>
      <c r="K218" s="48">
        <f>'Adani Enterprises'!K218</f>
        <v>0</v>
      </c>
      <c r="L218" s="48">
        <f>'Adani Enterprises'!L218</f>
        <v>0</v>
      </c>
      <c r="M218" s="48">
        <f>'Adani Enterprises'!M218</f>
        <v>0</v>
      </c>
      <c r="N218" s="48">
        <f>'Adani Enterprises'!N218</f>
        <v>0</v>
      </c>
      <c r="O218" s="48">
        <f>'Adani Enterprises'!O218</f>
        <v>0</v>
      </c>
      <c r="P218" s="48">
        <f>'Adani Enterprises'!P218</f>
        <v>0</v>
      </c>
      <c r="Q218" s="48">
        <f>'Adani Enterprises'!Q218</f>
        <v>0</v>
      </c>
      <c r="R218" s="48">
        <f>'Adani Enterprises'!R218</f>
        <v>0</v>
      </c>
      <c r="S218" s="48">
        <f>'Adani Enterprises'!S218</f>
        <v>0</v>
      </c>
      <c r="T218" s="48">
        <f>'Adani Enterprises'!T218</f>
        <v>0</v>
      </c>
      <c r="U218" s="48">
        <f>'Adani Enterprises'!U218</f>
        <v>0</v>
      </c>
      <c r="V218" s="48">
        <f>'Adani Enterprises'!V218</f>
        <v>0</v>
      </c>
      <c r="W218" s="48">
        <f>'Adani Enterprises'!W218</f>
        <v>0</v>
      </c>
      <c r="X218" s="48">
        <f>'Adani Enterprises'!X218</f>
        <v>0</v>
      </c>
      <c r="Y218" s="48">
        <f>'Adani Enterprises'!Y218</f>
        <v>0</v>
      </c>
      <c r="Z218" s="48">
        <f>'Adani Enterprises'!Z218</f>
        <v>0</v>
      </c>
      <c r="AA218" s="48">
        <f>'Adani Enterprises'!AA218</f>
        <v>0</v>
      </c>
      <c r="AB218" s="48">
        <f>'Adani Enterprises'!AB218</f>
        <v>0</v>
      </c>
      <c r="AC218" s="48">
        <f>'Adani Enterprises'!AC218</f>
        <v>0</v>
      </c>
      <c r="AD218" s="48">
        <f>'Adani Enterprises'!AD218</f>
        <v>0</v>
      </c>
      <c r="AE218" s="48">
        <f>'Adani Enterprises'!AE218</f>
        <v>0</v>
      </c>
      <c r="AF218" s="48">
        <f>'Adani Enterprises'!AF218</f>
        <v>0</v>
      </c>
      <c r="AG218" s="48">
        <f>'Adani Enterprises'!AG218</f>
        <v>0</v>
      </c>
      <c r="AH218" s="48">
        <f>'Adani Enterprises'!AH218</f>
        <v>0</v>
      </c>
      <c r="AI218" s="48">
        <f>'Adani Enterprises'!AI218</f>
        <v>0</v>
      </c>
      <c r="AJ218" s="48">
        <f>'Adani Enterprises'!AJ218</f>
        <v>0</v>
      </c>
      <c r="AK218" s="48">
        <f>'Adani Enterprises'!AK218</f>
        <v>0</v>
      </c>
      <c r="AL218" s="48">
        <f>'Adani Enterprises'!AL218</f>
        <v>0</v>
      </c>
    </row>
    <row r="219" customHeight="1" spans="1:38">
      <c r="A219" s="48">
        <f>'Adani Enterprises'!A219</f>
        <v>0</v>
      </c>
      <c r="B219" s="48">
        <f>'Adani Enterprises'!B219</f>
        <v>0</v>
      </c>
      <c r="C219" s="48">
        <f>'Adani Enterprises'!C219</f>
        <v>0</v>
      </c>
      <c r="D219" s="48">
        <f>'Adani Enterprises'!D219</f>
        <v>0</v>
      </c>
      <c r="E219" s="48">
        <f>'Adani Enterprises'!E219</f>
        <v>0</v>
      </c>
      <c r="F219" s="48">
        <f>'Adani Enterprises'!F219</f>
        <v>0</v>
      </c>
      <c r="G219" s="48">
        <f>'Adani Enterprises'!G219</f>
        <v>0</v>
      </c>
      <c r="H219" s="48">
        <f>'Adani Enterprises'!H219</f>
        <v>0</v>
      </c>
      <c r="I219" s="48">
        <f>'Adani Enterprises'!I219</f>
        <v>0</v>
      </c>
      <c r="J219" s="48">
        <f>'Adani Enterprises'!J219</f>
        <v>0</v>
      </c>
      <c r="K219" s="48">
        <f>'Adani Enterprises'!K219</f>
        <v>0</v>
      </c>
      <c r="L219" s="48">
        <f>'Adani Enterprises'!L219</f>
        <v>0</v>
      </c>
      <c r="M219" s="48">
        <f>'Adani Enterprises'!M219</f>
        <v>0</v>
      </c>
      <c r="N219" s="48">
        <f>'Adani Enterprises'!N219</f>
        <v>0</v>
      </c>
      <c r="O219" s="48">
        <f>'Adani Enterprises'!O219</f>
        <v>0</v>
      </c>
      <c r="P219" s="48">
        <f>'Adani Enterprises'!P219</f>
        <v>0</v>
      </c>
      <c r="Q219" s="48">
        <f>'Adani Enterprises'!Q219</f>
        <v>0</v>
      </c>
      <c r="R219" s="48">
        <f>'Adani Enterprises'!R219</f>
        <v>0</v>
      </c>
      <c r="S219" s="48">
        <f>'Adani Enterprises'!S219</f>
        <v>0</v>
      </c>
      <c r="T219" s="48">
        <f>'Adani Enterprises'!T219</f>
        <v>0</v>
      </c>
      <c r="U219" s="48">
        <f>'Adani Enterprises'!U219</f>
        <v>0</v>
      </c>
      <c r="V219" s="48">
        <f>'Adani Enterprises'!V219</f>
        <v>0</v>
      </c>
      <c r="W219" s="48">
        <f>'Adani Enterprises'!W219</f>
        <v>0</v>
      </c>
      <c r="X219" s="48">
        <f>'Adani Enterprises'!X219</f>
        <v>0</v>
      </c>
      <c r="Y219" s="48">
        <f>'Adani Enterprises'!Y219</f>
        <v>0</v>
      </c>
      <c r="Z219" s="48">
        <f>'Adani Enterprises'!Z219</f>
        <v>0</v>
      </c>
      <c r="AA219" s="48">
        <f>'Adani Enterprises'!AA219</f>
        <v>0</v>
      </c>
      <c r="AB219" s="48">
        <f>'Adani Enterprises'!AB219</f>
        <v>0</v>
      </c>
      <c r="AC219" s="48">
        <f>'Adani Enterprises'!AC219</f>
        <v>0</v>
      </c>
      <c r="AD219" s="48">
        <f>'Adani Enterprises'!AD219</f>
        <v>0</v>
      </c>
      <c r="AE219" s="48">
        <f>'Adani Enterprises'!AE219</f>
        <v>0</v>
      </c>
      <c r="AF219" s="48">
        <f>'Adani Enterprises'!AF219</f>
        <v>0</v>
      </c>
      <c r="AG219" s="48">
        <f>'Adani Enterprises'!AG219</f>
        <v>0</v>
      </c>
      <c r="AH219" s="48">
        <f>'Adani Enterprises'!AH219</f>
        <v>0</v>
      </c>
      <c r="AI219" s="48">
        <f>'Adani Enterprises'!AI219</f>
        <v>0</v>
      </c>
      <c r="AJ219" s="48">
        <f>'Adani Enterprises'!AJ219</f>
        <v>0</v>
      </c>
      <c r="AK219" s="48">
        <f>'Adani Enterprises'!AK219</f>
        <v>0</v>
      </c>
      <c r="AL219" s="48">
        <f>'Adani Enterprises'!AL219</f>
        <v>0</v>
      </c>
    </row>
    <row r="220" customHeight="1" spans="1:38">
      <c r="A220" s="48">
        <f>'Adani Enterprises'!A220</f>
        <v>0</v>
      </c>
      <c r="B220" s="48">
        <f>'Adani Enterprises'!B220</f>
        <v>0</v>
      </c>
      <c r="C220" s="48">
        <f>'Adani Enterprises'!C220</f>
        <v>0</v>
      </c>
      <c r="D220" s="48">
        <f>'Adani Enterprises'!D220</f>
        <v>0</v>
      </c>
      <c r="E220" s="48">
        <f>'Adani Enterprises'!E220</f>
        <v>0</v>
      </c>
      <c r="F220" s="48">
        <f>'Adani Enterprises'!F220</f>
        <v>0</v>
      </c>
      <c r="G220" s="48">
        <f>'Adani Enterprises'!G220</f>
        <v>0</v>
      </c>
      <c r="H220" s="48">
        <f>'Adani Enterprises'!H220</f>
        <v>0</v>
      </c>
      <c r="I220" s="48">
        <f>'Adani Enterprises'!I220</f>
        <v>0</v>
      </c>
      <c r="J220" s="48">
        <f>'Adani Enterprises'!J220</f>
        <v>0</v>
      </c>
      <c r="K220" s="48">
        <f>'Adani Enterprises'!K220</f>
        <v>0</v>
      </c>
      <c r="L220" s="48">
        <f>'Adani Enterprises'!L220</f>
        <v>0</v>
      </c>
      <c r="M220" s="48">
        <f>'Adani Enterprises'!M220</f>
        <v>0</v>
      </c>
      <c r="N220" s="48">
        <f>'Adani Enterprises'!N220</f>
        <v>0</v>
      </c>
      <c r="O220" s="48">
        <f>'Adani Enterprises'!O220</f>
        <v>0</v>
      </c>
      <c r="P220" s="48">
        <f>'Adani Enterprises'!P220</f>
        <v>0</v>
      </c>
      <c r="Q220" s="48">
        <f>'Adani Enterprises'!Q220</f>
        <v>0</v>
      </c>
      <c r="R220" s="48">
        <f>'Adani Enterprises'!R220</f>
        <v>0</v>
      </c>
      <c r="S220" s="48">
        <f>'Adani Enterprises'!S220</f>
        <v>0</v>
      </c>
      <c r="T220" s="48">
        <f>'Adani Enterprises'!T220</f>
        <v>0</v>
      </c>
      <c r="U220" s="48">
        <f>'Adani Enterprises'!U220</f>
        <v>0</v>
      </c>
      <c r="V220" s="48">
        <f>'Adani Enterprises'!V220</f>
        <v>0</v>
      </c>
      <c r="W220" s="48">
        <f>'Adani Enterprises'!W220</f>
        <v>0</v>
      </c>
      <c r="X220" s="48">
        <f>'Adani Enterprises'!X220</f>
        <v>0</v>
      </c>
      <c r="Y220" s="48">
        <f>'Adani Enterprises'!Y220</f>
        <v>0</v>
      </c>
      <c r="Z220" s="48">
        <f>'Adani Enterprises'!Z220</f>
        <v>0</v>
      </c>
      <c r="AA220" s="48">
        <f>'Adani Enterprises'!AA220</f>
        <v>0</v>
      </c>
      <c r="AB220" s="48">
        <f>'Adani Enterprises'!AB220</f>
        <v>0</v>
      </c>
      <c r="AC220" s="48">
        <f>'Adani Enterprises'!AC220</f>
        <v>0</v>
      </c>
      <c r="AD220" s="48">
        <f>'Adani Enterprises'!AD220</f>
        <v>0</v>
      </c>
      <c r="AE220" s="48">
        <f>'Adani Enterprises'!AE220</f>
        <v>0</v>
      </c>
      <c r="AF220" s="48">
        <f>'Adani Enterprises'!AF220</f>
        <v>0</v>
      </c>
      <c r="AG220" s="48">
        <f>'Adani Enterprises'!AG220</f>
        <v>0</v>
      </c>
      <c r="AH220" s="48">
        <f>'Adani Enterprises'!AH220</f>
        <v>0</v>
      </c>
      <c r="AI220" s="48">
        <f>'Adani Enterprises'!AI220</f>
        <v>0</v>
      </c>
      <c r="AJ220" s="48">
        <f>'Adani Enterprises'!AJ220</f>
        <v>0</v>
      </c>
      <c r="AK220" s="48">
        <f>'Adani Enterprises'!AK220</f>
        <v>0</v>
      </c>
      <c r="AL220" s="48">
        <f>'Adani Enterprises'!AL220</f>
        <v>0</v>
      </c>
    </row>
    <row r="221" customHeight="1" spans="1:38">
      <c r="A221" s="48">
        <f>'Adani Enterprises'!A221</f>
        <v>0</v>
      </c>
      <c r="B221" s="48">
        <f>'Adani Enterprises'!B221</f>
        <v>0</v>
      </c>
      <c r="C221" s="48">
        <f>'Adani Enterprises'!C221</f>
        <v>0</v>
      </c>
      <c r="D221" s="48">
        <f>'Adani Enterprises'!D221</f>
        <v>0</v>
      </c>
      <c r="E221" s="48">
        <f>'Adani Enterprises'!E221</f>
        <v>0</v>
      </c>
      <c r="F221" s="48">
        <f>'Adani Enterprises'!F221</f>
        <v>0</v>
      </c>
      <c r="G221" s="48">
        <f>'Adani Enterprises'!G221</f>
        <v>0</v>
      </c>
      <c r="H221" s="48">
        <f>'Adani Enterprises'!H221</f>
        <v>0</v>
      </c>
      <c r="I221" s="48">
        <f>'Adani Enterprises'!I221</f>
        <v>0</v>
      </c>
      <c r="J221" s="48">
        <f>'Adani Enterprises'!J221</f>
        <v>0</v>
      </c>
      <c r="K221" s="48">
        <f>'Adani Enterprises'!K221</f>
        <v>0</v>
      </c>
      <c r="L221" s="48">
        <f>'Adani Enterprises'!L221</f>
        <v>0</v>
      </c>
      <c r="M221" s="48">
        <f>'Adani Enterprises'!M221</f>
        <v>0</v>
      </c>
      <c r="N221" s="48">
        <f>'Adani Enterprises'!N221</f>
        <v>0</v>
      </c>
      <c r="O221" s="48">
        <f>'Adani Enterprises'!O221</f>
        <v>0</v>
      </c>
      <c r="P221" s="48">
        <f>'Adani Enterprises'!P221</f>
        <v>0</v>
      </c>
      <c r="Q221" s="48">
        <f>'Adani Enterprises'!Q221</f>
        <v>0</v>
      </c>
      <c r="R221" s="48">
        <f>'Adani Enterprises'!R221</f>
        <v>0</v>
      </c>
      <c r="S221" s="48">
        <f>'Adani Enterprises'!S221</f>
        <v>0</v>
      </c>
      <c r="T221" s="48">
        <f>'Adani Enterprises'!T221</f>
        <v>0</v>
      </c>
      <c r="U221" s="48">
        <f>'Adani Enterprises'!U221</f>
        <v>0</v>
      </c>
      <c r="V221" s="48">
        <f>'Adani Enterprises'!V221</f>
        <v>0</v>
      </c>
      <c r="W221" s="48">
        <f>'Adani Enterprises'!W221</f>
        <v>0</v>
      </c>
      <c r="X221" s="48">
        <f>'Adani Enterprises'!X221</f>
        <v>0</v>
      </c>
      <c r="Y221" s="48">
        <f>'Adani Enterprises'!Y221</f>
        <v>0</v>
      </c>
      <c r="Z221" s="48">
        <f>'Adani Enterprises'!Z221</f>
        <v>0</v>
      </c>
      <c r="AA221" s="48">
        <f>'Adani Enterprises'!AA221</f>
        <v>0</v>
      </c>
      <c r="AB221" s="48">
        <f>'Adani Enterprises'!AB221</f>
        <v>0</v>
      </c>
      <c r="AC221" s="48">
        <f>'Adani Enterprises'!AC221</f>
        <v>0</v>
      </c>
      <c r="AD221" s="48">
        <f>'Adani Enterprises'!AD221</f>
        <v>0</v>
      </c>
      <c r="AE221" s="48">
        <f>'Adani Enterprises'!AE221</f>
        <v>0</v>
      </c>
      <c r="AF221" s="48">
        <f>'Adani Enterprises'!AF221</f>
        <v>0</v>
      </c>
      <c r="AG221" s="48">
        <f>'Adani Enterprises'!AG221</f>
        <v>0</v>
      </c>
      <c r="AH221" s="48">
        <f>'Adani Enterprises'!AH221</f>
        <v>0</v>
      </c>
      <c r="AI221" s="48">
        <f>'Adani Enterprises'!AI221</f>
        <v>0</v>
      </c>
      <c r="AJ221" s="48">
        <f>'Adani Enterprises'!AJ221</f>
        <v>0</v>
      </c>
      <c r="AK221" s="48">
        <f>'Adani Enterprises'!AK221</f>
        <v>0</v>
      </c>
      <c r="AL221" s="48">
        <f>'Adani Enterprises'!AL221</f>
        <v>0</v>
      </c>
    </row>
    <row r="222" customHeight="1" spans="1:38">
      <c r="A222" s="48">
        <f>'Adani Enterprises'!A222</f>
        <v>0</v>
      </c>
      <c r="B222" s="48">
        <f>'Adani Enterprises'!B222</f>
        <v>0</v>
      </c>
      <c r="C222" s="48">
        <f>'Adani Enterprises'!C222</f>
        <v>0</v>
      </c>
      <c r="D222" s="48">
        <f>'Adani Enterprises'!D222</f>
        <v>0</v>
      </c>
      <c r="E222" s="48">
        <f>'Adani Enterprises'!E222</f>
        <v>0</v>
      </c>
      <c r="F222" s="48">
        <f>'Adani Enterprises'!F222</f>
        <v>0</v>
      </c>
      <c r="G222" s="48">
        <f>'Adani Enterprises'!G222</f>
        <v>0</v>
      </c>
      <c r="H222" s="48">
        <f>'Adani Enterprises'!H222</f>
        <v>0</v>
      </c>
      <c r="I222" s="48">
        <f>'Adani Enterprises'!I222</f>
        <v>0</v>
      </c>
      <c r="J222" s="48">
        <f>'Adani Enterprises'!J222</f>
        <v>0</v>
      </c>
      <c r="K222" s="48">
        <f>'Adani Enterprises'!K222</f>
        <v>0</v>
      </c>
      <c r="L222" s="48">
        <f>'Adani Enterprises'!L222</f>
        <v>0</v>
      </c>
      <c r="M222" s="48">
        <f>'Adani Enterprises'!M222</f>
        <v>0</v>
      </c>
      <c r="N222" s="48">
        <f>'Adani Enterprises'!N222</f>
        <v>0</v>
      </c>
      <c r="O222" s="48">
        <f>'Adani Enterprises'!O222</f>
        <v>0</v>
      </c>
      <c r="P222" s="48">
        <f>'Adani Enterprises'!P222</f>
        <v>0</v>
      </c>
      <c r="Q222" s="48">
        <f>'Adani Enterprises'!Q222</f>
        <v>0</v>
      </c>
      <c r="R222" s="48">
        <f>'Adani Enterprises'!R222</f>
        <v>0</v>
      </c>
      <c r="S222" s="48">
        <f>'Adani Enterprises'!S222</f>
        <v>0</v>
      </c>
      <c r="T222" s="48">
        <f>'Adani Enterprises'!T222</f>
        <v>0</v>
      </c>
      <c r="U222" s="48">
        <f>'Adani Enterprises'!U222</f>
        <v>0</v>
      </c>
      <c r="V222" s="48">
        <f>'Adani Enterprises'!V222</f>
        <v>0</v>
      </c>
      <c r="W222" s="48">
        <f>'Adani Enterprises'!W222</f>
        <v>0</v>
      </c>
      <c r="X222" s="48">
        <f>'Adani Enterprises'!X222</f>
        <v>0</v>
      </c>
      <c r="Y222" s="48">
        <f>'Adani Enterprises'!Y222</f>
        <v>0</v>
      </c>
      <c r="Z222" s="48">
        <f>'Adani Enterprises'!Z222</f>
        <v>0</v>
      </c>
      <c r="AA222" s="48">
        <f>'Adani Enterprises'!AA222</f>
        <v>0</v>
      </c>
      <c r="AB222" s="48">
        <f>'Adani Enterprises'!AB222</f>
        <v>0</v>
      </c>
      <c r="AC222" s="48">
        <f>'Adani Enterprises'!AC222</f>
        <v>0</v>
      </c>
      <c r="AD222" s="48">
        <f>'Adani Enterprises'!AD222</f>
        <v>0</v>
      </c>
      <c r="AE222" s="48">
        <f>'Adani Enterprises'!AE222</f>
        <v>0</v>
      </c>
      <c r="AF222" s="48">
        <f>'Adani Enterprises'!AF222</f>
        <v>0</v>
      </c>
      <c r="AG222" s="48">
        <f>'Adani Enterprises'!AG222</f>
        <v>0</v>
      </c>
      <c r="AH222" s="48">
        <f>'Adani Enterprises'!AH222</f>
        <v>0</v>
      </c>
      <c r="AI222" s="48">
        <f>'Adani Enterprises'!AI222</f>
        <v>0</v>
      </c>
      <c r="AJ222" s="48">
        <f>'Adani Enterprises'!AJ222</f>
        <v>0</v>
      </c>
      <c r="AK222" s="48">
        <f>'Adani Enterprises'!AK222</f>
        <v>0</v>
      </c>
      <c r="AL222" s="48">
        <f>'Adani Enterprises'!AL222</f>
        <v>0</v>
      </c>
    </row>
    <row r="223" customHeight="1" spans="1:38">
      <c r="A223" s="48">
        <f>'Adani Enterprises'!A223</f>
        <v>0</v>
      </c>
      <c r="B223" s="48">
        <f>'Adani Enterprises'!B223</f>
        <v>0</v>
      </c>
      <c r="C223" s="48">
        <f>'Adani Enterprises'!C223</f>
        <v>0</v>
      </c>
      <c r="D223" s="48">
        <f>'Adani Enterprises'!D223</f>
        <v>0</v>
      </c>
      <c r="E223" s="48">
        <f>'Adani Enterprises'!E223</f>
        <v>0</v>
      </c>
      <c r="F223" s="48">
        <f>'Adani Enterprises'!F223</f>
        <v>0</v>
      </c>
      <c r="G223" s="48">
        <f>'Adani Enterprises'!G223</f>
        <v>0</v>
      </c>
      <c r="H223" s="48">
        <f>'Adani Enterprises'!H223</f>
        <v>0</v>
      </c>
      <c r="I223" s="48">
        <f>'Adani Enterprises'!I223</f>
        <v>0</v>
      </c>
      <c r="J223" s="48">
        <f>'Adani Enterprises'!J223</f>
        <v>0</v>
      </c>
      <c r="K223" s="48">
        <f>'Adani Enterprises'!K223</f>
        <v>0</v>
      </c>
      <c r="L223" s="48">
        <f>'Adani Enterprises'!L223</f>
        <v>0</v>
      </c>
      <c r="M223" s="48">
        <f>'Adani Enterprises'!M223</f>
        <v>0</v>
      </c>
      <c r="N223" s="48">
        <f>'Adani Enterprises'!N223</f>
        <v>0</v>
      </c>
      <c r="O223" s="48">
        <f>'Adani Enterprises'!O223</f>
        <v>0</v>
      </c>
      <c r="P223" s="48">
        <f>'Adani Enterprises'!P223</f>
        <v>0</v>
      </c>
      <c r="Q223" s="48">
        <f>'Adani Enterprises'!Q223</f>
        <v>0</v>
      </c>
      <c r="R223" s="48">
        <f>'Adani Enterprises'!R223</f>
        <v>0</v>
      </c>
      <c r="S223" s="48">
        <f>'Adani Enterprises'!S223</f>
        <v>0</v>
      </c>
      <c r="T223" s="48">
        <f>'Adani Enterprises'!T223</f>
        <v>0</v>
      </c>
      <c r="U223" s="48">
        <f>'Adani Enterprises'!U223</f>
        <v>0</v>
      </c>
      <c r="V223" s="48">
        <f>'Adani Enterprises'!V223</f>
        <v>0</v>
      </c>
      <c r="W223" s="48">
        <f>'Adani Enterprises'!W223</f>
        <v>0</v>
      </c>
      <c r="X223" s="48">
        <f>'Adani Enterprises'!X223</f>
        <v>0</v>
      </c>
      <c r="Y223" s="48">
        <f>'Adani Enterprises'!Y223</f>
        <v>0</v>
      </c>
      <c r="Z223" s="48">
        <f>'Adani Enterprises'!Z223</f>
        <v>0</v>
      </c>
      <c r="AA223" s="48">
        <f>'Adani Enterprises'!AA223</f>
        <v>0</v>
      </c>
      <c r="AB223" s="48">
        <f>'Adani Enterprises'!AB223</f>
        <v>0</v>
      </c>
      <c r="AC223" s="48">
        <f>'Adani Enterprises'!AC223</f>
        <v>0</v>
      </c>
      <c r="AD223" s="48">
        <f>'Adani Enterprises'!AD223</f>
        <v>0</v>
      </c>
      <c r="AE223" s="48">
        <f>'Adani Enterprises'!AE223</f>
        <v>0</v>
      </c>
      <c r="AF223" s="48">
        <f>'Adani Enterprises'!AF223</f>
        <v>0</v>
      </c>
      <c r="AG223" s="48">
        <f>'Adani Enterprises'!AG223</f>
        <v>0</v>
      </c>
      <c r="AH223" s="48">
        <f>'Adani Enterprises'!AH223</f>
        <v>0</v>
      </c>
      <c r="AI223" s="48">
        <f>'Adani Enterprises'!AI223</f>
        <v>0</v>
      </c>
      <c r="AJ223" s="48">
        <f>'Adani Enterprises'!AJ223</f>
        <v>0</v>
      </c>
      <c r="AK223" s="48">
        <f>'Adani Enterprises'!AK223</f>
        <v>0</v>
      </c>
      <c r="AL223" s="48">
        <f>'Adani Enterprises'!AL223</f>
        <v>0</v>
      </c>
    </row>
    <row r="224" customHeight="1" spans="1:38">
      <c r="A224" s="48">
        <f>'Adani Enterprises'!A224</f>
        <v>0</v>
      </c>
      <c r="B224" s="48">
        <f>'Adani Enterprises'!B224</f>
        <v>0</v>
      </c>
      <c r="C224" s="48">
        <f>'Adani Enterprises'!C224</f>
        <v>0</v>
      </c>
      <c r="D224" s="48">
        <f>'Adani Enterprises'!D224</f>
        <v>0</v>
      </c>
      <c r="E224" s="48">
        <f>'Adani Enterprises'!E224</f>
        <v>0</v>
      </c>
      <c r="F224" s="48">
        <f>'Adani Enterprises'!F224</f>
        <v>0</v>
      </c>
      <c r="G224" s="48">
        <f>'Adani Enterprises'!G224</f>
        <v>0</v>
      </c>
      <c r="H224" s="48">
        <f>'Adani Enterprises'!H224</f>
        <v>0</v>
      </c>
      <c r="I224" s="48">
        <f>'Adani Enterprises'!I224</f>
        <v>0</v>
      </c>
      <c r="J224" s="48">
        <f>'Adani Enterprises'!J224</f>
        <v>0</v>
      </c>
      <c r="K224" s="48">
        <f>'Adani Enterprises'!K224</f>
        <v>0</v>
      </c>
      <c r="L224" s="48">
        <f>'Adani Enterprises'!L224</f>
        <v>0</v>
      </c>
      <c r="M224" s="48">
        <f>'Adani Enterprises'!M224</f>
        <v>0</v>
      </c>
      <c r="N224" s="48">
        <f>'Adani Enterprises'!N224</f>
        <v>0</v>
      </c>
      <c r="O224" s="48">
        <f>'Adani Enterprises'!O224</f>
        <v>0</v>
      </c>
      <c r="P224" s="48">
        <f>'Adani Enterprises'!P224</f>
        <v>0</v>
      </c>
      <c r="Q224" s="48">
        <f>'Adani Enterprises'!Q224</f>
        <v>0</v>
      </c>
      <c r="R224" s="48">
        <f>'Adani Enterprises'!R224</f>
        <v>0</v>
      </c>
      <c r="S224" s="48">
        <f>'Adani Enterprises'!S224</f>
        <v>0</v>
      </c>
      <c r="T224" s="48">
        <f>'Adani Enterprises'!T224</f>
        <v>0</v>
      </c>
      <c r="U224" s="48">
        <f>'Adani Enterprises'!U224</f>
        <v>0</v>
      </c>
      <c r="V224" s="48">
        <f>'Adani Enterprises'!V224</f>
        <v>0</v>
      </c>
      <c r="W224" s="48">
        <f>'Adani Enterprises'!W224</f>
        <v>0</v>
      </c>
      <c r="X224" s="48">
        <f>'Adani Enterprises'!X224</f>
        <v>0</v>
      </c>
      <c r="Y224" s="48">
        <f>'Adani Enterprises'!Y224</f>
        <v>0</v>
      </c>
      <c r="Z224" s="48">
        <f>'Adani Enterprises'!Z224</f>
        <v>0</v>
      </c>
      <c r="AA224" s="48">
        <f>'Adani Enterprises'!AA224</f>
        <v>0</v>
      </c>
      <c r="AB224" s="48">
        <f>'Adani Enterprises'!AB224</f>
        <v>0</v>
      </c>
      <c r="AC224" s="48">
        <f>'Adani Enterprises'!AC224</f>
        <v>0</v>
      </c>
      <c r="AD224" s="48">
        <f>'Adani Enterprises'!AD224</f>
        <v>0</v>
      </c>
      <c r="AE224" s="48">
        <f>'Adani Enterprises'!AE224</f>
        <v>0</v>
      </c>
      <c r="AF224" s="48">
        <f>'Adani Enterprises'!AF224</f>
        <v>0</v>
      </c>
      <c r="AG224" s="48">
        <f>'Adani Enterprises'!AG224</f>
        <v>0</v>
      </c>
      <c r="AH224" s="48">
        <f>'Adani Enterprises'!AH224</f>
        <v>0</v>
      </c>
      <c r="AI224" s="48">
        <f>'Adani Enterprises'!AI224</f>
        <v>0</v>
      </c>
      <c r="AJ224" s="48">
        <f>'Adani Enterprises'!AJ224</f>
        <v>0</v>
      </c>
      <c r="AK224" s="48">
        <f>'Adani Enterprises'!AK224</f>
        <v>0</v>
      </c>
      <c r="AL224" s="48">
        <f>'Adani Enterprises'!AL224</f>
        <v>0</v>
      </c>
    </row>
    <row r="225" customHeight="1" spans="1:38">
      <c r="A225" s="48">
        <f>'Adani Enterprises'!A225</f>
        <v>0</v>
      </c>
      <c r="B225" s="48">
        <f>'Adani Enterprises'!B225</f>
        <v>0</v>
      </c>
      <c r="C225" s="48">
        <f>'Adani Enterprises'!C225</f>
        <v>0</v>
      </c>
      <c r="D225" s="48">
        <f>'Adani Enterprises'!D225</f>
        <v>0</v>
      </c>
      <c r="E225" s="48">
        <f>'Adani Enterprises'!E225</f>
        <v>0</v>
      </c>
      <c r="F225" s="48">
        <f>'Adani Enterprises'!F225</f>
        <v>0</v>
      </c>
      <c r="G225" s="48">
        <f>'Adani Enterprises'!G225</f>
        <v>0</v>
      </c>
      <c r="H225" s="48">
        <f>'Adani Enterprises'!H225</f>
        <v>0</v>
      </c>
      <c r="I225" s="48">
        <f>'Adani Enterprises'!I225</f>
        <v>0</v>
      </c>
      <c r="J225" s="48">
        <f>'Adani Enterprises'!J225</f>
        <v>0</v>
      </c>
      <c r="K225" s="48">
        <f>'Adani Enterprises'!K225</f>
        <v>0</v>
      </c>
      <c r="L225" s="48">
        <f>'Adani Enterprises'!L225</f>
        <v>0</v>
      </c>
      <c r="M225" s="48">
        <f>'Adani Enterprises'!M225</f>
        <v>0</v>
      </c>
      <c r="N225" s="48">
        <f>'Adani Enterprises'!N225</f>
        <v>0</v>
      </c>
      <c r="O225" s="48">
        <f>'Adani Enterprises'!O225</f>
        <v>0</v>
      </c>
      <c r="P225" s="48">
        <f>'Adani Enterprises'!P225</f>
        <v>0</v>
      </c>
      <c r="Q225" s="48">
        <f>'Adani Enterprises'!Q225</f>
        <v>0</v>
      </c>
      <c r="R225" s="48">
        <f>'Adani Enterprises'!R225</f>
        <v>0</v>
      </c>
      <c r="S225" s="48">
        <f>'Adani Enterprises'!S225</f>
        <v>0</v>
      </c>
      <c r="T225" s="48">
        <f>'Adani Enterprises'!T225</f>
        <v>0</v>
      </c>
      <c r="U225" s="48">
        <f>'Adani Enterprises'!U225</f>
        <v>0</v>
      </c>
      <c r="V225" s="48">
        <f>'Adani Enterprises'!V225</f>
        <v>0</v>
      </c>
      <c r="W225" s="48">
        <f>'Adani Enterprises'!W225</f>
        <v>0</v>
      </c>
      <c r="X225" s="48">
        <f>'Adani Enterprises'!X225</f>
        <v>0</v>
      </c>
      <c r="Y225" s="48">
        <f>'Adani Enterprises'!Y225</f>
        <v>0</v>
      </c>
      <c r="Z225" s="48">
        <f>'Adani Enterprises'!Z225</f>
        <v>0</v>
      </c>
      <c r="AA225" s="48">
        <f>'Adani Enterprises'!AA225</f>
        <v>0</v>
      </c>
      <c r="AB225" s="48">
        <f>'Adani Enterprises'!AB225</f>
        <v>0</v>
      </c>
      <c r="AC225" s="48">
        <f>'Adani Enterprises'!AC225</f>
        <v>0</v>
      </c>
      <c r="AD225" s="48">
        <f>'Adani Enterprises'!AD225</f>
        <v>0</v>
      </c>
      <c r="AE225" s="48">
        <f>'Adani Enterprises'!AE225</f>
        <v>0</v>
      </c>
      <c r="AF225" s="48">
        <f>'Adani Enterprises'!AF225</f>
        <v>0</v>
      </c>
      <c r="AG225" s="48">
        <f>'Adani Enterprises'!AG225</f>
        <v>0</v>
      </c>
      <c r="AH225" s="48">
        <f>'Adani Enterprises'!AH225</f>
        <v>0</v>
      </c>
      <c r="AI225" s="48">
        <f>'Adani Enterprises'!AI225</f>
        <v>0</v>
      </c>
      <c r="AJ225" s="48">
        <f>'Adani Enterprises'!AJ225</f>
        <v>0</v>
      </c>
      <c r="AK225" s="48">
        <f>'Adani Enterprises'!AK225</f>
        <v>0</v>
      </c>
      <c r="AL225" s="48">
        <f>'Adani Enterprises'!AL225</f>
        <v>0</v>
      </c>
    </row>
    <row r="226" customHeight="1" spans="1:38">
      <c r="A226" s="48">
        <f>'Adani Enterprises'!A226</f>
        <v>0</v>
      </c>
      <c r="B226" s="48">
        <f>'Adani Enterprises'!B226</f>
        <v>0</v>
      </c>
      <c r="C226" s="48">
        <f>'Adani Enterprises'!C226</f>
        <v>0</v>
      </c>
      <c r="D226" s="48">
        <f>'Adani Enterprises'!D226</f>
        <v>0</v>
      </c>
      <c r="E226" s="48">
        <f>'Adani Enterprises'!E226</f>
        <v>0</v>
      </c>
      <c r="F226" s="48">
        <f>'Adani Enterprises'!F226</f>
        <v>0</v>
      </c>
      <c r="G226" s="48">
        <f>'Adani Enterprises'!G226</f>
        <v>0</v>
      </c>
      <c r="H226" s="48">
        <f>'Adani Enterprises'!H226</f>
        <v>0</v>
      </c>
      <c r="I226" s="48">
        <f>'Adani Enterprises'!I226</f>
        <v>0</v>
      </c>
      <c r="J226" s="48">
        <f>'Adani Enterprises'!J226</f>
        <v>0</v>
      </c>
      <c r="K226" s="48">
        <f>'Adani Enterprises'!K226</f>
        <v>0</v>
      </c>
      <c r="L226" s="48">
        <f>'Adani Enterprises'!L226</f>
        <v>0</v>
      </c>
      <c r="M226" s="48">
        <f>'Adani Enterprises'!M226</f>
        <v>0</v>
      </c>
      <c r="N226" s="48">
        <f>'Adani Enterprises'!N226</f>
        <v>0</v>
      </c>
      <c r="O226" s="48">
        <f>'Adani Enterprises'!O226</f>
        <v>0</v>
      </c>
      <c r="P226" s="48">
        <f>'Adani Enterprises'!P226</f>
        <v>0</v>
      </c>
      <c r="Q226" s="48">
        <f>'Adani Enterprises'!Q226</f>
        <v>0</v>
      </c>
      <c r="R226" s="48">
        <f>'Adani Enterprises'!R226</f>
        <v>0</v>
      </c>
      <c r="S226" s="48">
        <f>'Adani Enterprises'!S226</f>
        <v>0</v>
      </c>
      <c r="T226" s="48">
        <f>'Adani Enterprises'!T226</f>
        <v>0</v>
      </c>
      <c r="U226" s="48">
        <f>'Adani Enterprises'!U226</f>
        <v>0</v>
      </c>
      <c r="V226" s="48">
        <f>'Adani Enterprises'!V226</f>
        <v>0</v>
      </c>
      <c r="W226" s="48">
        <f>'Adani Enterprises'!W226</f>
        <v>0</v>
      </c>
      <c r="X226" s="48">
        <f>'Adani Enterprises'!X226</f>
        <v>0</v>
      </c>
      <c r="Y226" s="48">
        <f>'Adani Enterprises'!Y226</f>
        <v>0</v>
      </c>
      <c r="Z226" s="48">
        <f>'Adani Enterprises'!Z226</f>
        <v>0</v>
      </c>
      <c r="AA226" s="48">
        <f>'Adani Enterprises'!AA226</f>
        <v>0</v>
      </c>
      <c r="AB226" s="48">
        <f>'Adani Enterprises'!AB226</f>
        <v>0</v>
      </c>
      <c r="AC226" s="48">
        <f>'Adani Enterprises'!AC226</f>
        <v>0</v>
      </c>
      <c r="AD226" s="48">
        <f>'Adani Enterprises'!AD226</f>
        <v>0</v>
      </c>
      <c r="AE226" s="48">
        <f>'Adani Enterprises'!AE226</f>
        <v>0</v>
      </c>
      <c r="AF226" s="48">
        <f>'Adani Enterprises'!AF226</f>
        <v>0</v>
      </c>
      <c r="AG226" s="48">
        <f>'Adani Enterprises'!AG226</f>
        <v>0</v>
      </c>
      <c r="AH226" s="48">
        <f>'Adani Enterprises'!AH226</f>
        <v>0</v>
      </c>
      <c r="AI226" s="48">
        <f>'Adani Enterprises'!AI226</f>
        <v>0</v>
      </c>
      <c r="AJ226" s="48">
        <f>'Adani Enterprises'!AJ226</f>
        <v>0</v>
      </c>
      <c r="AK226" s="48">
        <f>'Adani Enterprises'!AK226</f>
        <v>0</v>
      </c>
      <c r="AL226" s="48">
        <f>'Adani Enterprises'!AL226</f>
        <v>0</v>
      </c>
    </row>
    <row r="227" customHeight="1" spans="1:38">
      <c r="A227" s="48">
        <f>'Adani Enterprises'!A227</f>
        <v>0</v>
      </c>
      <c r="B227" s="48">
        <f>'Adani Enterprises'!B227</f>
        <v>0</v>
      </c>
      <c r="C227" s="48">
        <f>'Adani Enterprises'!C227</f>
        <v>0</v>
      </c>
      <c r="D227" s="48">
        <f>'Adani Enterprises'!D227</f>
        <v>0</v>
      </c>
      <c r="E227" s="48">
        <f>'Adani Enterprises'!E227</f>
        <v>0</v>
      </c>
      <c r="F227" s="48">
        <f>'Adani Enterprises'!F227</f>
        <v>0</v>
      </c>
      <c r="G227" s="48">
        <f>'Adani Enterprises'!G227</f>
        <v>0</v>
      </c>
      <c r="H227" s="48">
        <f>'Adani Enterprises'!H227</f>
        <v>0</v>
      </c>
      <c r="I227" s="48">
        <f>'Adani Enterprises'!I227</f>
        <v>0</v>
      </c>
      <c r="J227" s="48">
        <f>'Adani Enterprises'!J227</f>
        <v>0</v>
      </c>
      <c r="K227" s="48">
        <f>'Adani Enterprises'!K227</f>
        <v>0</v>
      </c>
      <c r="L227" s="48">
        <f>'Adani Enterprises'!L227</f>
        <v>0</v>
      </c>
      <c r="M227" s="48">
        <f>'Adani Enterprises'!M227</f>
        <v>0</v>
      </c>
      <c r="N227" s="48">
        <f>'Adani Enterprises'!N227</f>
        <v>0</v>
      </c>
      <c r="O227" s="48">
        <f>'Adani Enterprises'!O227</f>
        <v>0</v>
      </c>
      <c r="P227" s="48">
        <f>'Adani Enterprises'!P227</f>
        <v>0</v>
      </c>
      <c r="Q227" s="48">
        <f>'Adani Enterprises'!Q227</f>
        <v>0</v>
      </c>
      <c r="R227" s="48">
        <f>'Adani Enterprises'!R227</f>
        <v>0</v>
      </c>
      <c r="S227" s="48">
        <f>'Adani Enterprises'!S227</f>
        <v>0</v>
      </c>
      <c r="T227" s="48">
        <f>'Adani Enterprises'!T227</f>
        <v>0</v>
      </c>
      <c r="U227" s="48">
        <f>'Adani Enterprises'!U227</f>
        <v>0</v>
      </c>
      <c r="V227" s="48">
        <f>'Adani Enterprises'!V227</f>
        <v>0</v>
      </c>
      <c r="W227" s="48">
        <f>'Adani Enterprises'!W227</f>
        <v>0</v>
      </c>
      <c r="X227" s="48">
        <f>'Adani Enterprises'!X227</f>
        <v>0</v>
      </c>
      <c r="Y227" s="48">
        <f>'Adani Enterprises'!Y227</f>
        <v>0</v>
      </c>
      <c r="Z227" s="48">
        <f>'Adani Enterprises'!Z227</f>
        <v>0</v>
      </c>
      <c r="AA227" s="48">
        <f>'Adani Enterprises'!AA227</f>
        <v>0</v>
      </c>
      <c r="AB227" s="48">
        <f>'Adani Enterprises'!AB227</f>
        <v>0</v>
      </c>
      <c r="AC227" s="48">
        <f>'Adani Enterprises'!AC227</f>
        <v>0</v>
      </c>
      <c r="AD227" s="48">
        <f>'Adani Enterprises'!AD227</f>
        <v>0</v>
      </c>
      <c r="AE227" s="48">
        <f>'Adani Enterprises'!AE227</f>
        <v>0</v>
      </c>
      <c r="AF227" s="48">
        <f>'Adani Enterprises'!AF227</f>
        <v>0</v>
      </c>
      <c r="AG227" s="48">
        <f>'Adani Enterprises'!AG227</f>
        <v>0</v>
      </c>
      <c r="AH227" s="48">
        <f>'Adani Enterprises'!AH227</f>
        <v>0</v>
      </c>
      <c r="AI227" s="48">
        <f>'Adani Enterprises'!AI227</f>
        <v>0</v>
      </c>
      <c r="AJ227" s="48">
        <f>'Adani Enterprises'!AJ227</f>
        <v>0</v>
      </c>
      <c r="AK227" s="48">
        <f>'Adani Enterprises'!AK227</f>
        <v>0</v>
      </c>
      <c r="AL227" s="48">
        <f>'Adani Enterprises'!AL227</f>
        <v>0</v>
      </c>
    </row>
    <row r="228" customHeight="1" spans="1:38">
      <c r="A228" s="48">
        <f>'Adani Enterprises'!A228</f>
        <v>0</v>
      </c>
      <c r="B228" s="48">
        <f>'Adani Enterprises'!B228</f>
        <v>0</v>
      </c>
      <c r="C228" s="48">
        <f>'Adani Enterprises'!C228</f>
        <v>0</v>
      </c>
      <c r="D228" s="48">
        <f>'Adani Enterprises'!D228</f>
        <v>0</v>
      </c>
      <c r="E228" s="48">
        <f>'Adani Enterprises'!E228</f>
        <v>0</v>
      </c>
      <c r="F228" s="48">
        <f>'Adani Enterprises'!F228</f>
        <v>0</v>
      </c>
      <c r="G228" s="48">
        <f>'Adani Enterprises'!G228</f>
        <v>0</v>
      </c>
      <c r="H228" s="48">
        <f>'Adani Enterprises'!H228</f>
        <v>0</v>
      </c>
      <c r="I228" s="48">
        <f>'Adani Enterprises'!I228</f>
        <v>0</v>
      </c>
      <c r="J228" s="48">
        <f>'Adani Enterprises'!J228</f>
        <v>0</v>
      </c>
      <c r="K228" s="48">
        <f>'Adani Enterprises'!K228</f>
        <v>0</v>
      </c>
      <c r="L228" s="48">
        <f>'Adani Enterprises'!L228</f>
        <v>0</v>
      </c>
      <c r="M228" s="48">
        <f>'Adani Enterprises'!M228</f>
        <v>0</v>
      </c>
      <c r="N228" s="48">
        <f>'Adani Enterprises'!N228</f>
        <v>0</v>
      </c>
      <c r="O228" s="48">
        <f>'Adani Enterprises'!O228</f>
        <v>0</v>
      </c>
      <c r="P228" s="48">
        <f>'Adani Enterprises'!P228</f>
        <v>0</v>
      </c>
      <c r="Q228" s="48">
        <f>'Adani Enterprises'!Q228</f>
        <v>0</v>
      </c>
      <c r="R228" s="48">
        <f>'Adani Enterprises'!R228</f>
        <v>0</v>
      </c>
      <c r="S228" s="48">
        <f>'Adani Enterprises'!S228</f>
        <v>0</v>
      </c>
      <c r="T228" s="48">
        <f>'Adani Enterprises'!T228</f>
        <v>0</v>
      </c>
      <c r="U228" s="48">
        <f>'Adani Enterprises'!U228</f>
        <v>0</v>
      </c>
      <c r="V228" s="48">
        <f>'Adani Enterprises'!V228</f>
        <v>0</v>
      </c>
      <c r="W228" s="48">
        <f>'Adani Enterprises'!W228</f>
        <v>0</v>
      </c>
      <c r="X228" s="48">
        <f>'Adani Enterprises'!X228</f>
        <v>0</v>
      </c>
      <c r="Y228" s="48">
        <f>'Adani Enterprises'!Y228</f>
        <v>0</v>
      </c>
      <c r="Z228" s="48">
        <f>'Adani Enterprises'!Z228</f>
        <v>0</v>
      </c>
      <c r="AA228" s="48">
        <f>'Adani Enterprises'!AA228</f>
        <v>0</v>
      </c>
      <c r="AB228" s="48">
        <f>'Adani Enterprises'!AB228</f>
        <v>0</v>
      </c>
      <c r="AC228" s="48">
        <f>'Adani Enterprises'!AC228</f>
        <v>0</v>
      </c>
      <c r="AD228" s="48">
        <f>'Adani Enterprises'!AD228</f>
        <v>0</v>
      </c>
      <c r="AE228" s="48">
        <f>'Adani Enterprises'!AE228</f>
        <v>0</v>
      </c>
      <c r="AF228" s="48">
        <f>'Adani Enterprises'!AF228</f>
        <v>0</v>
      </c>
      <c r="AG228" s="48">
        <f>'Adani Enterprises'!AG228</f>
        <v>0</v>
      </c>
      <c r="AH228" s="48">
        <f>'Adani Enterprises'!AH228</f>
        <v>0</v>
      </c>
      <c r="AI228" s="48">
        <f>'Adani Enterprises'!AI228</f>
        <v>0</v>
      </c>
      <c r="AJ228" s="48">
        <f>'Adani Enterprises'!AJ228</f>
        <v>0</v>
      </c>
      <c r="AK228" s="48">
        <f>'Adani Enterprises'!AK228</f>
        <v>0</v>
      </c>
      <c r="AL228" s="48">
        <f>'Adani Enterprises'!AL228</f>
        <v>0</v>
      </c>
    </row>
    <row r="229" customHeight="1" spans="1:38">
      <c r="A229" s="48">
        <f>'Adani Enterprises'!A229</f>
        <v>0</v>
      </c>
      <c r="B229" s="48">
        <f>'Adani Enterprises'!B229</f>
        <v>0</v>
      </c>
      <c r="C229" s="48">
        <f>'Adani Enterprises'!C229</f>
        <v>0</v>
      </c>
      <c r="D229" s="48">
        <f>'Adani Enterprises'!D229</f>
        <v>0</v>
      </c>
      <c r="E229" s="48">
        <f>'Adani Enterprises'!E229</f>
        <v>0</v>
      </c>
      <c r="F229" s="48">
        <f>'Adani Enterprises'!F229</f>
        <v>0</v>
      </c>
      <c r="G229" s="48">
        <f>'Adani Enterprises'!G229</f>
        <v>0</v>
      </c>
      <c r="H229" s="48">
        <f>'Adani Enterprises'!H229</f>
        <v>0</v>
      </c>
      <c r="I229" s="48">
        <f>'Adani Enterprises'!I229</f>
        <v>0</v>
      </c>
      <c r="J229" s="48">
        <f>'Adani Enterprises'!J229</f>
        <v>0</v>
      </c>
      <c r="K229" s="48">
        <f>'Adani Enterprises'!K229</f>
        <v>0</v>
      </c>
      <c r="L229" s="48">
        <f>'Adani Enterprises'!L229</f>
        <v>0</v>
      </c>
      <c r="M229" s="48">
        <f>'Adani Enterprises'!M229</f>
        <v>0</v>
      </c>
      <c r="N229" s="48">
        <f>'Adani Enterprises'!N229</f>
        <v>0</v>
      </c>
      <c r="O229" s="48">
        <f>'Adani Enterprises'!O229</f>
        <v>0</v>
      </c>
      <c r="P229" s="48">
        <f>'Adani Enterprises'!P229</f>
        <v>0</v>
      </c>
      <c r="Q229" s="48">
        <f>'Adani Enterprises'!Q229</f>
        <v>0</v>
      </c>
      <c r="R229" s="48">
        <f>'Adani Enterprises'!R229</f>
        <v>0</v>
      </c>
      <c r="S229" s="48">
        <f>'Adani Enterprises'!S229</f>
        <v>0</v>
      </c>
      <c r="T229" s="48">
        <f>'Adani Enterprises'!T229</f>
        <v>0</v>
      </c>
      <c r="U229" s="48">
        <f>'Adani Enterprises'!U229</f>
        <v>0</v>
      </c>
      <c r="V229" s="48">
        <f>'Adani Enterprises'!V229</f>
        <v>0</v>
      </c>
      <c r="W229" s="48">
        <f>'Adani Enterprises'!W229</f>
        <v>0</v>
      </c>
      <c r="X229" s="48">
        <f>'Adani Enterprises'!X229</f>
        <v>0</v>
      </c>
      <c r="Y229" s="48">
        <f>'Adani Enterprises'!Y229</f>
        <v>0</v>
      </c>
      <c r="Z229" s="48">
        <f>'Adani Enterprises'!Z229</f>
        <v>0</v>
      </c>
      <c r="AA229" s="48">
        <f>'Adani Enterprises'!AA229</f>
        <v>0</v>
      </c>
      <c r="AB229" s="48">
        <f>'Adani Enterprises'!AB229</f>
        <v>0</v>
      </c>
      <c r="AC229" s="48">
        <f>'Adani Enterprises'!AC229</f>
        <v>0</v>
      </c>
      <c r="AD229" s="48">
        <f>'Adani Enterprises'!AD229</f>
        <v>0</v>
      </c>
      <c r="AE229" s="48">
        <f>'Adani Enterprises'!AE229</f>
        <v>0</v>
      </c>
      <c r="AF229" s="48">
        <f>'Adani Enterprises'!AF229</f>
        <v>0</v>
      </c>
      <c r="AG229" s="48">
        <f>'Adani Enterprises'!AG229</f>
        <v>0</v>
      </c>
      <c r="AH229" s="48">
        <f>'Adani Enterprises'!AH229</f>
        <v>0</v>
      </c>
      <c r="AI229" s="48">
        <f>'Adani Enterprises'!AI229</f>
        <v>0</v>
      </c>
      <c r="AJ229" s="48">
        <f>'Adani Enterprises'!AJ229</f>
        <v>0</v>
      </c>
      <c r="AK229" s="48">
        <f>'Adani Enterprises'!AK229</f>
        <v>0</v>
      </c>
      <c r="AL229" s="48">
        <f>'Adani Enterprises'!AL229</f>
        <v>0</v>
      </c>
    </row>
    <row r="230" customHeight="1" spans="1:38">
      <c r="A230" s="48">
        <f>'Adani Enterprises'!A230</f>
        <v>0</v>
      </c>
      <c r="B230" s="48">
        <f>'Adani Enterprises'!B230</f>
        <v>0</v>
      </c>
      <c r="C230" s="48">
        <f>'Adani Enterprises'!C230</f>
        <v>0</v>
      </c>
      <c r="D230" s="48">
        <f>'Adani Enterprises'!D230</f>
        <v>0</v>
      </c>
      <c r="E230" s="48">
        <f>'Adani Enterprises'!E230</f>
        <v>0</v>
      </c>
      <c r="F230" s="48">
        <f>'Adani Enterprises'!F230</f>
        <v>0</v>
      </c>
      <c r="G230" s="48">
        <f>'Adani Enterprises'!G230</f>
        <v>0</v>
      </c>
      <c r="H230" s="48">
        <f>'Adani Enterprises'!H230</f>
        <v>0</v>
      </c>
      <c r="I230" s="48">
        <f>'Adani Enterprises'!I230</f>
        <v>0</v>
      </c>
      <c r="J230" s="48">
        <f>'Adani Enterprises'!J230</f>
        <v>0</v>
      </c>
      <c r="K230" s="48">
        <f>'Adani Enterprises'!K230</f>
        <v>0</v>
      </c>
      <c r="L230" s="48">
        <f>'Adani Enterprises'!L230</f>
        <v>0</v>
      </c>
      <c r="M230" s="48">
        <f>'Adani Enterprises'!M230</f>
        <v>0</v>
      </c>
      <c r="N230" s="48">
        <f>'Adani Enterprises'!N230</f>
        <v>0</v>
      </c>
      <c r="O230" s="48">
        <f>'Adani Enterprises'!O230</f>
        <v>0</v>
      </c>
      <c r="P230" s="48">
        <f>'Adani Enterprises'!P230</f>
        <v>0</v>
      </c>
      <c r="Q230" s="48">
        <f>'Adani Enterprises'!Q230</f>
        <v>0</v>
      </c>
      <c r="R230" s="48">
        <f>'Adani Enterprises'!R230</f>
        <v>0</v>
      </c>
      <c r="S230" s="48">
        <f>'Adani Enterprises'!S230</f>
        <v>0</v>
      </c>
      <c r="T230" s="48">
        <f>'Adani Enterprises'!T230</f>
        <v>0</v>
      </c>
      <c r="U230" s="48">
        <f>'Adani Enterprises'!U230</f>
        <v>0</v>
      </c>
      <c r="V230" s="48">
        <f>'Adani Enterprises'!V230</f>
        <v>0</v>
      </c>
      <c r="W230" s="48">
        <f>'Adani Enterprises'!W230</f>
        <v>0</v>
      </c>
      <c r="X230" s="48">
        <f>'Adani Enterprises'!X230</f>
        <v>0</v>
      </c>
      <c r="Y230" s="48">
        <f>'Adani Enterprises'!Y230</f>
        <v>0</v>
      </c>
      <c r="Z230" s="48">
        <f>'Adani Enterprises'!Z230</f>
        <v>0</v>
      </c>
      <c r="AA230" s="48">
        <f>'Adani Enterprises'!AA230</f>
        <v>0</v>
      </c>
      <c r="AB230" s="48">
        <f>'Adani Enterprises'!AB230</f>
        <v>0</v>
      </c>
      <c r="AC230" s="48">
        <f>'Adani Enterprises'!AC230</f>
        <v>0</v>
      </c>
      <c r="AD230" s="48">
        <f>'Adani Enterprises'!AD230</f>
        <v>0</v>
      </c>
      <c r="AE230" s="48">
        <f>'Adani Enterprises'!AE230</f>
        <v>0</v>
      </c>
      <c r="AF230" s="48">
        <f>'Adani Enterprises'!AF230</f>
        <v>0</v>
      </c>
      <c r="AG230" s="48">
        <f>'Adani Enterprises'!AG230</f>
        <v>0</v>
      </c>
      <c r="AH230" s="48">
        <f>'Adani Enterprises'!AH230</f>
        <v>0</v>
      </c>
      <c r="AI230" s="48">
        <f>'Adani Enterprises'!AI230</f>
        <v>0</v>
      </c>
      <c r="AJ230" s="48">
        <f>'Adani Enterprises'!AJ230</f>
        <v>0</v>
      </c>
      <c r="AK230" s="48">
        <f>'Adani Enterprises'!AK230</f>
        <v>0</v>
      </c>
      <c r="AL230" s="48">
        <f>'Adani Enterprises'!AL230</f>
        <v>0</v>
      </c>
    </row>
    <row r="231" customHeight="1" spans="1:38">
      <c r="A231" s="48">
        <f>'Adani Enterprises'!A231</f>
        <v>0</v>
      </c>
      <c r="B231" s="48">
        <f>'Adani Enterprises'!B231</f>
        <v>0</v>
      </c>
      <c r="C231" s="48">
        <f>'Adani Enterprises'!C231</f>
        <v>0</v>
      </c>
      <c r="D231" s="48">
        <f>'Adani Enterprises'!D231</f>
        <v>0</v>
      </c>
      <c r="E231" s="48">
        <f>'Adani Enterprises'!E231</f>
        <v>0</v>
      </c>
      <c r="F231" s="48">
        <f>'Adani Enterprises'!F231</f>
        <v>0</v>
      </c>
      <c r="G231" s="48">
        <f>'Adani Enterprises'!G231</f>
        <v>0</v>
      </c>
      <c r="H231" s="48">
        <f>'Adani Enterprises'!H231</f>
        <v>0</v>
      </c>
      <c r="I231" s="48">
        <f>'Adani Enterprises'!I231</f>
        <v>0</v>
      </c>
      <c r="J231" s="48">
        <f>'Adani Enterprises'!J231</f>
        <v>0</v>
      </c>
      <c r="K231" s="48">
        <f>'Adani Enterprises'!K231</f>
        <v>0</v>
      </c>
      <c r="L231" s="48">
        <f>'Adani Enterprises'!L231</f>
        <v>0</v>
      </c>
      <c r="M231" s="48">
        <f>'Adani Enterprises'!M231</f>
        <v>0</v>
      </c>
      <c r="N231" s="48">
        <f>'Adani Enterprises'!N231</f>
        <v>0</v>
      </c>
      <c r="O231" s="48">
        <f>'Adani Enterprises'!O231</f>
        <v>0</v>
      </c>
      <c r="P231" s="48">
        <f>'Adani Enterprises'!P231</f>
        <v>0</v>
      </c>
      <c r="Q231" s="48">
        <f>'Adani Enterprises'!Q231</f>
        <v>0</v>
      </c>
      <c r="R231" s="48">
        <f>'Adani Enterprises'!R231</f>
        <v>0</v>
      </c>
      <c r="S231" s="48">
        <f>'Adani Enterprises'!S231</f>
        <v>0</v>
      </c>
      <c r="T231" s="48">
        <f>'Adani Enterprises'!T231</f>
        <v>0</v>
      </c>
      <c r="U231" s="48">
        <f>'Adani Enterprises'!U231</f>
        <v>0</v>
      </c>
      <c r="V231" s="48">
        <f>'Adani Enterprises'!V231</f>
        <v>0</v>
      </c>
      <c r="W231" s="48">
        <f>'Adani Enterprises'!W231</f>
        <v>0</v>
      </c>
      <c r="X231" s="48">
        <f>'Adani Enterprises'!X231</f>
        <v>0</v>
      </c>
      <c r="Y231" s="48">
        <f>'Adani Enterprises'!Y231</f>
        <v>0</v>
      </c>
      <c r="Z231" s="48">
        <f>'Adani Enterprises'!Z231</f>
        <v>0</v>
      </c>
      <c r="AA231" s="48">
        <f>'Adani Enterprises'!AA231</f>
        <v>0</v>
      </c>
      <c r="AB231" s="48">
        <f>'Adani Enterprises'!AB231</f>
        <v>0</v>
      </c>
      <c r="AC231" s="48">
        <f>'Adani Enterprises'!AC231</f>
        <v>0</v>
      </c>
      <c r="AD231" s="48">
        <f>'Adani Enterprises'!AD231</f>
        <v>0</v>
      </c>
      <c r="AE231" s="48">
        <f>'Adani Enterprises'!AE231</f>
        <v>0</v>
      </c>
      <c r="AF231" s="48">
        <f>'Adani Enterprises'!AF231</f>
        <v>0</v>
      </c>
      <c r="AG231" s="48">
        <f>'Adani Enterprises'!AG231</f>
        <v>0</v>
      </c>
      <c r="AH231" s="48">
        <f>'Adani Enterprises'!AH231</f>
        <v>0</v>
      </c>
      <c r="AI231" s="48">
        <f>'Adani Enterprises'!AI231</f>
        <v>0</v>
      </c>
      <c r="AJ231" s="48">
        <f>'Adani Enterprises'!AJ231</f>
        <v>0</v>
      </c>
      <c r="AK231" s="48">
        <f>'Adani Enterprises'!AK231</f>
        <v>0</v>
      </c>
      <c r="AL231" s="48">
        <f>'Adani Enterprises'!AL231</f>
        <v>0</v>
      </c>
    </row>
    <row r="232" customHeight="1" spans="1:38">
      <c r="A232" s="48">
        <f>'Adani Enterprises'!A232</f>
        <v>0</v>
      </c>
      <c r="B232" s="48">
        <f>'Adani Enterprises'!B232</f>
        <v>0</v>
      </c>
      <c r="C232" s="48">
        <f>'Adani Enterprises'!C232</f>
        <v>0</v>
      </c>
      <c r="D232" s="48">
        <f>'Adani Enterprises'!D232</f>
        <v>0</v>
      </c>
      <c r="E232" s="48">
        <f>'Adani Enterprises'!E232</f>
        <v>0</v>
      </c>
      <c r="F232" s="48">
        <f>'Adani Enterprises'!F232</f>
        <v>0</v>
      </c>
      <c r="G232" s="48">
        <f>'Adani Enterprises'!G232</f>
        <v>0</v>
      </c>
      <c r="H232" s="48">
        <f>'Adani Enterprises'!H232</f>
        <v>0</v>
      </c>
      <c r="I232" s="48">
        <f>'Adani Enterprises'!I232</f>
        <v>0</v>
      </c>
      <c r="J232" s="48">
        <f>'Adani Enterprises'!J232</f>
        <v>0</v>
      </c>
      <c r="K232" s="48">
        <f>'Adani Enterprises'!K232</f>
        <v>0</v>
      </c>
      <c r="L232" s="48">
        <f>'Adani Enterprises'!L232</f>
        <v>0</v>
      </c>
      <c r="M232" s="48">
        <f>'Adani Enterprises'!M232</f>
        <v>0</v>
      </c>
      <c r="N232" s="48">
        <f>'Adani Enterprises'!N232</f>
        <v>0</v>
      </c>
      <c r="O232" s="48">
        <f>'Adani Enterprises'!O232</f>
        <v>0</v>
      </c>
      <c r="P232" s="48">
        <f>'Adani Enterprises'!P232</f>
        <v>0</v>
      </c>
      <c r="Q232" s="48">
        <f>'Adani Enterprises'!Q232</f>
        <v>0</v>
      </c>
      <c r="R232" s="48">
        <f>'Adani Enterprises'!R232</f>
        <v>0</v>
      </c>
      <c r="S232" s="48">
        <f>'Adani Enterprises'!S232</f>
        <v>0</v>
      </c>
      <c r="T232" s="48">
        <f>'Adani Enterprises'!T232</f>
        <v>0</v>
      </c>
      <c r="U232" s="48">
        <f>'Adani Enterprises'!U232</f>
        <v>0</v>
      </c>
      <c r="V232" s="48">
        <f>'Adani Enterprises'!V232</f>
        <v>0</v>
      </c>
      <c r="W232" s="48">
        <f>'Adani Enterprises'!W232</f>
        <v>0</v>
      </c>
      <c r="X232" s="48">
        <f>'Adani Enterprises'!X232</f>
        <v>0</v>
      </c>
      <c r="Y232" s="48">
        <f>'Adani Enterprises'!Y232</f>
        <v>0</v>
      </c>
      <c r="Z232" s="48">
        <f>'Adani Enterprises'!Z232</f>
        <v>0</v>
      </c>
      <c r="AA232" s="48">
        <f>'Adani Enterprises'!AA232</f>
        <v>0</v>
      </c>
      <c r="AB232" s="48">
        <f>'Adani Enterprises'!AB232</f>
        <v>0</v>
      </c>
      <c r="AC232" s="48">
        <f>'Adani Enterprises'!AC232</f>
        <v>0</v>
      </c>
      <c r="AD232" s="48">
        <f>'Adani Enterprises'!AD232</f>
        <v>0</v>
      </c>
      <c r="AE232" s="48">
        <f>'Adani Enterprises'!AE232</f>
        <v>0</v>
      </c>
      <c r="AF232" s="48">
        <f>'Adani Enterprises'!AF232</f>
        <v>0</v>
      </c>
      <c r="AG232" s="48">
        <f>'Adani Enterprises'!AG232</f>
        <v>0</v>
      </c>
      <c r="AH232" s="48">
        <f>'Adani Enterprises'!AH232</f>
        <v>0</v>
      </c>
      <c r="AI232" s="48">
        <f>'Adani Enterprises'!AI232</f>
        <v>0</v>
      </c>
      <c r="AJ232" s="48">
        <f>'Adani Enterprises'!AJ232</f>
        <v>0</v>
      </c>
      <c r="AK232" s="48">
        <f>'Adani Enterprises'!AK232</f>
        <v>0</v>
      </c>
      <c r="AL232" s="48">
        <f>'Adani Enterprises'!AL232</f>
        <v>0</v>
      </c>
    </row>
    <row r="233" customHeight="1" spans="1:38">
      <c r="A233" s="48">
        <f>'Adani Enterprises'!A233</f>
        <v>0</v>
      </c>
      <c r="B233" s="48">
        <f>'Adani Enterprises'!B233</f>
        <v>0</v>
      </c>
      <c r="C233" s="48">
        <f>'Adani Enterprises'!C233</f>
        <v>0</v>
      </c>
      <c r="D233" s="48">
        <f>'Adani Enterprises'!D233</f>
        <v>0</v>
      </c>
      <c r="E233" s="48">
        <f>'Adani Enterprises'!E233</f>
        <v>0</v>
      </c>
      <c r="F233" s="48">
        <f>'Adani Enterprises'!F233</f>
        <v>0</v>
      </c>
      <c r="G233" s="48">
        <f>'Adani Enterprises'!G233</f>
        <v>0</v>
      </c>
      <c r="H233" s="48">
        <f>'Adani Enterprises'!H233</f>
        <v>0</v>
      </c>
      <c r="I233" s="48">
        <f>'Adani Enterprises'!I233</f>
        <v>0</v>
      </c>
      <c r="J233" s="48">
        <f>'Adani Enterprises'!J233</f>
        <v>0</v>
      </c>
      <c r="K233" s="48">
        <f>'Adani Enterprises'!K233</f>
        <v>0</v>
      </c>
      <c r="L233" s="48">
        <f>'Adani Enterprises'!L233</f>
        <v>0</v>
      </c>
      <c r="M233" s="48">
        <f>'Adani Enterprises'!M233</f>
        <v>0</v>
      </c>
      <c r="N233" s="48">
        <f>'Adani Enterprises'!N233</f>
        <v>0</v>
      </c>
      <c r="O233" s="48">
        <f>'Adani Enterprises'!O233</f>
        <v>0</v>
      </c>
      <c r="P233" s="48">
        <f>'Adani Enterprises'!P233</f>
        <v>0</v>
      </c>
      <c r="Q233" s="48">
        <f>'Adani Enterprises'!Q233</f>
        <v>0</v>
      </c>
      <c r="R233" s="48">
        <f>'Adani Enterprises'!R233</f>
        <v>0</v>
      </c>
      <c r="S233" s="48">
        <f>'Adani Enterprises'!S233</f>
        <v>0</v>
      </c>
      <c r="T233" s="48">
        <f>'Adani Enterprises'!T233</f>
        <v>0</v>
      </c>
      <c r="U233" s="48">
        <f>'Adani Enterprises'!U233</f>
        <v>0</v>
      </c>
      <c r="V233" s="48">
        <f>'Adani Enterprises'!V233</f>
        <v>0</v>
      </c>
      <c r="W233" s="48">
        <f>'Adani Enterprises'!W233</f>
        <v>0</v>
      </c>
      <c r="X233" s="48">
        <f>'Adani Enterprises'!X233</f>
        <v>0</v>
      </c>
      <c r="Y233" s="48">
        <f>'Adani Enterprises'!Y233</f>
        <v>0</v>
      </c>
      <c r="Z233" s="48">
        <f>'Adani Enterprises'!Z233</f>
        <v>0</v>
      </c>
      <c r="AA233" s="48">
        <f>'Adani Enterprises'!AA233</f>
        <v>0</v>
      </c>
      <c r="AB233" s="48">
        <f>'Adani Enterprises'!AB233</f>
        <v>0</v>
      </c>
      <c r="AC233" s="48">
        <f>'Adani Enterprises'!AC233</f>
        <v>0</v>
      </c>
      <c r="AD233" s="48">
        <f>'Adani Enterprises'!AD233</f>
        <v>0</v>
      </c>
      <c r="AE233" s="48">
        <f>'Adani Enterprises'!AE233</f>
        <v>0</v>
      </c>
      <c r="AF233" s="48">
        <f>'Adani Enterprises'!AF233</f>
        <v>0</v>
      </c>
      <c r="AG233" s="48">
        <f>'Adani Enterprises'!AG233</f>
        <v>0</v>
      </c>
      <c r="AH233" s="48">
        <f>'Adani Enterprises'!AH233</f>
        <v>0</v>
      </c>
      <c r="AI233" s="48">
        <f>'Adani Enterprises'!AI233</f>
        <v>0</v>
      </c>
      <c r="AJ233" s="48">
        <f>'Adani Enterprises'!AJ233</f>
        <v>0</v>
      </c>
      <c r="AK233" s="48">
        <f>'Adani Enterprises'!AK233</f>
        <v>0</v>
      </c>
      <c r="AL233" s="48">
        <f>'Adani Enterprises'!AL233</f>
        <v>0</v>
      </c>
    </row>
    <row r="234" customHeight="1" spans="1:38">
      <c r="A234" s="48">
        <f>'Adani Enterprises'!A234</f>
        <v>0</v>
      </c>
      <c r="B234" s="48">
        <f>'Adani Enterprises'!B234</f>
        <v>0</v>
      </c>
      <c r="C234" s="48">
        <f>'Adani Enterprises'!C234</f>
        <v>0</v>
      </c>
      <c r="D234" s="48">
        <f>'Adani Enterprises'!D234</f>
        <v>0</v>
      </c>
      <c r="E234" s="48">
        <f>'Adani Enterprises'!E234</f>
        <v>0</v>
      </c>
      <c r="F234" s="48">
        <f>'Adani Enterprises'!F234</f>
        <v>0</v>
      </c>
      <c r="G234" s="48">
        <f>'Adani Enterprises'!G234</f>
        <v>0</v>
      </c>
      <c r="H234" s="48">
        <f>'Adani Enterprises'!H234</f>
        <v>0</v>
      </c>
      <c r="I234" s="48">
        <f>'Adani Enterprises'!I234</f>
        <v>0</v>
      </c>
      <c r="J234" s="48">
        <f>'Adani Enterprises'!J234</f>
        <v>0</v>
      </c>
      <c r="K234" s="48">
        <f>'Adani Enterprises'!K234</f>
        <v>0</v>
      </c>
      <c r="L234" s="48">
        <f>'Adani Enterprises'!L234</f>
        <v>0</v>
      </c>
      <c r="M234" s="48">
        <f>'Adani Enterprises'!M234</f>
        <v>0</v>
      </c>
      <c r="N234" s="48">
        <f>'Adani Enterprises'!N234</f>
        <v>0</v>
      </c>
      <c r="O234" s="48">
        <f>'Adani Enterprises'!O234</f>
        <v>0</v>
      </c>
      <c r="P234" s="48">
        <f>'Adani Enterprises'!P234</f>
        <v>0</v>
      </c>
      <c r="Q234" s="48">
        <f>'Adani Enterprises'!Q234</f>
        <v>0</v>
      </c>
      <c r="R234" s="48">
        <f>'Adani Enterprises'!R234</f>
        <v>0</v>
      </c>
      <c r="S234" s="48">
        <f>'Adani Enterprises'!S234</f>
        <v>0</v>
      </c>
      <c r="T234" s="48">
        <f>'Adani Enterprises'!T234</f>
        <v>0</v>
      </c>
      <c r="U234" s="48">
        <f>'Adani Enterprises'!U234</f>
        <v>0</v>
      </c>
      <c r="V234" s="48">
        <f>'Adani Enterprises'!V234</f>
        <v>0</v>
      </c>
      <c r="W234" s="48">
        <f>'Adani Enterprises'!W234</f>
        <v>0</v>
      </c>
      <c r="X234" s="48">
        <f>'Adani Enterprises'!X234</f>
        <v>0</v>
      </c>
      <c r="Y234" s="48">
        <f>'Adani Enterprises'!Y234</f>
        <v>0</v>
      </c>
      <c r="Z234" s="48">
        <f>'Adani Enterprises'!Z234</f>
        <v>0</v>
      </c>
      <c r="AA234" s="48">
        <f>'Adani Enterprises'!AA234</f>
        <v>0</v>
      </c>
      <c r="AB234" s="48">
        <f>'Adani Enterprises'!AB234</f>
        <v>0</v>
      </c>
      <c r="AC234" s="48">
        <f>'Adani Enterprises'!AC234</f>
        <v>0</v>
      </c>
      <c r="AD234" s="48">
        <f>'Adani Enterprises'!AD234</f>
        <v>0</v>
      </c>
      <c r="AE234" s="48">
        <f>'Adani Enterprises'!AE234</f>
        <v>0</v>
      </c>
      <c r="AF234" s="48">
        <f>'Adani Enterprises'!AF234</f>
        <v>0</v>
      </c>
      <c r="AG234" s="48">
        <f>'Adani Enterprises'!AG234</f>
        <v>0</v>
      </c>
      <c r="AH234" s="48">
        <f>'Adani Enterprises'!AH234</f>
        <v>0</v>
      </c>
      <c r="AI234" s="48">
        <f>'Adani Enterprises'!AI234</f>
        <v>0</v>
      </c>
      <c r="AJ234" s="48">
        <f>'Adani Enterprises'!AJ234</f>
        <v>0</v>
      </c>
      <c r="AK234" s="48">
        <f>'Adani Enterprises'!AK234</f>
        <v>0</v>
      </c>
      <c r="AL234" s="48">
        <f>'Adani Enterprises'!AL234</f>
        <v>0</v>
      </c>
    </row>
    <row r="235" customHeight="1" spans="1:38">
      <c r="A235" s="48">
        <f>'Adani Enterprises'!A235</f>
        <v>0</v>
      </c>
      <c r="B235" s="48">
        <f>'Adani Enterprises'!B235</f>
        <v>0</v>
      </c>
      <c r="C235" s="48">
        <f>'Adani Enterprises'!C235</f>
        <v>0</v>
      </c>
      <c r="D235" s="48">
        <f>'Adani Enterprises'!D235</f>
        <v>0</v>
      </c>
      <c r="E235" s="48">
        <f>'Adani Enterprises'!E235</f>
        <v>0</v>
      </c>
      <c r="F235" s="48">
        <f>'Adani Enterprises'!F235</f>
        <v>0</v>
      </c>
      <c r="G235" s="48">
        <f>'Adani Enterprises'!G235</f>
        <v>0</v>
      </c>
      <c r="H235" s="48">
        <f>'Adani Enterprises'!H235</f>
        <v>0</v>
      </c>
      <c r="I235" s="48">
        <f>'Adani Enterprises'!I235</f>
        <v>0</v>
      </c>
      <c r="J235" s="48">
        <f>'Adani Enterprises'!J235</f>
        <v>0</v>
      </c>
      <c r="K235" s="48">
        <f>'Adani Enterprises'!K235</f>
        <v>0</v>
      </c>
      <c r="L235" s="48">
        <f>'Adani Enterprises'!L235</f>
        <v>0</v>
      </c>
      <c r="M235" s="48">
        <f>'Adani Enterprises'!M235</f>
        <v>0</v>
      </c>
      <c r="N235" s="48">
        <f>'Adani Enterprises'!N235</f>
        <v>0</v>
      </c>
      <c r="O235" s="48">
        <f>'Adani Enterprises'!O235</f>
        <v>0</v>
      </c>
      <c r="P235" s="48">
        <f>'Adani Enterprises'!P235</f>
        <v>0</v>
      </c>
      <c r="Q235" s="48">
        <f>'Adani Enterprises'!Q235</f>
        <v>0</v>
      </c>
      <c r="R235" s="48">
        <f>'Adani Enterprises'!R235</f>
        <v>0</v>
      </c>
      <c r="S235" s="48">
        <f>'Adani Enterprises'!S235</f>
        <v>0</v>
      </c>
      <c r="T235" s="48">
        <f>'Adani Enterprises'!T235</f>
        <v>0</v>
      </c>
      <c r="U235" s="48">
        <f>'Adani Enterprises'!U235</f>
        <v>0</v>
      </c>
      <c r="V235" s="48">
        <f>'Adani Enterprises'!V235</f>
        <v>0</v>
      </c>
      <c r="W235" s="48">
        <f>'Adani Enterprises'!W235</f>
        <v>0</v>
      </c>
      <c r="X235" s="48">
        <f>'Adani Enterprises'!X235</f>
        <v>0</v>
      </c>
      <c r="Y235" s="48">
        <f>'Adani Enterprises'!Y235</f>
        <v>0</v>
      </c>
      <c r="Z235" s="48">
        <f>'Adani Enterprises'!Z235</f>
        <v>0</v>
      </c>
      <c r="AA235" s="48">
        <f>'Adani Enterprises'!AA235</f>
        <v>0</v>
      </c>
      <c r="AB235" s="48">
        <f>'Adani Enterprises'!AB235</f>
        <v>0</v>
      </c>
      <c r="AC235" s="48">
        <f>'Adani Enterprises'!AC235</f>
        <v>0</v>
      </c>
      <c r="AD235" s="48">
        <f>'Adani Enterprises'!AD235</f>
        <v>0</v>
      </c>
      <c r="AE235" s="48">
        <f>'Adani Enterprises'!AE235</f>
        <v>0</v>
      </c>
      <c r="AF235" s="48">
        <f>'Adani Enterprises'!AF235</f>
        <v>0</v>
      </c>
      <c r="AG235" s="48">
        <f>'Adani Enterprises'!AG235</f>
        <v>0</v>
      </c>
      <c r="AH235" s="48">
        <f>'Adani Enterprises'!AH235</f>
        <v>0</v>
      </c>
      <c r="AI235" s="48">
        <f>'Adani Enterprises'!AI235</f>
        <v>0</v>
      </c>
      <c r="AJ235" s="48">
        <f>'Adani Enterprises'!AJ235</f>
        <v>0</v>
      </c>
      <c r="AK235" s="48">
        <f>'Adani Enterprises'!AK235</f>
        <v>0</v>
      </c>
      <c r="AL235" s="48">
        <f>'Adani Enterprises'!AL235</f>
        <v>0</v>
      </c>
    </row>
    <row r="236" customHeight="1" spans="1:38">
      <c r="A236" s="48">
        <f>'Adani Enterprises'!A236</f>
        <v>0</v>
      </c>
      <c r="B236" s="48">
        <f>'Adani Enterprises'!B236</f>
        <v>0</v>
      </c>
      <c r="C236" s="48">
        <f>'Adani Enterprises'!C236</f>
        <v>0</v>
      </c>
      <c r="D236" s="48">
        <f>'Adani Enterprises'!D236</f>
        <v>0</v>
      </c>
      <c r="E236" s="48">
        <f>'Adani Enterprises'!E236</f>
        <v>0</v>
      </c>
      <c r="F236" s="48">
        <f>'Adani Enterprises'!F236</f>
        <v>0</v>
      </c>
      <c r="G236" s="48">
        <f>'Adani Enterprises'!G236</f>
        <v>0</v>
      </c>
      <c r="H236" s="48">
        <f>'Adani Enterprises'!H236</f>
        <v>0</v>
      </c>
      <c r="I236" s="48">
        <f>'Adani Enterprises'!I236</f>
        <v>0</v>
      </c>
      <c r="J236" s="48">
        <f>'Adani Enterprises'!J236</f>
        <v>0</v>
      </c>
      <c r="K236" s="48">
        <f>'Adani Enterprises'!K236</f>
        <v>0</v>
      </c>
      <c r="L236" s="48">
        <f>'Adani Enterprises'!L236</f>
        <v>0</v>
      </c>
      <c r="M236" s="48">
        <f>'Adani Enterprises'!M236</f>
        <v>0</v>
      </c>
      <c r="N236" s="48">
        <f>'Adani Enterprises'!N236</f>
        <v>0</v>
      </c>
      <c r="O236" s="48">
        <f>'Adani Enterprises'!O236</f>
        <v>0</v>
      </c>
      <c r="P236" s="48">
        <f>'Adani Enterprises'!P236</f>
        <v>0</v>
      </c>
      <c r="Q236" s="48">
        <f>'Adani Enterprises'!Q236</f>
        <v>0</v>
      </c>
      <c r="R236" s="48">
        <f>'Adani Enterprises'!R236</f>
        <v>0</v>
      </c>
      <c r="S236" s="48">
        <f>'Adani Enterprises'!S236</f>
        <v>0</v>
      </c>
      <c r="T236" s="48">
        <f>'Adani Enterprises'!T236</f>
        <v>0</v>
      </c>
      <c r="U236" s="48">
        <f>'Adani Enterprises'!U236</f>
        <v>0</v>
      </c>
      <c r="V236" s="48">
        <f>'Adani Enterprises'!V236</f>
        <v>0</v>
      </c>
      <c r="W236" s="48">
        <f>'Adani Enterprises'!W236</f>
        <v>0</v>
      </c>
      <c r="X236" s="48">
        <f>'Adani Enterprises'!X236</f>
        <v>0</v>
      </c>
      <c r="Y236" s="48">
        <f>'Adani Enterprises'!Y236</f>
        <v>0</v>
      </c>
      <c r="Z236" s="48">
        <f>'Adani Enterprises'!Z236</f>
        <v>0</v>
      </c>
      <c r="AA236" s="48">
        <f>'Adani Enterprises'!AA236</f>
        <v>0</v>
      </c>
      <c r="AB236" s="48">
        <f>'Adani Enterprises'!AB236</f>
        <v>0</v>
      </c>
      <c r="AC236" s="48">
        <f>'Adani Enterprises'!AC236</f>
        <v>0</v>
      </c>
      <c r="AD236" s="48">
        <f>'Adani Enterprises'!AD236</f>
        <v>0</v>
      </c>
      <c r="AE236" s="48">
        <f>'Adani Enterprises'!AE236</f>
        <v>0</v>
      </c>
      <c r="AF236" s="48">
        <f>'Adani Enterprises'!AF236</f>
        <v>0</v>
      </c>
      <c r="AG236" s="48">
        <f>'Adani Enterprises'!AG236</f>
        <v>0</v>
      </c>
      <c r="AH236" s="48">
        <f>'Adani Enterprises'!AH236</f>
        <v>0</v>
      </c>
      <c r="AI236" s="48">
        <f>'Adani Enterprises'!AI236</f>
        <v>0</v>
      </c>
      <c r="AJ236" s="48">
        <f>'Adani Enterprises'!AJ236</f>
        <v>0</v>
      </c>
      <c r="AK236" s="48">
        <f>'Adani Enterprises'!AK236</f>
        <v>0</v>
      </c>
      <c r="AL236" s="48">
        <f>'Adani Enterprises'!AL236</f>
        <v>0</v>
      </c>
    </row>
    <row r="237" customHeight="1" spans="1:38">
      <c r="A237" s="48">
        <f>'Adani Enterprises'!A237</f>
        <v>0</v>
      </c>
      <c r="B237" s="48">
        <f>'Adani Enterprises'!B237</f>
        <v>0</v>
      </c>
      <c r="C237" s="48">
        <f>'Adani Enterprises'!C237</f>
        <v>0</v>
      </c>
      <c r="D237" s="48">
        <f>'Adani Enterprises'!D237</f>
        <v>0</v>
      </c>
      <c r="E237" s="48">
        <f>'Adani Enterprises'!E237</f>
        <v>0</v>
      </c>
      <c r="F237" s="48">
        <f>'Adani Enterprises'!F237</f>
        <v>0</v>
      </c>
      <c r="G237" s="48">
        <f>'Adani Enterprises'!G237</f>
        <v>0</v>
      </c>
      <c r="H237" s="48">
        <f>'Adani Enterprises'!H237</f>
        <v>0</v>
      </c>
      <c r="I237" s="48">
        <f>'Adani Enterprises'!I237</f>
        <v>0</v>
      </c>
      <c r="J237" s="48">
        <f>'Adani Enterprises'!J237</f>
        <v>0</v>
      </c>
      <c r="K237" s="48">
        <f>'Adani Enterprises'!K237</f>
        <v>0</v>
      </c>
      <c r="L237" s="48">
        <f>'Adani Enterprises'!L237</f>
        <v>0</v>
      </c>
      <c r="M237" s="48">
        <f>'Adani Enterprises'!M237</f>
        <v>0</v>
      </c>
      <c r="N237" s="48">
        <f>'Adani Enterprises'!N237</f>
        <v>0</v>
      </c>
      <c r="O237" s="48">
        <f>'Adani Enterprises'!O237</f>
        <v>0</v>
      </c>
      <c r="P237" s="48">
        <f>'Adani Enterprises'!P237</f>
        <v>0</v>
      </c>
      <c r="Q237" s="48">
        <f>'Adani Enterprises'!Q237</f>
        <v>0</v>
      </c>
      <c r="R237" s="48">
        <f>'Adani Enterprises'!R237</f>
        <v>0</v>
      </c>
      <c r="S237" s="48">
        <f>'Adani Enterprises'!S237</f>
        <v>0</v>
      </c>
      <c r="T237" s="48">
        <f>'Adani Enterprises'!T237</f>
        <v>0</v>
      </c>
      <c r="U237" s="48">
        <f>'Adani Enterprises'!U237</f>
        <v>0</v>
      </c>
      <c r="V237" s="48">
        <f>'Adani Enterprises'!V237</f>
        <v>0</v>
      </c>
      <c r="W237" s="48">
        <f>'Adani Enterprises'!W237</f>
        <v>0</v>
      </c>
      <c r="X237" s="48">
        <f>'Adani Enterprises'!X237</f>
        <v>0</v>
      </c>
      <c r="Y237" s="48">
        <f>'Adani Enterprises'!Y237</f>
        <v>0</v>
      </c>
      <c r="Z237" s="48">
        <f>'Adani Enterprises'!Z237</f>
        <v>0</v>
      </c>
      <c r="AA237" s="48">
        <f>'Adani Enterprises'!AA237</f>
        <v>0</v>
      </c>
      <c r="AB237" s="48">
        <f>'Adani Enterprises'!AB237</f>
        <v>0</v>
      </c>
      <c r="AC237" s="48">
        <f>'Adani Enterprises'!AC237</f>
        <v>0</v>
      </c>
      <c r="AD237" s="48">
        <f>'Adani Enterprises'!AD237</f>
        <v>0</v>
      </c>
      <c r="AE237" s="48">
        <f>'Adani Enterprises'!AE237</f>
        <v>0</v>
      </c>
      <c r="AF237" s="48">
        <f>'Adani Enterprises'!AF237</f>
        <v>0</v>
      </c>
      <c r="AG237" s="48">
        <f>'Adani Enterprises'!AG237</f>
        <v>0</v>
      </c>
      <c r="AH237" s="48">
        <f>'Adani Enterprises'!AH237</f>
        <v>0</v>
      </c>
      <c r="AI237" s="48">
        <f>'Adani Enterprises'!AI237</f>
        <v>0</v>
      </c>
      <c r="AJ237" s="48">
        <f>'Adani Enterprises'!AJ237</f>
        <v>0</v>
      </c>
      <c r="AK237" s="48">
        <f>'Adani Enterprises'!AK237</f>
        <v>0</v>
      </c>
      <c r="AL237" s="48">
        <f>'Adani Enterprises'!AL237</f>
        <v>0</v>
      </c>
    </row>
    <row r="238" customHeight="1" spans="1:38">
      <c r="A238" s="48">
        <f>'Adani Enterprises'!A238</f>
        <v>0</v>
      </c>
      <c r="B238" s="48">
        <f>'Adani Enterprises'!B238</f>
        <v>0</v>
      </c>
      <c r="C238" s="48">
        <f>'Adani Enterprises'!C238</f>
        <v>0</v>
      </c>
      <c r="D238" s="48">
        <f>'Adani Enterprises'!D238</f>
        <v>0</v>
      </c>
      <c r="E238" s="48">
        <f>'Adani Enterprises'!E238</f>
        <v>0</v>
      </c>
      <c r="F238" s="48">
        <f>'Adani Enterprises'!F238</f>
        <v>0</v>
      </c>
      <c r="G238" s="48">
        <f>'Adani Enterprises'!G238</f>
        <v>0</v>
      </c>
      <c r="H238" s="48">
        <f>'Adani Enterprises'!H238</f>
        <v>0</v>
      </c>
      <c r="I238" s="48">
        <f>'Adani Enterprises'!I238</f>
        <v>0</v>
      </c>
      <c r="J238" s="48">
        <f>'Adani Enterprises'!J238</f>
        <v>0</v>
      </c>
      <c r="K238" s="48">
        <f>'Adani Enterprises'!K238</f>
        <v>0</v>
      </c>
      <c r="L238" s="48">
        <f>'Adani Enterprises'!L238</f>
        <v>0</v>
      </c>
      <c r="M238" s="48">
        <f>'Adani Enterprises'!M238</f>
        <v>0</v>
      </c>
      <c r="N238" s="48">
        <f>'Adani Enterprises'!N238</f>
        <v>0</v>
      </c>
      <c r="O238" s="48">
        <f>'Adani Enterprises'!O238</f>
        <v>0</v>
      </c>
      <c r="P238" s="48">
        <f>'Adani Enterprises'!P238</f>
        <v>0</v>
      </c>
      <c r="Q238" s="48">
        <f>'Adani Enterprises'!Q238</f>
        <v>0</v>
      </c>
      <c r="R238" s="48">
        <f>'Adani Enterprises'!R238</f>
        <v>0</v>
      </c>
      <c r="S238" s="48">
        <f>'Adani Enterprises'!S238</f>
        <v>0</v>
      </c>
      <c r="T238" s="48">
        <f>'Adani Enterprises'!T238</f>
        <v>0</v>
      </c>
      <c r="U238" s="48">
        <f>'Adani Enterprises'!U238</f>
        <v>0</v>
      </c>
      <c r="V238" s="48">
        <f>'Adani Enterprises'!V238</f>
        <v>0</v>
      </c>
      <c r="W238" s="48">
        <f>'Adani Enterprises'!W238</f>
        <v>0</v>
      </c>
      <c r="X238" s="48">
        <f>'Adani Enterprises'!X238</f>
        <v>0</v>
      </c>
      <c r="Y238" s="48">
        <f>'Adani Enterprises'!Y238</f>
        <v>0</v>
      </c>
      <c r="Z238" s="48">
        <f>'Adani Enterprises'!Z238</f>
        <v>0</v>
      </c>
      <c r="AA238" s="48">
        <f>'Adani Enterprises'!AA238</f>
        <v>0</v>
      </c>
      <c r="AB238" s="48">
        <f>'Adani Enterprises'!AB238</f>
        <v>0</v>
      </c>
      <c r="AC238" s="48">
        <f>'Adani Enterprises'!AC238</f>
        <v>0</v>
      </c>
      <c r="AD238" s="48">
        <f>'Adani Enterprises'!AD238</f>
        <v>0</v>
      </c>
      <c r="AE238" s="48">
        <f>'Adani Enterprises'!AE238</f>
        <v>0</v>
      </c>
      <c r="AF238" s="48">
        <f>'Adani Enterprises'!AF238</f>
        <v>0</v>
      </c>
      <c r="AG238" s="48">
        <f>'Adani Enterprises'!AG238</f>
        <v>0</v>
      </c>
      <c r="AH238" s="48">
        <f>'Adani Enterprises'!AH238</f>
        <v>0</v>
      </c>
      <c r="AI238" s="48">
        <f>'Adani Enterprises'!AI238</f>
        <v>0</v>
      </c>
      <c r="AJ238" s="48">
        <f>'Adani Enterprises'!AJ238</f>
        <v>0</v>
      </c>
      <c r="AK238" s="48">
        <f>'Adani Enterprises'!AK238</f>
        <v>0</v>
      </c>
      <c r="AL238" s="48">
        <f>'Adani Enterprises'!AL238</f>
        <v>0</v>
      </c>
    </row>
    <row r="239" customHeight="1" spans="1:38">
      <c r="A239" s="48">
        <f>'Adani Enterprises'!A239</f>
        <v>0</v>
      </c>
      <c r="B239" s="48">
        <f>'Adani Enterprises'!B239</f>
        <v>0</v>
      </c>
      <c r="C239" s="48">
        <f>'Adani Enterprises'!C239</f>
        <v>0</v>
      </c>
      <c r="D239" s="48">
        <f>'Adani Enterprises'!D239</f>
        <v>0</v>
      </c>
      <c r="E239" s="48">
        <f>'Adani Enterprises'!E239</f>
        <v>0</v>
      </c>
      <c r="F239" s="48">
        <f>'Adani Enterprises'!F239</f>
        <v>0</v>
      </c>
      <c r="G239" s="48">
        <f>'Adani Enterprises'!G239</f>
        <v>0</v>
      </c>
      <c r="H239" s="48">
        <f>'Adani Enterprises'!H239</f>
        <v>0</v>
      </c>
      <c r="I239" s="48">
        <f>'Adani Enterprises'!I239</f>
        <v>0</v>
      </c>
      <c r="J239" s="48">
        <f>'Adani Enterprises'!J239</f>
        <v>0</v>
      </c>
      <c r="K239" s="48">
        <f>'Adani Enterprises'!K239</f>
        <v>0</v>
      </c>
      <c r="L239" s="48">
        <f>'Adani Enterprises'!L239</f>
        <v>0</v>
      </c>
      <c r="M239" s="48">
        <f>'Adani Enterprises'!M239</f>
        <v>0</v>
      </c>
      <c r="N239" s="48">
        <f>'Adani Enterprises'!N239</f>
        <v>0</v>
      </c>
      <c r="O239" s="48">
        <f>'Adani Enterprises'!O239</f>
        <v>0</v>
      </c>
      <c r="P239" s="48">
        <f>'Adani Enterprises'!P239</f>
        <v>0</v>
      </c>
      <c r="Q239" s="48">
        <f>'Adani Enterprises'!Q239</f>
        <v>0</v>
      </c>
      <c r="R239" s="48">
        <f>'Adani Enterprises'!R239</f>
        <v>0</v>
      </c>
      <c r="S239" s="48">
        <f>'Adani Enterprises'!S239</f>
        <v>0</v>
      </c>
      <c r="T239" s="48">
        <f>'Adani Enterprises'!T239</f>
        <v>0</v>
      </c>
      <c r="U239" s="48">
        <f>'Adani Enterprises'!U239</f>
        <v>0</v>
      </c>
      <c r="V239" s="48">
        <f>'Adani Enterprises'!V239</f>
        <v>0</v>
      </c>
      <c r="W239" s="48">
        <f>'Adani Enterprises'!W239</f>
        <v>0</v>
      </c>
      <c r="X239" s="48">
        <f>'Adani Enterprises'!X239</f>
        <v>0</v>
      </c>
      <c r="Y239" s="48">
        <f>'Adani Enterprises'!Y239</f>
        <v>0</v>
      </c>
      <c r="Z239" s="48">
        <f>'Adani Enterprises'!Z239</f>
        <v>0</v>
      </c>
      <c r="AA239" s="48">
        <f>'Adani Enterprises'!AA239</f>
        <v>0</v>
      </c>
      <c r="AB239" s="48">
        <f>'Adani Enterprises'!AB239</f>
        <v>0</v>
      </c>
      <c r="AC239" s="48">
        <f>'Adani Enterprises'!AC239</f>
        <v>0</v>
      </c>
      <c r="AD239" s="48">
        <f>'Adani Enterprises'!AD239</f>
        <v>0</v>
      </c>
      <c r="AE239" s="48">
        <f>'Adani Enterprises'!AE239</f>
        <v>0</v>
      </c>
      <c r="AF239" s="48">
        <f>'Adani Enterprises'!AF239</f>
        <v>0</v>
      </c>
      <c r="AG239" s="48">
        <f>'Adani Enterprises'!AG239</f>
        <v>0</v>
      </c>
      <c r="AH239" s="48">
        <f>'Adani Enterprises'!AH239</f>
        <v>0</v>
      </c>
      <c r="AI239" s="48">
        <f>'Adani Enterprises'!AI239</f>
        <v>0</v>
      </c>
      <c r="AJ239" s="48">
        <f>'Adani Enterprises'!AJ239</f>
        <v>0</v>
      </c>
      <c r="AK239" s="48">
        <f>'Adani Enterprises'!AK239</f>
        <v>0</v>
      </c>
      <c r="AL239" s="48">
        <f>'Adani Enterprises'!AL239</f>
        <v>0</v>
      </c>
    </row>
    <row r="240" customHeight="1" spans="1:38">
      <c r="A240" s="48">
        <f>'Adani Enterprises'!A240</f>
        <v>0</v>
      </c>
      <c r="B240" s="48">
        <f>'Adani Enterprises'!B240</f>
        <v>0</v>
      </c>
      <c r="C240" s="48">
        <f>'Adani Enterprises'!C240</f>
        <v>0</v>
      </c>
      <c r="D240" s="48">
        <f>'Adani Enterprises'!D240</f>
        <v>0</v>
      </c>
      <c r="E240" s="48">
        <f>'Adani Enterprises'!E240</f>
        <v>0</v>
      </c>
      <c r="F240" s="48">
        <f>'Adani Enterprises'!F240</f>
        <v>0</v>
      </c>
      <c r="G240" s="48">
        <f>'Adani Enterprises'!G240</f>
        <v>0</v>
      </c>
      <c r="H240" s="48">
        <f>'Adani Enterprises'!H240</f>
        <v>0</v>
      </c>
      <c r="I240" s="48">
        <f>'Adani Enterprises'!I240</f>
        <v>0</v>
      </c>
      <c r="J240" s="48">
        <f>'Adani Enterprises'!J240</f>
        <v>0</v>
      </c>
      <c r="K240" s="48">
        <f>'Adani Enterprises'!K240</f>
        <v>0</v>
      </c>
      <c r="L240" s="48">
        <f>'Adani Enterprises'!L240</f>
        <v>0</v>
      </c>
      <c r="M240" s="48">
        <f>'Adani Enterprises'!M240</f>
        <v>0</v>
      </c>
      <c r="N240" s="48">
        <f>'Adani Enterprises'!N240</f>
        <v>0</v>
      </c>
      <c r="O240" s="48">
        <f>'Adani Enterprises'!O240</f>
        <v>0</v>
      </c>
      <c r="P240" s="48">
        <f>'Adani Enterprises'!P240</f>
        <v>0</v>
      </c>
      <c r="Q240" s="48">
        <f>'Adani Enterprises'!Q240</f>
        <v>0</v>
      </c>
      <c r="R240" s="48">
        <f>'Adani Enterprises'!R240</f>
        <v>0</v>
      </c>
      <c r="S240" s="48">
        <f>'Adani Enterprises'!S240</f>
        <v>0</v>
      </c>
      <c r="T240" s="48">
        <f>'Adani Enterprises'!T240</f>
        <v>0</v>
      </c>
      <c r="U240" s="48">
        <f>'Adani Enterprises'!U240</f>
        <v>0</v>
      </c>
      <c r="V240" s="48">
        <f>'Adani Enterprises'!V240</f>
        <v>0</v>
      </c>
      <c r="W240" s="48">
        <f>'Adani Enterprises'!W240</f>
        <v>0</v>
      </c>
      <c r="X240" s="48">
        <f>'Adani Enterprises'!X240</f>
        <v>0</v>
      </c>
      <c r="Y240" s="48">
        <f>'Adani Enterprises'!Y240</f>
        <v>0</v>
      </c>
      <c r="Z240" s="48">
        <f>'Adani Enterprises'!Z240</f>
        <v>0</v>
      </c>
      <c r="AA240" s="48">
        <f>'Adani Enterprises'!AA240</f>
        <v>0</v>
      </c>
      <c r="AB240" s="48">
        <f>'Adani Enterprises'!AB240</f>
        <v>0</v>
      </c>
      <c r="AC240" s="48">
        <f>'Adani Enterprises'!AC240</f>
        <v>0</v>
      </c>
      <c r="AD240" s="48">
        <f>'Adani Enterprises'!AD240</f>
        <v>0</v>
      </c>
      <c r="AE240" s="48">
        <f>'Adani Enterprises'!AE240</f>
        <v>0</v>
      </c>
      <c r="AF240" s="48">
        <f>'Adani Enterprises'!AF240</f>
        <v>0</v>
      </c>
      <c r="AG240" s="48">
        <f>'Adani Enterprises'!AG240</f>
        <v>0</v>
      </c>
      <c r="AH240" s="48">
        <f>'Adani Enterprises'!AH240</f>
        <v>0</v>
      </c>
      <c r="AI240" s="48">
        <f>'Adani Enterprises'!AI240</f>
        <v>0</v>
      </c>
      <c r="AJ240" s="48">
        <f>'Adani Enterprises'!AJ240</f>
        <v>0</v>
      </c>
      <c r="AK240" s="48">
        <f>'Adani Enterprises'!AK240</f>
        <v>0</v>
      </c>
      <c r="AL240" s="48">
        <f>'Adani Enterprises'!AL240</f>
        <v>0</v>
      </c>
    </row>
    <row r="241" customHeight="1" spans="1:38">
      <c r="A241" s="48">
        <f>'Adani Enterprises'!A241</f>
        <v>0</v>
      </c>
      <c r="B241" s="48">
        <f>'Adani Enterprises'!B241</f>
        <v>0</v>
      </c>
      <c r="C241" s="48">
        <f>'Adani Enterprises'!C241</f>
        <v>0</v>
      </c>
      <c r="D241" s="48">
        <f>'Adani Enterprises'!D241</f>
        <v>0</v>
      </c>
      <c r="E241" s="48">
        <f>'Adani Enterprises'!E241</f>
        <v>0</v>
      </c>
      <c r="F241" s="48">
        <f>'Adani Enterprises'!F241</f>
        <v>0</v>
      </c>
      <c r="G241" s="48">
        <f>'Adani Enterprises'!G241</f>
        <v>0</v>
      </c>
      <c r="H241" s="48">
        <f>'Adani Enterprises'!H241</f>
        <v>0</v>
      </c>
      <c r="I241" s="48">
        <f>'Adani Enterprises'!I241</f>
        <v>0</v>
      </c>
      <c r="J241" s="48">
        <f>'Adani Enterprises'!J241</f>
        <v>0</v>
      </c>
      <c r="K241" s="48">
        <f>'Adani Enterprises'!K241</f>
        <v>0</v>
      </c>
      <c r="L241" s="48">
        <f>'Adani Enterprises'!L241</f>
        <v>0</v>
      </c>
      <c r="M241" s="48">
        <f>'Adani Enterprises'!M241</f>
        <v>0</v>
      </c>
      <c r="N241" s="48">
        <f>'Adani Enterprises'!N241</f>
        <v>0</v>
      </c>
      <c r="O241" s="48">
        <f>'Adani Enterprises'!O241</f>
        <v>0</v>
      </c>
      <c r="P241" s="48">
        <f>'Adani Enterprises'!P241</f>
        <v>0</v>
      </c>
      <c r="Q241" s="48">
        <f>'Adani Enterprises'!Q241</f>
        <v>0</v>
      </c>
      <c r="R241" s="48">
        <f>'Adani Enterprises'!R241</f>
        <v>0</v>
      </c>
      <c r="S241" s="48">
        <f>'Adani Enterprises'!S241</f>
        <v>0</v>
      </c>
      <c r="T241" s="48">
        <f>'Adani Enterprises'!T241</f>
        <v>0</v>
      </c>
      <c r="U241" s="48">
        <f>'Adani Enterprises'!U241</f>
        <v>0</v>
      </c>
      <c r="V241" s="48">
        <f>'Adani Enterprises'!V241</f>
        <v>0</v>
      </c>
      <c r="W241" s="48">
        <f>'Adani Enterprises'!W241</f>
        <v>0</v>
      </c>
      <c r="X241" s="48">
        <f>'Adani Enterprises'!X241</f>
        <v>0</v>
      </c>
      <c r="Y241" s="48">
        <f>'Adani Enterprises'!Y241</f>
        <v>0</v>
      </c>
      <c r="Z241" s="48">
        <f>'Adani Enterprises'!Z241</f>
        <v>0</v>
      </c>
      <c r="AA241" s="48">
        <f>'Adani Enterprises'!AA241</f>
        <v>0</v>
      </c>
      <c r="AB241" s="48">
        <f>'Adani Enterprises'!AB241</f>
        <v>0</v>
      </c>
      <c r="AC241" s="48">
        <f>'Adani Enterprises'!AC241</f>
        <v>0</v>
      </c>
      <c r="AD241" s="48">
        <f>'Adani Enterprises'!AD241</f>
        <v>0</v>
      </c>
      <c r="AE241" s="48">
        <f>'Adani Enterprises'!AE241</f>
        <v>0</v>
      </c>
      <c r="AF241" s="48">
        <f>'Adani Enterprises'!AF241</f>
        <v>0</v>
      </c>
      <c r="AG241" s="48">
        <f>'Adani Enterprises'!AG241</f>
        <v>0</v>
      </c>
      <c r="AH241" s="48">
        <f>'Adani Enterprises'!AH241</f>
        <v>0</v>
      </c>
      <c r="AI241" s="48">
        <f>'Adani Enterprises'!AI241</f>
        <v>0</v>
      </c>
      <c r="AJ241" s="48">
        <f>'Adani Enterprises'!AJ241</f>
        <v>0</v>
      </c>
      <c r="AK241" s="48">
        <f>'Adani Enterprises'!AK241</f>
        <v>0</v>
      </c>
      <c r="AL241" s="48">
        <f>'Adani Enterprises'!AL241</f>
        <v>0</v>
      </c>
    </row>
    <row r="242" customHeight="1" spans="1:38">
      <c r="A242" s="48">
        <f>'Adani Enterprises'!A242</f>
        <v>0</v>
      </c>
      <c r="B242" s="48">
        <f>'Adani Enterprises'!B242</f>
        <v>0</v>
      </c>
      <c r="C242" s="48">
        <f>'Adani Enterprises'!C242</f>
        <v>0</v>
      </c>
      <c r="D242" s="48">
        <f>'Adani Enterprises'!D242</f>
        <v>0</v>
      </c>
      <c r="E242" s="48">
        <f>'Adani Enterprises'!E242</f>
        <v>0</v>
      </c>
      <c r="F242" s="48">
        <f>'Adani Enterprises'!F242</f>
        <v>0</v>
      </c>
      <c r="G242" s="48">
        <f>'Adani Enterprises'!G242</f>
        <v>0</v>
      </c>
      <c r="H242" s="48">
        <f>'Adani Enterprises'!H242</f>
        <v>0</v>
      </c>
      <c r="I242" s="48">
        <f>'Adani Enterprises'!I242</f>
        <v>0</v>
      </c>
      <c r="J242" s="48">
        <f>'Adani Enterprises'!J242</f>
        <v>0</v>
      </c>
      <c r="K242" s="48">
        <f>'Adani Enterprises'!K242</f>
        <v>0</v>
      </c>
      <c r="L242" s="48">
        <f>'Adani Enterprises'!L242</f>
        <v>0</v>
      </c>
      <c r="M242" s="48">
        <f>'Adani Enterprises'!M242</f>
        <v>0</v>
      </c>
      <c r="N242" s="48">
        <f>'Adani Enterprises'!N242</f>
        <v>0</v>
      </c>
      <c r="O242" s="48">
        <f>'Adani Enterprises'!O242</f>
        <v>0</v>
      </c>
      <c r="P242" s="48">
        <f>'Adani Enterprises'!P242</f>
        <v>0</v>
      </c>
      <c r="Q242" s="48">
        <f>'Adani Enterprises'!Q242</f>
        <v>0</v>
      </c>
      <c r="R242" s="48">
        <f>'Adani Enterprises'!R242</f>
        <v>0</v>
      </c>
      <c r="S242" s="48">
        <f>'Adani Enterprises'!S242</f>
        <v>0</v>
      </c>
      <c r="T242" s="48">
        <f>'Adani Enterprises'!T242</f>
        <v>0</v>
      </c>
      <c r="U242" s="48">
        <f>'Adani Enterprises'!U242</f>
        <v>0</v>
      </c>
      <c r="V242" s="48">
        <f>'Adani Enterprises'!V242</f>
        <v>0</v>
      </c>
      <c r="W242" s="48">
        <f>'Adani Enterprises'!W242</f>
        <v>0</v>
      </c>
      <c r="X242" s="48">
        <f>'Adani Enterprises'!X242</f>
        <v>0</v>
      </c>
      <c r="Y242" s="48">
        <f>'Adani Enterprises'!Y242</f>
        <v>0</v>
      </c>
      <c r="Z242" s="48">
        <f>'Adani Enterprises'!Z242</f>
        <v>0</v>
      </c>
      <c r="AA242" s="48">
        <f>'Adani Enterprises'!AA242</f>
        <v>0</v>
      </c>
      <c r="AB242" s="48">
        <f>'Adani Enterprises'!AB242</f>
        <v>0</v>
      </c>
      <c r="AC242" s="48">
        <f>'Adani Enterprises'!AC242</f>
        <v>0</v>
      </c>
      <c r="AD242" s="48">
        <f>'Adani Enterprises'!AD242</f>
        <v>0</v>
      </c>
      <c r="AE242" s="48">
        <f>'Adani Enterprises'!AE242</f>
        <v>0</v>
      </c>
      <c r="AF242" s="48">
        <f>'Adani Enterprises'!AF242</f>
        <v>0</v>
      </c>
      <c r="AG242" s="48">
        <f>'Adani Enterprises'!AG242</f>
        <v>0</v>
      </c>
      <c r="AH242" s="48">
        <f>'Adani Enterprises'!AH242</f>
        <v>0</v>
      </c>
      <c r="AI242" s="48">
        <f>'Adani Enterprises'!AI242</f>
        <v>0</v>
      </c>
      <c r="AJ242" s="48">
        <f>'Adani Enterprises'!AJ242</f>
        <v>0</v>
      </c>
      <c r="AK242" s="48">
        <f>'Adani Enterprises'!AK242</f>
        <v>0</v>
      </c>
      <c r="AL242" s="48">
        <f>'Adani Enterprises'!AL242</f>
        <v>0</v>
      </c>
    </row>
    <row r="243" customHeight="1" spans="1:38">
      <c r="A243" s="48">
        <f>'Adani Enterprises'!A243</f>
        <v>0</v>
      </c>
      <c r="B243" s="48">
        <f>'Adani Enterprises'!B243</f>
        <v>0</v>
      </c>
      <c r="C243" s="48">
        <f>'Adani Enterprises'!C243</f>
        <v>0</v>
      </c>
      <c r="D243" s="48">
        <f>'Adani Enterprises'!D243</f>
        <v>0</v>
      </c>
      <c r="E243" s="48">
        <f>'Adani Enterprises'!E243</f>
        <v>0</v>
      </c>
      <c r="F243" s="48">
        <f>'Adani Enterprises'!F243</f>
        <v>0</v>
      </c>
      <c r="G243" s="48">
        <f>'Adani Enterprises'!G243</f>
        <v>0</v>
      </c>
      <c r="H243" s="48">
        <f>'Adani Enterprises'!H243</f>
        <v>0</v>
      </c>
      <c r="I243" s="48">
        <f>'Adani Enterprises'!I243</f>
        <v>0</v>
      </c>
      <c r="J243" s="48">
        <f>'Adani Enterprises'!J243</f>
        <v>0</v>
      </c>
      <c r="K243" s="48">
        <f>'Adani Enterprises'!K243</f>
        <v>0</v>
      </c>
      <c r="L243" s="48">
        <f>'Adani Enterprises'!L243</f>
        <v>0</v>
      </c>
      <c r="M243" s="48">
        <f>'Adani Enterprises'!M243</f>
        <v>0</v>
      </c>
      <c r="N243" s="48">
        <f>'Adani Enterprises'!N243</f>
        <v>0</v>
      </c>
      <c r="O243" s="48">
        <f>'Adani Enterprises'!O243</f>
        <v>0</v>
      </c>
      <c r="P243" s="48">
        <f>'Adani Enterprises'!P243</f>
        <v>0</v>
      </c>
      <c r="Q243" s="48">
        <f>'Adani Enterprises'!Q243</f>
        <v>0</v>
      </c>
      <c r="R243" s="48">
        <f>'Adani Enterprises'!R243</f>
        <v>0</v>
      </c>
      <c r="S243" s="48">
        <f>'Adani Enterprises'!S243</f>
        <v>0</v>
      </c>
      <c r="T243" s="48">
        <f>'Adani Enterprises'!T243</f>
        <v>0</v>
      </c>
      <c r="U243" s="48">
        <f>'Adani Enterprises'!U243</f>
        <v>0</v>
      </c>
      <c r="V243" s="48">
        <f>'Adani Enterprises'!V243</f>
        <v>0</v>
      </c>
      <c r="W243" s="48">
        <f>'Adani Enterprises'!W243</f>
        <v>0</v>
      </c>
      <c r="X243" s="48">
        <f>'Adani Enterprises'!X243</f>
        <v>0</v>
      </c>
      <c r="Y243" s="48">
        <f>'Adani Enterprises'!Y243</f>
        <v>0</v>
      </c>
      <c r="Z243" s="48">
        <f>'Adani Enterprises'!Z243</f>
        <v>0</v>
      </c>
      <c r="AA243" s="48">
        <f>'Adani Enterprises'!AA243</f>
        <v>0</v>
      </c>
      <c r="AB243" s="48">
        <f>'Adani Enterprises'!AB243</f>
        <v>0</v>
      </c>
      <c r="AC243" s="48">
        <f>'Adani Enterprises'!AC243</f>
        <v>0</v>
      </c>
      <c r="AD243" s="48">
        <f>'Adani Enterprises'!AD243</f>
        <v>0</v>
      </c>
      <c r="AE243" s="48">
        <f>'Adani Enterprises'!AE243</f>
        <v>0</v>
      </c>
      <c r="AF243" s="48">
        <f>'Adani Enterprises'!AF243</f>
        <v>0</v>
      </c>
      <c r="AG243" s="48">
        <f>'Adani Enterprises'!AG243</f>
        <v>0</v>
      </c>
      <c r="AH243" s="48">
        <f>'Adani Enterprises'!AH243</f>
        <v>0</v>
      </c>
      <c r="AI243" s="48">
        <f>'Adani Enterprises'!AI243</f>
        <v>0</v>
      </c>
      <c r="AJ243" s="48">
        <f>'Adani Enterprises'!AJ243</f>
        <v>0</v>
      </c>
      <c r="AK243" s="48">
        <f>'Adani Enterprises'!AK243</f>
        <v>0</v>
      </c>
      <c r="AL243" s="48">
        <f>'Adani Enterprises'!AL243</f>
        <v>0</v>
      </c>
    </row>
    <row r="244" customHeight="1" spans="1:38">
      <c r="A244" s="48">
        <f>'Adani Enterprises'!A244</f>
        <v>0</v>
      </c>
      <c r="B244" s="48">
        <f>'Adani Enterprises'!B244</f>
        <v>0</v>
      </c>
      <c r="C244" s="48">
        <f>'Adani Enterprises'!C244</f>
        <v>0</v>
      </c>
      <c r="D244" s="48">
        <f>'Adani Enterprises'!D244</f>
        <v>0</v>
      </c>
      <c r="E244" s="48">
        <f>'Adani Enterprises'!E244</f>
        <v>0</v>
      </c>
      <c r="F244" s="48">
        <f>'Adani Enterprises'!F244</f>
        <v>0</v>
      </c>
      <c r="G244" s="48">
        <f>'Adani Enterprises'!G244</f>
        <v>0</v>
      </c>
      <c r="H244" s="48">
        <f>'Adani Enterprises'!H244</f>
        <v>0</v>
      </c>
      <c r="I244" s="48">
        <f>'Adani Enterprises'!I244</f>
        <v>0</v>
      </c>
      <c r="J244" s="48">
        <f>'Adani Enterprises'!J244</f>
        <v>0</v>
      </c>
      <c r="K244" s="48">
        <f>'Adani Enterprises'!K244</f>
        <v>0</v>
      </c>
      <c r="L244" s="48">
        <f>'Adani Enterprises'!L244</f>
        <v>0</v>
      </c>
      <c r="M244" s="48">
        <f>'Adani Enterprises'!M244</f>
        <v>0</v>
      </c>
      <c r="N244" s="48">
        <f>'Adani Enterprises'!N244</f>
        <v>0</v>
      </c>
      <c r="O244" s="48">
        <f>'Adani Enterprises'!O244</f>
        <v>0</v>
      </c>
      <c r="P244" s="48">
        <f>'Adani Enterprises'!P244</f>
        <v>0</v>
      </c>
      <c r="Q244" s="48">
        <f>'Adani Enterprises'!Q244</f>
        <v>0</v>
      </c>
      <c r="R244" s="48">
        <f>'Adani Enterprises'!R244</f>
        <v>0</v>
      </c>
      <c r="S244" s="48">
        <f>'Adani Enterprises'!S244</f>
        <v>0</v>
      </c>
      <c r="T244" s="48">
        <f>'Adani Enterprises'!T244</f>
        <v>0</v>
      </c>
      <c r="U244" s="48">
        <f>'Adani Enterprises'!U244</f>
        <v>0</v>
      </c>
      <c r="V244" s="48">
        <f>'Adani Enterprises'!V244</f>
        <v>0</v>
      </c>
      <c r="W244" s="48">
        <f>'Adani Enterprises'!W244</f>
        <v>0</v>
      </c>
      <c r="X244" s="48">
        <f>'Adani Enterprises'!X244</f>
        <v>0</v>
      </c>
      <c r="Y244" s="48">
        <f>'Adani Enterprises'!Y244</f>
        <v>0</v>
      </c>
      <c r="Z244" s="48">
        <f>'Adani Enterprises'!Z244</f>
        <v>0</v>
      </c>
      <c r="AA244" s="48">
        <f>'Adani Enterprises'!AA244</f>
        <v>0</v>
      </c>
      <c r="AB244" s="48">
        <f>'Adani Enterprises'!AB244</f>
        <v>0</v>
      </c>
      <c r="AC244" s="48">
        <f>'Adani Enterprises'!AC244</f>
        <v>0</v>
      </c>
      <c r="AD244" s="48">
        <f>'Adani Enterprises'!AD244</f>
        <v>0</v>
      </c>
      <c r="AE244" s="48">
        <f>'Adani Enterprises'!AE244</f>
        <v>0</v>
      </c>
      <c r="AF244" s="48">
        <f>'Adani Enterprises'!AF244</f>
        <v>0</v>
      </c>
      <c r="AG244" s="48">
        <f>'Adani Enterprises'!AG244</f>
        <v>0</v>
      </c>
      <c r="AH244" s="48">
        <f>'Adani Enterprises'!AH244</f>
        <v>0</v>
      </c>
      <c r="AI244" s="48">
        <f>'Adani Enterprises'!AI244</f>
        <v>0</v>
      </c>
      <c r="AJ244" s="48">
        <f>'Adani Enterprises'!AJ244</f>
        <v>0</v>
      </c>
      <c r="AK244" s="48">
        <f>'Adani Enterprises'!AK244</f>
        <v>0</v>
      </c>
      <c r="AL244" s="48">
        <f>'Adani Enterprises'!AL244</f>
        <v>0</v>
      </c>
    </row>
    <row r="245" customHeight="1" spans="1:38">
      <c r="A245" s="48">
        <f>'Adani Enterprises'!A245</f>
        <v>0</v>
      </c>
      <c r="B245" s="48">
        <f>'Adani Enterprises'!B245</f>
        <v>0</v>
      </c>
      <c r="C245" s="48">
        <f>'Adani Enterprises'!C245</f>
        <v>0</v>
      </c>
      <c r="D245" s="48">
        <f>'Adani Enterprises'!D245</f>
        <v>0</v>
      </c>
      <c r="E245" s="48">
        <f>'Adani Enterprises'!E245</f>
        <v>0</v>
      </c>
      <c r="F245" s="48">
        <f>'Adani Enterprises'!F245</f>
        <v>0</v>
      </c>
      <c r="G245" s="48">
        <f>'Adani Enterprises'!G245</f>
        <v>0</v>
      </c>
      <c r="H245" s="48">
        <f>'Adani Enterprises'!H245</f>
        <v>0</v>
      </c>
      <c r="I245" s="48">
        <f>'Adani Enterprises'!I245</f>
        <v>0</v>
      </c>
      <c r="J245" s="48">
        <f>'Adani Enterprises'!J245</f>
        <v>0</v>
      </c>
      <c r="K245" s="48">
        <f>'Adani Enterprises'!K245</f>
        <v>0</v>
      </c>
      <c r="L245" s="48">
        <f>'Adani Enterprises'!L245</f>
        <v>0</v>
      </c>
      <c r="M245" s="48">
        <f>'Adani Enterprises'!M245</f>
        <v>0</v>
      </c>
      <c r="N245" s="48">
        <f>'Adani Enterprises'!N245</f>
        <v>0</v>
      </c>
      <c r="O245" s="48">
        <f>'Adani Enterprises'!O245</f>
        <v>0</v>
      </c>
      <c r="P245" s="48">
        <f>'Adani Enterprises'!P245</f>
        <v>0</v>
      </c>
      <c r="Q245" s="48">
        <f>'Adani Enterprises'!Q245</f>
        <v>0</v>
      </c>
      <c r="R245" s="48">
        <f>'Adani Enterprises'!R245</f>
        <v>0</v>
      </c>
      <c r="S245" s="48">
        <f>'Adani Enterprises'!S245</f>
        <v>0</v>
      </c>
      <c r="T245" s="48">
        <f>'Adani Enterprises'!T245</f>
        <v>0</v>
      </c>
      <c r="U245" s="48">
        <f>'Adani Enterprises'!U245</f>
        <v>0</v>
      </c>
      <c r="V245" s="48">
        <f>'Adani Enterprises'!V245</f>
        <v>0</v>
      </c>
      <c r="W245" s="48">
        <f>'Adani Enterprises'!W245</f>
        <v>0</v>
      </c>
      <c r="X245" s="48">
        <f>'Adani Enterprises'!X245</f>
        <v>0</v>
      </c>
      <c r="Y245" s="48">
        <f>'Adani Enterprises'!Y245</f>
        <v>0</v>
      </c>
      <c r="Z245" s="48">
        <f>'Adani Enterprises'!Z245</f>
        <v>0</v>
      </c>
      <c r="AA245" s="48">
        <f>'Adani Enterprises'!AA245</f>
        <v>0</v>
      </c>
      <c r="AB245" s="48">
        <f>'Adani Enterprises'!AB245</f>
        <v>0</v>
      </c>
      <c r="AC245" s="48">
        <f>'Adani Enterprises'!AC245</f>
        <v>0</v>
      </c>
      <c r="AD245" s="48">
        <f>'Adani Enterprises'!AD245</f>
        <v>0</v>
      </c>
      <c r="AE245" s="48">
        <f>'Adani Enterprises'!AE245</f>
        <v>0</v>
      </c>
      <c r="AF245" s="48">
        <f>'Adani Enterprises'!AF245</f>
        <v>0</v>
      </c>
      <c r="AG245" s="48">
        <f>'Adani Enterprises'!AG245</f>
        <v>0</v>
      </c>
      <c r="AH245" s="48">
        <f>'Adani Enterprises'!AH245</f>
        <v>0</v>
      </c>
      <c r="AI245" s="48">
        <f>'Adani Enterprises'!AI245</f>
        <v>0</v>
      </c>
      <c r="AJ245" s="48">
        <f>'Adani Enterprises'!AJ245</f>
        <v>0</v>
      </c>
      <c r="AK245" s="48">
        <f>'Adani Enterprises'!AK245</f>
        <v>0</v>
      </c>
      <c r="AL245" s="48">
        <f>'Adani Enterprises'!AL245</f>
        <v>0</v>
      </c>
    </row>
    <row r="246" customHeight="1" spans="1:38">
      <c r="A246" s="48">
        <f>'Adani Enterprises'!A246</f>
        <v>0</v>
      </c>
      <c r="B246" s="48">
        <f>'Adani Enterprises'!B246</f>
        <v>0</v>
      </c>
      <c r="C246" s="48">
        <f>'Adani Enterprises'!C246</f>
        <v>0</v>
      </c>
      <c r="D246" s="48">
        <f>'Adani Enterprises'!D246</f>
        <v>0</v>
      </c>
      <c r="E246" s="48">
        <f>'Adani Enterprises'!E246</f>
        <v>0</v>
      </c>
      <c r="F246" s="48">
        <f>'Adani Enterprises'!F246</f>
        <v>0</v>
      </c>
      <c r="G246" s="48">
        <f>'Adani Enterprises'!G246</f>
        <v>0</v>
      </c>
      <c r="H246" s="48">
        <f>'Adani Enterprises'!H246</f>
        <v>0</v>
      </c>
      <c r="I246" s="48">
        <f>'Adani Enterprises'!I246</f>
        <v>0</v>
      </c>
      <c r="J246" s="48">
        <f>'Adani Enterprises'!J246</f>
        <v>0</v>
      </c>
      <c r="K246" s="48">
        <f>'Adani Enterprises'!K246</f>
        <v>0</v>
      </c>
      <c r="L246" s="48">
        <f>'Adani Enterprises'!L246</f>
        <v>0</v>
      </c>
      <c r="M246" s="48">
        <f>'Adani Enterprises'!M246</f>
        <v>0</v>
      </c>
      <c r="N246" s="48">
        <f>'Adani Enterprises'!N246</f>
        <v>0</v>
      </c>
      <c r="O246" s="48">
        <f>'Adani Enterprises'!O246</f>
        <v>0</v>
      </c>
      <c r="P246" s="48">
        <f>'Adani Enterprises'!P246</f>
        <v>0</v>
      </c>
      <c r="Q246" s="48">
        <f>'Adani Enterprises'!Q246</f>
        <v>0</v>
      </c>
      <c r="R246" s="48">
        <f>'Adani Enterprises'!R246</f>
        <v>0</v>
      </c>
      <c r="S246" s="48">
        <f>'Adani Enterprises'!S246</f>
        <v>0</v>
      </c>
      <c r="T246" s="48">
        <f>'Adani Enterprises'!T246</f>
        <v>0</v>
      </c>
      <c r="U246" s="48">
        <f>'Adani Enterprises'!U246</f>
        <v>0</v>
      </c>
      <c r="V246" s="48">
        <f>'Adani Enterprises'!V246</f>
        <v>0</v>
      </c>
      <c r="W246" s="48">
        <f>'Adani Enterprises'!W246</f>
        <v>0</v>
      </c>
      <c r="X246" s="48">
        <f>'Adani Enterprises'!X246</f>
        <v>0</v>
      </c>
      <c r="Y246" s="48">
        <f>'Adani Enterprises'!Y246</f>
        <v>0</v>
      </c>
      <c r="Z246" s="48">
        <f>'Adani Enterprises'!Z246</f>
        <v>0</v>
      </c>
      <c r="AA246" s="48">
        <f>'Adani Enterprises'!AA246</f>
        <v>0</v>
      </c>
      <c r="AB246" s="48">
        <f>'Adani Enterprises'!AB246</f>
        <v>0</v>
      </c>
      <c r="AC246" s="48">
        <f>'Adani Enterprises'!AC246</f>
        <v>0</v>
      </c>
      <c r="AD246" s="48">
        <f>'Adani Enterprises'!AD246</f>
        <v>0</v>
      </c>
      <c r="AE246" s="48">
        <f>'Adani Enterprises'!AE246</f>
        <v>0</v>
      </c>
      <c r="AF246" s="48">
        <f>'Adani Enterprises'!AF246</f>
        <v>0</v>
      </c>
      <c r="AG246" s="48">
        <f>'Adani Enterprises'!AG246</f>
        <v>0</v>
      </c>
      <c r="AH246" s="48">
        <f>'Adani Enterprises'!AH246</f>
        <v>0</v>
      </c>
      <c r="AI246" s="48">
        <f>'Adani Enterprises'!AI246</f>
        <v>0</v>
      </c>
      <c r="AJ246" s="48">
        <f>'Adani Enterprises'!AJ246</f>
        <v>0</v>
      </c>
      <c r="AK246" s="48">
        <f>'Adani Enterprises'!AK246</f>
        <v>0</v>
      </c>
      <c r="AL246" s="48">
        <f>'Adani Enterprises'!AL246</f>
        <v>0</v>
      </c>
    </row>
    <row r="247" customHeight="1" spans="1:38">
      <c r="A247" s="48">
        <f>'Adani Enterprises'!A247</f>
        <v>0</v>
      </c>
      <c r="B247" s="48">
        <f>'Adani Enterprises'!B247</f>
        <v>0</v>
      </c>
      <c r="C247" s="48">
        <f>'Adani Enterprises'!C247</f>
        <v>0</v>
      </c>
      <c r="D247" s="48">
        <f>'Adani Enterprises'!D247</f>
        <v>0</v>
      </c>
      <c r="E247" s="48">
        <f>'Adani Enterprises'!E247</f>
        <v>0</v>
      </c>
      <c r="F247" s="48">
        <f>'Adani Enterprises'!F247</f>
        <v>0</v>
      </c>
      <c r="G247" s="48">
        <f>'Adani Enterprises'!G247</f>
        <v>0</v>
      </c>
      <c r="H247" s="48">
        <f>'Adani Enterprises'!H247</f>
        <v>0</v>
      </c>
      <c r="I247" s="48">
        <f>'Adani Enterprises'!I247</f>
        <v>0</v>
      </c>
      <c r="J247" s="48">
        <f>'Adani Enterprises'!J247</f>
        <v>0</v>
      </c>
      <c r="K247" s="48">
        <f>'Adani Enterprises'!K247</f>
        <v>0</v>
      </c>
      <c r="L247" s="48">
        <f>'Adani Enterprises'!L247</f>
        <v>0</v>
      </c>
      <c r="M247" s="48">
        <f>'Adani Enterprises'!M247</f>
        <v>0</v>
      </c>
      <c r="N247" s="48">
        <f>'Adani Enterprises'!N247</f>
        <v>0</v>
      </c>
      <c r="O247" s="48">
        <f>'Adani Enterprises'!O247</f>
        <v>0</v>
      </c>
      <c r="P247" s="48">
        <f>'Adani Enterprises'!P247</f>
        <v>0</v>
      </c>
      <c r="Q247" s="48">
        <f>'Adani Enterprises'!Q247</f>
        <v>0</v>
      </c>
      <c r="R247" s="48">
        <f>'Adani Enterprises'!R247</f>
        <v>0</v>
      </c>
      <c r="S247" s="48">
        <f>'Adani Enterprises'!S247</f>
        <v>0</v>
      </c>
      <c r="T247" s="48">
        <f>'Adani Enterprises'!T247</f>
        <v>0</v>
      </c>
      <c r="U247" s="48">
        <f>'Adani Enterprises'!U247</f>
        <v>0</v>
      </c>
      <c r="V247" s="48">
        <f>'Adani Enterprises'!V247</f>
        <v>0</v>
      </c>
      <c r="W247" s="48">
        <f>'Adani Enterprises'!W247</f>
        <v>0</v>
      </c>
      <c r="X247" s="48">
        <f>'Adani Enterprises'!X247</f>
        <v>0</v>
      </c>
      <c r="Y247" s="48">
        <f>'Adani Enterprises'!Y247</f>
        <v>0</v>
      </c>
      <c r="Z247" s="48">
        <f>'Adani Enterprises'!Z247</f>
        <v>0</v>
      </c>
      <c r="AA247" s="48">
        <f>'Adani Enterprises'!AA247</f>
        <v>0</v>
      </c>
      <c r="AB247" s="48">
        <f>'Adani Enterprises'!AB247</f>
        <v>0</v>
      </c>
      <c r="AC247" s="48">
        <f>'Adani Enterprises'!AC247</f>
        <v>0</v>
      </c>
      <c r="AD247" s="48">
        <f>'Adani Enterprises'!AD247</f>
        <v>0</v>
      </c>
      <c r="AE247" s="48">
        <f>'Adani Enterprises'!AE247</f>
        <v>0</v>
      </c>
      <c r="AF247" s="48">
        <f>'Adani Enterprises'!AF247</f>
        <v>0</v>
      </c>
      <c r="AG247" s="48">
        <f>'Adani Enterprises'!AG247</f>
        <v>0</v>
      </c>
      <c r="AH247" s="48">
        <f>'Adani Enterprises'!AH247</f>
        <v>0</v>
      </c>
      <c r="AI247" s="48">
        <f>'Adani Enterprises'!AI247</f>
        <v>0</v>
      </c>
      <c r="AJ247" s="48">
        <f>'Adani Enterprises'!AJ247</f>
        <v>0</v>
      </c>
      <c r="AK247" s="48">
        <f>'Adani Enterprises'!AK247</f>
        <v>0</v>
      </c>
      <c r="AL247" s="48">
        <f>'Adani Enterprises'!AL247</f>
        <v>0</v>
      </c>
    </row>
    <row r="248" customHeight="1" spans="1:38">
      <c r="A248" s="48">
        <f>'Adani Enterprises'!A248</f>
        <v>0</v>
      </c>
      <c r="B248" s="48">
        <f>'Adani Enterprises'!B248</f>
        <v>0</v>
      </c>
      <c r="C248" s="48">
        <f>'Adani Enterprises'!C248</f>
        <v>0</v>
      </c>
      <c r="D248" s="48">
        <f>'Adani Enterprises'!D248</f>
        <v>0</v>
      </c>
      <c r="E248" s="48">
        <f>'Adani Enterprises'!E248</f>
        <v>0</v>
      </c>
      <c r="F248" s="48">
        <f>'Adani Enterprises'!F248</f>
        <v>0</v>
      </c>
      <c r="G248" s="48">
        <f>'Adani Enterprises'!G248</f>
        <v>0</v>
      </c>
      <c r="H248" s="48">
        <f>'Adani Enterprises'!H248</f>
        <v>0</v>
      </c>
      <c r="I248" s="48">
        <f>'Adani Enterprises'!I248</f>
        <v>0</v>
      </c>
      <c r="J248" s="48">
        <f>'Adani Enterprises'!J248</f>
        <v>0</v>
      </c>
      <c r="K248" s="48">
        <f>'Adani Enterprises'!K248</f>
        <v>0</v>
      </c>
      <c r="L248" s="48">
        <f>'Adani Enterprises'!L248</f>
        <v>0</v>
      </c>
      <c r="M248" s="48">
        <f>'Adani Enterprises'!M248</f>
        <v>0</v>
      </c>
      <c r="N248" s="48">
        <f>'Adani Enterprises'!N248</f>
        <v>0</v>
      </c>
      <c r="O248" s="48">
        <f>'Adani Enterprises'!O248</f>
        <v>0</v>
      </c>
      <c r="P248" s="48">
        <f>'Adani Enterprises'!P248</f>
        <v>0</v>
      </c>
      <c r="Q248" s="48">
        <f>'Adani Enterprises'!Q248</f>
        <v>0</v>
      </c>
      <c r="R248" s="48">
        <f>'Adani Enterprises'!R248</f>
        <v>0</v>
      </c>
      <c r="S248" s="48">
        <f>'Adani Enterprises'!S248</f>
        <v>0</v>
      </c>
      <c r="T248" s="48">
        <f>'Adani Enterprises'!T248</f>
        <v>0</v>
      </c>
      <c r="U248" s="48">
        <f>'Adani Enterprises'!U248</f>
        <v>0</v>
      </c>
      <c r="V248" s="48">
        <f>'Adani Enterprises'!V248</f>
        <v>0</v>
      </c>
      <c r="W248" s="48">
        <f>'Adani Enterprises'!W248</f>
        <v>0</v>
      </c>
      <c r="X248" s="48">
        <f>'Adani Enterprises'!X248</f>
        <v>0</v>
      </c>
      <c r="Y248" s="48">
        <f>'Adani Enterprises'!Y248</f>
        <v>0</v>
      </c>
      <c r="Z248" s="48">
        <f>'Adani Enterprises'!Z248</f>
        <v>0</v>
      </c>
      <c r="AA248" s="48">
        <f>'Adani Enterprises'!AA248</f>
        <v>0</v>
      </c>
      <c r="AB248" s="48">
        <f>'Adani Enterprises'!AB248</f>
        <v>0</v>
      </c>
      <c r="AC248" s="48">
        <f>'Adani Enterprises'!AC248</f>
        <v>0</v>
      </c>
      <c r="AD248" s="48">
        <f>'Adani Enterprises'!AD248</f>
        <v>0</v>
      </c>
      <c r="AE248" s="48">
        <f>'Adani Enterprises'!AE248</f>
        <v>0</v>
      </c>
      <c r="AF248" s="48">
        <f>'Adani Enterprises'!AF248</f>
        <v>0</v>
      </c>
      <c r="AG248" s="48">
        <f>'Adani Enterprises'!AG248</f>
        <v>0</v>
      </c>
      <c r="AH248" s="48">
        <f>'Adani Enterprises'!AH248</f>
        <v>0</v>
      </c>
      <c r="AI248" s="48">
        <f>'Adani Enterprises'!AI248</f>
        <v>0</v>
      </c>
      <c r="AJ248" s="48">
        <f>'Adani Enterprises'!AJ248</f>
        <v>0</v>
      </c>
      <c r="AK248" s="48">
        <f>'Adani Enterprises'!AK248</f>
        <v>0</v>
      </c>
      <c r="AL248" s="48">
        <f>'Adani Enterprises'!AL248</f>
        <v>0</v>
      </c>
    </row>
    <row r="249" customHeight="1" spans="1:38">
      <c r="A249" s="48">
        <f>'Adani Enterprises'!A249</f>
        <v>0</v>
      </c>
      <c r="B249" s="48">
        <f>'Adani Enterprises'!B249</f>
        <v>0</v>
      </c>
      <c r="C249" s="48">
        <f>'Adani Enterprises'!C249</f>
        <v>0</v>
      </c>
      <c r="D249" s="48">
        <f>'Adani Enterprises'!D249</f>
        <v>0</v>
      </c>
      <c r="E249" s="48">
        <f>'Adani Enterprises'!E249</f>
        <v>0</v>
      </c>
      <c r="F249" s="48">
        <f>'Adani Enterprises'!F249</f>
        <v>0</v>
      </c>
      <c r="G249" s="48">
        <f>'Adani Enterprises'!G249</f>
        <v>0</v>
      </c>
      <c r="H249" s="48">
        <f>'Adani Enterprises'!H249</f>
        <v>0</v>
      </c>
      <c r="I249" s="48">
        <f>'Adani Enterprises'!I249</f>
        <v>0</v>
      </c>
      <c r="J249" s="48">
        <f>'Adani Enterprises'!J249</f>
        <v>0</v>
      </c>
      <c r="K249" s="48">
        <f>'Adani Enterprises'!K249</f>
        <v>0</v>
      </c>
      <c r="L249" s="48">
        <f>'Adani Enterprises'!L249</f>
        <v>0</v>
      </c>
      <c r="M249" s="48">
        <f>'Adani Enterprises'!M249</f>
        <v>0</v>
      </c>
      <c r="N249" s="48">
        <f>'Adani Enterprises'!N249</f>
        <v>0</v>
      </c>
      <c r="O249" s="48">
        <f>'Adani Enterprises'!O249</f>
        <v>0</v>
      </c>
      <c r="P249" s="48">
        <f>'Adani Enterprises'!P249</f>
        <v>0</v>
      </c>
      <c r="Q249" s="48">
        <f>'Adani Enterprises'!Q249</f>
        <v>0</v>
      </c>
      <c r="R249" s="48">
        <f>'Adani Enterprises'!R249</f>
        <v>0</v>
      </c>
      <c r="S249" s="48">
        <f>'Adani Enterprises'!S249</f>
        <v>0</v>
      </c>
      <c r="T249" s="48">
        <f>'Adani Enterprises'!T249</f>
        <v>0</v>
      </c>
      <c r="U249" s="48">
        <f>'Adani Enterprises'!U249</f>
        <v>0</v>
      </c>
      <c r="V249" s="48">
        <f>'Adani Enterprises'!V249</f>
        <v>0</v>
      </c>
      <c r="W249" s="48">
        <f>'Adani Enterprises'!W249</f>
        <v>0</v>
      </c>
      <c r="X249" s="48">
        <f>'Adani Enterprises'!X249</f>
        <v>0</v>
      </c>
      <c r="Y249" s="48">
        <f>'Adani Enterprises'!Y249</f>
        <v>0</v>
      </c>
      <c r="Z249" s="48">
        <f>'Adani Enterprises'!Z249</f>
        <v>0</v>
      </c>
      <c r="AA249" s="48">
        <f>'Adani Enterprises'!AA249</f>
        <v>0</v>
      </c>
      <c r="AB249" s="48">
        <f>'Adani Enterprises'!AB249</f>
        <v>0</v>
      </c>
      <c r="AC249" s="48">
        <f>'Adani Enterprises'!AC249</f>
        <v>0</v>
      </c>
      <c r="AD249" s="48">
        <f>'Adani Enterprises'!AD249</f>
        <v>0</v>
      </c>
      <c r="AE249" s="48">
        <f>'Adani Enterprises'!AE249</f>
        <v>0</v>
      </c>
      <c r="AF249" s="48">
        <f>'Adani Enterprises'!AF249</f>
        <v>0</v>
      </c>
      <c r="AG249" s="48">
        <f>'Adani Enterprises'!AG249</f>
        <v>0</v>
      </c>
      <c r="AH249" s="48">
        <f>'Adani Enterprises'!AH249</f>
        <v>0</v>
      </c>
      <c r="AI249" s="48">
        <f>'Adani Enterprises'!AI249</f>
        <v>0</v>
      </c>
      <c r="AJ249" s="48">
        <f>'Adani Enterprises'!AJ249</f>
        <v>0</v>
      </c>
      <c r="AK249" s="48">
        <f>'Adani Enterprises'!AK249</f>
        <v>0</v>
      </c>
      <c r="AL249" s="48">
        <f>'Adani Enterprises'!AL249</f>
        <v>0</v>
      </c>
    </row>
    <row r="250" customHeight="1" spans="1:38">
      <c r="A250" s="48">
        <f>'Adani Enterprises'!A250</f>
        <v>0</v>
      </c>
      <c r="B250" s="48">
        <f>'Adani Enterprises'!B250</f>
        <v>0</v>
      </c>
      <c r="C250" s="48">
        <f>'Adani Enterprises'!C250</f>
        <v>0</v>
      </c>
      <c r="D250" s="48">
        <f>'Adani Enterprises'!D250</f>
        <v>0</v>
      </c>
      <c r="E250" s="48">
        <f>'Adani Enterprises'!E250</f>
        <v>0</v>
      </c>
      <c r="F250" s="48">
        <f>'Adani Enterprises'!F250</f>
        <v>0</v>
      </c>
      <c r="G250" s="48">
        <f>'Adani Enterprises'!G250</f>
        <v>0</v>
      </c>
      <c r="H250" s="48">
        <f>'Adani Enterprises'!H250</f>
        <v>0</v>
      </c>
      <c r="I250" s="48">
        <f>'Adani Enterprises'!I250</f>
        <v>0</v>
      </c>
      <c r="J250" s="48">
        <f>'Adani Enterprises'!J250</f>
        <v>0</v>
      </c>
      <c r="K250" s="48">
        <f>'Adani Enterprises'!K250</f>
        <v>0</v>
      </c>
      <c r="L250" s="48">
        <f>'Adani Enterprises'!L250</f>
        <v>0</v>
      </c>
      <c r="M250" s="48">
        <f>'Adani Enterprises'!M250</f>
        <v>0</v>
      </c>
      <c r="N250" s="48">
        <f>'Adani Enterprises'!N250</f>
        <v>0</v>
      </c>
      <c r="O250" s="48">
        <f>'Adani Enterprises'!O250</f>
        <v>0</v>
      </c>
      <c r="P250" s="48">
        <f>'Adani Enterprises'!P250</f>
        <v>0</v>
      </c>
      <c r="Q250" s="48">
        <f>'Adani Enterprises'!Q250</f>
        <v>0</v>
      </c>
      <c r="R250" s="48">
        <f>'Adani Enterprises'!R250</f>
        <v>0</v>
      </c>
      <c r="S250" s="48">
        <f>'Adani Enterprises'!S250</f>
        <v>0</v>
      </c>
      <c r="T250" s="48">
        <f>'Adani Enterprises'!T250</f>
        <v>0</v>
      </c>
      <c r="U250" s="48">
        <f>'Adani Enterprises'!U250</f>
        <v>0</v>
      </c>
      <c r="V250" s="48">
        <f>'Adani Enterprises'!V250</f>
        <v>0</v>
      </c>
      <c r="W250" s="48">
        <f>'Adani Enterprises'!W250</f>
        <v>0</v>
      </c>
      <c r="X250" s="48">
        <f>'Adani Enterprises'!X250</f>
        <v>0</v>
      </c>
      <c r="Y250" s="48">
        <f>'Adani Enterprises'!Y250</f>
        <v>0</v>
      </c>
      <c r="Z250" s="48">
        <f>'Adani Enterprises'!Z250</f>
        <v>0</v>
      </c>
      <c r="AA250" s="48">
        <f>'Adani Enterprises'!AA250</f>
        <v>0</v>
      </c>
      <c r="AB250" s="48">
        <f>'Adani Enterprises'!AB250</f>
        <v>0</v>
      </c>
      <c r="AC250" s="48">
        <f>'Adani Enterprises'!AC250</f>
        <v>0</v>
      </c>
      <c r="AD250" s="48">
        <f>'Adani Enterprises'!AD250</f>
        <v>0</v>
      </c>
      <c r="AE250" s="48">
        <f>'Adani Enterprises'!AE250</f>
        <v>0</v>
      </c>
      <c r="AF250" s="48">
        <f>'Adani Enterprises'!AF250</f>
        <v>0</v>
      </c>
      <c r="AG250" s="48">
        <f>'Adani Enterprises'!AG250</f>
        <v>0</v>
      </c>
      <c r="AH250" s="48">
        <f>'Adani Enterprises'!AH250</f>
        <v>0</v>
      </c>
      <c r="AI250" s="48">
        <f>'Adani Enterprises'!AI250</f>
        <v>0</v>
      </c>
      <c r="AJ250" s="48">
        <f>'Adani Enterprises'!AJ250</f>
        <v>0</v>
      </c>
      <c r="AK250" s="48">
        <f>'Adani Enterprises'!AK250</f>
        <v>0</v>
      </c>
      <c r="AL250" s="48">
        <f>'Adani Enterprises'!AL250</f>
        <v>0</v>
      </c>
    </row>
    <row r="251" customHeight="1" spans="1:38">
      <c r="A251" s="48">
        <f>'Adani Enterprises'!A251</f>
        <v>0</v>
      </c>
      <c r="B251" s="48">
        <f>'Adani Enterprises'!B251</f>
        <v>0</v>
      </c>
      <c r="C251" s="48">
        <f>'Adani Enterprises'!C251</f>
        <v>0</v>
      </c>
      <c r="D251" s="48">
        <f>'Adani Enterprises'!D251</f>
        <v>0</v>
      </c>
      <c r="E251" s="48">
        <f>'Adani Enterprises'!E251</f>
        <v>0</v>
      </c>
      <c r="F251" s="48">
        <f>'Adani Enterprises'!F251</f>
        <v>0</v>
      </c>
      <c r="G251" s="48">
        <f>'Adani Enterprises'!G251</f>
        <v>0</v>
      </c>
      <c r="H251" s="48">
        <f>'Adani Enterprises'!H251</f>
        <v>0</v>
      </c>
      <c r="I251" s="48">
        <f>'Adani Enterprises'!I251</f>
        <v>0</v>
      </c>
      <c r="J251" s="48">
        <f>'Adani Enterprises'!J251</f>
        <v>0</v>
      </c>
      <c r="K251" s="48">
        <f>'Adani Enterprises'!K251</f>
        <v>0</v>
      </c>
      <c r="L251" s="48">
        <f>'Adani Enterprises'!L251</f>
        <v>0</v>
      </c>
      <c r="M251" s="48">
        <f>'Adani Enterprises'!M251</f>
        <v>0</v>
      </c>
      <c r="N251" s="48">
        <f>'Adani Enterprises'!N251</f>
        <v>0</v>
      </c>
      <c r="O251" s="48">
        <f>'Adani Enterprises'!O251</f>
        <v>0</v>
      </c>
      <c r="P251" s="48">
        <f>'Adani Enterprises'!P251</f>
        <v>0</v>
      </c>
      <c r="Q251" s="48">
        <f>'Adani Enterprises'!Q251</f>
        <v>0</v>
      </c>
      <c r="R251" s="48">
        <f>'Adani Enterprises'!R251</f>
        <v>0</v>
      </c>
      <c r="S251" s="48">
        <f>'Adani Enterprises'!S251</f>
        <v>0</v>
      </c>
      <c r="T251" s="48">
        <f>'Adani Enterprises'!T251</f>
        <v>0</v>
      </c>
      <c r="U251" s="48">
        <f>'Adani Enterprises'!U251</f>
        <v>0</v>
      </c>
      <c r="V251" s="48">
        <f>'Adani Enterprises'!V251</f>
        <v>0</v>
      </c>
      <c r="W251" s="48">
        <f>'Adani Enterprises'!W251</f>
        <v>0</v>
      </c>
      <c r="X251" s="48">
        <f>'Adani Enterprises'!X251</f>
        <v>0</v>
      </c>
      <c r="Y251" s="48">
        <f>'Adani Enterprises'!Y251</f>
        <v>0</v>
      </c>
      <c r="Z251" s="48">
        <f>'Adani Enterprises'!Z251</f>
        <v>0</v>
      </c>
      <c r="AA251" s="48">
        <f>'Adani Enterprises'!AA251</f>
        <v>0</v>
      </c>
      <c r="AB251" s="48">
        <f>'Adani Enterprises'!AB251</f>
        <v>0</v>
      </c>
      <c r="AC251" s="48">
        <f>'Adani Enterprises'!AC251</f>
        <v>0</v>
      </c>
      <c r="AD251" s="48">
        <f>'Adani Enterprises'!AD251</f>
        <v>0</v>
      </c>
      <c r="AE251" s="48">
        <f>'Adani Enterprises'!AE251</f>
        <v>0</v>
      </c>
      <c r="AF251" s="48">
        <f>'Adani Enterprises'!AF251</f>
        <v>0</v>
      </c>
      <c r="AG251" s="48">
        <f>'Adani Enterprises'!AG251</f>
        <v>0</v>
      </c>
      <c r="AH251" s="48">
        <f>'Adani Enterprises'!AH251</f>
        <v>0</v>
      </c>
      <c r="AI251" s="48">
        <f>'Adani Enterprises'!AI251</f>
        <v>0</v>
      </c>
      <c r="AJ251" s="48">
        <f>'Adani Enterprises'!AJ251</f>
        <v>0</v>
      </c>
      <c r="AK251" s="48">
        <f>'Adani Enterprises'!AK251</f>
        <v>0</v>
      </c>
      <c r="AL251" s="48">
        <f>'Adani Enterprises'!AL251</f>
        <v>0</v>
      </c>
    </row>
    <row r="252" customHeight="1" spans="1:38">
      <c r="A252" s="48">
        <f>'Adani Enterprises'!A252</f>
        <v>0</v>
      </c>
      <c r="B252" s="48">
        <f>'Adani Enterprises'!B252</f>
        <v>0</v>
      </c>
      <c r="C252" s="48">
        <f>'Adani Enterprises'!C252</f>
        <v>0</v>
      </c>
      <c r="D252" s="48">
        <f>'Adani Enterprises'!D252</f>
        <v>0</v>
      </c>
      <c r="E252" s="48">
        <f>'Adani Enterprises'!E252</f>
        <v>0</v>
      </c>
      <c r="F252" s="48">
        <f>'Adani Enterprises'!F252</f>
        <v>0</v>
      </c>
      <c r="G252" s="48">
        <f>'Adani Enterprises'!G252</f>
        <v>0</v>
      </c>
      <c r="H252" s="48">
        <f>'Adani Enterprises'!H252</f>
        <v>0</v>
      </c>
      <c r="I252" s="48">
        <f>'Adani Enterprises'!I252</f>
        <v>0</v>
      </c>
      <c r="J252" s="48">
        <f>'Adani Enterprises'!J252</f>
        <v>0</v>
      </c>
      <c r="K252" s="48">
        <f>'Adani Enterprises'!K252</f>
        <v>0</v>
      </c>
      <c r="L252" s="48">
        <f>'Adani Enterprises'!L252</f>
        <v>0</v>
      </c>
      <c r="M252" s="48">
        <f>'Adani Enterprises'!M252</f>
        <v>0</v>
      </c>
      <c r="N252" s="48">
        <f>'Adani Enterprises'!N252</f>
        <v>0</v>
      </c>
      <c r="O252" s="48">
        <f>'Adani Enterprises'!O252</f>
        <v>0</v>
      </c>
      <c r="P252" s="48">
        <f>'Adani Enterprises'!P252</f>
        <v>0</v>
      </c>
      <c r="Q252" s="48">
        <f>'Adani Enterprises'!Q252</f>
        <v>0</v>
      </c>
      <c r="R252" s="48">
        <f>'Adani Enterprises'!R252</f>
        <v>0</v>
      </c>
      <c r="S252" s="48">
        <f>'Adani Enterprises'!S252</f>
        <v>0</v>
      </c>
      <c r="T252" s="48">
        <f>'Adani Enterprises'!T252</f>
        <v>0</v>
      </c>
      <c r="U252" s="48">
        <f>'Adani Enterprises'!U252</f>
        <v>0</v>
      </c>
      <c r="V252" s="48">
        <f>'Adani Enterprises'!V252</f>
        <v>0</v>
      </c>
      <c r="W252" s="48">
        <f>'Adani Enterprises'!W252</f>
        <v>0</v>
      </c>
      <c r="X252" s="48">
        <f>'Adani Enterprises'!X252</f>
        <v>0</v>
      </c>
      <c r="Y252" s="48">
        <f>'Adani Enterprises'!Y252</f>
        <v>0</v>
      </c>
      <c r="Z252" s="48">
        <f>'Adani Enterprises'!Z252</f>
        <v>0</v>
      </c>
      <c r="AA252" s="48">
        <f>'Adani Enterprises'!AA252</f>
        <v>0</v>
      </c>
      <c r="AB252" s="48">
        <f>'Adani Enterprises'!AB252</f>
        <v>0</v>
      </c>
      <c r="AC252" s="48">
        <f>'Adani Enterprises'!AC252</f>
        <v>0</v>
      </c>
      <c r="AD252" s="48">
        <f>'Adani Enterprises'!AD252</f>
        <v>0</v>
      </c>
      <c r="AE252" s="48">
        <f>'Adani Enterprises'!AE252</f>
        <v>0</v>
      </c>
      <c r="AF252" s="48">
        <f>'Adani Enterprises'!AF252</f>
        <v>0</v>
      </c>
      <c r="AG252" s="48">
        <f>'Adani Enterprises'!AG252</f>
        <v>0</v>
      </c>
      <c r="AH252" s="48">
        <f>'Adani Enterprises'!AH252</f>
        <v>0</v>
      </c>
      <c r="AI252" s="48">
        <f>'Adani Enterprises'!AI252</f>
        <v>0</v>
      </c>
      <c r="AJ252" s="48">
        <f>'Adani Enterprises'!AJ252</f>
        <v>0</v>
      </c>
      <c r="AK252" s="48">
        <f>'Adani Enterprises'!AK252</f>
        <v>0</v>
      </c>
      <c r="AL252" s="48">
        <f>'Adani Enterprises'!AL252</f>
        <v>0</v>
      </c>
    </row>
    <row r="253" customHeight="1" spans="1:38">
      <c r="A253" s="48">
        <f>'Adani Enterprises'!A253</f>
        <v>0</v>
      </c>
      <c r="B253" s="48">
        <f>'Adani Enterprises'!B253</f>
        <v>0</v>
      </c>
      <c r="C253" s="48">
        <f>'Adani Enterprises'!C253</f>
        <v>0</v>
      </c>
      <c r="D253" s="48">
        <f>'Adani Enterprises'!D253</f>
        <v>0</v>
      </c>
      <c r="E253" s="48">
        <f>'Adani Enterprises'!E253</f>
        <v>0</v>
      </c>
      <c r="F253" s="48">
        <f>'Adani Enterprises'!F253</f>
        <v>0</v>
      </c>
      <c r="G253" s="48">
        <f>'Adani Enterprises'!G253</f>
        <v>0</v>
      </c>
      <c r="H253" s="48">
        <f>'Adani Enterprises'!H253</f>
        <v>0</v>
      </c>
      <c r="I253" s="48">
        <f>'Adani Enterprises'!I253</f>
        <v>0</v>
      </c>
      <c r="J253" s="48">
        <f>'Adani Enterprises'!J253</f>
        <v>0</v>
      </c>
      <c r="K253" s="48">
        <f>'Adani Enterprises'!K253</f>
        <v>0</v>
      </c>
      <c r="L253" s="48">
        <f>'Adani Enterprises'!L253</f>
        <v>0</v>
      </c>
      <c r="M253" s="48">
        <f>'Adani Enterprises'!M253</f>
        <v>0</v>
      </c>
      <c r="N253" s="48">
        <f>'Adani Enterprises'!N253</f>
        <v>0</v>
      </c>
      <c r="O253" s="48">
        <f>'Adani Enterprises'!O253</f>
        <v>0</v>
      </c>
      <c r="P253" s="48">
        <f>'Adani Enterprises'!P253</f>
        <v>0</v>
      </c>
      <c r="Q253" s="48">
        <f>'Adani Enterprises'!Q253</f>
        <v>0</v>
      </c>
      <c r="R253" s="48">
        <f>'Adani Enterprises'!R253</f>
        <v>0</v>
      </c>
      <c r="S253" s="48">
        <f>'Adani Enterprises'!S253</f>
        <v>0</v>
      </c>
      <c r="T253" s="48">
        <f>'Adani Enterprises'!T253</f>
        <v>0</v>
      </c>
      <c r="U253" s="48">
        <f>'Adani Enterprises'!U253</f>
        <v>0</v>
      </c>
      <c r="V253" s="48">
        <f>'Adani Enterprises'!V253</f>
        <v>0</v>
      </c>
      <c r="W253" s="48">
        <f>'Adani Enterprises'!W253</f>
        <v>0</v>
      </c>
      <c r="X253" s="48">
        <f>'Adani Enterprises'!X253</f>
        <v>0</v>
      </c>
      <c r="Y253" s="48">
        <f>'Adani Enterprises'!Y253</f>
        <v>0</v>
      </c>
      <c r="Z253" s="48">
        <f>'Adani Enterprises'!Z253</f>
        <v>0</v>
      </c>
      <c r="AA253" s="48">
        <f>'Adani Enterprises'!AA253</f>
        <v>0</v>
      </c>
      <c r="AB253" s="48">
        <f>'Adani Enterprises'!AB253</f>
        <v>0</v>
      </c>
      <c r="AC253" s="48">
        <f>'Adani Enterprises'!AC253</f>
        <v>0</v>
      </c>
      <c r="AD253" s="48">
        <f>'Adani Enterprises'!AD253</f>
        <v>0</v>
      </c>
      <c r="AE253" s="48">
        <f>'Adani Enterprises'!AE253</f>
        <v>0</v>
      </c>
      <c r="AF253" s="48">
        <f>'Adani Enterprises'!AF253</f>
        <v>0</v>
      </c>
      <c r="AG253" s="48">
        <f>'Adani Enterprises'!AG253</f>
        <v>0</v>
      </c>
      <c r="AH253" s="48">
        <f>'Adani Enterprises'!AH253</f>
        <v>0</v>
      </c>
      <c r="AI253" s="48">
        <f>'Adani Enterprises'!AI253</f>
        <v>0</v>
      </c>
      <c r="AJ253" s="48">
        <f>'Adani Enterprises'!AJ253</f>
        <v>0</v>
      </c>
      <c r="AK253" s="48">
        <f>'Adani Enterprises'!AK253</f>
        <v>0</v>
      </c>
      <c r="AL253" s="48">
        <f>'Adani Enterprises'!AL253</f>
        <v>0</v>
      </c>
    </row>
    <row r="254" customHeight="1" spans="1:38">
      <c r="A254" s="48">
        <f>'Adani Enterprises'!A254</f>
        <v>0</v>
      </c>
      <c r="B254" s="48">
        <f>'Adani Enterprises'!B254</f>
        <v>0</v>
      </c>
      <c r="C254" s="48">
        <f>'Adani Enterprises'!C254</f>
        <v>0</v>
      </c>
      <c r="D254" s="48">
        <f>'Adani Enterprises'!D254</f>
        <v>0</v>
      </c>
      <c r="E254" s="48">
        <f>'Adani Enterprises'!E254</f>
        <v>0</v>
      </c>
      <c r="F254" s="48">
        <f>'Adani Enterprises'!F254</f>
        <v>0</v>
      </c>
      <c r="G254" s="48">
        <f>'Adani Enterprises'!G254</f>
        <v>0</v>
      </c>
      <c r="H254" s="48">
        <f>'Adani Enterprises'!H254</f>
        <v>0</v>
      </c>
      <c r="I254" s="48">
        <f>'Adani Enterprises'!I254</f>
        <v>0</v>
      </c>
      <c r="J254" s="48">
        <f>'Adani Enterprises'!J254</f>
        <v>0</v>
      </c>
      <c r="K254" s="48">
        <f>'Adani Enterprises'!K254</f>
        <v>0</v>
      </c>
      <c r="L254" s="48">
        <f>'Adani Enterprises'!L254</f>
        <v>0</v>
      </c>
      <c r="M254" s="48">
        <f>'Adani Enterprises'!M254</f>
        <v>0</v>
      </c>
      <c r="N254" s="48">
        <f>'Adani Enterprises'!N254</f>
        <v>0</v>
      </c>
      <c r="O254" s="48">
        <f>'Adani Enterprises'!O254</f>
        <v>0</v>
      </c>
      <c r="P254" s="48">
        <f>'Adani Enterprises'!P254</f>
        <v>0</v>
      </c>
      <c r="Q254" s="48">
        <f>'Adani Enterprises'!Q254</f>
        <v>0</v>
      </c>
      <c r="R254" s="48">
        <f>'Adani Enterprises'!R254</f>
        <v>0</v>
      </c>
      <c r="S254" s="48">
        <f>'Adani Enterprises'!S254</f>
        <v>0</v>
      </c>
      <c r="T254" s="48">
        <f>'Adani Enterprises'!T254</f>
        <v>0</v>
      </c>
      <c r="U254" s="48">
        <f>'Adani Enterprises'!U254</f>
        <v>0</v>
      </c>
      <c r="V254" s="48">
        <f>'Adani Enterprises'!V254</f>
        <v>0</v>
      </c>
      <c r="W254" s="48">
        <f>'Adani Enterprises'!W254</f>
        <v>0</v>
      </c>
      <c r="X254" s="48">
        <f>'Adani Enterprises'!X254</f>
        <v>0</v>
      </c>
      <c r="Y254" s="48">
        <f>'Adani Enterprises'!Y254</f>
        <v>0</v>
      </c>
      <c r="Z254" s="48">
        <f>'Adani Enterprises'!Z254</f>
        <v>0</v>
      </c>
      <c r="AA254" s="48">
        <f>'Adani Enterprises'!AA254</f>
        <v>0</v>
      </c>
      <c r="AB254" s="48">
        <f>'Adani Enterprises'!AB254</f>
        <v>0</v>
      </c>
      <c r="AC254" s="48">
        <f>'Adani Enterprises'!AC254</f>
        <v>0</v>
      </c>
      <c r="AD254" s="48">
        <f>'Adani Enterprises'!AD254</f>
        <v>0</v>
      </c>
      <c r="AE254" s="48">
        <f>'Adani Enterprises'!AE254</f>
        <v>0</v>
      </c>
      <c r="AF254" s="48">
        <f>'Adani Enterprises'!AF254</f>
        <v>0</v>
      </c>
      <c r="AG254" s="48">
        <f>'Adani Enterprises'!AG254</f>
        <v>0</v>
      </c>
      <c r="AH254" s="48">
        <f>'Adani Enterprises'!AH254</f>
        <v>0</v>
      </c>
      <c r="AI254" s="48">
        <f>'Adani Enterprises'!AI254</f>
        <v>0</v>
      </c>
      <c r="AJ254" s="48">
        <f>'Adani Enterprises'!AJ254</f>
        <v>0</v>
      </c>
      <c r="AK254" s="48">
        <f>'Adani Enterprises'!AK254</f>
        <v>0</v>
      </c>
      <c r="AL254" s="48">
        <f>'Adani Enterprises'!AL254</f>
        <v>0</v>
      </c>
    </row>
    <row r="255" customHeight="1" spans="1:38">
      <c r="A255" s="48">
        <f>'Adani Enterprises'!A255</f>
        <v>0</v>
      </c>
      <c r="B255" s="48">
        <f>'Adani Enterprises'!B255</f>
        <v>0</v>
      </c>
      <c r="C255" s="48">
        <f>'Adani Enterprises'!C255</f>
        <v>0</v>
      </c>
      <c r="D255" s="48">
        <f>'Adani Enterprises'!D255</f>
        <v>0</v>
      </c>
      <c r="E255" s="48">
        <f>'Adani Enterprises'!E255</f>
        <v>0</v>
      </c>
      <c r="F255" s="48">
        <f>'Adani Enterprises'!F255</f>
        <v>0</v>
      </c>
      <c r="G255" s="48">
        <f>'Adani Enterprises'!G255</f>
        <v>0</v>
      </c>
      <c r="H255" s="48">
        <f>'Adani Enterprises'!H255</f>
        <v>0</v>
      </c>
      <c r="I255" s="48">
        <f>'Adani Enterprises'!I255</f>
        <v>0</v>
      </c>
      <c r="J255" s="48">
        <f>'Adani Enterprises'!J255</f>
        <v>0</v>
      </c>
      <c r="K255" s="48">
        <f>'Adani Enterprises'!K255</f>
        <v>0</v>
      </c>
      <c r="L255" s="48">
        <f>'Adani Enterprises'!L255</f>
        <v>0</v>
      </c>
      <c r="M255" s="48">
        <f>'Adani Enterprises'!M255</f>
        <v>0</v>
      </c>
      <c r="N255" s="48">
        <f>'Adani Enterprises'!N255</f>
        <v>0</v>
      </c>
      <c r="O255" s="48">
        <f>'Adani Enterprises'!O255</f>
        <v>0</v>
      </c>
      <c r="P255" s="48">
        <f>'Adani Enterprises'!P255</f>
        <v>0</v>
      </c>
      <c r="Q255" s="48">
        <f>'Adani Enterprises'!Q255</f>
        <v>0</v>
      </c>
      <c r="R255" s="48">
        <f>'Adani Enterprises'!R255</f>
        <v>0</v>
      </c>
      <c r="S255" s="48">
        <f>'Adani Enterprises'!S255</f>
        <v>0</v>
      </c>
      <c r="T255" s="48">
        <f>'Adani Enterprises'!T255</f>
        <v>0</v>
      </c>
      <c r="U255" s="48">
        <f>'Adani Enterprises'!U255</f>
        <v>0</v>
      </c>
      <c r="V255" s="48">
        <f>'Adani Enterprises'!V255</f>
        <v>0</v>
      </c>
      <c r="W255" s="48">
        <f>'Adani Enterprises'!W255</f>
        <v>0</v>
      </c>
      <c r="X255" s="48">
        <f>'Adani Enterprises'!X255</f>
        <v>0</v>
      </c>
      <c r="Y255" s="48">
        <f>'Adani Enterprises'!Y255</f>
        <v>0</v>
      </c>
      <c r="Z255" s="48">
        <f>'Adani Enterprises'!Z255</f>
        <v>0</v>
      </c>
      <c r="AA255" s="48">
        <f>'Adani Enterprises'!AA255</f>
        <v>0</v>
      </c>
      <c r="AB255" s="48">
        <f>'Adani Enterprises'!AB255</f>
        <v>0</v>
      </c>
      <c r="AC255" s="48">
        <f>'Adani Enterprises'!AC255</f>
        <v>0</v>
      </c>
      <c r="AD255" s="48">
        <f>'Adani Enterprises'!AD255</f>
        <v>0</v>
      </c>
      <c r="AE255" s="48">
        <f>'Adani Enterprises'!AE255</f>
        <v>0</v>
      </c>
      <c r="AF255" s="48">
        <f>'Adani Enterprises'!AF255</f>
        <v>0</v>
      </c>
      <c r="AG255" s="48">
        <f>'Adani Enterprises'!AG255</f>
        <v>0</v>
      </c>
      <c r="AH255" s="48">
        <f>'Adani Enterprises'!AH255</f>
        <v>0</v>
      </c>
      <c r="AI255" s="48">
        <f>'Adani Enterprises'!AI255</f>
        <v>0</v>
      </c>
      <c r="AJ255" s="48">
        <f>'Adani Enterprises'!AJ255</f>
        <v>0</v>
      </c>
      <c r="AK255" s="48">
        <f>'Adani Enterprises'!AK255</f>
        <v>0</v>
      </c>
      <c r="AL255" s="48">
        <f>'Adani Enterprises'!AL255</f>
        <v>0</v>
      </c>
    </row>
    <row r="256" customHeight="1" spans="1:38">
      <c r="A256" s="48">
        <f>'Adani Enterprises'!A256</f>
        <v>0</v>
      </c>
      <c r="B256" s="48">
        <f>'Adani Enterprises'!B256</f>
        <v>0</v>
      </c>
      <c r="C256" s="48">
        <f>'Adani Enterprises'!C256</f>
        <v>0</v>
      </c>
      <c r="D256" s="48">
        <f>'Adani Enterprises'!D256</f>
        <v>0</v>
      </c>
      <c r="E256" s="48">
        <f>'Adani Enterprises'!E256</f>
        <v>0</v>
      </c>
      <c r="F256" s="48">
        <f>'Adani Enterprises'!F256</f>
        <v>0</v>
      </c>
      <c r="G256" s="48">
        <f>'Adani Enterprises'!G256</f>
        <v>0</v>
      </c>
      <c r="H256" s="48">
        <f>'Adani Enterprises'!H256</f>
        <v>0</v>
      </c>
      <c r="I256" s="48">
        <f>'Adani Enterprises'!I256</f>
        <v>0</v>
      </c>
      <c r="J256" s="48">
        <f>'Adani Enterprises'!J256</f>
        <v>0</v>
      </c>
      <c r="K256" s="48">
        <f>'Adani Enterprises'!K256</f>
        <v>0</v>
      </c>
      <c r="L256" s="48">
        <f>'Adani Enterprises'!L256</f>
        <v>0</v>
      </c>
      <c r="M256" s="48">
        <f>'Adani Enterprises'!M256</f>
        <v>0</v>
      </c>
      <c r="N256" s="48">
        <f>'Adani Enterprises'!N256</f>
        <v>0</v>
      </c>
      <c r="O256" s="48">
        <f>'Adani Enterprises'!O256</f>
        <v>0</v>
      </c>
      <c r="P256" s="48">
        <f>'Adani Enterprises'!P256</f>
        <v>0</v>
      </c>
      <c r="Q256" s="48">
        <f>'Adani Enterprises'!Q256</f>
        <v>0</v>
      </c>
      <c r="R256" s="48">
        <f>'Adani Enterprises'!R256</f>
        <v>0</v>
      </c>
      <c r="S256" s="48">
        <f>'Adani Enterprises'!S256</f>
        <v>0</v>
      </c>
      <c r="T256" s="48">
        <f>'Adani Enterprises'!T256</f>
        <v>0</v>
      </c>
      <c r="U256" s="48">
        <f>'Adani Enterprises'!U256</f>
        <v>0</v>
      </c>
      <c r="V256" s="48">
        <f>'Adani Enterprises'!V256</f>
        <v>0</v>
      </c>
      <c r="W256" s="48">
        <f>'Adani Enterprises'!W256</f>
        <v>0</v>
      </c>
      <c r="X256" s="48">
        <f>'Adani Enterprises'!X256</f>
        <v>0</v>
      </c>
      <c r="Y256" s="48">
        <f>'Adani Enterprises'!Y256</f>
        <v>0</v>
      </c>
      <c r="Z256" s="48">
        <f>'Adani Enterprises'!Z256</f>
        <v>0</v>
      </c>
      <c r="AA256" s="48">
        <f>'Adani Enterprises'!AA256</f>
        <v>0</v>
      </c>
      <c r="AB256" s="48">
        <f>'Adani Enterprises'!AB256</f>
        <v>0</v>
      </c>
      <c r="AC256" s="48">
        <f>'Adani Enterprises'!AC256</f>
        <v>0</v>
      </c>
      <c r="AD256" s="48">
        <f>'Adani Enterprises'!AD256</f>
        <v>0</v>
      </c>
      <c r="AE256" s="48">
        <f>'Adani Enterprises'!AE256</f>
        <v>0</v>
      </c>
      <c r="AF256" s="48">
        <f>'Adani Enterprises'!AF256</f>
        <v>0</v>
      </c>
      <c r="AG256" s="48">
        <f>'Adani Enterprises'!AG256</f>
        <v>0</v>
      </c>
      <c r="AH256" s="48">
        <f>'Adani Enterprises'!AH256</f>
        <v>0</v>
      </c>
      <c r="AI256" s="48">
        <f>'Adani Enterprises'!AI256</f>
        <v>0</v>
      </c>
      <c r="AJ256" s="48">
        <f>'Adani Enterprises'!AJ256</f>
        <v>0</v>
      </c>
      <c r="AK256" s="48">
        <f>'Adani Enterprises'!AK256</f>
        <v>0</v>
      </c>
      <c r="AL256" s="48">
        <f>'Adani Enterprises'!AL256</f>
        <v>0</v>
      </c>
    </row>
    <row r="257" customHeight="1" spans="1:38">
      <c r="A257" s="48">
        <f>'Adani Enterprises'!A257</f>
        <v>0</v>
      </c>
      <c r="B257" s="48">
        <f>'Adani Enterprises'!B257</f>
        <v>0</v>
      </c>
      <c r="C257" s="48">
        <f>'Adani Enterprises'!C257</f>
        <v>0</v>
      </c>
      <c r="D257" s="48">
        <f>'Adani Enterprises'!D257</f>
        <v>0</v>
      </c>
      <c r="E257" s="48">
        <f>'Adani Enterprises'!E257</f>
        <v>0</v>
      </c>
      <c r="F257" s="48">
        <f>'Adani Enterprises'!F257</f>
        <v>0</v>
      </c>
      <c r="G257" s="48">
        <f>'Adani Enterprises'!G257</f>
        <v>0</v>
      </c>
      <c r="H257" s="48">
        <f>'Adani Enterprises'!H257</f>
        <v>0</v>
      </c>
      <c r="I257" s="48">
        <f>'Adani Enterprises'!I257</f>
        <v>0</v>
      </c>
      <c r="J257" s="48">
        <f>'Adani Enterprises'!J257</f>
        <v>0</v>
      </c>
      <c r="K257" s="48">
        <f>'Adani Enterprises'!K257</f>
        <v>0</v>
      </c>
      <c r="L257" s="48">
        <f>'Adani Enterprises'!L257</f>
        <v>0</v>
      </c>
      <c r="M257" s="48">
        <f>'Adani Enterprises'!M257</f>
        <v>0</v>
      </c>
      <c r="N257" s="48">
        <f>'Adani Enterprises'!N257</f>
        <v>0</v>
      </c>
      <c r="O257" s="48">
        <f>'Adani Enterprises'!O257</f>
        <v>0</v>
      </c>
      <c r="P257" s="48">
        <f>'Adani Enterprises'!P257</f>
        <v>0</v>
      </c>
      <c r="Q257" s="48">
        <f>'Adani Enterprises'!Q257</f>
        <v>0</v>
      </c>
      <c r="R257" s="48">
        <f>'Adani Enterprises'!R257</f>
        <v>0</v>
      </c>
      <c r="S257" s="48">
        <f>'Adani Enterprises'!S257</f>
        <v>0</v>
      </c>
      <c r="T257" s="48">
        <f>'Adani Enterprises'!T257</f>
        <v>0</v>
      </c>
      <c r="U257" s="48">
        <f>'Adani Enterprises'!U257</f>
        <v>0</v>
      </c>
      <c r="V257" s="48">
        <f>'Adani Enterprises'!V257</f>
        <v>0</v>
      </c>
      <c r="W257" s="48">
        <f>'Adani Enterprises'!W257</f>
        <v>0</v>
      </c>
      <c r="X257" s="48">
        <f>'Adani Enterprises'!X257</f>
        <v>0</v>
      </c>
      <c r="Y257" s="48">
        <f>'Adani Enterprises'!Y257</f>
        <v>0</v>
      </c>
      <c r="Z257" s="48">
        <f>'Adani Enterprises'!Z257</f>
        <v>0</v>
      </c>
      <c r="AA257" s="48">
        <f>'Adani Enterprises'!AA257</f>
        <v>0</v>
      </c>
      <c r="AB257" s="48">
        <f>'Adani Enterprises'!AB257</f>
        <v>0</v>
      </c>
      <c r="AC257" s="48">
        <f>'Adani Enterprises'!AC257</f>
        <v>0</v>
      </c>
      <c r="AD257" s="48">
        <f>'Adani Enterprises'!AD257</f>
        <v>0</v>
      </c>
      <c r="AE257" s="48">
        <f>'Adani Enterprises'!AE257</f>
        <v>0</v>
      </c>
      <c r="AF257" s="48">
        <f>'Adani Enterprises'!AF257</f>
        <v>0</v>
      </c>
      <c r="AG257" s="48">
        <f>'Adani Enterprises'!AG257</f>
        <v>0</v>
      </c>
      <c r="AH257" s="48">
        <f>'Adani Enterprises'!AH257</f>
        <v>0</v>
      </c>
      <c r="AI257" s="48">
        <f>'Adani Enterprises'!AI257</f>
        <v>0</v>
      </c>
      <c r="AJ257" s="48">
        <f>'Adani Enterprises'!AJ257</f>
        <v>0</v>
      </c>
      <c r="AK257" s="48">
        <f>'Adani Enterprises'!AK257</f>
        <v>0</v>
      </c>
      <c r="AL257" s="48">
        <f>'Adani Enterprises'!AL257</f>
        <v>0</v>
      </c>
    </row>
    <row r="258" customHeight="1" spans="1:38">
      <c r="A258" s="48">
        <f>'Adani Enterprises'!A258</f>
        <v>0</v>
      </c>
      <c r="B258" s="48">
        <f>'Adani Enterprises'!B258</f>
        <v>0</v>
      </c>
      <c r="C258" s="48">
        <f>'Adani Enterprises'!C258</f>
        <v>0</v>
      </c>
      <c r="D258" s="48">
        <f>'Adani Enterprises'!D258</f>
        <v>0</v>
      </c>
      <c r="E258" s="48">
        <f>'Adani Enterprises'!E258</f>
        <v>0</v>
      </c>
      <c r="F258" s="48">
        <f>'Adani Enterprises'!F258</f>
        <v>0</v>
      </c>
      <c r="G258" s="48">
        <f>'Adani Enterprises'!G258</f>
        <v>0</v>
      </c>
      <c r="H258" s="48">
        <f>'Adani Enterprises'!H258</f>
        <v>0</v>
      </c>
      <c r="I258" s="48">
        <f>'Adani Enterprises'!I258</f>
        <v>0</v>
      </c>
      <c r="J258" s="48">
        <f>'Adani Enterprises'!J258</f>
        <v>0</v>
      </c>
      <c r="K258" s="48">
        <f>'Adani Enterprises'!K258</f>
        <v>0</v>
      </c>
      <c r="L258" s="48">
        <f>'Adani Enterprises'!L258</f>
        <v>0</v>
      </c>
      <c r="M258" s="48">
        <f>'Adani Enterprises'!M258</f>
        <v>0</v>
      </c>
      <c r="N258" s="48">
        <f>'Adani Enterprises'!N258</f>
        <v>0</v>
      </c>
      <c r="O258" s="48">
        <f>'Adani Enterprises'!O258</f>
        <v>0</v>
      </c>
      <c r="P258" s="48">
        <f>'Adani Enterprises'!P258</f>
        <v>0</v>
      </c>
      <c r="Q258" s="48">
        <f>'Adani Enterprises'!Q258</f>
        <v>0</v>
      </c>
      <c r="R258" s="48">
        <f>'Adani Enterprises'!R258</f>
        <v>0</v>
      </c>
      <c r="S258" s="48">
        <f>'Adani Enterprises'!S258</f>
        <v>0</v>
      </c>
      <c r="T258" s="48">
        <f>'Adani Enterprises'!T258</f>
        <v>0</v>
      </c>
      <c r="U258" s="48">
        <f>'Adani Enterprises'!U258</f>
        <v>0</v>
      </c>
      <c r="V258" s="48">
        <f>'Adani Enterprises'!V258</f>
        <v>0</v>
      </c>
      <c r="W258" s="48">
        <f>'Adani Enterprises'!W258</f>
        <v>0</v>
      </c>
      <c r="X258" s="48">
        <f>'Adani Enterprises'!X258</f>
        <v>0</v>
      </c>
      <c r="Y258" s="48">
        <f>'Adani Enterprises'!Y258</f>
        <v>0</v>
      </c>
      <c r="Z258" s="48">
        <f>'Adani Enterprises'!Z258</f>
        <v>0</v>
      </c>
      <c r="AA258" s="48">
        <f>'Adani Enterprises'!AA258</f>
        <v>0</v>
      </c>
      <c r="AB258" s="48">
        <f>'Adani Enterprises'!AB258</f>
        <v>0</v>
      </c>
      <c r="AC258" s="48">
        <f>'Adani Enterprises'!AC258</f>
        <v>0</v>
      </c>
      <c r="AD258" s="48">
        <f>'Adani Enterprises'!AD258</f>
        <v>0</v>
      </c>
      <c r="AE258" s="48">
        <f>'Adani Enterprises'!AE258</f>
        <v>0</v>
      </c>
      <c r="AF258" s="48">
        <f>'Adani Enterprises'!AF258</f>
        <v>0</v>
      </c>
      <c r="AG258" s="48">
        <f>'Adani Enterprises'!AG258</f>
        <v>0</v>
      </c>
      <c r="AH258" s="48">
        <f>'Adani Enterprises'!AH258</f>
        <v>0</v>
      </c>
      <c r="AI258" s="48">
        <f>'Adani Enterprises'!AI258</f>
        <v>0</v>
      </c>
      <c r="AJ258" s="48">
        <f>'Adani Enterprises'!AJ258</f>
        <v>0</v>
      </c>
      <c r="AK258" s="48">
        <f>'Adani Enterprises'!AK258</f>
        <v>0</v>
      </c>
      <c r="AL258" s="48">
        <f>'Adani Enterprises'!AL258</f>
        <v>0</v>
      </c>
    </row>
    <row r="259" customHeight="1" spans="1:38">
      <c r="A259" s="48">
        <f>'Adani Enterprises'!A259</f>
        <v>0</v>
      </c>
      <c r="B259" s="48">
        <f>'Adani Enterprises'!B259</f>
        <v>0</v>
      </c>
      <c r="C259" s="48">
        <f>'Adani Enterprises'!C259</f>
        <v>0</v>
      </c>
      <c r="D259" s="48">
        <f>'Adani Enterprises'!D259</f>
        <v>0</v>
      </c>
      <c r="E259" s="48">
        <f>'Adani Enterprises'!E259</f>
        <v>0</v>
      </c>
      <c r="F259" s="48">
        <f>'Adani Enterprises'!F259</f>
        <v>0</v>
      </c>
      <c r="G259" s="48">
        <f>'Adani Enterprises'!G259</f>
        <v>0</v>
      </c>
      <c r="H259" s="48">
        <f>'Adani Enterprises'!H259</f>
        <v>0</v>
      </c>
      <c r="I259" s="48">
        <f>'Adani Enterprises'!I259</f>
        <v>0</v>
      </c>
      <c r="J259" s="48">
        <f>'Adani Enterprises'!J259</f>
        <v>0</v>
      </c>
      <c r="K259" s="48">
        <f>'Adani Enterprises'!K259</f>
        <v>0</v>
      </c>
      <c r="L259" s="48">
        <f>'Adani Enterprises'!L259</f>
        <v>0</v>
      </c>
      <c r="M259" s="48">
        <f>'Adani Enterprises'!M259</f>
        <v>0</v>
      </c>
      <c r="N259" s="48">
        <f>'Adani Enterprises'!N259</f>
        <v>0</v>
      </c>
      <c r="O259" s="48">
        <f>'Adani Enterprises'!O259</f>
        <v>0</v>
      </c>
      <c r="P259" s="48">
        <f>'Adani Enterprises'!P259</f>
        <v>0</v>
      </c>
      <c r="Q259" s="48">
        <f>'Adani Enterprises'!Q259</f>
        <v>0</v>
      </c>
      <c r="R259" s="48">
        <f>'Adani Enterprises'!R259</f>
        <v>0</v>
      </c>
      <c r="S259" s="48">
        <f>'Adani Enterprises'!S259</f>
        <v>0</v>
      </c>
      <c r="T259" s="48">
        <f>'Adani Enterprises'!T259</f>
        <v>0</v>
      </c>
      <c r="U259" s="48">
        <f>'Adani Enterprises'!U259</f>
        <v>0</v>
      </c>
      <c r="V259" s="48">
        <f>'Adani Enterprises'!V259</f>
        <v>0</v>
      </c>
      <c r="W259" s="48">
        <f>'Adani Enterprises'!W259</f>
        <v>0</v>
      </c>
      <c r="X259" s="48">
        <f>'Adani Enterprises'!X259</f>
        <v>0</v>
      </c>
      <c r="Y259" s="48">
        <f>'Adani Enterprises'!Y259</f>
        <v>0</v>
      </c>
      <c r="Z259" s="48">
        <f>'Adani Enterprises'!Z259</f>
        <v>0</v>
      </c>
      <c r="AA259" s="48">
        <f>'Adani Enterprises'!AA259</f>
        <v>0</v>
      </c>
      <c r="AB259" s="48">
        <f>'Adani Enterprises'!AB259</f>
        <v>0</v>
      </c>
      <c r="AC259" s="48">
        <f>'Adani Enterprises'!AC259</f>
        <v>0</v>
      </c>
      <c r="AD259" s="48">
        <f>'Adani Enterprises'!AD259</f>
        <v>0</v>
      </c>
      <c r="AE259" s="48">
        <f>'Adani Enterprises'!AE259</f>
        <v>0</v>
      </c>
      <c r="AF259" s="48">
        <f>'Adani Enterprises'!AF259</f>
        <v>0</v>
      </c>
      <c r="AG259" s="48">
        <f>'Adani Enterprises'!AG259</f>
        <v>0</v>
      </c>
      <c r="AH259" s="48">
        <f>'Adani Enterprises'!AH259</f>
        <v>0</v>
      </c>
      <c r="AI259" s="48">
        <f>'Adani Enterprises'!AI259</f>
        <v>0</v>
      </c>
      <c r="AJ259" s="48">
        <f>'Adani Enterprises'!AJ259</f>
        <v>0</v>
      </c>
      <c r="AK259" s="48">
        <f>'Adani Enterprises'!AK259</f>
        <v>0</v>
      </c>
      <c r="AL259" s="48">
        <f>'Adani Enterprises'!AL259</f>
        <v>0</v>
      </c>
    </row>
    <row r="260" customHeight="1" spans="1:38">
      <c r="A260" s="48">
        <f>'Adani Enterprises'!A260</f>
        <v>0</v>
      </c>
      <c r="B260" s="48">
        <f>'Adani Enterprises'!B260</f>
        <v>0</v>
      </c>
      <c r="C260" s="48">
        <f>'Adani Enterprises'!C260</f>
        <v>0</v>
      </c>
      <c r="D260" s="48">
        <f>'Adani Enterprises'!D260</f>
        <v>0</v>
      </c>
      <c r="E260" s="48">
        <f>'Adani Enterprises'!E260</f>
        <v>0</v>
      </c>
      <c r="F260" s="48">
        <f>'Adani Enterprises'!F260</f>
        <v>0</v>
      </c>
      <c r="G260" s="48">
        <f>'Adani Enterprises'!G260</f>
        <v>0</v>
      </c>
      <c r="H260" s="48">
        <f>'Adani Enterprises'!H260</f>
        <v>0</v>
      </c>
      <c r="I260" s="48">
        <f>'Adani Enterprises'!I260</f>
        <v>0</v>
      </c>
      <c r="J260" s="48">
        <f>'Adani Enterprises'!J260</f>
        <v>0</v>
      </c>
      <c r="K260" s="48">
        <f>'Adani Enterprises'!K260</f>
        <v>0</v>
      </c>
      <c r="L260" s="48">
        <f>'Adani Enterprises'!L260</f>
        <v>0</v>
      </c>
      <c r="M260" s="48">
        <f>'Adani Enterprises'!M260</f>
        <v>0</v>
      </c>
      <c r="N260" s="48">
        <f>'Adani Enterprises'!N260</f>
        <v>0</v>
      </c>
      <c r="O260" s="48">
        <f>'Adani Enterprises'!O260</f>
        <v>0</v>
      </c>
      <c r="P260" s="48">
        <f>'Adani Enterprises'!P260</f>
        <v>0</v>
      </c>
      <c r="Q260" s="48">
        <f>'Adani Enterprises'!Q260</f>
        <v>0</v>
      </c>
      <c r="R260" s="48">
        <f>'Adani Enterprises'!R260</f>
        <v>0</v>
      </c>
      <c r="S260" s="48">
        <f>'Adani Enterprises'!S260</f>
        <v>0</v>
      </c>
      <c r="T260" s="48">
        <f>'Adani Enterprises'!T260</f>
        <v>0</v>
      </c>
      <c r="U260" s="48">
        <f>'Adani Enterprises'!U260</f>
        <v>0</v>
      </c>
      <c r="V260" s="48">
        <f>'Adani Enterprises'!V260</f>
        <v>0</v>
      </c>
      <c r="W260" s="48">
        <f>'Adani Enterprises'!W260</f>
        <v>0</v>
      </c>
      <c r="X260" s="48">
        <f>'Adani Enterprises'!X260</f>
        <v>0</v>
      </c>
      <c r="Y260" s="48">
        <f>'Adani Enterprises'!Y260</f>
        <v>0</v>
      </c>
      <c r="Z260" s="48">
        <f>'Adani Enterprises'!Z260</f>
        <v>0</v>
      </c>
      <c r="AA260" s="48">
        <f>'Adani Enterprises'!AA260</f>
        <v>0</v>
      </c>
      <c r="AB260" s="48">
        <f>'Adani Enterprises'!AB260</f>
        <v>0</v>
      </c>
      <c r="AC260" s="48">
        <f>'Adani Enterprises'!AC260</f>
        <v>0</v>
      </c>
      <c r="AD260" s="48">
        <f>'Adani Enterprises'!AD260</f>
        <v>0</v>
      </c>
      <c r="AE260" s="48">
        <f>'Adani Enterprises'!AE260</f>
        <v>0</v>
      </c>
      <c r="AF260" s="48">
        <f>'Adani Enterprises'!AF260</f>
        <v>0</v>
      </c>
      <c r="AG260" s="48">
        <f>'Adani Enterprises'!AG260</f>
        <v>0</v>
      </c>
      <c r="AH260" s="48">
        <f>'Adani Enterprises'!AH260</f>
        <v>0</v>
      </c>
      <c r="AI260" s="48">
        <f>'Adani Enterprises'!AI260</f>
        <v>0</v>
      </c>
      <c r="AJ260" s="48">
        <f>'Adani Enterprises'!AJ260</f>
        <v>0</v>
      </c>
      <c r="AK260" s="48">
        <f>'Adani Enterprises'!AK260</f>
        <v>0</v>
      </c>
      <c r="AL260" s="48">
        <f>'Adani Enterprises'!AL260</f>
        <v>0</v>
      </c>
    </row>
    <row r="261" customHeight="1" spans="1:38">
      <c r="A261" s="48">
        <f>'Adani Enterprises'!A261</f>
        <v>0</v>
      </c>
      <c r="B261" s="48">
        <f>'Adani Enterprises'!B261</f>
        <v>0</v>
      </c>
      <c r="C261" s="48">
        <f>'Adani Enterprises'!C261</f>
        <v>0</v>
      </c>
      <c r="D261" s="48">
        <f>'Adani Enterprises'!D261</f>
        <v>0</v>
      </c>
      <c r="E261" s="48">
        <f>'Adani Enterprises'!E261</f>
        <v>0</v>
      </c>
      <c r="F261" s="48">
        <f>'Adani Enterprises'!F261</f>
        <v>0</v>
      </c>
      <c r="G261" s="48">
        <f>'Adani Enterprises'!G261</f>
        <v>0</v>
      </c>
      <c r="H261" s="48">
        <f>'Adani Enterprises'!H261</f>
        <v>0</v>
      </c>
      <c r="I261" s="48">
        <f>'Adani Enterprises'!I261</f>
        <v>0</v>
      </c>
      <c r="J261" s="48">
        <f>'Adani Enterprises'!J261</f>
        <v>0</v>
      </c>
      <c r="K261" s="48">
        <f>'Adani Enterprises'!K261</f>
        <v>0</v>
      </c>
      <c r="L261" s="48">
        <f>'Adani Enterprises'!L261</f>
        <v>0</v>
      </c>
      <c r="M261" s="48">
        <f>'Adani Enterprises'!M261</f>
        <v>0</v>
      </c>
      <c r="N261" s="48">
        <f>'Adani Enterprises'!N261</f>
        <v>0</v>
      </c>
      <c r="O261" s="48">
        <f>'Adani Enterprises'!O261</f>
        <v>0</v>
      </c>
      <c r="P261" s="48">
        <f>'Adani Enterprises'!P261</f>
        <v>0</v>
      </c>
      <c r="Q261" s="48">
        <f>'Adani Enterprises'!Q261</f>
        <v>0</v>
      </c>
      <c r="R261" s="48">
        <f>'Adani Enterprises'!R261</f>
        <v>0</v>
      </c>
      <c r="S261" s="48">
        <f>'Adani Enterprises'!S261</f>
        <v>0</v>
      </c>
      <c r="T261" s="48">
        <f>'Adani Enterprises'!T261</f>
        <v>0</v>
      </c>
      <c r="U261" s="48">
        <f>'Adani Enterprises'!U261</f>
        <v>0</v>
      </c>
      <c r="V261" s="48">
        <f>'Adani Enterprises'!V261</f>
        <v>0</v>
      </c>
      <c r="W261" s="48">
        <f>'Adani Enterprises'!W261</f>
        <v>0</v>
      </c>
      <c r="X261" s="48">
        <f>'Adani Enterprises'!X261</f>
        <v>0</v>
      </c>
      <c r="Y261" s="48">
        <f>'Adani Enterprises'!Y261</f>
        <v>0</v>
      </c>
      <c r="Z261" s="48">
        <f>'Adani Enterprises'!Z261</f>
        <v>0</v>
      </c>
      <c r="AA261" s="48">
        <f>'Adani Enterprises'!AA261</f>
        <v>0</v>
      </c>
      <c r="AB261" s="48">
        <f>'Adani Enterprises'!AB261</f>
        <v>0</v>
      </c>
      <c r="AC261" s="48">
        <f>'Adani Enterprises'!AC261</f>
        <v>0</v>
      </c>
      <c r="AD261" s="48">
        <f>'Adani Enterprises'!AD261</f>
        <v>0</v>
      </c>
      <c r="AE261" s="48">
        <f>'Adani Enterprises'!AE261</f>
        <v>0</v>
      </c>
      <c r="AF261" s="48">
        <f>'Adani Enterprises'!AF261</f>
        <v>0</v>
      </c>
      <c r="AG261" s="48">
        <f>'Adani Enterprises'!AG261</f>
        <v>0</v>
      </c>
      <c r="AH261" s="48">
        <f>'Adani Enterprises'!AH261</f>
        <v>0</v>
      </c>
      <c r="AI261" s="48">
        <f>'Adani Enterprises'!AI261</f>
        <v>0</v>
      </c>
      <c r="AJ261" s="48">
        <f>'Adani Enterprises'!AJ261</f>
        <v>0</v>
      </c>
      <c r="AK261" s="48">
        <f>'Adani Enterprises'!AK261</f>
        <v>0</v>
      </c>
      <c r="AL261" s="48">
        <f>'Adani Enterprises'!AL261</f>
        <v>0</v>
      </c>
    </row>
    <row r="262" customHeight="1" spans="1:38">
      <c r="A262" s="48">
        <f>'Adani Enterprises'!A262</f>
        <v>0</v>
      </c>
      <c r="B262" s="48">
        <f>'Adani Enterprises'!B262</f>
        <v>0</v>
      </c>
      <c r="C262" s="48">
        <f>'Adani Enterprises'!C262</f>
        <v>0</v>
      </c>
      <c r="D262" s="48">
        <f>'Adani Enterprises'!D262</f>
        <v>0</v>
      </c>
      <c r="E262" s="48">
        <f>'Adani Enterprises'!E262</f>
        <v>0</v>
      </c>
      <c r="F262" s="48">
        <f>'Adani Enterprises'!F262</f>
        <v>0</v>
      </c>
      <c r="G262" s="48">
        <f>'Adani Enterprises'!G262</f>
        <v>0</v>
      </c>
      <c r="H262" s="48">
        <f>'Adani Enterprises'!H262</f>
        <v>0</v>
      </c>
      <c r="I262" s="48">
        <f>'Adani Enterprises'!I262</f>
        <v>0</v>
      </c>
      <c r="J262" s="48">
        <f>'Adani Enterprises'!J262</f>
        <v>0</v>
      </c>
      <c r="K262" s="48">
        <f>'Adani Enterprises'!K262</f>
        <v>0</v>
      </c>
      <c r="L262" s="48">
        <f>'Adani Enterprises'!L262</f>
        <v>0</v>
      </c>
      <c r="M262" s="48">
        <f>'Adani Enterprises'!M262</f>
        <v>0</v>
      </c>
      <c r="N262" s="48">
        <f>'Adani Enterprises'!N262</f>
        <v>0</v>
      </c>
      <c r="O262" s="48">
        <f>'Adani Enterprises'!O262</f>
        <v>0</v>
      </c>
      <c r="P262" s="48">
        <f>'Adani Enterprises'!P262</f>
        <v>0</v>
      </c>
      <c r="Q262" s="48">
        <f>'Adani Enterprises'!Q262</f>
        <v>0</v>
      </c>
      <c r="R262" s="48">
        <f>'Adani Enterprises'!R262</f>
        <v>0</v>
      </c>
      <c r="S262" s="48">
        <f>'Adani Enterprises'!S262</f>
        <v>0</v>
      </c>
      <c r="T262" s="48">
        <f>'Adani Enterprises'!T262</f>
        <v>0</v>
      </c>
      <c r="U262" s="48">
        <f>'Adani Enterprises'!U262</f>
        <v>0</v>
      </c>
      <c r="V262" s="48">
        <f>'Adani Enterprises'!V262</f>
        <v>0</v>
      </c>
      <c r="W262" s="48">
        <f>'Adani Enterprises'!W262</f>
        <v>0</v>
      </c>
      <c r="X262" s="48">
        <f>'Adani Enterprises'!X262</f>
        <v>0</v>
      </c>
      <c r="Y262" s="48">
        <f>'Adani Enterprises'!Y262</f>
        <v>0</v>
      </c>
      <c r="Z262" s="48">
        <f>'Adani Enterprises'!Z262</f>
        <v>0</v>
      </c>
      <c r="AA262" s="48">
        <f>'Adani Enterprises'!AA262</f>
        <v>0</v>
      </c>
      <c r="AB262" s="48">
        <f>'Adani Enterprises'!AB262</f>
        <v>0</v>
      </c>
      <c r="AC262" s="48">
        <f>'Adani Enterprises'!AC262</f>
        <v>0</v>
      </c>
      <c r="AD262" s="48">
        <f>'Adani Enterprises'!AD262</f>
        <v>0</v>
      </c>
      <c r="AE262" s="48">
        <f>'Adani Enterprises'!AE262</f>
        <v>0</v>
      </c>
      <c r="AF262" s="48">
        <f>'Adani Enterprises'!AF262</f>
        <v>0</v>
      </c>
      <c r="AG262" s="48">
        <f>'Adani Enterprises'!AG262</f>
        <v>0</v>
      </c>
      <c r="AH262" s="48">
        <f>'Adani Enterprises'!AH262</f>
        <v>0</v>
      </c>
      <c r="AI262" s="48">
        <f>'Adani Enterprises'!AI262</f>
        <v>0</v>
      </c>
      <c r="AJ262" s="48">
        <f>'Adani Enterprises'!AJ262</f>
        <v>0</v>
      </c>
      <c r="AK262" s="48">
        <f>'Adani Enterprises'!AK262</f>
        <v>0</v>
      </c>
      <c r="AL262" s="48">
        <f>'Adani Enterprises'!AL262</f>
        <v>0</v>
      </c>
    </row>
    <row r="263" customHeight="1" spans="1:38">
      <c r="A263" s="48">
        <f>'Adani Enterprises'!A263</f>
        <v>0</v>
      </c>
      <c r="B263" s="48">
        <f>'Adani Enterprises'!B263</f>
        <v>0</v>
      </c>
      <c r="C263" s="48">
        <f>'Adani Enterprises'!C263</f>
        <v>0</v>
      </c>
      <c r="D263" s="48">
        <f>'Adani Enterprises'!D263</f>
        <v>0</v>
      </c>
      <c r="E263" s="48">
        <f>'Adani Enterprises'!E263</f>
        <v>0</v>
      </c>
      <c r="F263" s="48">
        <f>'Adani Enterprises'!F263</f>
        <v>0</v>
      </c>
      <c r="G263" s="48">
        <f>'Adani Enterprises'!G263</f>
        <v>0</v>
      </c>
      <c r="H263" s="48">
        <f>'Adani Enterprises'!H263</f>
        <v>0</v>
      </c>
      <c r="I263" s="48">
        <f>'Adani Enterprises'!I263</f>
        <v>0</v>
      </c>
      <c r="J263" s="48">
        <f>'Adani Enterprises'!J263</f>
        <v>0</v>
      </c>
      <c r="K263" s="48">
        <f>'Adani Enterprises'!K263</f>
        <v>0</v>
      </c>
      <c r="L263" s="48">
        <f>'Adani Enterprises'!L263</f>
        <v>0</v>
      </c>
      <c r="M263" s="48">
        <f>'Adani Enterprises'!M263</f>
        <v>0</v>
      </c>
      <c r="N263" s="48">
        <f>'Adani Enterprises'!N263</f>
        <v>0</v>
      </c>
      <c r="O263" s="48">
        <f>'Adani Enterprises'!O263</f>
        <v>0</v>
      </c>
      <c r="P263" s="48">
        <f>'Adani Enterprises'!P263</f>
        <v>0</v>
      </c>
      <c r="Q263" s="48">
        <f>'Adani Enterprises'!Q263</f>
        <v>0</v>
      </c>
      <c r="R263" s="48">
        <f>'Adani Enterprises'!R263</f>
        <v>0</v>
      </c>
      <c r="S263" s="48">
        <f>'Adani Enterprises'!S263</f>
        <v>0</v>
      </c>
      <c r="T263" s="48">
        <f>'Adani Enterprises'!T263</f>
        <v>0</v>
      </c>
      <c r="U263" s="48">
        <f>'Adani Enterprises'!U263</f>
        <v>0</v>
      </c>
      <c r="V263" s="48">
        <f>'Adani Enterprises'!V263</f>
        <v>0</v>
      </c>
      <c r="W263" s="48">
        <f>'Adani Enterprises'!W263</f>
        <v>0</v>
      </c>
      <c r="X263" s="48">
        <f>'Adani Enterprises'!X263</f>
        <v>0</v>
      </c>
      <c r="Y263" s="48">
        <f>'Adani Enterprises'!Y263</f>
        <v>0</v>
      </c>
      <c r="Z263" s="48">
        <f>'Adani Enterprises'!Z263</f>
        <v>0</v>
      </c>
      <c r="AA263" s="48">
        <f>'Adani Enterprises'!AA263</f>
        <v>0</v>
      </c>
      <c r="AB263" s="48">
        <f>'Adani Enterprises'!AB263</f>
        <v>0</v>
      </c>
      <c r="AC263" s="48">
        <f>'Adani Enterprises'!AC263</f>
        <v>0</v>
      </c>
      <c r="AD263" s="48">
        <f>'Adani Enterprises'!AD263</f>
        <v>0</v>
      </c>
      <c r="AE263" s="48">
        <f>'Adani Enterprises'!AE263</f>
        <v>0</v>
      </c>
      <c r="AF263" s="48">
        <f>'Adani Enterprises'!AF263</f>
        <v>0</v>
      </c>
      <c r="AG263" s="48">
        <f>'Adani Enterprises'!AG263</f>
        <v>0</v>
      </c>
      <c r="AH263" s="48">
        <f>'Adani Enterprises'!AH263</f>
        <v>0</v>
      </c>
      <c r="AI263" s="48">
        <f>'Adani Enterprises'!AI263</f>
        <v>0</v>
      </c>
      <c r="AJ263" s="48">
        <f>'Adani Enterprises'!AJ263</f>
        <v>0</v>
      </c>
      <c r="AK263" s="48">
        <f>'Adani Enterprises'!AK263</f>
        <v>0</v>
      </c>
      <c r="AL263" s="48">
        <f>'Adani Enterprises'!AL263</f>
        <v>0</v>
      </c>
    </row>
    <row r="264" customHeight="1" spans="1:38">
      <c r="A264" s="48">
        <f>'Adani Enterprises'!A264</f>
        <v>0</v>
      </c>
      <c r="B264" s="48">
        <f>'Adani Enterprises'!B264</f>
        <v>0</v>
      </c>
      <c r="C264" s="48">
        <f>'Adani Enterprises'!C264</f>
        <v>0</v>
      </c>
      <c r="D264" s="48">
        <f>'Adani Enterprises'!D264</f>
        <v>0</v>
      </c>
      <c r="E264" s="48">
        <f>'Adani Enterprises'!E264</f>
        <v>0</v>
      </c>
      <c r="F264" s="48">
        <f>'Adani Enterprises'!F264</f>
        <v>0</v>
      </c>
      <c r="G264" s="48">
        <f>'Adani Enterprises'!G264</f>
        <v>0</v>
      </c>
      <c r="H264" s="48">
        <f>'Adani Enterprises'!H264</f>
        <v>0</v>
      </c>
      <c r="I264" s="48">
        <f>'Adani Enterprises'!I264</f>
        <v>0</v>
      </c>
      <c r="J264" s="48">
        <f>'Adani Enterprises'!J264</f>
        <v>0</v>
      </c>
      <c r="K264" s="48">
        <f>'Adani Enterprises'!K264</f>
        <v>0</v>
      </c>
      <c r="L264" s="48">
        <f>'Adani Enterprises'!L264</f>
        <v>0</v>
      </c>
      <c r="M264" s="48">
        <f>'Adani Enterprises'!M264</f>
        <v>0</v>
      </c>
      <c r="N264" s="48">
        <f>'Adani Enterprises'!N264</f>
        <v>0</v>
      </c>
      <c r="O264" s="48">
        <f>'Adani Enterprises'!O264</f>
        <v>0</v>
      </c>
      <c r="P264" s="48">
        <f>'Adani Enterprises'!P264</f>
        <v>0</v>
      </c>
      <c r="Q264" s="48">
        <f>'Adani Enterprises'!Q264</f>
        <v>0</v>
      </c>
      <c r="R264" s="48">
        <f>'Adani Enterprises'!R264</f>
        <v>0</v>
      </c>
      <c r="S264" s="48">
        <f>'Adani Enterprises'!S264</f>
        <v>0</v>
      </c>
      <c r="T264" s="48">
        <f>'Adani Enterprises'!T264</f>
        <v>0</v>
      </c>
      <c r="U264" s="48">
        <f>'Adani Enterprises'!U264</f>
        <v>0</v>
      </c>
      <c r="V264" s="48">
        <f>'Adani Enterprises'!V264</f>
        <v>0</v>
      </c>
      <c r="W264" s="48">
        <f>'Adani Enterprises'!W264</f>
        <v>0</v>
      </c>
      <c r="X264" s="48">
        <f>'Adani Enterprises'!X264</f>
        <v>0</v>
      </c>
      <c r="Y264" s="48">
        <f>'Adani Enterprises'!Y264</f>
        <v>0</v>
      </c>
      <c r="Z264" s="48">
        <f>'Adani Enterprises'!Z264</f>
        <v>0</v>
      </c>
      <c r="AA264" s="48">
        <f>'Adani Enterprises'!AA264</f>
        <v>0</v>
      </c>
      <c r="AB264" s="48">
        <f>'Adani Enterprises'!AB264</f>
        <v>0</v>
      </c>
      <c r="AC264" s="48">
        <f>'Adani Enterprises'!AC264</f>
        <v>0</v>
      </c>
      <c r="AD264" s="48">
        <f>'Adani Enterprises'!AD264</f>
        <v>0</v>
      </c>
      <c r="AE264" s="48">
        <f>'Adani Enterprises'!AE264</f>
        <v>0</v>
      </c>
      <c r="AF264" s="48">
        <f>'Adani Enterprises'!AF264</f>
        <v>0</v>
      </c>
      <c r="AG264" s="48">
        <f>'Adani Enterprises'!AG264</f>
        <v>0</v>
      </c>
      <c r="AH264" s="48">
        <f>'Adani Enterprises'!AH264</f>
        <v>0</v>
      </c>
      <c r="AI264" s="48">
        <f>'Adani Enterprises'!AI264</f>
        <v>0</v>
      </c>
      <c r="AJ264" s="48">
        <f>'Adani Enterprises'!AJ264</f>
        <v>0</v>
      </c>
      <c r="AK264" s="48">
        <f>'Adani Enterprises'!AK264</f>
        <v>0</v>
      </c>
      <c r="AL264" s="48">
        <f>'Adani Enterprises'!AL264</f>
        <v>0</v>
      </c>
    </row>
    <row r="265" customHeight="1" spans="1:38">
      <c r="A265" s="48">
        <f>'Adani Enterprises'!A265</f>
        <v>0</v>
      </c>
      <c r="B265" s="48">
        <f>'Adani Enterprises'!B265</f>
        <v>0</v>
      </c>
      <c r="C265" s="48">
        <f>'Adani Enterprises'!C265</f>
        <v>0</v>
      </c>
      <c r="D265" s="48">
        <f>'Adani Enterprises'!D265</f>
        <v>0</v>
      </c>
      <c r="E265" s="48">
        <f>'Adani Enterprises'!E265</f>
        <v>0</v>
      </c>
      <c r="F265" s="48">
        <f>'Adani Enterprises'!F265</f>
        <v>0</v>
      </c>
      <c r="G265" s="48">
        <f>'Adani Enterprises'!G265</f>
        <v>0</v>
      </c>
      <c r="H265" s="48">
        <f>'Adani Enterprises'!H265</f>
        <v>0</v>
      </c>
      <c r="I265" s="48">
        <f>'Adani Enterprises'!I265</f>
        <v>0</v>
      </c>
      <c r="J265" s="48">
        <f>'Adani Enterprises'!J265</f>
        <v>0</v>
      </c>
      <c r="K265" s="48">
        <f>'Adani Enterprises'!K265</f>
        <v>0</v>
      </c>
      <c r="L265" s="48">
        <f>'Adani Enterprises'!L265</f>
        <v>0</v>
      </c>
      <c r="M265" s="48">
        <f>'Adani Enterprises'!M265</f>
        <v>0</v>
      </c>
      <c r="N265" s="48">
        <f>'Adani Enterprises'!N265</f>
        <v>0</v>
      </c>
      <c r="O265" s="48">
        <f>'Adani Enterprises'!O265</f>
        <v>0</v>
      </c>
      <c r="P265" s="48">
        <f>'Adani Enterprises'!P265</f>
        <v>0</v>
      </c>
      <c r="Q265" s="48">
        <f>'Adani Enterprises'!Q265</f>
        <v>0</v>
      </c>
      <c r="R265" s="48">
        <f>'Adani Enterprises'!R265</f>
        <v>0</v>
      </c>
      <c r="S265" s="48">
        <f>'Adani Enterprises'!S265</f>
        <v>0</v>
      </c>
      <c r="T265" s="48">
        <f>'Adani Enterprises'!T265</f>
        <v>0</v>
      </c>
      <c r="U265" s="48">
        <f>'Adani Enterprises'!U265</f>
        <v>0</v>
      </c>
      <c r="V265" s="48">
        <f>'Adani Enterprises'!V265</f>
        <v>0</v>
      </c>
      <c r="W265" s="48">
        <f>'Adani Enterprises'!W265</f>
        <v>0</v>
      </c>
      <c r="X265" s="48">
        <f>'Adani Enterprises'!X265</f>
        <v>0</v>
      </c>
      <c r="Y265" s="48">
        <f>'Adani Enterprises'!Y265</f>
        <v>0</v>
      </c>
      <c r="Z265" s="48">
        <f>'Adani Enterprises'!Z265</f>
        <v>0</v>
      </c>
      <c r="AA265" s="48">
        <f>'Adani Enterprises'!AA265</f>
        <v>0</v>
      </c>
      <c r="AB265" s="48">
        <f>'Adani Enterprises'!AB265</f>
        <v>0</v>
      </c>
      <c r="AC265" s="48">
        <f>'Adani Enterprises'!AC265</f>
        <v>0</v>
      </c>
      <c r="AD265" s="48">
        <f>'Adani Enterprises'!AD265</f>
        <v>0</v>
      </c>
      <c r="AE265" s="48">
        <f>'Adani Enterprises'!AE265</f>
        <v>0</v>
      </c>
      <c r="AF265" s="48">
        <f>'Adani Enterprises'!AF265</f>
        <v>0</v>
      </c>
      <c r="AG265" s="48">
        <f>'Adani Enterprises'!AG265</f>
        <v>0</v>
      </c>
      <c r="AH265" s="48">
        <f>'Adani Enterprises'!AH265</f>
        <v>0</v>
      </c>
      <c r="AI265" s="48">
        <f>'Adani Enterprises'!AI265</f>
        <v>0</v>
      </c>
      <c r="AJ265" s="48">
        <f>'Adani Enterprises'!AJ265</f>
        <v>0</v>
      </c>
      <c r="AK265" s="48">
        <f>'Adani Enterprises'!AK265</f>
        <v>0</v>
      </c>
      <c r="AL265" s="48">
        <f>'Adani Enterprises'!AL265</f>
        <v>0</v>
      </c>
    </row>
    <row r="266" customHeight="1" spans="1:38">
      <c r="A266" s="48">
        <f>'Adani Enterprises'!A266</f>
        <v>0</v>
      </c>
      <c r="B266" s="48">
        <f>'Adani Enterprises'!B266</f>
        <v>0</v>
      </c>
      <c r="C266" s="48">
        <f>'Adani Enterprises'!C266</f>
        <v>0</v>
      </c>
      <c r="D266" s="48">
        <f>'Adani Enterprises'!D266</f>
        <v>0</v>
      </c>
      <c r="E266" s="48">
        <f>'Adani Enterprises'!E266</f>
        <v>0</v>
      </c>
      <c r="F266" s="48">
        <f>'Adani Enterprises'!F266</f>
        <v>0</v>
      </c>
      <c r="G266" s="48">
        <f>'Adani Enterprises'!G266</f>
        <v>0</v>
      </c>
      <c r="H266" s="48">
        <f>'Adani Enterprises'!H266</f>
        <v>0</v>
      </c>
      <c r="I266" s="48">
        <f>'Adani Enterprises'!I266</f>
        <v>0</v>
      </c>
      <c r="J266" s="48">
        <f>'Adani Enterprises'!J266</f>
        <v>0</v>
      </c>
      <c r="K266" s="48">
        <f>'Adani Enterprises'!K266</f>
        <v>0</v>
      </c>
      <c r="L266" s="48">
        <f>'Adani Enterprises'!L266</f>
        <v>0</v>
      </c>
      <c r="M266" s="48">
        <f>'Adani Enterprises'!M266</f>
        <v>0</v>
      </c>
      <c r="N266" s="48">
        <f>'Adani Enterprises'!N266</f>
        <v>0</v>
      </c>
      <c r="O266" s="48">
        <f>'Adani Enterprises'!O266</f>
        <v>0</v>
      </c>
      <c r="P266" s="48">
        <f>'Adani Enterprises'!P266</f>
        <v>0</v>
      </c>
      <c r="Q266" s="48">
        <f>'Adani Enterprises'!Q266</f>
        <v>0</v>
      </c>
      <c r="R266" s="48">
        <f>'Adani Enterprises'!R266</f>
        <v>0</v>
      </c>
      <c r="S266" s="48">
        <f>'Adani Enterprises'!S266</f>
        <v>0</v>
      </c>
      <c r="T266" s="48">
        <f>'Adani Enterprises'!T266</f>
        <v>0</v>
      </c>
      <c r="U266" s="48">
        <f>'Adani Enterprises'!U266</f>
        <v>0</v>
      </c>
      <c r="V266" s="48">
        <f>'Adani Enterprises'!V266</f>
        <v>0</v>
      </c>
      <c r="W266" s="48">
        <f>'Adani Enterprises'!W266</f>
        <v>0</v>
      </c>
      <c r="X266" s="48">
        <f>'Adani Enterprises'!X266</f>
        <v>0</v>
      </c>
      <c r="Y266" s="48">
        <f>'Adani Enterprises'!Y266</f>
        <v>0</v>
      </c>
      <c r="Z266" s="48">
        <f>'Adani Enterprises'!Z266</f>
        <v>0</v>
      </c>
      <c r="AA266" s="48">
        <f>'Adani Enterprises'!AA266</f>
        <v>0</v>
      </c>
      <c r="AB266" s="48">
        <f>'Adani Enterprises'!AB266</f>
        <v>0</v>
      </c>
      <c r="AC266" s="48">
        <f>'Adani Enterprises'!AC266</f>
        <v>0</v>
      </c>
      <c r="AD266" s="48">
        <f>'Adani Enterprises'!AD266</f>
        <v>0</v>
      </c>
      <c r="AE266" s="48">
        <f>'Adani Enterprises'!AE266</f>
        <v>0</v>
      </c>
      <c r="AF266" s="48">
        <f>'Adani Enterprises'!AF266</f>
        <v>0</v>
      </c>
      <c r="AG266" s="48">
        <f>'Adani Enterprises'!AG266</f>
        <v>0</v>
      </c>
      <c r="AH266" s="48">
        <f>'Adani Enterprises'!AH266</f>
        <v>0</v>
      </c>
      <c r="AI266" s="48">
        <f>'Adani Enterprises'!AI266</f>
        <v>0</v>
      </c>
      <c r="AJ266" s="48">
        <f>'Adani Enterprises'!AJ266</f>
        <v>0</v>
      </c>
      <c r="AK266" s="48">
        <f>'Adani Enterprises'!AK266</f>
        <v>0</v>
      </c>
      <c r="AL266" s="48">
        <f>'Adani Enterprises'!AL266</f>
        <v>0</v>
      </c>
    </row>
    <row r="267" customHeight="1" spans="1:38">
      <c r="A267" s="48">
        <f>'Adani Enterprises'!A267</f>
        <v>0</v>
      </c>
      <c r="B267" s="48">
        <f>'Adani Enterprises'!B267</f>
        <v>0</v>
      </c>
      <c r="C267" s="48">
        <f>'Adani Enterprises'!C267</f>
        <v>0</v>
      </c>
      <c r="D267" s="48">
        <f>'Adani Enterprises'!D267</f>
        <v>0</v>
      </c>
      <c r="E267" s="48">
        <f>'Adani Enterprises'!E267</f>
        <v>0</v>
      </c>
      <c r="F267" s="48">
        <f>'Adani Enterprises'!F267</f>
        <v>0</v>
      </c>
      <c r="G267" s="48">
        <f>'Adani Enterprises'!G267</f>
        <v>0</v>
      </c>
      <c r="H267" s="48">
        <f>'Adani Enterprises'!H267</f>
        <v>0</v>
      </c>
      <c r="I267" s="48">
        <f>'Adani Enterprises'!I267</f>
        <v>0</v>
      </c>
      <c r="J267" s="48">
        <f>'Adani Enterprises'!J267</f>
        <v>0</v>
      </c>
      <c r="K267" s="48">
        <f>'Adani Enterprises'!K267</f>
        <v>0</v>
      </c>
      <c r="L267" s="48">
        <f>'Adani Enterprises'!L267</f>
        <v>0</v>
      </c>
      <c r="M267" s="48">
        <f>'Adani Enterprises'!M267</f>
        <v>0</v>
      </c>
      <c r="N267" s="48">
        <f>'Adani Enterprises'!N267</f>
        <v>0</v>
      </c>
      <c r="O267" s="48">
        <f>'Adani Enterprises'!O267</f>
        <v>0</v>
      </c>
      <c r="P267" s="48">
        <f>'Adani Enterprises'!P267</f>
        <v>0</v>
      </c>
      <c r="Q267" s="48">
        <f>'Adani Enterprises'!Q267</f>
        <v>0</v>
      </c>
      <c r="R267" s="48">
        <f>'Adani Enterprises'!R267</f>
        <v>0</v>
      </c>
      <c r="S267" s="48">
        <f>'Adani Enterprises'!S267</f>
        <v>0</v>
      </c>
      <c r="T267" s="48">
        <f>'Adani Enterprises'!T267</f>
        <v>0</v>
      </c>
      <c r="U267" s="48">
        <f>'Adani Enterprises'!U267</f>
        <v>0</v>
      </c>
      <c r="V267" s="48">
        <f>'Adani Enterprises'!V267</f>
        <v>0</v>
      </c>
      <c r="W267" s="48">
        <f>'Adani Enterprises'!W267</f>
        <v>0</v>
      </c>
      <c r="X267" s="48">
        <f>'Adani Enterprises'!X267</f>
        <v>0</v>
      </c>
      <c r="Y267" s="48">
        <f>'Adani Enterprises'!Y267</f>
        <v>0</v>
      </c>
      <c r="Z267" s="48">
        <f>'Adani Enterprises'!Z267</f>
        <v>0</v>
      </c>
      <c r="AA267" s="48">
        <f>'Adani Enterprises'!AA267</f>
        <v>0</v>
      </c>
      <c r="AB267" s="48">
        <f>'Adani Enterprises'!AB267</f>
        <v>0</v>
      </c>
      <c r="AC267" s="48">
        <f>'Adani Enterprises'!AC267</f>
        <v>0</v>
      </c>
      <c r="AD267" s="48">
        <f>'Adani Enterprises'!AD267</f>
        <v>0</v>
      </c>
      <c r="AE267" s="48">
        <f>'Adani Enterprises'!AE267</f>
        <v>0</v>
      </c>
      <c r="AF267" s="48">
        <f>'Adani Enterprises'!AF267</f>
        <v>0</v>
      </c>
      <c r="AG267" s="48">
        <f>'Adani Enterprises'!AG267</f>
        <v>0</v>
      </c>
      <c r="AH267" s="48">
        <f>'Adani Enterprises'!AH267</f>
        <v>0</v>
      </c>
      <c r="AI267" s="48">
        <f>'Adani Enterprises'!AI267</f>
        <v>0</v>
      </c>
      <c r="AJ267" s="48">
        <f>'Adani Enterprises'!AJ267</f>
        <v>0</v>
      </c>
      <c r="AK267" s="48">
        <f>'Adani Enterprises'!AK267</f>
        <v>0</v>
      </c>
      <c r="AL267" s="48">
        <f>'Adani Enterprises'!AL267</f>
        <v>0</v>
      </c>
    </row>
    <row r="268" customHeight="1" spans="1:38">
      <c r="A268" s="48">
        <f>'Adani Enterprises'!A268</f>
        <v>0</v>
      </c>
      <c r="B268" s="48">
        <f>'Adani Enterprises'!B268</f>
        <v>0</v>
      </c>
      <c r="C268" s="48">
        <f>'Adani Enterprises'!C268</f>
        <v>0</v>
      </c>
      <c r="D268" s="48">
        <f>'Adani Enterprises'!D268</f>
        <v>0</v>
      </c>
      <c r="E268" s="48">
        <f>'Adani Enterprises'!E268</f>
        <v>0</v>
      </c>
      <c r="F268" s="48">
        <f>'Adani Enterprises'!F268</f>
        <v>0</v>
      </c>
      <c r="G268" s="48">
        <f>'Adani Enterprises'!G268</f>
        <v>0</v>
      </c>
      <c r="H268" s="48">
        <f>'Adani Enterprises'!H268</f>
        <v>0</v>
      </c>
      <c r="I268" s="48">
        <f>'Adani Enterprises'!I268</f>
        <v>0</v>
      </c>
      <c r="J268" s="48">
        <f>'Adani Enterprises'!J268</f>
        <v>0</v>
      </c>
      <c r="K268" s="48">
        <f>'Adani Enterprises'!K268</f>
        <v>0</v>
      </c>
      <c r="L268" s="48">
        <f>'Adani Enterprises'!L268</f>
        <v>0</v>
      </c>
      <c r="M268" s="48">
        <f>'Adani Enterprises'!M268</f>
        <v>0</v>
      </c>
      <c r="N268" s="48">
        <f>'Adani Enterprises'!N268</f>
        <v>0</v>
      </c>
      <c r="O268" s="48">
        <f>'Adani Enterprises'!O268</f>
        <v>0</v>
      </c>
      <c r="P268" s="48">
        <f>'Adani Enterprises'!P268</f>
        <v>0</v>
      </c>
      <c r="Q268" s="48">
        <f>'Adani Enterprises'!Q268</f>
        <v>0</v>
      </c>
      <c r="R268" s="48">
        <f>'Adani Enterprises'!R268</f>
        <v>0</v>
      </c>
      <c r="S268" s="48">
        <f>'Adani Enterprises'!S268</f>
        <v>0</v>
      </c>
      <c r="T268" s="48">
        <f>'Adani Enterprises'!T268</f>
        <v>0</v>
      </c>
      <c r="U268" s="48">
        <f>'Adani Enterprises'!U268</f>
        <v>0</v>
      </c>
      <c r="V268" s="48">
        <f>'Adani Enterprises'!V268</f>
        <v>0</v>
      </c>
      <c r="W268" s="48">
        <f>'Adani Enterprises'!W268</f>
        <v>0</v>
      </c>
      <c r="X268" s="48">
        <f>'Adani Enterprises'!X268</f>
        <v>0</v>
      </c>
      <c r="Y268" s="48">
        <f>'Adani Enterprises'!Y268</f>
        <v>0</v>
      </c>
      <c r="Z268" s="48">
        <f>'Adani Enterprises'!Z268</f>
        <v>0</v>
      </c>
      <c r="AA268" s="48">
        <f>'Adani Enterprises'!AA268</f>
        <v>0</v>
      </c>
      <c r="AB268" s="48">
        <f>'Adani Enterprises'!AB268</f>
        <v>0</v>
      </c>
      <c r="AC268" s="48">
        <f>'Adani Enterprises'!AC268</f>
        <v>0</v>
      </c>
      <c r="AD268" s="48">
        <f>'Adani Enterprises'!AD268</f>
        <v>0</v>
      </c>
      <c r="AE268" s="48">
        <f>'Adani Enterprises'!AE268</f>
        <v>0</v>
      </c>
      <c r="AF268" s="48">
        <f>'Adani Enterprises'!AF268</f>
        <v>0</v>
      </c>
      <c r="AG268" s="48">
        <f>'Adani Enterprises'!AG268</f>
        <v>0</v>
      </c>
      <c r="AH268" s="48">
        <f>'Adani Enterprises'!AH268</f>
        <v>0</v>
      </c>
      <c r="AI268" s="48">
        <f>'Adani Enterprises'!AI268</f>
        <v>0</v>
      </c>
      <c r="AJ268" s="48">
        <f>'Adani Enterprises'!AJ268</f>
        <v>0</v>
      </c>
      <c r="AK268" s="48">
        <f>'Adani Enterprises'!AK268</f>
        <v>0</v>
      </c>
      <c r="AL268" s="48">
        <f>'Adani Enterprises'!AL268</f>
        <v>0</v>
      </c>
    </row>
    <row r="269" customHeight="1" spans="1:38">
      <c r="A269" s="48">
        <f>'Adani Enterprises'!A269</f>
        <v>0</v>
      </c>
      <c r="B269" s="48">
        <f>'Adani Enterprises'!B269</f>
        <v>0</v>
      </c>
      <c r="C269" s="48">
        <f>'Adani Enterprises'!C269</f>
        <v>0</v>
      </c>
      <c r="D269" s="48">
        <f>'Adani Enterprises'!D269</f>
        <v>0</v>
      </c>
      <c r="E269" s="48">
        <f>'Adani Enterprises'!E269</f>
        <v>0</v>
      </c>
      <c r="F269" s="48">
        <f>'Adani Enterprises'!F269</f>
        <v>0</v>
      </c>
      <c r="G269" s="48">
        <f>'Adani Enterprises'!G269</f>
        <v>0</v>
      </c>
      <c r="H269" s="48">
        <f>'Adani Enterprises'!H269</f>
        <v>0</v>
      </c>
      <c r="I269" s="48">
        <f>'Adani Enterprises'!I269</f>
        <v>0</v>
      </c>
      <c r="J269" s="48">
        <f>'Adani Enterprises'!J269</f>
        <v>0</v>
      </c>
      <c r="K269" s="48">
        <f>'Adani Enterprises'!K269</f>
        <v>0</v>
      </c>
      <c r="L269" s="48">
        <f>'Adani Enterprises'!L269</f>
        <v>0</v>
      </c>
      <c r="M269" s="48">
        <f>'Adani Enterprises'!M269</f>
        <v>0</v>
      </c>
      <c r="N269" s="48">
        <f>'Adani Enterprises'!N269</f>
        <v>0</v>
      </c>
      <c r="O269" s="48">
        <f>'Adani Enterprises'!O269</f>
        <v>0</v>
      </c>
      <c r="P269" s="48">
        <f>'Adani Enterprises'!P269</f>
        <v>0</v>
      </c>
      <c r="Q269" s="48">
        <f>'Adani Enterprises'!Q269</f>
        <v>0</v>
      </c>
      <c r="R269" s="48">
        <f>'Adani Enterprises'!R269</f>
        <v>0</v>
      </c>
      <c r="S269" s="48">
        <f>'Adani Enterprises'!S269</f>
        <v>0</v>
      </c>
      <c r="T269" s="48">
        <f>'Adani Enterprises'!T269</f>
        <v>0</v>
      </c>
      <c r="U269" s="48">
        <f>'Adani Enterprises'!U269</f>
        <v>0</v>
      </c>
      <c r="V269" s="48">
        <f>'Adani Enterprises'!V269</f>
        <v>0</v>
      </c>
      <c r="W269" s="48">
        <f>'Adani Enterprises'!W269</f>
        <v>0</v>
      </c>
      <c r="X269" s="48">
        <f>'Adani Enterprises'!X269</f>
        <v>0</v>
      </c>
      <c r="Y269" s="48">
        <f>'Adani Enterprises'!Y269</f>
        <v>0</v>
      </c>
      <c r="Z269" s="48">
        <f>'Adani Enterprises'!Z269</f>
        <v>0</v>
      </c>
      <c r="AA269" s="48">
        <f>'Adani Enterprises'!AA269</f>
        <v>0</v>
      </c>
      <c r="AB269" s="48">
        <f>'Adani Enterprises'!AB269</f>
        <v>0</v>
      </c>
      <c r="AC269" s="48">
        <f>'Adani Enterprises'!AC269</f>
        <v>0</v>
      </c>
      <c r="AD269" s="48">
        <f>'Adani Enterprises'!AD269</f>
        <v>0</v>
      </c>
      <c r="AE269" s="48">
        <f>'Adani Enterprises'!AE269</f>
        <v>0</v>
      </c>
      <c r="AF269" s="48">
        <f>'Adani Enterprises'!AF269</f>
        <v>0</v>
      </c>
      <c r="AG269" s="48">
        <f>'Adani Enterprises'!AG269</f>
        <v>0</v>
      </c>
      <c r="AH269" s="48">
        <f>'Adani Enterprises'!AH269</f>
        <v>0</v>
      </c>
      <c r="AI269" s="48">
        <f>'Adani Enterprises'!AI269</f>
        <v>0</v>
      </c>
      <c r="AJ269" s="48">
        <f>'Adani Enterprises'!AJ269</f>
        <v>0</v>
      </c>
      <c r="AK269" s="48">
        <f>'Adani Enterprises'!AK269</f>
        <v>0</v>
      </c>
      <c r="AL269" s="48">
        <f>'Adani Enterprises'!AL269</f>
        <v>0</v>
      </c>
    </row>
    <row r="270" customHeight="1" spans="1:38">
      <c r="A270" s="48">
        <f>'Adani Enterprises'!A270</f>
        <v>0</v>
      </c>
      <c r="B270" s="48">
        <f>'Adani Enterprises'!B270</f>
        <v>0</v>
      </c>
      <c r="C270" s="48">
        <f>'Adani Enterprises'!C270</f>
        <v>0</v>
      </c>
      <c r="D270" s="48">
        <f>'Adani Enterprises'!D270</f>
        <v>0</v>
      </c>
      <c r="E270" s="48">
        <f>'Adani Enterprises'!E270</f>
        <v>0</v>
      </c>
      <c r="F270" s="48">
        <f>'Adani Enterprises'!F270</f>
        <v>0</v>
      </c>
      <c r="G270" s="48">
        <f>'Adani Enterprises'!G270</f>
        <v>0</v>
      </c>
      <c r="H270" s="48">
        <f>'Adani Enterprises'!H270</f>
        <v>0</v>
      </c>
      <c r="I270" s="48">
        <f>'Adani Enterprises'!I270</f>
        <v>0</v>
      </c>
      <c r="J270" s="48">
        <f>'Adani Enterprises'!J270</f>
        <v>0</v>
      </c>
      <c r="K270" s="48">
        <f>'Adani Enterprises'!K270</f>
        <v>0</v>
      </c>
      <c r="L270" s="48">
        <f>'Adani Enterprises'!L270</f>
        <v>0</v>
      </c>
      <c r="M270" s="48">
        <f>'Adani Enterprises'!M270</f>
        <v>0</v>
      </c>
      <c r="N270" s="48">
        <f>'Adani Enterprises'!N270</f>
        <v>0</v>
      </c>
      <c r="O270" s="48">
        <f>'Adani Enterprises'!O270</f>
        <v>0</v>
      </c>
      <c r="P270" s="48">
        <f>'Adani Enterprises'!P270</f>
        <v>0</v>
      </c>
      <c r="Q270" s="48">
        <f>'Adani Enterprises'!Q270</f>
        <v>0</v>
      </c>
      <c r="R270" s="48">
        <f>'Adani Enterprises'!R270</f>
        <v>0</v>
      </c>
      <c r="S270" s="48">
        <f>'Adani Enterprises'!S270</f>
        <v>0</v>
      </c>
      <c r="T270" s="48">
        <f>'Adani Enterprises'!T270</f>
        <v>0</v>
      </c>
      <c r="U270" s="48">
        <f>'Adani Enterprises'!U270</f>
        <v>0</v>
      </c>
      <c r="V270" s="48">
        <f>'Adani Enterprises'!V270</f>
        <v>0</v>
      </c>
      <c r="W270" s="48">
        <f>'Adani Enterprises'!W270</f>
        <v>0</v>
      </c>
      <c r="X270" s="48">
        <f>'Adani Enterprises'!X270</f>
        <v>0</v>
      </c>
      <c r="Y270" s="48">
        <f>'Adani Enterprises'!Y270</f>
        <v>0</v>
      </c>
      <c r="Z270" s="48">
        <f>'Adani Enterprises'!Z270</f>
        <v>0</v>
      </c>
      <c r="AA270" s="48">
        <f>'Adani Enterprises'!AA270</f>
        <v>0</v>
      </c>
      <c r="AB270" s="48">
        <f>'Adani Enterprises'!AB270</f>
        <v>0</v>
      </c>
      <c r="AC270" s="48">
        <f>'Adani Enterprises'!AC270</f>
        <v>0</v>
      </c>
      <c r="AD270" s="48">
        <f>'Adani Enterprises'!AD270</f>
        <v>0</v>
      </c>
      <c r="AE270" s="48">
        <f>'Adani Enterprises'!AE270</f>
        <v>0</v>
      </c>
      <c r="AF270" s="48">
        <f>'Adani Enterprises'!AF270</f>
        <v>0</v>
      </c>
      <c r="AG270" s="48">
        <f>'Adani Enterprises'!AG270</f>
        <v>0</v>
      </c>
      <c r="AH270" s="48">
        <f>'Adani Enterprises'!AH270</f>
        <v>0</v>
      </c>
      <c r="AI270" s="48">
        <f>'Adani Enterprises'!AI270</f>
        <v>0</v>
      </c>
      <c r="AJ270" s="48">
        <f>'Adani Enterprises'!AJ270</f>
        <v>0</v>
      </c>
      <c r="AK270" s="48">
        <f>'Adani Enterprises'!AK270</f>
        <v>0</v>
      </c>
      <c r="AL270" s="48">
        <f>'Adani Enterprises'!AL270</f>
        <v>0</v>
      </c>
    </row>
    <row r="271" customHeight="1" spans="1:38">
      <c r="A271" s="48">
        <f>'Adani Enterprises'!A271</f>
        <v>0</v>
      </c>
      <c r="B271" s="48">
        <f>'Adani Enterprises'!B271</f>
        <v>0</v>
      </c>
      <c r="C271" s="48">
        <f>'Adani Enterprises'!C271</f>
        <v>0</v>
      </c>
      <c r="D271" s="48">
        <f>'Adani Enterprises'!D271</f>
        <v>0</v>
      </c>
      <c r="E271" s="48">
        <f>'Adani Enterprises'!E271</f>
        <v>0</v>
      </c>
      <c r="F271" s="48">
        <f>'Adani Enterprises'!F271</f>
        <v>0</v>
      </c>
      <c r="G271" s="48">
        <f>'Adani Enterprises'!G271</f>
        <v>0</v>
      </c>
      <c r="H271" s="48">
        <f>'Adani Enterprises'!H271</f>
        <v>0</v>
      </c>
      <c r="I271" s="48">
        <f>'Adani Enterprises'!I271</f>
        <v>0</v>
      </c>
      <c r="J271" s="48">
        <f>'Adani Enterprises'!J271</f>
        <v>0</v>
      </c>
      <c r="K271" s="48">
        <f>'Adani Enterprises'!K271</f>
        <v>0</v>
      </c>
      <c r="L271" s="48">
        <f>'Adani Enterprises'!L271</f>
        <v>0</v>
      </c>
      <c r="M271" s="48">
        <f>'Adani Enterprises'!M271</f>
        <v>0</v>
      </c>
      <c r="N271" s="48">
        <f>'Adani Enterprises'!N271</f>
        <v>0</v>
      </c>
      <c r="O271" s="48">
        <f>'Adani Enterprises'!O271</f>
        <v>0</v>
      </c>
      <c r="P271" s="48">
        <f>'Adani Enterprises'!P271</f>
        <v>0</v>
      </c>
      <c r="Q271" s="48">
        <f>'Adani Enterprises'!Q271</f>
        <v>0</v>
      </c>
      <c r="R271" s="48">
        <f>'Adani Enterprises'!R271</f>
        <v>0</v>
      </c>
      <c r="S271" s="48">
        <f>'Adani Enterprises'!S271</f>
        <v>0</v>
      </c>
      <c r="T271" s="48">
        <f>'Adani Enterprises'!T271</f>
        <v>0</v>
      </c>
      <c r="U271" s="48">
        <f>'Adani Enterprises'!U271</f>
        <v>0</v>
      </c>
      <c r="V271" s="48">
        <f>'Adani Enterprises'!V271</f>
        <v>0</v>
      </c>
      <c r="W271" s="48">
        <f>'Adani Enterprises'!W271</f>
        <v>0</v>
      </c>
      <c r="X271" s="48">
        <f>'Adani Enterprises'!X271</f>
        <v>0</v>
      </c>
      <c r="Y271" s="48">
        <f>'Adani Enterprises'!Y271</f>
        <v>0</v>
      </c>
      <c r="Z271" s="48">
        <f>'Adani Enterprises'!Z271</f>
        <v>0</v>
      </c>
      <c r="AA271" s="48">
        <f>'Adani Enterprises'!AA271</f>
        <v>0</v>
      </c>
      <c r="AB271" s="48">
        <f>'Adani Enterprises'!AB271</f>
        <v>0</v>
      </c>
      <c r="AC271" s="48">
        <f>'Adani Enterprises'!AC271</f>
        <v>0</v>
      </c>
      <c r="AD271" s="48">
        <f>'Adani Enterprises'!AD271</f>
        <v>0</v>
      </c>
      <c r="AE271" s="48">
        <f>'Adani Enterprises'!AE271</f>
        <v>0</v>
      </c>
      <c r="AF271" s="48">
        <f>'Adani Enterprises'!AF271</f>
        <v>0</v>
      </c>
      <c r="AG271" s="48">
        <f>'Adani Enterprises'!AG271</f>
        <v>0</v>
      </c>
      <c r="AH271" s="48">
        <f>'Adani Enterprises'!AH271</f>
        <v>0</v>
      </c>
      <c r="AI271" s="48">
        <f>'Adani Enterprises'!AI271</f>
        <v>0</v>
      </c>
      <c r="AJ271" s="48">
        <f>'Adani Enterprises'!AJ271</f>
        <v>0</v>
      </c>
      <c r="AK271" s="48">
        <f>'Adani Enterprises'!AK271</f>
        <v>0</v>
      </c>
      <c r="AL271" s="48">
        <f>'Adani Enterprises'!AL271</f>
        <v>0</v>
      </c>
    </row>
    <row r="272" customHeight="1" spans="1:38">
      <c r="A272" s="48">
        <f>'Adani Enterprises'!A272</f>
        <v>0</v>
      </c>
      <c r="B272" s="48">
        <f>'Adani Enterprises'!B272</f>
        <v>0</v>
      </c>
      <c r="C272" s="48">
        <f>'Adani Enterprises'!C272</f>
        <v>0</v>
      </c>
      <c r="D272" s="48">
        <f>'Adani Enterprises'!D272</f>
        <v>0</v>
      </c>
      <c r="E272" s="48">
        <f>'Adani Enterprises'!E272</f>
        <v>0</v>
      </c>
      <c r="F272" s="48">
        <f>'Adani Enterprises'!F272</f>
        <v>0</v>
      </c>
      <c r="G272" s="48">
        <f>'Adani Enterprises'!G272</f>
        <v>0</v>
      </c>
      <c r="H272" s="48">
        <f>'Adani Enterprises'!H272</f>
        <v>0</v>
      </c>
      <c r="I272" s="48">
        <f>'Adani Enterprises'!I272</f>
        <v>0</v>
      </c>
      <c r="J272" s="48">
        <f>'Adani Enterprises'!J272</f>
        <v>0</v>
      </c>
      <c r="K272" s="48">
        <f>'Adani Enterprises'!K272</f>
        <v>0</v>
      </c>
      <c r="L272" s="48">
        <f>'Adani Enterprises'!L272</f>
        <v>0</v>
      </c>
      <c r="M272" s="48">
        <f>'Adani Enterprises'!M272</f>
        <v>0</v>
      </c>
      <c r="N272" s="48">
        <f>'Adani Enterprises'!N272</f>
        <v>0</v>
      </c>
      <c r="O272" s="48">
        <f>'Adani Enterprises'!O272</f>
        <v>0</v>
      </c>
      <c r="P272" s="48">
        <f>'Adani Enterprises'!P272</f>
        <v>0</v>
      </c>
      <c r="Q272" s="48">
        <f>'Adani Enterprises'!Q272</f>
        <v>0</v>
      </c>
      <c r="R272" s="48">
        <f>'Adani Enterprises'!R272</f>
        <v>0</v>
      </c>
      <c r="S272" s="48">
        <f>'Adani Enterprises'!S272</f>
        <v>0</v>
      </c>
      <c r="T272" s="48">
        <f>'Adani Enterprises'!T272</f>
        <v>0</v>
      </c>
      <c r="U272" s="48">
        <f>'Adani Enterprises'!U272</f>
        <v>0</v>
      </c>
      <c r="V272" s="48">
        <f>'Adani Enterprises'!V272</f>
        <v>0</v>
      </c>
      <c r="W272" s="48">
        <f>'Adani Enterprises'!W272</f>
        <v>0</v>
      </c>
      <c r="X272" s="48">
        <f>'Adani Enterprises'!X272</f>
        <v>0</v>
      </c>
      <c r="Y272" s="48">
        <f>'Adani Enterprises'!Y272</f>
        <v>0</v>
      </c>
      <c r="Z272" s="48">
        <f>'Adani Enterprises'!Z272</f>
        <v>0</v>
      </c>
      <c r="AA272" s="48">
        <f>'Adani Enterprises'!AA272</f>
        <v>0</v>
      </c>
      <c r="AB272" s="48">
        <f>'Adani Enterprises'!AB272</f>
        <v>0</v>
      </c>
      <c r="AC272" s="48">
        <f>'Adani Enterprises'!AC272</f>
        <v>0</v>
      </c>
      <c r="AD272" s="48">
        <f>'Adani Enterprises'!AD272</f>
        <v>0</v>
      </c>
      <c r="AE272" s="48">
        <f>'Adani Enterprises'!AE272</f>
        <v>0</v>
      </c>
      <c r="AF272" s="48">
        <f>'Adani Enterprises'!AF272</f>
        <v>0</v>
      </c>
      <c r="AG272" s="48">
        <f>'Adani Enterprises'!AG272</f>
        <v>0</v>
      </c>
      <c r="AH272" s="48">
        <f>'Adani Enterprises'!AH272</f>
        <v>0</v>
      </c>
      <c r="AI272" s="48">
        <f>'Adani Enterprises'!AI272</f>
        <v>0</v>
      </c>
      <c r="AJ272" s="48">
        <f>'Adani Enterprises'!AJ272</f>
        <v>0</v>
      </c>
      <c r="AK272" s="48">
        <f>'Adani Enterprises'!AK272</f>
        <v>0</v>
      </c>
      <c r="AL272" s="48">
        <f>'Adani Enterprises'!AL272</f>
        <v>0</v>
      </c>
    </row>
    <row r="273" customHeight="1" spans="1:38">
      <c r="A273" s="48">
        <f>'Adani Enterprises'!A273</f>
        <v>0</v>
      </c>
      <c r="B273" s="48">
        <f>'Adani Enterprises'!B273</f>
        <v>0</v>
      </c>
      <c r="C273" s="48">
        <f>'Adani Enterprises'!C273</f>
        <v>0</v>
      </c>
      <c r="D273" s="48">
        <f>'Adani Enterprises'!D273</f>
        <v>0</v>
      </c>
      <c r="E273" s="48">
        <f>'Adani Enterprises'!E273</f>
        <v>0</v>
      </c>
      <c r="F273" s="48">
        <f>'Adani Enterprises'!F273</f>
        <v>0</v>
      </c>
      <c r="G273" s="48">
        <f>'Adani Enterprises'!G273</f>
        <v>0</v>
      </c>
      <c r="H273" s="48">
        <f>'Adani Enterprises'!H273</f>
        <v>0</v>
      </c>
      <c r="I273" s="48">
        <f>'Adani Enterprises'!I273</f>
        <v>0</v>
      </c>
      <c r="J273" s="48">
        <f>'Adani Enterprises'!J273</f>
        <v>0</v>
      </c>
      <c r="K273" s="48">
        <f>'Adani Enterprises'!K273</f>
        <v>0</v>
      </c>
      <c r="L273" s="48">
        <f>'Adani Enterprises'!L273</f>
        <v>0</v>
      </c>
      <c r="M273" s="48">
        <f>'Adani Enterprises'!M273</f>
        <v>0</v>
      </c>
      <c r="N273" s="48">
        <f>'Adani Enterprises'!N273</f>
        <v>0</v>
      </c>
      <c r="O273" s="48">
        <f>'Adani Enterprises'!O273</f>
        <v>0</v>
      </c>
      <c r="P273" s="48">
        <f>'Adani Enterprises'!P273</f>
        <v>0</v>
      </c>
      <c r="Q273" s="48">
        <f>'Adani Enterprises'!Q273</f>
        <v>0</v>
      </c>
      <c r="R273" s="48">
        <f>'Adani Enterprises'!R273</f>
        <v>0</v>
      </c>
      <c r="S273" s="48">
        <f>'Adani Enterprises'!S273</f>
        <v>0</v>
      </c>
      <c r="T273" s="48">
        <f>'Adani Enterprises'!T273</f>
        <v>0</v>
      </c>
      <c r="U273" s="48">
        <f>'Adani Enterprises'!U273</f>
        <v>0</v>
      </c>
      <c r="V273" s="48">
        <f>'Adani Enterprises'!V273</f>
        <v>0</v>
      </c>
      <c r="W273" s="48">
        <f>'Adani Enterprises'!W273</f>
        <v>0</v>
      </c>
      <c r="X273" s="48">
        <f>'Adani Enterprises'!X273</f>
        <v>0</v>
      </c>
      <c r="Y273" s="48">
        <f>'Adani Enterprises'!Y273</f>
        <v>0</v>
      </c>
      <c r="Z273" s="48">
        <f>'Adani Enterprises'!Z273</f>
        <v>0</v>
      </c>
      <c r="AA273" s="48">
        <f>'Adani Enterprises'!AA273</f>
        <v>0</v>
      </c>
      <c r="AB273" s="48">
        <f>'Adani Enterprises'!AB273</f>
        <v>0</v>
      </c>
      <c r="AC273" s="48">
        <f>'Adani Enterprises'!AC273</f>
        <v>0</v>
      </c>
      <c r="AD273" s="48">
        <f>'Adani Enterprises'!AD273</f>
        <v>0</v>
      </c>
      <c r="AE273" s="48">
        <f>'Adani Enterprises'!AE273</f>
        <v>0</v>
      </c>
      <c r="AF273" s="48">
        <f>'Adani Enterprises'!AF273</f>
        <v>0</v>
      </c>
      <c r="AG273" s="48">
        <f>'Adani Enterprises'!AG273</f>
        <v>0</v>
      </c>
      <c r="AH273" s="48">
        <f>'Adani Enterprises'!AH273</f>
        <v>0</v>
      </c>
      <c r="AI273" s="48">
        <f>'Adani Enterprises'!AI273</f>
        <v>0</v>
      </c>
      <c r="AJ273" s="48">
        <f>'Adani Enterprises'!AJ273</f>
        <v>0</v>
      </c>
      <c r="AK273" s="48">
        <f>'Adani Enterprises'!AK273</f>
        <v>0</v>
      </c>
      <c r="AL273" s="48">
        <f>'Adani Enterprises'!AL273</f>
        <v>0</v>
      </c>
    </row>
    <row r="274" customHeight="1" spans="1:38">
      <c r="A274" s="48">
        <f>'Adani Enterprises'!A274</f>
        <v>0</v>
      </c>
      <c r="B274" s="48">
        <f>'Adani Enterprises'!B274</f>
        <v>0</v>
      </c>
      <c r="C274" s="48">
        <f>'Adani Enterprises'!C274</f>
        <v>0</v>
      </c>
      <c r="D274" s="48">
        <f>'Adani Enterprises'!D274</f>
        <v>0</v>
      </c>
      <c r="E274" s="48">
        <f>'Adani Enterprises'!E274</f>
        <v>0</v>
      </c>
      <c r="F274" s="48">
        <f>'Adani Enterprises'!F274</f>
        <v>0</v>
      </c>
      <c r="G274" s="48">
        <f>'Adani Enterprises'!G274</f>
        <v>0</v>
      </c>
      <c r="H274" s="48">
        <f>'Adani Enterprises'!H274</f>
        <v>0</v>
      </c>
      <c r="I274" s="48">
        <f>'Adani Enterprises'!I274</f>
        <v>0</v>
      </c>
      <c r="J274" s="48">
        <f>'Adani Enterprises'!J274</f>
        <v>0</v>
      </c>
      <c r="K274" s="48">
        <f>'Adani Enterprises'!K274</f>
        <v>0</v>
      </c>
      <c r="L274" s="48">
        <f>'Adani Enterprises'!L274</f>
        <v>0</v>
      </c>
      <c r="M274" s="48">
        <f>'Adani Enterprises'!M274</f>
        <v>0</v>
      </c>
      <c r="N274" s="48">
        <f>'Adani Enterprises'!N274</f>
        <v>0</v>
      </c>
      <c r="O274" s="48">
        <f>'Adani Enterprises'!O274</f>
        <v>0</v>
      </c>
      <c r="P274" s="48">
        <f>'Adani Enterprises'!P274</f>
        <v>0</v>
      </c>
      <c r="Q274" s="48">
        <f>'Adani Enterprises'!Q274</f>
        <v>0</v>
      </c>
      <c r="R274" s="48">
        <f>'Adani Enterprises'!R274</f>
        <v>0</v>
      </c>
      <c r="S274" s="48">
        <f>'Adani Enterprises'!S274</f>
        <v>0</v>
      </c>
      <c r="T274" s="48">
        <f>'Adani Enterprises'!T274</f>
        <v>0</v>
      </c>
      <c r="U274" s="48">
        <f>'Adani Enterprises'!U274</f>
        <v>0</v>
      </c>
      <c r="V274" s="48">
        <f>'Adani Enterprises'!V274</f>
        <v>0</v>
      </c>
      <c r="W274" s="48">
        <f>'Adani Enterprises'!W274</f>
        <v>0</v>
      </c>
      <c r="X274" s="48">
        <f>'Adani Enterprises'!X274</f>
        <v>0</v>
      </c>
      <c r="Y274" s="48">
        <f>'Adani Enterprises'!Y274</f>
        <v>0</v>
      </c>
      <c r="Z274" s="48">
        <f>'Adani Enterprises'!Z274</f>
        <v>0</v>
      </c>
      <c r="AA274" s="48">
        <f>'Adani Enterprises'!AA274</f>
        <v>0</v>
      </c>
      <c r="AB274" s="48">
        <f>'Adani Enterprises'!AB274</f>
        <v>0</v>
      </c>
      <c r="AC274" s="48">
        <f>'Adani Enterprises'!AC274</f>
        <v>0</v>
      </c>
      <c r="AD274" s="48">
        <f>'Adani Enterprises'!AD274</f>
        <v>0</v>
      </c>
      <c r="AE274" s="48">
        <f>'Adani Enterprises'!AE274</f>
        <v>0</v>
      </c>
      <c r="AF274" s="48">
        <f>'Adani Enterprises'!AF274</f>
        <v>0</v>
      </c>
      <c r="AG274" s="48">
        <f>'Adani Enterprises'!AG274</f>
        <v>0</v>
      </c>
      <c r="AH274" s="48">
        <f>'Adani Enterprises'!AH274</f>
        <v>0</v>
      </c>
      <c r="AI274" s="48">
        <f>'Adani Enterprises'!AI274</f>
        <v>0</v>
      </c>
      <c r="AJ274" s="48">
        <f>'Adani Enterprises'!AJ274</f>
        <v>0</v>
      </c>
      <c r="AK274" s="48">
        <f>'Adani Enterprises'!AK274</f>
        <v>0</v>
      </c>
      <c r="AL274" s="48">
        <f>'Adani Enterprises'!AL274</f>
        <v>0</v>
      </c>
    </row>
    <row r="275" customHeight="1" spans="1:38">
      <c r="A275" s="48">
        <f>'Adani Enterprises'!A275</f>
        <v>0</v>
      </c>
      <c r="B275" s="48">
        <f>'Adani Enterprises'!B275</f>
        <v>0</v>
      </c>
      <c r="C275" s="48">
        <f>'Adani Enterprises'!C275</f>
        <v>0</v>
      </c>
      <c r="D275" s="48">
        <f>'Adani Enterprises'!D275</f>
        <v>0</v>
      </c>
      <c r="E275" s="48">
        <f>'Adani Enterprises'!E275</f>
        <v>0</v>
      </c>
      <c r="F275" s="48">
        <f>'Adani Enterprises'!F275</f>
        <v>0</v>
      </c>
      <c r="G275" s="48">
        <f>'Adani Enterprises'!G275</f>
        <v>0</v>
      </c>
      <c r="H275" s="48">
        <f>'Adani Enterprises'!H275</f>
        <v>0</v>
      </c>
      <c r="I275" s="48">
        <f>'Adani Enterprises'!I275</f>
        <v>0</v>
      </c>
      <c r="J275" s="48">
        <f>'Adani Enterprises'!J275</f>
        <v>0</v>
      </c>
      <c r="K275" s="48">
        <f>'Adani Enterprises'!K275</f>
        <v>0</v>
      </c>
      <c r="L275" s="48">
        <f>'Adani Enterprises'!L275</f>
        <v>0</v>
      </c>
      <c r="M275" s="48">
        <f>'Adani Enterprises'!M275</f>
        <v>0</v>
      </c>
      <c r="N275" s="48">
        <f>'Adani Enterprises'!N275</f>
        <v>0</v>
      </c>
      <c r="O275" s="48">
        <f>'Adani Enterprises'!O275</f>
        <v>0</v>
      </c>
      <c r="P275" s="48">
        <f>'Adani Enterprises'!P275</f>
        <v>0</v>
      </c>
      <c r="Q275" s="48">
        <f>'Adani Enterprises'!Q275</f>
        <v>0</v>
      </c>
      <c r="R275" s="48">
        <f>'Adani Enterprises'!R275</f>
        <v>0</v>
      </c>
      <c r="S275" s="48">
        <f>'Adani Enterprises'!S275</f>
        <v>0</v>
      </c>
      <c r="T275" s="48">
        <f>'Adani Enterprises'!T275</f>
        <v>0</v>
      </c>
      <c r="U275" s="48">
        <f>'Adani Enterprises'!U275</f>
        <v>0</v>
      </c>
      <c r="V275" s="48">
        <f>'Adani Enterprises'!V275</f>
        <v>0</v>
      </c>
      <c r="W275" s="48">
        <f>'Adani Enterprises'!W275</f>
        <v>0</v>
      </c>
      <c r="X275" s="48">
        <f>'Adani Enterprises'!X275</f>
        <v>0</v>
      </c>
      <c r="Y275" s="48">
        <f>'Adani Enterprises'!Y275</f>
        <v>0</v>
      </c>
      <c r="Z275" s="48">
        <f>'Adani Enterprises'!Z275</f>
        <v>0</v>
      </c>
      <c r="AA275" s="48">
        <f>'Adani Enterprises'!AA275</f>
        <v>0</v>
      </c>
      <c r="AB275" s="48">
        <f>'Adani Enterprises'!AB275</f>
        <v>0</v>
      </c>
      <c r="AC275" s="48">
        <f>'Adani Enterprises'!AC275</f>
        <v>0</v>
      </c>
      <c r="AD275" s="48">
        <f>'Adani Enterprises'!AD275</f>
        <v>0</v>
      </c>
      <c r="AE275" s="48">
        <f>'Adani Enterprises'!AE275</f>
        <v>0</v>
      </c>
      <c r="AF275" s="48">
        <f>'Adani Enterprises'!AF275</f>
        <v>0</v>
      </c>
      <c r="AG275" s="48">
        <f>'Adani Enterprises'!AG275</f>
        <v>0</v>
      </c>
      <c r="AH275" s="48">
        <f>'Adani Enterprises'!AH275</f>
        <v>0</v>
      </c>
      <c r="AI275" s="48">
        <f>'Adani Enterprises'!AI275</f>
        <v>0</v>
      </c>
      <c r="AJ275" s="48">
        <f>'Adani Enterprises'!AJ275</f>
        <v>0</v>
      </c>
      <c r="AK275" s="48">
        <f>'Adani Enterprises'!AK275</f>
        <v>0</v>
      </c>
      <c r="AL275" s="48">
        <f>'Adani Enterprises'!AL275</f>
        <v>0</v>
      </c>
    </row>
    <row r="276" customHeight="1" spans="1:38">
      <c r="A276" s="48">
        <f>'Adani Enterprises'!A276</f>
        <v>0</v>
      </c>
      <c r="B276" s="48">
        <f>'Adani Enterprises'!B276</f>
        <v>0</v>
      </c>
      <c r="C276" s="48">
        <f>'Adani Enterprises'!C276</f>
        <v>0</v>
      </c>
      <c r="D276" s="48">
        <f>'Adani Enterprises'!D276</f>
        <v>0</v>
      </c>
      <c r="E276" s="48">
        <f>'Adani Enterprises'!E276</f>
        <v>0</v>
      </c>
      <c r="F276" s="48">
        <f>'Adani Enterprises'!F276</f>
        <v>0</v>
      </c>
      <c r="G276" s="48">
        <f>'Adani Enterprises'!G276</f>
        <v>0</v>
      </c>
      <c r="H276" s="48">
        <f>'Adani Enterprises'!H276</f>
        <v>0</v>
      </c>
      <c r="I276" s="48">
        <f>'Adani Enterprises'!I276</f>
        <v>0</v>
      </c>
      <c r="J276" s="48">
        <f>'Adani Enterprises'!J276</f>
        <v>0</v>
      </c>
      <c r="K276" s="48">
        <f>'Adani Enterprises'!K276</f>
        <v>0</v>
      </c>
      <c r="L276" s="48">
        <f>'Adani Enterprises'!L276</f>
        <v>0</v>
      </c>
      <c r="M276" s="48">
        <f>'Adani Enterprises'!M276</f>
        <v>0</v>
      </c>
      <c r="N276" s="48">
        <f>'Adani Enterprises'!N276</f>
        <v>0</v>
      </c>
      <c r="O276" s="48">
        <f>'Adani Enterprises'!O276</f>
        <v>0</v>
      </c>
      <c r="P276" s="48">
        <f>'Adani Enterprises'!P276</f>
        <v>0</v>
      </c>
      <c r="Q276" s="48">
        <f>'Adani Enterprises'!Q276</f>
        <v>0</v>
      </c>
      <c r="R276" s="48">
        <f>'Adani Enterprises'!R276</f>
        <v>0</v>
      </c>
      <c r="S276" s="48">
        <f>'Adani Enterprises'!S276</f>
        <v>0</v>
      </c>
      <c r="T276" s="48">
        <f>'Adani Enterprises'!T276</f>
        <v>0</v>
      </c>
      <c r="U276" s="48">
        <f>'Adani Enterprises'!U276</f>
        <v>0</v>
      </c>
      <c r="V276" s="48">
        <f>'Adani Enterprises'!V276</f>
        <v>0</v>
      </c>
      <c r="W276" s="48">
        <f>'Adani Enterprises'!W276</f>
        <v>0</v>
      </c>
      <c r="X276" s="48">
        <f>'Adani Enterprises'!X276</f>
        <v>0</v>
      </c>
      <c r="Y276" s="48">
        <f>'Adani Enterprises'!Y276</f>
        <v>0</v>
      </c>
      <c r="Z276" s="48">
        <f>'Adani Enterprises'!Z276</f>
        <v>0</v>
      </c>
      <c r="AA276" s="48">
        <f>'Adani Enterprises'!AA276</f>
        <v>0</v>
      </c>
      <c r="AB276" s="48">
        <f>'Adani Enterprises'!AB276</f>
        <v>0</v>
      </c>
      <c r="AC276" s="48">
        <f>'Adani Enterprises'!AC276</f>
        <v>0</v>
      </c>
      <c r="AD276" s="48">
        <f>'Adani Enterprises'!AD276</f>
        <v>0</v>
      </c>
      <c r="AE276" s="48">
        <f>'Adani Enterprises'!AE276</f>
        <v>0</v>
      </c>
      <c r="AF276" s="48">
        <f>'Adani Enterprises'!AF276</f>
        <v>0</v>
      </c>
      <c r="AG276" s="48">
        <f>'Adani Enterprises'!AG276</f>
        <v>0</v>
      </c>
      <c r="AH276" s="48">
        <f>'Adani Enterprises'!AH276</f>
        <v>0</v>
      </c>
      <c r="AI276" s="48">
        <f>'Adani Enterprises'!AI276</f>
        <v>0</v>
      </c>
      <c r="AJ276" s="48">
        <f>'Adani Enterprises'!AJ276</f>
        <v>0</v>
      </c>
      <c r="AK276" s="48">
        <f>'Adani Enterprises'!AK276</f>
        <v>0</v>
      </c>
      <c r="AL276" s="48">
        <f>'Adani Enterprises'!AL276</f>
        <v>0</v>
      </c>
    </row>
    <row r="277" customHeight="1" spans="1:38">
      <c r="A277" s="48">
        <f>'Adani Enterprises'!A277</f>
        <v>0</v>
      </c>
      <c r="B277" s="48">
        <f>'Adani Enterprises'!B277</f>
        <v>0</v>
      </c>
      <c r="C277" s="48">
        <f>'Adani Enterprises'!C277</f>
        <v>0</v>
      </c>
      <c r="D277" s="48">
        <f>'Adani Enterprises'!D277</f>
        <v>0</v>
      </c>
      <c r="E277" s="48">
        <f>'Adani Enterprises'!E277</f>
        <v>0</v>
      </c>
      <c r="F277" s="48">
        <f>'Adani Enterprises'!F277</f>
        <v>0</v>
      </c>
      <c r="G277" s="48">
        <f>'Adani Enterprises'!G277</f>
        <v>0</v>
      </c>
      <c r="H277" s="48">
        <f>'Adani Enterprises'!H277</f>
        <v>0</v>
      </c>
      <c r="I277" s="48">
        <f>'Adani Enterprises'!I277</f>
        <v>0</v>
      </c>
      <c r="J277" s="48">
        <f>'Adani Enterprises'!J277</f>
        <v>0</v>
      </c>
      <c r="K277" s="48">
        <f>'Adani Enterprises'!K277</f>
        <v>0</v>
      </c>
      <c r="L277" s="48">
        <f>'Adani Enterprises'!L277</f>
        <v>0</v>
      </c>
      <c r="M277" s="48">
        <f>'Adani Enterprises'!M277</f>
        <v>0</v>
      </c>
      <c r="N277" s="48">
        <f>'Adani Enterprises'!N277</f>
        <v>0</v>
      </c>
      <c r="O277" s="48">
        <f>'Adani Enterprises'!O277</f>
        <v>0</v>
      </c>
      <c r="P277" s="48">
        <f>'Adani Enterprises'!P277</f>
        <v>0</v>
      </c>
      <c r="Q277" s="48">
        <f>'Adani Enterprises'!Q277</f>
        <v>0</v>
      </c>
      <c r="R277" s="48">
        <f>'Adani Enterprises'!R277</f>
        <v>0</v>
      </c>
      <c r="S277" s="48">
        <f>'Adani Enterprises'!S277</f>
        <v>0</v>
      </c>
      <c r="T277" s="48">
        <f>'Adani Enterprises'!T277</f>
        <v>0</v>
      </c>
      <c r="U277" s="48">
        <f>'Adani Enterprises'!U277</f>
        <v>0</v>
      </c>
      <c r="V277" s="48">
        <f>'Adani Enterprises'!V277</f>
        <v>0</v>
      </c>
      <c r="W277" s="48">
        <f>'Adani Enterprises'!W277</f>
        <v>0</v>
      </c>
      <c r="X277" s="48">
        <f>'Adani Enterprises'!X277</f>
        <v>0</v>
      </c>
      <c r="Y277" s="48">
        <f>'Adani Enterprises'!Y277</f>
        <v>0</v>
      </c>
      <c r="Z277" s="48">
        <f>'Adani Enterprises'!Z277</f>
        <v>0</v>
      </c>
      <c r="AA277" s="48">
        <f>'Adani Enterprises'!AA277</f>
        <v>0</v>
      </c>
      <c r="AB277" s="48">
        <f>'Adani Enterprises'!AB277</f>
        <v>0</v>
      </c>
      <c r="AC277" s="48">
        <f>'Adani Enterprises'!AC277</f>
        <v>0</v>
      </c>
      <c r="AD277" s="48">
        <f>'Adani Enterprises'!AD277</f>
        <v>0</v>
      </c>
      <c r="AE277" s="48">
        <f>'Adani Enterprises'!AE277</f>
        <v>0</v>
      </c>
      <c r="AF277" s="48">
        <f>'Adani Enterprises'!AF277</f>
        <v>0</v>
      </c>
      <c r="AG277" s="48">
        <f>'Adani Enterprises'!AG277</f>
        <v>0</v>
      </c>
      <c r="AH277" s="48">
        <f>'Adani Enterprises'!AH277</f>
        <v>0</v>
      </c>
      <c r="AI277" s="48">
        <f>'Adani Enterprises'!AI277</f>
        <v>0</v>
      </c>
      <c r="AJ277" s="48">
        <f>'Adani Enterprises'!AJ277</f>
        <v>0</v>
      </c>
      <c r="AK277" s="48">
        <f>'Adani Enterprises'!AK277</f>
        <v>0</v>
      </c>
      <c r="AL277" s="48">
        <f>'Adani Enterprises'!AL277</f>
        <v>0</v>
      </c>
    </row>
    <row r="278" customHeight="1" spans="1:38">
      <c r="A278" s="48">
        <f>'Adani Enterprises'!A278</f>
        <v>0</v>
      </c>
      <c r="B278" s="48">
        <f>'Adani Enterprises'!B278</f>
        <v>0</v>
      </c>
      <c r="C278" s="48">
        <f>'Adani Enterprises'!C278</f>
        <v>0</v>
      </c>
      <c r="D278" s="48">
        <f>'Adani Enterprises'!D278</f>
        <v>0</v>
      </c>
      <c r="E278" s="48">
        <f>'Adani Enterprises'!E278</f>
        <v>0</v>
      </c>
      <c r="F278" s="48">
        <f>'Adani Enterprises'!F278</f>
        <v>0</v>
      </c>
      <c r="G278" s="48">
        <f>'Adani Enterprises'!G278</f>
        <v>0</v>
      </c>
      <c r="H278" s="48">
        <f>'Adani Enterprises'!H278</f>
        <v>0</v>
      </c>
      <c r="I278" s="48">
        <f>'Adani Enterprises'!I278</f>
        <v>0</v>
      </c>
      <c r="J278" s="48">
        <f>'Adani Enterprises'!J278</f>
        <v>0</v>
      </c>
      <c r="K278" s="48">
        <f>'Adani Enterprises'!K278</f>
        <v>0</v>
      </c>
      <c r="L278" s="48">
        <f>'Adani Enterprises'!L278</f>
        <v>0</v>
      </c>
      <c r="M278" s="48">
        <f>'Adani Enterprises'!M278</f>
        <v>0</v>
      </c>
      <c r="N278" s="48">
        <f>'Adani Enterprises'!N278</f>
        <v>0</v>
      </c>
      <c r="O278" s="48">
        <f>'Adani Enterprises'!O278</f>
        <v>0</v>
      </c>
      <c r="P278" s="48">
        <f>'Adani Enterprises'!P278</f>
        <v>0</v>
      </c>
      <c r="Q278" s="48">
        <f>'Adani Enterprises'!Q278</f>
        <v>0</v>
      </c>
      <c r="R278" s="48">
        <f>'Adani Enterprises'!R278</f>
        <v>0</v>
      </c>
      <c r="S278" s="48">
        <f>'Adani Enterprises'!S278</f>
        <v>0</v>
      </c>
      <c r="T278" s="48">
        <f>'Adani Enterprises'!T278</f>
        <v>0</v>
      </c>
      <c r="U278" s="48">
        <f>'Adani Enterprises'!U278</f>
        <v>0</v>
      </c>
      <c r="V278" s="48">
        <f>'Adani Enterprises'!V278</f>
        <v>0</v>
      </c>
      <c r="W278" s="48">
        <f>'Adani Enterprises'!W278</f>
        <v>0</v>
      </c>
      <c r="X278" s="48">
        <f>'Adani Enterprises'!X278</f>
        <v>0</v>
      </c>
      <c r="Y278" s="48">
        <f>'Adani Enterprises'!Y278</f>
        <v>0</v>
      </c>
      <c r="Z278" s="48">
        <f>'Adani Enterprises'!Z278</f>
        <v>0</v>
      </c>
      <c r="AA278" s="48">
        <f>'Adani Enterprises'!AA278</f>
        <v>0</v>
      </c>
      <c r="AB278" s="48">
        <f>'Adani Enterprises'!AB278</f>
        <v>0</v>
      </c>
      <c r="AC278" s="48">
        <f>'Adani Enterprises'!AC278</f>
        <v>0</v>
      </c>
      <c r="AD278" s="48">
        <f>'Adani Enterprises'!AD278</f>
        <v>0</v>
      </c>
      <c r="AE278" s="48">
        <f>'Adani Enterprises'!AE278</f>
        <v>0</v>
      </c>
      <c r="AF278" s="48">
        <f>'Adani Enterprises'!AF278</f>
        <v>0</v>
      </c>
      <c r="AG278" s="48">
        <f>'Adani Enterprises'!AG278</f>
        <v>0</v>
      </c>
      <c r="AH278" s="48">
        <f>'Adani Enterprises'!AH278</f>
        <v>0</v>
      </c>
      <c r="AI278" s="48">
        <f>'Adani Enterprises'!AI278</f>
        <v>0</v>
      </c>
      <c r="AJ278" s="48">
        <f>'Adani Enterprises'!AJ278</f>
        <v>0</v>
      </c>
      <c r="AK278" s="48">
        <f>'Adani Enterprises'!AK278</f>
        <v>0</v>
      </c>
      <c r="AL278" s="48">
        <f>'Adani Enterprises'!AL278</f>
        <v>0</v>
      </c>
    </row>
    <row r="279" customHeight="1" spans="1:38">
      <c r="A279" s="48">
        <f>'Adani Enterprises'!A279</f>
        <v>0</v>
      </c>
      <c r="B279" s="48">
        <f>'Adani Enterprises'!B279</f>
        <v>0</v>
      </c>
      <c r="C279" s="48">
        <f>'Adani Enterprises'!C279</f>
        <v>0</v>
      </c>
      <c r="D279" s="48">
        <f>'Adani Enterprises'!D279</f>
        <v>0</v>
      </c>
      <c r="E279" s="48">
        <f>'Adani Enterprises'!E279</f>
        <v>0</v>
      </c>
      <c r="F279" s="48">
        <f>'Adani Enterprises'!F279</f>
        <v>0</v>
      </c>
      <c r="G279" s="48">
        <f>'Adani Enterprises'!G279</f>
        <v>0</v>
      </c>
      <c r="H279" s="48">
        <f>'Adani Enterprises'!H279</f>
        <v>0</v>
      </c>
      <c r="I279" s="48">
        <f>'Adani Enterprises'!I279</f>
        <v>0</v>
      </c>
      <c r="J279" s="48">
        <f>'Adani Enterprises'!J279</f>
        <v>0</v>
      </c>
      <c r="K279" s="48">
        <f>'Adani Enterprises'!K279</f>
        <v>0</v>
      </c>
      <c r="L279" s="48">
        <f>'Adani Enterprises'!L279</f>
        <v>0</v>
      </c>
      <c r="M279" s="48">
        <f>'Adani Enterprises'!M279</f>
        <v>0</v>
      </c>
      <c r="N279" s="48">
        <f>'Adani Enterprises'!N279</f>
        <v>0</v>
      </c>
      <c r="O279" s="48">
        <f>'Adani Enterprises'!O279</f>
        <v>0</v>
      </c>
      <c r="P279" s="48">
        <f>'Adani Enterprises'!P279</f>
        <v>0</v>
      </c>
      <c r="Q279" s="48">
        <f>'Adani Enterprises'!Q279</f>
        <v>0</v>
      </c>
      <c r="R279" s="48">
        <f>'Adani Enterprises'!R279</f>
        <v>0</v>
      </c>
      <c r="S279" s="48">
        <f>'Adani Enterprises'!S279</f>
        <v>0</v>
      </c>
      <c r="T279" s="48">
        <f>'Adani Enterprises'!T279</f>
        <v>0</v>
      </c>
      <c r="U279" s="48">
        <f>'Adani Enterprises'!U279</f>
        <v>0</v>
      </c>
      <c r="V279" s="48">
        <f>'Adani Enterprises'!V279</f>
        <v>0</v>
      </c>
      <c r="W279" s="48">
        <f>'Adani Enterprises'!W279</f>
        <v>0</v>
      </c>
      <c r="X279" s="48">
        <f>'Adani Enterprises'!X279</f>
        <v>0</v>
      </c>
      <c r="Y279" s="48">
        <f>'Adani Enterprises'!Y279</f>
        <v>0</v>
      </c>
      <c r="Z279" s="48">
        <f>'Adani Enterprises'!Z279</f>
        <v>0</v>
      </c>
      <c r="AA279" s="48">
        <f>'Adani Enterprises'!AA279</f>
        <v>0</v>
      </c>
      <c r="AB279" s="48">
        <f>'Adani Enterprises'!AB279</f>
        <v>0</v>
      </c>
      <c r="AC279" s="48">
        <f>'Adani Enterprises'!AC279</f>
        <v>0</v>
      </c>
      <c r="AD279" s="48">
        <f>'Adani Enterprises'!AD279</f>
        <v>0</v>
      </c>
      <c r="AE279" s="48">
        <f>'Adani Enterprises'!AE279</f>
        <v>0</v>
      </c>
      <c r="AF279" s="48">
        <f>'Adani Enterprises'!AF279</f>
        <v>0</v>
      </c>
      <c r="AG279" s="48">
        <f>'Adani Enterprises'!AG279</f>
        <v>0</v>
      </c>
      <c r="AH279" s="48">
        <f>'Adani Enterprises'!AH279</f>
        <v>0</v>
      </c>
      <c r="AI279" s="48">
        <f>'Adani Enterprises'!AI279</f>
        <v>0</v>
      </c>
      <c r="AJ279" s="48">
        <f>'Adani Enterprises'!AJ279</f>
        <v>0</v>
      </c>
      <c r="AK279" s="48">
        <f>'Adani Enterprises'!AK279</f>
        <v>0</v>
      </c>
      <c r="AL279" s="48">
        <f>'Adani Enterprises'!AL279</f>
        <v>0</v>
      </c>
    </row>
    <row r="280" customHeight="1" spans="1:38">
      <c r="A280" s="48">
        <f>'Adani Enterprises'!A280</f>
        <v>0</v>
      </c>
      <c r="B280" s="48">
        <f>'Adani Enterprises'!B280</f>
        <v>0</v>
      </c>
      <c r="C280" s="48">
        <f>'Adani Enterprises'!C280</f>
        <v>0</v>
      </c>
      <c r="D280" s="48">
        <f>'Adani Enterprises'!D280</f>
        <v>0</v>
      </c>
      <c r="E280" s="48">
        <f>'Adani Enterprises'!E280</f>
        <v>0</v>
      </c>
      <c r="F280" s="48">
        <f>'Adani Enterprises'!F280</f>
        <v>0</v>
      </c>
      <c r="G280" s="48">
        <f>'Adani Enterprises'!G280</f>
        <v>0</v>
      </c>
      <c r="H280" s="48">
        <f>'Adani Enterprises'!H280</f>
        <v>0</v>
      </c>
      <c r="I280" s="48">
        <f>'Adani Enterprises'!I280</f>
        <v>0</v>
      </c>
      <c r="J280" s="48">
        <f>'Adani Enterprises'!J280</f>
        <v>0</v>
      </c>
      <c r="K280" s="48">
        <f>'Adani Enterprises'!K280</f>
        <v>0</v>
      </c>
      <c r="L280" s="48">
        <f>'Adani Enterprises'!L280</f>
        <v>0</v>
      </c>
      <c r="M280" s="48">
        <f>'Adani Enterprises'!M280</f>
        <v>0</v>
      </c>
      <c r="N280" s="48">
        <f>'Adani Enterprises'!N280</f>
        <v>0</v>
      </c>
      <c r="O280" s="48">
        <f>'Adani Enterprises'!O280</f>
        <v>0</v>
      </c>
      <c r="P280" s="48">
        <f>'Adani Enterprises'!P280</f>
        <v>0</v>
      </c>
      <c r="Q280" s="48">
        <f>'Adani Enterprises'!Q280</f>
        <v>0</v>
      </c>
      <c r="R280" s="48">
        <f>'Adani Enterprises'!R280</f>
        <v>0</v>
      </c>
      <c r="S280" s="48">
        <f>'Adani Enterprises'!S280</f>
        <v>0</v>
      </c>
      <c r="T280" s="48">
        <f>'Adani Enterprises'!T280</f>
        <v>0</v>
      </c>
      <c r="U280" s="48">
        <f>'Adani Enterprises'!U280</f>
        <v>0</v>
      </c>
      <c r="V280" s="48">
        <f>'Adani Enterprises'!V280</f>
        <v>0</v>
      </c>
      <c r="W280" s="48">
        <f>'Adani Enterprises'!W280</f>
        <v>0</v>
      </c>
      <c r="X280" s="48">
        <f>'Adani Enterprises'!X280</f>
        <v>0</v>
      </c>
      <c r="Y280" s="48">
        <f>'Adani Enterprises'!Y280</f>
        <v>0</v>
      </c>
      <c r="Z280" s="48">
        <f>'Adani Enterprises'!Z280</f>
        <v>0</v>
      </c>
      <c r="AA280" s="48">
        <f>'Adani Enterprises'!AA280</f>
        <v>0</v>
      </c>
      <c r="AB280" s="48">
        <f>'Adani Enterprises'!AB280</f>
        <v>0</v>
      </c>
      <c r="AC280" s="48">
        <f>'Adani Enterprises'!AC280</f>
        <v>0</v>
      </c>
      <c r="AD280" s="48">
        <f>'Adani Enterprises'!AD280</f>
        <v>0</v>
      </c>
      <c r="AE280" s="48">
        <f>'Adani Enterprises'!AE280</f>
        <v>0</v>
      </c>
      <c r="AF280" s="48">
        <f>'Adani Enterprises'!AF280</f>
        <v>0</v>
      </c>
      <c r="AG280" s="48">
        <f>'Adani Enterprises'!AG280</f>
        <v>0</v>
      </c>
      <c r="AH280" s="48">
        <f>'Adani Enterprises'!AH280</f>
        <v>0</v>
      </c>
      <c r="AI280" s="48">
        <f>'Adani Enterprises'!AI280</f>
        <v>0</v>
      </c>
      <c r="AJ280" s="48">
        <f>'Adani Enterprises'!AJ280</f>
        <v>0</v>
      </c>
      <c r="AK280" s="48">
        <f>'Adani Enterprises'!AK280</f>
        <v>0</v>
      </c>
      <c r="AL280" s="48">
        <f>'Adani Enterprises'!AL280</f>
        <v>0</v>
      </c>
    </row>
    <row r="281" customHeight="1" spans="1:38">
      <c r="A281" s="48">
        <f>'Adani Enterprises'!A281</f>
        <v>0</v>
      </c>
      <c r="B281" s="48">
        <f>'Adani Enterprises'!B281</f>
        <v>0</v>
      </c>
      <c r="C281" s="48">
        <f>'Adani Enterprises'!C281</f>
        <v>0</v>
      </c>
      <c r="D281" s="48">
        <f>'Adani Enterprises'!D281</f>
        <v>0</v>
      </c>
      <c r="E281" s="48">
        <f>'Adani Enterprises'!E281</f>
        <v>0</v>
      </c>
      <c r="F281" s="48">
        <f>'Adani Enterprises'!F281</f>
        <v>0</v>
      </c>
      <c r="G281" s="48">
        <f>'Adani Enterprises'!G281</f>
        <v>0</v>
      </c>
      <c r="H281" s="48">
        <f>'Adani Enterprises'!H281</f>
        <v>0</v>
      </c>
      <c r="I281" s="48">
        <f>'Adani Enterprises'!I281</f>
        <v>0</v>
      </c>
      <c r="J281" s="48">
        <f>'Adani Enterprises'!J281</f>
        <v>0</v>
      </c>
      <c r="K281" s="48">
        <f>'Adani Enterprises'!K281</f>
        <v>0</v>
      </c>
      <c r="L281" s="48">
        <f>'Adani Enterprises'!L281</f>
        <v>0</v>
      </c>
      <c r="M281" s="48">
        <f>'Adani Enterprises'!M281</f>
        <v>0</v>
      </c>
      <c r="N281" s="48">
        <f>'Adani Enterprises'!N281</f>
        <v>0</v>
      </c>
      <c r="O281" s="48">
        <f>'Adani Enterprises'!O281</f>
        <v>0</v>
      </c>
      <c r="P281" s="48">
        <f>'Adani Enterprises'!P281</f>
        <v>0</v>
      </c>
      <c r="Q281" s="48">
        <f>'Adani Enterprises'!Q281</f>
        <v>0</v>
      </c>
      <c r="R281" s="48">
        <f>'Adani Enterprises'!R281</f>
        <v>0</v>
      </c>
      <c r="S281" s="48">
        <f>'Adani Enterprises'!S281</f>
        <v>0</v>
      </c>
      <c r="T281" s="48">
        <f>'Adani Enterprises'!T281</f>
        <v>0</v>
      </c>
      <c r="U281" s="48">
        <f>'Adani Enterprises'!U281</f>
        <v>0</v>
      </c>
      <c r="V281" s="48">
        <f>'Adani Enterprises'!V281</f>
        <v>0</v>
      </c>
      <c r="W281" s="48">
        <f>'Adani Enterprises'!W281</f>
        <v>0</v>
      </c>
      <c r="X281" s="48">
        <f>'Adani Enterprises'!X281</f>
        <v>0</v>
      </c>
      <c r="Y281" s="48">
        <f>'Adani Enterprises'!Y281</f>
        <v>0</v>
      </c>
      <c r="Z281" s="48">
        <f>'Adani Enterprises'!Z281</f>
        <v>0</v>
      </c>
      <c r="AA281" s="48">
        <f>'Adani Enterprises'!AA281</f>
        <v>0</v>
      </c>
      <c r="AB281" s="48">
        <f>'Adani Enterprises'!AB281</f>
        <v>0</v>
      </c>
      <c r="AC281" s="48">
        <f>'Adani Enterprises'!AC281</f>
        <v>0</v>
      </c>
      <c r="AD281" s="48">
        <f>'Adani Enterprises'!AD281</f>
        <v>0</v>
      </c>
      <c r="AE281" s="48">
        <f>'Adani Enterprises'!AE281</f>
        <v>0</v>
      </c>
      <c r="AF281" s="48">
        <f>'Adani Enterprises'!AF281</f>
        <v>0</v>
      </c>
      <c r="AG281" s="48">
        <f>'Adani Enterprises'!AG281</f>
        <v>0</v>
      </c>
      <c r="AH281" s="48">
        <f>'Adani Enterprises'!AH281</f>
        <v>0</v>
      </c>
      <c r="AI281" s="48">
        <f>'Adani Enterprises'!AI281</f>
        <v>0</v>
      </c>
      <c r="AJ281" s="48">
        <f>'Adani Enterprises'!AJ281</f>
        <v>0</v>
      </c>
      <c r="AK281" s="48">
        <f>'Adani Enterprises'!AK281</f>
        <v>0</v>
      </c>
      <c r="AL281" s="48">
        <f>'Adani Enterprises'!AL281</f>
        <v>0</v>
      </c>
    </row>
    <row r="282" customHeight="1" spans="1:38">
      <c r="A282" s="48">
        <f>'Adani Enterprises'!A282</f>
        <v>0</v>
      </c>
      <c r="B282" s="48">
        <f>'Adani Enterprises'!B282</f>
        <v>0</v>
      </c>
      <c r="C282" s="48">
        <f>'Adani Enterprises'!C282</f>
        <v>0</v>
      </c>
      <c r="D282" s="48">
        <f>'Adani Enterprises'!D282</f>
        <v>0</v>
      </c>
      <c r="E282" s="48">
        <f>'Adani Enterprises'!E282</f>
        <v>0</v>
      </c>
      <c r="F282" s="48">
        <f>'Adani Enterprises'!F282</f>
        <v>0</v>
      </c>
      <c r="G282" s="48">
        <f>'Adani Enterprises'!G282</f>
        <v>0</v>
      </c>
      <c r="H282" s="48">
        <f>'Adani Enterprises'!H282</f>
        <v>0</v>
      </c>
      <c r="I282" s="48">
        <f>'Adani Enterprises'!I282</f>
        <v>0</v>
      </c>
      <c r="J282" s="48">
        <f>'Adani Enterprises'!J282</f>
        <v>0</v>
      </c>
      <c r="K282" s="48">
        <f>'Adani Enterprises'!K282</f>
        <v>0</v>
      </c>
      <c r="L282" s="48">
        <f>'Adani Enterprises'!L282</f>
        <v>0</v>
      </c>
      <c r="M282" s="48">
        <f>'Adani Enterprises'!M282</f>
        <v>0</v>
      </c>
      <c r="N282" s="48">
        <f>'Adani Enterprises'!N282</f>
        <v>0</v>
      </c>
      <c r="O282" s="48">
        <f>'Adani Enterprises'!O282</f>
        <v>0</v>
      </c>
      <c r="P282" s="48">
        <f>'Adani Enterprises'!P282</f>
        <v>0</v>
      </c>
      <c r="Q282" s="48">
        <f>'Adani Enterprises'!Q282</f>
        <v>0</v>
      </c>
      <c r="R282" s="48">
        <f>'Adani Enterprises'!R282</f>
        <v>0</v>
      </c>
      <c r="S282" s="48">
        <f>'Adani Enterprises'!S282</f>
        <v>0</v>
      </c>
      <c r="T282" s="48">
        <f>'Adani Enterprises'!T282</f>
        <v>0</v>
      </c>
      <c r="U282" s="48">
        <f>'Adani Enterprises'!U282</f>
        <v>0</v>
      </c>
      <c r="V282" s="48">
        <f>'Adani Enterprises'!V282</f>
        <v>0</v>
      </c>
      <c r="W282" s="48">
        <f>'Adani Enterprises'!W282</f>
        <v>0</v>
      </c>
      <c r="X282" s="48">
        <f>'Adani Enterprises'!X282</f>
        <v>0</v>
      </c>
      <c r="Y282" s="48">
        <f>'Adani Enterprises'!Y282</f>
        <v>0</v>
      </c>
      <c r="Z282" s="48">
        <f>'Adani Enterprises'!Z282</f>
        <v>0</v>
      </c>
      <c r="AA282" s="48">
        <f>'Adani Enterprises'!AA282</f>
        <v>0</v>
      </c>
      <c r="AB282" s="48">
        <f>'Adani Enterprises'!AB282</f>
        <v>0</v>
      </c>
      <c r="AC282" s="48">
        <f>'Adani Enterprises'!AC282</f>
        <v>0</v>
      </c>
      <c r="AD282" s="48">
        <f>'Adani Enterprises'!AD282</f>
        <v>0</v>
      </c>
      <c r="AE282" s="48">
        <f>'Adani Enterprises'!AE282</f>
        <v>0</v>
      </c>
      <c r="AF282" s="48">
        <f>'Adani Enterprises'!AF282</f>
        <v>0</v>
      </c>
      <c r="AG282" s="48">
        <f>'Adani Enterprises'!AG282</f>
        <v>0</v>
      </c>
      <c r="AH282" s="48">
        <f>'Adani Enterprises'!AH282</f>
        <v>0</v>
      </c>
      <c r="AI282" s="48">
        <f>'Adani Enterprises'!AI282</f>
        <v>0</v>
      </c>
      <c r="AJ282" s="48">
        <f>'Adani Enterprises'!AJ282</f>
        <v>0</v>
      </c>
      <c r="AK282" s="48">
        <f>'Adani Enterprises'!AK282</f>
        <v>0</v>
      </c>
      <c r="AL282" s="48">
        <f>'Adani Enterprises'!AL282</f>
        <v>0</v>
      </c>
    </row>
    <row r="283" customHeight="1" spans="1:38">
      <c r="A283" s="48">
        <f>'Adani Enterprises'!A283</f>
        <v>0</v>
      </c>
      <c r="B283" s="48">
        <f>'Adani Enterprises'!B283</f>
        <v>0</v>
      </c>
      <c r="C283" s="48">
        <f>'Adani Enterprises'!C283</f>
        <v>0</v>
      </c>
      <c r="D283" s="48">
        <f>'Adani Enterprises'!D283</f>
        <v>0</v>
      </c>
      <c r="E283" s="48">
        <f>'Adani Enterprises'!E283</f>
        <v>0</v>
      </c>
      <c r="F283" s="48">
        <f>'Adani Enterprises'!F283</f>
        <v>0</v>
      </c>
      <c r="G283" s="48">
        <f>'Adani Enterprises'!G283</f>
        <v>0</v>
      </c>
      <c r="H283" s="48">
        <f>'Adani Enterprises'!H283</f>
        <v>0</v>
      </c>
      <c r="I283" s="48">
        <f>'Adani Enterprises'!I283</f>
        <v>0</v>
      </c>
      <c r="J283" s="48">
        <f>'Adani Enterprises'!J283</f>
        <v>0</v>
      </c>
      <c r="K283" s="48">
        <f>'Adani Enterprises'!K283</f>
        <v>0</v>
      </c>
      <c r="L283" s="48">
        <f>'Adani Enterprises'!L283</f>
        <v>0</v>
      </c>
      <c r="M283" s="48">
        <f>'Adani Enterprises'!M283</f>
        <v>0</v>
      </c>
      <c r="N283" s="48">
        <f>'Adani Enterprises'!N283</f>
        <v>0</v>
      </c>
      <c r="O283" s="48">
        <f>'Adani Enterprises'!O283</f>
        <v>0</v>
      </c>
      <c r="P283" s="48">
        <f>'Adani Enterprises'!P283</f>
        <v>0</v>
      </c>
      <c r="Q283" s="48">
        <f>'Adani Enterprises'!Q283</f>
        <v>0</v>
      </c>
      <c r="R283" s="48">
        <f>'Adani Enterprises'!R283</f>
        <v>0</v>
      </c>
      <c r="S283" s="48">
        <f>'Adani Enterprises'!S283</f>
        <v>0</v>
      </c>
      <c r="T283" s="48">
        <f>'Adani Enterprises'!T283</f>
        <v>0</v>
      </c>
      <c r="U283" s="48">
        <f>'Adani Enterprises'!U283</f>
        <v>0</v>
      </c>
      <c r="V283" s="48">
        <f>'Adani Enterprises'!V283</f>
        <v>0</v>
      </c>
      <c r="W283" s="48">
        <f>'Adani Enterprises'!W283</f>
        <v>0</v>
      </c>
      <c r="X283" s="48">
        <f>'Adani Enterprises'!X283</f>
        <v>0</v>
      </c>
      <c r="Y283" s="48">
        <f>'Adani Enterprises'!Y283</f>
        <v>0</v>
      </c>
      <c r="Z283" s="48">
        <f>'Adani Enterprises'!Z283</f>
        <v>0</v>
      </c>
      <c r="AA283" s="48">
        <f>'Adani Enterprises'!AA283</f>
        <v>0</v>
      </c>
      <c r="AB283" s="48">
        <f>'Adani Enterprises'!AB283</f>
        <v>0</v>
      </c>
      <c r="AC283" s="48">
        <f>'Adani Enterprises'!AC283</f>
        <v>0</v>
      </c>
      <c r="AD283" s="48">
        <f>'Adani Enterprises'!AD283</f>
        <v>0</v>
      </c>
      <c r="AE283" s="48">
        <f>'Adani Enterprises'!AE283</f>
        <v>0</v>
      </c>
      <c r="AF283" s="48">
        <f>'Adani Enterprises'!AF283</f>
        <v>0</v>
      </c>
      <c r="AG283" s="48">
        <f>'Adani Enterprises'!AG283</f>
        <v>0</v>
      </c>
      <c r="AH283" s="48">
        <f>'Adani Enterprises'!AH283</f>
        <v>0</v>
      </c>
      <c r="AI283" s="48">
        <f>'Adani Enterprises'!AI283</f>
        <v>0</v>
      </c>
      <c r="AJ283" s="48">
        <f>'Adani Enterprises'!AJ283</f>
        <v>0</v>
      </c>
      <c r="AK283" s="48">
        <f>'Adani Enterprises'!AK283</f>
        <v>0</v>
      </c>
      <c r="AL283" s="48">
        <f>'Adani Enterprises'!AL283</f>
        <v>0</v>
      </c>
    </row>
    <row r="284" customHeight="1" spans="1:38">
      <c r="A284" s="48">
        <f>'Adani Enterprises'!A284</f>
        <v>0</v>
      </c>
      <c r="B284" s="48">
        <f>'Adani Enterprises'!B284</f>
        <v>0</v>
      </c>
      <c r="C284" s="48">
        <f>'Adani Enterprises'!C284</f>
        <v>0</v>
      </c>
      <c r="D284" s="48">
        <f>'Adani Enterprises'!D284</f>
        <v>0</v>
      </c>
      <c r="E284" s="48">
        <f>'Adani Enterprises'!E284</f>
        <v>0</v>
      </c>
      <c r="F284" s="48">
        <f>'Adani Enterprises'!F284</f>
        <v>0</v>
      </c>
      <c r="G284" s="48">
        <f>'Adani Enterprises'!G284</f>
        <v>0</v>
      </c>
      <c r="H284" s="48">
        <f>'Adani Enterprises'!H284</f>
        <v>0</v>
      </c>
      <c r="I284" s="48">
        <f>'Adani Enterprises'!I284</f>
        <v>0</v>
      </c>
      <c r="J284" s="48">
        <f>'Adani Enterprises'!J284</f>
        <v>0</v>
      </c>
      <c r="K284" s="48">
        <f>'Adani Enterprises'!K284</f>
        <v>0</v>
      </c>
      <c r="L284" s="48">
        <f>'Adani Enterprises'!L284</f>
        <v>0</v>
      </c>
      <c r="M284" s="48">
        <f>'Adani Enterprises'!M284</f>
        <v>0</v>
      </c>
      <c r="N284" s="48">
        <f>'Adani Enterprises'!N284</f>
        <v>0</v>
      </c>
      <c r="O284" s="48">
        <f>'Adani Enterprises'!O284</f>
        <v>0</v>
      </c>
      <c r="P284" s="48">
        <f>'Adani Enterprises'!P284</f>
        <v>0</v>
      </c>
      <c r="Q284" s="48">
        <f>'Adani Enterprises'!Q284</f>
        <v>0</v>
      </c>
      <c r="R284" s="48">
        <f>'Adani Enterprises'!R284</f>
        <v>0</v>
      </c>
      <c r="S284" s="48">
        <f>'Adani Enterprises'!S284</f>
        <v>0</v>
      </c>
      <c r="T284" s="48">
        <f>'Adani Enterprises'!T284</f>
        <v>0</v>
      </c>
      <c r="U284" s="48">
        <f>'Adani Enterprises'!U284</f>
        <v>0</v>
      </c>
      <c r="V284" s="48">
        <f>'Adani Enterprises'!V284</f>
        <v>0</v>
      </c>
      <c r="W284" s="48">
        <f>'Adani Enterprises'!W284</f>
        <v>0</v>
      </c>
      <c r="X284" s="48">
        <f>'Adani Enterprises'!X284</f>
        <v>0</v>
      </c>
      <c r="Y284" s="48">
        <f>'Adani Enterprises'!Y284</f>
        <v>0</v>
      </c>
      <c r="Z284" s="48">
        <f>'Adani Enterprises'!Z284</f>
        <v>0</v>
      </c>
      <c r="AA284" s="48">
        <f>'Adani Enterprises'!AA284</f>
        <v>0</v>
      </c>
      <c r="AB284" s="48">
        <f>'Adani Enterprises'!AB284</f>
        <v>0</v>
      </c>
      <c r="AC284" s="48">
        <f>'Adani Enterprises'!AC284</f>
        <v>0</v>
      </c>
      <c r="AD284" s="48">
        <f>'Adani Enterprises'!AD284</f>
        <v>0</v>
      </c>
      <c r="AE284" s="48">
        <f>'Adani Enterprises'!AE284</f>
        <v>0</v>
      </c>
      <c r="AF284" s="48">
        <f>'Adani Enterprises'!AF284</f>
        <v>0</v>
      </c>
      <c r="AG284" s="48">
        <f>'Adani Enterprises'!AG284</f>
        <v>0</v>
      </c>
      <c r="AH284" s="48">
        <f>'Adani Enterprises'!AH284</f>
        <v>0</v>
      </c>
      <c r="AI284" s="48">
        <f>'Adani Enterprises'!AI284</f>
        <v>0</v>
      </c>
      <c r="AJ284" s="48">
        <f>'Adani Enterprises'!AJ284</f>
        <v>0</v>
      </c>
      <c r="AK284" s="48">
        <f>'Adani Enterprises'!AK284</f>
        <v>0</v>
      </c>
      <c r="AL284" s="48">
        <f>'Adani Enterprises'!AL284</f>
        <v>0</v>
      </c>
    </row>
    <row r="285" customHeight="1" spans="1:38">
      <c r="A285" s="48">
        <f>'Adani Enterprises'!A285</f>
        <v>0</v>
      </c>
      <c r="B285" s="48">
        <f>'Adani Enterprises'!B285</f>
        <v>0</v>
      </c>
      <c r="C285" s="48">
        <f>'Adani Enterprises'!C285</f>
        <v>0</v>
      </c>
      <c r="D285" s="48">
        <f>'Adani Enterprises'!D285</f>
        <v>0</v>
      </c>
      <c r="E285" s="48">
        <f>'Adani Enterprises'!E285</f>
        <v>0</v>
      </c>
      <c r="F285" s="48">
        <f>'Adani Enterprises'!F285</f>
        <v>0</v>
      </c>
      <c r="G285" s="48">
        <f>'Adani Enterprises'!G285</f>
        <v>0</v>
      </c>
      <c r="H285" s="48">
        <f>'Adani Enterprises'!H285</f>
        <v>0</v>
      </c>
      <c r="I285" s="48">
        <f>'Adani Enterprises'!I285</f>
        <v>0</v>
      </c>
      <c r="J285" s="48">
        <f>'Adani Enterprises'!J285</f>
        <v>0</v>
      </c>
      <c r="K285" s="48">
        <f>'Adani Enterprises'!K285</f>
        <v>0</v>
      </c>
      <c r="L285" s="48">
        <f>'Adani Enterprises'!L285</f>
        <v>0</v>
      </c>
      <c r="M285" s="48">
        <f>'Adani Enterprises'!M285</f>
        <v>0</v>
      </c>
      <c r="N285" s="48">
        <f>'Adani Enterprises'!N285</f>
        <v>0</v>
      </c>
      <c r="O285" s="48">
        <f>'Adani Enterprises'!O285</f>
        <v>0</v>
      </c>
      <c r="P285" s="48">
        <f>'Adani Enterprises'!P285</f>
        <v>0</v>
      </c>
      <c r="Q285" s="48">
        <f>'Adani Enterprises'!Q285</f>
        <v>0</v>
      </c>
      <c r="R285" s="48">
        <f>'Adani Enterprises'!R285</f>
        <v>0</v>
      </c>
      <c r="S285" s="48">
        <f>'Adani Enterprises'!S285</f>
        <v>0</v>
      </c>
      <c r="T285" s="48">
        <f>'Adani Enterprises'!T285</f>
        <v>0</v>
      </c>
      <c r="U285" s="48">
        <f>'Adani Enterprises'!U285</f>
        <v>0</v>
      </c>
      <c r="V285" s="48">
        <f>'Adani Enterprises'!V285</f>
        <v>0</v>
      </c>
      <c r="W285" s="48">
        <f>'Adani Enterprises'!W285</f>
        <v>0</v>
      </c>
      <c r="X285" s="48">
        <f>'Adani Enterprises'!X285</f>
        <v>0</v>
      </c>
      <c r="Y285" s="48">
        <f>'Adani Enterprises'!Y285</f>
        <v>0</v>
      </c>
      <c r="Z285" s="48">
        <f>'Adani Enterprises'!Z285</f>
        <v>0</v>
      </c>
      <c r="AA285" s="48">
        <f>'Adani Enterprises'!AA285</f>
        <v>0</v>
      </c>
      <c r="AB285" s="48">
        <f>'Adani Enterprises'!AB285</f>
        <v>0</v>
      </c>
      <c r="AC285" s="48">
        <f>'Adani Enterprises'!AC285</f>
        <v>0</v>
      </c>
      <c r="AD285" s="48">
        <f>'Adani Enterprises'!AD285</f>
        <v>0</v>
      </c>
      <c r="AE285" s="48">
        <f>'Adani Enterprises'!AE285</f>
        <v>0</v>
      </c>
      <c r="AF285" s="48">
        <f>'Adani Enterprises'!AF285</f>
        <v>0</v>
      </c>
      <c r="AG285" s="48">
        <f>'Adani Enterprises'!AG285</f>
        <v>0</v>
      </c>
      <c r="AH285" s="48">
        <f>'Adani Enterprises'!AH285</f>
        <v>0</v>
      </c>
      <c r="AI285" s="48">
        <f>'Adani Enterprises'!AI285</f>
        <v>0</v>
      </c>
      <c r="AJ285" s="48">
        <f>'Adani Enterprises'!AJ285</f>
        <v>0</v>
      </c>
      <c r="AK285" s="48">
        <f>'Adani Enterprises'!AK285</f>
        <v>0</v>
      </c>
      <c r="AL285" s="48">
        <f>'Adani Enterprises'!AL285</f>
        <v>0</v>
      </c>
    </row>
    <row r="286" customHeight="1" spans="1:38">
      <c r="A286" s="48">
        <f>'Adani Enterprises'!A286</f>
        <v>0</v>
      </c>
      <c r="B286" s="48">
        <f>'Adani Enterprises'!B286</f>
        <v>0</v>
      </c>
      <c r="C286" s="48">
        <f>'Adani Enterprises'!C286</f>
        <v>0</v>
      </c>
      <c r="D286" s="48">
        <f>'Adani Enterprises'!D286</f>
        <v>0</v>
      </c>
      <c r="E286" s="48">
        <f>'Adani Enterprises'!E286</f>
        <v>0</v>
      </c>
      <c r="F286" s="48">
        <f>'Adani Enterprises'!F286</f>
        <v>0</v>
      </c>
      <c r="G286" s="48">
        <f>'Adani Enterprises'!G286</f>
        <v>0</v>
      </c>
      <c r="H286" s="48">
        <f>'Adani Enterprises'!H286</f>
        <v>0</v>
      </c>
      <c r="I286" s="48">
        <f>'Adani Enterprises'!I286</f>
        <v>0</v>
      </c>
      <c r="J286" s="48">
        <f>'Adani Enterprises'!J286</f>
        <v>0</v>
      </c>
      <c r="K286" s="48">
        <f>'Adani Enterprises'!K286</f>
        <v>0</v>
      </c>
      <c r="L286" s="48">
        <f>'Adani Enterprises'!L286</f>
        <v>0</v>
      </c>
      <c r="M286" s="48">
        <f>'Adani Enterprises'!M286</f>
        <v>0</v>
      </c>
      <c r="N286" s="48">
        <f>'Adani Enterprises'!N286</f>
        <v>0</v>
      </c>
      <c r="O286" s="48">
        <f>'Adani Enterprises'!O286</f>
        <v>0</v>
      </c>
      <c r="P286" s="48">
        <f>'Adani Enterprises'!P286</f>
        <v>0</v>
      </c>
      <c r="Q286" s="48">
        <f>'Adani Enterprises'!Q286</f>
        <v>0</v>
      </c>
      <c r="R286" s="48">
        <f>'Adani Enterprises'!R286</f>
        <v>0</v>
      </c>
      <c r="S286" s="48">
        <f>'Adani Enterprises'!S286</f>
        <v>0</v>
      </c>
      <c r="T286" s="48">
        <f>'Adani Enterprises'!T286</f>
        <v>0</v>
      </c>
      <c r="U286" s="48">
        <f>'Adani Enterprises'!U286</f>
        <v>0</v>
      </c>
      <c r="V286" s="48">
        <f>'Adani Enterprises'!V286</f>
        <v>0</v>
      </c>
      <c r="W286" s="48">
        <f>'Adani Enterprises'!W286</f>
        <v>0</v>
      </c>
      <c r="X286" s="48">
        <f>'Adani Enterprises'!X286</f>
        <v>0</v>
      </c>
      <c r="Y286" s="48">
        <f>'Adani Enterprises'!Y286</f>
        <v>0</v>
      </c>
      <c r="Z286" s="48">
        <f>'Adani Enterprises'!Z286</f>
        <v>0</v>
      </c>
      <c r="AA286" s="48">
        <f>'Adani Enterprises'!AA286</f>
        <v>0</v>
      </c>
      <c r="AB286" s="48">
        <f>'Adani Enterprises'!AB286</f>
        <v>0</v>
      </c>
      <c r="AC286" s="48">
        <f>'Adani Enterprises'!AC286</f>
        <v>0</v>
      </c>
      <c r="AD286" s="48">
        <f>'Adani Enterprises'!AD286</f>
        <v>0</v>
      </c>
      <c r="AE286" s="48">
        <f>'Adani Enterprises'!AE286</f>
        <v>0</v>
      </c>
      <c r="AF286" s="48">
        <f>'Adani Enterprises'!AF286</f>
        <v>0</v>
      </c>
      <c r="AG286" s="48">
        <f>'Adani Enterprises'!AG286</f>
        <v>0</v>
      </c>
      <c r="AH286" s="48">
        <f>'Adani Enterprises'!AH286</f>
        <v>0</v>
      </c>
      <c r="AI286" s="48">
        <f>'Adani Enterprises'!AI286</f>
        <v>0</v>
      </c>
      <c r="AJ286" s="48">
        <f>'Adani Enterprises'!AJ286</f>
        <v>0</v>
      </c>
      <c r="AK286" s="48">
        <f>'Adani Enterprises'!AK286</f>
        <v>0</v>
      </c>
      <c r="AL286" s="48">
        <f>'Adani Enterprises'!AL286</f>
        <v>0</v>
      </c>
    </row>
    <row r="287" customHeight="1" spans="1:38">
      <c r="A287" s="48">
        <f>'Adani Enterprises'!A287</f>
        <v>0</v>
      </c>
      <c r="B287" s="48">
        <f>'Adani Enterprises'!B287</f>
        <v>0</v>
      </c>
      <c r="C287" s="48">
        <f>'Adani Enterprises'!C287</f>
        <v>0</v>
      </c>
      <c r="D287" s="48">
        <f>'Adani Enterprises'!D287</f>
        <v>0</v>
      </c>
      <c r="E287" s="48">
        <f>'Adani Enterprises'!E287</f>
        <v>0</v>
      </c>
      <c r="F287" s="48">
        <f>'Adani Enterprises'!F287</f>
        <v>0</v>
      </c>
      <c r="G287" s="48">
        <f>'Adani Enterprises'!G287</f>
        <v>0</v>
      </c>
      <c r="H287" s="48">
        <f>'Adani Enterprises'!H287</f>
        <v>0</v>
      </c>
      <c r="I287" s="48">
        <f>'Adani Enterprises'!I287</f>
        <v>0</v>
      </c>
      <c r="J287" s="48">
        <f>'Adani Enterprises'!J287</f>
        <v>0</v>
      </c>
      <c r="K287" s="48">
        <f>'Adani Enterprises'!K287</f>
        <v>0</v>
      </c>
      <c r="L287" s="48">
        <f>'Adani Enterprises'!L287</f>
        <v>0</v>
      </c>
      <c r="M287" s="48">
        <f>'Adani Enterprises'!M287</f>
        <v>0</v>
      </c>
      <c r="N287" s="48">
        <f>'Adani Enterprises'!N287</f>
        <v>0</v>
      </c>
      <c r="O287" s="48">
        <f>'Adani Enterprises'!O287</f>
        <v>0</v>
      </c>
      <c r="P287" s="48">
        <f>'Adani Enterprises'!P287</f>
        <v>0</v>
      </c>
      <c r="Q287" s="48">
        <f>'Adani Enterprises'!Q287</f>
        <v>0</v>
      </c>
      <c r="R287" s="48">
        <f>'Adani Enterprises'!R287</f>
        <v>0</v>
      </c>
      <c r="S287" s="48">
        <f>'Adani Enterprises'!S287</f>
        <v>0</v>
      </c>
      <c r="T287" s="48">
        <f>'Adani Enterprises'!T287</f>
        <v>0</v>
      </c>
      <c r="U287" s="48">
        <f>'Adani Enterprises'!U287</f>
        <v>0</v>
      </c>
      <c r="V287" s="48">
        <f>'Adani Enterprises'!V287</f>
        <v>0</v>
      </c>
      <c r="W287" s="48">
        <f>'Adani Enterprises'!W287</f>
        <v>0</v>
      </c>
      <c r="X287" s="48">
        <f>'Adani Enterprises'!X287</f>
        <v>0</v>
      </c>
      <c r="Y287" s="48">
        <f>'Adani Enterprises'!Y287</f>
        <v>0</v>
      </c>
      <c r="Z287" s="48">
        <f>'Adani Enterprises'!Z287</f>
        <v>0</v>
      </c>
      <c r="AA287" s="48">
        <f>'Adani Enterprises'!AA287</f>
        <v>0</v>
      </c>
      <c r="AB287" s="48">
        <f>'Adani Enterprises'!AB287</f>
        <v>0</v>
      </c>
      <c r="AC287" s="48">
        <f>'Adani Enterprises'!AC287</f>
        <v>0</v>
      </c>
      <c r="AD287" s="48">
        <f>'Adani Enterprises'!AD287</f>
        <v>0</v>
      </c>
      <c r="AE287" s="48">
        <f>'Adani Enterprises'!AE287</f>
        <v>0</v>
      </c>
      <c r="AF287" s="48">
        <f>'Adani Enterprises'!AF287</f>
        <v>0</v>
      </c>
      <c r="AG287" s="48">
        <f>'Adani Enterprises'!AG287</f>
        <v>0</v>
      </c>
      <c r="AH287" s="48">
        <f>'Adani Enterprises'!AH287</f>
        <v>0</v>
      </c>
      <c r="AI287" s="48">
        <f>'Adani Enterprises'!AI287</f>
        <v>0</v>
      </c>
      <c r="AJ287" s="48">
        <f>'Adani Enterprises'!AJ287</f>
        <v>0</v>
      </c>
      <c r="AK287" s="48">
        <f>'Adani Enterprises'!AK287</f>
        <v>0</v>
      </c>
      <c r="AL287" s="48">
        <f>'Adani Enterprises'!AL287</f>
        <v>0</v>
      </c>
    </row>
    <row r="288" customHeight="1" spans="1:38">
      <c r="A288" s="48">
        <f>'Adani Enterprises'!A288</f>
        <v>0</v>
      </c>
      <c r="B288" s="48">
        <f>'Adani Enterprises'!B288</f>
        <v>0</v>
      </c>
      <c r="C288" s="48">
        <f>'Adani Enterprises'!C288</f>
        <v>0</v>
      </c>
      <c r="D288" s="48">
        <f>'Adani Enterprises'!D288</f>
        <v>0</v>
      </c>
      <c r="E288" s="48">
        <f>'Adani Enterprises'!E288</f>
        <v>0</v>
      </c>
      <c r="F288" s="48">
        <f>'Adani Enterprises'!F288</f>
        <v>0</v>
      </c>
      <c r="G288" s="48">
        <f>'Adani Enterprises'!G288</f>
        <v>0</v>
      </c>
      <c r="H288" s="48">
        <f>'Adani Enterprises'!H288</f>
        <v>0</v>
      </c>
      <c r="I288" s="48">
        <f>'Adani Enterprises'!I288</f>
        <v>0</v>
      </c>
      <c r="J288" s="48">
        <f>'Adani Enterprises'!J288</f>
        <v>0</v>
      </c>
      <c r="K288" s="48">
        <f>'Adani Enterprises'!K288</f>
        <v>0</v>
      </c>
      <c r="L288" s="48">
        <f>'Adani Enterprises'!L288</f>
        <v>0</v>
      </c>
      <c r="M288" s="48">
        <f>'Adani Enterprises'!M288</f>
        <v>0</v>
      </c>
      <c r="N288" s="48">
        <f>'Adani Enterprises'!N288</f>
        <v>0</v>
      </c>
      <c r="O288" s="48">
        <f>'Adani Enterprises'!O288</f>
        <v>0</v>
      </c>
      <c r="P288" s="48">
        <f>'Adani Enterprises'!P288</f>
        <v>0</v>
      </c>
      <c r="Q288" s="48">
        <f>'Adani Enterprises'!Q288</f>
        <v>0</v>
      </c>
      <c r="R288" s="48">
        <f>'Adani Enterprises'!R288</f>
        <v>0</v>
      </c>
      <c r="S288" s="48">
        <f>'Adani Enterprises'!S288</f>
        <v>0</v>
      </c>
      <c r="T288" s="48">
        <f>'Adani Enterprises'!T288</f>
        <v>0</v>
      </c>
      <c r="U288" s="48">
        <f>'Adani Enterprises'!U288</f>
        <v>0</v>
      </c>
      <c r="V288" s="48">
        <f>'Adani Enterprises'!V288</f>
        <v>0</v>
      </c>
      <c r="W288" s="48">
        <f>'Adani Enterprises'!W288</f>
        <v>0</v>
      </c>
      <c r="X288" s="48">
        <f>'Adani Enterprises'!X288</f>
        <v>0</v>
      </c>
      <c r="Y288" s="48">
        <f>'Adani Enterprises'!Y288</f>
        <v>0</v>
      </c>
      <c r="Z288" s="48">
        <f>'Adani Enterprises'!Z288</f>
        <v>0</v>
      </c>
      <c r="AA288" s="48">
        <f>'Adani Enterprises'!AA288</f>
        <v>0</v>
      </c>
      <c r="AB288" s="48">
        <f>'Adani Enterprises'!AB288</f>
        <v>0</v>
      </c>
      <c r="AC288" s="48">
        <f>'Adani Enterprises'!AC288</f>
        <v>0</v>
      </c>
      <c r="AD288" s="48">
        <f>'Adani Enterprises'!AD288</f>
        <v>0</v>
      </c>
      <c r="AE288" s="48">
        <f>'Adani Enterprises'!AE288</f>
        <v>0</v>
      </c>
      <c r="AF288" s="48">
        <f>'Adani Enterprises'!AF288</f>
        <v>0</v>
      </c>
      <c r="AG288" s="48">
        <f>'Adani Enterprises'!AG288</f>
        <v>0</v>
      </c>
      <c r="AH288" s="48">
        <f>'Adani Enterprises'!AH288</f>
        <v>0</v>
      </c>
      <c r="AI288" s="48">
        <f>'Adani Enterprises'!AI288</f>
        <v>0</v>
      </c>
      <c r="AJ288" s="48">
        <f>'Adani Enterprises'!AJ288</f>
        <v>0</v>
      </c>
      <c r="AK288" s="48">
        <f>'Adani Enterprises'!AK288</f>
        <v>0</v>
      </c>
      <c r="AL288" s="48">
        <f>'Adani Enterprises'!AL288</f>
        <v>0</v>
      </c>
    </row>
    <row r="289" customHeight="1" spans="1:38">
      <c r="A289" s="48">
        <f>'Adani Enterprises'!A289</f>
        <v>0</v>
      </c>
      <c r="B289" s="48">
        <f>'Adani Enterprises'!B289</f>
        <v>0</v>
      </c>
      <c r="C289" s="48">
        <f>'Adani Enterprises'!C289</f>
        <v>0</v>
      </c>
      <c r="D289" s="48">
        <f>'Adani Enterprises'!D289</f>
        <v>0</v>
      </c>
      <c r="E289" s="48">
        <f>'Adani Enterprises'!E289</f>
        <v>0</v>
      </c>
      <c r="F289" s="48">
        <f>'Adani Enterprises'!F289</f>
        <v>0</v>
      </c>
      <c r="G289" s="48">
        <f>'Adani Enterprises'!G289</f>
        <v>0</v>
      </c>
      <c r="H289" s="48">
        <f>'Adani Enterprises'!H289</f>
        <v>0</v>
      </c>
      <c r="I289" s="48">
        <f>'Adani Enterprises'!I289</f>
        <v>0</v>
      </c>
      <c r="J289" s="48">
        <f>'Adani Enterprises'!J289</f>
        <v>0</v>
      </c>
      <c r="K289" s="48">
        <f>'Adani Enterprises'!K289</f>
        <v>0</v>
      </c>
      <c r="L289" s="48">
        <f>'Adani Enterprises'!L289</f>
        <v>0</v>
      </c>
      <c r="M289" s="48">
        <f>'Adani Enterprises'!M289</f>
        <v>0</v>
      </c>
      <c r="N289" s="48">
        <f>'Adani Enterprises'!N289</f>
        <v>0</v>
      </c>
      <c r="O289" s="48">
        <f>'Adani Enterprises'!O289</f>
        <v>0</v>
      </c>
      <c r="P289" s="48">
        <f>'Adani Enterprises'!P289</f>
        <v>0</v>
      </c>
      <c r="Q289" s="48">
        <f>'Adani Enterprises'!Q289</f>
        <v>0</v>
      </c>
      <c r="R289" s="48">
        <f>'Adani Enterprises'!R289</f>
        <v>0</v>
      </c>
      <c r="S289" s="48">
        <f>'Adani Enterprises'!S289</f>
        <v>0</v>
      </c>
      <c r="T289" s="48">
        <f>'Adani Enterprises'!T289</f>
        <v>0</v>
      </c>
      <c r="U289" s="48">
        <f>'Adani Enterprises'!U289</f>
        <v>0</v>
      </c>
      <c r="V289" s="48">
        <f>'Adani Enterprises'!V289</f>
        <v>0</v>
      </c>
      <c r="W289" s="48">
        <f>'Adani Enterprises'!W289</f>
        <v>0</v>
      </c>
      <c r="X289" s="48">
        <f>'Adani Enterprises'!X289</f>
        <v>0</v>
      </c>
      <c r="Y289" s="48">
        <f>'Adani Enterprises'!Y289</f>
        <v>0</v>
      </c>
      <c r="Z289" s="48">
        <f>'Adani Enterprises'!Z289</f>
        <v>0</v>
      </c>
      <c r="AA289" s="48">
        <f>'Adani Enterprises'!AA289</f>
        <v>0</v>
      </c>
      <c r="AB289" s="48">
        <f>'Adani Enterprises'!AB289</f>
        <v>0</v>
      </c>
      <c r="AC289" s="48">
        <f>'Adani Enterprises'!AC289</f>
        <v>0</v>
      </c>
      <c r="AD289" s="48">
        <f>'Adani Enterprises'!AD289</f>
        <v>0</v>
      </c>
      <c r="AE289" s="48">
        <f>'Adani Enterprises'!AE289</f>
        <v>0</v>
      </c>
      <c r="AF289" s="48">
        <f>'Adani Enterprises'!AF289</f>
        <v>0</v>
      </c>
      <c r="AG289" s="48">
        <f>'Adani Enterprises'!AG289</f>
        <v>0</v>
      </c>
      <c r="AH289" s="48">
        <f>'Adani Enterprises'!AH289</f>
        <v>0</v>
      </c>
      <c r="AI289" s="48">
        <f>'Adani Enterprises'!AI289</f>
        <v>0</v>
      </c>
      <c r="AJ289" s="48">
        <f>'Adani Enterprises'!AJ289</f>
        <v>0</v>
      </c>
      <c r="AK289" s="48">
        <f>'Adani Enterprises'!AK289</f>
        <v>0</v>
      </c>
      <c r="AL289" s="48">
        <f>'Adani Enterprises'!AL289</f>
        <v>0</v>
      </c>
    </row>
    <row r="290" customHeight="1" spans="1:38">
      <c r="A290" s="48">
        <f>'Adani Enterprises'!A290</f>
        <v>0</v>
      </c>
      <c r="B290" s="48">
        <f>'Adani Enterprises'!B290</f>
        <v>0</v>
      </c>
      <c r="C290" s="48">
        <f>'Adani Enterprises'!C290</f>
        <v>0</v>
      </c>
      <c r="D290" s="48">
        <f>'Adani Enterprises'!D290</f>
        <v>0</v>
      </c>
      <c r="E290" s="48">
        <f>'Adani Enterprises'!E290</f>
        <v>0</v>
      </c>
      <c r="F290" s="48">
        <f>'Adani Enterprises'!F290</f>
        <v>0</v>
      </c>
      <c r="G290" s="48">
        <f>'Adani Enterprises'!G290</f>
        <v>0</v>
      </c>
      <c r="H290" s="48">
        <f>'Adani Enterprises'!H290</f>
        <v>0</v>
      </c>
      <c r="I290" s="48">
        <f>'Adani Enterprises'!I290</f>
        <v>0</v>
      </c>
      <c r="J290" s="48">
        <f>'Adani Enterprises'!J290</f>
        <v>0</v>
      </c>
      <c r="K290" s="48">
        <f>'Adani Enterprises'!K290</f>
        <v>0</v>
      </c>
      <c r="L290" s="48">
        <f>'Adani Enterprises'!L290</f>
        <v>0</v>
      </c>
      <c r="M290" s="48">
        <f>'Adani Enterprises'!M290</f>
        <v>0</v>
      </c>
      <c r="N290" s="48">
        <f>'Adani Enterprises'!N290</f>
        <v>0</v>
      </c>
      <c r="O290" s="48">
        <f>'Adani Enterprises'!O290</f>
        <v>0</v>
      </c>
      <c r="P290" s="48">
        <f>'Adani Enterprises'!P290</f>
        <v>0</v>
      </c>
      <c r="Q290" s="48">
        <f>'Adani Enterprises'!Q290</f>
        <v>0</v>
      </c>
      <c r="R290" s="48">
        <f>'Adani Enterprises'!R290</f>
        <v>0</v>
      </c>
      <c r="S290" s="48">
        <f>'Adani Enterprises'!S290</f>
        <v>0</v>
      </c>
      <c r="T290" s="48">
        <f>'Adani Enterprises'!T290</f>
        <v>0</v>
      </c>
      <c r="U290" s="48">
        <f>'Adani Enterprises'!U290</f>
        <v>0</v>
      </c>
      <c r="V290" s="48">
        <f>'Adani Enterprises'!V290</f>
        <v>0</v>
      </c>
      <c r="W290" s="48">
        <f>'Adani Enterprises'!W290</f>
        <v>0</v>
      </c>
      <c r="X290" s="48">
        <f>'Adani Enterprises'!X290</f>
        <v>0</v>
      </c>
      <c r="Y290" s="48">
        <f>'Adani Enterprises'!Y290</f>
        <v>0</v>
      </c>
      <c r="Z290" s="48">
        <f>'Adani Enterprises'!Z290</f>
        <v>0</v>
      </c>
      <c r="AA290" s="48">
        <f>'Adani Enterprises'!AA290</f>
        <v>0</v>
      </c>
      <c r="AB290" s="48">
        <f>'Adani Enterprises'!AB290</f>
        <v>0</v>
      </c>
      <c r="AC290" s="48">
        <f>'Adani Enterprises'!AC290</f>
        <v>0</v>
      </c>
      <c r="AD290" s="48">
        <f>'Adani Enterprises'!AD290</f>
        <v>0</v>
      </c>
      <c r="AE290" s="48">
        <f>'Adani Enterprises'!AE290</f>
        <v>0</v>
      </c>
      <c r="AF290" s="48">
        <f>'Adani Enterprises'!AF290</f>
        <v>0</v>
      </c>
      <c r="AG290" s="48">
        <f>'Adani Enterprises'!AG290</f>
        <v>0</v>
      </c>
      <c r="AH290" s="48">
        <f>'Adani Enterprises'!AH290</f>
        <v>0</v>
      </c>
      <c r="AI290" s="48">
        <f>'Adani Enterprises'!AI290</f>
        <v>0</v>
      </c>
      <c r="AJ290" s="48">
        <f>'Adani Enterprises'!AJ290</f>
        <v>0</v>
      </c>
      <c r="AK290" s="48">
        <f>'Adani Enterprises'!AK290</f>
        <v>0</v>
      </c>
      <c r="AL290" s="48">
        <f>'Adani Enterprises'!AL290</f>
        <v>0</v>
      </c>
    </row>
    <row r="291" customHeight="1" spans="1:38">
      <c r="A291" s="48">
        <f>'Adani Enterprises'!A291</f>
        <v>0</v>
      </c>
      <c r="B291" s="48">
        <f>'Adani Enterprises'!B291</f>
        <v>0</v>
      </c>
      <c r="C291" s="48">
        <f>'Adani Enterprises'!C291</f>
        <v>0</v>
      </c>
      <c r="D291" s="48">
        <f>'Adani Enterprises'!D291</f>
        <v>0</v>
      </c>
      <c r="E291" s="48">
        <f>'Adani Enterprises'!E291</f>
        <v>0</v>
      </c>
      <c r="F291" s="48">
        <f>'Adani Enterprises'!F291</f>
        <v>0</v>
      </c>
      <c r="G291" s="48">
        <f>'Adani Enterprises'!G291</f>
        <v>0</v>
      </c>
      <c r="H291" s="48">
        <f>'Adani Enterprises'!H291</f>
        <v>0</v>
      </c>
      <c r="I291" s="48">
        <f>'Adani Enterprises'!I291</f>
        <v>0</v>
      </c>
      <c r="J291" s="48">
        <f>'Adani Enterprises'!J291</f>
        <v>0</v>
      </c>
      <c r="K291" s="48">
        <f>'Adani Enterprises'!K291</f>
        <v>0</v>
      </c>
      <c r="L291" s="48">
        <f>'Adani Enterprises'!L291</f>
        <v>0</v>
      </c>
      <c r="M291" s="48">
        <f>'Adani Enterprises'!M291</f>
        <v>0</v>
      </c>
      <c r="N291" s="48">
        <f>'Adani Enterprises'!N291</f>
        <v>0</v>
      </c>
      <c r="O291" s="48">
        <f>'Adani Enterprises'!O291</f>
        <v>0</v>
      </c>
      <c r="P291" s="48">
        <f>'Adani Enterprises'!P291</f>
        <v>0</v>
      </c>
      <c r="Q291" s="48">
        <f>'Adani Enterprises'!Q291</f>
        <v>0</v>
      </c>
      <c r="R291" s="48">
        <f>'Adani Enterprises'!R291</f>
        <v>0</v>
      </c>
      <c r="S291" s="48">
        <f>'Adani Enterprises'!S291</f>
        <v>0</v>
      </c>
      <c r="T291" s="48">
        <f>'Adani Enterprises'!T291</f>
        <v>0</v>
      </c>
      <c r="U291" s="48">
        <f>'Adani Enterprises'!U291</f>
        <v>0</v>
      </c>
      <c r="V291" s="48">
        <f>'Adani Enterprises'!V291</f>
        <v>0</v>
      </c>
      <c r="W291" s="48">
        <f>'Adani Enterprises'!W291</f>
        <v>0</v>
      </c>
      <c r="X291" s="48">
        <f>'Adani Enterprises'!X291</f>
        <v>0</v>
      </c>
      <c r="Y291" s="48">
        <f>'Adani Enterprises'!Y291</f>
        <v>0</v>
      </c>
      <c r="Z291" s="48">
        <f>'Adani Enterprises'!Z291</f>
        <v>0</v>
      </c>
      <c r="AA291" s="48">
        <f>'Adani Enterprises'!AA291</f>
        <v>0</v>
      </c>
      <c r="AB291" s="48">
        <f>'Adani Enterprises'!AB291</f>
        <v>0</v>
      </c>
      <c r="AC291" s="48">
        <f>'Adani Enterprises'!AC291</f>
        <v>0</v>
      </c>
      <c r="AD291" s="48">
        <f>'Adani Enterprises'!AD291</f>
        <v>0</v>
      </c>
      <c r="AE291" s="48">
        <f>'Adani Enterprises'!AE291</f>
        <v>0</v>
      </c>
      <c r="AF291" s="48">
        <f>'Adani Enterprises'!AF291</f>
        <v>0</v>
      </c>
      <c r="AG291" s="48">
        <f>'Adani Enterprises'!AG291</f>
        <v>0</v>
      </c>
      <c r="AH291" s="48">
        <f>'Adani Enterprises'!AH291</f>
        <v>0</v>
      </c>
      <c r="AI291" s="48">
        <f>'Adani Enterprises'!AI291</f>
        <v>0</v>
      </c>
      <c r="AJ291" s="48">
        <f>'Adani Enterprises'!AJ291</f>
        <v>0</v>
      </c>
      <c r="AK291" s="48">
        <f>'Adani Enterprises'!AK291</f>
        <v>0</v>
      </c>
      <c r="AL291" s="48">
        <f>'Adani Enterprises'!AL291</f>
        <v>0</v>
      </c>
    </row>
    <row r="292" customHeight="1" spans="1:38">
      <c r="A292" s="48">
        <f>'Adani Enterprises'!A292</f>
        <v>0</v>
      </c>
      <c r="B292" s="48">
        <f>'Adani Enterprises'!B292</f>
        <v>0</v>
      </c>
      <c r="C292" s="48">
        <f>'Adani Enterprises'!C292</f>
        <v>0</v>
      </c>
      <c r="D292" s="48">
        <f>'Adani Enterprises'!D292</f>
        <v>0</v>
      </c>
      <c r="E292" s="48">
        <f>'Adani Enterprises'!E292</f>
        <v>0</v>
      </c>
      <c r="F292" s="48">
        <f>'Adani Enterprises'!F292</f>
        <v>0</v>
      </c>
      <c r="G292" s="48">
        <f>'Adani Enterprises'!G292</f>
        <v>0</v>
      </c>
      <c r="H292" s="48">
        <f>'Adani Enterprises'!H292</f>
        <v>0</v>
      </c>
      <c r="I292" s="48">
        <f>'Adani Enterprises'!I292</f>
        <v>0</v>
      </c>
      <c r="J292" s="48">
        <f>'Adani Enterprises'!J292</f>
        <v>0</v>
      </c>
      <c r="K292" s="48">
        <f>'Adani Enterprises'!K292</f>
        <v>0</v>
      </c>
      <c r="L292" s="48">
        <f>'Adani Enterprises'!L292</f>
        <v>0</v>
      </c>
      <c r="M292" s="48">
        <f>'Adani Enterprises'!M292</f>
        <v>0</v>
      </c>
      <c r="N292" s="48">
        <f>'Adani Enterprises'!N292</f>
        <v>0</v>
      </c>
      <c r="O292" s="48">
        <f>'Adani Enterprises'!O292</f>
        <v>0</v>
      </c>
      <c r="P292" s="48">
        <f>'Adani Enterprises'!P292</f>
        <v>0</v>
      </c>
      <c r="Q292" s="48">
        <f>'Adani Enterprises'!Q292</f>
        <v>0</v>
      </c>
      <c r="R292" s="48">
        <f>'Adani Enterprises'!R292</f>
        <v>0</v>
      </c>
      <c r="S292" s="48">
        <f>'Adani Enterprises'!S292</f>
        <v>0</v>
      </c>
      <c r="T292" s="48">
        <f>'Adani Enterprises'!T292</f>
        <v>0</v>
      </c>
      <c r="U292" s="48">
        <f>'Adani Enterprises'!U292</f>
        <v>0</v>
      </c>
      <c r="V292" s="48">
        <f>'Adani Enterprises'!V292</f>
        <v>0</v>
      </c>
      <c r="W292" s="48">
        <f>'Adani Enterprises'!W292</f>
        <v>0</v>
      </c>
      <c r="X292" s="48">
        <f>'Adani Enterprises'!X292</f>
        <v>0</v>
      </c>
      <c r="Y292" s="48">
        <f>'Adani Enterprises'!Y292</f>
        <v>0</v>
      </c>
      <c r="Z292" s="48">
        <f>'Adani Enterprises'!Z292</f>
        <v>0</v>
      </c>
      <c r="AA292" s="48">
        <f>'Adani Enterprises'!AA292</f>
        <v>0</v>
      </c>
      <c r="AB292" s="48">
        <f>'Adani Enterprises'!AB292</f>
        <v>0</v>
      </c>
      <c r="AC292" s="48">
        <f>'Adani Enterprises'!AC292</f>
        <v>0</v>
      </c>
      <c r="AD292" s="48">
        <f>'Adani Enterprises'!AD292</f>
        <v>0</v>
      </c>
      <c r="AE292" s="48">
        <f>'Adani Enterprises'!AE292</f>
        <v>0</v>
      </c>
      <c r="AF292" s="48">
        <f>'Adani Enterprises'!AF292</f>
        <v>0</v>
      </c>
      <c r="AG292" s="48">
        <f>'Adani Enterprises'!AG292</f>
        <v>0</v>
      </c>
      <c r="AH292" s="48">
        <f>'Adani Enterprises'!AH292</f>
        <v>0</v>
      </c>
      <c r="AI292" s="48">
        <f>'Adani Enterprises'!AI292</f>
        <v>0</v>
      </c>
      <c r="AJ292" s="48">
        <f>'Adani Enterprises'!AJ292</f>
        <v>0</v>
      </c>
      <c r="AK292" s="48">
        <f>'Adani Enterprises'!AK292</f>
        <v>0</v>
      </c>
      <c r="AL292" s="48">
        <f>'Adani Enterprises'!AL292</f>
        <v>0</v>
      </c>
    </row>
    <row r="293" customHeight="1" spans="1:38">
      <c r="A293" s="48">
        <f>'Adani Enterprises'!A293</f>
        <v>0</v>
      </c>
      <c r="B293" s="48">
        <f>'Adani Enterprises'!B293</f>
        <v>0</v>
      </c>
      <c r="C293" s="48">
        <f>'Adani Enterprises'!C293</f>
        <v>0</v>
      </c>
      <c r="D293" s="48">
        <f>'Adani Enterprises'!D293</f>
        <v>0</v>
      </c>
      <c r="E293" s="48">
        <f>'Adani Enterprises'!E293</f>
        <v>0</v>
      </c>
      <c r="F293" s="48">
        <f>'Adani Enterprises'!F293</f>
        <v>0</v>
      </c>
      <c r="G293" s="48">
        <f>'Adani Enterprises'!G293</f>
        <v>0</v>
      </c>
      <c r="H293" s="48">
        <f>'Adani Enterprises'!H293</f>
        <v>0</v>
      </c>
      <c r="I293" s="48">
        <f>'Adani Enterprises'!I293</f>
        <v>0</v>
      </c>
      <c r="J293" s="48">
        <f>'Adani Enterprises'!J293</f>
        <v>0</v>
      </c>
      <c r="K293" s="48">
        <f>'Adani Enterprises'!K293</f>
        <v>0</v>
      </c>
      <c r="L293" s="48">
        <f>'Adani Enterprises'!L293</f>
        <v>0</v>
      </c>
      <c r="M293" s="48">
        <f>'Adani Enterprises'!M293</f>
        <v>0</v>
      </c>
      <c r="N293" s="48">
        <f>'Adani Enterprises'!N293</f>
        <v>0</v>
      </c>
      <c r="O293" s="48">
        <f>'Adani Enterprises'!O293</f>
        <v>0</v>
      </c>
      <c r="P293" s="48">
        <f>'Adani Enterprises'!P293</f>
        <v>0</v>
      </c>
      <c r="Q293" s="48">
        <f>'Adani Enterprises'!Q293</f>
        <v>0</v>
      </c>
      <c r="R293" s="48">
        <f>'Adani Enterprises'!R293</f>
        <v>0</v>
      </c>
      <c r="S293" s="48">
        <f>'Adani Enterprises'!S293</f>
        <v>0</v>
      </c>
      <c r="T293" s="48">
        <f>'Adani Enterprises'!T293</f>
        <v>0</v>
      </c>
      <c r="U293" s="48">
        <f>'Adani Enterprises'!U293</f>
        <v>0</v>
      </c>
      <c r="V293" s="48">
        <f>'Adani Enterprises'!V293</f>
        <v>0</v>
      </c>
      <c r="W293" s="48">
        <f>'Adani Enterprises'!W293</f>
        <v>0</v>
      </c>
      <c r="X293" s="48">
        <f>'Adani Enterprises'!X293</f>
        <v>0</v>
      </c>
      <c r="Y293" s="48">
        <f>'Adani Enterprises'!Y293</f>
        <v>0</v>
      </c>
      <c r="Z293" s="48">
        <f>'Adani Enterprises'!Z293</f>
        <v>0</v>
      </c>
      <c r="AA293" s="48">
        <f>'Adani Enterprises'!AA293</f>
        <v>0</v>
      </c>
      <c r="AB293" s="48">
        <f>'Adani Enterprises'!AB293</f>
        <v>0</v>
      </c>
      <c r="AC293" s="48">
        <f>'Adani Enterprises'!AC293</f>
        <v>0</v>
      </c>
      <c r="AD293" s="48">
        <f>'Adani Enterprises'!AD293</f>
        <v>0</v>
      </c>
      <c r="AE293" s="48">
        <f>'Adani Enterprises'!AE293</f>
        <v>0</v>
      </c>
      <c r="AF293" s="48">
        <f>'Adani Enterprises'!AF293</f>
        <v>0</v>
      </c>
      <c r="AG293" s="48">
        <f>'Adani Enterprises'!AG293</f>
        <v>0</v>
      </c>
      <c r="AH293" s="48">
        <f>'Adani Enterprises'!AH293</f>
        <v>0</v>
      </c>
      <c r="AI293" s="48">
        <f>'Adani Enterprises'!AI293</f>
        <v>0</v>
      </c>
      <c r="AJ293" s="48">
        <f>'Adani Enterprises'!AJ293</f>
        <v>0</v>
      </c>
      <c r="AK293" s="48">
        <f>'Adani Enterprises'!AK293</f>
        <v>0</v>
      </c>
      <c r="AL293" s="48">
        <f>'Adani Enterprises'!AL293</f>
        <v>0</v>
      </c>
    </row>
    <row r="294" customHeight="1" spans="1:38">
      <c r="A294" s="48">
        <f>'Adani Enterprises'!A294</f>
        <v>0</v>
      </c>
      <c r="B294" s="48">
        <f>'Adani Enterprises'!B294</f>
        <v>0</v>
      </c>
      <c r="C294" s="48">
        <f>'Adani Enterprises'!C294</f>
        <v>0</v>
      </c>
      <c r="D294" s="48">
        <f>'Adani Enterprises'!D294</f>
        <v>0</v>
      </c>
      <c r="E294" s="48">
        <f>'Adani Enterprises'!E294</f>
        <v>0</v>
      </c>
      <c r="F294" s="48">
        <f>'Adani Enterprises'!F294</f>
        <v>0</v>
      </c>
      <c r="G294" s="48">
        <f>'Adani Enterprises'!G294</f>
        <v>0</v>
      </c>
      <c r="H294" s="48">
        <f>'Adani Enterprises'!H294</f>
        <v>0</v>
      </c>
      <c r="I294" s="48">
        <f>'Adani Enterprises'!I294</f>
        <v>0</v>
      </c>
      <c r="J294" s="48">
        <f>'Adani Enterprises'!J294</f>
        <v>0</v>
      </c>
      <c r="K294" s="48">
        <f>'Adani Enterprises'!K294</f>
        <v>0</v>
      </c>
      <c r="L294" s="48">
        <f>'Adani Enterprises'!L294</f>
        <v>0</v>
      </c>
      <c r="M294" s="48">
        <f>'Adani Enterprises'!M294</f>
        <v>0</v>
      </c>
      <c r="N294" s="48">
        <f>'Adani Enterprises'!N294</f>
        <v>0</v>
      </c>
      <c r="O294" s="48">
        <f>'Adani Enterprises'!O294</f>
        <v>0</v>
      </c>
      <c r="P294" s="48">
        <f>'Adani Enterprises'!P294</f>
        <v>0</v>
      </c>
      <c r="Q294" s="48">
        <f>'Adani Enterprises'!Q294</f>
        <v>0</v>
      </c>
      <c r="R294" s="48">
        <f>'Adani Enterprises'!R294</f>
        <v>0</v>
      </c>
      <c r="S294" s="48">
        <f>'Adani Enterprises'!S294</f>
        <v>0</v>
      </c>
      <c r="T294" s="48">
        <f>'Adani Enterprises'!T294</f>
        <v>0</v>
      </c>
      <c r="U294" s="48">
        <f>'Adani Enterprises'!U294</f>
        <v>0</v>
      </c>
      <c r="V294" s="48">
        <f>'Adani Enterprises'!V294</f>
        <v>0</v>
      </c>
      <c r="W294" s="48">
        <f>'Adani Enterprises'!W294</f>
        <v>0</v>
      </c>
      <c r="X294" s="48">
        <f>'Adani Enterprises'!X294</f>
        <v>0</v>
      </c>
      <c r="Y294" s="48">
        <f>'Adani Enterprises'!Y294</f>
        <v>0</v>
      </c>
      <c r="Z294" s="48">
        <f>'Adani Enterprises'!Z294</f>
        <v>0</v>
      </c>
      <c r="AA294" s="48">
        <f>'Adani Enterprises'!AA294</f>
        <v>0</v>
      </c>
      <c r="AB294" s="48">
        <f>'Adani Enterprises'!AB294</f>
        <v>0</v>
      </c>
      <c r="AC294" s="48">
        <f>'Adani Enterprises'!AC294</f>
        <v>0</v>
      </c>
      <c r="AD294" s="48">
        <f>'Adani Enterprises'!AD294</f>
        <v>0</v>
      </c>
      <c r="AE294" s="48">
        <f>'Adani Enterprises'!AE294</f>
        <v>0</v>
      </c>
      <c r="AF294" s="48">
        <f>'Adani Enterprises'!AF294</f>
        <v>0</v>
      </c>
      <c r="AG294" s="48">
        <f>'Adani Enterprises'!AG294</f>
        <v>0</v>
      </c>
      <c r="AH294" s="48">
        <f>'Adani Enterprises'!AH294</f>
        <v>0</v>
      </c>
      <c r="AI294" s="48">
        <f>'Adani Enterprises'!AI294</f>
        <v>0</v>
      </c>
      <c r="AJ294" s="48">
        <f>'Adani Enterprises'!AJ294</f>
        <v>0</v>
      </c>
      <c r="AK294" s="48">
        <f>'Adani Enterprises'!AK294</f>
        <v>0</v>
      </c>
      <c r="AL294" s="48">
        <f>'Adani Enterprises'!AL294</f>
        <v>0</v>
      </c>
    </row>
    <row r="295" customHeight="1" spans="1:38">
      <c r="A295" s="48">
        <f>'Adani Enterprises'!A295</f>
        <v>0</v>
      </c>
      <c r="B295" s="48">
        <f>'Adani Enterprises'!B295</f>
        <v>0</v>
      </c>
      <c r="C295" s="48">
        <f>'Adani Enterprises'!C295</f>
        <v>0</v>
      </c>
      <c r="D295" s="48">
        <f>'Adani Enterprises'!D295</f>
        <v>0</v>
      </c>
      <c r="E295" s="48">
        <f>'Adani Enterprises'!E295</f>
        <v>0</v>
      </c>
      <c r="F295" s="48">
        <f>'Adani Enterprises'!F295</f>
        <v>0</v>
      </c>
      <c r="G295" s="48">
        <f>'Adani Enterprises'!G295</f>
        <v>0</v>
      </c>
      <c r="H295" s="48">
        <f>'Adani Enterprises'!H295</f>
        <v>0</v>
      </c>
      <c r="I295" s="48">
        <f>'Adani Enterprises'!I295</f>
        <v>0</v>
      </c>
      <c r="J295" s="48">
        <f>'Adani Enterprises'!J295</f>
        <v>0</v>
      </c>
      <c r="K295" s="48">
        <f>'Adani Enterprises'!K295</f>
        <v>0</v>
      </c>
      <c r="L295" s="48">
        <f>'Adani Enterprises'!L295</f>
        <v>0</v>
      </c>
      <c r="M295" s="48">
        <f>'Adani Enterprises'!M295</f>
        <v>0</v>
      </c>
      <c r="N295" s="48">
        <f>'Adani Enterprises'!N295</f>
        <v>0</v>
      </c>
      <c r="O295" s="48">
        <f>'Adani Enterprises'!O295</f>
        <v>0</v>
      </c>
      <c r="P295" s="48">
        <f>'Adani Enterprises'!P295</f>
        <v>0</v>
      </c>
      <c r="Q295" s="48">
        <f>'Adani Enterprises'!Q295</f>
        <v>0</v>
      </c>
      <c r="R295" s="48">
        <f>'Adani Enterprises'!R295</f>
        <v>0</v>
      </c>
      <c r="S295" s="48">
        <f>'Adani Enterprises'!S295</f>
        <v>0</v>
      </c>
      <c r="T295" s="48">
        <f>'Adani Enterprises'!T295</f>
        <v>0</v>
      </c>
      <c r="U295" s="48">
        <f>'Adani Enterprises'!U295</f>
        <v>0</v>
      </c>
      <c r="V295" s="48">
        <f>'Adani Enterprises'!V295</f>
        <v>0</v>
      </c>
      <c r="W295" s="48">
        <f>'Adani Enterprises'!W295</f>
        <v>0</v>
      </c>
      <c r="X295" s="48">
        <f>'Adani Enterprises'!X295</f>
        <v>0</v>
      </c>
      <c r="Y295" s="48">
        <f>'Adani Enterprises'!Y295</f>
        <v>0</v>
      </c>
      <c r="Z295" s="48">
        <f>'Adani Enterprises'!Z295</f>
        <v>0</v>
      </c>
      <c r="AA295" s="48">
        <f>'Adani Enterprises'!AA295</f>
        <v>0</v>
      </c>
      <c r="AB295" s="48">
        <f>'Adani Enterprises'!AB295</f>
        <v>0</v>
      </c>
      <c r="AC295" s="48">
        <f>'Adani Enterprises'!AC295</f>
        <v>0</v>
      </c>
      <c r="AD295" s="48">
        <f>'Adani Enterprises'!AD295</f>
        <v>0</v>
      </c>
      <c r="AE295" s="48">
        <f>'Adani Enterprises'!AE295</f>
        <v>0</v>
      </c>
      <c r="AF295" s="48">
        <f>'Adani Enterprises'!AF295</f>
        <v>0</v>
      </c>
      <c r="AG295" s="48">
        <f>'Adani Enterprises'!AG295</f>
        <v>0</v>
      </c>
      <c r="AH295" s="48">
        <f>'Adani Enterprises'!AH295</f>
        <v>0</v>
      </c>
      <c r="AI295" s="48">
        <f>'Adani Enterprises'!AI295</f>
        <v>0</v>
      </c>
      <c r="AJ295" s="48">
        <f>'Adani Enterprises'!AJ295</f>
        <v>0</v>
      </c>
      <c r="AK295" s="48">
        <f>'Adani Enterprises'!AK295</f>
        <v>0</v>
      </c>
      <c r="AL295" s="48">
        <f>'Adani Enterprises'!AL295</f>
        <v>0</v>
      </c>
    </row>
    <row r="296" customHeight="1" spans="1:38">
      <c r="A296" s="48">
        <f>'Adani Enterprises'!A296</f>
        <v>0</v>
      </c>
      <c r="B296" s="48">
        <f>'Adani Enterprises'!B296</f>
        <v>0</v>
      </c>
      <c r="C296" s="48">
        <f>'Adani Enterprises'!C296</f>
        <v>0</v>
      </c>
      <c r="D296" s="48">
        <f>'Adani Enterprises'!D296</f>
        <v>0</v>
      </c>
      <c r="E296" s="48">
        <f>'Adani Enterprises'!E296</f>
        <v>0</v>
      </c>
      <c r="F296" s="48">
        <f>'Adani Enterprises'!F296</f>
        <v>0</v>
      </c>
      <c r="G296" s="48">
        <f>'Adani Enterprises'!G296</f>
        <v>0</v>
      </c>
      <c r="H296" s="48">
        <f>'Adani Enterprises'!H296</f>
        <v>0</v>
      </c>
      <c r="I296" s="48">
        <f>'Adani Enterprises'!I296</f>
        <v>0</v>
      </c>
      <c r="J296" s="48">
        <f>'Adani Enterprises'!J296</f>
        <v>0</v>
      </c>
      <c r="K296" s="48">
        <f>'Adani Enterprises'!K296</f>
        <v>0</v>
      </c>
      <c r="L296" s="48">
        <f>'Adani Enterprises'!L296</f>
        <v>0</v>
      </c>
      <c r="M296" s="48">
        <f>'Adani Enterprises'!M296</f>
        <v>0</v>
      </c>
      <c r="N296" s="48">
        <f>'Adani Enterprises'!N296</f>
        <v>0</v>
      </c>
      <c r="O296" s="48">
        <f>'Adani Enterprises'!O296</f>
        <v>0</v>
      </c>
      <c r="P296" s="48">
        <f>'Adani Enterprises'!P296</f>
        <v>0</v>
      </c>
      <c r="Q296" s="48">
        <f>'Adani Enterprises'!Q296</f>
        <v>0</v>
      </c>
      <c r="R296" s="48">
        <f>'Adani Enterprises'!R296</f>
        <v>0</v>
      </c>
      <c r="S296" s="48">
        <f>'Adani Enterprises'!S296</f>
        <v>0</v>
      </c>
      <c r="T296" s="48">
        <f>'Adani Enterprises'!T296</f>
        <v>0</v>
      </c>
      <c r="U296" s="48">
        <f>'Adani Enterprises'!U296</f>
        <v>0</v>
      </c>
      <c r="V296" s="48">
        <f>'Adani Enterprises'!V296</f>
        <v>0</v>
      </c>
      <c r="W296" s="48">
        <f>'Adani Enterprises'!W296</f>
        <v>0</v>
      </c>
      <c r="X296" s="48">
        <f>'Adani Enterprises'!X296</f>
        <v>0</v>
      </c>
      <c r="Y296" s="48">
        <f>'Adani Enterprises'!Y296</f>
        <v>0</v>
      </c>
      <c r="Z296" s="48">
        <f>'Adani Enterprises'!Z296</f>
        <v>0</v>
      </c>
      <c r="AA296" s="48">
        <f>'Adani Enterprises'!AA296</f>
        <v>0</v>
      </c>
      <c r="AB296" s="48">
        <f>'Adani Enterprises'!AB296</f>
        <v>0</v>
      </c>
      <c r="AC296" s="48">
        <f>'Adani Enterprises'!AC296</f>
        <v>0</v>
      </c>
      <c r="AD296" s="48">
        <f>'Adani Enterprises'!AD296</f>
        <v>0</v>
      </c>
      <c r="AE296" s="48">
        <f>'Adani Enterprises'!AE296</f>
        <v>0</v>
      </c>
      <c r="AF296" s="48">
        <f>'Adani Enterprises'!AF296</f>
        <v>0</v>
      </c>
      <c r="AG296" s="48">
        <f>'Adani Enterprises'!AG296</f>
        <v>0</v>
      </c>
      <c r="AH296" s="48">
        <f>'Adani Enterprises'!AH296</f>
        <v>0</v>
      </c>
      <c r="AI296" s="48">
        <f>'Adani Enterprises'!AI296</f>
        <v>0</v>
      </c>
      <c r="AJ296" s="48">
        <f>'Adani Enterprises'!AJ296</f>
        <v>0</v>
      </c>
      <c r="AK296" s="48">
        <f>'Adani Enterprises'!AK296</f>
        <v>0</v>
      </c>
      <c r="AL296" s="48">
        <f>'Adani Enterprises'!AL296</f>
        <v>0</v>
      </c>
    </row>
    <row r="297" customHeight="1" spans="1:38">
      <c r="A297" s="48">
        <f>'Adani Enterprises'!A297</f>
        <v>0</v>
      </c>
      <c r="B297" s="48">
        <f>'Adani Enterprises'!B297</f>
        <v>0</v>
      </c>
      <c r="C297" s="48">
        <f>'Adani Enterprises'!C297</f>
        <v>0</v>
      </c>
      <c r="D297" s="48">
        <f>'Adani Enterprises'!D297</f>
        <v>0</v>
      </c>
      <c r="E297" s="48">
        <f>'Adani Enterprises'!E297</f>
        <v>0</v>
      </c>
      <c r="F297" s="48">
        <f>'Adani Enterprises'!F297</f>
        <v>0</v>
      </c>
      <c r="G297" s="48">
        <f>'Adani Enterprises'!G297</f>
        <v>0</v>
      </c>
      <c r="H297" s="48">
        <f>'Adani Enterprises'!H297</f>
        <v>0</v>
      </c>
      <c r="I297" s="48">
        <f>'Adani Enterprises'!I297</f>
        <v>0</v>
      </c>
      <c r="J297" s="48">
        <f>'Adani Enterprises'!J297</f>
        <v>0</v>
      </c>
      <c r="K297" s="48">
        <f>'Adani Enterprises'!K297</f>
        <v>0</v>
      </c>
      <c r="L297" s="48">
        <f>'Adani Enterprises'!L297</f>
        <v>0</v>
      </c>
      <c r="M297" s="48">
        <f>'Adani Enterprises'!M297</f>
        <v>0</v>
      </c>
      <c r="N297" s="48">
        <f>'Adani Enterprises'!N297</f>
        <v>0</v>
      </c>
      <c r="O297" s="48">
        <f>'Adani Enterprises'!O297</f>
        <v>0</v>
      </c>
      <c r="P297" s="48">
        <f>'Adani Enterprises'!P297</f>
        <v>0</v>
      </c>
      <c r="Q297" s="48">
        <f>'Adani Enterprises'!Q297</f>
        <v>0</v>
      </c>
      <c r="R297" s="48">
        <f>'Adani Enterprises'!R297</f>
        <v>0</v>
      </c>
      <c r="S297" s="48">
        <f>'Adani Enterprises'!S297</f>
        <v>0</v>
      </c>
      <c r="T297" s="48">
        <f>'Adani Enterprises'!T297</f>
        <v>0</v>
      </c>
      <c r="U297" s="48">
        <f>'Adani Enterprises'!U297</f>
        <v>0</v>
      </c>
      <c r="V297" s="48">
        <f>'Adani Enterprises'!V297</f>
        <v>0</v>
      </c>
      <c r="W297" s="48">
        <f>'Adani Enterprises'!W297</f>
        <v>0</v>
      </c>
      <c r="X297" s="48">
        <f>'Adani Enterprises'!X297</f>
        <v>0</v>
      </c>
      <c r="Y297" s="48">
        <f>'Adani Enterprises'!Y297</f>
        <v>0</v>
      </c>
      <c r="Z297" s="48">
        <f>'Adani Enterprises'!Z297</f>
        <v>0</v>
      </c>
      <c r="AA297" s="48">
        <f>'Adani Enterprises'!AA297</f>
        <v>0</v>
      </c>
      <c r="AB297" s="48">
        <f>'Adani Enterprises'!AB297</f>
        <v>0</v>
      </c>
      <c r="AC297" s="48">
        <f>'Adani Enterprises'!AC297</f>
        <v>0</v>
      </c>
      <c r="AD297" s="48">
        <f>'Adani Enterprises'!AD297</f>
        <v>0</v>
      </c>
      <c r="AE297" s="48">
        <f>'Adani Enterprises'!AE297</f>
        <v>0</v>
      </c>
      <c r="AF297" s="48">
        <f>'Adani Enterprises'!AF297</f>
        <v>0</v>
      </c>
      <c r="AG297" s="48">
        <f>'Adani Enterprises'!AG297</f>
        <v>0</v>
      </c>
      <c r="AH297" s="48">
        <f>'Adani Enterprises'!AH297</f>
        <v>0</v>
      </c>
      <c r="AI297" s="48">
        <f>'Adani Enterprises'!AI297</f>
        <v>0</v>
      </c>
      <c r="AJ297" s="48">
        <f>'Adani Enterprises'!AJ297</f>
        <v>0</v>
      </c>
      <c r="AK297" s="48">
        <f>'Adani Enterprises'!AK297</f>
        <v>0</v>
      </c>
      <c r="AL297" s="48">
        <f>'Adani Enterprises'!AL297</f>
        <v>0</v>
      </c>
    </row>
    <row r="298" customHeight="1" spans="1:38">
      <c r="A298" s="48">
        <f>'Adani Enterprises'!A298</f>
        <v>0</v>
      </c>
      <c r="B298" s="48">
        <f>'Adani Enterprises'!B298</f>
        <v>0</v>
      </c>
      <c r="C298" s="48">
        <f>'Adani Enterprises'!C298</f>
        <v>0</v>
      </c>
      <c r="D298" s="48">
        <f>'Adani Enterprises'!D298</f>
        <v>0</v>
      </c>
      <c r="E298" s="48">
        <f>'Adani Enterprises'!E298</f>
        <v>0</v>
      </c>
      <c r="F298" s="48">
        <f>'Adani Enterprises'!F298</f>
        <v>0</v>
      </c>
      <c r="G298" s="48">
        <f>'Adani Enterprises'!G298</f>
        <v>0</v>
      </c>
      <c r="H298" s="48">
        <f>'Adani Enterprises'!H298</f>
        <v>0</v>
      </c>
      <c r="I298" s="48">
        <f>'Adani Enterprises'!I298</f>
        <v>0</v>
      </c>
      <c r="J298" s="48">
        <f>'Adani Enterprises'!J298</f>
        <v>0</v>
      </c>
      <c r="K298" s="48">
        <f>'Adani Enterprises'!K298</f>
        <v>0</v>
      </c>
      <c r="L298" s="48">
        <f>'Adani Enterprises'!L298</f>
        <v>0</v>
      </c>
      <c r="M298" s="48">
        <f>'Adani Enterprises'!M298</f>
        <v>0</v>
      </c>
      <c r="N298" s="48">
        <f>'Adani Enterprises'!N298</f>
        <v>0</v>
      </c>
      <c r="O298" s="48">
        <f>'Adani Enterprises'!O298</f>
        <v>0</v>
      </c>
      <c r="P298" s="48">
        <f>'Adani Enterprises'!P298</f>
        <v>0</v>
      </c>
      <c r="Q298" s="48">
        <f>'Adani Enterprises'!Q298</f>
        <v>0</v>
      </c>
      <c r="R298" s="48">
        <f>'Adani Enterprises'!R298</f>
        <v>0</v>
      </c>
      <c r="S298" s="48">
        <f>'Adani Enterprises'!S298</f>
        <v>0</v>
      </c>
      <c r="T298" s="48">
        <f>'Adani Enterprises'!T298</f>
        <v>0</v>
      </c>
      <c r="U298" s="48">
        <f>'Adani Enterprises'!U298</f>
        <v>0</v>
      </c>
      <c r="V298" s="48">
        <f>'Adani Enterprises'!V298</f>
        <v>0</v>
      </c>
      <c r="W298" s="48">
        <f>'Adani Enterprises'!W298</f>
        <v>0</v>
      </c>
      <c r="X298" s="48">
        <f>'Adani Enterprises'!X298</f>
        <v>0</v>
      </c>
      <c r="Y298" s="48">
        <f>'Adani Enterprises'!Y298</f>
        <v>0</v>
      </c>
      <c r="Z298" s="48">
        <f>'Adani Enterprises'!Z298</f>
        <v>0</v>
      </c>
      <c r="AA298" s="48">
        <f>'Adani Enterprises'!AA298</f>
        <v>0</v>
      </c>
      <c r="AB298" s="48">
        <f>'Adani Enterprises'!AB298</f>
        <v>0</v>
      </c>
      <c r="AC298" s="48">
        <f>'Adani Enterprises'!AC298</f>
        <v>0</v>
      </c>
      <c r="AD298" s="48">
        <f>'Adani Enterprises'!AD298</f>
        <v>0</v>
      </c>
      <c r="AE298" s="48">
        <f>'Adani Enterprises'!AE298</f>
        <v>0</v>
      </c>
      <c r="AF298" s="48">
        <f>'Adani Enterprises'!AF298</f>
        <v>0</v>
      </c>
      <c r="AG298" s="48">
        <f>'Adani Enterprises'!AG298</f>
        <v>0</v>
      </c>
      <c r="AH298" s="48">
        <f>'Adani Enterprises'!AH298</f>
        <v>0</v>
      </c>
      <c r="AI298" s="48">
        <f>'Adani Enterprises'!AI298</f>
        <v>0</v>
      </c>
      <c r="AJ298" s="48">
        <f>'Adani Enterprises'!AJ298</f>
        <v>0</v>
      </c>
      <c r="AK298" s="48">
        <f>'Adani Enterprises'!AK298</f>
        <v>0</v>
      </c>
      <c r="AL298" s="48">
        <f>'Adani Enterprises'!AL298</f>
        <v>0</v>
      </c>
    </row>
    <row r="299" customHeight="1" spans="1:38">
      <c r="A299" s="48">
        <f>'Adani Enterprises'!A299</f>
        <v>0</v>
      </c>
      <c r="B299" s="48">
        <f>'Adani Enterprises'!B299</f>
        <v>0</v>
      </c>
      <c r="C299" s="48">
        <f>'Adani Enterprises'!C299</f>
        <v>0</v>
      </c>
      <c r="D299" s="48">
        <f>'Adani Enterprises'!D299</f>
        <v>0</v>
      </c>
      <c r="E299" s="48">
        <f>'Adani Enterprises'!E299</f>
        <v>0</v>
      </c>
      <c r="F299" s="48">
        <f>'Adani Enterprises'!F299</f>
        <v>0</v>
      </c>
      <c r="G299" s="48">
        <f>'Adani Enterprises'!G299</f>
        <v>0</v>
      </c>
      <c r="H299" s="48">
        <f>'Adani Enterprises'!H299</f>
        <v>0</v>
      </c>
      <c r="I299" s="48">
        <f>'Adani Enterprises'!I299</f>
        <v>0</v>
      </c>
      <c r="J299" s="48">
        <f>'Adani Enterprises'!J299</f>
        <v>0</v>
      </c>
      <c r="K299" s="48">
        <f>'Adani Enterprises'!K299</f>
        <v>0</v>
      </c>
      <c r="L299" s="48">
        <f>'Adani Enterprises'!L299</f>
        <v>0</v>
      </c>
      <c r="M299" s="48">
        <f>'Adani Enterprises'!M299</f>
        <v>0</v>
      </c>
      <c r="N299" s="48">
        <f>'Adani Enterprises'!N299</f>
        <v>0</v>
      </c>
      <c r="O299" s="48">
        <f>'Adani Enterprises'!O299</f>
        <v>0</v>
      </c>
      <c r="P299" s="48">
        <f>'Adani Enterprises'!P299</f>
        <v>0</v>
      </c>
      <c r="Q299" s="48">
        <f>'Adani Enterprises'!Q299</f>
        <v>0</v>
      </c>
      <c r="R299" s="48">
        <f>'Adani Enterprises'!R299</f>
        <v>0</v>
      </c>
      <c r="S299" s="48">
        <f>'Adani Enterprises'!S299</f>
        <v>0</v>
      </c>
      <c r="T299" s="48">
        <f>'Adani Enterprises'!T299</f>
        <v>0</v>
      </c>
      <c r="U299" s="48">
        <f>'Adani Enterprises'!U299</f>
        <v>0</v>
      </c>
      <c r="V299" s="48">
        <f>'Adani Enterprises'!V299</f>
        <v>0</v>
      </c>
      <c r="W299" s="48">
        <f>'Adani Enterprises'!W299</f>
        <v>0</v>
      </c>
      <c r="X299" s="48">
        <f>'Adani Enterprises'!X299</f>
        <v>0</v>
      </c>
      <c r="Y299" s="48">
        <f>'Adani Enterprises'!Y299</f>
        <v>0</v>
      </c>
      <c r="Z299" s="48">
        <f>'Adani Enterprises'!Z299</f>
        <v>0</v>
      </c>
      <c r="AA299" s="48">
        <f>'Adani Enterprises'!AA299</f>
        <v>0</v>
      </c>
      <c r="AB299" s="48">
        <f>'Adani Enterprises'!AB299</f>
        <v>0</v>
      </c>
      <c r="AC299" s="48">
        <f>'Adani Enterprises'!AC299</f>
        <v>0</v>
      </c>
      <c r="AD299" s="48">
        <f>'Adani Enterprises'!AD299</f>
        <v>0</v>
      </c>
      <c r="AE299" s="48">
        <f>'Adani Enterprises'!AE299</f>
        <v>0</v>
      </c>
      <c r="AF299" s="48">
        <f>'Adani Enterprises'!AF299</f>
        <v>0</v>
      </c>
      <c r="AG299" s="48">
        <f>'Adani Enterprises'!AG299</f>
        <v>0</v>
      </c>
      <c r="AH299" s="48">
        <f>'Adani Enterprises'!AH299</f>
        <v>0</v>
      </c>
      <c r="AI299" s="48">
        <f>'Adani Enterprises'!AI299</f>
        <v>0</v>
      </c>
      <c r="AJ299" s="48">
        <f>'Adani Enterprises'!AJ299</f>
        <v>0</v>
      </c>
      <c r="AK299" s="48">
        <f>'Adani Enterprises'!AK299</f>
        <v>0</v>
      </c>
      <c r="AL299" s="48">
        <f>'Adani Enterprises'!AL299</f>
        <v>0</v>
      </c>
    </row>
    <row r="300" customHeight="1" spans="1:38">
      <c r="A300" s="48">
        <f>'Adani Enterprises'!A300</f>
        <v>0</v>
      </c>
      <c r="B300" s="48">
        <f>'Adani Enterprises'!B300</f>
        <v>0</v>
      </c>
      <c r="C300" s="48">
        <f>'Adani Enterprises'!C300</f>
        <v>0</v>
      </c>
      <c r="D300" s="48">
        <f>'Adani Enterprises'!D300</f>
        <v>0</v>
      </c>
      <c r="E300" s="48">
        <f>'Adani Enterprises'!E300</f>
        <v>0</v>
      </c>
      <c r="F300" s="48">
        <f>'Adani Enterprises'!F300</f>
        <v>0</v>
      </c>
      <c r="G300" s="48">
        <f>'Adani Enterprises'!G300</f>
        <v>0</v>
      </c>
      <c r="H300" s="48">
        <f>'Adani Enterprises'!H300</f>
        <v>0</v>
      </c>
      <c r="I300" s="48">
        <f>'Adani Enterprises'!I300</f>
        <v>0</v>
      </c>
      <c r="J300" s="48">
        <f>'Adani Enterprises'!J300</f>
        <v>0</v>
      </c>
      <c r="K300" s="48">
        <f>'Adani Enterprises'!K300</f>
        <v>0</v>
      </c>
      <c r="L300" s="48">
        <f>'Adani Enterprises'!L300</f>
        <v>0</v>
      </c>
      <c r="M300" s="48">
        <f>'Adani Enterprises'!M300</f>
        <v>0</v>
      </c>
      <c r="N300" s="48">
        <f>'Adani Enterprises'!N300</f>
        <v>0</v>
      </c>
      <c r="O300" s="48">
        <f>'Adani Enterprises'!O300</f>
        <v>0</v>
      </c>
      <c r="P300" s="48">
        <f>'Adani Enterprises'!P300</f>
        <v>0</v>
      </c>
      <c r="Q300" s="48">
        <f>'Adani Enterprises'!Q300</f>
        <v>0</v>
      </c>
      <c r="R300" s="48">
        <f>'Adani Enterprises'!R300</f>
        <v>0</v>
      </c>
      <c r="S300" s="48">
        <f>'Adani Enterprises'!S300</f>
        <v>0</v>
      </c>
      <c r="T300" s="48">
        <f>'Adani Enterprises'!T300</f>
        <v>0</v>
      </c>
      <c r="U300" s="48">
        <f>'Adani Enterprises'!U300</f>
        <v>0</v>
      </c>
      <c r="V300" s="48">
        <f>'Adani Enterprises'!V300</f>
        <v>0</v>
      </c>
      <c r="W300" s="48">
        <f>'Adani Enterprises'!W300</f>
        <v>0</v>
      </c>
      <c r="X300" s="48">
        <f>'Adani Enterprises'!X300</f>
        <v>0</v>
      </c>
      <c r="Y300" s="48">
        <f>'Adani Enterprises'!Y300</f>
        <v>0</v>
      </c>
      <c r="Z300" s="48">
        <f>'Adani Enterprises'!Z300</f>
        <v>0</v>
      </c>
      <c r="AA300" s="48">
        <f>'Adani Enterprises'!AA300</f>
        <v>0</v>
      </c>
      <c r="AB300" s="48">
        <f>'Adani Enterprises'!AB300</f>
        <v>0</v>
      </c>
      <c r="AC300" s="48">
        <f>'Adani Enterprises'!AC300</f>
        <v>0</v>
      </c>
      <c r="AD300" s="48">
        <f>'Adani Enterprises'!AD300</f>
        <v>0</v>
      </c>
      <c r="AE300" s="48">
        <f>'Adani Enterprises'!AE300</f>
        <v>0</v>
      </c>
      <c r="AF300" s="48">
        <f>'Adani Enterprises'!AF300</f>
        <v>0</v>
      </c>
      <c r="AG300" s="48">
        <f>'Adani Enterprises'!AG300</f>
        <v>0</v>
      </c>
      <c r="AH300" s="48">
        <f>'Adani Enterprises'!AH300</f>
        <v>0</v>
      </c>
      <c r="AI300" s="48">
        <f>'Adani Enterprises'!AI300</f>
        <v>0</v>
      </c>
      <c r="AJ300" s="48">
        <f>'Adani Enterprises'!AJ300</f>
        <v>0</v>
      </c>
      <c r="AK300" s="48">
        <f>'Adani Enterprises'!AK300</f>
        <v>0</v>
      </c>
      <c r="AL300" s="48">
        <f>'Adani Enterprises'!AL300</f>
        <v>0</v>
      </c>
    </row>
    <row r="301" customHeight="1" spans="1:38">
      <c r="A301" s="48">
        <f>'Adani Enterprises'!A301</f>
        <v>0</v>
      </c>
      <c r="B301" s="48">
        <f>'Adani Enterprises'!B301</f>
        <v>0</v>
      </c>
      <c r="C301" s="48">
        <f>'Adani Enterprises'!C301</f>
        <v>0</v>
      </c>
      <c r="D301" s="48">
        <f>'Adani Enterprises'!D301</f>
        <v>0</v>
      </c>
      <c r="E301" s="48">
        <f>'Adani Enterprises'!E301</f>
        <v>0</v>
      </c>
      <c r="F301" s="48">
        <f>'Adani Enterprises'!F301</f>
        <v>0</v>
      </c>
      <c r="G301" s="48">
        <f>'Adani Enterprises'!G301</f>
        <v>0</v>
      </c>
      <c r="H301" s="48">
        <f>'Adani Enterprises'!H301</f>
        <v>0</v>
      </c>
      <c r="I301" s="48">
        <f>'Adani Enterprises'!I301</f>
        <v>0</v>
      </c>
      <c r="J301" s="48">
        <f>'Adani Enterprises'!J301</f>
        <v>0</v>
      </c>
      <c r="K301" s="48">
        <f>'Adani Enterprises'!K301</f>
        <v>0</v>
      </c>
      <c r="L301" s="48">
        <f>'Adani Enterprises'!L301</f>
        <v>0</v>
      </c>
      <c r="M301" s="48">
        <f>'Adani Enterprises'!M301</f>
        <v>0</v>
      </c>
      <c r="N301" s="48">
        <f>'Adani Enterprises'!N301</f>
        <v>0</v>
      </c>
      <c r="O301" s="48">
        <f>'Adani Enterprises'!O301</f>
        <v>0</v>
      </c>
      <c r="P301" s="48">
        <f>'Adani Enterprises'!P301</f>
        <v>0</v>
      </c>
      <c r="Q301" s="48">
        <f>'Adani Enterprises'!Q301</f>
        <v>0</v>
      </c>
      <c r="R301" s="48">
        <f>'Adani Enterprises'!R301</f>
        <v>0</v>
      </c>
      <c r="S301" s="48">
        <f>'Adani Enterprises'!S301</f>
        <v>0</v>
      </c>
      <c r="T301" s="48">
        <f>'Adani Enterprises'!T301</f>
        <v>0</v>
      </c>
      <c r="U301" s="48">
        <f>'Adani Enterprises'!U301</f>
        <v>0</v>
      </c>
      <c r="V301" s="48">
        <f>'Adani Enterprises'!V301</f>
        <v>0</v>
      </c>
      <c r="W301" s="48">
        <f>'Adani Enterprises'!W301</f>
        <v>0</v>
      </c>
      <c r="X301" s="48">
        <f>'Adani Enterprises'!X301</f>
        <v>0</v>
      </c>
      <c r="Y301" s="48">
        <f>'Adani Enterprises'!Y301</f>
        <v>0</v>
      </c>
      <c r="Z301" s="48">
        <f>'Adani Enterprises'!Z301</f>
        <v>0</v>
      </c>
      <c r="AA301" s="48">
        <f>'Adani Enterprises'!AA301</f>
        <v>0</v>
      </c>
      <c r="AB301" s="48">
        <f>'Adani Enterprises'!AB301</f>
        <v>0</v>
      </c>
      <c r="AC301" s="48">
        <f>'Adani Enterprises'!AC301</f>
        <v>0</v>
      </c>
      <c r="AD301" s="48">
        <f>'Adani Enterprises'!AD301</f>
        <v>0</v>
      </c>
      <c r="AE301" s="48">
        <f>'Adani Enterprises'!AE301</f>
        <v>0</v>
      </c>
      <c r="AF301" s="48">
        <f>'Adani Enterprises'!AF301</f>
        <v>0</v>
      </c>
      <c r="AG301" s="48">
        <f>'Adani Enterprises'!AG301</f>
        <v>0</v>
      </c>
      <c r="AH301" s="48">
        <f>'Adani Enterprises'!AH301</f>
        <v>0</v>
      </c>
      <c r="AI301" s="48">
        <f>'Adani Enterprises'!AI301</f>
        <v>0</v>
      </c>
      <c r="AJ301" s="48">
        <f>'Adani Enterprises'!AJ301</f>
        <v>0</v>
      </c>
      <c r="AK301" s="48">
        <f>'Adani Enterprises'!AK301</f>
        <v>0</v>
      </c>
      <c r="AL301" s="48">
        <f>'Adani Enterprises'!AL301</f>
        <v>0</v>
      </c>
    </row>
    <row r="302" customHeight="1" spans="1:38">
      <c r="A302" s="48">
        <f>'Adani Enterprises'!A302</f>
        <v>0</v>
      </c>
      <c r="B302" s="48">
        <f>'Adani Enterprises'!B302</f>
        <v>0</v>
      </c>
      <c r="C302" s="48">
        <f>'Adani Enterprises'!C302</f>
        <v>0</v>
      </c>
      <c r="D302" s="48">
        <f>'Adani Enterprises'!D302</f>
        <v>0</v>
      </c>
      <c r="E302" s="48">
        <f>'Adani Enterprises'!E302</f>
        <v>0</v>
      </c>
      <c r="F302" s="48">
        <f>'Adani Enterprises'!F302</f>
        <v>0</v>
      </c>
      <c r="G302" s="48">
        <f>'Adani Enterprises'!G302</f>
        <v>0</v>
      </c>
      <c r="H302" s="48">
        <f>'Adani Enterprises'!H302</f>
        <v>0</v>
      </c>
      <c r="I302" s="48">
        <f>'Adani Enterprises'!I302</f>
        <v>0</v>
      </c>
      <c r="J302" s="48">
        <f>'Adani Enterprises'!J302</f>
        <v>0</v>
      </c>
      <c r="K302" s="48">
        <f>'Adani Enterprises'!K302</f>
        <v>0</v>
      </c>
      <c r="L302" s="48">
        <f>'Adani Enterprises'!L302</f>
        <v>0</v>
      </c>
      <c r="M302" s="48">
        <f>'Adani Enterprises'!M302</f>
        <v>0</v>
      </c>
      <c r="N302" s="48">
        <f>'Adani Enterprises'!N302</f>
        <v>0</v>
      </c>
      <c r="O302" s="48">
        <f>'Adani Enterprises'!O302</f>
        <v>0</v>
      </c>
      <c r="P302" s="48">
        <f>'Adani Enterprises'!P302</f>
        <v>0</v>
      </c>
      <c r="Q302" s="48">
        <f>'Adani Enterprises'!Q302</f>
        <v>0</v>
      </c>
      <c r="R302" s="48">
        <f>'Adani Enterprises'!R302</f>
        <v>0</v>
      </c>
      <c r="S302" s="48">
        <f>'Adani Enterprises'!S302</f>
        <v>0</v>
      </c>
      <c r="T302" s="48">
        <f>'Adani Enterprises'!T302</f>
        <v>0</v>
      </c>
      <c r="U302" s="48">
        <f>'Adani Enterprises'!U302</f>
        <v>0</v>
      </c>
      <c r="V302" s="48">
        <f>'Adani Enterprises'!V302</f>
        <v>0</v>
      </c>
      <c r="W302" s="48">
        <f>'Adani Enterprises'!W302</f>
        <v>0</v>
      </c>
      <c r="X302" s="48">
        <f>'Adani Enterprises'!X302</f>
        <v>0</v>
      </c>
      <c r="Y302" s="48">
        <f>'Adani Enterprises'!Y302</f>
        <v>0</v>
      </c>
      <c r="Z302" s="48">
        <f>'Adani Enterprises'!Z302</f>
        <v>0</v>
      </c>
      <c r="AA302" s="48">
        <f>'Adani Enterprises'!AA302</f>
        <v>0</v>
      </c>
      <c r="AB302" s="48">
        <f>'Adani Enterprises'!AB302</f>
        <v>0</v>
      </c>
      <c r="AC302" s="48">
        <f>'Adani Enterprises'!AC302</f>
        <v>0</v>
      </c>
      <c r="AD302" s="48">
        <f>'Adani Enterprises'!AD302</f>
        <v>0</v>
      </c>
      <c r="AE302" s="48">
        <f>'Adani Enterprises'!AE302</f>
        <v>0</v>
      </c>
      <c r="AF302" s="48">
        <f>'Adani Enterprises'!AF302</f>
        <v>0</v>
      </c>
      <c r="AG302" s="48">
        <f>'Adani Enterprises'!AG302</f>
        <v>0</v>
      </c>
      <c r="AH302" s="48">
        <f>'Adani Enterprises'!AH302</f>
        <v>0</v>
      </c>
      <c r="AI302" s="48">
        <f>'Adani Enterprises'!AI302</f>
        <v>0</v>
      </c>
      <c r="AJ302" s="48">
        <f>'Adani Enterprises'!AJ302</f>
        <v>0</v>
      </c>
      <c r="AK302" s="48">
        <f>'Adani Enterprises'!AK302</f>
        <v>0</v>
      </c>
      <c r="AL302" s="48">
        <f>'Adani Enterprises'!AL302</f>
        <v>0</v>
      </c>
    </row>
    <row r="303" customHeight="1" spans="1:38">
      <c r="A303" s="48">
        <f>'Adani Enterprises'!A303</f>
        <v>0</v>
      </c>
      <c r="B303" s="48">
        <f>'Adani Enterprises'!B303</f>
        <v>0</v>
      </c>
      <c r="C303" s="48">
        <f>'Adani Enterprises'!C303</f>
        <v>0</v>
      </c>
      <c r="D303" s="48">
        <f>'Adani Enterprises'!D303</f>
        <v>0</v>
      </c>
      <c r="E303" s="48">
        <f>'Adani Enterprises'!E303</f>
        <v>0</v>
      </c>
      <c r="F303" s="48">
        <f>'Adani Enterprises'!F303</f>
        <v>0</v>
      </c>
      <c r="G303" s="48">
        <f>'Adani Enterprises'!G303</f>
        <v>0</v>
      </c>
      <c r="H303" s="48">
        <f>'Adani Enterprises'!H303</f>
        <v>0</v>
      </c>
      <c r="I303" s="48">
        <f>'Adani Enterprises'!I303</f>
        <v>0</v>
      </c>
      <c r="J303" s="48">
        <f>'Adani Enterprises'!J303</f>
        <v>0</v>
      </c>
      <c r="K303" s="48">
        <f>'Adani Enterprises'!K303</f>
        <v>0</v>
      </c>
      <c r="L303" s="48">
        <f>'Adani Enterprises'!L303</f>
        <v>0</v>
      </c>
      <c r="M303" s="48">
        <f>'Adani Enterprises'!M303</f>
        <v>0</v>
      </c>
      <c r="N303" s="48">
        <f>'Adani Enterprises'!N303</f>
        <v>0</v>
      </c>
      <c r="O303" s="48">
        <f>'Adani Enterprises'!O303</f>
        <v>0</v>
      </c>
      <c r="P303" s="48">
        <f>'Adani Enterprises'!P303</f>
        <v>0</v>
      </c>
      <c r="Q303" s="48">
        <f>'Adani Enterprises'!Q303</f>
        <v>0</v>
      </c>
      <c r="R303" s="48">
        <f>'Adani Enterprises'!R303</f>
        <v>0</v>
      </c>
      <c r="S303" s="48">
        <f>'Adani Enterprises'!S303</f>
        <v>0</v>
      </c>
      <c r="T303" s="48">
        <f>'Adani Enterprises'!T303</f>
        <v>0</v>
      </c>
      <c r="U303" s="48">
        <f>'Adani Enterprises'!U303</f>
        <v>0</v>
      </c>
      <c r="V303" s="48">
        <f>'Adani Enterprises'!V303</f>
        <v>0</v>
      </c>
      <c r="W303" s="48">
        <f>'Adani Enterprises'!W303</f>
        <v>0</v>
      </c>
      <c r="X303" s="48">
        <f>'Adani Enterprises'!X303</f>
        <v>0</v>
      </c>
      <c r="Y303" s="48">
        <f>'Adani Enterprises'!Y303</f>
        <v>0</v>
      </c>
      <c r="Z303" s="48">
        <f>'Adani Enterprises'!Z303</f>
        <v>0</v>
      </c>
      <c r="AA303" s="48">
        <f>'Adani Enterprises'!AA303</f>
        <v>0</v>
      </c>
      <c r="AB303" s="48">
        <f>'Adani Enterprises'!AB303</f>
        <v>0</v>
      </c>
      <c r="AC303" s="48">
        <f>'Adani Enterprises'!AC303</f>
        <v>0</v>
      </c>
      <c r="AD303" s="48">
        <f>'Adani Enterprises'!AD303</f>
        <v>0</v>
      </c>
      <c r="AE303" s="48">
        <f>'Adani Enterprises'!AE303</f>
        <v>0</v>
      </c>
      <c r="AF303" s="48">
        <f>'Adani Enterprises'!AF303</f>
        <v>0</v>
      </c>
      <c r="AG303" s="48">
        <f>'Adani Enterprises'!AG303</f>
        <v>0</v>
      </c>
      <c r="AH303" s="48">
        <f>'Adani Enterprises'!AH303</f>
        <v>0</v>
      </c>
      <c r="AI303" s="48">
        <f>'Adani Enterprises'!AI303</f>
        <v>0</v>
      </c>
      <c r="AJ303" s="48">
        <f>'Adani Enterprises'!AJ303</f>
        <v>0</v>
      </c>
      <c r="AK303" s="48">
        <f>'Adani Enterprises'!AK303</f>
        <v>0</v>
      </c>
      <c r="AL303" s="48">
        <f>'Adani Enterprises'!AL303</f>
        <v>0</v>
      </c>
    </row>
    <row r="304" customHeight="1" spans="1:38">
      <c r="A304" s="48">
        <f>'Adani Enterprises'!A304</f>
        <v>0</v>
      </c>
      <c r="B304" s="48">
        <f>'Adani Enterprises'!B304</f>
        <v>0</v>
      </c>
      <c r="C304" s="48">
        <f>'Adani Enterprises'!C304</f>
        <v>0</v>
      </c>
      <c r="D304" s="48">
        <f>'Adani Enterprises'!D304</f>
        <v>0</v>
      </c>
      <c r="E304" s="48">
        <f>'Adani Enterprises'!E304</f>
        <v>0</v>
      </c>
      <c r="F304" s="48">
        <f>'Adani Enterprises'!F304</f>
        <v>0</v>
      </c>
      <c r="G304" s="48">
        <f>'Adani Enterprises'!G304</f>
        <v>0</v>
      </c>
      <c r="H304" s="48">
        <f>'Adani Enterprises'!H304</f>
        <v>0</v>
      </c>
      <c r="I304" s="48">
        <f>'Adani Enterprises'!I304</f>
        <v>0</v>
      </c>
      <c r="J304" s="48">
        <f>'Adani Enterprises'!J304</f>
        <v>0</v>
      </c>
      <c r="K304" s="48">
        <f>'Adani Enterprises'!K304</f>
        <v>0</v>
      </c>
      <c r="L304" s="48">
        <f>'Adani Enterprises'!L304</f>
        <v>0</v>
      </c>
      <c r="M304" s="48">
        <f>'Adani Enterprises'!M304</f>
        <v>0</v>
      </c>
      <c r="N304" s="48">
        <f>'Adani Enterprises'!N304</f>
        <v>0</v>
      </c>
      <c r="O304" s="48">
        <f>'Adani Enterprises'!O304</f>
        <v>0</v>
      </c>
      <c r="P304" s="48">
        <f>'Adani Enterprises'!P304</f>
        <v>0</v>
      </c>
      <c r="Q304" s="48">
        <f>'Adani Enterprises'!Q304</f>
        <v>0</v>
      </c>
      <c r="R304" s="48">
        <f>'Adani Enterprises'!R304</f>
        <v>0</v>
      </c>
      <c r="S304" s="48">
        <f>'Adani Enterprises'!S304</f>
        <v>0</v>
      </c>
      <c r="T304" s="48">
        <f>'Adani Enterprises'!T304</f>
        <v>0</v>
      </c>
      <c r="U304" s="48">
        <f>'Adani Enterprises'!U304</f>
        <v>0</v>
      </c>
      <c r="V304" s="48">
        <f>'Adani Enterprises'!V304</f>
        <v>0</v>
      </c>
      <c r="W304" s="48">
        <f>'Adani Enterprises'!W304</f>
        <v>0</v>
      </c>
      <c r="X304" s="48">
        <f>'Adani Enterprises'!X304</f>
        <v>0</v>
      </c>
      <c r="Y304" s="48">
        <f>'Adani Enterprises'!Y304</f>
        <v>0</v>
      </c>
      <c r="Z304" s="48">
        <f>'Adani Enterprises'!Z304</f>
        <v>0</v>
      </c>
      <c r="AA304" s="48">
        <f>'Adani Enterprises'!AA304</f>
        <v>0</v>
      </c>
      <c r="AB304" s="48">
        <f>'Adani Enterprises'!AB304</f>
        <v>0</v>
      </c>
      <c r="AC304" s="48">
        <f>'Adani Enterprises'!AC304</f>
        <v>0</v>
      </c>
      <c r="AD304" s="48">
        <f>'Adani Enterprises'!AD304</f>
        <v>0</v>
      </c>
      <c r="AE304" s="48">
        <f>'Adani Enterprises'!AE304</f>
        <v>0</v>
      </c>
      <c r="AF304" s="48">
        <f>'Adani Enterprises'!AF304</f>
        <v>0</v>
      </c>
      <c r="AG304" s="48">
        <f>'Adani Enterprises'!AG304</f>
        <v>0</v>
      </c>
      <c r="AH304" s="48">
        <f>'Adani Enterprises'!AH304</f>
        <v>0</v>
      </c>
      <c r="AI304" s="48">
        <f>'Adani Enterprises'!AI304</f>
        <v>0</v>
      </c>
      <c r="AJ304" s="48">
        <f>'Adani Enterprises'!AJ304</f>
        <v>0</v>
      </c>
      <c r="AK304" s="48">
        <f>'Adani Enterprises'!AK304</f>
        <v>0</v>
      </c>
      <c r="AL304" s="48">
        <f>'Adani Enterprises'!AL304</f>
        <v>0</v>
      </c>
    </row>
    <row r="305" customHeight="1" spans="1:38">
      <c r="A305" s="48">
        <f>'Adani Enterprises'!A305</f>
        <v>0</v>
      </c>
      <c r="B305" s="48">
        <f>'Adani Enterprises'!B305</f>
        <v>0</v>
      </c>
      <c r="C305" s="48">
        <f>'Adani Enterprises'!C305</f>
        <v>0</v>
      </c>
      <c r="D305" s="48">
        <f>'Adani Enterprises'!D305</f>
        <v>0</v>
      </c>
      <c r="E305" s="48">
        <f>'Adani Enterprises'!E305</f>
        <v>0</v>
      </c>
      <c r="F305" s="48">
        <f>'Adani Enterprises'!F305</f>
        <v>0</v>
      </c>
      <c r="G305" s="48">
        <f>'Adani Enterprises'!G305</f>
        <v>0</v>
      </c>
      <c r="H305" s="48">
        <f>'Adani Enterprises'!H305</f>
        <v>0</v>
      </c>
      <c r="I305" s="48">
        <f>'Adani Enterprises'!I305</f>
        <v>0</v>
      </c>
      <c r="J305" s="48">
        <f>'Adani Enterprises'!J305</f>
        <v>0</v>
      </c>
      <c r="K305" s="48">
        <f>'Adani Enterprises'!K305</f>
        <v>0</v>
      </c>
      <c r="L305" s="48">
        <f>'Adani Enterprises'!L305</f>
        <v>0</v>
      </c>
      <c r="M305" s="48">
        <f>'Adani Enterprises'!M305</f>
        <v>0</v>
      </c>
      <c r="N305" s="48">
        <f>'Adani Enterprises'!N305</f>
        <v>0</v>
      </c>
      <c r="O305" s="48">
        <f>'Adani Enterprises'!O305</f>
        <v>0</v>
      </c>
      <c r="P305" s="48">
        <f>'Adani Enterprises'!P305</f>
        <v>0</v>
      </c>
      <c r="Q305" s="48">
        <f>'Adani Enterprises'!Q305</f>
        <v>0</v>
      </c>
      <c r="R305" s="48">
        <f>'Adani Enterprises'!R305</f>
        <v>0</v>
      </c>
      <c r="S305" s="48">
        <f>'Adani Enterprises'!S305</f>
        <v>0</v>
      </c>
      <c r="T305" s="48">
        <f>'Adani Enterprises'!T305</f>
        <v>0</v>
      </c>
      <c r="U305" s="48">
        <f>'Adani Enterprises'!U305</f>
        <v>0</v>
      </c>
      <c r="V305" s="48">
        <f>'Adani Enterprises'!V305</f>
        <v>0</v>
      </c>
      <c r="W305" s="48">
        <f>'Adani Enterprises'!W305</f>
        <v>0</v>
      </c>
      <c r="X305" s="48">
        <f>'Adani Enterprises'!X305</f>
        <v>0</v>
      </c>
      <c r="Y305" s="48">
        <f>'Adani Enterprises'!Y305</f>
        <v>0</v>
      </c>
      <c r="Z305" s="48">
        <f>'Adani Enterprises'!Z305</f>
        <v>0</v>
      </c>
      <c r="AA305" s="48">
        <f>'Adani Enterprises'!AA305</f>
        <v>0</v>
      </c>
      <c r="AB305" s="48">
        <f>'Adani Enterprises'!AB305</f>
        <v>0</v>
      </c>
      <c r="AC305" s="48">
        <f>'Adani Enterprises'!AC305</f>
        <v>0</v>
      </c>
      <c r="AD305" s="48">
        <f>'Adani Enterprises'!AD305</f>
        <v>0</v>
      </c>
      <c r="AE305" s="48">
        <f>'Adani Enterprises'!AE305</f>
        <v>0</v>
      </c>
      <c r="AF305" s="48">
        <f>'Adani Enterprises'!AF305</f>
        <v>0</v>
      </c>
      <c r="AG305" s="48">
        <f>'Adani Enterprises'!AG305</f>
        <v>0</v>
      </c>
      <c r="AH305" s="48">
        <f>'Adani Enterprises'!AH305</f>
        <v>0</v>
      </c>
      <c r="AI305" s="48">
        <f>'Adani Enterprises'!AI305</f>
        <v>0</v>
      </c>
      <c r="AJ305" s="48">
        <f>'Adani Enterprises'!AJ305</f>
        <v>0</v>
      </c>
      <c r="AK305" s="48">
        <f>'Adani Enterprises'!AK305</f>
        <v>0</v>
      </c>
      <c r="AL305" s="48">
        <f>'Adani Enterprises'!AL305</f>
        <v>0</v>
      </c>
    </row>
    <row r="306" customHeight="1" spans="1:38">
      <c r="A306" s="48">
        <f>'Adani Enterprises'!A306</f>
        <v>0</v>
      </c>
      <c r="B306" s="48">
        <f>'Adani Enterprises'!B306</f>
        <v>0</v>
      </c>
      <c r="C306" s="48">
        <f>'Adani Enterprises'!C306</f>
        <v>0</v>
      </c>
      <c r="D306" s="48">
        <f>'Adani Enterprises'!D306</f>
        <v>0</v>
      </c>
      <c r="E306" s="48">
        <f>'Adani Enterprises'!E306</f>
        <v>0</v>
      </c>
      <c r="F306" s="48">
        <f>'Adani Enterprises'!F306</f>
        <v>0</v>
      </c>
      <c r="G306" s="48">
        <f>'Adani Enterprises'!G306</f>
        <v>0</v>
      </c>
      <c r="H306" s="48">
        <f>'Adani Enterprises'!H306</f>
        <v>0</v>
      </c>
      <c r="I306" s="48">
        <f>'Adani Enterprises'!I306</f>
        <v>0</v>
      </c>
      <c r="J306" s="48">
        <f>'Adani Enterprises'!J306</f>
        <v>0</v>
      </c>
      <c r="K306" s="48">
        <f>'Adani Enterprises'!K306</f>
        <v>0</v>
      </c>
      <c r="L306" s="48">
        <f>'Adani Enterprises'!L306</f>
        <v>0</v>
      </c>
      <c r="M306" s="48">
        <f>'Adani Enterprises'!M306</f>
        <v>0</v>
      </c>
      <c r="N306" s="48">
        <f>'Adani Enterprises'!N306</f>
        <v>0</v>
      </c>
      <c r="O306" s="48">
        <f>'Adani Enterprises'!O306</f>
        <v>0</v>
      </c>
      <c r="P306" s="48">
        <f>'Adani Enterprises'!P306</f>
        <v>0</v>
      </c>
      <c r="Q306" s="48">
        <f>'Adani Enterprises'!Q306</f>
        <v>0</v>
      </c>
      <c r="R306" s="48">
        <f>'Adani Enterprises'!R306</f>
        <v>0</v>
      </c>
      <c r="S306" s="48">
        <f>'Adani Enterprises'!S306</f>
        <v>0</v>
      </c>
      <c r="T306" s="48">
        <f>'Adani Enterprises'!T306</f>
        <v>0</v>
      </c>
      <c r="U306" s="48">
        <f>'Adani Enterprises'!U306</f>
        <v>0</v>
      </c>
      <c r="V306" s="48">
        <f>'Adani Enterprises'!V306</f>
        <v>0</v>
      </c>
      <c r="W306" s="48">
        <f>'Adani Enterprises'!W306</f>
        <v>0</v>
      </c>
      <c r="X306" s="48">
        <f>'Adani Enterprises'!X306</f>
        <v>0</v>
      </c>
      <c r="Y306" s="48">
        <f>'Adani Enterprises'!Y306</f>
        <v>0</v>
      </c>
      <c r="Z306" s="48">
        <f>'Adani Enterprises'!Z306</f>
        <v>0</v>
      </c>
      <c r="AA306" s="48">
        <f>'Adani Enterprises'!AA306</f>
        <v>0</v>
      </c>
      <c r="AB306" s="48">
        <f>'Adani Enterprises'!AB306</f>
        <v>0</v>
      </c>
      <c r="AC306" s="48">
        <f>'Adani Enterprises'!AC306</f>
        <v>0</v>
      </c>
      <c r="AD306" s="48">
        <f>'Adani Enterprises'!AD306</f>
        <v>0</v>
      </c>
      <c r="AE306" s="48">
        <f>'Adani Enterprises'!AE306</f>
        <v>0</v>
      </c>
      <c r="AF306" s="48">
        <f>'Adani Enterprises'!AF306</f>
        <v>0</v>
      </c>
      <c r="AG306" s="48">
        <f>'Adani Enterprises'!AG306</f>
        <v>0</v>
      </c>
      <c r="AH306" s="48">
        <f>'Adani Enterprises'!AH306</f>
        <v>0</v>
      </c>
      <c r="AI306" s="48">
        <f>'Adani Enterprises'!AI306</f>
        <v>0</v>
      </c>
      <c r="AJ306" s="48">
        <f>'Adani Enterprises'!AJ306</f>
        <v>0</v>
      </c>
      <c r="AK306" s="48">
        <f>'Adani Enterprises'!AK306</f>
        <v>0</v>
      </c>
      <c r="AL306" s="48">
        <f>'Adani Enterprises'!AL306</f>
        <v>0</v>
      </c>
    </row>
    <row r="307" customHeight="1" spans="1:38">
      <c r="A307" s="48">
        <f>'Adani Enterprises'!A307</f>
        <v>0</v>
      </c>
      <c r="B307" s="48">
        <f>'Adani Enterprises'!B307</f>
        <v>0</v>
      </c>
      <c r="C307" s="48">
        <f>'Adani Enterprises'!C307</f>
        <v>0</v>
      </c>
      <c r="D307" s="48">
        <f>'Adani Enterprises'!D307</f>
        <v>0</v>
      </c>
      <c r="E307" s="48">
        <f>'Adani Enterprises'!E307</f>
        <v>0</v>
      </c>
      <c r="F307" s="48">
        <f>'Adani Enterprises'!F307</f>
        <v>0</v>
      </c>
      <c r="G307" s="48">
        <f>'Adani Enterprises'!G307</f>
        <v>0</v>
      </c>
      <c r="H307" s="48">
        <f>'Adani Enterprises'!H307</f>
        <v>0</v>
      </c>
      <c r="I307" s="48">
        <f>'Adani Enterprises'!I307</f>
        <v>0</v>
      </c>
      <c r="J307" s="48">
        <f>'Adani Enterprises'!J307</f>
        <v>0</v>
      </c>
      <c r="K307" s="48">
        <f>'Adani Enterprises'!K307</f>
        <v>0</v>
      </c>
      <c r="L307" s="48">
        <f>'Adani Enterprises'!L307</f>
        <v>0</v>
      </c>
      <c r="M307" s="48">
        <f>'Adani Enterprises'!M307</f>
        <v>0</v>
      </c>
      <c r="N307" s="48">
        <f>'Adani Enterprises'!N307</f>
        <v>0</v>
      </c>
      <c r="O307" s="48">
        <f>'Adani Enterprises'!O307</f>
        <v>0</v>
      </c>
      <c r="P307" s="48">
        <f>'Adani Enterprises'!P307</f>
        <v>0</v>
      </c>
      <c r="Q307" s="48">
        <f>'Adani Enterprises'!Q307</f>
        <v>0</v>
      </c>
      <c r="R307" s="48">
        <f>'Adani Enterprises'!R307</f>
        <v>0</v>
      </c>
      <c r="S307" s="48">
        <f>'Adani Enterprises'!S307</f>
        <v>0</v>
      </c>
      <c r="T307" s="48">
        <f>'Adani Enterprises'!T307</f>
        <v>0</v>
      </c>
      <c r="U307" s="48">
        <f>'Adani Enterprises'!U307</f>
        <v>0</v>
      </c>
      <c r="V307" s="48">
        <f>'Adani Enterprises'!V307</f>
        <v>0</v>
      </c>
      <c r="W307" s="48">
        <f>'Adani Enterprises'!W307</f>
        <v>0</v>
      </c>
      <c r="X307" s="48">
        <f>'Adani Enterprises'!X307</f>
        <v>0</v>
      </c>
      <c r="Y307" s="48">
        <f>'Adani Enterprises'!Y307</f>
        <v>0</v>
      </c>
      <c r="Z307" s="48">
        <f>'Adani Enterprises'!Z307</f>
        <v>0</v>
      </c>
      <c r="AA307" s="48">
        <f>'Adani Enterprises'!AA307</f>
        <v>0</v>
      </c>
      <c r="AB307" s="48">
        <f>'Adani Enterprises'!AB307</f>
        <v>0</v>
      </c>
      <c r="AC307" s="48">
        <f>'Adani Enterprises'!AC307</f>
        <v>0</v>
      </c>
      <c r="AD307" s="48">
        <f>'Adani Enterprises'!AD307</f>
        <v>0</v>
      </c>
      <c r="AE307" s="48">
        <f>'Adani Enterprises'!AE307</f>
        <v>0</v>
      </c>
      <c r="AF307" s="48">
        <f>'Adani Enterprises'!AF307</f>
        <v>0</v>
      </c>
      <c r="AG307" s="48">
        <f>'Adani Enterprises'!AG307</f>
        <v>0</v>
      </c>
      <c r="AH307" s="48">
        <f>'Adani Enterprises'!AH307</f>
        <v>0</v>
      </c>
      <c r="AI307" s="48">
        <f>'Adani Enterprises'!AI307</f>
        <v>0</v>
      </c>
      <c r="AJ307" s="48">
        <f>'Adani Enterprises'!AJ307</f>
        <v>0</v>
      </c>
      <c r="AK307" s="48">
        <f>'Adani Enterprises'!AK307</f>
        <v>0</v>
      </c>
      <c r="AL307" s="48">
        <f>'Adani Enterprises'!AL307</f>
        <v>0</v>
      </c>
    </row>
    <row r="308" customHeight="1" spans="1:38">
      <c r="A308" s="48">
        <f>'Adani Enterprises'!A308</f>
        <v>0</v>
      </c>
      <c r="B308" s="48">
        <f>'Adani Enterprises'!B308</f>
        <v>0</v>
      </c>
      <c r="C308" s="48">
        <f>'Adani Enterprises'!C308</f>
        <v>0</v>
      </c>
      <c r="D308" s="48">
        <f>'Adani Enterprises'!D308</f>
        <v>0</v>
      </c>
      <c r="E308" s="48">
        <f>'Adani Enterprises'!E308</f>
        <v>0</v>
      </c>
      <c r="F308" s="48">
        <f>'Adani Enterprises'!F308</f>
        <v>0</v>
      </c>
      <c r="G308" s="48">
        <f>'Adani Enterprises'!G308</f>
        <v>0</v>
      </c>
      <c r="H308" s="48">
        <f>'Adani Enterprises'!H308</f>
        <v>0</v>
      </c>
      <c r="I308" s="48">
        <f>'Adani Enterprises'!I308</f>
        <v>0</v>
      </c>
      <c r="J308" s="48">
        <f>'Adani Enterprises'!J308</f>
        <v>0</v>
      </c>
      <c r="K308" s="48">
        <f>'Adani Enterprises'!K308</f>
        <v>0</v>
      </c>
      <c r="L308" s="48">
        <f>'Adani Enterprises'!L308</f>
        <v>0</v>
      </c>
      <c r="M308" s="48">
        <f>'Adani Enterprises'!M308</f>
        <v>0</v>
      </c>
      <c r="N308" s="48">
        <f>'Adani Enterprises'!N308</f>
        <v>0</v>
      </c>
      <c r="O308" s="48">
        <f>'Adani Enterprises'!O308</f>
        <v>0</v>
      </c>
      <c r="P308" s="48">
        <f>'Adani Enterprises'!P308</f>
        <v>0</v>
      </c>
      <c r="Q308" s="48">
        <f>'Adani Enterprises'!Q308</f>
        <v>0</v>
      </c>
      <c r="R308" s="48">
        <f>'Adani Enterprises'!R308</f>
        <v>0</v>
      </c>
      <c r="S308" s="48">
        <f>'Adani Enterprises'!S308</f>
        <v>0</v>
      </c>
      <c r="T308" s="48">
        <f>'Adani Enterprises'!T308</f>
        <v>0</v>
      </c>
      <c r="U308" s="48">
        <f>'Adani Enterprises'!U308</f>
        <v>0</v>
      </c>
      <c r="V308" s="48">
        <f>'Adani Enterprises'!V308</f>
        <v>0</v>
      </c>
      <c r="W308" s="48">
        <f>'Adani Enterprises'!W308</f>
        <v>0</v>
      </c>
      <c r="X308" s="48">
        <f>'Adani Enterprises'!X308</f>
        <v>0</v>
      </c>
      <c r="Y308" s="48">
        <f>'Adani Enterprises'!Y308</f>
        <v>0</v>
      </c>
      <c r="Z308" s="48">
        <f>'Adani Enterprises'!Z308</f>
        <v>0</v>
      </c>
      <c r="AA308" s="48">
        <f>'Adani Enterprises'!AA308</f>
        <v>0</v>
      </c>
      <c r="AB308" s="48">
        <f>'Adani Enterprises'!AB308</f>
        <v>0</v>
      </c>
      <c r="AC308" s="48">
        <f>'Adani Enterprises'!AC308</f>
        <v>0</v>
      </c>
      <c r="AD308" s="48">
        <f>'Adani Enterprises'!AD308</f>
        <v>0</v>
      </c>
      <c r="AE308" s="48">
        <f>'Adani Enterprises'!AE308</f>
        <v>0</v>
      </c>
      <c r="AF308" s="48">
        <f>'Adani Enterprises'!AF308</f>
        <v>0</v>
      </c>
      <c r="AG308" s="48">
        <f>'Adani Enterprises'!AG308</f>
        <v>0</v>
      </c>
      <c r="AH308" s="48">
        <f>'Adani Enterprises'!AH308</f>
        <v>0</v>
      </c>
      <c r="AI308" s="48">
        <f>'Adani Enterprises'!AI308</f>
        <v>0</v>
      </c>
      <c r="AJ308" s="48">
        <f>'Adani Enterprises'!AJ308</f>
        <v>0</v>
      </c>
      <c r="AK308" s="48">
        <f>'Adani Enterprises'!AK308</f>
        <v>0</v>
      </c>
      <c r="AL308" s="48">
        <f>'Adani Enterprises'!AL308</f>
        <v>0</v>
      </c>
    </row>
    <row r="309" customHeight="1" spans="1:38">
      <c r="A309" s="48">
        <f>'Adani Enterprises'!A309</f>
        <v>0</v>
      </c>
      <c r="B309" s="48">
        <f>'Adani Enterprises'!B309</f>
        <v>0</v>
      </c>
      <c r="C309" s="48">
        <f>'Adani Enterprises'!C309</f>
        <v>0</v>
      </c>
      <c r="D309" s="48">
        <f>'Adani Enterprises'!D309</f>
        <v>0</v>
      </c>
      <c r="E309" s="48">
        <f>'Adani Enterprises'!E309</f>
        <v>0</v>
      </c>
      <c r="F309" s="48">
        <f>'Adani Enterprises'!F309</f>
        <v>0</v>
      </c>
      <c r="G309" s="48">
        <f>'Adani Enterprises'!G309</f>
        <v>0</v>
      </c>
      <c r="H309" s="48">
        <f>'Adani Enterprises'!H309</f>
        <v>0</v>
      </c>
      <c r="I309" s="48">
        <f>'Adani Enterprises'!I309</f>
        <v>0</v>
      </c>
      <c r="J309" s="48">
        <f>'Adani Enterprises'!J309</f>
        <v>0</v>
      </c>
      <c r="K309" s="48">
        <f>'Adani Enterprises'!K309</f>
        <v>0</v>
      </c>
      <c r="L309" s="48">
        <f>'Adani Enterprises'!L309</f>
        <v>0</v>
      </c>
      <c r="M309" s="48">
        <f>'Adani Enterprises'!M309</f>
        <v>0</v>
      </c>
      <c r="N309" s="48">
        <f>'Adani Enterprises'!N309</f>
        <v>0</v>
      </c>
      <c r="O309" s="48">
        <f>'Adani Enterprises'!O309</f>
        <v>0</v>
      </c>
      <c r="P309" s="48">
        <f>'Adani Enterprises'!P309</f>
        <v>0</v>
      </c>
      <c r="Q309" s="48">
        <f>'Adani Enterprises'!Q309</f>
        <v>0</v>
      </c>
      <c r="R309" s="48">
        <f>'Adani Enterprises'!R309</f>
        <v>0</v>
      </c>
      <c r="S309" s="48">
        <f>'Adani Enterprises'!S309</f>
        <v>0</v>
      </c>
      <c r="T309" s="48">
        <f>'Adani Enterprises'!T309</f>
        <v>0</v>
      </c>
      <c r="U309" s="48">
        <f>'Adani Enterprises'!U309</f>
        <v>0</v>
      </c>
      <c r="V309" s="48">
        <f>'Adani Enterprises'!V309</f>
        <v>0</v>
      </c>
      <c r="W309" s="48">
        <f>'Adani Enterprises'!W309</f>
        <v>0</v>
      </c>
      <c r="X309" s="48">
        <f>'Adani Enterprises'!X309</f>
        <v>0</v>
      </c>
      <c r="Y309" s="48">
        <f>'Adani Enterprises'!Y309</f>
        <v>0</v>
      </c>
      <c r="Z309" s="48">
        <f>'Adani Enterprises'!Z309</f>
        <v>0</v>
      </c>
      <c r="AA309" s="48">
        <f>'Adani Enterprises'!AA309</f>
        <v>0</v>
      </c>
      <c r="AB309" s="48">
        <f>'Adani Enterprises'!AB309</f>
        <v>0</v>
      </c>
      <c r="AC309" s="48">
        <f>'Adani Enterprises'!AC309</f>
        <v>0</v>
      </c>
      <c r="AD309" s="48">
        <f>'Adani Enterprises'!AD309</f>
        <v>0</v>
      </c>
      <c r="AE309" s="48">
        <f>'Adani Enterprises'!AE309</f>
        <v>0</v>
      </c>
      <c r="AF309" s="48">
        <f>'Adani Enterprises'!AF309</f>
        <v>0</v>
      </c>
      <c r="AG309" s="48">
        <f>'Adani Enterprises'!AG309</f>
        <v>0</v>
      </c>
      <c r="AH309" s="48">
        <f>'Adani Enterprises'!AH309</f>
        <v>0</v>
      </c>
      <c r="AI309" s="48">
        <f>'Adani Enterprises'!AI309</f>
        <v>0</v>
      </c>
      <c r="AJ309" s="48">
        <f>'Adani Enterprises'!AJ309</f>
        <v>0</v>
      </c>
      <c r="AK309" s="48">
        <f>'Adani Enterprises'!AK309</f>
        <v>0</v>
      </c>
      <c r="AL309" s="48">
        <f>'Adani Enterprises'!AL309</f>
        <v>0</v>
      </c>
    </row>
    <row r="310" customHeight="1" spans="1:38">
      <c r="A310" s="48">
        <f>'Adani Enterprises'!A310</f>
        <v>0</v>
      </c>
      <c r="B310" s="48">
        <f>'Adani Enterprises'!B310</f>
        <v>0</v>
      </c>
      <c r="C310" s="48">
        <f>'Adani Enterprises'!C310</f>
        <v>0</v>
      </c>
      <c r="D310" s="48">
        <f>'Adani Enterprises'!D310</f>
        <v>0</v>
      </c>
      <c r="E310" s="48">
        <f>'Adani Enterprises'!E310</f>
        <v>0</v>
      </c>
      <c r="F310" s="48">
        <f>'Adani Enterprises'!F310</f>
        <v>0</v>
      </c>
      <c r="G310" s="48">
        <f>'Adani Enterprises'!G310</f>
        <v>0</v>
      </c>
      <c r="H310" s="48">
        <f>'Adani Enterprises'!H310</f>
        <v>0</v>
      </c>
      <c r="I310" s="48">
        <f>'Adani Enterprises'!I310</f>
        <v>0</v>
      </c>
      <c r="J310" s="48">
        <f>'Adani Enterprises'!J310</f>
        <v>0</v>
      </c>
      <c r="K310" s="48">
        <f>'Adani Enterprises'!K310</f>
        <v>0</v>
      </c>
      <c r="L310" s="48">
        <f>'Adani Enterprises'!L310</f>
        <v>0</v>
      </c>
      <c r="M310" s="48">
        <f>'Adani Enterprises'!M310</f>
        <v>0</v>
      </c>
      <c r="N310" s="48">
        <f>'Adani Enterprises'!N310</f>
        <v>0</v>
      </c>
      <c r="O310" s="48">
        <f>'Adani Enterprises'!O310</f>
        <v>0</v>
      </c>
      <c r="P310" s="48">
        <f>'Adani Enterprises'!P310</f>
        <v>0</v>
      </c>
      <c r="Q310" s="48">
        <f>'Adani Enterprises'!Q310</f>
        <v>0</v>
      </c>
      <c r="R310" s="48">
        <f>'Adani Enterprises'!R310</f>
        <v>0</v>
      </c>
      <c r="S310" s="48">
        <f>'Adani Enterprises'!S310</f>
        <v>0</v>
      </c>
      <c r="T310" s="48">
        <f>'Adani Enterprises'!T310</f>
        <v>0</v>
      </c>
      <c r="U310" s="48">
        <f>'Adani Enterprises'!U310</f>
        <v>0</v>
      </c>
      <c r="V310" s="48">
        <f>'Adani Enterprises'!V310</f>
        <v>0</v>
      </c>
      <c r="W310" s="48">
        <f>'Adani Enterprises'!W310</f>
        <v>0</v>
      </c>
      <c r="X310" s="48">
        <f>'Adani Enterprises'!X310</f>
        <v>0</v>
      </c>
      <c r="Y310" s="48">
        <f>'Adani Enterprises'!Y310</f>
        <v>0</v>
      </c>
      <c r="Z310" s="48">
        <f>'Adani Enterprises'!Z310</f>
        <v>0</v>
      </c>
      <c r="AA310" s="48">
        <f>'Adani Enterprises'!AA310</f>
        <v>0</v>
      </c>
      <c r="AB310" s="48">
        <f>'Adani Enterprises'!AB310</f>
        <v>0</v>
      </c>
      <c r="AC310" s="48">
        <f>'Adani Enterprises'!AC310</f>
        <v>0</v>
      </c>
      <c r="AD310" s="48">
        <f>'Adani Enterprises'!AD310</f>
        <v>0</v>
      </c>
      <c r="AE310" s="48">
        <f>'Adani Enterprises'!AE310</f>
        <v>0</v>
      </c>
      <c r="AF310" s="48">
        <f>'Adani Enterprises'!AF310</f>
        <v>0</v>
      </c>
      <c r="AG310" s="48">
        <f>'Adani Enterprises'!AG310</f>
        <v>0</v>
      </c>
      <c r="AH310" s="48">
        <f>'Adani Enterprises'!AH310</f>
        <v>0</v>
      </c>
      <c r="AI310" s="48">
        <f>'Adani Enterprises'!AI310</f>
        <v>0</v>
      </c>
      <c r="AJ310" s="48">
        <f>'Adani Enterprises'!AJ310</f>
        <v>0</v>
      </c>
      <c r="AK310" s="48">
        <f>'Adani Enterprises'!AK310</f>
        <v>0</v>
      </c>
      <c r="AL310" s="48">
        <f>'Adani Enterprises'!AL310</f>
        <v>0</v>
      </c>
    </row>
    <row r="311" customHeight="1" spans="1:38">
      <c r="A311" s="48">
        <f>'Adani Enterprises'!A311</f>
        <v>0</v>
      </c>
      <c r="B311" s="48">
        <f>'Adani Enterprises'!B311</f>
        <v>0</v>
      </c>
      <c r="C311" s="48">
        <f>'Adani Enterprises'!C311</f>
        <v>0</v>
      </c>
      <c r="D311" s="48">
        <f>'Adani Enterprises'!D311</f>
        <v>0</v>
      </c>
      <c r="E311" s="48">
        <f>'Adani Enterprises'!E311</f>
        <v>0</v>
      </c>
      <c r="F311" s="48">
        <f>'Adani Enterprises'!F311</f>
        <v>0</v>
      </c>
      <c r="G311" s="48">
        <f>'Adani Enterprises'!G311</f>
        <v>0</v>
      </c>
      <c r="H311" s="48">
        <f>'Adani Enterprises'!H311</f>
        <v>0</v>
      </c>
      <c r="I311" s="48">
        <f>'Adani Enterprises'!I311</f>
        <v>0</v>
      </c>
      <c r="J311" s="48">
        <f>'Adani Enterprises'!J311</f>
        <v>0</v>
      </c>
      <c r="K311" s="48">
        <f>'Adani Enterprises'!K311</f>
        <v>0</v>
      </c>
      <c r="L311" s="48">
        <f>'Adani Enterprises'!L311</f>
        <v>0</v>
      </c>
      <c r="M311" s="48">
        <f>'Adani Enterprises'!M311</f>
        <v>0</v>
      </c>
      <c r="N311" s="48">
        <f>'Adani Enterprises'!N311</f>
        <v>0</v>
      </c>
      <c r="O311" s="48">
        <f>'Adani Enterprises'!O311</f>
        <v>0</v>
      </c>
      <c r="P311" s="48">
        <f>'Adani Enterprises'!P311</f>
        <v>0</v>
      </c>
      <c r="Q311" s="48">
        <f>'Adani Enterprises'!Q311</f>
        <v>0</v>
      </c>
      <c r="R311" s="48">
        <f>'Adani Enterprises'!R311</f>
        <v>0</v>
      </c>
      <c r="S311" s="48">
        <f>'Adani Enterprises'!S311</f>
        <v>0</v>
      </c>
      <c r="T311" s="48">
        <f>'Adani Enterprises'!T311</f>
        <v>0</v>
      </c>
      <c r="U311" s="48">
        <f>'Adani Enterprises'!U311</f>
        <v>0</v>
      </c>
      <c r="V311" s="48">
        <f>'Adani Enterprises'!V311</f>
        <v>0</v>
      </c>
      <c r="W311" s="48">
        <f>'Adani Enterprises'!W311</f>
        <v>0</v>
      </c>
      <c r="X311" s="48">
        <f>'Adani Enterprises'!X311</f>
        <v>0</v>
      </c>
      <c r="Y311" s="48">
        <f>'Adani Enterprises'!Y311</f>
        <v>0</v>
      </c>
      <c r="Z311" s="48">
        <f>'Adani Enterprises'!Z311</f>
        <v>0</v>
      </c>
      <c r="AA311" s="48">
        <f>'Adani Enterprises'!AA311</f>
        <v>0</v>
      </c>
      <c r="AB311" s="48">
        <f>'Adani Enterprises'!AB311</f>
        <v>0</v>
      </c>
      <c r="AC311" s="48">
        <f>'Adani Enterprises'!AC311</f>
        <v>0</v>
      </c>
      <c r="AD311" s="48">
        <f>'Adani Enterprises'!AD311</f>
        <v>0</v>
      </c>
      <c r="AE311" s="48">
        <f>'Adani Enterprises'!AE311</f>
        <v>0</v>
      </c>
      <c r="AF311" s="48">
        <f>'Adani Enterprises'!AF311</f>
        <v>0</v>
      </c>
      <c r="AG311" s="48">
        <f>'Adani Enterprises'!AG311</f>
        <v>0</v>
      </c>
      <c r="AH311" s="48">
        <f>'Adani Enterprises'!AH311</f>
        <v>0</v>
      </c>
      <c r="AI311" s="48">
        <f>'Adani Enterprises'!AI311</f>
        <v>0</v>
      </c>
      <c r="AJ311" s="48">
        <f>'Adani Enterprises'!AJ311</f>
        <v>0</v>
      </c>
      <c r="AK311" s="48">
        <f>'Adani Enterprises'!AK311</f>
        <v>0</v>
      </c>
      <c r="AL311" s="48">
        <f>'Adani Enterprises'!AL311</f>
        <v>0</v>
      </c>
    </row>
    <row r="312" customHeight="1" spans="1:38">
      <c r="A312" s="48">
        <f>'Adani Enterprises'!A312</f>
        <v>0</v>
      </c>
      <c r="B312" s="48">
        <f>'Adani Enterprises'!B312</f>
        <v>0</v>
      </c>
      <c r="C312" s="48">
        <f>'Adani Enterprises'!C312</f>
        <v>0</v>
      </c>
      <c r="D312" s="48">
        <f>'Adani Enterprises'!D312</f>
        <v>0</v>
      </c>
      <c r="E312" s="48">
        <f>'Adani Enterprises'!E312</f>
        <v>0</v>
      </c>
      <c r="F312" s="48">
        <f>'Adani Enterprises'!F312</f>
        <v>0</v>
      </c>
      <c r="G312" s="48">
        <f>'Adani Enterprises'!G312</f>
        <v>0</v>
      </c>
      <c r="H312" s="48">
        <f>'Adani Enterprises'!H312</f>
        <v>0</v>
      </c>
      <c r="I312" s="48">
        <f>'Adani Enterprises'!I312</f>
        <v>0</v>
      </c>
      <c r="J312" s="48">
        <f>'Adani Enterprises'!J312</f>
        <v>0</v>
      </c>
      <c r="K312" s="48">
        <f>'Adani Enterprises'!K312</f>
        <v>0</v>
      </c>
      <c r="L312" s="48">
        <f>'Adani Enterprises'!L312</f>
        <v>0</v>
      </c>
      <c r="M312" s="48">
        <f>'Adani Enterprises'!M312</f>
        <v>0</v>
      </c>
      <c r="N312" s="48">
        <f>'Adani Enterprises'!N312</f>
        <v>0</v>
      </c>
      <c r="O312" s="48">
        <f>'Adani Enterprises'!O312</f>
        <v>0</v>
      </c>
      <c r="P312" s="48">
        <f>'Adani Enterprises'!P312</f>
        <v>0</v>
      </c>
      <c r="Q312" s="48">
        <f>'Adani Enterprises'!Q312</f>
        <v>0</v>
      </c>
      <c r="R312" s="48">
        <f>'Adani Enterprises'!R312</f>
        <v>0</v>
      </c>
      <c r="S312" s="48">
        <f>'Adani Enterprises'!S312</f>
        <v>0</v>
      </c>
      <c r="T312" s="48">
        <f>'Adani Enterprises'!T312</f>
        <v>0</v>
      </c>
      <c r="U312" s="48">
        <f>'Adani Enterprises'!U312</f>
        <v>0</v>
      </c>
      <c r="V312" s="48">
        <f>'Adani Enterprises'!V312</f>
        <v>0</v>
      </c>
      <c r="W312" s="48">
        <f>'Adani Enterprises'!W312</f>
        <v>0</v>
      </c>
      <c r="X312" s="48">
        <f>'Adani Enterprises'!X312</f>
        <v>0</v>
      </c>
      <c r="Y312" s="48">
        <f>'Adani Enterprises'!Y312</f>
        <v>0</v>
      </c>
      <c r="Z312" s="48">
        <f>'Adani Enterprises'!Z312</f>
        <v>0</v>
      </c>
      <c r="AA312" s="48">
        <f>'Adani Enterprises'!AA312</f>
        <v>0</v>
      </c>
      <c r="AB312" s="48">
        <f>'Adani Enterprises'!AB312</f>
        <v>0</v>
      </c>
      <c r="AC312" s="48">
        <f>'Adani Enterprises'!AC312</f>
        <v>0</v>
      </c>
      <c r="AD312" s="48">
        <f>'Adani Enterprises'!AD312</f>
        <v>0</v>
      </c>
      <c r="AE312" s="48">
        <f>'Adani Enterprises'!AE312</f>
        <v>0</v>
      </c>
      <c r="AF312" s="48">
        <f>'Adani Enterprises'!AF312</f>
        <v>0</v>
      </c>
      <c r="AG312" s="48">
        <f>'Adani Enterprises'!AG312</f>
        <v>0</v>
      </c>
      <c r="AH312" s="48">
        <f>'Adani Enterprises'!AH312</f>
        <v>0</v>
      </c>
      <c r="AI312" s="48">
        <f>'Adani Enterprises'!AI312</f>
        <v>0</v>
      </c>
      <c r="AJ312" s="48">
        <f>'Adani Enterprises'!AJ312</f>
        <v>0</v>
      </c>
      <c r="AK312" s="48">
        <f>'Adani Enterprises'!AK312</f>
        <v>0</v>
      </c>
      <c r="AL312" s="48">
        <f>'Adani Enterprises'!AL312</f>
        <v>0</v>
      </c>
    </row>
    <row r="313" customHeight="1" spans="1:38">
      <c r="A313" s="48">
        <f>'Adani Enterprises'!A313</f>
        <v>0</v>
      </c>
      <c r="B313" s="48">
        <f>'Adani Enterprises'!B313</f>
        <v>0</v>
      </c>
      <c r="C313" s="48">
        <f>'Adani Enterprises'!C313</f>
        <v>0</v>
      </c>
      <c r="D313" s="48">
        <f>'Adani Enterprises'!D313</f>
        <v>0</v>
      </c>
      <c r="E313" s="48">
        <f>'Adani Enterprises'!E313</f>
        <v>0</v>
      </c>
      <c r="F313" s="48">
        <f>'Adani Enterprises'!F313</f>
        <v>0</v>
      </c>
      <c r="G313" s="48">
        <f>'Adani Enterprises'!G313</f>
        <v>0</v>
      </c>
      <c r="H313" s="48">
        <f>'Adani Enterprises'!H313</f>
        <v>0</v>
      </c>
      <c r="I313" s="48">
        <f>'Adani Enterprises'!I313</f>
        <v>0</v>
      </c>
      <c r="J313" s="48">
        <f>'Adani Enterprises'!J313</f>
        <v>0</v>
      </c>
      <c r="K313" s="48">
        <f>'Adani Enterprises'!K313</f>
        <v>0</v>
      </c>
      <c r="L313" s="48">
        <f>'Adani Enterprises'!L313</f>
        <v>0</v>
      </c>
      <c r="M313" s="48">
        <f>'Adani Enterprises'!M313</f>
        <v>0</v>
      </c>
      <c r="N313" s="48">
        <f>'Adani Enterprises'!N313</f>
        <v>0</v>
      </c>
      <c r="O313" s="48">
        <f>'Adani Enterprises'!O313</f>
        <v>0</v>
      </c>
      <c r="P313" s="48">
        <f>'Adani Enterprises'!P313</f>
        <v>0</v>
      </c>
      <c r="Q313" s="48">
        <f>'Adani Enterprises'!Q313</f>
        <v>0</v>
      </c>
      <c r="R313" s="48">
        <f>'Adani Enterprises'!R313</f>
        <v>0</v>
      </c>
      <c r="S313" s="48">
        <f>'Adani Enterprises'!S313</f>
        <v>0</v>
      </c>
      <c r="T313" s="48">
        <f>'Adani Enterprises'!T313</f>
        <v>0</v>
      </c>
      <c r="U313" s="48">
        <f>'Adani Enterprises'!U313</f>
        <v>0</v>
      </c>
      <c r="V313" s="48">
        <f>'Adani Enterprises'!V313</f>
        <v>0</v>
      </c>
      <c r="W313" s="48">
        <f>'Adani Enterprises'!W313</f>
        <v>0</v>
      </c>
      <c r="X313" s="48">
        <f>'Adani Enterprises'!X313</f>
        <v>0</v>
      </c>
      <c r="Y313" s="48">
        <f>'Adani Enterprises'!Y313</f>
        <v>0</v>
      </c>
      <c r="Z313" s="48">
        <f>'Adani Enterprises'!Z313</f>
        <v>0</v>
      </c>
      <c r="AA313" s="48">
        <f>'Adani Enterprises'!AA313</f>
        <v>0</v>
      </c>
      <c r="AB313" s="48">
        <f>'Adani Enterprises'!AB313</f>
        <v>0</v>
      </c>
      <c r="AC313" s="48">
        <f>'Adani Enterprises'!AC313</f>
        <v>0</v>
      </c>
      <c r="AD313" s="48">
        <f>'Adani Enterprises'!AD313</f>
        <v>0</v>
      </c>
      <c r="AE313" s="48">
        <f>'Adani Enterprises'!AE313</f>
        <v>0</v>
      </c>
      <c r="AF313" s="48">
        <f>'Adani Enterprises'!AF313</f>
        <v>0</v>
      </c>
      <c r="AG313" s="48">
        <f>'Adani Enterprises'!AG313</f>
        <v>0</v>
      </c>
      <c r="AH313" s="48">
        <f>'Adani Enterprises'!AH313</f>
        <v>0</v>
      </c>
      <c r="AI313" s="48">
        <f>'Adani Enterprises'!AI313</f>
        <v>0</v>
      </c>
      <c r="AJ313" s="48">
        <f>'Adani Enterprises'!AJ313</f>
        <v>0</v>
      </c>
      <c r="AK313" s="48">
        <f>'Adani Enterprises'!AK313</f>
        <v>0</v>
      </c>
      <c r="AL313" s="48">
        <f>'Adani Enterprises'!AL313</f>
        <v>0</v>
      </c>
    </row>
    <row r="314" customHeight="1" spans="1:38">
      <c r="A314" s="48">
        <f>'Adani Enterprises'!A314</f>
        <v>0</v>
      </c>
      <c r="B314" s="48">
        <f>'Adani Enterprises'!B314</f>
        <v>0</v>
      </c>
      <c r="C314" s="48">
        <f>'Adani Enterprises'!C314</f>
        <v>0</v>
      </c>
      <c r="D314" s="48">
        <f>'Adani Enterprises'!D314</f>
        <v>0</v>
      </c>
      <c r="E314" s="48">
        <f>'Adani Enterprises'!E314</f>
        <v>0</v>
      </c>
      <c r="F314" s="48">
        <f>'Adani Enterprises'!F314</f>
        <v>0</v>
      </c>
      <c r="G314" s="48">
        <f>'Adani Enterprises'!G314</f>
        <v>0</v>
      </c>
      <c r="H314" s="48">
        <f>'Adani Enterprises'!H314</f>
        <v>0</v>
      </c>
      <c r="I314" s="48">
        <f>'Adani Enterprises'!I314</f>
        <v>0</v>
      </c>
      <c r="J314" s="48">
        <f>'Adani Enterprises'!J314</f>
        <v>0</v>
      </c>
      <c r="K314" s="48">
        <f>'Adani Enterprises'!K314</f>
        <v>0</v>
      </c>
      <c r="L314" s="48">
        <f>'Adani Enterprises'!L314</f>
        <v>0</v>
      </c>
      <c r="M314" s="48">
        <f>'Adani Enterprises'!M314</f>
        <v>0</v>
      </c>
      <c r="N314" s="48">
        <f>'Adani Enterprises'!N314</f>
        <v>0</v>
      </c>
      <c r="O314" s="48">
        <f>'Adani Enterprises'!O314</f>
        <v>0</v>
      </c>
      <c r="P314" s="48">
        <f>'Adani Enterprises'!P314</f>
        <v>0</v>
      </c>
      <c r="Q314" s="48">
        <f>'Adani Enterprises'!Q314</f>
        <v>0</v>
      </c>
      <c r="R314" s="48">
        <f>'Adani Enterprises'!R314</f>
        <v>0</v>
      </c>
      <c r="S314" s="48">
        <f>'Adani Enterprises'!S314</f>
        <v>0</v>
      </c>
      <c r="T314" s="48">
        <f>'Adani Enterprises'!T314</f>
        <v>0</v>
      </c>
      <c r="U314" s="48">
        <f>'Adani Enterprises'!U314</f>
        <v>0</v>
      </c>
      <c r="V314" s="48">
        <f>'Adani Enterprises'!V314</f>
        <v>0</v>
      </c>
      <c r="W314" s="48">
        <f>'Adani Enterprises'!W314</f>
        <v>0</v>
      </c>
      <c r="X314" s="48">
        <f>'Adani Enterprises'!X314</f>
        <v>0</v>
      </c>
      <c r="Y314" s="48">
        <f>'Adani Enterprises'!Y314</f>
        <v>0</v>
      </c>
      <c r="Z314" s="48">
        <f>'Adani Enterprises'!Z314</f>
        <v>0</v>
      </c>
      <c r="AA314" s="48">
        <f>'Adani Enterprises'!AA314</f>
        <v>0</v>
      </c>
      <c r="AB314" s="48">
        <f>'Adani Enterprises'!AB314</f>
        <v>0</v>
      </c>
      <c r="AC314" s="48">
        <f>'Adani Enterprises'!AC314</f>
        <v>0</v>
      </c>
      <c r="AD314" s="48">
        <f>'Adani Enterprises'!AD314</f>
        <v>0</v>
      </c>
      <c r="AE314" s="48">
        <f>'Adani Enterprises'!AE314</f>
        <v>0</v>
      </c>
      <c r="AF314" s="48">
        <f>'Adani Enterprises'!AF314</f>
        <v>0</v>
      </c>
      <c r="AG314" s="48">
        <f>'Adani Enterprises'!AG314</f>
        <v>0</v>
      </c>
      <c r="AH314" s="48">
        <f>'Adani Enterprises'!AH314</f>
        <v>0</v>
      </c>
      <c r="AI314" s="48">
        <f>'Adani Enterprises'!AI314</f>
        <v>0</v>
      </c>
      <c r="AJ314" s="48">
        <f>'Adani Enterprises'!AJ314</f>
        <v>0</v>
      </c>
      <c r="AK314" s="48">
        <f>'Adani Enterprises'!AK314</f>
        <v>0</v>
      </c>
      <c r="AL314" s="48">
        <f>'Adani Enterprises'!AL314</f>
        <v>0</v>
      </c>
    </row>
    <row r="315" customHeight="1" spans="1:38">
      <c r="A315" s="48">
        <f>'Adani Enterprises'!A315</f>
        <v>0</v>
      </c>
      <c r="B315" s="48">
        <f>'Adani Enterprises'!B315</f>
        <v>0</v>
      </c>
      <c r="C315" s="48">
        <f>'Adani Enterprises'!C315</f>
        <v>0</v>
      </c>
      <c r="D315" s="48">
        <f>'Adani Enterprises'!D315</f>
        <v>0</v>
      </c>
      <c r="E315" s="48">
        <f>'Adani Enterprises'!E315</f>
        <v>0</v>
      </c>
      <c r="F315" s="48">
        <f>'Adani Enterprises'!F315</f>
        <v>0</v>
      </c>
      <c r="G315" s="48">
        <f>'Adani Enterprises'!G315</f>
        <v>0</v>
      </c>
      <c r="H315" s="48">
        <f>'Adani Enterprises'!H315</f>
        <v>0</v>
      </c>
      <c r="I315" s="48">
        <f>'Adani Enterprises'!I315</f>
        <v>0</v>
      </c>
      <c r="J315" s="48">
        <f>'Adani Enterprises'!J315</f>
        <v>0</v>
      </c>
      <c r="K315" s="48">
        <f>'Adani Enterprises'!K315</f>
        <v>0</v>
      </c>
      <c r="L315" s="48">
        <f>'Adani Enterprises'!L315</f>
        <v>0</v>
      </c>
      <c r="M315" s="48">
        <f>'Adani Enterprises'!M315</f>
        <v>0</v>
      </c>
      <c r="N315" s="48">
        <f>'Adani Enterprises'!N315</f>
        <v>0</v>
      </c>
      <c r="O315" s="48">
        <f>'Adani Enterprises'!O315</f>
        <v>0</v>
      </c>
      <c r="P315" s="48">
        <f>'Adani Enterprises'!P315</f>
        <v>0</v>
      </c>
      <c r="Q315" s="48">
        <f>'Adani Enterprises'!Q315</f>
        <v>0</v>
      </c>
      <c r="R315" s="48">
        <f>'Adani Enterprises'!R315</f>
        <v>0</v>
      </c>
      <c r="S315" s="48">
        <f>'Adani Enterprises'!S315</f>
        <v>0</v>
      </c>
      <c r="T315" s="48">
        <f>'Adani Enterprises'!T315</f>
        <v>0</v>
      </c>
      <c r="U315" s="48">
        <f>'Adani Enterprises'!U315</f>
        <v>0</v>
      </c>
      <c r="V315" s="48">
        <f>'Adani Enterprises'!V315</f>
        <v>0</v>
      </c>
      <c r="W315" s="48">
        <f>'Adani Enterprises'!W315</f>
        <v>0</v>
      </c>
      <c r="X315" s="48">
        <f>'Adani Enterprises'!X315</f>
        <v>0</v>
      </c>
      <c r="Y315" s="48">
        <f>'Adani Enterprises'!Y315</f>
        <v>0</v>
      </c>
      <c r="Z315" s="48">
        <f>'Adani Enterprises'!Z315</f>
        <v>0</v>
      </c>
      <c r="AA315" s="48">
        <f>'Adani Enterprises'!AA315</f>
        <v>0</v>
      </c>
      <c r="AB315" s="48">
        <f>'Adani Enterprises'!AB315</f>
        <v>0</v>
      </c>
      <c r="AC315" s="48">
        <f>'Adani Enterprises'!AC315</f>
        <v>0</v>
      </c>
      <c r="AD315" s="48">
        <f>'Adani Enterprises'!AD315</f>
        <v>0</v>
      </c>
      <c r="AE315" s="48">
        <f>'Adani Enterprises'!AE315</f>
        <v>0</v>
      </c>
      <c r="AF315" s="48">
        <f>'Adani Enterprises'!AF315</f>
        <v>0</v>
      </c>
      <c r="AG315" s="48">
        <f>'Adani Enterprises'!AG315</f>
        <v>0</v>
      </c>
      <c r="AH315" s="48">
        <f>'Adani Enterprises'!AH315</f>
        <v>0</v>
      </c>
      <c r="AI315" s="48">
        <f>'Adani Enterprises'!AI315</f>
        <v>0</v>
      </c>
      <c r="AJ315" s="48">
        <f>'Adani Enterprises'!AJ315</f>
        <v>0</v>
      </c>
      <c r="AK315" s="48">
        <f>'Adani Enterprises'!AK315</f>
        <v>0</v>
      </c>
      <c r="AL315" s="48">
        <f>'Adani Enterprises'!AL315</f>
        <v>0</v>
      </c>
    </row>
    <row r="316" customHeight="1" spans="1:38">
      <c r="A316" s="48">
        <f>'Adani Enterprises'!A316</f>
        <v>0</v>
      </c>
      <c r="B316" s="48">
        <f>'Adani Enterprises'!B316</f>
        <v>0</v>
      </c>
      <c r="C316" s="48">
        <f>'Adani Enterprises'!C316</f>
        <v>0</v>
      </c>
      <c r="D316" s="48">
        <f>'Adani Enterprises'!D316</f>
        <v>0</v>
      </c>
      <c r="E316" s="48">
        <f>'Adani Enterprises'!E316</f>
        <v>0</v>
      </c>
      <c r="F316" s="48">
        <f>'Adani Enterprises'!F316</f>
        <v>0</v>
      </c>
      <c r="G316" s="48">
        <f>'Adani Enterprises'!G316</f>
        <v>0</v>
      </c>
      <c r="H316" s="48">
        <f>'Adani Enterprises'!H316</f>
        <v>0</v>
      </c>
      <c r="I316" s="48">
        <f>'Adani Enterprises'!I316</f>
        <v>0</v>
      </c>
      <c r="J316" s="48">
        <f>'Adani Enterprises'!J316</f>
        <v>0</v>
      </c>
      <c r="K316" s="48">
        <f>'Adani Enterprises'!K316</f>
        <v>0</v>
      </c>
      <c r="L316" s="48">
        <f>'Adani Enterprises'!L316</f>
        <v>0</v>
      </c>
      <c r="M316" s="48">
        <f>'Adani Enterprises'!M316</f>
        <v>0</v>
      </c>
      <c r="N316" s="48">
        <f>'Adani Enterprises'!N316</f>
        <v>0</v>
      </c>
      <c r="O316" s="48">
        <f>'Adani Enterprises'!O316</f>
        <v>0</v>
      </c>
      <c r="P316" s="48">
        <f>'Adani Enterprises'!P316</f>
        <v>0</v>
      </c>
      <c r="Q316" s="48">
        <f>'Adani Enterprises'!Q316</f>
        <v>0</v>
      </c>
      <c r="R316" s="48">
        <f>'Adani Enterprises'!R316</f>
        <v>0</v>
      </c>
      <c r="S316" s="48">
        <f>'Adani Enterprises'!S316</f>
        <v>0</v>
      </c>
      <c r="T316" s="48">
        <f>'Adani Enterprises'!T316</f>
        <v>0</v>
      </c>
      <c r="U316" s="48">
        <f>'Adani Enterprises'!U316</f>
        <v>0</v>
      </c>
      <c r="V316" s="48">
        <f>'Adani Enterprises'!V316</f>
        <v>0</v>
      </c>
      <c r="W316" s="48">
        <f>'Adani Enterprises'!W316</f>
        <v>0</v>
      </c>
      <c r="X316" s="48">
        <f>'Adani Enterprises'!X316</f>
        <v>0</v>
      </c>
      <c r="Y316" s="48">
        <f>'Adani Enterprises'!Y316</f>
        <v>0</v>
      </c>
      <c r="Z316" s="48">
        <f>'Adani Enterprises'!Z316</f>
        <v>0</v>
      </c>
      <c r="AA316" s="48">
        <f>'Adani Enterprises'!AA316</f>
        <v>0</v>
      </c>
      <c r="AB316" s="48">
        <f>'Adani Enterprises'!AB316</f>
        <v>0</v>
      </c>
      <c r="AC316" s="48">
        <f>'Adani Enterprises'!AC316</f>
        <v>0</v>
      </c>
      <c r="AD316" s="48">
        <f>'Adani Enterprises'!AD316</f>
        <v>0</v>
      </c>
      <c r="AE316" s="48">
        <f>'Adani Enterprises'!AE316</f>
        <v>0</v>
      </c>
      <c r="AF316" s="48">
        <f>'Adani Enterprises'!AF316</f>
        <v>0</v>
      </c>
      <c r="AG316" s="48">
        <f>'Adani Enterprises'!AG316</f>
        <v>0</v>
      </c>
      <c r="AH316" s="48">
        <f>'Adani Enterprises'!AH316</f>
        <v>0</v>
      </c>
      <c r="AI316" s="48">
        <f>'Adani Enterprises'!AI316</f>
        <v>0</v>
      </c>
      <c r="AJ316" s="48">
        <f>'Adani Enterprises'!AJ316</f>
        <v>0</v>
      </c>
      <c r="AK316" s="48">
        <f>'Adani Enterprises'!AK316</f>
        <v>0</v>
      </c>
      <c r="AL316" s="48">
        <f>'Adani Enterprises'!AL316</f>
        <v>0</v>
      </c>
    </row>
    <row r="317" customHeight="1" spans="1:38">
      <c r="A317" s="48">
        <f>'Adani Enterprises'!A317</f>
        <v>0</v>
      </c>
      <c r="B317" s="48">
        <f>'Adani Enterprises'!B317</f>
        <v>0</v>
      </c>
      <c r="C317" s="48">
        <f>'Adani Enterprises'!C317</f>
        <v>0</v>
      </c>
      <c r="D317" s="48">
        <f>'Adani Enterprises'!D317</f>
        <v>0</v>
      </c>
      <c r="E317" s="48">
        <f>'Adani Enterprises'!E317</f>
        <v>0</v>
      </c>
      <c r="F317" s="48">
        <f>'Adani Enterprises'!F317</f>
        <v>0</v>
      </c>
      <c r="G317" s="48">
        <f>'Adani Enterprises'!G317</f>
        <v>0</v>
      </c>
      <c r="H317" s="48">
        <f>'Adani Enterprises'!H317</f>
        <v>0</v>
      </c>
      <c r="I317" s="48">
        <f>'Adani Enterprises'!I317</f>
        <v>0</v>
      </c>
      <c r="J317" s="48">
        <f>'Adani Enterprises'!J317</f>
        <v>0</v>
      </c>
      <c r="K317" s="48">
        <f>'Adani Enterprises'!K317</f>
        <v>0</v>
      </c>
      <c r="L317" s="48">
        <f>'Adani Enterprises'!L317</f>
        <v>0</v>
      </c>
      <c r="M317" s="48">
        <f>'Adani Enterprises'!M317</f>
        <v>0</v>
      </c>
      <c r="N317" s="48">
        <f>'Adani Enterprises'!N317</f>
        <v>0</v>
      </c>
      <c r="O317" s="48">
        <f>'Adani Enterprises'!O317</f>
        <v>0</v>
      </c>
      <c r="P317" s="48">
        <f>'Adani Enterprises'!P317</f>
        <v>0</v>
      </c>
      <c r="Q317" s="48">
        <f>'Adani Enterprises'!Q317</f>
        <v>0</v>
      </c>
      <c r="R317" s="48">
        <f>'Adani Enterprises'!R317</f>
        <v>0</v>
      </c>
      <c r="S317" s="48">
        <f>'Adani Enterprises'!S317</f>
        <v>0</v>
      </c>
      <c r="T317" s="48">
        <f>'Adani Enterprises'!T317</f>
        <v>0</v>
      </c>
      <c r="U317" s="48">
        <f>'Adani Enterprises'!U317</f>
        <v>0</v>
      </c>
      <c r="V317" s="48">
        <f>'Adani Enterprises'!V317</f>
        <v>0</v>
      </c>
      <c r="W317" s="48">
        <f>'Adani Enterprises'!W317</f>
        <v>0</v>
      </c>
      <c r="X317" s="48">
        <f>'Adani Enterprises'!X317</f>
        <v>0</v>
      </c>
      <c r="Y317" s="48">
        <f>'Adani Enterprises'!Y317</f>
        <v>0</v>
      </c>
      <c r="Z317" s="48">
        <f>'Adani Enterprises'!Z317</f>
        <v>0</v>
      </c>
      <c r="AA317" s="48">
        <f>'Adani Enterprises'!AA317</f>
        <v>0</v>
      </c>
      <c r="AB317" s="48">
        <f>'Adani Enterprises'!AB317</f>
        <v>0</v>
      </c>
      <c r="AC317" s="48">
        <f>'Adani Enterprises'!AC317</f>
        <v>0</v>
      </c>
      <c r="AD317" s="48">
        <f>'Adani Enterprises'!AD317</f>
        <v>0</v>
      </c>
      <c r="AE317" s="48">
        <f>'Adani Enterprises'!AE317</f>
        <v>0</v>
      </c>
      <c r="AF317" s="48">
        <f>'Adani Enterprises'!AF317</f>
        <v>0</v>
      </c>
      <c r="AG317" s="48">
        <f>'Adani Enterprises'!AG317</f>
        <v>0</v>
      </c>
      <c r="AH317" s="48">
        <f>'Adani Enterprises'!AH317</f>
        <v>0</v>
      </c>
      <c r="AI317" s="48">
        <f>'Adani Enterprises'!AI317</f>
        <v>0</v>
      </c>
      <c r="AJ317" s="48">
        <f>'Adani Enterprises'!AJ317</f>
        <v>0</v>
      </c>
      <c r="AK317" s="48">
        <f>'Adani Enterprises'!AK317</f>
        <v>0</v>
      </c>
      <c r="AL317" s="48">
        <f>'Adani Enterprises'!AL317</f>
        <v>0</v>
      </c>
    </row>
    <row r="318" customHeight="1" spans="1:38">
      <c r="A318" s="48">
        <f>'Adani Enterprises'!A318</f>
        <v>0</v>
      </c>
      <c r="B318" s="48">
        <f>'Adani Enterprises'!B318</f>
        <v>0</v>
      </c>
      <c r="C318" s="48">
        <f>'Adani Enterprises'!C318</f>
        <v>0</v>
      </c>
      <c r="D318" s="48">
        <f>'Adani Enterprises'!D318</f>
        <v>0</v>
      </c>
      <c r="E318" s="48">
        <f>'Adani Enterprises'!E318</f>
        <v>0</v>
      </c>
      <c r="F318" s="48">
        <f>'Adani Enterprises'!F318</f>
        <v>0</v>
      </c>
      <c r="G318" s="48">
        <f>'Adani Enterprises'!G318</f>
        <v>0</v>
      </c>
      <c r="H318" s="48">
        <f>'Adani Enterprises'!H318</f>
        <v>0</v>
      </c>
      <c r="I318" s="48">
        <f>'Adani Enterprises'!I318</f>
        <v>0</v>
      </c>
      <c r="J318" s="48">
        <f>'Adani Enterprises'!J318</f>
        <v>0</v>
      </c>
      <c r="K318" s="48">
        <f>'Adani Enterprises'!K318</f>
        <v>0</v>
      </c>
      <c r="L318" s="48">
        <f>'Adani Enterprises'!L318</f>
        <v>0</v>
      </c>
      <c r="M318" s="48">
        <f>'Adani Enterprises'!M318</f>
        <v>0</v>
      </c>
      <c r="N318" s="48">
        <f>'Adani Enterprises'!N318</f>
        <v>0</v>
      </c>
      <c r="O318" s="48">
        <f>'Adani Enterprises'!O318</f>
        <v>0</v>
      </c>
      <c r="P318" s="48">
        <f>'Adani Enterprises'!P318</f>
        <v>0</v>
      </c>
      <c r="Q318" s="48">
        <f>'Adani Enterprises'!Q318</f>
        <v>0</v>
      </c>
      <c r="R318" s="48">
        <f>'Adani Enterprises'!R318</f>
        <v>0</v>
      </c>
      <c r="S318" s="48">
        <f>'Adani Enterprises'!S318</f>
        <v>0</v>
      </c>
      <c r="T318" s="48">
        <f>'Adani Enterprises'!T318</f>
        <v>0</v>
      </c>
      <c r="U318" s="48">
        <f>'Adani Enterprises'!U318</f>
        <v>0</v>
      </c>
      <c r="V318" s="48">
        <f>'Adani Enterprises'!V318</f>
        <v>0</v>
      </c>
      <c r="W318" s="48">
        <f>'Adani Enterprises'!W318</f>
        <v>0</v>
      </c>
      <c r="X318" s="48">
        <f>'Adani Enterprises'!X318</f>
        <v>0</v>
      </c>
      <c r="Y318" s="48">
        <f>'Adani Enterprises'!Y318</f>
        <v>0</v>
      </c>
      <c r="Z318" s="48">
        <f>'Adani Enterprises'!Z318</f>
        <v>0</v>
      </c>
      <c r="AA318" s="48">
        <f>'Adani Enterprises'!AA318</f>
        <v>0</v>
      </c>
      <c r="AB318" s="48">
        <f>'Adani Enterprises'!AB318</f>
        <v>0</v>
      </c>
      <c r="AC318" s="48">
        <f>'Adani Enterprises'!AC318</f>
        <v>0</v>
      </c>
      <c r="AD318" s="48">
        <f>'Adani Enterprises'!AD318</f>
        <v>0</v>
      </c>
      <c r="AE318" s="48">
        <f>'Adani Enterprises'!AE318</f>
        <v>0</v>
      </c>
      <c r="AF318" s="48">
        <f>'Adani Enterprises'!AF318</f>
        <v>0</v>
      </c>
      <c r="AG318" s="48">
        <f>'Adani Enterprises'!AG318</f>
        <v>0</v>
      </c>
      <c r="AH318" s="48">
        <f>'Adani Enterprises'!AH318</f>
        <v>0</v>
      </c>
      <c r="AI318" s="48">
        <f>'Adani Enterprises'!AI318</f>
        <v>0</v>
      </c>
      <c r="AJ318" s="48">
        <f>'Adani Enterprises'!AJ318</f>
        <v>0</v>
      </c>
      <c r="AK318" s="48">
        <f>'Adani Enterprises'!AK318</f>
        <v>0</v>
      </c>
      <c r="AL318" s="48">
        <f>'Adani Enterprises'!AL318</f>
        <v>0</v>
      </c>
    </row>
    <row r="319" customHeight="1" spans="1:38">
      <c r="A319" s="48">
        <f>'Adani Enterprises'!A319</f>
        <v>0</v>
      </c>
      <c r="B319" s="48">
        <f>'Adani Enterprises'!B319</f>
        <v>0</v>
      </c>
      <c r="C319" s="48">
        <f>'Adani Enterprises'!C319</f>
        <v>0</v>
      </c>
      <c r="D319" s="48">
        <f>'Adani Enterprises'!D319</f>
        <v>0</v>
      </c>
      <c r="E319" s="48">
        <f>'Adani Enterprises'!E319</f>
        <v>0</v>
      </c>
      <c r="F319" s="48">
        <f>'Adani Enterprises'!F319</f>
        <v>0</v>
      </c>
      <c r="G319" s="48">
        <f>'Adani Enterprises'!G319</f>
        <v>0</v>
      </c>
      <c r="H319" s="48">
        <f>'Adani Enterprises'!H319</f>
        <v>0</v>
      </c>
      <c r="I319" s="48">
        <f>'Adani Enterprises'!I319</f>
        <v>0</v>
      </c>
      <c r="J319" s="48">
        <f>'Adani Enterprises'!J319</f>
        <v>0</v>
      </c>
      <c r="K319" s="48">
        <f>'Adani Enterprises'!K319</f>
        <v>0</v>
      </c>
      <c r="L319" s="48">
        <f>'Adani Enterprises'!L319</f>
        <v>0</v>
      </c>
      <c r="M319" s="48">
        <f>'Adani Enterprises'!M319</f>
        <v>0</v>
      </c>
      <c r="N319" s="48">
        <f>'Adani Enterprises'!N319</f>
        <v>0</v>
      </c>
      <c r="O319" s="48">
        <f>'Adani Enterprises'!O319</f>
        <v>0</v>
      </c>
      <c r="P319" s="48">
        <f>'Adani Enterprises'!P319</f>
        <v>0</v>
      </c>
      <c r="Q319" s="48">
        <f>'Adani Enterprises'!Q319</f>
        <v>0</v>
      </c>
      <c r="R319" s="48">
        <f>'Adani Enterprises'!R319</f>
        <v>0</v>
      </c>
      <c r="S319" s="48">
        <f>'Adani Enterprises'!S319</f>
        <v>0</v>
      </c>
      <c r="T319" s="48">
        <f>'Adani Enterprises'!T319</f>
        <v>0</v>
      </c>
      <c r="U319" s="48">
        <f>'Adani Enterprises'!U319</f>
        <v>0</v>
      </c>
      <c r="V319" s="48">
        <f>'Adani Enterprises'!V319</f>
        <v>0</v>
      </c>
      <c r="W319" s="48">
        <f>'Adani Enterprises'!W319</f>
        <v>0</v>
      </c>
      <c r="X319" s="48">
        <f>'Adani Enterprises'!X319</f>
        <v>0</v>
      </c>
      <c r="Y319" s="48">
        <f>'Adani Enterprises'!Y319</f>
        <v>0</v>
      </c>
      <c r="Z319" s="48">
        <f>'Adani Enterprises'!Z319</f>
        <v>0</v>
      </c>
      <c r="AA319" s="48">
        <f>'Adani Enterprises'!AA319</f>
        <v>0</v>
      </c>
      <c r="AB319" s="48">
        <f>'Adani Enterprises'!AB319</f>
        <v>0</v>
      </c>
      <c r="AC319" s="48">
        <f>'Adani Enterprises'!AC319</f>
        <v>0</v>
      </c>
      <c r="AD319" s="48">
        <f>'Adani Enterprises'!AD319</f>
        <v>0</v>
      </c>
      <c r="AE319" s="48">
        <f>'Adani Enterprises'!AE319</f>
        <v>0</v>
      </c>
      <c r="AF319" s="48">
        <f>'Adani Enterprises'!AF319</f>
        <v>0</v>
      </c>
      <c r="AG319" s="48">
        <f>'Adani Enterprises'!AG319</f>
        <v>0</v>
      </c>
      <c r="AH319" s="48">
        <f>'Adani Enterprises'!AH319</f>
        <v>0</v>
      </c>
      <c r="AI319" s="48">
        <f>'Adani Enterprises'!AI319</f>
        <v>0</v>
      </c>
      <c r="AJ319" s="48">
        <f>'Adani Enterprises'!AJ319</f>
        <v>0</v>
      </c>
      <c r="AK319" s="48">
        <f>'Adani Enterprises'!AK319</f>
        <v>0</v>
      </c>
      <c r="AL319" s="48">
        <f>'Adani Enterprises'!AL319</f>
        <v>0</v>
      </c>
    </row>
    <row r="320" customHeight="1" spans="1:38">
      <c r="A320" s="48">
        <f>'Adani Enterprises'!A320</f>
        <v>0</v>
      </c>
      <c r="B320" s="48">
        <f>'Adani Enterprises'!B320</f>
        <v>0</v>
      </c>
      <c r="C320" s="48">
        <f>'Adani Enterprises'!C320</f>
        <v>0</v>
      </c>
      <c r="D320" s="48">
        <f>'Adani Enterprises'!D320</f>
        <v>0</v>
      </c>
      <c r="E320" s="48">
        <f>'Adani Enterprises'!E320</f>
        <v>0</v>
      </c>
      <c r="F320" s="48">
        <f>'Adani Enterprises'!F320</f>
        <v>0</v>
      </c>
      <c r="G320" s="48">
        <f>'Adani Enterprises'!G320</f>
        <v>0</v>
      </c>
      <c r="H320" s="48">
        <f>'Adani Enterprises'!H320</f>
        <v>0</v>
      </c>
      <c r="I320" s="48">
        <f>'Adani Enterprises'!I320</f>
        <v>0</v>
      </c>
      <c r="J320" s="48">
        <f>'Adani Enterprises'!J320</f>
        <v>0</v>
      </c>
      <c r="K320" s="48">
        <f>'Adani Enterprises'!K320</f>
        <v>0</v>
      </c>
      <c r="L320" s="48">
        <f>'Adani Enterprises'!L320</f>
        <v>0</v>
      </c>
      <c r="M320" s="48">
        <f>'Adani Enterprises'!M320</f>
        <v>0</v>
      </c>
      <c r="N320" s="48">
        <f>'Adani Enterprises'!N320</f>
        <v>0</v>
      </c>
      <c r="O320" s="48">
        <f>'Adani Enterprises'!O320</f>
        <v>0</v>
      </c>
      <c r="P320" s="48">
        <f>'Adani Enterprises'!P320</f>
        <v>0</v>
      </c>
      <c r="Q320" s="48">
        <f>'Adani Enterprises'!Q320</f>
        <v>0</v>
      </c>
      <c r="R320" s="48">
        <f>'Adani Enterprises'!R320</f>
        <v>0</v>
      </c>
      <c r="S320" s="48">
        <f>'Adani Enterprises'!S320</f>
        <v>0</v>
      </c>
      <c r="T320" s="48">
        <f>'Adani Enterprises'!T320</f>
        <v>0</v>
      </c>
      <c r="U320" s="48">
        <f>'Adani Enterprises'!U320</f>
        <v>0</v>
      </c>
      <c r="V320" s="48">
        <f>'Adani Enterprises'!V320</f>
        <v>0</v>
      </c>
      <c r="W320" s="48">
        <f>'Adani Enterprises'!W320</f>
        <v>0</v>
      </c>
      <c r="X320" s="48">
        <f>'Adani Enterprises'!X320</f>
        <v>0</v>
      </c>
      <c r="Y320" s="48">
        <f>'Adani Enterprises'!Y320</f>
        <v>0</v>
      </c>
      <c r="Z320" s="48">
        <f>'Adani Enterprises'!Z320</f>
        <v>0</v>
      </c>
      <c r="AA320" s="48">
        <f>'Adani Enterprises'!AA320</f>
        <v>0</v>
      </c>
      <c r="AB320" s="48">
        <f>'Adani Enterprises'!AB320</f>
        <v>0</v>
      </c>
      <c r="AC320" s="48">
        <f>'Adani Enterprises'!AC320</f>
        <v>0</v>
      </c>
      <c r="AD320" s="48">
        <f>'Adani Enterprises'!AD320</f>
        <v>0</v>
      </c>
      <c r="AE320" s="48">
        <f>'Adani Enterprises'!AE320</f>
        <v>0</v>
      </c>
      <c r="AF320" s="48">
        <f>'Adani Enterprises'!AF320</f>
        <v>0</v>
      </c>
      <c r="AG320" s="48">
        <f>'Adani Enterprises'!AG320</f>
        <v>0</v>
      </c>
      <c r="AH320" s="48">
        <f>'Adani Enterprises'!AH320</f>
        <v>0</v>
      </c>
      <c r="AI320" s="48">
        <f>'Adani Enterprises'!AI320</f>
        <v>0</v>
      </c>
      <c r="AJ320" s="48">
        <f>'Adani Enterprises'!AJ320</f>
        <v>0</v>
      </c>
      <c r="AK320" s="48">
        <f>'Adani Enterprises'!AK320</f>
        <v>0</v>
      </c>
      <c r="AL320" s="48">
        <f>'Adani Enterprises'!AL320</f>
        <v>0</v>
      </c>
    </row>
    <row r="321" customHeight="1" spans="1:38">
      <c r="A321" s="48">
        <f>'Adani Enterprises'!A321</f>
        <v>0</v>
      </c>
      <c r="B321" s="48">
        <f>'Adani Enterprises'!B321</f>
        <v>0</v>
      </c>
      <c r="C321" s="48">
        <f>'Adani Enterprises'!C321</f>
        <v>0</v>
      </c>
      <c r="D321" s="48">
        <f>'Adani Enterprises'!D321</f>
        <v>0</v>
      </c>
      <c r="E321" s="48">
        <f>'Adani Enterprises'!E321</f>
        <v>0</v>
      </c>
      <c r="F321" s="48">
        <f>'Adani Enterprises'!F321</f>
        <v>0</v>
      </c>
      <c r="G321" s="48">
        <f>'Adani Enterprises'!G321</f>
        <v>0</v>
      </c>
      <c r="H321" s="48">
        <f>'Adani Enterprises'!H321</f>
        <v>0</v>
      </c>
      <c r="I321" s="48">
        <f>'Adani Enterprises'!I321</f>
        <v>0</v>
      </c>
      <c r="J321" s="48">
        <f>'Adani Enterprises'!J321</f>
        <v>0</v>
      </c>
      <c r="K321" s="48">
        <f>'Adani Enterprises'!K321</f>
        <v>0</v>
      </c>
      <c r="L321" s="48">
        <f>'Adani Enterprises'!L321</f>
        <v>0</v>
      </c>
      <c r="M321" s="48">
        <f>'Adani Enterprises'!M321</f>
        <v>0</v>
      </c>
      <c r="N321" s="48">
        <f>'Adani Enterprises'!N321</f>
        <v>0</v>
      </c>
      <c r="O321" s="48">
        <f>'Adani Enterprises'!O321</f>
        <v>0</v>
      </c>
      <c r="P321" s="48">
        <f>'Adani Enterprises'!P321</f>
        <v>0</v>
      </c>
      <c r="Q321" s="48">
        <f>'Adani Enterprises'!Q321</f>
        <v>0</v>
      </c>
      <c r="R321" s="48">
        <f>'Adani Enterprises'!R321</f>
        <v>0</v>
      </c>
      <c r="S321" s="48">
        <f>'Adani Enterprises'!S321</f>
        <v>0</v>
      </c>
      <c r="T321" s="48">
        <f>'Adani Enterprises'!T321</f>
        <v>0</v>
      </c>
      <c r="U321" s="48">
        <f>'Adani Enterprises'!U321</f>
        <v>0</v>
      </c>
      <c r="V321" s="48">
        <f>'Adani Enterprises'!V321</f>
        <v>0</v>
      </c>
      <c r="W321" s="48">
        <f>'Adani Enterprises'!W321</f>
        <v>0</v>
      </c>
      <c r="X321" s="48">
        <f>'Adani Enterprises'!X321</f>
        <v>0</v>
      </c>
      <c r="Y321" s="48">
        <f>'Adani Enterprises'!Y321</f>
        <v>0</v>
      </c>
      <c r="Z321" s="48">
        <f>'Adani Enterprises'!Z321</f>
        <v>0</v>
      </c>
      <c r="AA321" s="48">
        <f>'Adani Enterprises'!AA321</f>
        <v>0</v>
      </c>
      <c r="AB321" s="48">
        <f>'Adani Enterprises'!AB321</f>
        <v>0</v>
      </c>
      <c r="AC321" s="48">
        <f>'Adani Enterprises'!AC321</f>
        <v>0</v>
      </c>
      <c r="AD321" s="48">
        <f>'Adani Enterprises'!AD321</f>
        <v>0</v>
      </c>
      <c r="AE321" s="48">
        <f>'Adani Enterprises'!AE321</f>
        <v>0</v>
      </c>
      <c r="AF321" s="48">
        <f>'Adani Enterprises'!AF321</f>
        <v>0</v>
      </c>
      <c r="AG321" s="48">
        <f>'Adani Enterprises'!AG321</f>
        <v>0</v>
      </c>
      <c r="AH321" s="48">
        <f>'Adani Enterprises'!AH321</f>
        <v>0</v>
      </c>
      <c r="AI321" s="48">
        <f>'Adani Enterprises'!AI321</f>
        <v>0</v>
      </c>
      <c r="AJ321" s="48">
        <f>'Adani Enterprises'!AJ321</f>
        <v>0</v>
      </c>
      <c r="AK321" s="48">
        <f>'Adani Enterprises'!AK321</f>
        <v>0</v>
      </c>
      <c r="AL321" s="48">
        <f>'Adani Enterprises'!AL321</f>
        <v>0</v>
      </c>
    </row>
    <row r="322" customHeight="1" spans="1:38">
      <c r="A322" s="48">
        <f>'Adani Enterprises'!A322</f>
        <v>0</v>
      </c>
      <c r="B322" s="48">
        <f>'Adani Enterprises'!B322</f>
        <v>0</v>
      </c>
      <c r="C322" s="48">
        <f>'Adani Enterprises'!C322</f>
        <v>0</v>
      </c>
      <c r="D322" s="48">
        <f>'Adani Enterprises'!D322</f>
        <v>0</v>
      </c>
      <c r="E322" s="48">
        <f>'Adani Enterprises'!E322</f>
        <v>0</v>
      </c>
      <c r="F322" s="48">
        <f>'Adani Enterprises'!F322</f>
        <v>0</v>
      </c>
      <c r="G322" s="48">
        <f>'Adani Enterprises'!G322</f>
        <v>0</v>
      </c>
      <c r="H322" s="48">
        <f>'Adani Enterprises'!H322</f>
        <v>0</v>
      </c>
      <c r="I322" s="48">
        <f>'Adani Enterprises'!I322</f>
        <v>0</v>
      </c>
      <c r="J322" s="48">
        <f>'Adani Enterprises'!J322</f>
        <v>0</v>
      </c>
      <c r="K322" s="48">
        <f>'Adani Enterprises'!K322</f>
        <v>0</v>
      </c>
      <c r="L322" s="48">
        <f>'Adani Enterprises'!L322</f>
        <v>0</v>
      </c>
      <c r="M322" s="48">
        <f>'Adani Enterprises'!M322</f>
        <v>0</v>
      </c>
      <c r="N322" s="48">
        <f>'Adani Enterprises'!N322</f>
        <v>0</v>
      </c>
      <c r="O322" s="48">
        <f>'Adani Enterprises'!O322</f>
        <v>0</v>
      </c>
      <c r="P322" s="48">
        <f>'Adani Enterprises'!P322</f>
        <v>0</v>
      </c>
      <c r="Q322" s="48">
        <f>'Adani Enterprises'!Q322</f>
        <v>0</v>
      </c>
      <c r="R322" s="48">
        <f>'Adani Enterprises'!R322</f>
        <v>0</v>
      </c>
      <c r="S322" s="48">
        <f>'Adani Enterprises'!S322</f>
        <v>0</v>
      </c>
      <c r="T322" s="48">
        <f>'Adani Enterprises'!T322</f>
        <v>0</v>
      </c>
      <c r="U322" s="48">
        <f>'Adani Enterprises'!U322</f>
        <v>0</v>
      </c>
      <c r="V322" s="48">
        <f>'Adani Enterprises'!V322</f>
        <v>0</v>
      </c>
      <c r="W322" s="48">
        <f>'Adani Enterprises'!W322</f>
        <v>0</v>
      </c>
      <c r="X322" s="48">
        <f>'Adani Enterprises'!X322</f>
        <v>0</v>
      </c>
      <c r="Y322" s="48">
        <f>'Adani Enterprises'!Y322</f>
        <v>0</v>
      </c>
      <c r="Z322" s="48">
        <f>'Adani Enterprises'!Z322</f>
        <v>0</v>
      </c>
      <c r="AA322" s="48">
        <f>'Adani Enterprises'!AA322</f>
        <v>0</v>
      </c>
      <c r="AB322" s="48">
        <f>'Adani Enterprises'!AB322</f>
        <v>0</v>
      </c>
      <c r="AC322" s="48">
        <f>'Adani Enterprises'!AC322</f>
        <v>0</v>
      </c>
      <c r="AD322" s="48">
        <f>'Adani Enterprises'!AD322</f>
        <v>0</v>
      </c>
      <c r="AE322" s="48">
        <f>'Adani Enterprises'!AE322</f>
        <v>0</v>
      </c>
      <c r="AF322" s="48">
        <f>'Adani Enterprises'!AF322</f>
        <v>0</v>
      </c>
      <c r="AG322" s="48">
        <f>'Adani Enterprises'!AG322</f>
        <v>0</v>
      </c>
      <c r="AH322" s="48">
        <f>'Adani Enterprises'!AH322</f>
        <v>0</v>
      </c>
      <c r="AI322" s="48">
        <f>'Adani Enterprises'!AI322</f>
        <v>0</v>
      </c>
      <c r="AJ322" s="48">
        <f>'Adani Enterprises'!AJ322</f>
        <v>0</v>
      </c>
      <c r="AK322" s="48">
        <f>'Adani Enterprises'!AK322</f>
        <v>0</v>
      </c>
      <c r="AL322" s="48">
        <f>'Adani Enterprises'!AL322</f>
        <v>0</v>
      </c>
    </row>
    <row r="323" customHeight="1" spans="1:38">
      <c r="A323" s="48">
        <f>'Adani Enterprises'!A323</f>
        <v>0</v>
      </c>
      <c r="B323" s="48">
        <f>'Adani Enterprises'!B323</f>
        <v>0</v>
      </c>
      <c r="C323" s="48">
        <f>'Adani Enterprises'!C323</f>
        <v>0</v>
      </c>
      <c r="D323" s="48">
        <f>'Adani Enterprises'!D323</f>
        <v>0</v>
      </c>
      <c r="E323" s="48">
        <f>'Adani Enterprises'!E323</f>
        <v>0</v>
      </c>
      <c r="F323" s="48">
        <f>'Adani Enterprises'!F323</f>
        <v>0</v>
      </c>
      <c r="G323" s="48">
        <f>'Adani Enterprises'!G323</f>
        <v>0</v>
      </c>
      <c r="H323" s="48">
        <f>'Adani Enterprises'!H323</f>
        <v>0</v>
      </c>
      <c r="I323" s="48">
        <f>'Adani Enterprises'!I323</f>
        <v>0</v>
      </c>
      <c r="J323" s="48">
        <f>'Adani Enterprises'!J323</f>
        <v>0</v>
      </c>
      <c r="K323" s="48">
        <f>'Adani Enterprises'!K323</f>
        <v>0</v>
      </c>
      <c r="L323" s="48">
        <f>'Adani Enterprises'!L323</f>
        <v>0</v>
      </c>
      <c r="M323" s="48">
        <f>'Adani Enterprises'!M323</f>
        <v>0</v>
      </c>
      <c r="N323" s="48">
        <f>'Adani Enterprises'!N323</f>
        <v>0</v>
      </c>
      <c r="O323" s="48">
        <f>'Adani Enterprises'!O323</f>
        <v>0</v>
      </c>
      <c r="P323" s="48">
        <f>'Adani Enterprises'!P323</f>
        <v>0</v>
      </c>
      <c r="Q323" s="48">
        <f>'Adani Enterprises'!Q323</f>
        <v>0</v>
      </c>
      <c r="R323" s="48">
        <f>'Adani Enterprises'!R323</f>
        <v>0</v>
      </c>
      <c r="S323" s="48">
        <f>'Adani Enterprises'!S323</f>
        <v>0</v>
      </c>
      <c r="T323" s="48">
        <f>'Adani Enterprises'!T323</f>
        <v>0</v>
      </c>
      <c r="U323" s="48">
        <f>'Adani Enterprises'!U323</f>
        <v>0</v>
      </c>
      <c r="V323" s="48">
        <f>'Adani Enterprises'!V323</f>
        <v>0</v>
      </c>
      <c r="W323" s="48">
        <f>'Adani Enterprises'!W323</f>
        <v>0</v>
      </c>
      <c r="X323" s="48">
        <f>'Adani Enterprises'!X323</f>
        <v>0</v>
      </c>
      <c r="Y323" s="48">
        <f>'Adani Enterprises'!Y323</f>
        <v>0</v>
      </c>
      <c r="Z323" s="48">
        <f>'Adani Enterprises'!Z323</f>
        <v>0</v>
      </c>
      <c r="AA323" s="48">
        <f>'Adani Enterprises'!AA323</f>
        <v>0</v>
      </c>
      <c r="AB323" s="48">
        <f>'Adani Enterprises'!AB323</f>
        <v>0</v>
      </c>
      <c r="AC323" s="48">
        <f>'Adani Enterprises'!AC323</f>
        <v>0</v>
      </c>
      <c r="AD323" s="48">
        <f>'Adani Enterprises'!AD323</f>
        <v>0</v>
      </c>
      <c r="AE323" s="48">
        <f>'Adani Enterprises'!AE323</f>
        <v>0</v>
      </c>
      <c r="AF323" s="48">
        <f>'Adani Enterprises'!AF323</f>
        <v>0</v>
      </c>
      <c r="AG323" s="48">
        <f>'Adani Enterprises'!AG323</f>
        <v>0</v>
      </c>
      <c r="AH323" s="48">
        <f>'Adani Enterprises'!AH323</f>
        <v>0</v>
      </c>
      <c r="AI323" s="48">
        <f>'Adani Enterprises'!AI323</f>
        <v>0</v>
      </c>
      <c r="AJ323" s="48">
        <f>'Adani Enterprises'!AJ323</f>
        <v>0</v>
      </c>
      <c r="AK323" s="48">
        <f>'Adani Enterprises'!AK323</f>
        <v>0</v>
      </c>
      <c r="AL323" s="48">
        <f>'Adani Enterprises'!AL323</f>
        <v>0</v>
      </c>
    </row>
    <row r="324" customHeight="1" spans="1:38">
      <c r="A324" s="48">
        <f>'Adani Enterprises'!A324</f>
        <v>0</v>
      </c>
      <c r="B324" s="48">
        <f>'Adani Enterprises'!B324</f>
        <v>0</v>
      </c>
      <c r="C324" s="48">
        <f>'Adani Enterprises'!C324</f>
        <v>0</v>
      </c>
      <c r="D324" s="48">
        <f>'Adani Enterprises'!D324</f>
        <v>0</v>
      </c>
      <c r="E324" s="48">
        <f>'Adani Enterprises'!E324</f>
        <v>0</v>
      </c>
      <c r="F324" s="48">
        <f>'Adani Enterprises'!F324</f>
        <v>0</v>
      </c>
      <c r="G324" s="48">
        <f>'Adani Enterprises'!G324</f>
        <v>0</v>
      </c>
      <c r="H324" s="48">
        <f>'Adani Enterprises'!H324</f>
        <v>0</v>
      </c>
      <c r="I324" s="48">
        <f>'Adani Enterprises'!I324</f>
        <v>0</v>
      </c>
      <c r="J324" s="48">
        <f>'Adani Enterprises'!J324</f>
        <v>0</v>
      </c>
      <c r="K324" s="48">
        <f>'Adani Enterprises'!K324</f>
        <v>0</v>
      </c>
      <c r="L324" s="48">
        <f>'Adani Enterprises'!L324</f>
        <v>0</v>
      </c>
      <c r="M324" s="48">
        <f>'Adani Enterprises'!M324</f>
        <v>0</v>
      </c>
      <c r="N324" s="48">
        <f>'Adani Enterprises'!N324</f>
        <v>0</v>
      </c>
      <c r="O324" s="48">
        <f>'Adani Enterprises'!O324</f>
        <v>0</v>
      </c>
      <c r="P324" s="48">
        <f>'Adani Enterprises'!P324</f>
        <v>0</v>
      </c>
      <c r="Q324" s="48">
        <f>'Adani Enterprises'!Q324</f>
        <v>0</v>
      </c>
      <c r="R324" s="48">
        <f>'Adani Enterprises'!R324</f>
        <v>0</v>
      </c>
      <c r="S324" s="48">
        <f>'Adani Enterprises'!S324</f>
        <v>0</v>
      </c>
      <c r="T324" s="48">
        <f>'Adani Enterprises'!T324</f>
        <v>0</v>
      </c>
      <c r="U324" s="48">
        <f>'Adani Enterprises'!U324</f>
        <v>0</v>
      </c>
      <c r="V324" s="48">
        <f>'Adani Enterprises'!V324</f>
        <v>0</v>
      </c>
      <c r="W324" s="48">
        <f>'Adani Enterprises'!W324</f>
        <v>0</v>
      </c>
      <c r="X324" s="48">
        <f>'Adani Enterprises'!X324</f>
        <v>0</v>
      </c>
      <c r="Y324" s="48">
        <f>'Adani Enterprises'!Y324</f>
        <v>0</v>
      </c>
      <c r="Z324" s="48">
        <f>'Adani Enterprises'!Z324</f>
        <v>0</v>
      </c>
      <c r="AA324" s="48">
        <f>'Adani Enterprises'!AA324</f>
        <v>0</v>
      </c>
      <c r="AB324" s="48">
        <f>'Adani Enterprises'!AB324</f>
        <v>0</v>
      </c>
      <c r="AC324" s="48">
        <f>'Adani Enterprises'!AC324</f>
        <v>0</v>
      </c>
      <c r="AD324" s="48">
        <f>'Adani Enterprises'!AD324</f>
        <v>0</v>
      </c>
      <c r="AE324" s="48">
        <f>'Adani Enterprises'!AE324</f>
        <v>0</v>
      </c>
      <c r="AF324" s="48">
        <f>'Adani Enterprises'!AF324</f>
        <v>0</v>
      </c>
      <c r="AG324" s="48">
        <f>'Adani Enterprises'!AG324</f>
        <v>0</v>
      </c>
      <c r="AH324" s="48">
        <f>'Adani Enterprises'!AH324</f>
        <v>0</v>
      </c>
      <c r="AI324" s="48">
        <f>'Adani Enterprises'!AI324</f>
        <v>0</v>
      </c>
      <c r="AJ324" s="48">
        <f>'Adani Enterprises'!AJ324</f>
        <v>0</v>
      </c>
      <c r="AK324" s="48">
        <f>'Adani Enterprises'!AK324</f>
        <v>0</v>
      </c>
      <c r="AL324" s="48">
        <f>'Adani Enterprises'!AL324</f>
        <v>0</v>
      </c>
    </row>
    <row r="325" customHeight="1" spans="1:38">
      <c r="A325" s="48">
        <f>'Adani Enterprises'!A325</f>
        <v>0</v>
      </c>
      <c r="B325" s="48">
        <f>'Adani Enterprises'!B325</f>
        <v>0</v>
      </c>
      <c r="C325" s="48">
        <f>'Adani Enterprises'!C325</f>
        <v>0</v>
      </c>
      <c r="D325" s="48">
        <f>'Adani Enterprises'!D325</f>
        <v>0</v>
      </c>
      <c r="E325" s="48">
        <f>'Adani Enterprises'!E325</f>
        <v>0</v>
      </c>
      <c r="F325" s="48">
        <f>'Adani Enterprises'!F325</f>
        <v>0</v>
      </c>
      <c r="G325" s="48">
        <f>'Adani Enterprises'!G325</f>
        <v>0</v>
      </c>
      <c r="H325" s="48">
        <f>'Adani Enterprises'!H325</f>
        <v>0</v>
      </c>
      <c r="I325" s="48">
        <f>'Adani Enterprises'!I325</f>
        <v>0</v>
      </c>
      <c r="J325" s="48">
        <f>'Adani Enterprises'!J325</f>
        <v>0</v>
      </c>
      <c r="K325" s="48">
        <f>'Adani Enterprises'!K325</f>
        <v>0</v>
      </c>
      <c r="L325" s="48">
        <f>'Adani Enterprises'!L325</f>
        <v>0</v>
      </c>
      <c r="M325" s="48">
        <f>'Adani Enterprises'!M325</f>
        <v>0</v>
      </c>
      <c r="N325" s="48">
        <f>'Adani Enterprises'!N325</f>
        <v>0</v>
      </c>
      <c r="O325" s="48">
        <f>'Adani Enterprises'!O325</f>
        <v>0</v>
      </c>
      <c r="P325" s="48">
        <f>'Adani Enterprises'!P325</f>
        <v>0</v>
      </c>
      <c r="Q325" s="48">
        <f>'Adani Enterprises'!Q325</f>
        <v>0</v>
      </c>
      <c r="R325" s="48">
        <f>'Adani Enterprises'!R325</f>
        <v>0</v>
      </c>
      <c r="S325" s="48">
        <f>'Adani Enterprises'!S325</f>
        <v>0</v>
      </c>
      <c r="T325" s="48">
        <f>'Adani Enterprises'!T325</f>
        <v>0</v>
      </c>
      <c r="U325" s="48">
        <f>'Adani Enterprises'!U325</f>
        <v>0</v>
      </c>
      <c r="V325" s="48">
        <f>'Adani Enterprises'!V325</f>
        <v>0</v>
      </c>
      <c r="W325" s="48">
        <f>'Adani Enterprises'!W325</f>
        <v>0</v>
      </c>
      <c r="X325" s="48">
        <f>'Adani Enterprises'!X325</f>
        <v>0</v>
      </c>
      <c r="Y325" s="48">
        <f>'Adani Enterprises'!Y325</f>
        <v>0</v>
      </c>
      <c r="Z325" s="48">
        <f>'Adani Enterprises'!Z325</f>
        <v>0</v>
      </c>
      <c r="AA325" s="48">
        <f>'Adani Enterprises'!AA325</f>
        <v>0</v>
      </c>
      <c r="AB325" s="48">
        <f>'Adani Enterprises'!AB325</f>
        <v>0</v>
      </c>
      <c r="AC325" s="48">
        <f>'Adani Enterprises'!AC325</f>
        <v>0</v>
      </c>
      <c r="AD325" s="48">
        <f>'Adani Enterprises'!AD325</f>
        <v>0</v>
      </c>
      <c r="AE325" s="48">
        <f>'Adani Enterprises'!AE325</f>
        <v>0</v>
      </c>
      <c r="AF325" s="48">
        <f>'Adani Enterprises'!AF325</f>
        <v>0</v>
      </c>
      <c r="AG325" s="48">
        <f>'Adani Enterprises'!AG325</f>
        <v>0</v>
      </c>
      <c r="AH325" s="48">
        <f>'Adani Enterprises'!AH325</f>
        <v>0</v>
      </c>
      <c r="AI325" s="48">
        <f>'Adani Enterprises'!AI325</f>
        <v>0</v>
      </c>
      <c r="AJ325" s="48">
        <f>'Adani Enterprises'!AJ325</f>
        <v>0</v>
      </c>
      <c r="AK325" s="48">
        <f>'Adani Enterprises'!AK325</f>
        <v>0</v>
      </c>
      <c r="AL325" s="48">
        <f>'Adani Enterprises'!AL325</f>
        <v>0</v>
      </c>
    </row>
    <row r="326" customHeight="1" spans="1:38">
      <c r="A326" s="48">
        <f>'Adani Enterprises'!A326</f>
        <v>0</v>
      </c>
      <c r="B326" s="48">
        <f>'Adani Enterprises'!B326</f>
        <v>0</v>
      </c>
      <c r="C326" s="48">
        <f>'Adani Enterprises'!C326</f>
        <v>0</v>
      </c>
      <c r="D326" s="48">
        <f>'Adani Enterprises'!D326</f>
        <v>0</v>
      </c>
      <c r="E326" s="48">
        <f>'Adani Enterprises'!E326</f>
        <v>0</v>
      </c>
      <c r="F326" s="48">
        <f>'Adani Enterprises'!F326</f>
        <v>0</v>
      </c>
      <c r="G326" s="48">
        <f>'Adani Enterprises'!G326</f>
        <v>0</v>
      </c>
      <c r="H326" s="48">
        <f>'Adani Enterprises'!H326</f>
        <v>0</v>
      </c>
      <c r="I326" s="48">
        <f>'Adani Enterprises'!I326</f>
        <v>0</v>
      </c>
      <c r="J326" s="48">
        <f>'Adani Enterprises'!J326</f>
        <v>0</v>
      </c>
      <c r="K326" s="48">
        <f>'Adani Enterprises'!K326</f>
        <v>0</v>
      </c>
      <c r="L326" s="48">
        <f>'Adani Enterprises'!L326</f>
        <v>0</v>
      </c>
      <c r="M326" s="48">
        <f>'Adani Enterprises'!M326</f>
        <v>0</v>
      </c>
      <c r="N326" s="48">
        <f>'Adani Enterprises'!N326</f>
        <v>0</v>
      </c>
      <c r="O326" s="48">
        <f>'Adani Enterprises'!O326</f>
        <v>0</v>
      </c>
      <c r="P326" s="48">
        <f>'Adani Enterprises'!P326</f>
        <v>0</v>
      </c>
      <c r="Q326" s="48">
        <f>'Adani Enterprises'!Q326</f>
        <v>0</v>
      </c>
      <c r="R326" s="48">
        <f>'Adani Enterprises'!R326</f>
        <v>0</v>
      </c>
      <c r="S326" s="48">
        <f>'Adani Enterprises'!S326</f>
        <v>0</v>
      </c>
      <c r="T326" s="48">
        <f>'Adani Enterprises'!T326</f>
        <v>0</v>
      </c>
      <c r="U326" s="48">
        <f>'Adani Enterprises'!U326</f>
        <v>0</v>
      </c>
      <c r="V326" s="48">
        <f>'Adani Enterprises'!V326</f>
        <v>0</v>
      </c>
      <c r="W326" s="48">
        <f>'Adani Enterprises'!W326</f>
        <v>0</v>
      </c>
      <c r="X326" s="48">
        <f>'Adani Enterprises'!X326</f>
        <v>0</v>
      </c>
      <c r="Y326" s="48">
        <f>'Adani Enterprises'!Y326</f>
        <v>0</v>
      </c>
      <c r="Z326" s="48">
        <f>'Adani Enterprises'!Z326</f>
        <v>0</v>
      </c>
      <c r="AA326" s="48">
        <f>'Adani Enterprises'!AA326</f>
        <v>0</v>
      </c>
      <c r="AB326" s="48">
        <f>'Adani Enterprises'!AB326</f>
        <v>0</v>
      </c>
      <c r="AC326" s="48">
        <f>'Adani Enterprises'!AC326</f>
        <v>0</v>
      </c>
      <c r="AD326" s="48">
        <f>'Adani Enterprises'!AD326</f>
        <v>0</v>
      </c>
      <c r="AE326" s="48">
        <f>'Adani Enterprises'!AE326</f>
        <v>0</v>
      </c>
      <c r="AF326" s="48">
        <f>'Adani Enterprises'!AF326</f>
        <v>0</v>
      </c>
      <c r="AG326" s="48">
        <f>'Adani Enterprises'!AG326</f>
        <v>0</v>
      </c>
      <c r="AH326" s="48">
        <f>'Adani Enterprises'!AH326</f>
        <v>0</v>
      </c>
      <c r="AI326" s="48">
        <f>'Adani Enterprises'!AI326</f>
        <v>0</v>
      </c>
      <c r="AJ326" s="48">
        <f>'Adani Enterprises'!AJ326</f>
        <v>0</v>
      </c>
      <c r="AK326" s="48">
        <f>'Adani Enterprises'!AK326</f>
        <v>0</v>
      </c>
      <c r="AL326" s="48">
        <f>'Adani Enterprises'!AL326</f>
        <v>0</v>
      </c>
    </row>
    <row r="327" customHeight="1" spans="1:38">
      <c r="A327" s="48">
        <f>'Adani Enterprises'!A327</f>
        <v>0</v>
      </c>
      <c r="B327" s="48">
        <f>'Adani Enterprises'!B327</f>
        <v>0</v>
      </c>
      <c r="C327" s="48">
        <f>'Adani Enterprises'!C327</f>
        <v>0</v>
      </c>
      <c r="D327" s="48">
        <f>'Adani Enterprises'!D327</f>
        <v>0</v>
      </c>
      <c r="E327" s="48">
        <f>'Adani Enterprises'!E327</f>
        <v>0</v>
      </c>
      <c r="F327" s="48">
        <f>'Adani Enterprises'!F327</f>
        <v>0</v>
      </c>
      <c r="G327" s="48">
        <f>'Adani Enterprises'!G327</f>
        <v>0</v>
      </c>
      <c r="H327" s="48">
        <f>'Adani Enterprises'!H327</f>
        <v>0</v>
      </c>
      <c r="I327" s="48">
        <f>'Adani Enterprises'!I327</f>
        <v>0</v>
      </c>
      <c r="J327" s="48">
        <f>'Adani Enterprises'!J327</f>
        <v>0</v>
      </c>
      <c r="K327" s="48">
        <f>'Adani Enterprises'!K327</f>
        <v>0</v>
      </c>
      <c r="L327" s="48">
        <f>'Adani Enterprises'!L327</f>
        <v>0</v>
      </c>
      <c r="M327" s="48">
        <f>'Adani Enterprises'!M327</f>
        <v>0</v>
      </c>
      <c r="N327" s="48">
        <f>'Adani Enterprises'!N327</f>
        <v>0</v>
      </c>
      <c r="O327" s="48">
        <f>'Adani Enterprises'!O327</f>
        <v>0</v>
      </c>
      <c r="P327" s="48">
        <f>'Adani Enterprises'!P327</f>
        <v>0</v>
      </c>
      <c r="Q327" s="48">
        <f>'Adani Enterprises'!Q327</f>
        <v>0</v>
      </c>
      <c r="R327" s="48">
        <f>'Adani Enterprises'!R327</f>
        <v>0</v>
      </c>
      <c r="S327" s="48">
        <f>'Adani Enterprises'!S327</f>
        <v>0</v>
      </c>
      <c r="T327" s="48">
        <f>'Adani Enterprises'!T327</f>
        <v>0</v>
      </c>
      <c r="U327" s="48">
        <f>'Adani Enterprises'!U327</f>
        <v>0</v>
      </c>
      <c r="V327" s="48">
        <f>'Adani Enterprises'!V327</f>
        <v>0</v>
      </c>
      <c r="W327" s="48">
        <f>'Adani Enterprises'!W327</f>
        <v>0</v>
      </c>
      <c r="X327" s="48">
        <f>'Adani Enterprises'!X327</f>
        <v>0</v>
      </c>
      <c r="Y327" s="48">
        <f>'Adani Enterprises'!Y327</f>
        <v>0</v>
      </c>
      <c r="Z327" s="48">
        <f>'Adani Enterprises'!Z327</f>
        <v>0</v>
      </c>
      <c r="AA327" s="48">
        <f>'Adani Enterprises'!AA327</f>
        <v>0</v>
      </c>
      <c r="AB327" s="48">
        <f>'Adani Enterprises'!AB327</f>
        <v>0</v>
      </c>
      <c r="AC327" s="48">
        <f>'Adani Enterprises'!AC327</f>
        <v>0</v>
      </c>
      <c r="AD327" s="48">
        <f>'Adani Enterprises'!AD327</f>
        <v>0</v>
      </c>
      <c r="AE327" s="48">
        <f>'Adani Enterprises'!AE327</f>
        <v>0</v>
      </c>
      <c r="AF327" s="48">
        <f>'Adani Enterprises'!AF327</f>
        <v>0</v>
      </c>
      <c r="AG327" s="48">
        <f>'Adani Enterprises'!AG327</f>
        <v>0</v>
      </c>
      <c r="AH327" s="48">
        <f>'Adani Enterprises'!AH327</f>
        <v>0</v>
      </c>
      <c r="AI327" s="48">
        <f>'Adani Enterprises'!AI327</f>
        <v>0</v>
      </c>
      <c r="AJ327" s="48">
        <f>'Adani Enterprises'!AJ327</f>
        <v>0</v>
      </c>
      <c r="AK327" s="48">
        <f>'Adani Enterprises'!AK327</f>
        <v>0</v>
      </c>
      <c r="AL327" s="48">
        <f>'Adani Enterprises'!AL327</f>
        <v>0</v>
      </c>
    </row>
    <row r="328" customHeight="1" spans="1:38">
      <c r="A328" s="48">
        <f>'Adani Enterprises'!A328</f>
        <v>0</v>
      </c>
      <c r="B328" s="48">
        <f>'Adani Enterprises'!B328</f>
        <v>0</v>
      </c>
      <c r="C328" s="48">
        <f>'Adani Enterprises'!C328</f>
        <v>0</v>
      </c>
      <c r="D328" s="48">
        <f>'Adani Enterprises'!D328</f>
        <v>0</v>
      </c>
      <c r="E328" s="48">
        <f>'Adani Enterprises'!E328</f>
        <v>0</v>
      </c>
      <c r="F328" s="48">
        <f>'Adani Enterprises'!F328</f>
        <v>0</v>
      </c>
      <c r="G328" s="48">
        <f>'Adani Enterprises'!G328</f>
        <v>0</v>
      </c>
      <c r="H328" s="48">
        <f>'Adani Enterprises'!H328</f>
        <v>0</v>
      </c>
      <c r="I328" s="48">
        <f>'Adani Enterprises'!I328</f>
        <v>0</v>
      </c>
      <c r="J328" s="48">
        <f>'Adani Enterprises'!J328</f>
        <v>0</v>
      </c>
      <c r="K328" s="48">
        <f>'Adani Enterprises'!K328</f>
        <v>0</v>
      </c>
      <c r="L328" s="48">
        <f>'Adani Enterprises'!L328</f>
        <v>0</v>
      </c>
      <c r="M328" s="48">
        <f>'Adani Enterprises'!M328</f>
        <v>0</v>
      </c>
      <c r="N328" s="48">
        <f>'Adani Enterprises'!N328</f>
        <v>0</v>
      </c>
      <c r="O328" s="48">
        <f>'Adani Enterprises'!O328</f>
        <v>0</v>
      </c>
      <c r="P328" s="48">
        <f>'Adani Enterprises'!P328</f>
        <v>0</v>
      </c>
      <c r="Q328" s="48">
        <f>'Adani Enterprises'!Q328</f>
        <v>0</v>
      </c>
      <c r="R328" s="48">
        <f>'Adani Enterprises'!R328</f>
        <v>0</v>
      </c>
      <c r="S328" s="48">
        <f>'Adani Enterprises'!S328</f>
        <v>0</v>
      </c>
      <c r="T328" s="48">
        <f>'Adani Enterprises'!T328</f>
        <v>0</v>
      </c>
      <c r="U328" s="48">
        <f>'Adani Enterprises'!U328</f>
        <v>0</v>
      </c>
      <c r="V328" s="48">
        <f>'Adani Enterprises'!V328</f>
        <v>0</v>
      </c>
      <c r="W328" s="48">
        <f>'Adani Enterprises'!W328</f>
        <v>0</v>
      </c>
      <c r="X328" s="48">
        <f>'Adani Enterprises'!X328</f>
        <v>0</v>
      </c>
      <c r="Y328" s="48">
        <f>'Adani Enterprises'!Y328</f>
        <v>0</v>
      </c>
      <c r="Z328" s="48">
        <f>'Adani Enterprises'!Z328</f>
        <v>0</v>
      </c>
      <c r="AA328" s="48">
        <f>'Adani Enterprises'!AA328</f>
        <v>0</v>
      </c>
      <c r="AB328" s="48">
        <f>'Adani Enterprises'!AB328</f>
        <v>0</v>
      </c>
      <c r="AC328" s="48">
        <f>'Adani Enterprises'!AC328</f>
        <v>0</v>
      </c>
      <c r="AD328" s="48">
        <f>'Adani Enterprises'!AD328</f>
        <v>0</v>
      </c>
      <c r="AE328" s="48">
        <f>'Adani Enterprises'!AE328</f>
        <v>0</v>
      </c>
      <c r="AF328" s="48">
        <f>'Adani Enterprises'!AF328</f>
        <v>0</v>
      </c>
      <c r="AG328" s="48">
        <f>'Adani Enterprises'!AG328</f>
        <v>0</v>
      </c>
      <c r="AH328" s="48">
        <f>'Adani Enterprises'!AH328</f>
        <v>0</v>
      </c>
      <c r="AI328" s="48">
        <f>'Adani Enterprises'!AI328</f>
        <v>0</v>
      </c>
      <c r="AJ328" s="48">
        <f>'Adani Enterprises'!AJ328</f>
        <v>0</v>
      </c>
      <c r="AK328" s="48">
        <f>'Adani Enterprises'!AK328</f>
        <v>0</v>
      </c>
      <c r="AL328" s="48">
        <f>'Adani Enterprises'!AL328</f>
        <v>0</v>
      </c>
    </row>
    <row r="329" customHeight="1" spans="1:38">
      <c r="A329" s="48">
        <f>'Adani Enterprises'!A329</f>
        <v>0</v>
      </c>
      <c r="B329" s="48">
        <f>'Adani Enterprises'!B329</f>
        <v>0</v>
      </c>
      <c r="C329" s="48">
        <f>'Adani Enterprises'!C329</f>
        <v>0</v>
      </c>
      <c r="D329" s="48">
        <f>'Adani Enterprises'!D329</f>
        <v>0</v>
      </c>
      <c r="E329" s="48">
        <f>'Adani Enterprises'!E329</f>
        <v>0</v>
      </c>
      <c r="F329" s="48">
        <f>'Adani Enterprises'!F329</f>
        <v>0</v>
      </c>
      <c r="G329" s="48">
        <f>'Adani Enterprises'!G329</f>
        <v>0</v>
      </c>
      <c r="H329" s="48">
        <f>'Adani Enterprises'!H329</f>
        <v>0</v>
      </c>
      <c r="I329" s="48">
        <f>'Adani Enterprises'!I329</f>
        <v>0</v>
      </c>
      <c r="J329" s="48">
        <f>'Adani Enterprises'!J329</f>
        <v>0</v>
      </c>
      <c r="K329" s="48">
        <f>'Adani Enterprises'!K329</f>
        <v>0</v>
      </c>
      <c r="L329" s="48">
        <f>'Adani Enterprises'!L329</f>
        <v>0</v>
      </c>
      <c r="M329" s="48">
        <f>'Adani Enterprises'!M329</f>
        <v>0</v>
      </c>
      <c r="N329" s="48">
        <f>'Adani Enterprises'!N329</f>
        <v>0</v>
      </c>
      <c r="O329" s="48">
        <f>'Adani Enterprises'!O329</f>
        <v>0</v>
      </c>
      <c r="P329" s="48">
        <f>'Adani Enterprises'!P329</f>
        <v>0</v>
      </c>
      <c r="Q329" s="48">
        <f>'Adani Enterprises'!Q329</f>
        <v>0</v>
      </c>
      <c r="R329" s="48">
        <f>'Adani Enterprises'!R329</f>
        <v>0</v>
      </c>
      <c r="S329" s="48">
        <f>'Adani Enterprises'!S329</f>
        <v>0</v>
      </c>
      <c r="T329" s="48">
        <f>'Adani Enterprises'!T329</f>
        <v>0</v>
      </c>
      <c r="U329" s="48">
        <f>'Adani Enterprises'!U329</f>
        <v>0</v>
      </c>
      <c r="V329" s="48">
        <f>'Adani Enterprises'!V329</f>
        <v>0</v>
      </c>
      <c r="W329" s="48">
        <f>'Adani Enterprises'!W329</f>
        <v>0</v>
      </c>
      <c r="X329" s="48">
        <f>'Adani Enterprises'!X329</f>
        <v>0</v>
      </c>
      <c r="Y329" s="48">
        <f>'Adani Enterprises'!Y329</f>
        <v>0</v>
      </c>
      <c r="Z329" s="48">
        <f>'Adani Enterprises'!Z329</f>
        <v>0</v>
      </c>
      <c r="AA329" s="48">
        <f>'Adani Enterprises'!AA329</f>
        <v>0</v>
      </c>
      <c r="AB329" s="48">
        <f>'Adani Enterprises'!AB329</f>
        <v>0</v>
      </c>
      <c r="AC329" s="48">
        <f>'Adani Enterprises'!AC329</f>
        <v>0</v>
      </c>
      <c r="AD329" s="48">
        <f>'Adani Enterprises'!AD329</f>
        <v>0</v>
      </c>
      <c r="AE329" s="48">
        <f>'Adani Enterprises'!AE329</f>
        <v>0</v>
      </c>
      <c r="AF329" s="48">
        <f>'Adani Enterprises'!AF329</f>
        <v>0</v>
      </c>
      <c r="AG329" s="48">
        <f>'Adani Enterprises'!AG329</f>
        <v>0</v>
      </c>
      <c r="AH329" s="48">
        <f>'Adani Enterprises'!AH329</f>
        <v>0</v>
      </c>
      <c r="AI329" s="48">
        <f>'Adani Enterprises'!AI329</f>
        <v>0</v>
      </c>
      <c r="AJ329" s="48">
        <f>'Adani Enterprises'!AJ329</f>
        <v>0</v>
      </c>
      <c r="AK329" s="48">
        <f>'Adani Enterprises'!AK329</f>
        <v>0</v>
      </c>
      <c r="AL329" s="48">
        <f>'Adani Enterprises'!AL329</f>
        <v>0</v>
      </c>
    </row>
    <row r="330" customHeight="1" spans="1:38">
      <c r="A330" s="48">
        <f>'Adani Enterprises'!A330</f>
        <v>0</v>
      </c>
      <c r="B330" s="48">
        <f>'Adani Enterprises'!B330</f>
        <v>0</v>
      </c>
      <c r="C330" s="48">
        <f>'Adani Enterprises'!C330</f>
        <v>0</v>
      </c>
      <c r="D330" s="48">
        <f>'Adani Enterprises'!D330</f>
        <v>0</v>
      </c>
      <c r="E330" s="48">
        <f>'Adani Enterprises'!E330</f>
        <v>0</v>
      </c>
      <c r="F330" s="48">
        <f>'Adani Enterprises'!F330</f>
        <v>0</v>
      </c>
      <c r="G330" s="48">
        <f>'Adani Enterprises'!G330</f>
        <v>0</v>
      </c>
      <c r="H330" s="48">
        <f>'Adani Enterprises'!H330</f>
        <v>0</v>
      </c>
      <c r="I330" s="48">
        <f>'Adani Enterprises'!I330</f>
        <v>0</v>
      </c>
      <c r="J330" s="48">
        <f>'Adani Enterprises'!J330</f>
        <v>0</v>
      </c>
      <c r="K330" s="48">
        <f>'Adani Enterprises'!K330</f>
        <v>0</v>
      </c>
      <c r="L330" s="48">
        <f>'Adani Enterprises'!L330</f>
        <v>0</v>
      </c>
      <c r="M330" s="48">
        <f>'Adani Enterprises'!M330</f>
        <v>0</v>
      </c>
      <c r="N330" s="48">
        <f>'Adani Enterprises'!N330</f>
        <v>0</v>
      </c>
      <c r="O330" s="48">
        <f>'Adani Enterprises'!O330</f>
        <v>0</v>
      </c>
      <c r="P330" s="48">
        <f>'Adani Enterprises'!P330</f>
        <v>0</v>
      </c>
      <c r="Q330" s="48">
        <f>'Adani Enterprises'!Q330</f>
        <v>0</v>
      </c>
      <c r="R330" s="48">
        <f>'Adani Enterprises'!R330</f>
        <v>0</v>
      </c>
      <c r="S330" s="48">
        <f>'Adani Enterprises'!S330</f>
        <v>0</v>
      </c>
      <c r="T330" s="48">
        <f>'Adani Enterprises'!T330</f>
        <v>0</v>
      </c>
      <c r="U330" s="48">
        <f>'Adani Enterprises'!U330</f>
        <v>0</v>
      </c>
      <c r="V330" s="48">
        <f>'Adani Enterprises'!V330</f>
        <v>0</v>
      </c>
      <c r="W330" s="48">
        <f>'Adani Enterprises'!W330</f>
        <v>0</v>
      </c>
      <c r="X330" s="48">
        <f>'Adani Enterprises'!X330</f>
        <v>0</v>
      </c>
      <c r="Y330" s="48">
        <f>'Adani Enterprises'!Y330</f>
        <v>0</v>
      </c>
      <c r="Z330" s="48">
        <f>'Adani Enterprises'!Z330</f>
        <v>0</v>
      </c>
      <c r="AA330" s="48">
        <f>'Adani Enterprises'!AA330</f>
        <v>0</v>
      </c>
      <c r="AB330" s="48">
        <f>'Adani Enterprises'!AB330</f>
        <v>0</v>
      </c>
      <c r="AC330" s="48">
        <f>'Adani Enterprises'!AC330</f>
        <v>0</v>
      </c>
      <c r="AD330" s="48">
        <f>'Adani Enterprises'!AD330</f>
        <v>0</v>
      </c>
      <c r="AE330" s="48">
        <f>'Adani Enterprises'!AE330</f>
        <v>0</v>
      </c>
      <c r="AF330" s="48">
        <f>'Adani Enterprises'!AF330</f>
        <v>0</v>
      </c>
      <c r="AG330" s="48">
        <f>'Adani Enterprises'!AG330</f>
        <v>0</v>
      </c>
      <c r="AH330" s="48">
        <f>'Adani Enterprises'!AH330</f>
        <v>0</v>
      </c>
      <c r="AI330" s="48">
        <f>'Adani Enterprises'!AI330</f>
        <v>0</v>
      </c>
      <c r="AJ330" s="48">
        <f>'Adani Enterprises'!AJ330</f>
        <v>0</v>
      </c>
      <c r="AK330" s="48">
        <f>'Adani Enterprises'!AK330</f>
        <v>0</v>
      </c>
      <c r="AL330" s="48">
        <f>'Adani Enterprises'!AL330</f>
        <v>0</v>
      </c>
    </row>
    <row r="331" customHeight="1" spans="1:38">
      <c r="A331" s="48">
        <f>'Adani Enterprises'!A331</f>
        <v>0</v>
      </c>
      <c r="B331" s="48">
        <f>'Adani Enterprises'!B331</f>
        <v>0</v>
      </c>
      <c r="C331" s="48">
        <f>'Adani Enterprises'!C331</f>
        <v>0</v>
      </c>
      <c r="D331" s="48">
        <f>'Adani Enterprises'!D331</f>
        <v>0</v>
      </c>
      <c r="E331" s="48">
        <f>'Adani Enterprises'!E331</f>
        <v>0</v>
      </c>
      <c r="F331" s="48">
        <f>'Adani Enterprises'!F331</f>
        <v>0</v>
      </c>
      <c r="G331" s="48">
        <f>'Adani Enterprises'!G331</f>
        <v>0</v>
      </c>
      <c r="H331" s="48">
        <f>'Adani Enterprises'!H331</f>
        <v>0</v>
      </c>
      <c r="I331" s="48">
        <f>'Adani Enterprises'!I331</f>
        <v>0</v>
      </c>
      <c r="J331" s="48">
        <f>'Adani Enterprises'!J331</f>
        <v>0</v>
      </c>
      <c r="K331" s="48">
        <f>'Adani Enterprises'!K331</f>
        <v>0</v>
      </c>
      <c r="L331" s="48">
        <f>'Adani Enterprises'!L331</f>
        <v>0</v>
      </c>
      <c r="M331" s="48">
        <f>'Adani Enterprises'!M331</f>
        <v>0</v>
      </c>
      <c r="N331" s="48">
        <f>'Adani Enterprises'!N331</f>
        <v>0</v>
      </c>
      <c r="O331" s="48">
        <f>'Adani Enterprises'!O331</f>
        <v>0</v>
      </c>
      <c r="P331" s="48">
        <f>'Adani Enterprises'!P331</f>
        <v>0</v>
      </c>
      <c r="Q331" s="48">
        <f>'Adani Enterprises'!Q331</f>
        <v>0</v>
      </c>
      <c r="R331" s="48">
        <f>'Adani Enterprises'!R331</f>
        <v>0</v>
      </c>
      <c r="S331" s="48">
        <f>'Adani Enterprises'!S331</f>
        <v>0</v>
      </c>
      <c r="T331" s="48">
        <f>'Adani Enterprises'!T331</f>
        <v>0</v>
      </c>
      <c r="U331" s="48">
        <f>'Adani Enterprises'!U331</f>
        <v>0</v>
      </c>
      <c r="V331" s="48">
        <f>'Adani Enterprises'!V331</f>
        <v>0</v>
      </c>
      <c r="W331" s="48">
        <f>'Adani Enterprises'!W331</f>
        <v>0</v>
      </c>
      <c r="X331" s="48">
        <f>'Adani Enterprises'!X331</f>
        <v>0</v>
      </c>
      <c r="Y331" s="48">
        <f>'Adani Enterprises'!Y331</f>
        <v>0</v>
      </c>
      <c r="Z331" s="48">
        <f>'Adani Enterprises'!Z331</f>
        <v>0</v>
      </c>
      <c r="AA331" s="48">
        <f>'Adani Enterprises'!AA331</f>
        <v>0</v>
      </c>
      <c r="AB331" s="48">
        <f>'Adani Enterprises'!AB331</f>
        <v>0</v>
      </c>
      <c r="AC331" s="48">
        <f>'Adani Enterprises'!AC331</f>
        <v>0</v>
      </c>
      <c r="AD331" s="48">
        <f>'Adani Enterprises'!AD331</f>
        <v>0</v>
      </c>
      <c r="AE331" s="48">
        <f>'Adani Enterprises'!AE331</f>
        <v>0</v>
      </c>
      <c r="AF331" s="48">
        <f>'Adani Enterprises'!AF331</f>
        <v>0</v>
      </c>
      <c r="AG331" s="48">
        <f>'Adani Enterprises'!AG331</f>
        <v>0</v>
      </c>
      <c r="AH331" s="48">
        <f>'Adani Enterprises'!AH331</f>
        <v>0</v>
      </c>
      <c r="AI331" s="48">
        <f>'Adani Enterprises'!AI331</f>
        <v>0</v>
      </c>
      <c r="AJ331" s="48">
        <f>'Adani Enterprises'!AJ331</f>
        <v>0</v>
      </c>
      <c r="AK331" s="48">
        <f>'Adani Enterprises'!AK331</f>
        <v>0</v>
      </c>
      <c r="AL331" s="48">
        <f>'Adani Enterprises'!AL331</f>
        <v>0</v>
      </c>
    </row>
    <row r="332" customHeight="1" spans="1:38">
      <c r="A332" s="48">
        <f>'Adani Enterprises'!A332</f>
        <v>0</v>
      </c>
      <c r="B332" s="48">
        <f>'Adani Enterprises'!B332</f>
        <v>0</v>
      </c>
      <c r="C332" s="48">
        <f>'Adani Enterprises'!C332</f>
        <v>0</v>
      </c>
      <c r="D332" s="48">
        <f>'Adani Enterprises'!D332</f>
        <v>0</v>
      </c>
      <c r="E332" s="48">
        <f>'Adani Enterprises'!E332</f>
        <v>0</v>
      </c>
      <c r="F332" s="48">
        <f>'Adani Enterprises'!F332</f>
        <v>0</v>
      </c>
      <c r="G332" s="48">
        <f>'Adani Enterprises'!G332</f>
        <v>0</v>
      </c>
      <c r="H332" s="48">
        <f>'Adani Enterprises'!H332</f>
        <v>0</v>
      </c>
      <c r="I332" s="48">
        <f>'Adani Enterprises'!I332</f>
        <v>0</v>
      </c>
      <c r="J332" s="48">
        <f>'Adani Enterprises'!J332</f>
        <v>0</v>
      </c>
      <c r="K332" s="48">
        <f>'Adani Enterprises'!K332</f>
        <v>0</v>
      </c>
      <c r="L332" s="48">
        <f>'Adani Enterprises'!L332</f>
        <v>0</v>
      </c>
      <c r="M332" s="48">
        <f>'Adani Enterprises'!M332</f>
        <v>0</v>
      </c>
      <c r="N332" s="48">
        <f>'Adani Enterprises'!N332</f>
        <v>0</v>
      </c>
      <c r="O332" s="48">
        <f>'Adani Enterprises'!O332</f>
        <v>0</v>
      </c>
      <c r="P332" s="48">
        <f>'Adani Enterprises'!P332</f>
        <v>0</v>
      </c>
      <c r="Q332" s="48">
        <f>'Adani Enterprises'!Q332</f>
        <v>0</v>
      </c>
      <c r="R332" s="48">
        <f>'Adani Enterprises'!R332</f>
        <v>0</v>
      </c>
      <c r="S332" s="48">
        <f>'Adani Enterprises'!S332</f>
        <v>0</v>
      </c>
      <c r="T332" s="48">
        <f>'Adani Enterprises'!T332</f>
        <v>0</v>
      </c>
      <c r="U332" s="48">
        <f>'Adani Enterprises'!U332</f>
        <v>0</v>
      </c>
      <c r="V332" s="48">
        <f>'Adani Enterprises'!V332</f>
        <v>0</v>
      </c>
      <c r="W332" s="48">
        <f>'Adani Enterprises'!W332</f>
        <v>0</v>
      </c>
      <c r="X332" s="48">
        <f>'Adani Enterprises'!X332</f>
        <v>0</v>
      </c>
      <c r="Y332" s="48">
        <f>'Adani Enterprises'!Y332</f>
        <v>0</v>
      </c>
      <c r="Z332" s="48">
        <f>'Adani Enterprises'!Z332</f>
        <v>0</v>
      </c>
      <c r="AA332" s="48">
        <f>'Adani Enterprises'!AA332</f>
        <v>0</v>
      </c>
      <c r="AB332" s="48">
        <f>'Adani Enterprises'!AB332</f>
        <v>0</v>
      </c>
      <c r="AC332" s="48">
        <f>'Adani Enterprises'!AC332</f>
        <v>0</v>
      </c>
      <c r="AD332" s="48">
        <f>'Adani Enterprises'!AD332</f>
        <v>0</v>
      </c>
      <c r="AE332" s="48">
        <f>'Adani Enterprises'!AE332</f>
        <v>0</v>
      </c>
      <c r="AF332" s="48">
        <f>'Adani Enterprises'!AF332</f>
        <v>0</v>
      </c>
      <c r="AG332" s="48">
        <f>'Adani Enterprises'!AG332</f>
        <v>0</v>
      </c>
      <c r="AH332" s="48">
        <f>'Adani Enterprises'!AH332</f>
        <v>0</v>
      </c>
      <c r="AI332" s="48">
        <f>'Adani Enterprises'!AI332</f>
        <v>0</v>
      </c>
      <c r="AJ332" s="48">
        <f>'Adani Enterprises'!AJ332</f>
        <v>0</v>
      </c>
      <c r="AK332" s="48">
        <f>'Adani Enterprises'!AK332</f>
        <v>0</v>
      </c>
      <c r="AL332" s="48">
        <f>'Adani Enterprises'!AL332</f>
        <v>0</v>
      </c>
    </row>
    <row r="333" customHeight="1" spans="1:38">
      <c r="A333" s="48">
        <f>'Adani Enterprises'!A333</f>
        <v>0</v>
      </c>
      <c r="B333" s="48">
        <f>'Adani Enterprises'!B333</f>
        <v>0</v>
      </c>
      <c r="C333" s="48">
        <f>'Adani Enterprises'!C333</f>
        <v>0</v>
      </c>
      <c r="D333" s="48">
        <f>'Adani Enterprises'!D333</f>
        <v>0</v>
      </c>
      <c r="E333" s="48">
        <f>'Adani Enterprises'!E333</f>
        <v>0</v>
      </c>
      <c r="F333" s="48">
        <f>'Adani Enterprises'!F333</f>
        <v>0</v>
      </c>
      <c r="G333" s="48">
        <f>'Adani Enterprises'!G333</f>
        <v>0</v>
      </c>
      <c r="H333" s="48">
        <f>'Adani Enterprises'!H333</f>
        <v>0</v>
      </c>
      <c r="I333" s="48">
        <f>'Adani Enterprises'!I333</f>
        <v>0</v>
      </c>
      <c r="J333" s="48">
        <f>'Adani Enterprises'!J333</f>
        <v>0</v>
      </c>
      <c r="K333" s="48">
        <f>'Adani Enterprises'!K333</f>
        <v>0</v>
      </c>
      <c r="L333" s="48">
        <f>'Adani Enterprises'!L333</f>
        <v>0</v>
      </c>
      <c r="M333" s="48">
        <f>'Adani Enterprises'!M333</f>
        <v>0</v>
      </c>
      <c r="N333" s="48">
        <f>'Adani Enterprises'!N333</f>
        <v>0</v>
      </c>
      <c r="O333" s="48">
        <f>'Adani Enterprises'!O333</f>
        <v>0</v>
      </c>
      <c r="P333" s="48">
        <f>'Adani Enterprises'!P333</f>
        <v>0</v>
      </c>
      <c r="Q333" s="48">
        <f>'Adani Enterprises'!Q333</f>
        <v>0</v>
      </c>
      <c r="R333" s="48">
        <f>'Adani Enterprises'!R333</f>
        <v>0</v>
      </c>
      <c r="S333" s="48">
        <f>'Adani Enterprises'!S333</f>
        <v>0</v>
      </c>
      <c r="T333" s="48">
        <f>'Adani Enterprises'!T333</f>
        <v>0</v>
      </c>
      <c r="U333" s="48">
        <f>'Adani Enterprises'!U333</f>
        <v>0</v>
      </c>
      <c r="V333" s="48">
        <f>'Adani Enterprises'!V333</f>
        <v>0</v>
      </c>
      <c r="W333" s="48">
        <f>'Adani Enterprises'!W333</f>
        <v>0</v>
      </c>
      <c r="X333" s="48">
        <f>'Adani Enterprises'!X333</f>
        <v>0</v>
      </c>
      <c r="Y333" s="48">
        <f>'Adani Enterprises'!Y333</f>
        <v>0</v>
      </c>
      <c r="Z333" s="48">
        <f>'Adani Enterprises'!Z333</f>
        <v>0</v>
      </c>
      <c r="AA333" s="48">
        <f>'Adani Enterprises'!AA333</f>
        <v>0</v>
      </c>
      <c r="AB333" s="48">
        <f>'Adani Enterprises'!AB333</f>
        <v>0</v>
      </c>
      <c r="AC333" s="48">
        <f>'Adani Enterprises'!AC333</f>
        <v>0</v>
      </c>
      <c r="AD333" s="48">
        <f>'Adani Enterprises'!AD333</f>
        <v>0</v>
      </c>
      <c r="AE333" s="48">
        <f>'Adani Enterprises'!AE333</f>
        <v>0</v>
      </c>
      <c r="AF333" s="48">
        <f>'Adani Enterprises'!AF333</f>
        <v>0</v>
      </c>
      <c r="AG333" s="48">
        <f>'Adani Enterprises'!AG333</f>
        <v>0</v>
      </c>
      <c r="AH333" s="48">
        <f>'Adani Enterprises'!AH333</f>
        <v>0</v>
      </c>
      <c r="AI333" s="48">
        <f>'Adani Enterprises'!AI333</f>
        <v>0</v>
      </c>
      <c r="AJ333" s="48">
        <f>'Adani Enterprises'!AJ333</f>
        <v>0</v>
      </c>
      <c r="AK333" s="48">
        <f>'Adani Enterprises'!AK333</f>
        <v>0</v>
      </c>
      <c r="AL333" s="48">
        <f>'Adani Enterprises'!AL333</f>
        <v>0</v>
      </c>
    </row>
    <row r="334" customHeight="1" spans="1:38">
      <c r="A334" s="48">
        <f>'Adani Enterprises'!A334</f>
        <v>0</v>
      </c>
      <c r="B334" s="48">
        <f>'Adani Enterprises'!B334</f>
        <v>0</v>
      </c>
      <c r="C334" s="48">
        <f>'Adani Enterprises'!C334</f>
        <v>0</v>
      </c>
      <c r="D334" s="48">
        <f>'Adani Enterprises'!D334</f>
        <v>0</v>
      </c>
      <c r="E334" s="48">
        <f>'Adani Enterprises'!E334</f>
        <v>0</v>
      </c>
      <c r="F334" s="48">
        <f>'Adani Enterprises'!F334</f>
        <v>0</v>
      </c>
      <c r="G334" s="48">
        <f>'Adani Enterprises'!G334</f>
        <v>0</v>
      </c>
      <c r="H334" s="48">
        <f>'Adani Enterprises'!H334</f>
        <v>0</v>
      </c>
      <c r="I334" s="48">
        <f>'Adani Enterprises'!I334</f>
        <v>0</v>
      </c>
      <c r="J334" s="48">
        <f>'Adani Enterprises'!J334</f>
        <v>0</v>
      </c>
      <c r="K334" s="48">
        <f>'Adani Enterprises'!K334</f>
        <v>0</v>
      </c>
      <c r="L334" s="48">
        <f>'Adani Enterprises'!L334</f>
        <v>0</v>
      </c>
      <c r="M334" s="48">
        <f>'Adani Enterprises'!M334</f>
        <v>0</v>
      </c>
      <c r="N334" s="48">
        <f>'Adani Enterprises'!N334</f>
        <v>0</v>
      </c>
      <c r="O334" s="48">
        <f>'Adani Enterprises'!O334</f>
        <v>0</v>
      </c>
      <c r="P334" s="48">
        <f>'Adani Enterprises'!P334</f>
        <v>0</v>
      </c>
      <c r="Q334" s="48">
        <f>'Adani Enterprises'!Q334</f>
        <v>0</v>
      </c>
      <c r="R334" s="48">
        <f>'Adani Enterprises'!R334</f>
        <v>0</v>
      </c>
      <c r="S334" s="48">
        <f>'Adani Enterprises'!S334</f>
        <v>0</v>
      </c>
      <c r="T334" s="48">
        <f>'Adani Enterprises'!T334</f>
        <v>0</v>
      </c>
      <c r="U334" s="48">
        <f>'Adani Enterprises'!U334</f>
        <v>0</v>
      </c>
      <c r="V334" s="48">
        <f>'Adani Enterprises'!V334</f>
        <v>0</v>
      </c>
      <c r="W334" s="48">
        <f>'Adani Enterprises'!W334</f>
        <v>0</v>
      </c>
      <c r="X334" s="48">
        <f>'Adani Enterprises'!X334</f>
        <v>0</v>
      </c>
      <c r="Y334" s="48">
        <f>'Adani Enterprises'!Y334</f>
        <v>0</v>
      </c>
      <c r="Z334" s="48">
        <f>'Adani Enterprises'!Z334</f>
        <v>0</v>
      </c>
      <c r="AA334" s="48">
        <f>'Adani Enterprises'!AA334</f>
        <v>0</v>
      </c>
      <c r="AB334" s="48">
        <f>'Adani Enterprises'!AB334</f>
        <v>0</v>
      </c>
      <c r="AC334" s="48">
        <f>'Adani Enterprises'!AC334</f>
        <v>0</v>
      </c>
      <c r="AD334" s="48">
        <f>'Adani Enterprises'!AD334</f>
        <v>0</v>
      </c>
      <c r="AE334" s="48">
        <f>'Adani Enterprises'!AE334</f>
        <v>0</v>
      </c>
      <c r="AF334" s="48">
        <f>'Adani Enterprises'!AF334</f>
        <v>0</v>
      </c>
      <c r="AG334" s="48">
        <f>'Adani Enterprises'!AG334</f>
        <v>0</v>
      </c>
      <c r="AH334" s="48">
        <f>'Adani Enterprises'!AH334</f>
        <v>0</v>
      </c>
      <c r="AI334" s="48">
        <f>'Adani Enterprises'!AI334</f>
        <v>0</v>
      </c>
      <c r="AJ334" s="48">
        <f>'Adani Enterprises'!AJ334</f>
        <v>0</v>
      </c>
      <c r="AK334" s="48">
        <f>'Adani Enterprises'!AK334</f>
        <v>0</v>
      </c>
      <c r="AL334" s="48">
        <f>'Adani Enterprises'!AL334</f>
        <v>0</v>
      </c>
    </row>
    <row r="335" customHeight="1" spans="1:38">
      <c r="A335" s="48">
        <f>'Adani Enterprises'!A335</f>
        <v>0</v>
      </c>
      <c r="B335" s="48">
        <f>'Adani Enterprises'!B335</f>
        <v>0</v>
      </c>
      <c r="C335" s="48">
        <f>'Adani Enterprises'!C335</f>
        <v>0</v>
      </c>
      <c r="D335" s="48">
        <f>'Adani Enterprises'!D335</f>
        <v>0</v>
      </c>
      <c r="E335" s="48">
        <f>'Adani Enterprises'!E335</f>
        <v>0</v>
      </c>
      <c r="F335" s="48">
        <f>'Adani Enterprises'!F335</f>
        <v>0</v>
      </c>
      <c r="G335" s="48">
        <f>'Adani Enterprises'!G335</f>
        <v>0</v>
      </c>
      <c r="H335" s="48">
        <f>'Adani Enterprises'!H335</f>
        <v>0</v>
      </c>
      <c r="I335" s="48">
        <f>'Adani Enterprises'!I335</f>
        <v>0</v>
      </c>
      <c r="J335" s="48">
        <f>'Adani Enterprises'!J335</f>
        <v>0</v>
      </c>
      <c r="K335" s="48">
        <f>'Adani Enterprises'!K335</f>
        <v>0</v>
      </c>
      <c r="L335" s="48">
        <f>'Adani Enterprises'!L335</f>
        <v>0</v>
      </c>
      <c r="M335" s="48">
        <f>'Adani Enterprises'!M335</f>
        <v>0</v>
      </c>
      <c r="N335" s="48">
        <f>'Adani Enterprises'!N335</f>
        <v>0</v>
      </c>
      <c r="O335" s="48">
        <f>'Adani Enterprises'!O335</f>
        <v>0</v>
      </c>
      <c r="P335" s="48">
        <f>'Adani Enterprises'!P335</f>
        <v>0</v>
      </c>
      <c r="Q335" s="48">
        <f>'Adani Enterprises'!Q335</f>
        <v>0</v>
      </c>
      <c r="R335" s="48">
        <f>'Adani Enterprises'!R335</f>
        <v>0</v>
      </c>
      <c r="S335" s="48">
        <f>'Adani Enterprises'!S335</f>
        <v>0</v>
      </c>
      <c r="T335" s="48">
        <f>'Adani Enterprises'!T335</f>
        <v>0</v>
      </c>
      <c r="U335" s="48">
        <f>'Adani Enterprises'!U335</f>
        <v>0</v>
      </c>
      <c r="V335" s="48">
        <f>'Adani Enterprises'!V335</f>
        <v>0</v>
      </c>
      <c r="W335" s="48">
        <f>'Adani Enterprises'!W335</f>
        <v>0</v>
      </c>
      <c r="X335" s="48">
        <f>'Adani Enterprises'!X335</f>
        <v>0</v>
      </c>
      <c r="Y335" s="48">
        <f>'Adani Enterprises'!Y335</f>
        <v>0</v>
      </c>
      <c r="Z335" s="48">
        <f>'Adani Enterprises'!Z335</f>
        <v>0</v>
      </c>
      <c r="AA335" s="48">
        <f>'Adani Enterprises'!AA335</f>
        <v>0</v>
      </c>
      <c r="AB335" s="48">
        <f>'Adani Enterprises'!AB335</f>
        <v>0</v>
      </c>
      <c r="AC335" s="48">
        <f>'Adani Enterprises'!AC335</f>
        <v>0</v>
      </c>
      <c r="AD335" s="48">
        <f>'Adani Enterprises'!AD335</f>
        <v>0</v>
      </c>
      <c r="AE335" s="48">
        <f>'Adani Enterprises'!AE335</f>
        <v>0</v>
      </c>
      <c r="AF335" s="48">
        <f>'Adani Enterprises'!AF335</f>
        <v>0</v>
      </c>
      <c r="AG335" s="48">
        <f>'Adani Enterprises'!AG335</f>
        <v>0</v>
      </c>
      <c r="AH335" s="48">
        <f>'Adani Enterprises'!AH335</f>
        <v>0</v>
      </c>
      <c r="AI335" s="48">
        <f>'Adani Enterprises'!AI335</f>
        <v>0</v>
      </c>
      <c r="AJ335" s="48">
        <f>'Adani Enterprises'!AJ335</f>
        <v>0</v>
      </c>
      <c r="AK335" s="48">
        <f>'Adani Enterprises'!AK335</f>
        <v>0</v>
      </c>
      <c r="AL335" s="48">
        <f>'Adani Enterprises'!AL335</f>
        <v>0</v>
      </c>
    </row>
    <row r="336" customHeight="1" spans="1:38">
      <c r="A336" s="48">
        <f>'Adani Enterprises'!A336</f>
        <v>0</v>
      </c>
      <c r="B336" s="48">
        <f>'Adani Enterprises'!B336</f>
        <v>0</v>
      </c>
      <c r="C336" s="48">
        <f>'Adani Enterprises'!C336</f>
        <v>0</v>
      </c>
      <c r="D336" s="48">
        <f>'Adani Enterprises'!D336</f>
        <v>0</v>
      </c>
      <c r="E336" s="48">
        <f>'Adani Enterprises'!E336</f>
        <v>0</v>
      </c>
      <c r="F336" s="48">
        <f>'Adani Enterprises'!F336</f>
        <v>0</v>
      </c>
      <c r="G336" s="48">
        <f>'Adani Enterprises'!G336</f>
        <v>0</v>
      </c>
      <c r="H336" s="48">
        <f>'Adani Enterprises'!H336</f>
        <v>0</v>
      </c>
      <c r="I336" s="48">
        <f>'Adani Enterprises'!I336</f>
        <v>0</v>
      </c>
      <c r="J336" s="48">
        <f>'Adani Enterprises'!J336</f>
        <v>0</v>
      </c>
      <c r="K336" s="48">
        <f>'Adani Enterprises'!K336</f>
        <v>0</v>
      </c>
      <c r="L336" s="48">
        <f>'Adani Enterprises'!L336</f>
        <v>0</v>
      </c>
      <c r="M336" s="48">
        <f>'Adani Enterprises'!M336</f>
        <v>0</v>
      </c>
      <c r="N336" s="48">
        <f>'Adani Enterprises'!N336</f>
        <v>0</v>
      </c>
      <c r="O336" s="48">
        <f>'Adani Enterprises'!O336</f>
        <v>0</v>
      </c>
      <c r="P336" s="48">
        <f>'Adani Enterprises'!P336</f>
        <v>0</v>
      </c>
      <c r="Q336" s="48">
        <f>'Adani Enterprises'!Q336</f>
        <v>0</v>
      </c>
      <c r="R336" s="48">
        <f>'Adani Enterprises'!R336</f>
        <v>0</v>
      </c>
      <c r="S336" s="48">
        <f>'Adani Enterprises'!S336</f>
        <v>0</v>
      </c>
      <c r="T336" s="48">
        <f>'Adani Enterprises'!T336</f>
        <v>0</v>
      </c>
      <c r="U336" s="48">
        <f>'Adani Enterprises'!U336</f>
        <v>0</v>
      </c>
      <c r="V336" s="48">
        <f>'Adani Enterprises'!V336</f>
        <v>0</v>
      </c>
      <c r="W336" s="48">
        <f>'Adani Enterprises'!W336</f>
        <v>0</v>
      </c>
      <c r="X336" s="48">
        <f>'Adani Enterprises'!X336</f>
        <v>0</v>
      </c>
      <c r="Y336" s="48">
        <f>'Adani Enterprises'!Y336</f>
        <v>0</v>
      </c>
      <c r="Z336" s="48">
        <f>'Adani Enterprises'!Z336</f>
        <v>0</v>
      </c>
      <c r="AA336" s="48">
        <f>'Adani Enterprises'!AA336</f>
        <v>0</v>
      </c>
      <c r="AB336" s="48">
        <f>'Adani Enterprises'!AB336</f>
        <v>0</v>
      </c>
      <c r="AC336" s="48">
        <f>'Adani Enterprises'!AC336</f>
        <v>0</v>
      </c>
      <c r="AD336" s="48">
        <f>'Adani Enterprises'!AD336</f>
        <v>0</v>
      </c>
      <c r="AE336" s="48">
        <f>'Adani Enterprises'!AE336</f>
        <v>0</v>
      </c>
      <c r="AF336" s="48">
        <f>'Adani Enterprises'!AF336</f>
        <v>0</v>
      </c>
      <c r="AG336" s="48">
        <f>'Adani Enterprises'!AG336</f>
        <v>0</v>
      </c>
      <c r="AH336" s="48">
        <f>'Adani Enterprises'!AH336</f>
        <v>0</v>
      </c>
      <c r="AI336" s="48">
        <f>'Adani Enterprises'!AI336</f>
        <v>0</v>
      </c>
      <c r="AJ336" s="48">
        <f>'Adani Enterprises'!AJ336</f>
        <v>0</v>
      </c>
      <c r="AK336" s="48">
        <f>'Adani Enterprises'!AK336</f>
        <v>0</v>
      </c>
      <c r="AL336" s="48">
        <f>'Adani Enterprises'!AL336</f>
        <v>0</v>
      </c>
    </row>
    <row r="337" customHeight="1" spans="1:38">
      <c r="A337" s="48">
        <f>'Adani Enterprises'!A337</f>
        <v>0</v>
      </c>
      <c r="B337" s="48">
        <f>'Adani Enterprises'!B337</f>
        <v>0</v>
      </c>
      <c r="C337" s="48">
        <f>'Adani Enterprises'!C337</f>
        <v>0</v>
      </c>
      <c r="D337" s="48">
        <f>'Adani Enterprises'!D337</f>
        <v>0</v>
      </c>
      <c r="E337" s="48">
        <f>'Adani Enterprises'!E337</f>
        <v>0</v>
      </c>
      <c r="F337" s="48">
        <f>'Adani Enterprises'!F337</f>
        <v>0</v>
      </c>
      <c r="G337" s="48">
        <f>'Adani Enterprises'!G337</f>
        <v>0</v>
      </c>
      <c r="H337" s="48">
        <f>'Adani Enterprises'!H337</f>
        <v>0</v>
      </c>
      <c r="I337" s="48">
        <f>'Adani Enterprises'!I337</f>
        <v>0</v>
      </c>
      <c r="J337" s="48">
        <f>'Adani Enterprises'!J337</f>
        <v>0</v>
      </c>
      <c r="K337" s="48">
        <f>'Adani Enterprises'!K337</f>
        <v>0</v>
      </c>
      <c r="L337" s="48">
        <f>'Adani Enterprises'!L337</f>
        <v>0</v>
      </c>
      <c r="M337" s="48">
        <f>'Adani Enterprises'!M337</f>
        <v>0</v>
      </c>
      <c r="N337" s="48">
        <f>'Adani Enterprises'!N337</f>
        <v>0</v>
      </c>
      <c r="O337" s="48">
        <f>'Adani Enterprises'!O337</f>
        <v>0</v>
      </c>
      <c r="P337" s="48">
        <f>'Adani Enterprises'!P337</f>
        <v>0</v>
      </c>
      <c r="Q337" s="48">
        <f>'Adani Enterprises'!Q337</f>
        <v>0</v>
      </c>
      <c r="R337" s="48">
        <f>'Adani Enterprises'!R337</f>
        <v>0</v>
      </c>
      <c r="S337" s="48">
        <f>'Adani Enterprises'!S337</f>
        <v>0</v>
      </c>
      <c r="T337" s="48">
        <f>'Adani Enterprises'!T337</f>
        <v>0</v>
      </c>
      <c r="U337" s="48">
        <f>'Adani Enterprises'!U337</f>
        <v>0</v>
      </c>
      <c r="V337" s="48">
        <f>'Adani Enterprises'!V337</f>
        <v>0</v>
      </c>
      <c r="W337" s="48">
        <f>'Adani Enterprises'!W337</f>
        <v>0</v>
      </c>
      <c r="X337" s="48">
        <f>'Adani Enterprises'!X337</f>
        <v>0</v>
      </c>
      <c r="Y337" s="48">
        <f>'Adani Enterprises'!Y337</f>
        <v>0</v>
      </c>
      <c r="Z337" s="48">
        <f>'Adani Enterprises'!Z337</f>
        <v>0</v>
      </c>
      <c r="AA337" s="48">
        <f>'Adani Enterprises'!AA337</f>
        <v>0</v>
      </c>
      <c r="AB337" s="48">
        <f>'Adani Enterprises'!AB337</f>
        <v>0</v>
      </c>
      <c r="AC337" s="48">
        <f>'Adani Enterprises'!AC337</f>
        <v>0</v>
      </c>
      <c r="AD337" s="48">
        <f>'Adani Enterprises'!AD337</f>
        <v>0</v>
      </c>
      <c r="AE337" s="48">
        <f>'Adani Enterprises'!AE337</f>
        <v>0</v>
      </c>
      <c r="AF337" s="48">
        <f>'Adani Enterprises'!AF337</f>
        <v>0</v>
      </c>
      <c r="AG337" s="48">
        <f>'Adani Enterprises'!AG337</f>
        <v>0</v>
      </c>
      <c r="AH337" s="48">
        <f>'Adani Enterprises'!AH337</f>
        <v>0</v>
      </c>
      <c r="AI337" s="48">
        <f>'Adani Enterprises'!AI337</f>
        <v>0</v>
      </c>
      <c r="AJ337" s="48">
        <f>'Adani Enterprises'!AJ337</f>
        <v>0</v>
      </c>
      <c r="AK337" s="48">
        <f>'Adani Enterprises'!AK337</f>
        <v>0</v>
      </c>
      <c r="AL337" s="48">
        <f>'Adani Enterprises'!AL337</f>
        <v>0</v>
      </c>
    </row>
    <row r="338" customHeight="1" spans="1:38">
      <c r="A338" s="48">
        <f>'Adani Enterprises'!A338</f>
        <v>0</v>
      </c>
      <c r="B338" s="48">
        <f>'Adani Enterprises'!B338</f>
        <v>0</v>
      </c>
      <c r="C338" s="48">
        <f>'Adani Enterprises'!C338</f>
        <v>0</v>
      </c>
      <c r="D338" s="48">
        <f>'Adani Enterprises'!D338</f>
        <v>0</v>
      </c>
      <c r="E338" s="48">
        <f>'Adani Enterprises'!E338</f>
        <v>0</v>
      </c>
      <c r="F338" s="48">
        <f>'Adani Enterprises'!F338</f>
        <v>0</v>
      </c>
      <c r="G338" s="48">
        <f>'Adani Enterprises'!G338</f>
        <v>0</v>
      </c>
      <c r="H338" s="48">
        <f>'Adani Enterprises'!H338</f>
        <v>0</v>
      </c>
      <c r="I338" s="48">
        <f>'Adani Enterprises'!I338</f>
        <v>0</v>
      </c>
      <c r="J338" s="48">
        <f>'Adani Enterprises'!J338</f>
        <v>0</v>
      </c>
      <c r="K338" s="48">
        <f>'Adani Enterprises'!K338</f>
        <v>0</v>
      </c>
      <c r="L338" s="48">
        <f>'Adani Enterprises'!L338</f>
        <v>0</v>
      </c>
      <c r="M338" s="48">
        <f>'Adani Enterprises'!M338</f>
        <v>0</v>
      </c>
      <c r="N338" s="48">
        <f>'Adani Enterprises'!N338</f>
        <v>0</v>
      </c>
      <c r="O338" s="48">
        <f>'Adani Enterprises'!O338</f>
        <v>0</v>
      </c>
      <c r="P338" s="48">
        <f>'Adani Enterprises'!P338</f>
        <v>0</v>
      </c>
      <c r="Q338" s="48">
        <f>'Adani Enterprises'!Q338</f>
        <v>0</v>
      </c>
      <c r="R338" s="48">
        <f>'Adani Enterprises'!R338</f>
        <v>0</v>
      </c>
      <c r="S338" s="48">
        <f>'Adani Enterprises'!S338</f>
        <v>0</v>
      </c>
      <c r="T338" s="48">
        <f>'Adani Enterprises'!T338</f>
        <v>0</v>
      </c>
      <c r="U338" s="48">
        <f>'Adani Enterprises'!U338</f>
        <v>0</v>
      </c>
      <c r="V338" s="48">
        <f>'Adani Enterprises'!V338</f>
        <v>0</v>
      </c>
      <c r="W338" s="48">
        <f>'Adani Enterprises'!W338</f>
        <v>0</v>
      </c>
      <c r="X338" s="48">
        <f>'Adani Enterprises'!X338</f>
        <v>0</v>
      </c>
      <c r="Y338" s="48">
        <f>'Adani Enterprises'!Y338</f>
        <v>0</v>
      </c>
      <c r="Z338" s="48">
        <f>'Adani Enterprises'!Z338</f>
        <v>0</v>
      </c>
      <c r="AA338" s="48">
        <f>'Adani Enterprises'!AA338</f>
        <v>0</v>
      </c>
      <c r="AB338" s="48">
        <f>'Adani Enterprises'!AB338</f>
        <v>0</v>
      </c>
      <c r="AC338" s="48">
        <f>'Adani Enterprises'!AC338</f>
        <v>0</v>
      </c>
      <c r="AD338" s="48">
        <f>'Adani Enterprises'!AD338</f>
        <v>0</v>
      </c>
      <c r="AE338" s="48">
        <f>'Adani Enterprises'!AE338</f>
        <v>0</v>
      </c>
      <c r="AF338" s="48">
        <f>'Adani Enterprises'!AF338</f>
        <v>0</v>
      </c>
      <c r="AG338" s="48">
        <f>'Adani Enterprises'!AG338</f>
        <v>0</v>
      </c>
      <c r="AH338" s="48">
        <f>'Adani Enterprises'!AH338</f>
        <v>0</v>
      </c>
      <c r="AI338" s="48">
        <f>'Adani Enterprises'!AI338</f>
        <v>0</v>
      </c>
      <c r="AJ338" s="48">
        <f>'Adani Enterprises'!AJ338</f>
        <v>0</v>
      </c>
      <c r="AK338" s="48">
        <f>'Adani Enterprises'!AK338</f>
        <v>0</v>
      </c>
      <c r="AL338" s="48">
        <f>'Adani Enterprises'!AL338</f>
        <v>0</v>
      </c>
    </row>
    <row r="339" customHeight="1" spans="1:38">
      <c r="A339" s="48">
        <f>'Adani Enterprises'!A339</f>
        <v>0</v>
      </c>
      <c r="B339" s="48">
        <f>'Adani Enterprises'!B339</f>
        <v>0</v>
      </c>
      <c r="C339" s="48">
        <f>'Adani Enterprises'!C339</f>
        <v>0</v>
      </c>
      <c r="D339" s="48">
        <f>'Adani Enterprises'!D339</f>
        <v>0</v>
      </c>
      <c r="E339" s="48">
        <f>'Adani Enterprises'!E339</f>
        <v>0</v>
      </c>
      <c r="F339" s="48">
        <f>'Adani Enterprises'!F339</f>
        <v>0</v>
      </c>
      <c r="G339" s="48">
        <f>'Adani Enterprises'!G339</f>
        <v>0</v>
      </c>
      <c r="H339" s="48">
        <f>'Adani Enterprises'!H339</f>
        <v>0</v>
      </c>
      <c r="I339" s="48">
        <f>'Adani Enterprises'!I339</f>
        <v>0</v>
      </c>
      <c r="J339" s="48">
        <f>'Adani Enterprises'!J339</f>
        <v>0</v>
      </c>
      <c r="K339" s="48">
        <f>'Adani Enterprises'!K339</f>
        <v>0</v>
      </c>
      <c r="L339" s="48">
        <f>'Adani Enterprises'!L339</f>
        <v>0</v>
      </c>
      <c r="M339" s="48">
        <f>'Adani Enterprises'!M339</f>
        <v>0</v>
      </c>
      <c r="N339" s="48">
        <f>'Adani Enterprises'!N339</f>
        <v>0</v>
      </c>
      <c r="O339" s="48">
        <f>'Adani Enterprises'!O339</f>
        <v>0</v>
      </c>
      <c r="P339" s="48">
        <f>'Adani Enterprises'!P339</f>
        <v>0</v>
      </c>
      <c r="Q339" s="48">
        <f>'Adani Enterprises'!Q339</f>
        <v>0</v>
      </c>
      <c r="R339" s="48">
        <f>'Adani Enterprises'!R339</f>
        <v>0</v>
      </c>
      <c r="S339" s="48">
        <f>'Adani Enterprises'!S339</f>
        <v>0</v>
      </c>
      <c r="T339" s="48">
        <f>'Adani Enterprises'!T339</f>
        <v>0</v>
      </c>
      <c r="U339" s="48">
        <f>'Adani Enterprises'!U339</f>
        <v>0</v>
      </c>
      <c r="V339" s="48">
        <f>'Adani Enterprises'!V339</f>
        <v>0</v>
      </c>
      <c r="W339" s="48">
        <f>'Adani Enterprises'!W339</f>
        <v>0</v>
      </c>
      <c r="X339" s="48">
        <f>'Adani Enterprises'!X339</f>
        <v>0</v>
      </c>
      <c r="Y339" s="48">
        <f>'Adani Enterprises'!Y339</f>
        <v>0</v>
      </c>
      <c r="Z339" s="48">
        <f>'Adani Enterprises'!Z339</f>
        <v>0</v>
      </c>
      <c r="AA339" s="48">
        <f>'Adani Enterprises'!AA339</f>
        <v>0</v>
      </c>
      <c r="AB339" s="48">
        <f>'Adani Enterprises'!AB339</f>
        <v>0</v>
      </c>
      <c r="AC339" s="48">
        <f>'Adani Enterprises'!AC339</f>
        <v>0</v>
      </c>
      <c r="AD339" s="48">
        <f>'Adani Enterprises'!AD339</f>
        <v>0</v>
      </c>
      <c r="AE339" s="48">
        <f>'Adani Enterprises'!AE339</f>
        <v>0</v>
      </c>
      <c r="AF339" s="48">
        <f>'Adani Enterprises'!AF339</f>
        <v>0</v>
      </c>
      <c r="AG339" s="48">
        <f>'Adani Enterprises'!AG339</f>
        <v>0</v>
      </c>
      <c r="AH339" s="48">
        <f>'Adani Enterprises'!AH339</f>
        <v>0</v>
      </c>
      <c r="AI339" s="48">
        <f>'Adani Enterprises'!AI339</f>
        <v>0</v>
      </c>
      <c r="AJ339" s="48">
        <f>'Adani Enterprises'!AJ339</f>
        <v>0</v>
      </c>
      <c r="AK339" s="48">
        <f>'Adani Enterprises'!AK339</f>
        <v>0</v>
      </c>
      <c r="AL339" s="48">
        <f>'Adani Enterprises'!AL339</f>
        <v>0</v>
      </c>
    </row>
    <row r="340" customHeight="1" spans="1:38">
      <c r="A340" s="48">
        <f>'Adani Enterprises'!A340</f>
        <v>0</v>
      </c>
      <c r="B340" s="48">
        <f>'Adani Enterprises'!B340</f>
        <v>0</v>
      </c>
      <c r="C340" s="48">
        <f>'Adani Enterprises'!C340</f>
        <v>0</v>
      </c>
      <c r="D340" s="48">
        <f>'Adani Enterprises'!D340</f>
        <v>0</v>
      </c>
      <c r="E340" s="48">
        <f>'Adani Enterprises'!E340</f>
        <v>0</v>
      </c>
      <c r="F340" s="48">
        <f>'Adani Enterprises'!F340</f>
        <v>0</v>
      </c>
      <c r="G340" s="48">
        <f>'Adani Enterprises'!G340</f>
        <v>0</v>
      </c>
      <c r="H340" s="48">
        <f>'Adani Enterprises'!H340</f>
        <v>0</v>
      </c>
      <c r="I340" s="48">
        <f>'Adani Enterprises'!I340</f>
        <v>0</v>
      </c>
      <c r="J340" s="48">
        <f>'Adani Enterprises'!J340</f>
        <v>0</v>
      </c>
      <c r="K340" s="48">
        <f>'Adani Enterprises'!K340</f>
        <v>0</v>
      </c>
      <c r="L340" s="48">
        <f>'Adani Enterprises'!L340</f>
        <v>0</v>
      </c>
      <c r="M340" s="48">
        <f>'Adani Enterprises'!M340</f>
        <v>0</v>
      </c>
      <c r="N340" s="48">
        <f>'Adani Enterprises'!N340</f>
        <v>0</v>
      </c>
      <c r="O340" s="48">
        <f>'Adani Enterprises'!O340</f>
        <v>0</v>
      </c>
      <c r="P340" s="48">
        <f>'Adani Enterprises'!P340</f>
        <v>0</v>
      </c>
      <c r="Q340" s="48">
        <f>'Adani Enterprises'!Q340</f>
        <v>0</v>
      </c>
      <c r="R340" s="48">
        <f>'Adani Enterprises'!R340</f>
        <v>0</v>
      </c>
      <c r="S340" s="48">
        <f>'Adani Enterprises'!S340</f>
        <v>0</v>
      </c>
      <c r="T340" s="48">
        <f>'Adani Enterprises'!T340</f>
        <v>0</v>
      </c>
      <c r="U340" s="48">
        <f>'Adani Enterprises'!U340</f>
        <v>0</v>
      </c>
      <c r="V340" s="48">
        <f>'Adani Enterprises'!V340</f>
        <v>0</v>
      </c>
      <c r="W340" s="48">
        <f>'Adani Enterprises'!W340</f>
        <v>0</v>
      </c>
      <c r="X340" s="48">
        <f>'Adani Enterprises'!X340</f>
        <v>0</v>
      </c>
      <c r="Y340" s="48">
        <f>'Adani Enterprises'!Y340</f>
        <v>0</v>
      </c>
      <c r="Z340" s="48">
        <f>'Adani Enterprises'!Z340</f>
        <v>0</v>
      </c>
      <c r="AA340" s="48">
        <f>'Adani Enterprises'!AA340</f>
        <v>0</v>
      </c>
      <c r="AB340" s="48">
        <f>'Adani Enterprises'!AB340</f>
        <v>0</v>
      </c>
      <c r="AC340" s="48">
        <f>'Adani Enterprises'!AC340</f>
        <v>0</v>
      </c>
      <c r="AD340" s="48">
        <f>'Adani Enterprises'!AD340</f>
        <v>0</v>
      </c>
      <c r="AE340" s="48">
        <f>'Adani Enterprises'!AE340</f>
        <v>0</v>
      </c>
      <c r="AF340" s="48">
        <f>'Adani Enterprises'!AF340</f>
        <v>0</v>
      </c>
      <c r="AG340" s="48">
        <f>'Adani Enterprises'!AG340</f>
        <v>0</v>
      </c>
      <c r="AH340" s="48">
        <f>'Adani Enterprises'!AH340</f>
        <v>0</v>
      </c>
      <c r="AI340" s="48">
        <f>'Adani Enterprises'!AI340</f>
        <v>0</v>
      </c>
      <c r="AJ340" s="48">
        <f>'Adani Enterprises'!AJ340</f>
        <v>0</v>
      </c>
      <c r="AK340" s="48">
        <f>'Adani Enterprises'!AK340</f>
        <v>0</v>
      </c>
      <c r="AL340" s="48">
        <f>'Adani Enterprises'!AL340</f>
        <v>0</v>
      </c>
    </row>
    <row r="341" customHeight="1" spans="1:38">
      <c r="A341" s="48">
        <f>'Adani Enterprises'!A341</f>
        <v>0</v>
      </c>
      <c r="B341" s="48">
        <f>'Adani Enterprises'!B341</f>
        <v>0</v>
      </c>
      <c r="C341" s="48">
        <f>'Adani Enterprises'!C341</f>
        <v>0</v>
      </c>
      <c r="D341" s="48">
        <f>'Adani Enterprises'!D341</f>
        <v>0</v>
      </c>
      <c r="E341" s="48">
        <f>'Adani Enterprises'!E341</f>
        <v>0</v>
      </c>
      <c r="F341" s="48">
        <f>'Adani Enterprises'!F341</f>
        <v>0</v>
      </c>
      <c r="G341" s="48">
        <f>'Adani Enterprises'!G341</f>
        <v>0</v>
      </c>
      <c r="H341" s="48">
        <f>'Adani Enterprises'!H341</f>
        <v>0</v>
      </c>
      <c r="I341" s="48">
        <f>'Adani Enterprises'!I341</f>
        <v>0</v>
      </c>
      <c r="J341" s="48">
        <f>'Adani Enterprises'!J341</f>
        <v>0</v>
      </c>
      <c r="K341" s="48">
        <f>'Adani Enterprises'!K341</f>
        <v>0</v>
      </c>
      <c r="L341" s="48">
        <f>'Adani Enterprises'!L341</f>
        <v>0</v>
      </c>
      <c r="M341" s="48">
        <f>'Adani Enterprises'!M341</f>
        <v>0</v>
      </c>
      <c r="N341" s="48">
        <f>'Adani Enterprises'!N341</f>
        <v>0</v>
      </c>
      <c r="O341" s="48">
        <f>'Adani Enterprises'!O341</f>
        <v>0</v>
      </c>
      <c r="P341" s="48">
        <f>'Adani Enterprises'!P341</f>
        <v>0</v>
      </c>
      <c r="Q341" s="48">
        <f>'Adani Enterprises'!Q341</f>
        <v>0</v>
      </c>
      <c r="R341" s="48">
        <f>'Adani Enterprises'!R341</f>
        <v>0</v>
      </c>
      <c r="S341" s="48">
        <f>'Adani Enterprises'!S341</f>
        <v>0</v>
      </c>
      <c r="T341" s="48">
        <f>'Adani Enterprises'!T341</f>
        <v>0</v>
      </c>
      <c r="U341" s="48">
        <f>'Adani Enterprises'!U341</f>
        <v>0</v>
      </c>
      <c r="V341" s="48">
        <f>'Adani Enterprises'!V341</f>
        <v>0</v>
      </c>
      <c r="W341" s="48">
        <f>'Adani Enterprises'!W341</f>
        <v>0</v>
      </c>
      <c r="X341" s="48">
        <f>'Adani Enterprises'!X341</f>
        <v>0</v>
      </c>
      <c r="Y341" s="48">
        <f>'Adani Enterprises'!Y341</f>
        <v>0</v>
      </c>
      <c r="Z341" s="48">
        <f>'Adani Enterprises'!Z341</f>
        <v>0</v>
      </c>
      <c r="AA341" s="48">
        <f>'Adani Enterprises'!AA341</f>
        <v>0</v>
      </c>
      <c r="AB341" s="48">
        <f>'Adani Enterprises'!AB341</f>
        <v>0</v>
      </c>
      <c r="AC341" s="48">
        <f>'Adani Enterprises'!AC341</f>
        <v>0</v>
      </c>
      <c r="AD341" s="48">
        <f>'Adani Enterprises'!AD341</f>
        <v>0</v>
      </c>
      <c r="AE341" s="48">
        <f>'Adani Enterprises'!AE341</f>
        <v>0</v>
      </c>
      <c r="AF341" s="48">
        <f>'Adani Enterprises'!AF341</f>
        <v>0</v>
      </c>
      <c r="AG341" s="48">
        <f>'Adani Enterprises'!AG341</f>
        <v>0</v>
      </c>
      <c r="AH341" s="48">
        <f>'Adani Enterprises'!AH341</f>
        <v>0</v>
      </c>
      <c r="AI341" s="48">
        <f>'Adani Enterprises'!AI341</f>
        <v>0</v>
      </c>
      <c r="AJ341" s="48">
        <f>'Adani Enterprises'!AJ341</f>
        <v>0</v>
      </c>
      <c r="AK341" s="48">
        <f>'Adani Enterprises'!AK341</f>
        <v>0</v>
      </c>
      <c r="AL341" s="48">
        <f>'Adani Enterprises'!AL341</f>
        <v>0</v>
      </c>
    </row>
    <row r="342" customHeight="1" spans="1:38">
      <c r="A342" s="48">
        <f>'Adani Enterprises'!A342</f>
        <v>0</v>
      </c>
      <c r="B342" s="48">
        <f>'Adani Enterprises'!B342</f>
        <v>0</v>
      </c>
      <c r="C342" s="48">
        <f>'Adani Enterprises'!C342</f>
        <v>0</v>
      </c>
      <c r="D342" s="48">
        <f>'Adani Enterprises'!D342</f>
        <v>0</v>
      </c>
      <c r="E342" s="48">
        <f>'Adani Enterprises'!E342</f>
        <v>0</v>
      </c>
      <c r="F342" s="48">
        <f>'Adani Enterprises'!F342</f>
        <v>0</v>
      </c>
      <c r="G342" s="48">
        <f>'Adani Enterprises'!G342</f>
        <v>0</v>
      </c>
      <c r="H342" s="48">
        <f>'Adani Enterprises'!H342</f>
        <v>0</v>
      </c>
      <c r="I342" s="48">
        <f>'Adani Enterprises'!I342</f>
        <v>0</v>
      </c>
      <c r="J342" s="48">
        <f>'Adani Enterprises'!J342</f>
        <v>0</v>
      </c>
      <c r="K342" s="48">
        <f>'Adani Enterprises'!K342</f>
        <v>0</v>
      </c>
      <c r="L342" s="48">
        <f>'Adani Enterprises'!L342</f>
        <v>0</v>
      </c>
      <c r="M342" s="48">
        <f>'Adani Enterprises'!M342</f>
        <v>0</v>
      </c>
      <c r="N342" s="48">
        <f>'Adani Enterprises'!N342</f>
        <v>0</v>
      </c>
      <c r="O342" s="48">
        <f>'Adani Enterprises'!O342</f>
        <v>0</v>
      </c>
      <c r="P342" s="48">
        <f>'Adani Enterprises'!P342</f>
        <v>0</v>
      </c>
      <c r="Q342" s="48">
        <f>'Adani Enterprises'!Q342</f>
        <v>0</v>
      </c>
      <c r="R342" s="48">
        <f>'Adani Enterprises'!R342</f>
        <v>0</v>
      </c>
      <c r="S342" s="48">
        <f>'Adani Enterprises'!S342</f>
        <v>0</v>
      </c>
      <c r="T342" s="48">
        <f>'Adani Enterprises'!T342</f>
        <v>0</v>
      </c>
      <c r="U342" s="48">
        <f>'Adani Enterprises'!U342</f>
        <v>0</v>
      </c>
      <c r="V342" s="48">
        <f>'Adani Enterprises'!V342</f>
        <v>0</v>
      </c>
      <c r="W342" s="48">
        <f>'Adani Enterprises'!W342</f>
        <v>0</v>
      </c>
      <c r="X342" s="48">
        <f>'Adani Enterprises'!X342</f>
        <v>0</v>
      </c>
      <c r="Y342" s="48">
        <f>'Adani Enterprises'!Y342</f>
        <v>0</v>
      </c>
      <c r="Z342" s="48">
        <f>'Adani Enterprises'!Z342</f>
        <v>0</v>
      </c>
      <c r="AA342" s="48">
        <f>'Adani Enterprises'!AA342</f>
        <v>0</v>
      </c>
      <c r="AB342" s="48">
        <f>'Adani Enterprises'!AB342</f>
        <v>0</v>
      </c>
      <c r="AC342" s="48">
        <f>'Adani Enterprises'!AC342</f>
        <v>0</v>
      </c>
      <c r="AD342" s="48">
        <f>'Adani Enterprises'!AD342</f>
        <v>0</v>
      </c>
      <c r="AE342" s="48">
        <f>'Adani Enterprises'!AE342</f>
        <v>0</v>
      </c>
      <c r="AF342" s="48">
        <f>'Adani Enterprises'!AF342</f>
        <v>0</v>
      </c>
      <c r="AG342" s="48">
        <f>'Adani Enterprises'!AG342</f>
        <v>0</v>
      </c>
      <c r="AH342" s="48">
        <f>'Adani Enterprises'!AH342</f>
        <v>0</v>
      </c>
      <c r="AI342" s="48">
        <f>'Adani Enterprises'!AI342</f>
        <v>0</v>
      </c>
      <c r="AJ342" s="48">
        <f>'Adani Enterprises'!AJ342</f>
        <v>0</v>
      </c>
      <c r="AK342" s="48">
        <f>'Adani Enterprises'!AK342</f>
        <v>0</v>
      </c>
      <c r="AL342" s="48">
        <f>'Adani Enterprises'!AL342</f>
        <v>0</v>
      </c>
    </row>
    <row r="343" customHeight="1" spans="1:38">
      <c r="A343" s="48">
        <f>'Adani Enterprises'!A343</f>
        <v>0</v>
      </c>
      <c r="B343" s="48">
        <f>'Adani Enterprises'!B343</f>
        <v>0</v>
      </c>
      <c r="C343" s="48">
        <f>'Adani Enterprises'!C343</f>
        <v>0</v>
      </c>
      <c r="D343" s="48">
        <f>'Adani Enterprises'!D343</f>
        <v>0</v>
      </c>
      <c r="E343" s="48">
        <f>'Adani Enterprises'!E343</f>
        <v>0</v>
      </c>
      <c r="F343" s="48">
        <f>'Adani Enterprises'!F343</f>
        <v>0</v>
      </c>
      <c r="G343" s="48">
        <f>'Adani Enterprises'!G343</f>
        <v>0</v>
      </c>
      <c r="H343" s="48">
        <f>'Adani Enterprises'!H343</f>
        <v>0</v>
      </c>
      <c r="I343" s="48">
        <f>'Adani Enterprises'!I343</f>
        <v>0</v>
      </c>
      <c r="J343" s="48">
        <f>'Adani Enterprises'!J343</f>
        <v>0</v>
      </c>
      <c r="K343" s="48">
        <f>'Adani Enterprises'!K343</f>
        <v>0</v>
      </c>
      <c r="L343" s="48">
        <f>'Adani Enterprises'!L343</f>
        <v>0</v>
      </c>
      <c r="M343" s="48">
        <f>'Adani Enterprises'!M343</f>
        <v>0</v>
      </c>
      <c r="N343" s="48">
        <f>'Adani Enterprises'!N343</f>
        <v>0</v>
      </c>
      <c r="O343" s="48">
        <f>'Adani Enterprises'!O343</f>
        <v>0</v>
      </c>
      <c r="P343" s="48">
        <f>'Adani Enterprises'!P343</f>
        <v>0</v>
      </c>
      <c r="Q343" s="48">
        <f>'Adani Enterprises'!Q343</f>
        <v>0</v>
      </c>
      <c r="R343" s="48">
        <f>'Adani Enterprises'!R343</f>
        <v>0</v>
      </c>
      <c r="S343" s="48">
        <f>'Adani Enterprises'!S343</f>
        <v>0</v>
      </c>
      <c r="T343" s="48">
        <f>'Adani Enterprises'!T343</f>
        <v>0</v>
      </c>
      <c r="U343" s="48">
        <f>'Adani Enterprises'!U343</f>
        <v>0</v>
      </c>
      <c r="V343" s="48">
        <f>'Adani Enterprises'!V343</f>
        <v>0</v>
      </c>
      <c r="W343" s="48">
        <f>'Adani Enterprises'!W343</f>
        <v>0</v>
      </c>
      <c r="X343" s="48">
        <f>'Adani Enterprises'!X343</f>
        <v>0</v>
      </c>
      <c r="Y343" s="48">
        <f>'Adani Enterprises'!Y343</f>
        <v>0</v>
      </c>
      <c r="Z343" s="48">
        <f>'Adani Enterprises'!Z343</f>
        <v>0</v>
      </c>
      <c r="AA343" s="48">
        <f>'Adani Enterprises'!AA343</f>
        <v>0</v>
      </c>
      <c r="AB343" s="48">
        <f>'Adani Enterprises'!AB343</f>
        <v>0</v>
      </c>
      <c r="AC343" s="48">
        <f>'Adani Enterprises'!AC343</f>
        <v>0</v>
      </c>
      <c r="AD343" s="48">
        <f>'Adani Enterprises'!AD343</f>
        <v>0</v>
      </c>
      <c r="AE343" s="48">
        <f>'Adani Enterprises'!AE343</f>
        <v>0</v>
      </c>
      <c r="AF343" s="48">
        <f>'Adani Enterprises'!AF343</f>
        <v>0</v>
      </c>
      <c r="AG343" s="48">
        <f>'Adani Enterprises'!AG343</f>
        <v>0</v>
      </c>
      <c r="AH343" s="48">
        <f>'Adani Enterprises'!AH343</f>
        <v>0</v>
      </c>
      <c r="AI343" s="48">
        <f>'Adani Enterprises'!AI343</f>
        <v>0</v>
      </c>
      <c r="AJ343" s="48">
        <f>'Adani Enterprises'!AJ343</f>
        <v>0</v>
      </c>
      <c r="AK343" s="48">
        <f>'Adani Enterprises'!AK343</f>
        <v>0</v>
      </c>
      <c r="AL343" s="48">
        <f>'Adani Enterprises'!AL343</f>
        <v>0</v>
      </c>
    </row>
    <row r="344" customHeight="1" spans="1:38">
      <c r="A344" s="48">
        <f>'Adani Enterprises'!A344</f>
        <v>0</v>
      </c>
      <c r="B344" s="48">
        <f>'Adani Enterprises'!B344</f>
        <v>0</v>
      </c>
      <c r="C344" s="48">
        <f>'Adani Enterprises'!C344</f>
        <v>0</v>
      </c>
      <c r="D344" s="48">
        <f>'Adani Enterprises'!D344</f>
        <v>0</v>
      </c>
      <c r="E344" s="48">
        <f>'Adani Enterprises'!E344</f>
        <v>0</v>
      </c>
      <c r="F344" s="48">
        <f>'Adani Enterprises'!F344</f>
        <v>0</v>
      </c>
      <c r="G344" s="48">
        <f>'Adani Enterprises'!G344</f>
        <v>0</v>
      </c>
      <c r="H344" s="48">
        <f>'Adani Enterprises'!H344</f>
        <v>0</v>
      </c>
      <c r="I344" s="48">
        <f>'Adani Enterprises'!I344</f>
        <v>0</v>
      </c>
      <c r="J344" s="48">
        <f>'Adani Enterprises'!J344</f>
        <v>0</v>
      </c>
      <c r="K344" s="48">
        <f>'Adani Enterprises'!K344</f>
        <v>0</v>
      </c>
      <c r="L344" s="48">
        <f>'Adani Enterprises'!L344</f>
        <v>0</v>
      </c>
      <c r="M344" s="48">
        <f>'Adani Enterprises'!M344</f>
        <v>0</v>
      </c>
      <c r="N344" s="48">
        <f>'Adani Enterprises'!N344</f>
        <v>0</v>
      </c>
      <c r="O344" s="48">
        <f>'Adani Enterprises'!O344</f>
        <v>0</v>
      </c>
      <c r="P344" s="48">
        <f>'Adani Enterprises'!P344</f>
        <v>0</v>
      </c>
      <c r="Q344" s="48">
        <f>'Adani Enterprises'!Q344</f>
        <v>0</v>
      </c>
      <c r="R344" s="48">
        <f>'Adani Enterprises'!R344</f>
        <v>0</v>
      </c>
      <c r="S344" s="48">
        <f>'Adani Enterprises'!S344</f>
        <v>0</v>
      </c>
      <c r="T344" s="48">
        <f>'Adani Enterprises'!T344</f>
        <v>0</v>
      </c>
      <c r="U344" s="48">
        <f>'Adani Enterprises'!U344</f>
        <v>0</v>
      </c>
      <c r="V344" s="48">
        <f>'Adani Enterprises'!V344</f>
        <v>0</v>
      </c>
      <c r="W344" s="48">
        <f>'Adani Enterprises'!W344</f>
        <v>0</v>
      </c>
      <c r="X344" s="48">
        <f>'Adani Enterprises'!X344</f>
        <v>0</v>
      </c>
      <c r="Y344" s="48">
        <f>'Adani Enterprises'!Y344</f>
        <v>0</v>
      </c>
      <c r="Z344" s="48">
        <f>'Adani Enterprises'!Z344</f>
        <v>0</v>
      </c>
      <c r="AA344" s="48">
        <f>'Adani Enterprises'!AA344</f>
        <v>0</v>
      </c>
      <c r="AB344" s="48">
        <f>'Adani Enterprises'!AB344</f>
        <v>0</v>
      </c>
      <c r="AC344" s="48">
        <f>'Adani Enterprises'!AC344</f>
        <v>0</v>
      </c>
      <c r="AD344" s="48">
        <f>'Adani Enterprises'!AD344</f>
        <v>0</v>
      </c>
      <c r="AE344" s="48">
        <f>'Adani Enterprises'!AE344</f>
        <v>0</v>
      </c>
      <c r="AF344" s="48">
        <f>'Adani Enterprises'!AF344</f>
        <v>0</v>
      </c>
      <c r="AG344" s="48">
        <f>'Adani Enterprises'!AG344</f>
        <v>0</v>
      </c>
      <c r="AH344" s="48">
        <f>'Adani Enterprises'!AH344</f>
        <v>0</v>
      </c>
      <c r="AI344" s="48">
        <f>'Adani Enterprises'!AI344</f>
        <v>0</v>
      </c>
      <c r="AJ344" s="48">
        <f>'Adani Enterprises'!AJ344</f>
        <v>0</v>
      </c>
      <c r="AK344" s="48">
        <f>'Adani Enterprises'!AK344</f>
        <v>0</v>
      </c>
      <c r="AL344" s="48">
        <f>'Adani Enterprises'!AL344</f>
        <v>0</v>
      </c>
    </row>
    <row r="345" customHeight="1" spans="1:38">
      <c r="A345" s="48">
        <f>'Adani Enterprises'!A345</f>
        <v>0</v>
      </c>
      <c r="B345" s="48">
        <f>'Adani Enterprises'!B345</f>
        <v>0</v>
      </c>
      <c r="C345" s="48">
        <f>'Adani Enterprises'!C345</f>
        <v>0</v>
      </c>
      <c r="D345" s="48">
        <f>'Adani Enterprises'!D345</f>
        <v>0</v>
      </c>
      <c r="E345" s="48">
        <f>'Adani Enterprises'!E345</f>
        <v>0</v>
      </c>
      <c r="F345" s="48">
        <f>'Adani Enterprises'!F345</f>
        <v>0</v>
      </c>
      <c r="G345" s="48">
        <f>'Adani Enterprises'!G345</f>
        <v>0</v>
      </c>
      <c r="H345" s="48">
        <f>'Adani Enterprises'!H345</f>
        <v>0</v>
      </c>
      <c r="I345" s="48">
        <f>'Adani Enterprises'!I345</f>
        <v>0</v>
      </c>
      <c r="J345" s="48">
        <f>'Adani Enterprises'!J345</f>
        <v>0</v>
      </c>
      <c r="K345" s="48">
        <f>'Adani Enterprises'!K345</f>
        <v>0</v>
      </c>
      <c r="L345" s="48">
        <f>'Adani Enterprises'!L345</f>
        <v>0</v>
      </c>
      <c r="M345" s="48">
        <f>'Adani Enterprises'!M345</f>
        <v>0</v>
      </c>
      <c r="N345" s="48">
        <f>'Adani Enterprises'!N345</f>
        <v>0</v>
      </c>
      <c r="O345" s="48">
        <f>'Adani Enterprises'!O345</f>
        <v>0</v>
      </c>
      <c r="P345" s="48">
        <f>'Adani Enterprises'!P345</f>
        <v>0</v>
      </c>
      <c r="Q345" s="48">
        <f>'Adani Enterprises'!Q345</f>
        <v>0</v>
      </c>
      <c r="R345" s="48">
        <f>'Adani Enterprises'!R345</f>
        <v>0</v>
      </c>
      <c r="S345" s="48">
        <f>'Adani Enterprises'!S345</f>
        <v>0</v>
      </c>
      <c r="T345" s="48">
        <f>'Adani Enterprises'!T345</f>
        <v>0</v>
      </c>
      <c r="U345" s="48">
        <f>'Adani Enterprises'!U345</f>
        <v>0</v>
      </c>
      <c r="V345" s="48">
        <f>'Adani Enterprises'!V345</f>
        <v>0</v>
      </c>
      <c r="W345" s="48">
        <f>'Adani Enterprises'!W345</f>
        <v>0</v>
      </c>
      <c r="X345" s="48">
        <f>'Adani Enterprises'!X345</f>
        <v>0</v>
      </c>
      <c r="Y345" s="48">
        <f>'Adani Enterprises'!Y345</f>
        <v>0</v>
      </c>
      <c r="Z345" s="48">
        <f>'Adani Enterprises'!Z345</f>
        <v>0</v>
      </c>
      <c r="AA345" s="48">
        <f>'Adani Enterprises'!AA345</f>
        <v>0</v>
      </c>
      <c r="AB345" s="48">
        <f>'Adani Enterprises'!AB345</f>
        <v>0</v>
      </c>
      <c r="AC345" s="48">
        <f>'Adani Enterprises'!AC345</f>
        <v>0</v>
      </c>
      <c r="AD345" s="48">
        <f>'Adani Enterprises'!AD345</f>
        <v>0</v>
      </c>
      <c r="AE345" s="48">
        <f>'Adani Enterprises'!AE345</f>
        <v>0</v>
      </c>
      <c r="AF345" s="48">
        <f>'Adani Enterprises'!AF345</f>
        <v>0</v>
      </c>
      <c r="AG345" s="48">
        <f>'Adani Enterprises'!AG345</f>
        <v>0</v>
      </c>
      <c r="AH345" s="48">
        <f>'Adani Enterprises'!AH345</f>
        <v>0</v>
      </c>
      <c r="AI345" s="48">
        <f>'Adani Enterprises'!AI345</f>
        <v>0</v>
      </c>
      <c r="AJ345" s="48">
        <f>'Adani Enterprises'!AJ345</f>
        <v>0</v>
      </c>
      <c r="AK345" s="48">
        <f>'Adani Enterprises'!AK345</f>
        <v>0</v>
      </c>
      <c r="AL345" s="48">
        <f>'Adani Enterprises'!AL345</f>
        <v>0</v>
      </c>
    </row>
    <row r="346" customHeight="1" spans="1:38">
      <c r="A346" s="48">
        <f>'Adani Enterprises'!A346</f>
        <v>0</v>
      </c>
      <c r="B346" s="48">
        <f>'Adani Enterprises'!B346</f>
        <v>0</v>
      </c>
      <c r="C346" s="48">
        <f>'Adani Enterprises'!C346</f>
        <v>0</v>
      </c>
      <c r="D346" s="48">
        <f>'Adani Enterprises'!D346</f>
        <v>0</v>
      </c>
      <c r="E346" s="48">
        <f>'Adani Enterprises'!E346</f>
        <v>0</v>
      </c>
      <c r="F346" s="48">
        <f>'Adani Enterprises'!F346</f>
        <v>0</v>
      </c>
      <c r="G346" s="48">
        <f>'Adani Enterprises'!G346</f>
        <v>0</v>
      </c>
      <c r="H346" s="48">
        <f>'Adani Enterprises'!H346</f>
        <v>0</v>
      </c>
      <c r="I346" s="48">
        <f>'Adani Enterprises'!I346</f>
        <v>0</v>
      </c>
      <c r="J346" s="48">
        <f>'Adani Enterprises'!J346</f>
        <v>0</v>
      </c>
      <c r="K346" s="48">
        <f>'Adani Enterprises'!K346</f>
        <v>0</v>
      </c>
      <c r="L346" s="48">
        <f>'Adani Enterprises'!L346</f>
        <v>0</v>
      </c>
      <c r="M346" s="48">
        <f>'Adani Enterprises'!M346</f>
        <v>0</v>
      </c>
      <c r="N346" s="48">
        <f>'Adani Enterprises'!N346</f>
        <v>0</v>
      </c>
      <c r="O346" s="48">
        <f>'Adani Enterprises'!O346</f>
        <v>0</v>
      </c>
      <c r="P346" s="48">
        <f>'Adani Enterprises'!P346</f>
        <v>0</v>
      </c>
      <c r="Q346" s="48">
        <f>'Adani Enterprises'!Q346</f>
        <v>0</v>
      </c>
      <c r="R346" s="48">
        <f>'Adani Enterprises'!R346</f>
        <v>0</v>
      </c>
      <c r="S346" s="48">
        <f>'Adani Enterprises'!S346</f>
        <v>0</v>
      </c>
      <c r="T346" s="48">
        <f>'Adani Enterprises'!T346</f>
        <v>0</v>
      </c>
      <c r="U346" s="48">
        <f>'Adani Enterprises'!U346</f>
        <v>0</v>
      </c>
      <c r="V346" s="48">
        <f>'Adani Enterprises'!V346</f>
        <v>0</v>
      </c>
      <c r="W346" s="48">
        <f>'Adani Enterprises'!W346</f>
        <v>0</v>
      </c>
      <c r="X346" s="48">
        <f>'Adani Enterprises'!X346</f>
        <v>0</v>
      </c>
      <c r="Y346" s="48">
        <f>'Adani Enterprises'!Y346</f>
        <v>0</v>
      </c>
      <c r="Z346" s="48">
        <f>'Adani Enterprises'!Z346</f>
        <v>0</v>
      </c>
      <c r="AA346" s="48">
        <f>'Adani Enterprises'!AA346</f>
        <v>0</v>
      </c>
      <c r="AB346" s="48">
        <f>'Adani Enterprises'!AB346</f>
        <v>0</v>
      </c>
      <c r="AC346" s="48">
        <f>'Adani Enterprises'!AC346</f>
        <v>0</v>
      </c>
      <c r="AD346" s="48">
        <f>'Adani Enterprises'!AD346</f>
        <v>0</v>
      </c>
      <c r="AE346" s="48">
        <f>'Adani Enterprises'!AE346</f>
        <v>0</v>
      </c>
      <c r="AF346" s="48">
        <f>'Adani Enterprises'!AF346</f>
        <v>0</v>
      </c>
      <c r="AG346" s="48">
        <f>'Adani Enterprises'!AG346</f>
        <v>0</v>
      </c>
      <c r="AH346" s="48">
        <f>'Adani Enterprises'!AH346</f>
        <v>0</v>
      </c>
      <c r="AI346" s="48">
        <f>'Adani Enterprises'!AI346</f>
        <v>0</v>
      </c>
      <c r="AJ346" s="48">
        <f>'Adani Enterprises'!AJ346</f>
        <v>0</v>
      </c>
      <c r="AK346" s="48">
        <f>'Adani Enterprises'!AK346</f>
        <v>0</v>
      </c>
      <c r="AL346" s="48">
        <f>'Adani Enterprises'!AL346</f>
        <v>0</v>
      </c>
    </row>
    <row r="347" customHeight="1" spans="1:38">
      <c r="A347" s="48">
        <f>'Adani Enterprises'!A347</f>
        <v>0</v>
      </c>
      <c r="B347" s="48">
        <f>'Adani Enterprises'!B347</f>
        <v>0</v>
      </c>
      <c r="C347" s="48">
        <f>'Adani Enterprises'!C347</f>
        <v>0</v>
      </c>
      <c r="D347" s="48">
        <f>'Adani Enterprises'!D347</f>
        <v>0</v>
      </c>
      <c r="E347" s="48">
        <f>'Adani Enterprises'!E347</f>
        <v>0</v>
      </c>
      <c r="F347" s="48">
        <f>'Adani Enterprises'!F347</f>
        <v>0</v>
      </c>
      <c r="G347" s="48">
        <f>'Adani Enterprises'!G347</f>
        <v>0</v>
      </c>
      <c r="H347" s="48">
        <f>'Adani Enterprises'!H347</f>
        <v>0</v>
      </c>
      <c r="I347" s="48">
        <f>'Adani Enterprises'!I347</f>
        <v>0</v>
      </c>
      <c r="J347" s="48">
        <f>'Adani Enterprises'!J347</f>
        <v>0</v>
      </c>
      <c r="K347" s="48">
        <f>'Adani Enterprises'!K347</f>
        <v>0</v>
      </c>
      <c r="L347" s="48">
        <f>'Adani Enterprises'!L347</f>
        <v>0</v>
      </c>
      <c r="M347" s="48">
        <f>'Adani Enterprises'!M347</f>
        <v>0</v>
      </c>
      <c r="N347" s="48">
        <f>'Adani Enterprises'!N347</f>
        <v>0</v>
      </c>
      <c r="O347" s="48">
        <f>'Adani Enterprises'!O347</f>
        <v>0</v>
      </c>
      <c r="P347" s="48">
        <f>'Adani Enterprises'!P347</f>
        <v>0</v>
      </c>
      <c r="Q347" s="48">
        <f>'Adani Enterprises'!Q347</f>
        <v>0</v>
      </c>
      <c r="R347" s="48">
        <f>'Adani Enterprises'!R347</f>
        <v>0</v>
      </c>
      <c r="S347" s="48">
        <f>'Adani Enterprises'!S347</f>
        <v>0</v>
      </c>
      <c r="T347" s="48">
        <f>'Adani Enterprises'!T347</f>
        <v>0</v>
      </c>
      <c r="U347" s="48">
        <f>'Adani Enterprises'!U347</f>
        <v>0</v>
      </c>
      <c r="V347" s="48">
        <f>'Adani Enterprises'!V347</f>
        <v>0</v>
      </c>
      <c r="W347" s="48">
        <f>'Adani Enterprises'!W347</f>
        <v>0</v>
      </c>
      <c r="X347" s="48">
        <f>'Adani Enterprises'!X347</f>
        <v>0</v>
      </c>
      <c r="Y347" s="48">
        <f>'Adani Enterprises'!Y347</f>
        <v>0</v>
      </c>
      <c r="Z347" s="48">
        <f>'Adani Enterprises'!Z347</f>
        <v>0</v>
      </c>
      <c r="AA347" s="48">
        <f>'Adani Enterprises'!AA347</f>
        <v>0</v>
      </c>
      <c r="AB347" s="48">
        <f>'Adani Enterprises'!AB347</f>
        <v>0</v>
      </c>
      <c r="AC347" s="48">
        <f>'Adani Enterprises'!AC347</f>
        <v>0</v>
      </c>
      <c r="AD347" s="48">
        <f>'Adani Enterprises'!AD347</f>
        <v>0</v>
      </c>
      <c r="AE347" s="48">
        <f>'Adani Enterprises'!AE347</f>
        <v>0</v>
      </c>
      <c r="AF347" s="48">
        <f>'Adani Enterprises'!AF347</f>
        <v>0</v>
      </c>
      <c r="AG347" s="48">
        <f>'Adani Enterprises'!AG347</f>
        <v>0</v>
      </c>
      <c r="AH347" s="48">
        <f>'Adani Enterprises'!AH347</f>
        <v>0</v>
      </c>
      <c r="AI347" s="48">
        <f>'Adani Enterprises'!AI347</f>
        <v>0</v>
      </c>
      <c r="AJ347" s="48">
        <f>'Adani Enterprises'!AJ347</f>
        <v>0</v>
      </c>
      <c r="AK347" s="48">
        <f>'Adani Enterprises'!AK347</f>
        <v>0</v>
      </c>
      <c r="AL347" s="48">
        <f>'Adani Enterprises'!AL347</f>
        <v>0</v>
      </c>
    </row>
    <row r="348" customHeight="1" spans="1:38">
      <c r="A348" s="48">
        <f>'Adani Enterprises'!A348</f>
        <v>0</v>
      </c>
      <c r="B348" s="48">
        <f>'Adani Enterprises'!B348</f>
        <v>0</v>
      </c>
      <c r="C348" s="48">
        <f>'Adani Enterprises'!C348</f>
        <v>0</v>
      </c>
      <c r="D348" s="48">
        <f>'Adani Enterprises'!D348</f>
        <v>0</v>
      </c>
      <c r="E348" s="48">
        <f>'Adani Enterprises'!E348</f>
        <v>0</v>
      </c>
      <c r="F348" s="48">
        <f>'Adani Enterprises'!F348</f>
        <v>0</v>
      </c>
      <c r="G348" s="48">
        <f>'Adani Enterprises'!G348</f>
        <v>0</v>
      </c>
      <c r="H348" s="48">
        <f>'Adani Enterprises'!H348</f>
        <v>0</v>
      </c>
      <c r="I348" s="48">
        <f>'Adani Enterprises'!I348</f>
        <v>0</v>
      </c>
      <c r="J348" s="48">
        <f>'Adani Enterprises'!J348</f>
        <v>0</v>
      </c>
      <c r="K348" s="48">
        <f>'Adani Enterprises'!K348</f>
        <v>0</v>
      </c>
      <c r="L348" s="48">
        <f>'Adani Enterprises'!L348</f>
        <v>0</v>
      </c>
      <c r="M348" s="48">
        <f>'Adani Enterprises'!M348</f>
        <v>0</v>
      </c>
      <c r="N348" s="48">
        <f>'Adani Enterprises'!N348</f>
        <v>0</v>
      </c>
      <c r="O348" s="48">
        <f>'Adani Enterprises'!O348</f>
        <v>0</v>
      </c>
      <c r="P348" s="48">
        <f>'Adani Enterprises'!P348</f>
        <v>0</v>
      </c>
      <c r="Q348" s="48">
        <f>'Adani Enterprises'!Q348</f>
        <v>0</v>
      </c>
      <c r="R348" s="48">
        <f>'Adani Enterprises'!R348</f>
        <v>0</v>
      </c>
      <c r="S348" s="48">
        <f>'Adani Enterprises'!S348</f>
        <v>0</v>
      </c>
      <c r="T348" s="48">
        <f>'Adani Enterprises'!T348</f>
        <v>0</v>
      </c>
      <c r="U348" s="48">
        <f>'Adani Enterprises'!U348</f>
        <v>0</v>
      </c>
      <c r="V348" s="48">
        <f>'Adani Enterprises'!V348</f>
        <v>0</v>
      </c>
      <c r="W348" s="48">
        <f>'Adani Enterprises'!W348</f>
        <v>0</v>
      </c>
      <c r="X348" s="48">
        <f>'Adani Enterprises'!X348</f>
        <v>0</v>
      </c>
      <c r="Y348" s="48">
        <f>'Adani Enterprises'!Y348</f>
        <v>0</v>
      </c>
      <c r="Z348" s="48">
        <f>'Adani Enterprises'!Z348</f>
        <v>0</v>
      </c>
      <c r="AA348" s="48">
        <f>'Adani Enterprises'!AA348</f>
        <v>0</v>
      </c>
      <c r="AB348" s="48">
        <f>'Adani Enterprises'!AB348</f>
        <v>0</v>
      </c>
      <c r="AC348" s="48">
        <f>'Adani Enterprises'!AC348</f>
        <v>0</v>
      </c>
      <c r="AD348" s="48">
        <f>'Adani Enterprises'!AD348</f>
        <v>0</v>
      </c>
      <c r="AE348" s="48">
        <f>'Adani Enterprises'!AE348</f>
        <v>0</v>
      </c>
      <c r="AF348" s="48">
        <f>'Adani Enterprises'!AF348</f>
        <v>0</v>
      </c>
      <c r="AG348" s="48">
        <f>'Adani Enterprises'!AG348</f>
        <v>0</v>
      </c>
      <c r="AH348" s="48">
        <f>'Adani Enterprises'!AH348</f>
        <v>0</v>
      </c>
      <c r="AI348" s="48">
        <f>'Adani Enterprises'!AI348</f>
        <v>0</v>
      </c>
      <c r="AJ348" s="48">
        <f>'Adani Enterprises'!AJ348</f>
        <v>0</v>
      </c>
      <c r="AK348" s="48">
        <f>'Adani Enterprises'!AK348</f>
        <v>0</v>
      </c>
      <c r="AL348" s="48">
        <f>'Adani Enterprises'!AL348</f>
        <v>0</v>
      </c>
    </row>
    <row r="349" customHeight="1" spans="1:38">
      <c r="A349" s="48">
        <f>'Adani Enterprises'!A349</f>
        <v>0</v>
      </c>
      <c r="B349" s="48">
        <f>'Adani Enterprises'!B349</f>
        <v>0</v>
      </c>
      <c r="C349" s="48">
        <f>'Adani Enterprises'!C349</f>
        <v>0</v>
      </c>
      <c r="D349" s="48">
        <f>'Adani Enterprises'!D349</f>
        <v>0</v>
      </c>
      <c r="E349" s="48">
        <f>'Adani Enterprises'!E349</f>
        <v>0</v>
      </c>
      <c r="F349" s="48">
        <f>'Adani Enterprises'!F349</f>
        <v>0</v>
      </c>
      <c r="G349" s="48">
        <f>'Adani Enterprises'!G349</f>
        <v>0</v>
      </c>
      <c r="H349" s="48">
        <f>'Adani Enterprises'!H349</f>
        <v>0</v>
      </c>
      <c r="I349" s="48">
        <f>'Adani Enterprises'!I349</f>
        <v>0</v>
      </c>
      <c r="J349" s="48">
        <f>'Adani Enterprises'!J349</f>
        <v>0</v>
      </c>
      <c r="K349" s="48">
        <f>'Adani Enterprises'!K349</f>
        <v>0</v>
      </c>
      <c r="L349" s="48">
        <f>'Adani Enterprises'!L349</f>
        <v>0</v>
      </c>
      <c r="M349" s="48">
        <f>'Adani Enterprises'!M349</f>
        <v>0</v>
      </c>
      <c r="N349" s="48">
        <f>'Adani Enterprises'!N349</f>
        <v>0</v>
      </c>
      <c r="O349" s="48">
        <f>'Adani Enterprises'!O349</f>
        <v>0</v>
      </c>
      <c r="P349" s="48">
        <f>'Adani Enterprises'!P349</f>
        <v>0</v>
      </c>
      <c r="Q349" s="48">
        <f>'Adani Enterprises'!Q349</f>
        <v>0</v>
      </c>
      <c r="R349" s="48">
        <f>'Adani Enterprises'!R349</f>
        <v>0</v>
      </c>
      <c r="S349" s="48">
        <f>'Adani Enterprises'!S349</f>
        <v>0</v>
      </c>
      <c r="T349" s="48">
        <f>'Adani Enterprises'!T349</f>
        <v>0</v>
      </c>
      <c r="U349" s="48">
        <f>'Adani Enterprises'!U349</f>
        <v>0</v>
      </c>
      <c r="V349" s="48">
        <f>'Adani Enterprises'!V349</f>
        <v>0</v>
      </c>
      <c r="W349" s="48">
        <f>'Adani Enterprises'!W349</f>
        <v>0</v>
      </c>
      <c r="X349" s="48">
        <f>'Adani Enterprises'!X349</f>
        <v>0</v>
      </c>
      <c r="Y349" s="48">
        <f>'Adani Enterprises'!Y349</f>
        <v>0</v>
      </c>
      <c r="Z349" s="48">
        <f>'Adani Enterprises'!Z349</f>
        <v>0</v>
      </c>
      <c r="AA349" s="48">
        <f>'Adani Enterprises'!AA349</f>
        <v>0</v>
      </c>
      <c r="AB349" s="48">
        <f>'Adani Enterprises'!AB349</f>
        <v>0</v>
      </c>
      <c r="AC349" s="48">
        <f>'Adani Enterprises'!AC349</f>
        <v>0</v>
      </c>
      <c r="AD349" s="48">
        <f>'Adani Enterprises'!AD349</f>
        <v>0</v>
      </c>
      <c r="AE349" s="48">
        <f>'Adani Enterprises'!AE349</f>
        <v>0</v>
      </c>
      <c r="AF349" s="48">
        <f>'Adani Enterprises'!AF349</f>
        <v>0</v>
      </c>
      <c r="AG349" s="48">
        <f>'Adani Enterprises'!AG349</f>
        <v>0</v>
      </c>
      <c r="AH349" s="48">
        <f>'Adani Enterprises'!AH349</f>
        <v>0</v>
      </c>
      <c r="AI349" s="48">
        <f>'Adani Enterprises'!AI349</f>
        <v>0</v>
      </c>
      <c r="AJ349" s="48">
        <f>'Adani Enterprises'!AJ349</f>
        <v>0</v>
      </c>
      <c r="AK349" s="48">
        <f>'Adani Enterprises'!AK349</f>
        <v>0</v>
      </c>
      <c r="AL349" s="48">
        <f>'Adani Enterprises'!AL349</f>
        <v>0</v>
      </c>
    </row>
    <row r="350" customHeight="1" spans="1:38">
      <c r="A350" s="48">
        <f>'Adani Enterprises'!A350</f>
        <v>0</v>
      </c>
      <c r="B350" s="48">
        <f>'Adani Enterprises'!B350</f>
        <v>0</v>
      </c>
      <c r="C350" s="48">
        <f>'Adani Enterprises'!C350</f>
        <v>0</v>
      </c>
      <c r="D350" s="48">
        <f>'Adani Enterprises'!D350</f>
        <v>0</v>
      </c>
      <c r="E350" s="48">
        <f>'Adani Enterprises'!E350</f>
        <v>0</v>
      </c>
      <c r="F350" s="48">
        <f>'Adani Enterprises'!F350</f>
        <v>0</v>
      </c>
      <c r="G350" s="48">
        <f>'Adani Enterprises'!G350</f>
        <v>0</v>
      </c>
      <c r="H350" s="48">
        <f>'Adani Enterprises'!H350</f>
        <v>0</v>
      </c>
      <c r="I350" s="48">
        <f>'Adani Enterprises'!I350</f>
        <v>0</v>
      </c>
      <c r="J350" s="48">
        <f>'Adani Enterprises'!J350</f>
        <v>0</v>
      </c>
      <c r="K350" s="48">
        <f>'Adani Enterprises'!K350</f>
        <v>0</v>
      </c>
      <c r="L350" s="48">
        <f>'Adani Enterprises'!L350</f>
        <v>0</v>
      </c>
      <c r="M350" s="48">
        <f>'Adani Enterprises'!M350</f>
        <v>0</v>
      </c>
      <c r="N350" s="48">
        <f>'Adani Enterprises'!N350</f>
        <v>0</v>
      </c>
      <c r="O350" s="48">
        <f>'Adani Enterprises'!O350</f>
        <v>0</v>
      </c>
      <c r="P350" s="48">
        <f>'Adani Enterprises'!P350</f>
        <v>0</v>
      </c>
      <c r="Q350" s="48">
        <f>'Adani Enterprises'!Q350</f>
        <v>0</v>
      </c>
      <c r="R350" s="48">
        <f>'Adani Enterprises'!R350</f>
        <v>0</v>
      </c>
      <c r="S350" s="48">
        <f>'Adani Enterprises'!S350</f>
        <v>0</v>
      </c>
      <c r="T350" s="48">
        <f>'Adani Enterprises'!T350</f>
        <v>0</v>
      </c>
      <c r="U350" s="48">
        <f>'Adani Enterprises'!U350</f>
        <v>0</v>
      </c>
      <c r="V350" s="48">
        <f>'Adani Enterprises'!V350</f>
        <v>0</v>
      </c>
      <c r="W350" s="48">
        <f>'Adani Enterprises'!W350</f>
        <v>0</v>
      </c>
      <c r="X350" s="48">
        <f>'Adani Enterprises'!X350</f>
        <v>0</v>
      </c>
      <c r="Y350" s="48">
        <f>'Adani Enterprises'!Y350</f>
        <v>0</v>
      </c>
      <c r="Z350" s="48">
        <f>'Adani Enterprises'!Z350</f>
        <v>0</v>
      </c>
      <c r="AA350" s="48">
        <f>'Adani Enterprises'!AA350</f>
        <v>0</v>
      </c>
      <c r="AB350" s="48">
        <f>'Adani Enterprises'!AB350</f>
        <v>0</v>
      </c>
      <c r="AC350" s="48">
        <f>'Adani Enterprises'!AC350</f>
        <v>0</v>
      </c>
      <c r="AD350" s="48">
        <f>'Adani Enterprises'!AD350</f>
        <v>0</v>
      </c>
      <c r="AE350" s="48">
        <f>'Adani Enterprises'!AE350</f>
        <v>0</v>
      </c>
      <c r="AF350" s="48">
        <f>'Adani Enterprises'!AF350</f>
        <v>0</v>
      </c>
      <c r="AG350" s="48">
        <f>'Adani Enterprises'!AG350</f>
        <v>0</v>
      </c>
      <c r="AH350" s="48">
        <f>'Adani Enterprises'!AH350</f>
        <v>0</v>
      </c>
      <c r="AI350" s="48">
        <f>'Adani Enterprises'!AI350</f>
        <v>0</v>
      </c>
      <c r="AJ350" s="48">
        <f>'Adani Enterprises'!AJ350</f>
        <v>0</v>
      </c>
      <c r="AK350" s="48">
        <f>'Adani Enterprises'!AK350</f>
        <v>0</v>
      </c>
      <c r="AL350" s="48">
        <f>'Adani Enterprises'!AL350</f>
        <v>0</v>
      </c>
    </row>
    <row r="351" customHeight="1" spans="1:38">
      <c r="A351" s="48">
        <f>'Adani Enterprises'!A351</f>
        <v>0</v>
      </c>
      <c r="B351" s="48">
        <f>'Adani Enterprises'!B351</f>
        <v>0</v>
      </c>
      <c r="C351" s="48">
        <f>'Adani Enterprises'!C351</f>
        <v>0</v>
      </c>
      <c r="D351" s="48">
        <f>'Adani Enterprises'!D351</f>
        <v>0</v>
      </c>
      <c r="E351" s="48">
        <f>'Adani Enterprises'!E351</f>
        <v>0</v>
      </c>
      <c r="F351" s="48">
        <f>'Adani Enterprises'!F351</f>
        <v>0</v>
      </c>
      <c r="G351" s="48">
        <f>'Adani Enterprises'!G351</f>
        <v>0</v>
      </c>
      <c r="H351" s="48">
        <f>'Adani Enterprises'!H351</f>
        <v>0</v>
      </c>
      <c r="I351" s="48">
        <f>'Adani Enterprises'!I351</f>
        <v>0</v>
      </c>
      <c r="J351" s="48">
        <f>'Adani Enterprises'!J351</f>
        <v>0</v>
      </c>
      <c r="K351" s="48">
        <f>'Adani Enterprises'!K351</f>
        <v>0</v>
      </c>
      <c r="L351" s="48">
        <f>'Adani Enterprises'!L351</f>
        <v>0</v>
      </c>
      <c r="M351" s="48">
        <f>'Adani Enterprises'!M351</f>
        <v>0</v>
      </c>
      <c r="N351" s="48">
        <f>'Adani Enterprises'!N351</f>
        <v>0</v>
      </c>
      <c r="O351" s="48">
        <f>'Adani Enterprises'!O351</f>
        <v>0</v>
      </c>
      <c r="P351" s="48">
        <f>'Adani Enterprises'!P351</f>
        <v>0</v>
      </c>
      <c r="Q351" s="48">
        <f>'Adani Enterprises'!Q351</f>
        <v>0</v>
      </c>
      <c r="R351" s="48">
        <f>'Adani Enterprises'!R351</f>
        <v>0</v>
      </c>
      <c r="S351" s="48">
        <f>'Adani Enterprises'!S351</f>
        <v>0</v>
      </c>
      <c r="T351" s="48">
        <f>'Adani Enterprises'!T351</f>
        <v>0</v>
      </c>
      <c r="U351" s="48">
        <f>'Adani Enterprises'!U351</f>
        <v>0</v>
      </c>
      <c r="V351" s="48">
        <f>'Adani Enterprises'!V351</f>
        <v>0</v>
      </c>
      <c r="W351" s="48">
        <f>'Adani Enterprises'!W351</f>
        <v>0</v>
      </c>
      <c r="X351" s="48">
        <f>'Adani Enterprises'!X351</f>
        <v>0</v>
      </c>
      <c r="Y351" s="48">
        <f>'Adani Enterprises'!Y351</f>
        <v>0</v>
      </c>
      <c r="Z351" s="48">
        <f>'Adani Enterprises'!Z351</f>
        <v>0</v>
      </c>
      <c r="AA351" s="48">
        <f>'Adani Enterprises'!AA351</f>
        <v>0</v>
      </c>
      <c r="AB351" s="48">
        <f>'Adani Enterprises'!AB351</f>
        <v>0</v>
      </c>
      <c r="AC351" s="48">
        <f>'Adani Enterprises'!AC351</f>
        <v>0</v>
      </c>
      <c r="AD351" s="48">
        <f>'Adani Enterprises'!AD351</f>
        <v>0</v>
      </c>
      <c r="AE351" s="48">
        <f>'Adani Enterprises'!AE351</f>
        <v>0</v>
      </c>
      <c r="AF351" s="48">
        <f>'Adani Enterprises'!AF351</f>
        <v>0</v>
      </c>
      <c r="AG351" s="48">
        <f>'Adani Enterprises'!AG351</f>
        <v>0</v>
      </c>
      <c r="AH351" s="48">
        <f>'Adani Enterprises'!AH351</f>
        <v>0</v>
      </c>
      <c r="AI351" s="48">
        <f>'Adani Enterprises'!AI351</f>
        <v>0</v>
      </c>
      <c r="AJ351" s="48">
        <f>'Adani Enterprises'!AJ351</f>
        <v>0</v>
      </c>
      <c r="AK351" s="48">
        <f>'Adani Enterprises'!AK351</f>
        <v>0</v>
      </c>
      <c r="AL351" s="48">
        <f>'Adani Enterprises'!AL351</f>
        <v>0</v>
      </c>
    </row>
    <row r="352" customHeight="1" spans="1:38">
      <c r="A352" s="48">
        <f>'Adani Enterprises'!A352</f>
        <v>0</v>
      </c>
      <c r="B352" s="48">
        <f>'Adani Enterprises'!B352</f>
        <v>0</v>
      </c>
      <c r="C352" s="48">
        <f>'Adani Enterprises'!C352</f>
        <v>0</v>
      </c>
      <c r="D352" s="48">
        <f>'Adani Enterprises'!D352</f>
        <v>0</v>
      </c>
      <c r="E352" s="48">
        <f>'Adani Enterprises'!E352</f>
        <v>0</v>
      </c>
      <c r="F352" s="48">
        <f>'Adani Enterprises'!F352</f>
        <v>0</v>
      </c>
      <c r="G352" s="48">
        <f>'Adani Enterprises'!G352</f>
        <v>0</v>
      </c>
      <c r="H352" s="48">
        <f>'Adani Enterprises'!H352</f>
        <v>0</v>
      </c>
      <c r="I352" s="48">
        <f>'Adani Enterprises'!I352</f>
        <v>0</v>
      </c>
      <c r="J352" s="48">
        <f>'Adani Enterprises'!J352</f>
        <v>0</v>
      </c>
      <c r="K352" s="48">
        <f>'Adani Enterprises'!K352</f>
        <v>0</v>
      </c>
      <c r="L352" s="48">
        <f>'Adani Enterprises'!L352</f>
        <v>0</v>
      </c>
      <c r="M352" s="48">
        <f>'Adani Enterprises'!M352</f>
        <v>0</v>
      </c>
      <c r="N352" s="48">
        <f>'Adani Enterprises'!N352</f>
        <v>0</v>
      </c>
      <c r="O352" s="48">
        <f>'Adani Enterprises'!O352</f>
        <v>0</v>
      </c>
      <c r="P352" s="48">
        <f>'Adani Enterprises'!P352</f>
        <v>0</v>
      </c>
      <c r="Q352" s="48">
        <f>'Adani Enterprises'!Q352</f>
        <v>0</v>
      </c>
      <c r="R352" s="48">
        <f>'Adani Enterprises'!R352</f>
        <v>0</v>
      </c>
      <c r="S352" s="48">
        <f>'Adani Enterprises'!S352</f>
        <v>0</v>
      </c>
      <c r="T352" s="48">
        <f>'Adani Enterprises'!T352</f>
        <v>0</v>
      </c>
      <c r="U352" s="48">
        <f>'Adani Enterprises'!U352</f>
        <v>0</v>
      </c>
      <c r="V352" s="48">
        <f>'Adani Enterprises'!V352</f>
        <v>0</v>
      </c>
      <c r="W352" s="48">
        <f>'Adani Enterprises'!W352</f>
        <v>0</v>
      </c>
      <c r="X352" s="48">
        <f>'Adani Enterprises'!X352</f>
        <v>0</v>
      </c>
      <c r="Y352" s="48">
        <f>'Adani Enterprises'!Y352</f>
        <v>0</v>
      </c>
      <c r="Z352" s="48">
        <f>'Adani Enterprises'!Z352</f>
        <v>0</v>
      </c>
      <c r="AA352" s="48">
        <f>'Adani Enterprises'!AA352</f>
        <v>0</v>
      </c>
      <c r="AB352" s="48">
        <f>'Adani Enterprises'!AB352</f>
        <v>0</v>
      </c>
      <c r="AC352" s="48">
        <f>'Adani Enterprises'!AC352</f>
        <v>0</v>
      </c>
      <c r="AD352" s="48">
        <f>'Adani Enterprises'!AD352</f>
        <v>0</v>
      </c>
      <c r="AE352" s="48">
        <f>'Adani Enterprises'!AE352</f>
        <v>0</v>
      </c>
      <c r="AF352" s="48">
        <f>'Adani Enterprises'!AF352</f>
        <v>0</v>
      </c>
      <c r="AG352" s="48">
        <f>'Adani Enterprises'!AG352</f>
        <v>0</v>
      </c>
      <c r="AH352" s="48">
        <f>'Adani Enterprises'!AH352</f>
        <v>0</v>
      </c>
      <c r="AI352" s="48">
        <f>'Adani Enterprises'!AI352</f>
        <v>0</v>
      </c>
      <c r="AJ352" s="48">
        <f>'Adani Enterprises'!AJ352</f>
        <v>0</v>
      </c>
      <c r="AK352" s="48">
        <f>'Adani Enterprises'!AK352</f>
        <v>0</v>
      </c>
      <c r="AL352" s="48">
        <f>'Adani Enterprises'!AL352</f>
        <v>0</v>
      </c>
    </row>
    <row r="353" customHeight="1" spans="1:38">
      <c r="A353" s="48">
        <f>'Adani Enterprises'!A353</f>
        <v>0</v>
      </c>
      <c r="B353" s="48">
        <f>'Adani Enterprises'!B353</f>
        <v>0</v>
      </c>
      <c r="C353" s="48">
        <f>'Adani Enterprises'!C353</f>
        <v>0</v>
      </c>
      <c r="D353" s="48">
        <f>'Adani Enterprises'!D353</f>
        <v>0</v>
      </c>
      <c r="E353" s="48">
        <f>'Adani Enterprises'!E353</f>
        <v>0</v>
      </c>
      <c r="F353" s="48">
        <f>'Adani Enterprises'!F353</f>
        <v>0</v>
      </c>
      <c r="G353" s="48">
        <f>'Adani Enterprises'!G353</f>
        <v>0</v>
      </c>
      <c r="H353" s="48">
        <f>'Adani Enterprises'!H353</f>
        <v>0</v>
      </c>
      <c r="I353" s="48">
        <f>'Adani Enterprises'!I353</f>
        <v>0</v>
      </c>
      <c r="J353" s="48">
        <f>'Adani Enterprises'!J353</f>
        <v>0</v>
      </c>
      <c r="K353" s="48">
        <f>'Adani Enterprises'!K353</f>
        <v>0</v>
      </c>
      <c r="L353" s="48">
        <f>'Adani Enterprises'!L353</f>
        <v>0</v>
      </c>
      <c r="M353" s="48">
        <f>'Adani Enterprises'!M353</f>
        <v>0</v>
      </c>
      <c r="N353" s="48">
        <f>'Adani Enterprises'!N353</f>
        <v>0</v>
      </c>
      <c r="O353" s="48">
        <f>'Adani Enterprises'!O353</f>
        <v>0</v>
      </c>
      <c r="P353" s="48">
        <f>'Adani Enterprises'!P353</f>
        <v>0</v>
      </c>
      <c r="Q353" s="48">
        <f>'Adani Enterprises'!Q353</f>
        <v>0</v>
      </c>
      <c r="R353" s="48">
        <f>'Adani Enterprises'!R353</f>
        <v>0</v>
      </c>
      <c r="S353" s="48">
        <f>'Adani Enterprises'!S353</f>
        <v>0</v>
      </c>
      <c r="T353" s="48">
        <f>'Adani Enterprises'!T353</f>
        <v>0</v>
      </c>
      <c r="U353" s="48">
        <f>'Adani Enterprises'!U353</f>
        <v>0</v>
      </c>
      <c r="V353" s="48">
        <f>'Adani Enterprises'!V353</f>
        <v>0</v>
      </c>
      <c r="W353" s="48">
        <f>'Adani Enterprises'!W353</f>
        <v>0</v>
      </c>
      <c r="X353" s="48">
        <f>'Adani Enterprises'!X353</f>
        <v>0</v>
      </c>
      <c r="Y353" s="48">
        <f>'Adani Enterprises'!Y353</f>
        <v>0</v>
      </c>
      <c r="Z353" s="48">
        <f>'Adani Enterprises'!Z353</f>
        <v>0</v>
      </c>
      <c r="AA353" s="48">
        <f>'Adani Enterprises'!AA353</f>
        <v>0</v>
      </c>
      <c r="AB353" s="48">
        <f>'Adani Enterprises'!AB353</f>
        <v>0</v>
      </c>
      <c r="AC353" s="48">
        <f>'Adani Enterprises'!AC353</f>
        <v>0</v>
      </c>
      <c r="AD353" s="48">
        <f>'Adani Enterprises'!AD353</f>
        <v>0</v>
      </c>
      <c r="AE353" s="48">
        <f>'Adani Enterprises'!AE353</f>
        <v>0</v>
      </c>
      <c r="AF353" s="48">
        <f>'Adani Enterprises'!AF353</f>
        <v>0</v>
      </c>
      <c r="AG353" s="48">
        <f>'Adani Enterprises'!AG353</f>
        <v>0</v>
      </c>
      <c r="AH353" s="48">
        <f>'Adani Enterprises'!AH353</f>
        <v>0</v>
      </c>
      <c r="AI353" s="48">
        <f>'Adani Enterprises'!AI353</f>
        <v>0</v>
      </c>
      <c r="AJ353" s="48">
        <f>'Adani Enterprises'!AJ353</f>
        <v>0</v>
      </c>
      <c r="AK353" s="48">
        <f>'Adani Enterprises'!AK353</f>
        <v>0</v>
      </c>
      <c r="AL353" s="48">
        <f>'Adani Enterprises'!AL353</f>
        <v>0</v>
      </c>
    </row>
    <row r="354" customHeight="1" spans="1:38">
      <c r="A354" s="48">
        <f>'Adani Enterprises'!A354</f>
        <v>0</v>
      </c>
      <c r="B354" s="48">
        <f>'Adani Enterprises'!B354</f>
        <v>0</v>
      </c>
      <c r="C354" s="48">
        <f>'Adani Enterprises'!C354</f>
        <v>0</v>
      </c>
      <c r="D354" s="48">
        <f>'Adani Enterprises'!D354</f>
        <v>0</v>
      </c>
      <c r="E354" s="48">
        <f>'Adani Enterprises'!E354</f>
        <v>0</v>
      </c>
      <c r="F354" s="48">
        <f>'Adani Enterprises'!F354</f>
        <v>0</v>
      </c>
      <c r="G354" s="48">
        <f>'Adani Enterprises'!G354</f>
        <v>0</v>
      </c>
      <c r="H354" s="48">
        <f>'Adani Enterprises'!H354</f>
        <v>0</v>
      </c>
      <c r="I354" s="48">
        <f>'Adani Enterprises'!I354</f>
        <v>0</v>
      </c>
      <c r="J354" s="48">
        <f>'Adani Enterprises'!J354</f>
        <v>0</v>
      </c>
      <c r="K354" s="48">
        <f>'Adani Enterprises'!K354</f>
        <v>0</v>
      </c>
      <c r="L354" s="48">
        <f>'Adani Enterprises'!L354</f>
        <v>0</v>
      </c>
      <c r="M354" s="48">
        <f>'Adani Enterprises'!M354</f>
        <v>0</v>
      </c>
      <c r="N354" s="48">
        <f>'Adani Enterprises'!N354</f>
        <v>0</v>
      </c>
      <c r="O354" s="48">
        <f>'Adani Enterprises'!O354</f>
        <v>0</v>
      </c>
      <c r="P354" s="48">
        <f>'Adani Enterprises'!P354</f>
        <v>0</v>
      </c>
      <c r="Q354" s="48">
        <f>'Adani Enterprises'!Q354</f>
        <v>0</v>
      </c>
      <c r="R354" s="48">
        <f>'Adani Enterprises'!R354</f>
        <v>0</v>
      </c>
      <c r="S354" s="48">
        <f>'Adani Enterprises'!S354</f>
        <v>0</v>
      </c>
      <c r="T354" s="48">
        <f>'Adani Enterprises'!T354</f>
        <v>0</v>
      </c>
      <c r="U354" s="48">
        <f>'Adani Enterprises'!U354</f>
        <v>0</v>
      </c>
      <c r="V354" s="48">
        <f>'Adani Enterprises'!V354</f>
        <v>0</v>
      </c>
      <c r="W354" s="48">
        <f>'Adani Enterprises'!W354</f>
        <v>0</v>
      </c>
      <c r="X354" s="48">
        <f>'Adani Enterprises'!X354</f>
        <v>0</v>
      </c>
      <c r="Y354" s="48">
        <f>'Adani Enterprises'!Y354</f>
        <v>0</v>
      </c>
      <c r="Z354" s="48">
        <f>'Adani Enterprises'!Z354</f>
        <v>0</v>
      </c>
      <c r="AA354" s="48">
        <f>'Adani Enterprises'!AA354</f>
        <v>0</v>
      </c>
      <c r="AB354" s="48">
        <f>'Adani Enterprises'!AB354</f>
        <v>0</v>
      </c>
      <c r="AC354" s="48">
        <f>'Adani Enterprises'!AC354</f>
        <v>0</v>
      </c>
      <c r="AD354" s="48">
        <f>'Adani Enterprises'!AD354</f>
        <v>0</v>
      </c>
      <c r="AE354" s="48">
        <f>'Adani Enterprises'!AE354</f>
        <v>0</v>
      </c>
      <c r="AF354" s="48">
        <f>'Adani Enterprises'!AF354</f>
        <v>0</v>
      </c>
      <c r="AG354" s="48">
        <f>'Adani Enterprises'!AG354</f>
        <v>0</v>
      </c>
      <c r="AH354" s="48">
        <f>'Adani Enterprises'!AH354</f>
        <v>0</v>
      </c>
      <c r="AI354" s="48">
        <f>'Adani Enterprises'!AI354</f>
        <v>0</v>
      </c>
      <c r="AJ354" s="48">
        <f>'Adani Enterprises'!AJ354</f>
        <v>0</v>
      </c>
      <c r="AK354" s="48">
        <f>'Adani Enterprises'!AK354</f>
        <v>0</v>
      </c>
      <c r="AL354" s="48">
        <f>'Adani Enterprises'!AL354</f>
        <v>0</v>
      </c>
    </row>
    <row r="355" customHeight="1" spans="1:38">
      <c r="A355" s="48">
        <f>'Adani Enterprises'!A355</f>
        <v>0</v>
      </c>
      <c r="B355" s="48">
        <f>'Adani Enterprises'!B355</f>
        <v>0</v>
      </c>
      <c r="C355" s="48">
        <f>'Adani Enterprises'!C355</f>
        <v>0</v>
      </c>
      <c r="D355" s="48">
        <f>'Adani Enterprises'!D355</f>
        <v>0</v>
      </c>
      <c r="E355" s="48">
        <f>'Adani Enterprises'!E355</f>
        <v>0</v>
      </c>
      <c r="F355" s="48">
        <f>'Adani Enterprises'!F355</f>
        <v>0</v>
      </c>
      <c r="G355" s="48">
        <f>'Adani Enterprises'!G355</f>
        <v>0</v>
      </c>
      <c r="H355" s="48">
        <f>'Adani Enterprises'!H355</f>
        <v>0</v>
      </c>
      <c r="I355" s="48">
        <f>'Adani Enterprises'!I355</f>
        <v>0</v>
      </c>
      <c r="J355" s="48">
        <f>'Adani Enterprises'!J355</f>
        <v>0</v>
      </c>
      <c r="K355" s="48">
        <f>'Adani Enterprises'!K355</f>
        <v>0</v>
      </c>
      <c r="L355" s="48">
        <f>'Adani Enterprises'!L355</f>
        <v>0</v>
      </c>
      <c r="M355" s="48">
        <f>'Adani Enterprises'!M355</f>
        <v>0</v>
      </c>
      <c r="N355" s="48">
        <f>'Adani Enterprises'!N355</f>
        <v>0</v>
      </c>
      <c r="O355" s="48">
        <f>'Adani Enterprises'!O355</f>
        <v>0</v>
      </c>
      <c r="P355" s="48">
        <f>'Adani Enterprises'!P355</f>
        <v>0</v>
      </c>
      <c r="Q355" s="48">
        <f>'Adani Enterprises'!Q355</f>
        <v>0</v>
      </c>
      <c r="R355" s="48">
        <f>'Adani Enterprises'!R355</f>
        <v>0</v>
      </c>
      <c r="S355" s="48">
        <f>'Adani Enterprises'!S355</f>
        <v>0</v>
      </c>
      <c r="T355" s="48">
        <f>'Adani Enterprises'!T355</f>
        <v>0</v>
      </c>
      <c r="U355" s="48">
        <f>'Adani Enterprises'!U355</f>
        <v>0</v>
      </c>
      <c r="V355" s="48">
        <f>'Adani Enterprises'!V355</f>
        <v>0</v>
      </c>
      <c r="W355" s="48">
        <f>'Adani Enterprises'!W355</f>
        <v>0</v>
      </c>
      <c r="X355" s="48">
        <f>'Adani Enterprises'!X355</f>
        <v>0</v>
      </c>
      <c r="Y355" s="48">
        <f>'Adani Enterprises'!Y355</f>
        <v>0</v>
      </c>
      <c r="Z355" s="48">
        <f>'Adani Enterprises'!Z355</f>
        <v>0</v>
      </c>
      <c r="AA355" s="48">
        <f>'Adani Enterprises'!AA355</f>
        <v>0</v>
      </c>
      <c r="AB355" s="48">
        <f>'Adani Enterprises'!AB355</f>
        <v>0</v>
      </c>
      <c r="AC355" s="48">
        <f>'Adani Enterprises'!AC355</f>
        <v>0</v>
      </c>
      <c r="AD355" s="48">
        <f>'Adani Enterprises'!AD355</f>
        <v>0</v>
      </c>
      <c r="AE355" s="48">
        <f>'Adani Enterprises'!AE355</f>
        <v>0</v>
      </c>
      <c r="AF355" s="48">
        <f>'Adani Enterprises'!AF355</f>
        <v>0</v>
      </c>
      <c r="AG355" s="48">
        <f>'Adani Enterprises'!AG355</f>
        <v>0</v>
      </c>
      <c r="AH355" s="48">
        <f>'Adani Enterprises'!AH355</f>
        <v>0</v>
      </c>
      <c r="AI355" s="48">
        <f>'Adani Enterprises'!AI355</f>
        <v>0</v>
      </c>
      <c r="AJ355" s="48">
        <f>'Adani Enterprises'!AJ355</f>
        <v>0</v>
      </c>
      <c r="AK355" s="48">
        <f>'Adani Enterprises'!AK355</f>
        <v>0</v>
      </c>
      <c r="AL355" s="48">
        <f>'Adani Enterprises'!AL355</f>
        <v>0</v>
      </c>
    </row>
    <row r="356" customHeight="1" spans="1:38">
      <c r="A356" s="48">
        <f>'Adani Enterprises'!A356</f>
        <v>0</v>
      </c>
      <c r="B356" s="48">
        <f>'Adani Enterprises'!B356</f>
        <v>0</v>
      </c>
      <c r="C356" s="48">
        <f>'Adani Enterprises'!C356</f>
        <v>0</v>
      </c>
      <c r="D356" s="48">
        <f>'Adani Enterprises'!D356</f>
        <v>0</v>
      </c>
      <c r="E356" s="48">
        <f>'Adani Enterprises'!E356</f>
        <v>0</v>
      </c>
      <c r="F356" s="48">
        <f>'Adani Enterprises'!F356</f>
        <v>0</v>
      </c>
      <c r="G356" s="48">
        <f>'Adani Enterprises'!G356</f>
        <v>0</v>
      </c>
      <c r="H356" s="48">
        <f>'Adani Enterprises'!H356</f>
        <v>0</v>
      </c>
      <c r="I356" s="48">
        <f>'Adani Enterprises'!I356</f>
        <v>0</v>
      </c>
      <c r="J356" s="48">
        <f>'Adani Enterprises'!J356</f>
        <v>0</v>
      </c>
      <c r="K356" s="48">
        <f>'Adani Enterprises'!K356</f>
        <v>0</v>
      </c>
      <c r="L356" s="48">
        <f>'Adani Enterprises'!L356</f>
        <v>0</v>
      </c>
      <c r="M356" s="48">
        <f>'Adani Enterprises'!M356</f>
        <v>0</v>
      </c>
      <c r="N356" s="48">
        <f>'Adani Enterprises'!N356</f>
        <v>0</v>
      </c>
      <c r="O356" s="48">
        <f>'Adani Enterprises'!O356</f>
        <v>0</v>
      </c>
      <c r="P356" s="48">
        <f>'Adani Enterprises'!P356</f>
        <v>0</v>
      </c>
      <c r="Q356" s="48">
        <f>'Adani Enterprises'!Q356</f>
        <v>0</v>
      </c>
      <c r="R356" s="48">
        <f>'Adani Enterprises'!R356</f>
        <v>0</v>
      </c>
      <c r="S356" s="48">
        <f>'Adani Enterprises'!S356</f>
        <v>0</v>
      </c>
      <c r="T356" s="48">
        <f>'Adani Enterprises'!T356</f>
        <v>0</v>
      </c>
      <c r="U356" s="48">
        <f>'Adani Enterprises'!U356</f>
        <v>0</v>
      </c>
      <c r="V356" s="48">
        <f>'Adani Enterprises'!V356</f>
        <v>0</v>
      </c>
      <c r="W356" s="48">
        <f>'Adani Enterprises'!W356</f>
        <v>0</v>
      </c>
      <c r="X356" s="48">
        <f>'Adani Enterprises'!X356</f>
        <v>0</v>
      </c>
      <c r="Y356" s="48">
        <f>'Adani Enterprises'!Y356</f>
        <v>0</v>
      </c>
      <c r="Z356" s="48">
        <f>'Adani Enterprises'!Z356</f>
        <v>0</v>
      </c>
      <c r="AA356" s="48">
        <f>'Adani Enterprises'!AA356</f>
        <v>0</v>
      </c>
      <c r="AB356" s="48">
        <f>'Adani Enterprises'!AB356</f>
        <v>0</v>
      </c>
      <c r="AC356" s="48">
        <f>'Adani Enterprises'!AC356</f>
        <v>0</v>
      </c>
      <c r="AD356" s="48">
        <f>'Adani Enterprises'!AD356</f>
        <v>0</v>
      </c>
      <c r="AE356" s="48">
        <f>'Adani Enterprises'!AE356</f>
        <v>0</v>
      </c>
      <c r="AF356" s="48">
        <f>'Adani Enterprises'!AF356</f>
        <v>0</v>
      </c>
      <c r="AG356" s="48">
        <f>'Adani Enterprises'!AG356</f>
        <v>0</v>
      </c>
      <c r="AH356" s="48">
        <f>'Adani Enterprises'!AH356</f>
        <v>0</v>
      </c>
      <c r="AI356" s="48">
        <f>'Adani Enterprises'!AI356</f>
        <v>0</v>
      </c>
      <c r="AJ356" s="48">
        <f>'Adani Enterprises'!AJ356</f>
        <v>0</v>
      </c>
      <c r="AK356" s="48">
        <f>'Adani Enterprises'!AK356</f>
        <v>0</v>
      </c>
      <c r="AL356" s="48">
        <f>'Adani Enterprises'!AL356</f>
        <v>0</v>
      </c>
    </row>
    <row r="357" customHeight="1" spans="1:38">
      <c r="A357" s="48">
        <f>'Adani Enterprises'!A357</f>
        <v>0</v>
      </c>
      <c r="B357" s="48">
        <f>'Adani Enterprises'!B357</f>
        <v>0</v>
      </c>
      <c r="C357" s="48">
        <f>'Adani Enterprises'!C357</f>
        <v>0</v>
      </c>
      <c r="D357" s="48">
        <f>'Adani Enterprises'!D357</f>
        <v>0</v>
      </c>
      <c r="E357" s="48">
        <f>'Adani Enterprises'!E357</f>
        <v>0</v>
      </c>
      <c r="F357" s="48">
        <f>'Adani Enterprises'!F357</f>
        <v>0</v>
      </c>
      <c r="G357" s="48">
        <f>'Adani Enterprises'!G357</f>
        <v>0</v>
      </c>
      <c r="H357" s="48">
        <f>'Adani Enterprises'!H357</f>
        <v>0</v>
      </c>
      <c r="I357" s="48">
        <f>'Adani Enterprises'!I357</f>
        <v>0</v>
      </c>
      <c r="J357" s="48">
        <f>'Adani Enterprises'!J357</f>
        <v>0</v>
      </c>
      <c r="K357" s="48">
        <f>'Adani Enterprises'!K357</f>
        <v>0</v>
      </c>
      <c r="L357" s="48">
        <f>'Adani Enterprises'!L357</f>
        <v>0</v>
      </c>
      <c r="M357" s="48">
        <f>'Adani Enterprises'!M357</f>
        <v>0</v>
      </c>
      <c r="N357" s="48">
        <f>'Adani Enterprises'!N357</f>
        <v>0</v>
      </c>
      <c r="O357" s="48">
        <f>'Adani Enterprises'!O357</f>
        <v>0</v>
      </c>
      <c r="P357" s="48">
        <f>'Adani Enterprises'!P357</f>
        <v>0</v>
      </c>
      <c r="Q357" s="48">
        <f>'Adani Enterprises'!Q357</f>
        <v>0</v>
      </c>
      <c r="R357" s="48">
        <f>'Adani Enterprises'!R357</f>
        <v>0</v>
      </c>
      <c r="S357" s="48">
        <f>'Adani Enterprises'!S357</f>
        <v>0</v>
      </c>
      <c r="T357" s="48">
        <f>'Adani Enterprises'!T357</f>
        <v>0</v>
      </c>
      <c r="U357" s="48">
        <f>'Adani Enterprises'!U357</f>
        <v>0</v>
      </c>
      <c r="V357" s="48">
        <f>'Adani Enterprises'!V357</f>
        <v>0</v>
      </c>
      <c r="W357" s="48">
        <f>'Adani Enterprises'!W357</f>
        <v>0</v>
      </c>
      <c r="X357" s="48">
        <f>'Adani Enterprises'!X357</f>
        <v>0</v>
      </c>
      <c r="Y357" s="48">
        <f>'Adani Enterprises'!Y357</f>
        <v>0</v>
      </c>
      <c r="Z357" s="48">
        <f>'Adani Enterprises'!Z357</f>
        <v>0</v>
      </c>
      <c r="AA357" s="48">
        <f>'Adani Enterprises'!AA357</f>
        <v>0</v>
      </c>
      <c r="AB357" s="48">
        <f>'Adani Enterprises'!AB357</f>
        <v>0</v>
      </c>
      <c r="AC357" s="48">
        <f>'Adani Enterprises'!AC357</f>
        <v>0</v>
      </c>
      <c r="AD357" s="48">
        <f>'Adani Enterprises'!AD357</f>
        <v>0</v>
      </c>
      <c r="AE357" s="48">
        <f>'Adani Enterprises'!AE357</f>
        <v>0</v>
      </c>
      <c r="AF357" s="48">
        <f>'Adani Enterprises'!AF357</f>
        <v>0</v>
      </c>
      <c r="AG357" s="48">
        <f>'Adani Enterprises'!AG357</f>
        <v>0</v>
      </c>
      <c r="AH357" s="48">
        <f>'Adani Enterprises'!AH357</f>
        <v>0</v>
      </c>
      <c r="AI357" s="48">
        <f>'Adani Enterprises'!AI357</f>
        <v>0</v>
      </c>
      <c r="AJ357" s="48">
        <f>'Adani Enterprises'!AJ357</f>
        <v>0</v>
      </c>
      <c r="AK357" s="48">
        <f>'Adani Enterprises'!AK357</f>
        <v>0</v>
      </c>
      <c r="AL357" s="48">
        <f>'Adani Enterprises'!AL357</f>
        <v>0</v>
      </c>
    </row>
    <row r="358" customHeight="1" spans="1:38">
      <c r="A358" s="48">
        <f>'Adani Enterprises'!A358</f>
        <v>0</v>
      </c>
      <c r="B358" s="48">
        <f>'Adani Enterprises'!B358</f>
        <v>0</v>
      </c>
      <c r="C358" s="48">
        <f>'Adani Enterprises'!C358</f>
        <v>0</v>
      </c>
      <c r="D358" s="48">
        <f>'Adani Enterprises'!D358</f>
        <v>0</v>
      </c>
      <c r="E358" s="48">
        <f>'Adani Enterprises'!E358</f>
        <v>0</v>
      </c>
      <c r="F358" s="48">
        <f>'Adani Enterprises'!F358</f>
        <v>0</v>
      </c>
      <c r="G358" s="48">
        <f>'Adani Enterprises'!G358</f>
        <v>0</v>
      </c>
      <c r="H358" s="48">
        <f>'Adani Enterprises'!H358</f>
        <v>0</v>
      </c>
      <c r="I358" s="48">
        <f>'Adani Enterprises'!I358</f>
        <v>0</v>
      </c>
      <c r="J358" s="48">
        <f>'Adani Enterprises'!J358</f>
        <v>0</v>
      </c>
      <c r="K358" s="48">
        <f>'Adani Enterprises'!K358</f>
        <v>0</v>
      </c>
      <c r="L358" s="48">
        <f>'Adani Enterprises'!L358</f>
        <v>0</v>
      </c>
      <c r="M358" s="48">
        <f>'Adani Enterprises'!M358</f>
        <v>0</v>
      </c>
      <c r="N358" s="48">
        <f>'Adani Enterprises'!N358</f>
        <v>0</v>
      </c>
      <c r="O358" s="48">
        <f>'Adani Enterprises'!O358</f>
        <v>0</v>
      </c>
      <c r="P358" s="48">
        <f>'Adani Enterprises'!P358</f>
        <v>0</v>
      </c>
      <c r="Q358" s="48">
        <f>'Adani Enterprises'!Q358</f>
        <v>0</v>
      </c>
      <c r="R358" s="48">
        <f>'Adani Enterprises'!R358</f>
        <v>0</v>
      </c>
      <c r="S358" s="48">
        <f>'Adani Enterprises'!S358</f>
        <v>0</v>
      </c>
      <c r="T358" s="48">
        <f>'Adani Enterprises'!T358</f>
        <v>0</v>
      </c>
      <c r="U358" s="48">
        <f>'Adani Enterprises'!U358</f>
        <v>0</v>
      </c>
      <c r="V358" s="48">
        <f>'Adani Enterprises'!V358</f>
        <v>0</v>
      </c>
      <c r="W358" s="48">
        <f>'Adani Enterprises'!W358</f>
        <v>0</v>
      </c>
      <c r="X358" s="48">
        <f>'Adani Enterprises'!X358</f>
        <v>0</v>
      </c>
      <c r="Y358" s="48">
        <f>'Adani Enterprises'!Y358</f>
        <v>0</v>
      </c>
      <c r="Z358" s="48">
        <f>'Adani Enterprises'!Z358</f>
        <v>0</v>
      </c>
      <c r="AA358" s="48">
        <f>'Adani Enterprises'!AA358</f>
        <v>0</v>
      </c>
      <c r="AB358" s="48">
        <f>'Adani Enterprises'!AB358</f>
        <v>0</v>
      </c>
      <c r="AC358" s="48">
        <f>'Adani Enterprises'!AC358</f>
        <v>0</v>
      </c>
      <c r="AD358" s="48">
        <f>'Adani Enterprises'!AD358</f>
        <v>0</v>
      </c>
      <c r="AE358" s="48">
        <f>'Adani Enterprises'!AE358</f>
        <v>0</v>
      </c>
      <c r="AF358" s="48">
        <f>'Adani Enterprises'!AF358</f>
        <v>0</v>
      </c>
      <c r="AG358" s="48">
        <f>'Adani Enterprises'!AG358</f>
        <v>0</v>
      </c>
      <c r="AH358" s="48">
        <f>'Adani Enterprises'!AH358</f>
        <v>0</v>
      </c>
      <c r="AI358" s="48">
        <f>'Adani Enterprises'!AI358</f>
        <v>0</v>
      </c>
      <c r="AJ358" s="48">
        <f>'Adani Enterprises'!AJ358</f>
        <v>0</v>
      </c>
      <c r="AK358" s="48">
        <f>'Adani Enterprises'!AK358</f>
        <v>0</v>
      </c>
      <c r="AL358" s="48">
        <f>'Adani Enterprises'!AL358</f>
        <v>0</v>
      </c>
    </row>
    <row r="359" customHeight="1" spans="1:38">
      <c r="A359" s="48">
        <f>'Adani Enterprises'!A359</f>
        <v>0</v>
      </c>
      <c r="B359" s="48">
        <f>'Adani Enterprises'!B359</f>
        <v>0</v>
      </c>
      <c r="C359" s="48">
        <f>'Adani Enterprises'!C359</f>
        <v>0</v>
      </c>
      <c r="D359" s="48">
        <f>'Adani Enterprises'!D359</f>
        <v>0</v>
      </c>
      <c r="E359" s="48">
        <f>'Adani Enterprises'!E359</f>
        <v>0</v>
      </c>
      <c r="F359" s="48">
        <f>'Adani Enterprises'!F359</f>
        <v>0</v>
      </c>
      <c r="G359" s="48">
        <f>'Adani Enterprises'!G359</f>
        <v>0</v>
      </c>
      <c r="H359" s="48">
        <f>'Adani Enterprises'!H359</f>
        <v>0</v>
      </c>
      <c r="I359" s="48">
        <f>'Adani Enterprises'!I359</f>
        <v>0</v>
      </c>
      <c r="J359" s="48">
        <f>'Adani Enterprises'!J359</f>
        <v>0</v>
      </c>
      <c r="K359" s="48">
        <f>'Adani Enterprises'!K359</f>
        <v>0</v>
      </c>
      <c r="L359" s="48">
        <f>'Adani Enterprises'!L359</f>
        <v>0</v>
      </c>
      <c r="M359" s="48">
        <f>'Adani Enterprises'!M359</f>
        <v>0</v>
      </c>
      <c r="N359" s="48">
        <f>'Adani Enterprises'!N359</f>
        <v>0</v>
      </c>
      <c r="O359" s="48">
        <f>'Adani Enterprises'!O359</f>
        <v>0</v>
      </c>
      <c r="P359" s="48">
        <f>'Adani Enterprises'!P359</f>
        <v>0</v>
      </c>
      <c r="Q359" s="48">
        <f>'Adani Enterprises'!Q359</f>
        <v>0</v>
      </c>
      <c r="R359" s="48">
        <f>'Adani Enterprises'!R359</f>
        <v>0</v>
      </c>
      <c r="S359" s="48">
        <f>'Adani Enterprises'!S359</f>
        <v>0</v>
      </c>
      <c r="T359" s="48">
        <f>'Adani Enterprises'!T359</f>
        <v>0</v>
      </c>
      <c r="U359" s="48">
        <f>'Adani Enterprises'!U359</f>
        <v>0</v>
      </c>
      <c r="V359" s="48">
        <f>'Adani Enterprises'!V359</f>
        <v>0</v>
      </c>
      <c r="W359" s="48">
        <f>'Adani Enterprises'!W359</f>
        <v>0</v>
      </c>
      <c r="X359" s="48">
        <f>'Adani Enterprises'!X359</f>
        <v>0</v>
      </c>
      <c r="Y359" s="48">
        <f>'Adani Enterprises'!Y359</f>
        <v>0</v>
      </c>
      <c r="Z359" s="48">
        <f>'Adani Enterprises'!Z359</f>
        <v>0</v>
      </c>
      <c r="AA359" s="48">
        <f>'Adani Enterprises'!AA359</f>
        <v>0</v>
      </c>
      <c r="AB359" s="48">
        <f>'Adani Enterprises'!AB359</f>
        <v>0</v>
      </c>
      <c r="AC359" s="48">
        <f>'Adani Enterprises'!AC359</f>
        <v>0</v>
      </c>
      <c r="AD359" s="48">
        <f>'Adani Enterprises'!AD359</f>
        <v>0</v>
      </c>
      <c r="AE359" s="48">
        <f>'Adani Enterprises'!AE359</f>
        <v>0</v>
      </c>
      <c r="AF359" s="48">
        <f>'Adani Enterprises'!AF359</f>
        <v>0</v>
      </c>
      <c r="AG359" s="48">
        <f>'Adani Enterprises'!AG359</f>
        <v>0</v>
      </c>
      <c r="AH359" s="48">
        <f>'Adani Enterprises'!AH359</f>
        <v>0</v>
      </c>
      <c r="AI359" s="48">
        <f>'Adani Enterprises'!AI359</f>
        <v>0</v>
      </c>
      <c r="AJ359" s="48">
        <f>'Adani Enterprises'!AJ359</f>
        <v>0</v>
      </c>
      <c r="AK359" s="48">
        <f>'Adani Enterprises'!AK359</f>
        <v>0</v>
      </c>
      <c r="AL359" s="48">
        <f>'Adani Enterprises'!AL359</f>
        <v>0</v>
      </c>
    </row>
    <row r="360" customHeight="1" spans="1:38">
      <c r="A360" s="48">
        <f>'Adani Enterprises'!A360</f>
        <v>0</v>
      </c>
      <c r="B360" s="48">
        <f>'Adani Enterprises'!B360</f>
        <v>0</v>
      </c>
      <c r="C360" s="48">
        <f>'Adani Enterprises'!C360</f>
        <v>0</v>
      </c>
      <c r="D360" s="48">
        <f>'Adani Enterprises'!D360</f>
        <v>0</v>
      </c>
      <c r="E360" s="48">
        <f>'Adani Enterprises'!E360</f>
        <v>0</v>
      </c>
      <c r="F360" s="48">
        <f>'Adani Enterprises'!F360</f>
        <v>0</v>
      </c>
      <c r="G360" s="48">
        <f>'Adani Enterprises'!G360</f>
        <v>0</v>
      </c>
      <c r="H360" s="48">
        <f>'Adani Enterprises'!H360</f>
        <v>0</v>
      </c>
      <c r="I360" s="48">
        <f>'Adani Enterprises'!I360</f>
        <v>0</v>
      </c>
      <c r="J360" s="48">
        <f>'Adani Enterprises'!J360</f>
        <v>0</v>
      </c>
      <c r="K360" s="48">
        <f>'Adani Enterprises'!K360</f>
        <v>0</v>
      </c>
      <c r="L360" s="48">
        <f>'Adani Enterprises'!L360</f>
        <v>0</v>
      </c>
      <c r="M360" s="48">
        <f>'Adani Enterprises'!M360</f>
        <v>0</v>
      </c>
      <c r="N360" s="48">
        <f>'Adani Enterprises'!N360</f>
        <v>0</v>
      </c>
      <c r="O360" s="48">
        <f>'Adani Enterprises'!O360</f>
        <v>0</v>
      </c>
      <c r="P360" s="48">
        <f>'Adani Enterprises'!P360</f>
        <v>0</v>
      </c>
      <c r="Q360" s="48">
        <f>'Adani Enterprises'!Q360</f>
        <v>0</v>
      </c>
      <c r="R360" s="48">
        <f>'Adani Enterprises'!R360</f>
        <v>0</v>
      </c>
      <c r="S360" s="48">
        <f>'Adani Enterprises'!S360</f>
        <v>0</v>
      </c>
      <c r="T360" s="48">
        <f>'Adani Enterprises'!T360</f>
        <v>0</v>
      </c>
      <c r="U360" s="48">
        <f>'Adani Enterprises'!U360</f>
        <v>0</v>
      </c>
      <c r="V360" s="48">
        <f>'Adani Enterprises'!V360</f>
        <v>0</v>
      </c>
      <c r="W360" s="48">
        <f>'Adani Enterprises'!W360</f>
        <v>0</v>
      </c>
      <c r="X360" s="48">
        <f>'Adani Enterprises'!X360</f>
        <v>0</v>
      </c>
      <c r="Y360" s="48">
        <f>'Adani Enterprises'!Y360</f>
        <v>0</v>
      </c>
      <c r="Z360" s="48">
        <f>'Adani Enterprises'!Z360</f>
        <v>0</v>
      </c>
      <c r="AA360" s="48">
        <f>'Adani Enterprises'!AA360</f>
        <v>0</v>
      </c>
      <c r="AB360" s="48">
        <f>'Adani Enterprises'!AB360</f>
        <v>0</v>
      </c>
      <c r="AC360" s="48">
        <f>'Adani Enterprises'!AC360</f>
        <v>0</v>
      </c>
      <c r="AD360" s="48">
        <f>'Adani Enterprises'!AD360</f>
        <v>0</v>
      </c>
      <c r="AE360" s="48">
        <f>'Adani Enterprises'!AE360</f>
        <v>0</v>
      </c>
      <c r="AF360" s="48">
        <f>'Adani Enterprises'!AF360</f>
        <v>0</v>
      </c>
      <c r="AG360" s="48">
        <f>'Adani Enterprises'!AG360</f>
        <v>0</v>
      </c>
      <c r="AH360" s="48">
        <f>'Adani Enterprises'!AH360</f>
        <v>0</v>
      </c>
      <c r="AI360" s="48">
        <f>'Adani Enterprises'!AI360</f>
        <v>0</v>
      </c>
      <c r="AJ360" s="48">
        <f>'Adani Enterprises'!AJ360</f>
        <v>0</v>
      </c>
      <c r="AK360" s="48">
        <f>'Adani Enterprises'!AK360</f>
        <v>0</v>
      </c>
      <c r="AL360" s="48">
        <f>'Adani Enterprises'!AL360</f>
        <v>0</v>
      </c>
    </row>
    <row r="361" customHeight="1" spans="1:38">
      <c r="A361" s="48">
        <f>'Adani Enterprises'!A361</f>
        <v>0</v>
      </c>
      <c r="B361" s="48">
        <f>'Adani Enterprises'!B361</f>
        <v>0</v>
      </c>
      <c r="C361" s="48">
        <f>'Adani Enterprises'!C361</f>
        <v>0</v>
      </c>
      <c r="D361" s="48">
        <f>'Adani Enterprises'!D361</f>
        <v>0</v>
      </c>
      <c r="E361" s="48">
        <f>'Adani Enterprises'!E361</f>
        <v>0</v>
      </c>
      <c r="F361" s="48">
        <f>'Adani Enterprises'!F361</f>
        <v>0</v>
      </c>
      <c r="G361" s="48">
        <f>'Adani Enterprises'!G361</f>
        <v>0</v>
      </c>
      <c r="H361" s="48">
        <f>'Adani Enterprises'!H361</f>
        <v>0</v>
      </c>
      <c r="I361" s="48">
        <f>'Adani Enterprises'!I361</f>
        <v>0</v>
      </c>
      <c r="J361" s="48">
        <f>'Adani Enterprises'!J361</f>
        <v>0</v>
      </c>
      <c r="K361" s="48">
        <f>'Adani Enterprises'!K361</f>
        <v>0</v>
      </c>
      <c r="L361" s="48">
        <f>'Adani Enterprises'!L361</f>
        <v>0</v>
      </c>
      <c r="M361" s="48">
        <f>'Adani Enterprises'!M361</f>
        <v>0</v>
      </c>
      <c r="N361" s="48">
        <f>'Adani Enterprises'!N361</f>
        <v>0</v>
      </c>
      <c r="O361" s="48">
        <f>'Adani Enterprises'!O361</f>
        <v>0</v>
      </c>
      <c r="P361" s="48">
        <f>'Adani Enterprises'!P361</f>
        <v>0</v>
      </c>
      <c r="Q361" s="48">
        <f>'Adani Enterprises'!Q361</f>
        <v>0</v>
      </c>
      <c r="R361" s="48">
        <f>'Adani Enterprises'!R361</f>
        <v>0</v>
      </c>
      <c r="S361" s="48">
        <f>'Adani Enterprises'!S361</f>
        <v>0</v>
      </c>
      <c r="T361" s="48">
        <f>'Adani Enterprises'!T361</f>
        <v>0</v>
      </c>
      <c r="U361" s="48">
        <f>'Adani Enterprises'!U361</f>
        <v>0</v>
      </c>
      <c r="V361" s="48">
        <f>'Adani Enterprises'!V361</f>
        <v>0</v>
      </c>
      <c r="W361" s="48">
        <f>'Adani Enterprises'!W361</f>
        <v>0</v>
      </c>
      <c r="X361" s="48">
        <f>'Adani Enterprises'!X361</f>
        <v>0</v>
      </c>
      <c r="Y361" s="48">
        <f>'Adani Enterprises'!Y361</f>
        <v>0</v>
      </c>
      <c r="Z361" s="48">
        <f>'Adani Enterprises'!Z361</f>
        <v>0</v>
      </c>
      <c r="AA361" s="48">
        <f>'Adani Enterprises'!AA361</f>
        <v>0</v>
      </c>
      <c r="AB361" s="48">
        <f>'Adani Enterprises'!AB361</f>
        <v>0</v>
      </c>
      <c r="AC361" s="48">
        <f>'Adani Enterprises'!AC361</f>
        <v>0</v>
      </c>
      <c r="AD361" s="48">
        <f>'Adani Enterprises'!AD361</f>
        <v>0</v>
      </c>
      <c r="AE361" s="48">
        <f>'Adani Enterprises'!AE361</f>
        <v>0</v>
      </c>
      <c r="AF361" s="48">
        <f>'Adani Enterprises'!AF361</f>
        <v>0</v>
      </c>
      <c r="AG361" s="48">
        <f>'Adani Enterprises'!AG361</f>
        <v>0</v>
      </c>
      <c r="AH361" s="48">
        <f>'Adani Enterprises'!AH361</f>
        <v>0</v>
      </c>
      <c r="AI361" s="48">
        <f>'Adani Enterprises'!AI361</f>
        <v>0</v>
      </c>
      <c r="AJ361" s="48">
        <f>'Adani Enterprises'!AJ361</f>
        <v>0</v>
      </c>
      <c r="AK361" s="48">
        <f>'Adani Enterprises'!AK361</f>
        <v>0</v>
      </c>
      <c r="AL361" s="48">
        <f>'Adani Enterprises'!AL361</f>
        <v>0</v>
      </c>
    </row>
    <row r="362" customHeight="1" spans="1:38">
      <c r="A362" s="48">
        <f>'Adani Enterprises'!A362</f>
        <v>0</v>
      </c>
      <c r="B362" s="48">
        <f>'Adani Enterprises'!B362</f>
        <v>0</v>
      </c>
      <c r="C362" s="48">
        <f>'Adani Enterprises'!C362</f>
        <v>0</v>
      </c>
      <c r="D362" s="48">
        <f>'Adani Enterprises'!D362</f>
        <v>0</v>
      </c>
      <c r="E362" s="48">
        <f>'Adani Enterprises'!E362</f>
        <v>0</v>
      </c>
      <c r="F362" s="48">
        <f>'Adani Enterprises'!F362</f>
        <v>0</v>
      </c>
      <c r="G362" s="48">
        <f>'Adani Enterprises'!G362</f>
        <v>0</v>
      </c>
      <c r="H362" s="48">
        <f>'Adani Enterprises'!H362</f>
        <v>0</v>
      </c>
      <c r="I362" s="48">
        <f>'Adani Enterprises'!I362</f>
        <v>0</v>
      </c>
      <c r="J362" s="48">
        <f>'Adani Enterprises'!J362</f>
        <v>0</v>
      </c>
      <c r="K362" s="48">
        <f>'Adani Enterprises'!K362</f>
        <v>0</v>
      </c>
      <c r="L362" s="48">
        <f>'Adani Enterprises'!L362</f>
        <v>0</v>
      </c>
      <c r="M362" s="48">
        <f>'Adani Enterprises'!M362</f>
        <v>0</v>
      </c>
      <c r="N362" s="48">
        <f>'Adani Enterprises'!N362</f>
        <v>0</v>
      </c>
      <c r="O362" s="48">
        <f>'Adani Enterprises'!O362</f>
        <v>0</v>
      </c>
      <c r="P362" s="48">
        <f>'Adani Enterprises'!P362</f>
        <v>0</v>
      </c>
      <c r="Q362" s="48">
        <f>'Adani Enterprises'!Q362</f>
        <v>0</v>
      </c>
      <c r="R362" s="48">
        <f>'Adani Enterprises'!R362</f>
        <v>0</v>
      </c>
      <c r="S362" s="48">
        <f>'Adani Enterprises'!S362</f>
        <v>0</v>
      </c>
      <c r="T362" s="48">
        <f>'Adani Enterprises'!T362</f>
        <v>0</v>
      </c>
      <c r="U362" s="48">
        <f>'Adani Enterprises'!U362</f>
        <v>0</v>
      </c>
      <c r="V362" s="48">
        <f>'Adani Enterprises'!V362</f>
        <v>0</v>
      </c>
      <c r="W362" s="48">
        <f>'Adani Enterprises'!W362</f>
        <v>0</v>
      </c>
      <c r="X362" s="48">
        <f>'Adani Enterprises'!X362</f>
        <v>0</v>
      </c>
      <c r="Y362" s="48">
        <f>'Adani Enterprises'!Y362</f>
        <v>0</v>
      </c>
      <c r="Z362" s="48">
        <f>'Adani Enterprises'!Z362</f>
        <v>0</v>
      </c>
      <c r="AA362" s="48">
        <f>'Adani Enterprises'!AA362</f>
        <v>0</v>
      </c>
      <c r="AB362" s="48">
        <f>'Adani Enterprises'!AB362</f>
        <v>0</v>
      </c>
      <c r="AC362" s="48">
        <f>'Adani Enterprises'!AC362</f>
        <v>0</v>
      </c>
      <c r="AD362" s="48">
        <f>'Adani Enterprises'!AD362</f>
        <v>0</v>
      </c>
      <c r="AE362" s="48">
        <f>'Adani Enterprises'!AE362</f>
        <v>0</v>
      </c>
      <c r="AF362" s="48">
        <f>'Adani Enterprises'!AF362</f>
        <v>0</v>
      </c>
      <c r="AG362" s="48">
        <f>'Adani Enterprises'!AG362</f>
        <v>0</v>
      </c>
      <c r="AH362" s="48">
        <f>'Adani Enterprises'!AH362</f>
        <v>0</v>
      </c>
      <c r="AI362" s="48">
        <f>'Adani Enterprises'!AI362</f>
        <v>0</v>
      </c>
      <c r="AJ362" s="48">
        <f>'Adani Enterprises'!AJ362</f>
        <v>0</v>
      </c>
      <c r="AK362" s="48">
        <f>'Adani Enterprises'!AK362</f>
        <v>0</v>
      </c>
      <c r="AL362" s="48">
        <f>'Adani Enterprises'!AL362</f>
        <v>0</v>
      </c>
    </row>
    <row r="363" customHeight="1" spans="1:38">
      <c r="A363" s="48">
        <f>'Adani Enterprises'!A363</f>
        <v>0</v>
      </c>
      <c r="B363" s="48">
        <f>'Adani Enterprises'!B363</f>
        <v>0</v>
      </c>
      <c r="C363" s="48">
        <f>'Adani Enterprises'!C363</f>
        <v>0</v>
      </c>
      <c r="D363" s="48">
        <f>'Adani Enterprises'!D363</f>
        <v>0</v>
      </c>
      <c r="E363" s="48">
        <f>'Adani Enterprises'!E363</f>
        <v>0</v>
      </c>
      <c r="F363" s="48">
        <f>'Adani Enterprises'!F363</f>
        <v>0</v>
      </c>
      <c r="G363" s="48">
        <f>'Adani Enterprises'!G363</f>
        <v>0</v>
      </c>
      <c r="H363" s="48">
        <f>'Adani Enterprises'!H363</f>
        <v>0</v>
      </c>
      <c r="I363" s="48">
        <f>'Adani Enterprises'!I363</f>
        <v>0</v>
      </c>
      <c r="J363" s="48">
        <f>'Adani Enterprises'!J363</f>
        <v>0</v>
      </c>
      <c r="K363" s="48">
        <f>'Adani Enterprises'!K363</f>
        <v>0</v>
      </c>
      <c r="L363" s="48">
        <f>'Adani Enterprises'!L363</f>
        <v>0</v>
      </c>
      <c r="M363" s="48">
        <f>'Adani Enterprises'!M363</f>
        <v>0</v>
      </c>
      <c r="N363" s="48">
        <f>'Adani Enterprises'!N363</f>
        <v>0</v>
      </c>
      <c r="O363" s="48">
        <f>'Adani Enterprises'!O363</f>
        <v>0</v>
      </c>
      <c r="P363" s="48">
        <f>'Adani Enterprises'!P363</f>
        <v>0</v>
      </c>
      <c r="Q363" s="48">
        <f>'Adani Enterprises'!Q363</f>
        <v>0</v>
      </c>
      <c r="R363" s="48">
        <f>'Adani Enterprises'!R363</f>
        <v>0</v>
      </c>
      <c r="S363" s="48">
        <f>'Adani Enterprises'!S363</f>
        <v>0</v>
      </c>
      <c r="T363" s="48">
        <f>'Adani Enterprises'!T363</f>
        <v>0</v>
      </c>
      <c r="U363" s="48">
        <f>'Adani Enterprises'!U363</f>
        <v>0</v>
      </c>
      <c r="V363" s="48">
        <f>'Adani Enterprises'!V363</f>
        <v>0</v>
      </c>
      <c r="W363" s="48">
        <f>'Adani Enterprises'!W363</f>
        <v>0</v>
      </c>
      <c r="X363" s="48">
        <f>'Adani Enterprises'!X363</f>
        <v>0</v>
      </c>
      <c r="Y363" s="48">
        <f>'Adani Enterprises'!Y363</f>
        <v>0</v>
      </c>
      <c r="Z363" s="48">
        <f>'Adani Enterprises'!Z363</f>
        <v>0</v>
      </c>
      <c r="AA363" s="48">
        <f>'Adani Enterprises'!AA363</f>
        <v>0</v>
      </c>
      <c r="AB363" s="48">
        <f>'Adani Enterprises'!AB363</f>
        <v>0</v>
      </c>
      <c r="AC363" s="48">
        <f>'Adani Enterprises'!AC363</f>
        <v>0</v>
      </c>
      <c r="AD363" s="48">
        <f>'Adani Enterprises'!AD363</f>
        <v>0</v>
      </c>
      <c r="AE363" s="48">
        <f>'Adani Enterprises'!AE363</f>
        <v>0</v>
      </c>
      <c r="AF363" s="48">
        <f>'Adani Enterprises'!AF363</f>
        <v>0</v>
      </c>
      <c r="AG363" s="48">
        <f>'Adani Enterprises'!AG363</f>
        <v>0</v>
      </c>
      <c r="AH363" s="48">
        <f>'Adani Enterprises'!AH363</f>
        <v>0</v>
      </c>
      <c r="AI363" s="48">
        <f>'Adani Enterprises'!AI363</f>
        <v>0</v>
      </c>
      <c r="AJ363" s="48">
        <f>'Adani Enterprises'!AJ363</f>
        <v>0</v>
      </c>
      <c r="AK363" s="48">
        <f>'Adani Enterprises'!AK363</f>
        <v>0</v>
      </c>
      <c r="AL363" s="48">
        <f>'Adani Enterprises'!AL363</f>
        <v>0</v>
      </c>
    </row>
    <row r="364" customHeight="1" spans="1:38">
      <c r="A364" s="48">
        <f>'Adani Enterprises'!A364</f>
        <v>0</v>
      </c>
      <c r="B364" s="48">
        <f>'Adani Enterprises'!B364</f>
        <v>0</v>
      </c>
      <c r="C364" s="48">
        <f>'Adani Enterprises'!C364</f>
        <v>0</v>
      </c>
      <c r="D364" s="48">
        <f>'Adani Enterprises'!D364</f>
        <v>0</v>
      </c>
      <c r="E364" s="48">
        <f>'Adani Enterprises'!E364</f>
        <v>0</v>
      </c>
      <c r="F364" s="48">
        <f>'Adani Enterprises'!F364</f>
        <v>0</v>
      </c>
      <c r="G364" s="48">
        <f>'Adani Enterprises'!G364</f>
        <v>0</v>
      </c>
      <c r="H364" s="48">
        <f>'Adani Enterprises'!H364</f>
        <v>0</v>
      </c>
      <c r="I364" s="48">
        <f>'Adani Enterprises'!I364</f>
        <v>0</v>
      </c>
      <c r="J364" s="48">
        <f>'Adani Enterprises'!J364</f>
        <v>0</v>
      </c>
      <c r="K364" s="48">
        <f>'Adani Enterprises'!K364</f>
        <v>0</v>
      </c>
      <c r="L364" s="48">
        <f>'Adani Enterprises'!L364</f>
        <v>0</v>
      </c>
      <c r="M364" s="48">
        <f>'Adani Enterprises'!M364</f>
        <v>0</v>
      </c>
      <c r="N364" s="48">
        <f>'Adani Enterprises'!N364</f>
        <v>0</v>
      </c>
      <c r="O364" s="48">
        <f>'Adani Enterprises'!O364</f>
        <v>0</v>
      </c>
      <c r="P364" s="48">
        <f>'Adani Enterprises'!P364</f>
        <v>0</v>
      </c>
      <c r="Q364" s="48">
        <f>'Adani Enterprises'!Q364</f>
        <v>0</v>
      </c>
      <c r="R364" s="48">
        <f>'Adani Enterprises'!R364</f>
        <v>0</v>
      </c>
      <c r="S364" s="48">
        <f>'Adani Enterprises'!S364</f>
        <v>0</v>
      </c>
      <c r="T364" s="48">
        <f>'Adani Enterprises'!T364</f>
        <v>0</v>
      </c>
      <c r="U364" s="48">
        <f>'Adani Enterprises'!U364</f>
        <v>0</v>
      </c>
      <c r="V364" s="48">
        <f>'Adani Enterprises'!V364</f>
        <v>0</v>
      </c>
      <c r="W364" s="48">
        <f>'Adani Enterprises'!W364</f>
        <v>0</v>
      </c>
      <c r="X364" s="48">
        <f>'Adani Enterprises'!X364</f>
        <v>0</v>
      </c>
      <c r="Y364" s="48">
        <f>'Adani Enterprises'!Y364</f>
        <v>0</v>
      </c>
      <c r="Z364" s="48">
        <f>'Adani Enterprises'!Z364</f>
        <v>0</v>
      </c>
      <c r="AA364" s="48">
        <f>'Adani Enterprises'!AA364</f>
        <v>0</v>
      </c>
      <c r="AB364" s="48">
        <f>'Adani Enterprises'!AB364</f>
        <v>0</v>
      </c>
      <c r="AC364" s="48">
        <f>'Adani Enterprises'!AC364</f>
        <v>0</v>
      </c>
      <c r="AD364" s="48">
        <f>'Adani Enterprises'!AD364</f>
        <v>0</v>
      </c>
      <c r="AE364" s="48">
        <f>'Adani Enterprises'!AE364</f>
        <v>0</v>
      </c>
      <c r="AF364" s="48">
        <f>'Adani Enterprises'!AF364</f>
        <v>0</v>
      </c>
      <c r="AG364" s="48">
        <f>'Adani Enterprises'!AG364</f>
        <v>0</v>
      </c>
      <c r="AH364" s="48">
        <f>'Adani Enterprises'!AH364</f>
        <v>0</v>
      </c>
      <c r="AI364" s="48">
        <f>'Adani Enterprises'!AI364</f>
        <v>0</v>
      </c>
      <c r="AJ364" s="48">
        <f>'Adani Enterprises'!AJ364</f>
        <v>0</v>
      </c>
      <c r="AK364" s="48">
        <f>'Adani Enterprises'!AK364</f>
        <v>0</v>
      </c>
      <c r="AL364" s="48">
        <f>'Adani Enterprises'!AL364</f>
        <v>0</v>
      </c>
    </row>
    <row r="365" customHeight="1" spans="1:38">
      <c r="A365" s="48">
        <f>'Adani Enterprises'!A365</f>
        <v>0</v>
      </c>
      <c r="B365" s="48">
        <f>'Adani Enterprises'!B365</f>
        <v>0</v>
      </c>
      <c r="C365" s="48">
        <f>'Adani Enterprises'!C365</f>
        <v>0</v>
      </c>
      <c r="D365" s="48">
        <f>'Adani Enterprises'!D365</f>
        <v>0</v>
      </c>
      <c r="E365" s="48">
        <f>'Adani Enterprises'!E365</f>
        <v>0</v>
      </c>
      <c r="F365" s="48">
        <f>'Adani Enterprises'!F365</f>
        <v>0</v>
      </c>
      <c r="G365" s="48">
        <f>'Adani Enterprises'!G365</f>
        <v>0</v>
      </c>
      <c r="H365" s="48">
        <f>'Adani Enterprises'!H365</f>
        <v>0</v>
      </c>
      <c r="I365" s="48">
        <f>'Adani Enterprises'!I365</f>
        <v>0</v>
      </c>
      <c r="J365" s="48">
        <f>'Adani Enterprises'!J365</f>
        <v>0</v>
      </c>
      <c r="K365" s="48">
        <f>'Adani Enterprises'!K365</f>
        <v>0</v>
      </c>
      <c r="L365" s="48">
        <f>'Adani Enterprises'!L365</f>
        <v>0</v>
      </c>
      <c r="M365" s="48">
        <f>'Adani Enterprises'!M365</f>
        <v>0</v>
      </c>
      <c r="N365" s="48">
        <f>'Adani Enterprises'!N365</f>
        <v>0</v>
      </c>
      <c r="O365" s="48">
        <f>'Adani Enterprises'!O365</f>
        <v>0</v>
      </c>
      <c r="P365" s="48">
        <f>'Adani Enterprises'!P365</f>
        <v>0</v>
      </c>
      <c r="Q365" s="48">
        <f>'Adani Enterprises'!Q365</f>
        <v>0</v>
      </c>
      <c r="R365" s="48">
        <f>'Adani Enterprises'!R365</f>
        <v>0</v>
      </c>
      <c r="S365" s="48">
        <f>'Adani Enterprises'!S365</f>
        <v>0</v>
      </c>
      <c r="T365" s="48">
        <f>'Adani Enterprises'!T365</f>
        <v>0</v>
      </c>
      <c r="U365" s="48">
        <f>'Adani Enterprises'!U365</f>
        <v>0</v>
      </c>
      <c r="V365" s="48">
        <f>'Adani Enterprises'!V365</f>
        <v>0</v>
      </c>
      <c r="W365" s="48">
        <f>'Adani Enterprises'!W365</f>
        <v>0</v>
      </c>
      <c r="X365" s="48">
        <f>'Adani Enterprises'!X365</f>
        <v>0</v>
      </c>
      <c r="Y365" s="48">
        <f>'Adani Enterprises'!Y365</f>
        <v>0</v>
      </c>
      <c r="Z365" s="48">
        <f>'Adani Enterprises'!Z365</f>
        <v>0</v>
      </c>
      <c r="AA365" s="48">
        <f>'Adani Enterprises'!AA365</f>
        <v>0</v>
      </c>
      <c r="AB365" s="48">
        <f>'Adani Enterprises'!AB365</f>
        <v>0</v>
      </c>
      <c r="AC365" s="48">
        <f>'Adani Enterprises'!AC365</f>
        <v>0</v>
      </c>
      <c r="AD365" s="48">
        <f>'Adani Enterprises'!AD365</f>
        <v>0</v>
      </c>
      <c r="AE365" s="48">
        <f>'Adani Enterprises'!AE365</f>
        <v>0</v>
      </c>
      <c r="AF365" s="48">
        <f>'Adani Enterprises'!AF365</f>
        <v>0</v>
      </c>
      <c r="AG365" s="48">
        <f>'Adani Enterprises'!AG365</f>
        <v>0</v>
      </c>
      <c r="AH365" s="48">
        <f>'Adani Enterprises'!AH365</f>
        <v>0</v>
      </c>
      <c r="AI365" s="48">
        <f>'Adani Enterprises'!AI365</f>
        <v>0</v>
      </c>
      <c r="AJ365" s="48">
        <f>'Adani Enterprises'!AJ365</f>
        <v>0</v>
      </c>
      <c r="AK365" s="48">
        <f>'Adani Enterprises'!AK365</f>
        <v>0</v>
      </c>
      <c r="AL365" s="48">
        <f>'Adani Enterprises'!AL365</f>
        <v>0</v>
      </c>
    </row>
    <row r="366" customHeight="1" spans="1:38">
      <c r="A366" s="48">
        <f>'Adani Enterprises'!A366</f>
        <v>0</v>
      </c>
      <c r="B366" s="48">
        <f>'Adani Enterprises'!B366</f>
        <v>0</v>
      </c>
      <c r="C366" s="48">
        <f>'Adani Enterprises'!C366</f>
        <v>0</v>
      </c>
      <c r="D366" s="48">
        <f>'Adani Enterprises'!D366</f>
        <v>0</v>
      </c>
      <c r="E366" s="48">
        <f>'Adani Enterprises'!E366</f>
        <v>0</v>
      </c>
      <c r="F366" s="48">
        <f>'Adani Enterprises'!F366</f>
        <v>0</v>
      </c>
      <c r="G366" s="48">
        <f>'Adani Enterprises'!G366</f>
        <v>0</v>
      </c>
      <c r="H366" s="48">
        <f>'Adani Enterprises'!H366</f>
        <v>0</v>
      </c>
      <c r="I366" s="48">
        <f>'Adani Enterprises'!I366</f>
        <v>0</v>
      </c>
      <c r="J366" s="48">
        <f>'Adani Enterprises'!J366</f>
        <v>0</v>
      </c>
      <c r="K366" s="48">
        <f>'Adani Enterprises'!K366</f>
        <v>0</v>
      </c>
      <c r="L366" s="48">
        <f>'Adani Enterprises'!L366</f>
        <v>0</v>
      </c>
      <c r="M366" s="48">
        <f>'Adani Enterprises'!M366</f>
        <v>0</v>
      </c>
      <c r="N366" s="48">
        <f>'Adani Enterprises'!N366</f>
        <v>0</v>
      </c>
      <c r="O366" s="48">
        <f>'Adani Enterprises'!O366</f>
        <v>0</v>
      </c>
      <c r="P366" s="48">
        <f>'Adani Enterprises'!P366</f>
        <v>0</v>
      </c>
      <c r="Q366" s="48">
        <f>'Adani Enterprises'!Q366</f>
        <v>0</v>
      </c>
      <c r="R366" s="48">
        <f>'Adani Enterprises'!R366</f>
        <v>0</v>
      </c>
      <c r="S366" s="48">
        <f>'Adani Enterprises'!S366</f>
        <v>0</v>
      </c>
      <c r="T366" s="48">
        <f>'Adani Enterprises'!T366</f>
        <v>0</v>
      </c>
      <c r="U366" s="48">
        <f>'Adani Enterprises'!U366</f>
        <v>0</v>
      </c>
      <c r="V366" s="48">
        <f>'Adani Enterprises'!V366</f>
        <v>0</v>
      </c>
      <c r="W366" s="48">
        <f>'Adani Enterprises'!W366</f>
        <v>0</v>
      </c>
      <c r="X366" s="48">
        <f>'Adani Enterprises'!X366</f>
        <v>0</v>
      </c>
      <c r="Y366" s="48">
        <f>'Adani Enterprises'!Y366</f>
        <v>0</v>
      </c>
      <c r="Z366" s="48">
        <f>'Adani Enterprises'!Z366</f>
        <v>0</v>
      </c>
      <c r="AA366" s="48">
        <f>'Adani Enterprises'!AA366</f>
        <v>0</v>
      </c>
      <c r="AB366" s="48">
        <f>'Adani Enterprises'!AB366</f>
        <v>0</v>
      </c>
      <c r="AC366" s="48">
        <f>'Adani Enterprises'!AC366</f>
        <v>0</v>
      </c>
      <c r="AD366" s="48">
        <f>'Adani Enterprises'!AD366</f>
        <v>0</v>
      </c>
      <c r="AE366" s="48">
        <f>'Adani Enterprises'!AE366</f>
        <v>0</v>
      </c>
      <c r="AF366" s="48">
        <f>'Adani Enterprises'!AF366</f>
        <v>0</v>
      </c>
      <c r="AG366" s="48">
        <f>'Adani Enterprises'!AG366</f>
        <v>0</v>
      </c>
      <c r="AH366" s="48">
        <f>'Adani Enterprises'!AH366</f>
        <v>0</v>
      </c>
      <c r="AI366" s="48">
        <f>'Adani Enterprises'!AI366</f>
        <v>0</v>
      </c>
      <c r="AJ366" s="48">
        <f>'Adani Enterprises'!AJ366</f>
        <v>0</v>
      </c>
      <c r="AK366" s="48">
        <f>'Adani Enterprises'!AK366</f>
        <v>0</v>
      </c>
      <c r="AL366" s="48">
        <f>'Adani Enterprises'!AL366</f>
        <v>0</v>
      </c>
    </row>
    <row r="367" customHeight="1" spans="1:38">
      <c r="A367" s="48">
        <f>'Adani Enterprises'!A367</f>
        <v>0</v>
      </c>
      <c r="B367" s="48">
        <f>'Adani Enterprises'!B367</f>
        <v>0</v>
      </c>
      <c r="C367" s="48">
        <f>'Adani Enterprises'!C367</f>
        <v>0</v>
      </c>
      <c r="D367" s="48">
        <f>'Adani Enterprises'!D367</f>
        <v>0</v>
      </c>
      <c r="E367" s="48">
        <f>'Adani Enterprises'!E367</f>
        <v>0</v>
      </c>
      <c r="F367" s="48">
        <f>'Adani Enterprises'!F367</f>
        <v>0</v>
      </c>
      <c r="G367" s="48">
        <f>'Adani Enterprises'!G367</f>
        <v>0</v>
      </c>
      <c r="H367" s="48">
        <f>'Adani Enterprises'!H367</f>
        <v>0</v>
      </c>
      <c r="I367" s="48">
        <f>'Adani Enterprises'!I367</f>
        <v>0</v>
      </c>
      <c r="J367" s="48">
        <f>'Adani Enterprises'!J367</f>
        <v>0</v>
      </c>
      <c r="K367" s="48">
        <f>'Adani Enterprises'!K367</f>
        <v>0</v>
      </c>
      <c r="L367" s="48">
        <f>'Adani Enterprises'!L367</f>
        <v>0</v>
      </c>
      <c r="M367" s="48">
        <f>'Adani Enterprises'!M367</f>
        <v>0</v>
      </c>
      <c r="N367" s="48">
        <f>'Adani Enterprises'!N367</f>
        <v>0</v>
      </c>
      <c r="O367" s="48">
        <f>'Adani Enterprises'!O367</f>
        <v>0</v>
      </c>
      <c r="P367" s="48">
        <f>'Adani Enterprises'!P367</f>
        <v>0</v>
      </c>
      <c r="Q367" s="48">
        <f>'Adani Enterprises'!Q367</f>
        <v>0</v>
      </c>
      <c r="R367" s="48">
        <f>'Adani Enterprises'!R367</f>
        <v>0</v>
      </c>
      <c r="S367" s="48">
        <f>'Adani Enterprises'!S367</f>
        <v>0</v>
      </c>
      <c r="T367" s="48">
        <f>'Adani Enterprises'!T367</f>
        <v>0</v>
      </c>
      <c r="U367" s="48">
        <f>'Adani Enterprises'!U367</f>
        <v>0</v>
      </c>
      <c r="V367" s="48">
        <f>'Adani Enterprises'!V367</f>
        <v>0</v>
      </c>
      <c r="W367" s="48">
        <f>'Adani Enterprises'!W367</f>
        <v>0</v>
      </c>
      <c r="X367" s="48">
        <f>'Adani Enterprises'!X367</f>
        <v>0</v>
      </c>
      <c r="Y367" s="48">
        <f>'Adani Enterprises'!Y367</f>
        <v>0</v>
      </c>
      <c r="Z367" s="48">
        <f>'Adani Enterprises'!Z367</f>
        <v>0</v>
      </c>
      <c r="AA367" s="48">
        <f>'Adani Enterprises'!AA367</f>
        <v>0</v>
      </c>
      <c r="AB367" s="48">
        <f>'Adani Enterprises'!AB367</f>
        <v>0</v>
      </c>
      <c r="AC367" s="48">
        <f>'Adani Enterprises'!AC367</f>
        <v>0</v>
      </c>
      <c r="AD367" s="48">
        <f>'Adani Enterprises'!AD367</f>
        <v>0</v>
      </c>
      <c r="AE367" s="48">
        <f>'Adani Enterprises'!AE367</f>
        <v>0</v>
      </c>
      <c r="AF367" s="48">
        <f>'Adani Enterprises'!AF367</f>
        <v>0</v>
      </c>
      <c r="AG367" s="48">
        <f>'Adani Enterprises'!AG367</f>
        <v>0</v>
      </c>
      <c r="AH367" s="48">
        <f>'Adani Enterprises'!AH367</f>
        <v>0</v>
      </c>
      <c r="AI367" s="48">
        <f>'Adani Enterprises'!AI367</f>
        <v>0</v>
      </c>
      <c r="AJ367" s="48">
        <f>'Adani Enterprises'!AJ367</f>
        <v>0</v>
      </c>
      <c r="AK367" s="48">
        <f>'Adani Enterprises'!AK367</f>
        <v>0</v>
      </c>
      <c r="AL367" s="48">
        <f>'Adani Enterprises'!AL367</f>
        <v>0</v>
      </c>
    </row>
    <row r="368" customHeight="1" spans="1:38">
      <c r="A368" s="48">
        <f>'Adani Enterprises'!A368</f>
        <v>0</v>
      </c>
      <c r="B368" s="48">
        <f>'Adani Enterprises'!B368</f>
        <v>0</v>
      </c>
      <c r="C368" s="48">
        <f>'Adani Enterprises'!C368</f>
        <v>0</v>
      </c>
      <c r="D368" s="48">
        <f>'Adani Enterprises'!D368</f>
        <v>0</v>
      </c>
      <c r="E368" s="48">
        <f>'Adani Enterprises'!E368</f>
        <v>0</v>
      </c>
      <c r="F368" s="48">
        <f>'Adani Enterprises'!F368</f>
        <v>0</v>
      </c>
      <c r="G368" s="48">
        <f>'Adani Enterprises'!G368</f>
        <v>0</v>
      </c>
      <c r="H368" s="48">
        <f>'Adani Enterprises'!H368</f>
        <v>0</v>
      </c>
      <c r="I368" s="48">
        <f>'Adani Enterprises'!I368</f>
        <v>0</v>
      </c>
      <c r="J368" s="48">
        <f>'Adani Enterprises'!J368</f>
        <v>0</v>
      </c>
      <c r="K368" s="48">
        <f>'Adani Enterprises'!K368</f>
        <v>0</v>
      </c>
      <c r="L368" s="48">
        <f>'Adani Enterprises'!L368</f>
        <v>0</v>
      </c>
      <c r="M368" s="48">
        <f>'Adani Enterprises'!M368</f>
        <v>0</v>
      </c>
      <c r="N368" s="48">
        <f>'Adani Enterprises'!N368</f>
        <v>0</v>
      </c>
      <c r="O368" s="48">
        <f>'Adani Enterprises'!O368</f>
        <v>0</v>
      </c>
      <c r="P368" s="48">
        <f>'Adani Enterprises'!P368</f>
        <v>0</v>
      </c>
      <c r="Q368" s="48">
        <f>'Adani Enterprises'!Q368</f>
        <v>0</v>
      </c>
      <c r="R368" s="48">
        <f>'Adani Enterprises'!R368</f>
        <v>0</v>
      </c>
      <c r="S368" s="48">
        <f>'Adani Enterprises'!S368</f>
        <v>0</v>
      </c>
      <c r="T368" s="48">
        <f>'Adani Enterprises'!T368</f>
        <v>0</v>
      </c>
      <c r="U368" s="48">
        <f>'Adani Enterprises'!U368</f>
        <v>0</v>
      </c>
      <c r="V368" s="48">
        <f>'Adani Enterprises'!V368</f>
        <v>0</v>
      </c>
      <c r="W368" s="48">
        <f>'Adani Enterprises'!W368</f>
        <v>0</v>
      </c>
      <c r="X368" s="48">
        <f>'Adani Enterprises'!X368</f>
        <v>0</v>
      </c>
      <c r="Y368" s="48">
        <f>'Adani Enterprises'!Y368</f>
        <v>0</v>
      </c>
      <c r="Z368" s="48">
        <f>'Adani Enterprises'!Z368</f>
        <v>0</v>
      </c>
      <c r="AA368" s="48">
        <f>'Adani Enterprises'!AA368</f>
        <v>0</v>
      </c>
      <c r="AB368" s="48">
        <f>'Adani Enterprises'!AB368</f>
        <v>0</v>
      </c>
      <c r="AC368" s="48">
        <f>'Adani Enterprises'!AC368</f>
        <v>0</v>
      </c>
      <c r="AD368" s="48">
        <f>'Adani Enterprises'!AD368</f>
        <v>0</v>
      </c>
      <c r="AE368" s="48">
        <f>'Adani Enterprises'!AE368</f>
        <v>0</v>
      </c>
      <c r="AF368" s="48">
        <f>'Adani Enterprises'!AF368</f>
        <v>0</v>
      </c>
      <c r="AG368" s="48">
        <f>'Adani Enterprises'!AG368</f>
        <v>0</v>
      </c>
      <c r="AH368" s="48">
        <f>'Adani Enterprises'!AH368</f>
        <v>0</v>
      </c>
      <c r="AI368" s="48">
        <f>'Adani Enterprises'!AI368</f>
        <v>0</v>
      </c>
      <c r="AJ368" s="48">
        <f>'Adani Enterprises'!AJ368</f>
        <v>0</v>
      </c>
      <c r="AK368" s="48">
        <f>'Adani Enterprises'!AK368</f>
        <v>0</v>
      </c>
      <c r="AL368" s="48">
        <f>'Adani Enterprises'!AL368</f>
        <v>0</v>
      </c>
    </row>
    <row r="369" customHeight="1" spans="1:38">
      <c r="A369" s="48">
        <f>'Adani Enterprises'!A369</f>
        <v>0</v>
      </c>
      <c r="B369" s="48">
        <f>'Adani Enterprises'!B369</f>
        <v>0</v>
      </c>
      <c r="C369" s="48">
        <f>'Adani Enterprises'!C369</f>
        <v>0</v>
      </c>
      <c r="D369" s="48">
        <f>'Adani Enterprises'!D369</f>
        <v>0</v>
      </c>
      <c r="E369" s="48">
        <f>'Adani Enterprises'!E369</f>
        <v>0</v>
      </c>
      <c r="F369" s="48">
        <f>'Adani Enterprises'!F369</f>
        <v>0</v>
      </c>
      <c r="G369" s="48">
        <f>'Adani Enterprises'!G369</f>
        <v>0</v>
      </c>
      <c r="H369" s="48">
        <f>'Adani Enterprises'!H369</f>
        <v>0</v>
      </c>
      <c r="I369" s="48">
        <f>'Adani Enterprises'!I369</f>
        <v>0</v>
      </c>
      <c r="J369" s="48">
        <f>'Adani Enterprises'!J369</f>
        <v>0</v>
      </c>
      <c r="K369" s="48">
        <f>'Adani Enterprises'!K369</f>
        <v>0</v>
      </c>
      <c r="L369" s="48">
        <f>'Adani Enterprises'!L369</f>
        <v>0</v>
      </c>
      <c r="M369" s="48">
        <f>'Adani Enterprises'!M369</f>
        <v>0</v>
      </c>
      <c r="N369" s="48">
        <f>'Adani Enterprises'!N369</f>
        <v>0</v>
      </c>
      <c r="O369" s="48">
        <f>'Adani Enterprises'!O369</f>
        <v>0</v>
      </c>
      <c r="P369" s="48">
        <f>'Adani Enterprises'!P369</f>
        <v>0</v>
      </c>
      <c r="Q369" s="48">
        <f>'Adani Enterprises'!Q369</f>
        <v>0</v>
      </c>
      <c r="R369" s="48">
        <f>'Adani Enterprises'!R369</f>
        <v>0</v>
      </c>
      <c r="S369" s="48">
        <f>'Adani Enterprises'!S369</f>
        <v>0</v>
      </c>
      <c r="T369" s="48">
        <f>'Adani Enterprises'!T369</f>
        <v>0</v>
      </c>
      <c r="U369" s="48">
        <f>'Adani Enterprises'!U369</f>
        <v>0</v>
      </c>
      <c r="V369" s="48">
        <f>'Adani Enterprises'!V369</f>
        <v>0</v>
      </c>
      <c r="W369" s="48">
        <f>'Adani Enterprises'!W369</f>
        <v>0</v>
      </c>
      <c r="X369" s="48">
        <f>'Adani Enterprises'!X369</f>
        <v>0</v>
      </c>
      <c r="Y369" s="48">
        <f>'Adani Enterprises'!Y369</f>
        <v>0</v>
      </c>
      <c r="Z369" s="48">
        <f>'Adani Enterprises'!Z369</f>
        <v>0</v>
      </c>
      <c r="AA369" s="48">
        <f>'Adani Enterprises'!AA369</f>
        <v>0</v>
      </c>
      <c r="AB369" s="48">
        <f>'Adani Enterprises'!AB369</f>
        <v>0</v>
      </c>
      <c r="AC369" s="48">
        <f>'Adani Enterprises'!AC369</f>
        <v>0</v>
      </c>
      <c r="AD369" s="48">
        <f>'Adani Enterprises'!AD369</f>
        <v>0</v>
      </c>
      <c r="AE369" s="48">
        <f>'Adani Enterprises'!AE369</f>
        <v>0</v>
      </c>
      <c r="AF369" s="48">
        <f>'Adani Enterprises'!AF369</f>
        <v>0</v>
      </c>
      <c r="AG369" s="48">
        <f>'Adani Enterprises'!AG369</f>
        <v>0</v>
      </c>
      <c r="AH369" s="48">
        <f>'Adani Enterprises'!AH369</f>
        <v>0</v>
      </c>
      <c r="AI369" s="48">
        <f>'Adani Enterprises'!AI369</f>
        <v>0</v>
      </c>
      <c r="AJ369" s="48">
        <f>'Adani Enterprises'!AJ369</f>
        <v>0</v>
      </c>
      <c r="AK369" s="48">
        <f>'Adani Enterprises'!AK369</f>
        <v>0</v>
      </c>
      <c r="AL369" s="48">
        <f>'Adani Enterprises'!AL369</f>
        <v>0</v>
      </c>
    </row>
    <row r="370" customHeight="1" spans="1:38">
      <c r="A370" s="48">
        <f>'Adani Enterprises'!A370</f>
        <v>0</v>
      </c>
      <c r="B370" s="48">
        <f>'Adani Enterprises'!B370</f>
        <v>0</v>
      </c>
      <c r="C370" s="48">
        <f>'Adani Enterprises'!C370</f>
        <v>0</v>
      </c>
      <c r="D370" s="48">
        <f>'Adani Enterprises'!D370</f>
        <v>0</v>
      </c>
      <c r="E370" s="48">
        <f>'Adani Enterprises'!E370</f>
        <v>0</v>
      </c>
      <c r="F370" s="48">
        <f>'Adani Enterprises'!F370</f>
        <v>0</v>
      </c>
      <c r="G370" s="48">
        <f>'Adani Enterprises'!G370</f>
        <v>0</v>
      </c>
      <c r="H370" s="48">
        <f>'Adani Enterprises'!H370</f>
        <v>0</v>
      </c>
      <c r="I370" s="48">
        <f>'Adani Enterprises'!I370</f>
        <v>0</v>
      </c>
      <c r="J370" s="48">
        <f>'Adani Enterprises'!J370</f>
        <v>0</v>
      </c>
      <c r="K370" s="48">
        <f>'Adani Enterprises'!K370</f>
        <v>0</v>
      </c>
      <c r="L370" s="48">
        <f>'Adani Enterprises'!L370</f>
        <v>0</v>
      </c>
      <c r="M370" s="48">
        <f>'Adani Enterprises'!M370</f>
        <v>0</v>
      </c>
      <c r="N370" s="48">
        <f>'Adani Enterprises'!N370</f>
        <v>0</v>
      </c>
      <c r="O370" s="48">
        <f>'Adani Enterprises'!O370</f>
        <v>0</v>
      </c>
      <c r="P370" s="48">
        <f>'Adani Enterprises'!P370</f>
        <v>0</v>
      </c>
      <c r="Q370" s="48">
        <f>'Adani Enterprises'!Q370</f>
        <v>0</v>
      </c>
      <c r="R370" s="48">
        <f>'Adani Enterprises'!R370</f>
        <v>0</v>
      </c>
      <c r="S370" s="48">
        <f>'Adani Enterprises'!S370</f>
        <v>0</v>
      </c>
      <c r="T370" s="48">
        <f>'Adani Enterprises'!T370</f>
        <v>0</v>
      </c>
      <c r="U370" s="48">
        <f>'Adani Enterprises'!U370</f>
        <v>0</v>
      </c>
      <c r="V370" s="48">
        <f>'Adani Enterprises'!V370</f>
        <v>0</v>
      </c>
      <c r="W370" s="48">
        <f>'Adani Enterprises'!W370</f>
        <v>0</v>
      </c>
      <c r="X370" s="48">
        <f>'Adani Enterprises'!X370</f>
        <v>0</v>
      </c>
      <c r="Y370" s="48">
        <f>'Adani Enterprises'!Y370</f>
        <v>0</v>
      </c>
      <c r="Z370" s="48">
        <f>'Adani Enterprises'!Z370</f>
        <v>0</v>
      </c>
      <c r="AA370" s="48">
        <f>'Adani Enterprises'!AA370</f>
        <v>0</v>
      </c>
      <c r="AB370" s="48">
        <f>'Adani Enterprises'!AB370</f>
        <v>0</v>
      </c>
      <c r="AC370" s="48">
        <f>'Adani Enterprises'!AC370</f>
        <v>0</v>
      </c>
      <c r="AD370" s="48">
        <f>'Adani Enterprises'!AD370</f>
        <v>0</v>
      </c>
      <c r="AE370" s="48">
        <f>'Adani Enterprises'!AE370</f>
        <v>0</v>
      </c>
      <c r="AF370" s="48">
        <f>'Adani Enterprises'!AF370</f>
        <v>0</v>
      </c>
      <c r="AG370" s="48">
        <f>'Adani Enterprises'!AG370</f>
        <v>0</v>
      </c>
      <c r="AH370" s="48">
        <f>'Adani Enterprises'!AH370</f>
        <v>0</v>
      </c>
      <c r="AI370" s="48">
        <f>'Adani Enterprises'!AI370</f>
        <v>0</v>
      </c>
      <c r="AJ370" s="48">
        <f>'Adani Enterprises'!AJ370</f>
        <v>0</v>
      </c>
      <c r="AK370" s="48">
        <f>'Adani Enterprises'!AK370</f>
        <v>0</v>
      </c>
      <c r="AL370" s="48">
        <f>'Adani Enterprises'!AL370</f>
        <v>0</v>
      </c>
    </row>
    <row r="371" customHeight="1" spans="1:38">
      <c r="A371" s="48">
        <f>'Adani Enterprises'!A371</f>
        <v>0</v>
      </c>
      <c r="B371" s="48">
        <f>'Adani Enterprises'!B371</f>
        <v>0</v>
      </c>
      <c r="C371" s="48">
        <f>'Adani Enterprises'!C371</f>
        <v>0</v>
      </c>
      <c r="D371" s="48">
        <f>'Adani Enterprises'!D371</f>
        <v>0</v>
      </c>
      <c r="E371" s="48">
        <f>'Adani Enterprises'!E371</f>
        <v>0</v>
      </c>
      <c r="F371" s="48">
        <f>'Adani Enterprises'!F371</f>
        <v>0</v>
      </c>
      <c r="G371" s="48">
        <f>'Adani Enterprises'!G371</f>
        <v>0</v>
      </c>
      <c r="H371" s="48">
        <f>'Adani Enterprises'!H371</f>
        <v>0</v>
      </c>
      <c r="I371" s="48">
        <f>'Adani Enterprises'!I371</f>
        <v>0</v>
      </c>
      <c r="J371" s="48">
        <f>'Adani Enterprises'!J371</f>
        <v>0</v>
      </c>
      <c r="K371" s="48">
        <f>'Adani Enterprises'!K371</f>
        <v>0</v>
      </c>
      <c r="L371" s="48">
        <f>'Adani Enterprises'!L371</f>
        <v>0</v>
      </c>
      <c r="M371" s="48">
        <f>'Adani Enterprises'!M371</f>
        <v>0</v>
      </c>
      <c r="N371" s="48">
        <f>'Adani Enterprises'!N371</f>
        <v>0</v>
      </c>
      <c r="O371" s="48">
        <f>'Adani Enterprises'!O371</f>
        <v>0</v>
      </c>
      <c r="P371" s="48">
        <f>'Adani Enterprises'!P371</f>
        <v>0</v>
      </c>
      <c r="Q371" s="48">
        <f>'Adani Enterprises'!Q371</f>
        <v>0</v>
      </c>
      <c r="R371" s="48">
        <f>'Adani Enterprises'!R371</f>
        <v>0</v>
      </c>
      <c r="S371" s="48">
        <f>'Adani Enterprises'!S371</f>
        <v>0</v>
      </c>
      <c r="T371" s="48">
        <f>'Adani Enterprises'!T371</f>
        <v>0</v>
      </c>
      <c r="U371" s="48">
        <f>'Adani Enterprises'!U371</f>
        <v>0</v>
      </c>
      <c r="V371" s="48">
        <f>'Adani Enterprises'!V371</f>
        <v>0</v>
      </c>
      <c r="W371" s="48">
        <f>'Adani Enterprises'!W371</f>
        <v>0</v>
      </c>
      <c r="X371" s="48">
        <f>'Adani Enterprises'!X371</f>
        <v>0</v>
      </c>
      <c r="Y371" s="48">
        <f>'Adani Enterprises'!Y371</f>
        <v>0</v>
      </c>
      <c r="Z371" s="48">
        <f>'Adani Enterprises'!Z371</f>
        <v>0</v>
      </c>
      <c r="AA371" s="48">
        <f>'Adani Enterprises'!AA371</f>
        <v>0</v>
      </c>
      <c r="AB371" s="48">
        <f>'Adani Enterprises'!AB371</f>
        <v>0</v>
      </c>
      <c r="AC371" s="48">
        <f>'Adani Enterprises'!AC371</f>
        <v>0</v>
      </c>
      <c r="AD371" s="48">
        <f>'Adani Enterprises'!AD371</f>
        <v>0</v>
      </c>
      <c r="AE371" s="48">
        <f>'Adani Enterprises'!AE371</f>
        <v>0</v>
      </c>
      <c r="AF371" s="48">
        <f>'Adani Enterprises'!AF371</f>
        <v>0</v>
      </c>
      <c r="AG371" s="48">
        <f>'Adani Enterprises'!AG371</f>
        <v>0</v>
      </c>
      <c r="AH371" s="48">
        <f>'Adani Enterprises'!AH371</f>
        <v>0</v>
      </c>
      <c r="AI371" s="48">
        <f>'Adani Enterprises'!AI371</f>
        <v>0</v>
      </c>
      <c r="AJ371" s="48">
        <f>'Adani Enterprises'!AJ371</f>
        <v>0</v>
      </c>
      <c r="AK371" s="48">
        <f>'Adani Enterprises'!AK371</f>
        <v>0</v>
      </c>
      <c r="AL371" s="48">
        <f>'Adani Enterprises'!AL371</f>
        <v>0</v>
      </c>
    </row>
    <row r="372" customHeight="1" spans="1:38">
      <c r="A372" s="48">
        <f>'Adani Enterprises'!A372</f>
        <v>0</v>
      </c>
      <c r="B372" s="48">
        <f>'Adani Enterprises'!B372</f>
        <v>0</v>
      </c>
      <c r="C372" s="48">
        <f>'Adani Enterprises'!C372</f>
        <v>0</v>
      </c>
      <c r="D372" s="48">
        <f>'Adani Enterprises'!D372</f>
        <v>0</v>
      </c>
      <c r="E372" s="48">
        <f>'Adani Enterprises'!E372</f>
        <v>0</v>
      </c>
      <c r="F372" s="48">
        <f>'Adani Enterprises'!F372</f>
        <v>0</v>
      </c>
      <c r="G372" s="48">
        <f>'Adani Enterprises'!G372</f>
        <v>0</v>
      </c>
      <c r="H372" s="48">
        <f>'Adani Enterprises'!H372</f>
        <v>0</v>
      </c>
      <c r="I372" s="48">
        <f>'Adani Enterprises'!I372</f>
        <v>0</v>
      </c>
      <c r="J372" s="48">
        <f>'Adani Enterprises'!J372</f>
        <v>0</v>
      </c>
      <c r="K372" s="48">
        <f>'Adani Enterprises'!K372</f>
        <v>0</v>
      </c>
      <c r="L372" s="48">
        <f>'Adani Enterprises'!L372</f>
        <v>0</v>
      </c>
      <c r="M372" s="48">
        <f>'Adani Enterprises'!M372</f>
        <v>0</v>
      </c>
      <c r="N372" s="48">
        <f>'Adani Enterprises'!N372</f>
        <v>0</v>
      </c>
      <c r="O372" s="48">
        <f>'Adani Enterprises'!O372</f>
        <v>0</v>
      </c>
      <c r="P372" s="48">
        <f>'Adani Enterprises'!P372</f>
        <v>0</v>
      </c>
      <c r="Q372" s="48">
        <f>'Adani Enterprises'!Q372</f>
        <v>0</v>
      </c>
      <c r="R372" s="48">
        <f>'Adani Enterprises'!R372</f>
        <v>0</v>
      </c>
      <c r="S372" s="48">
        <f>'Adani Enterprises'!S372</f>
        <v>0</v>
      </c>
      <c r="T372" s="48">
        <f>'Adani Enterprises'!T372</f>
        <v>0</v>
      </c>
      <c r="U372" s="48">
        <f>'Adani Enterprises'!U372</f>
        <v>0</v>
      </c>
      <c r="V372" s="48">
        <f>'Adani Enterprises'!V372</f>
        <v>0</v>
      </c>
      <c r="W372" s="48">
        <f>'Adani Enterprises'!W372</f>
        <v>0</v>
      </c>
      <c r="X372" s="48">
        <f>'Adani Enterprises'!X372</f>
        <v>0</v>
      </c>
      <c r="Y372" s="48">
        <f>'Adani Enterprises'!Y372</f>
        <v>0</v>
      </c>
      <c r="Z372" s="48">
        <f>'Adani Enterprises'!Z372</f>
        <v>0</v>
      </c>
      <c r="AA372" s="48">
        <f>'Adani Enterprises'!AA372</f>
        <v>0</v>
      </c>
      <c r="AB372" s="48">
        <f>'Adani Enterprises'!AB372</f>
        <v>0</v>
      </c>
      <c r="AC372" s="48">
        <f>'Adani Enterprises'!AC372</f>
        <v>0</v>
      </c>
      <c r="AD372" s="48">
        <f>'Adani Enterprises'!AD372</f>
        <v>0</v>
      </c>
      <c r="AE372" s="48">
        <f>'Adani Enterprises'!AE372</f>
        <v>0</v>
      </c>
      <c r="AF372" s="48">
        <f>'Adani Enterprises'!AF372</f>
        <v>0</v>
      </c>
      <c r="AG372" s="48">
        <f>'Adani Enterprises'!AG372</f>
        <v>0</v>
      </c>
      <c r="AH372" s="48">
        <f>'Adani Enterprises'!AH372</f>
        <v>0</v>
      </c>
      <c r="AI372" s="48">
        <f>'Adani Enterprises'!AI372</f>
        <v>0</v>
      </c>
      <c r="AJ372" s="48">
        <f>'Adani Enterprises'!AJ372</f>
        <v>0</v>
      </c>
      <c r="AK372" s="48">
        <f>'Adani Enterprises'!AK372</f>
        <v>0</v>
      </c>
      <c r="AL372" s="48">
        <f>'Adani Enterprises'!AL372</f>
        <v>0</v>
      </c>
    </row>
    <row r="373" customHeight="1" spans="1:38">
      <c r="A373" s="48">
        <f>'Adani Enterprises'!A373</f>
        <v>0</v>
      </c>
      <c r="B373" s="48">
        <f>'Adani Enterprises'!B373</f>
        <v>0</v>
      </c>
      <c r="C373" s="48">
        <f>'Adani Enterprises'!C373</f>
        <v>0</v>
      </c>
      <c r="D373" s="48">
        <f>'Adani Enterprises'!D373</f>
        <v>0</v>
      </c>
      <c r="E373" s="48">
        <f>'Adani Enterprises'!E373</f>
        <v>0</v>
      </c>
      <c r="F373" s="48">
        <f>'Adani Enterprises'!F373</f>
        <v>0</v>
      </c>
      <c r="G373" s="48">
        <f>'Adani Enterprises'!G373</f>
        <v>0</v>
      </c>
      <c r="H373" s="48">
        <f>'Adani Enterprises'!H373</f>
        <v>0</v>
      </c>
      <c r="I373" s="48">
        <f>'Adani Enterprises'!I373</f>
        <v>0</v>
      </c>
      <c r="J373" s="48">
        <f>'Adani Enterprises'!J373</f>
        <v>0</v>
      </c>
      <c r="K373" s="48">
        <f>'Adani Enterprises'!K373</f>
        <v>0</v>
      </c>
      <c r="L373" s="48">
        <f>'Adani Enterprises'!L373</f>
        <v>0</v>
      </c>
      <c r="M373" s="48">
        <f>'Adani Enterprises'!M373</f>
        <v>0</v>
      </c>
      <c r="N373" s="48">
        <f>'Adani Enterprises'!N373</f>
        <v>0</v>
      </c>
      <c r="O373" s="48">
        <f>'Adani Enterprises'!O373</f>
        <v>0</v>
      </c>
      <c r="P373" s="48">
        <f>'Adani Enterprises'!P373</f>
        <v>0</v>
      </c>
      <c r="Q373" s="48">
        <f>'Adani Enterprises'!Q373</f>
        <v>0</v>
      </c>
      <c r="R373" s="48">
        <f>'Adani Enterprises'!R373</f>
        <v>0</v>
      </c>
      <c r="S373" s="48">
        <f>'Adani Enterprises'!S373</f>
        <v>0</v>
      </c>
      <c r="T373" s="48">
        <f>'Adani Enterprises'!T373</f>
        <v>0</v>
      </c>
      <c r="U373" s="48">
        <f>'Adani Enterprises'!U373</f>
        <v>0</v>
      </c>
      <c r="V373" s="48">
        <f>'Adani Enterprises'!V373</f>
        <v>0</v>
      </c>
      <c r="W373" s="48">
        <f>'Adani Enterprises'!W373</f>
        <v>0</v>
      </c>
      <c r="X373" s="48">
        <f>'Adani Enterprises'!X373</f>
        <v>0</v>
      </c>
      <c r="Y373" s="48">
        <f>'Adani Enterprises'!Y373</f>
        <v>0</v>
      </c>
      <c r="Z373" s="48">
        <f>'Adani Enterprises'!Z373</f>
        <v>0</v>
      </c>
      <c r="AA373" s="48">
        <f>'Adani Enterprises'!AA373</f>
        <v>0</v>
      </c>
      <c r="AB373" s="48">
        <f>'Adani Enterprises'!AB373</f>
        <v>0</v>
      </c>
      <c r="AC373" s="48">
        <f>'Adani Enterprises'!AC373</f>
        <v>0</v>
      </c>
      <c r="AD373" s="48">
        <f>'Adani Enterprises'!AD373</f>
        <v>0</v>
      </c>
      <c r="AE373" s="48">
        <f>'Adani Enterprises'!AE373</f>
        <v>0</v>
      </c>
      <c r="AF373" s="48">
        <f>'Adani Enterprises'!AF373</f>
        <v>0</v>
      </c>
      <c r="AG373" s="48">
        <f>'Adani Enterprises'!AG373</f>
        <v>0</v>
      </c>
      <c r="AH373" s="48">
        <f>'Adani Enterprises'!AH373</f>
        <v>0</v>
      </c>
      <c r="AI373" s="48">
        <f>'Adani Enterprises'!AI373</f>
        <v>0</v>
      </c>
      <c r="AJ373" s="48">
        <f>'Adani Enterprises'!AJ373</f>
        <v>0</v>
      </c>
      <c r="AK373" s="48">
        <f>'Adani Enterprises'!AK373</f>
        <v>0</v>
      </c>
      <c r="AL373" s="48">
        <f>'Adani Enterprises'!AL373</f>
        <v>0</v>
      </c>
    </row>
    <row r="374" customHeight="1" spans="1:38">
      <c r="A374" s="48">
        <f>'Adani Enterprises'!A374</f>
        <v>0</v>
      </c>
      <c r="B374" s="48">
        <f>'Adani Enterprises'!B374</f>
        <v>0</v>
      </c>
      <c r="C374" s="48">
        <f>'Adani Enterprises'!C374</f>
        <v>0</v>
      </c>
      <c r="D374" s="48">
        <f>'Adani Enterprises'!D374</f>
        <v>0</v>
      </c>
      <c r="E374" s="48">
        <f>'Adani Enterprises'!E374</f>
        <v>0</v>
      </c>
      <c r="F374" s="48">
        <f>'Adani Enterprises'!F374</f>
        <v>0</v>
      </c>
      <c r="G374" s="48">
        <f>'Adani Enterprises'!G374</f>
        <v>0</v>
      </c>
      <c r="H374" s="48">
        <f>'Adani Enterprises'!H374</f>
        <v>0</v>
      </c>
      <c r="I374" s="48">
        <f>'Adani Enterprises'!I374</f>
        <v>0</v>
      </c>
      <c r="J374" s="48">
        <f>'Adani Enterprises'!J374</f>
        <v>0</v>
      </c>
      <c r="K374" s="48">
        <f>'Adani Enterprises'!K374</f>
        <v>0</v>
      </c>
      <c r="L374" s="48">
        <f>'Adani Enterprises'!L374</f>
        <v>0</v>
      </c>
      <c r="M374" s="48">
        <f>'Adani Enterprises'!M374</f>
        <v>0</v>
      </c>
      <c r="N374" s="48">
        <f>'Adani Enterprises'!N374</f>
        <v>0</v>
      </c>
      <c r="O374" s="48">
        <f>'Adani Enterprises'!O374</f>
        <v>0</v>
      </c>
      <c r="P374" s="48">
        <f>'Adani Enterprises'!P374</f>
        <v>0</v>
      </c>
      <c r="Q374" s="48">
        <f>'Adani Enterprises'!Q374</f>
        <v>0</v>
      </c>
      <c r="R374" s="48">
        <f>'Adani Enterprises'!R374</f>
        <v>0</v>
      </c>
      <c r="S374" s="48">
        <f>'Adani Enterprises'!S374</f>
        <v>0</v>
      </c>
      <c r="T374" s="48">
        <f>'Adani Enterprises'!T374</f>
        <v>0</v>
      </c>
      <c r="U374" s="48">
        <f>'Adani Enterprises'!U374</f>
        <v>0</v>
      </c>
      <c r="V374" s="48">
        <f>'Adani Enterprises'!V374</f>
        <v>0</v>
      </c>
      <c r="W374" s="48">
        <f>'Adani Enterprises'!W374</f>
        <v>0</v>
      </c>
      <c r="X374" s="48">
        <f>'Adani Enterprises'!X374</f>
        <v>0</v>
      </c>
      <c r="Y374" s="48">
        <f>'Adani Enterprises'!Y374</f>
        <v>0</v>
      </c>
      <c r="Z374" s="48">
        <f>'Adani Enterprises'!Z374</f>
        <v>0</v>
      </c>
      <c r="AA374" s="48">
        <f>'Adani Enterprises'!AA374</f>
        <v>0</v>
      </c>
      <c r="AB374" s="48">
        <f>'Adani Enterprises'!AB374</f>
        <v>0</v>
      </c>
      <c r="AC374" s="48">
        <f>'Adani Enterprises'!AC374</f>
        <v>0</v>
      </c>
      <c r="AD374" s="48">
        <f>'Adani Enterprises'!AD374</f>
        <v>0</v>
      </c>
      <c r="AE374" s="48">
        <f>'Adani Enterprises'!AE374</f>
        <v>0</v>
      </c>
      <c r="AF374" s="48">
        <f>'Adani Enterprises'!AF374</f>
        <v>0</v>
      </c>
      <c r="AG374" s="48">
        <f>'Adani Enterprises'!AG374</f>
        <v>0</v>
      </c>
      <c r="AH374" s="48">
        <f>'Adani Enterprises'!AH374</f>
        <v>0</v>
      </c>
      <c r="AI374" s="48">
        <f>'Adani Enterprises'!AI374</f>
        <v>0</v>
      </c>
      <c r="AJ374" s="48">
        <f>'Adani Enterprises'!AJ374</f>
        <v>0</v>
      </c>
      <c r="AK374" s="48">
        <f>'Adani Enterprises'!AK374</f>
        <v>0</v>
      </c>
      <c r="AL374" s="48">
        <f>'Adani Enterprises'!AL374</f>
        <v>0</v>
      </c>
    </row>
    <row r="375" customHeight="1" spans="1:38">
      <c r="A375" s="48">
        <f>'Adani Enterprises'!A375</f>
        <v>0</v>
      </c>
      <c r="B375" s="48">
        <f>'Adani Enterprises'!B375</f>
        <v>0</v>
      </c>
      <c r="C375" s="48">
        <f>'Adani Enterprises'!C375</f>
        <v>0</v>
      </c>
      <c r="D375" s="48">
        <f>'Adani Enterprises'!D375</f>
        <v>0</v>
      </c>
      <c r="E375" s="48">
        <f>'Adani Enterprises'!E375</f>
        <v>0</v>
      </c>
      <c r="F375" s="48">
        <f>'Adani Enterprises'!F375</f>
        <v>0</v>
      </c>
      <c r="G375" s="48">
        <f>'Adani Enterprises'!G375</f>
        <v>0</v>
      </c>
      <c r="H375" s="48">
        <f>'Adani Enterprises'!H375</f>
        <v>0</v>
      </c>
      <c r="I375" s="48">
        <f>'Adani Enterprises'!I375</f>
        <v>0</v>
      </c>
      <c r="J375" s="48">
        <f>'Adani Enterprises'!J375</f>
        <v>0</v>
      </c>
      <c r="K375" s="48">
        <f>'Adani Enterprises'!K375</f>
        <v>0</v>
      </c>
      <c r="L375" s="48">
        <f>'Adani Enterprises'!L375</f>
        <v>0</v>
      </c>
      <c r="M375" s="48">
        <f>'Adani Enterprises'!M375</f>
        <v>0</v>
      </c>
      <c r="N375" s="48">
        <f>'Adani Enterprises'!N375</f>
        <v>0</v>
      </c>
      <c r="O375" s="48">
        <f>'Adani Enterprises'!O375</f>
        <v>0</v>
      </c>
      <c r="P375" s="48">
        <f>'Adani Enterprises'!P375</f>
        <v>0</v>
      </c>
      <c r="Q375" s="48">
        <f>'Adani Enterprises'!Q375</f>
        <v>0</v>
      </c>
      <c r="R375" s="48">
        <f>'Adani Enterprises'!R375</f>
        <v>0</v>
      </c>
      <c r="S375" s="48">
        <f>'Adani Enterprises'!S375</f>
        <v>0</v>
      </c>
      <c r="T375" s="48">
        <f>'Adani Enterprises'!T375</f>
        <v>0</v>
      </c>
      <c r="U375" s="48">
        <f>'Adani Enterprises'!U375</f>
        <v>0</v>
      </c>
      <c r="V375" s="48">
        <f>'Adani Enterprises'!V375</f>
        <v>0</v>
      </c>
      <c r="W375" s="48">
        <f>'Adani Enterprises'!W375</f>
        <v>0</v>
      </c>
      <c r="X375" s="48">
        <f>'Adani Enterprises'!X375</f>
        <v>0</v>
      </c>
      <c r="Y375" s="48">
        <f>'Adani Enterprises'!Y375</f>
        <v>0</v>
      </c>
      <c r="Z375" s="48">
        <f>'Adani Enterprises'!Z375</f>
        <v>0</v>
      </c>
      <c r="AA375" s="48">
        <f>'Adani Enterprises'!AA375</f>
        <v>0</v>
      </c>
      <c r="AB375" s="48">
        <f>'Adani Enterprises'!AB375</f>
        <v>0</v>
      </c>
      <c r="AC375" s="48">
        <f>'Adani Enterprises'!AC375</f>
        <v>0</v>
      </c>
      <c r="AD375" s="48">
        <f>'Adani Enterprises'!AD375</f>
        <v>0</v>
      </c>
      <c r="AE375" s="48">
        <f>'Adani Enterprises'!AE375</f>
        <v>0</v>
      </c>
      <c r="AF375" s="48">
        <f>'Adani Enterprises'!AF375</f>
        <v>0</v>
      </c>
      <c r="AG375" s="48">
        <f>'Adani Enterprises'!AG375</f>
        <v>0</v>
      </c>
      <c r="AH375" s="48">
        <f>'Adani Enterprises'!AH375</f>
        <v>0</v>
      </c>
      <c r="AI375" s="48">
        <f>'Adani Enterprises'!AI375</f>
        <v>0</v>
      </c>
      <c r="AJ375" s="48">
        <f>'Adani Enterprises'!AJ375</f>
        <v>0</v>
      </c>
      <c r="AK375" s="48">
        <f>'Adani Enterprises'!AK375</f>
        <v>0</v>
      </c>
      <c r="AL375" s="48">
        <f>'Adani Enterprises'!AL375</f>
        <v>0</v>
      </c>
    </row>
    <row r="376" customHeight="1" spans="1:38">
      <c r="A376" s="48">
        <f>'Adani Enterprises'!A376</f>
        <v>0</v>
      </c>
      <c r="B376" s="48">
        <f>'Adani Enterprises'!B376</f>
        <v>0</v>
      </c>
      <c r="C376" s="48">
        <f>'Adani Enterprises'!C376</f>
        <v>0</v>
      </c>
      <c r="D376" s="48">
        <f>'Adani Enterprises'!D376</f>
        <v>0</v>
      </c>
      <c r="E376" s="48">
        <f>'Adani Enterprises'!E376</f>
        <v>0</v>
      </c>
      <c r="F376" s="48">
        <f>'Adani Enterprises'!F376</f>
        <v>0</v>
      </c>
      <c r="G376" s="48">
        <f>'Adani Enterprises'!G376</f>
        <v>0</v>
      </c>
      <c r="H376" s="48">
        <f>'Adani Enterprises'!H376</f>
        <v>0</v>
      </c>
      <c r="I376" s="48">
        <f>'Adani Enterprises'!I376</f>
        <v>0</v>
      </c>
      <c r="J376" s="48">
        <f>'Adani Enterprises'!J376</f>
        <v>0</v>
      </c>
      <c r="K376" s="48">
        <f>'Adani Enterprises'!K376</f>
        <v>0</v>
      </c>
      <c r="L376" s="48">
        <f>'Adani Enterprises'!L376</f>
        <v>0</v>
      </c>
      <c r="M376" s="48">
        <f>'Adani Enterprises'!M376</f>
        <v>0</v>
      </c>
      <c r="N376" s="48">
        <f>'Adani Enterprises'!N376</f>
        <v>0</v>
      </c>
      <c r="O376" s="48">
        <f>'Adani Enterprises'!O376</f>
        <v>0</v>
      </c>
      <c r="P376" s="48">
        <f>'Adani Enterprises'!P376</f>
        <v>0</v>
      </c>
      <c r="Q376" s="48">
        <f>'Adani Enterprises'!Q376</f>
        <v>0</v>
      </c>
      <c r="R376" s="48">
        <f>'Adani Enterprises'!R376</f>
        <v>0</v>
      </c>
      <c r="S376" s="48">
        <f>'Adani Enterprises'!S376</f>
        <v>0</v>
      </c>
      <c r="T376" s="48">
        <f>'Adani Enterprises'!T376</f>
        <v>0</v>
      </c>
      <c r="U376" s="48">
        <f>'Adani Enterprises'!U376</f>
        <v>0</v>
      </c>
      <c r="V376" s="48">
        <f>'Adani Enterprises'!V376</f>
        <v>0</v>
      </c>
      <c r="W376" s="48">
        <f>'Adani Enterprises'!W376</f>
        <v>0</v>
      </c>
      <c r="X376" s="48">
        <f>'Adani Enterprises'!X376</f>
        <v>0</v>
      </c>
      <c r="Y376" s="48">
        <f>'Adani Enterprises'!Y376</f>
        <v>0</v>
      </c>
      <c r="Z376" s="48">
        <f>'Adani Enterprises'!Z376</f>
        <v>0</v>
      </c>
      <c r="AA376" s="48">
        <f>'Adani Enterprises'!AA376</f>
        <v>0</v>
      </c>
      <c r="AB376" s="48">
        <f>'Adani Enterprises'!AB376</f>
        <v>0</v>
      </c>
      <c r="AC376" s="48">
        <f>'Adani Enterprises'!AC376</f>
        <v>0</v>
      </c>
      <c r="AD376" s="48">
        <f>'Adani Enterprises'!AD376</f>
        <v>0</v>
      </c>
      <c r="AE376" s="48">
        <f>'Adani Enterprises'!AE376</f>
        <v>0</v>
      </c>
      <c r="AF376" s="48">
        <f>'Adani Enterprises'!AF376</f>
        <v>0</v>
      </c>
      <c r="AG376" s="48">
        <f>'Adani Enterprises'!AG376</f>
        <v>0</v>
      </c>
      <c r="AH376" s="48">
        <f>'Adani Enterprises'!AH376</f>
        <v>0</v>
      </c>
      <c r="AI376" s="48">
        <f>'Adani Enterprises'!AI376</f>
        <v>0</v>
      </c>
      <c r="AJ376" s="48">
        <f>'Adani Enterprises'!AJ376</f>
        <v>0</v>
      </c>
      <c r="AK376" s="48">
        <f>'Adani Enterprises'!AK376</f>
        <v>0</v>
      </c>
      <c r="AL376" s="48">
        <f>'Adani Enterprises'!AL376</f>
        <v>0</v>
      </c>
    </row>
    <row r="377" customHeight="1" spans="1:38">
      <c r="A377" s="48">
        <f>'Adani Enterprises'!A377</f>
        <v>0</v>
      </c>
      <c r="B377" s="48">
        <f>'Adani Enterprises'!B377</f>
        <v>0</v>
      </c>
      <c r="C377" s="48">
        <f>'Adani Enterprises'!C377</f>
        <v>0</v>
      </c>
      <c r="D377" s="48">
        <f>'Adani Enterprises'!D377</f>
        <v>0</v>
      </c>
      <c r="E377" s="48">
        <f>'Adani Enterprises'!E377</f>
        <v>0</v>
      </c>
      <c r="F377" s="48">
        <f>'Adani Enterprises'!F377</f>
        <v>0</v>
      </c>
      <c r="G377" s="48">
        <f>'Adani Enterprises'!G377</f>
        <v>0</v>
      </c>
      <c r="H377" s="48">
        <f>'Adani Enterprises'!H377</f>
        <v>0</v>
      </c>
      <c r="I377" s="48">
        <f>'Adani Enterprises'!I377</f>
        <v>0</v>
      </c>
      <c r="J377" s="48">
        <f>'Adani Enterprises'!J377</f>
        <v>0</v>
      </c>
      <c r="K377" s="48">
        <f>'Adani Enterprises'!K377</f>
        <v>0</v>
      </c>
      <c r="L377" s="48">
        <f>'Adani Enterprises'!L377</f>
        <v>0</v>
      </c>
      <c r="M377" s="48">
        <f>'Adani Enterprises'!M377</f>
        <v>0</v>
      </c>
      <c r="N377" s="48">
        <f>'Adani Enterprises'!N377</f>
        <v>0</v>
      </c>
      <c r="O377" s="48">
        <f>'Adani Enterprises'!O377</f>
        <v>0</v>
      </c>
      <c r="P377" s="48">
        <f>'Adani Enterprises'!P377</f>
        <v>0</v>
      </c>
      <c r="Q377" s="48">
        <f>'Adani Enterprises'!Q377</f>
        <v>0</v>
      </c>
      <c r="R377" s="48">
        <f>'Adani Enterprises'!R377</f>
        <v>0</v>
      </c>
      <c r="S377" s="48">
        <f>'Adani Enterprises'!S377</f>
        <v>0</v>
      </c>
      <c r="T377" s="48">
        <f>'Adani Enterprises'!T377</f>
        <v>0</v>
      </c>
      <c r="U377" s="48">
        <f>'Adani Enterprises'!U377</f>
        <v>0</v>
      </c>
      <c r="V377" s="48">
        <f>'Adani Enterprises'!V377</f>
        <v>0</v>
      </c>
      <c r="W377" s="48">
        <f>'Adani Enterprises'!W377</f>
        <v>0</v>
      </c>
      <c r="X377" s="48">
        <f>'Adani Enterprises'!X377</f>
        <v>0</v>
      </c>
      <c r="Y377" s="48">
        <f>'Adani Enterprises'!Y377</f>
        <v>0</v>
      </c>
      <c r="Z377" s="48">
        <f>'Adani Enterprises'!Z377</f>
        <v>0</v>
      </c>
      <c r="AA377" s="48">
        <f>'Adani Enterprises'!AA377</f>
        <v>0</v>
      </c>
      <c r="AB377" s="48">
        <f>'Adani Enterprises'!AB377</f>
        <v>0</v>
      </c>
      <c r="AC377" s="48">
        <f>'Adani Enterprises'!AC377</f>
        <v>0</v>
      </c>
      <c r="AD377" s="48">
        <f>'Adani Enterprises'!AD377</f>
        <v>0</v>
      </c>
      <c r="AE377" s="48">
        <f>'Adani Enterprises'!AE377</f>
        <v>0</v>
      </c>
      <c r="AF377" s="48">
        <f>'Adani Enterprises'!AF377</f>
        <v>0</v>
      </c>
      <c r="AG377" s="48">
        <f>'Adani Enterprises'!AG377</f>
        <v>0</v>
      </c>
      <c r="AH377" s="48">
        <f>'Adani Enterprises'!AH377</f>
        <v>0</v>
      </c>
      <c r="AI377" s="48">
        <f>'Adani Enterprises'!AI377</f>
        <v>0</v>
      </c>
      <c r="AJ377" s="48">
        <f>'Adani Enterprises'!AJ377</f>
        <v>0</v>
      </c>
      <c r="AK377" s="48">
        <f>'Adani Enterprises'!AK377</f>
        <v>0</v>
      </c>
      <c r="AL377" s="48">
        <f>'Adani Enterprises'!AL377</f>
        <v>0</v>
      </c>
    </row>
    <row r="378" customHeight="1" spans="1:38">
      <c r="A378" s="48">
        <f>'Adani Enterprises'!A378</f>
        <v>0</v>
      </c>
      <c r="B378" s="48">
        <f>'Adani Enterprises'!B378</f>
        <v>0</v>
      </c>
      <c r="C378" s="48">
        <f>'Adani Enterprises'!C378</f>
        <v>0</v>
      </c>
      <c r="D378" s="48">
        <f>'Adani Enterprises'!D378</f>
        <v>0</v>
      </c>
      <c r="E378" s="48">
        <f>'Adani Enterprises'!E378</f>
        <v>0</v>
      </c>
      <c r="F378" s="48">
        <f>'Adani Enterprises'!F378</f>
        <v>0</v>
      </c>
      <c r="G378" s="48">
        <f>'Adani Enterprises'!G378</f>
        <v>0</v>
      </c>
      <c r="H378" s="48">
        <f>'Adani Enterprises'!H378</f>
        <v>0</v>
      </c>
      <c r="I378" s="48">
        <f>'Adani Enterprises'!I378</f>
        <v>0</v>
      </c>
      <c r="J378" s="48">
        <f>'Adani Enterprises'!J378</f>
        <v>0</v>
      </c>
      <c r="K378" s="48">
        <f>'Adani Enterprises'!K378</f>
        <v>0</v>
      </c>
      <c r="L378" s="48">
        <f>'Adani Enterprises'!L378</f>
        <v>0</v>
      </c>
      <c r="M378" s="48">
        <f>'Adani Enterprises'!M378</f>
        <v>0</v>
      </c>
      <c r="N378" s="48">
        <f>'Adani Enterprises'!N378</f>
        <v>0</v>
      </c>
      <c r="O378" s="48">
        <f>'Adani Enterprises'!O378</f>
        <v>0</v>
      </c>
      <c r="P378" s="48">
        <f>'Adani Enterprises'!P378</f>
        <v>0</v>
      </c>
      <c r="Q378" s="48">
        <f>'Adani Enterprises'!Q378</f>
        <v>0</v>
      </c>
      <c r="R378" s="48">
        <f>'Adani Enterprises'!R378</f>
        <v>0</v>
      </c>
      <c r="S378" s="48">
        <f>'Adani Enterprises'!S378</f>
        <v>0</v>
      </c>
      <c r="T378" s="48">
        <f>'Adani Enterprises'!T378</f>
        <v>0</v>
      </c>
      <c r="U378" s="48">
        <f>'Adani Enterprises'!U378</f>
        <v>0</v>
      </c>
      <c r="V378" s="48">
        <f>'Adani Enterprises'!V378</f>
        <v>0</v>
      </c>
      <c r="W378" s="48">
        <f>'Adani Enterprises'!W378</f>
        <v>0</v>
      </c>
      <c r="X378" s="48">
        <f>'Adani Enterprises'!X378</f>
        <v>0</v>
      </c>
      <c r="Y378" s="48">
        <f>'Adani Enterprises'!Y378</f>
        <v>0</v>
      </c>
      <c r="Z378" s="48">
        <f>'Adani Enterprises'!Z378</f>
        <v>0</v>
      </c>
      <c r="AA378" s="48">
        <f>'Adani Enterprises'!AA378</f>
        <v>0</v>
      </c>
      <c r="AB378" s="48">
        <f>'Adani Enterprises'!AB378</f>
        <v>0</v>
      </c>
      <c r="AC378" s="48">
        <f>'Adani Enterprises'!AC378</f>
        <v>0</v>
      </c>
      <c r="AD378" s="48">
        <f>'Adani Enterprises'!AD378</f>
        <v>0</v>
      </c>
      <c r="AE378" s="48">
        <f>'Adani Enterprises'!AE378</f>
        <v>0</v>
      </c>
      <c r="AF378" s="48">
        <f>'Adani Enterprises'!AF378</f>
        <v>0</v>
      </c>
      <c r="AG378" s="48">
        <f>'Adani Enterprises'!AG378</f>
        <v>0</v>
      </c>
      <c r="AH378" s="48">
        <f>'Adani Enterprises'!AH378</f>
        <v>0</v>
      </c>
      <c r="AI378" s="48">
        <f>'Adani Enterprises'!AI378</f>
        <v>0</v>
      </c>
      <c r="AJ378" s="48">
        <f>'Adani Enterprises'!AJ378</f>
        <v>0</v>
      </c>
      <c r="AK378" s="48">
        <f>'Adani Enterprises'!AK378</f>
        <v>0</v>
      </c>
      <c r="AL378" s="48">
        <f>'Adani Enterprises'!AL378</f>
        <v>0</v>
      </c>
    </row>
    <row r="379" customHeight="1" spans="1:38">
      <c r="A379" s="48">
        <f>'Adani Enterprises'!A379</f>
        <v>0</v>
      </c>
      <c r="B379" s="48">
        <f>'Adani Enterprises'!B379</f>
        <v>0</v>
      </c>
      <c r="C379" s="48">
        <f>'Adani Enterprises'!C379</f>
        <v>0</v>
      </c>
      <c r="D379" s="48">
        <f>'Adani Enterprises'!D379</f>
        <v>0</v>
      </c>
      <c r="E379" s="48">
        <f>'Adani Enterprises'!E379</f>
        <v>0</v>
      </c>
      <c r="F379" s="48">
        <f>'Adani Enterprises'!F379</f>
        <v>0</v>
      </c>
      <c r="G379" s="48">
        <f>'Adani Enterprises'!G379</f>
        <v>0</v>
      </c>
      <c r="H379" s="48">
        <f>'Adani Enterprises'!H379</f>
        <v>0</v>
      </c>
      <c r="I379" s="48">
        <f>'Adani Enterprises'!I379</f>
        <v>0</v>
      </c>
      <c r="J379" s="48">
        <f>'Adani Enterprises'!J379</f>
        <v>0</v>
      </c>
      <c r="K379" s="48">
        <f>'Adani Enterprises'!K379</f>
        <v>0</v>
      </c>
      <c r="L379" s="48">
        <f>'Adani Enterprises'!L379</f>
        <v>0</v>
      </c>
      <c r="M379" s="48">
        <f>'Adani Enterprises'!M379</f>
        <v>0</v>
      </c>
      <c r="N379" s="48">
        <f>'Adani Enterprises'!N379</f>
        <v>0</v>
      </c>
      <c r="O379" s="48">
        <f>'Adani Enterprises'!O379</f>
        <v>0</v>
      </c>
      <c r="P379" s="48">
        <f>'Adani Enterprises'!P379</f>
        <v>0</v>
      </c>
      <c r="Q379" s="48">
        <f>'Adani Enterprises'!Q379</f>
        <v>0</v>
      </c>
      <c r="R379" s="48">
        <f>'Adani Enterprises'!R379</f>
        <v>0</v>
      </c>
      <c r="S379" s="48">
        <f>'Adani Enterprises'!S379</f>
        <v>0</v>
      </c>
      <c r="T379" s="48">
        <f>'Adani Enterprises'!T379</f>
        <v>0</v>
      </c>
      <c r="U379" s="48">
        <f>'Adani Enterprises'!U379</f>
        <v>0</v>
      </c>
      <c r="V379" s="48">
        <f>'Adani Enterprises'!V379</f>
        <v>0</v>
      </c>
      <c r="W379" s="48">
        <f>'Adani Enterprises'!W379</f>
        <v>0</v>
      </c>
      <c r="X379" s="48">
        <f>'Adani Enterprises'!X379</f>
        <v>0</v>
      </c>
      <c r="Y379" s="48">
        <f>'Adani Enterprises'!Y379</f>
        <v>0</v>
      </c>
      <c r="Z379" s="48">
        <f>'Adani Enterprises'!Z379</f>
        <v>0</v>
      </c>
      <c r="AA379" s="48">
        <f>'Adani Enterprises'!AA379</f>
        <v>0</v>
      </c>
      <c r="AB379" s="48">
        <f>'Adani Enterprises'!AB379</f>
        <v>0</v>
      </c>
      <c r="AC379" s="48">
        <f>'Adani Enterprises'!AC379</f>
        <v>0</v>
      </c>
      <c r="AD379" s="48">
        <f>'Adani Enterprises'!AD379</f>
        <v>0</v>
      </c>
      <c r="AE379" s="48">
        <f>'Adani Enterprises'!AE379</f>
        <v>0</v>
      </c>
      <c r="AF379" s="48">
        <f>'Adani Enterprises'!AF379</f>
        <v>0</v>
      </c>
      <c r="AG379" s="48">
        <f>'Adani Enterprises'!AG379</f>
        <v>0</v>
      </c>
      <c r="AH379" s="48">
        <f>'Adani Enterprises'!AH379</f>
        <v>0</v>
      </c>
      <c r="AI379" s="48">
        <f>'Adani Enterprises'!AI379</f>
        <v>0</v>
      </c>
      <c r="AJ379" s="48">
        <f>'Adani Enterprises'!AJ379</f>
        <v>0</v>
      </c>
      <c r="AK379" s="48">
        <f>'Adani Enterprises'!AK379</f>
        <v>0</v>
      </c>
      <c r="AL379" s="48">
        <f>'Adani Enterprises'!AL379</f>
        <v>0</v>
      </c>
    </row>
    <row r="380" customHeight="1" spans="1:38">
      <c r="A380" s="48">
        <f>'Adani Enterprises'!A380</f>
        <v>0</v>
      </c>
      <c r="B380" s="48">
        <f>'Adani Enterprises'!B380</f>
        <v>0</v>
      </c>
      <c r="C380" s="48">
        <f>'Adani Enterprises'!C380</f>
        <v>0</v>
      </c>
      <c r="D380" s="48">
        <f>'Adani Enterprises'!D380</f>
        <v>0</v>
      </c>
      <c r="E380" s="48">
        <f>'Adani Enterprises'!E380</f>
        <v>0</v>
      </c>
      <c r="F380" s="48">
        <f>'Adani Enterprises'!F380</f>
        <v>0</v>
      </c>
      <c r="G380" s="48">
        <f>'Adani Enterprises'!G380</f>
        <v>0</v>
      </c>
      <c r="H380" s="48">
        <f>'Adani Enterprises'!H380</f>
        <v>0</v>
      </c>
      <c r="I380" s="48">
        <f>'Adani Enterprises'!I380</f>
        <v>0</v>
      </c>
      <c r="J380" s="48">
        <f>'Adani Enterprises'!J380</f>
        <v>0</v>
      </c>
      <c r="K380" s="48">
        <f>'Adani Enterprises'!K380</f>
        <v>0</v>
      </c>
      <c r="L380" s="48">
        <f>'Adani Enterprises'!L380</f>
        <v>0</v>
      </c>
      <c r="M380" s="48">
        <f>'Adani Enterprises'!M380</f>
        <v>0</v>
      </c>
      <c r="N380" s="48">
        <f>'Adani Enterprises'!N380</f>
        <v>0</v>
      </c>
      <c r="O380" s="48">
        <f>'Adani Enterprises'!O380</f>
        <v>0</v>
      </c>
      <c r="P380" s="48">
        <f>'Adani Enterprises'!P380</f>
        <v>0</v>
      </c>
      <c r="Q380" s="48">
        <f>'Adani Enterprises'!Q380</f>
        <v>0</v>
      </c>
      <c r="R380" s="48">
        <f>'Adani Enterprises'!R380</f>
        <v>0</v>
      </c>
      <c r="S380" s="48">
        <f>'Adani Enterprises'!S380</f>
        <v>0</v>
      </c>
      <c r="T380" s="48">
        <f>'Adani Enterprises'!T380</f>
        <v>0</v>
      </c>
      <c r="U380" s="48">
        <f>'Adani Enterprises'!U380</f>
        <v>0</v>
      </c>
      <c r="V380" s="48">
        <f>'Adani Enterprises'!V380</f>
        <v>0</v>
      </c>
      <c r="W380" s="48">
        <f>'Adani Enterprises'!W380</f>
        <v>0</v>
      </c>
      <c r="X380" s="48">
        <f>'Adani Enterprises'!X380</f>
        <v>0</v>
      </c>
      <c r="Y380" s="48">
        <f>'Adani Enterprises'!Y380</f>
        <v>0</v>
      </c>
      <c r="Z380" s="48">
        <f>'Adani Enterprises'!Z380</f>
        <v>0</v>
      </c>
      <c r="AA380" s="48">
        <f>'Adani Enterprises'!AA380</f>
        <v>0</v>
      </c>
      <c r="AB380" s="48">
        <f>'Adani Enterprises'!AB380</f>
        <v>0</v>
      </c>
      <c r="AC380" s="48">
        <f>'Adani Enterprises'!AC380</f>
        <v>0</v>
      </c>
      <c r="AD380" s="48">
        <f>'Adani Enterprises'!AD380</f>
        <v>0</v>
      </c>
      <c r="AE380" s="48">
        <f>'Adani Enterprises'!AE380</f>
        <v>0</v>
      </c>
      <c r="AF380" s="48">
        <f>'Adani Enterprises'!AF380</f>
        <v>0</v>
      </c>
      <c r="AG380" s="48">
        <f>'Adani Enterprises'!AG380</f>
        <v>0</v>
      </c>
      <c r="AH380" s="48">
        <f>'Adani Enterprises'!AH380</f>
        <v>0</v>
      </c>
      <c r="AI380" s="48">
        <f>'Adani Enterprises'!AI380</f>
        <v>0</v>
      </c>
      <c r="AJ380" s="48">
        <f>'Adani Enterprises'!AJ380</f>
        <v>0</v>
      </c>
      <c r="AK380" s="48">
        <f>'Adani Enterprises'!AK380</f>
        <v>0</v>
      </c>
      <c r="AL380" s="48">
        <f>'Adani Enterprises'!AL380</f>
        <v>0</v>
      </c>
    </row>
    <row r="381" customHeight="1" spans="1:38">
      <c r="A381" s="48">
        <f>'Adani Enterprises'!A381</f>
        <v>0</v>
      </c>
      <c r="B381" s="48">
        <f>'Adani Enterprises'!B381</f>
        <v>0</v>
      </c>
      <c r="C381" s="48">
        <f>'Adani Enterprises'!C381</f>
        <v>0</v>
      </c>
      <c r="D381" s="48">
        <f>'Adani Enterprises'!D381</f>
        <v>0</v>
      </c>
      <c r="E381" s="48">
        <f>'Adani Enterprises'!E381</f>
        <v>0</v>
      </c>
      <c r="F381" s="48">
        <f>'Adani Enterprises'!F381</f>
        <v>0</v>
      </c>
      <c r="G381" s="48">
        <f>'Adani Enterprises'!G381</f>
        <v>0</v>
      </c>
      <c r="H381" s="48">
        <f>'Adani Enterprises'!H381</f>
        <v>0</v>
      </c>
      <c r="I381" s="48">
        <f>'Adani Enterprises'!I381</f>
        <v>0</v>
      </c>
      <c r="J381" s="48">
        <f>'Adani Enterprises'!J381</f>
        <v>0</v>
      </c>
      <c r="K381" s="48">
        <f>'Adani Enterprises'!K381</f>
        <v>0</v>
      </c>
      <c r="L381" s="48">
        <f>'Adani Enterprises'!L381</f>
        <v>0</v>
      </c>
      <c r="M381" s="48">
        <f>'Adani Enterprises'!M381</f>
        <v>0</v>
      </c>
      <c r="N381" s="48">
        <f>'Adani Enterprises'!N381</f>
        <v>0</v>
      </c>
      <c r="O381" s="48">
        <f>'Adani Enterprises'!O381</f>
        <v>0</v>
      </c>
      <c r="P381" s="48">
        <f>'Adani Enterprises'!P381</f>
        <v>0</v>
      </c>
      <c r="Q381" s="48">
        <f>'Adani Enterprises'!Q381</f>
        <v>0</v>
      </c>
      <c r="R381" s="48">
        <f>'Adani Enterprises'!R381</f>
        <v>0</v>
      </c>
      <c r="S381" s="48">
        <f>'Adani Enterprises'!S381</f>
        <v>0</v>
      </c>
      <c r="T381" s="48">
        <f>'Adani Enterprises'!T381</f>
        <v>0</v>
      </c>
      <c r="U381" s="48">
        <f>'Adani Enterprises'!U381</f>
        <v>0</v>
      </c>
      <c r="V381" s="48">
        <f>'Adani Enterprises'!V381</f>
        <v>0</v>
      </c>
      <c r="W381" s="48">
        <f>'Adani Enterprises'!W381</f>
        <v>0</v>
      </c>
      <c r="X381" s="48">
        <f>'Adani Enterprises'!X381</f>
        <v>0</v>
      </c>
      <c r="Y381" s="48">
        <f>'Adani Enterprises'!Y381</f>
        <v>0</v>
      </c>
      <c r="Z381" s="48">
        <f>'Adani Enterprises'!Z381</f>
        <v>0</v>
      </c>
      <c r="AA381" s="48">
        <f>'Adani Enterprises'!AA381</f>
        <v>0</v>
      </c>
      <c r="AB381" s="48">
        <f>'Adani Enterprises'!AB381</f>
        <v>0</v>
      </c>
      <c r="AC381" s="48">
        <f>'Adani Enterprises'!AC381</f>
        <v>0</v>
      </c>
      <c r="AD381" s="48">
        <f>'Adani Enterprises'!AD381</f>
        <v>0</v>
      </c>
      <c r="AE381" s="48">
        <f>'Adani Enterprises'!AE381</f>
        <v>0</v>
      </c>
      <c r="AF381" s="48">
        <f>'Adani Enterprises'!AF381</f>
        <v>0</v>
      </c>
      <c r="AG381" s="48">
        <f>'Adani Enterprises'!AG381</f>
        <v>0</v>
      </c>
      <c r="AH381" s="48">
        <f>'Adani Enterprises'!AH381</f>
        <v>0</v>
      </c>
      <c r="AI381" s="48">
        <f>'Adani Enterprises'!AI381</f>
        <v>0</v>
      </c>
      <c r="AJ381" s="48">
        <f>'Adani Enterprises'!AJ381</f>
        <v>0</v>
      </c>
      <c r="AK381" s="48">
        <f>'Adani Enterprises'!AK381</f>
        <v>0</v>
      </c>
      <c r="AL381" s="48">
        <f>'Adani Enterprises'!AL381</f>
        <v>0</v>
      </c>
    </row>
    <row r="382" customHeight="1" spans="1:38">
      <c r="A382" s="48">
        <f>'Adani Enterprises'!A382</f>
        <v>0</v>
      </c>
      <c r="B382" s="48">
        <f>'Adani Enterprises'!B382</f>
        <v>0</v>
      </c>
      <c r="C382" s="48">
        <f>'Adani Enterprises'!C382</f>
        <v>0</v>
      </c>
      <c r="D382" s="48">
        <f>'Adani Enterprises'!D382</f>
        <v>0</v>
      </c>
      <c r="E382" s="48">
        <f>'Adani Enterprises'!E382</f>
        <v>0</v>
      </c>
      <c r="F382" s="48">
        <f>'Adani Enterprises'!F382</f>
        <v>0</v>
      </c>
      <c r="G382" s="48">
        <f>'Adani Enterprises'!G382</f>
        <v>0</v>
      </c>
      <c r="H382" s="48">
        <f>'Adani Enterprises'!H382</f>
        <v>0</v>
      </c>
      <c r="I382" s="48">
        <f>'Adani Enterprises'!I382</f>
        <v>0</v>
      </c>
      <c r="J382" s="48">
        <f>'Adani Enterprises'!J382</f>
        <v>0</v>
      </c>
      <c r="K382" s="48">
        <f>'Adani Enterprises'!K382</f>
        <v>0</v>
      </c>
      <c r="L382" s="48">
        <f>'Adani Enterprises'!L382</f>
        <v>0</v>
      </c>
      <c r="M382" s="48">
        <f>'Adani Enterprises'!M382</f>
        <v>0</v>
      </c>
      <c r="N382" s="48">
        <f>'Adani Enterprises'!N382</f>
        <v>0</v>
      </c>
      <c r="O382" s="48">
        <f>'Adani Enterprises'!O382</f>
        <v>0</v>
      </c>
      <c r="P382" s="48">
        <f>'Adani Enterprises'!P382</f>
        <v>0</v>
      </c>
      <c r="Q382" s="48">
        <f>'Adani Enterprises'!Q382</f>
        <v>0</v>
      </c>
      <c r="R382" s="48">
        <f>'Adani Enterprises'!R382</f>
        <v>0</v>
      </c>
      <c r="S382" s="48">
        <f>'Adani Enterprises'!S382</f>
        <v>0</v>
      </c>
      <c r="T382" s="48">
        <f>'Adani Enterprises'!T382</f>
        <v>0</v>
      </c>
      <c r="U382" s="48">
        <f>'Adani Enterprises'!U382</f>
        <v>0</v>
      </c>
      <c r="V382" s="48">
        <f>'Adani Enterprises'!V382</f>
        <v>0</v>
      </c>
      <c r="W382" s="48">
        <f>'Adani Enterprises'!W382</f>
        <v>0</v>
      </c>
      <c r="X382" s="48">
        <f>'Adani Enterprises'!X382</f>
        <v>0</v>
      </c>
      <c r="Y382" s="48">
        <f>'Adani Enterprises'!Y382</f>
        <v>0</v>
      </c>
      <c r="Z382" s="48">
        <f>'Adani Enterprises'!Z382</f>
        <v>0</v>
      </c>
      <c r="AA382" s="48">
        <f>'Adani Enterprises'!AA382</f>
        <v>0</v>
      </c>
      <c r="AB382" s="48">
        <f>'Adani Enterprises'!AB382</f>
        <v>0</v>
      </c>
      <c r="AC382" s="48">
        <f>'Adani Enterprises'!AC382</f>
        <v>0</v>
      </c>
      <c r="AD382" s="48">
        <f>'Adani Enterprises'!AD382</f>
        <v>0</v>
      </c>
      <c r="AE382" s="48">
        <f>'Adani Enterprises'!AE382</f>
        <v>0</v>
      </c>
      <c r="AF382" s="48">
        <f>'Adani Enterprises'!AF382</f>
        <v>0</v>
      </c>
      <c r="AG382" s="48">
        <f>'Adani Enterprises'!AG382</f>
        <v>0</v>
      </c>
      <c r="AH382" s="48">
        <f>'Adani Enterprises'!AH382</f>
        <v>0</v>
      </c>
      <c r="AI382" s="48">
        <f>'Adani Enterprises'!AI382</f>
        <v>0</v>
      </c>
      <c r="AJ382" s="48">
        <f>'Adani Enterprises'!AJ382</f>
        <v>0</v>
      </c>
      <c r="AK382" s="48">
        <f>'Adani Enterprises'!AK382</f>
        <v>0</v>
      </c>
      <c r="AL382" s="48">
        <f>'Adani Enterprises'!AL382</f>
        <v>0</v>
      </c>
    </row>
    <row r="383" customHeight="1" spans="1:38">
      <c r="A383" s="48">
        <f>'Adani Enterprises'!A383</f>
        <v>0</v>
      </c>
      <c r="B383" s="48">
        <f>'Adani Enterprises'!B383</f>
        <v>0</v>
      </c>
      <c r="C383" s="48">
        <f>'Adani Enterprises'!C383</f>
        <v>0</v>
      </c>
      <c r="D383" s="48">
        <f>'Adani Enterprises'!D383</f>
        <v>0</v>
      </c>
      <c r="E383" s="48">
        <f>'Adani Enterprises'!E383</f>
        <v>0</v>
      </c>
      <c r="F383" s="48">
        <f>'Adani Enterprises'!F383</f>
        <v>0</v>
      </c>
      <c r="G383" s="48">
        <f>'Adani Enterprises'!G383</f>
        <v>0</v>
      </c>
      <c r="H383" s="48">
        <f>'Adani Enterprises'!H383</f>
        <v>0</v>
      </c>
      <c r="I383" s="48">
        <f>'Adani Enterprises'!I383</f>
        <v>0</v>
      </c>
      <c r="J383" s="48">
        <f>'Adani Enterprises'!J383</f>
        <v>0</v>
      </c>
      <c r="K383" s="48">
        <f>'Adani Enterprises'!K383</f>
        <v>0</v>
      </c>
      <c r="L383" s="48">
        <f>'Adani Enterprises'!L383</f>
        <v>0</v>
      </c>
      <c r="M383" s="48">
        <f>'Adani Enterprises'!M383</f>
        <v>0</v>
      </c>
      <c r="N383" s="48">
        <f>'Adani Enterprises'!N383</f>
        <v>0</v>
      </c>
      <c r="O383" s="48">
        <f>'Adani Enterprises'!O383</f>
        <v>0</v>
      </c>
      <c r="P383" s="48">
        <f>'Adani Enterprises'!P383</f>
        <v>0</v>
      </c>
      <c r="Q383" s="48">
        <f>'Adani Enterprises'!Q383</f>
        <v>0</v>
      </c>
      <c r="R383" s="48">
        <f>'Adani Enterprises'!R383</f>
        <v>0</v>
      </c>
      <c r="S383" s="48">
        <f>'Adani Enterprises'!S383</f>
        <v>0</v>
      </c>
      <c r="T383" s="48">
        <f>'Adani Enterprises'!T383</f>
        <v>0</v>
      </c>
      <c r="U383" s="48">
        <f>'Adani Enterprises'!U383</f>
        <v>0</v>
      </c>
      <c r="V383" s="48">
        <f>'Adani Enterprises'!V383</f>
        <v>0</v>
      </c>
      <c r="W383" s="48">
        <f>'Adani Enterprises'!W383</f>
        <v>0</v>
      </c>
      <c r="X383" s="48">
        <f>'Adani Enterprises'!X383</f>
        <v>0</v>
      </c>
      <c r="Y383" s="48">
        <f>'Adani Enterprises'!Y383</f>
        <v>0</v>
      </c>
      <c r="Z383" s="48">
        <f>'Adani Enterprises'!Z383</f>
        <v>0</v>
      </c>
      <c r="AA383" s="48">
        <f>'Adani Enterprises'!AA383</f>
        <v>0</v>
      </c>
      <c r="AB383" s="48">
        <f>'Adani Enterprises'!AB383</f>
        <v>0</v>
      </c>
      <c r="AC383" s="48">
        <f>'Adani Enterprises'!AC383</f>
        <v>0</v>
      </c>
      <c r="AD383" s="48">
        <f>'Adani Enterprises'!AD383</f>
        <v>0</v>
      </c>
      <c r="AE383" s="48">
        <f>'Adani Enterprises'!AE383</f>
        <v>0</v>
      </c>
      <c r="AF383" s="48">
        <f>'Adani Enterprises'!AF383</f>
        <v>0</v>
      </c>
      <c r="AG383" s="48">
        <f>'Adani Enterprises'!AG383</f>
        <v>0</v>
      </c>
      <c r="AH383" s="48">
        <f>'Adani Enterprises'!AH383</f>
        <v>0</v>
      </c>
      <c r="AI383" s="48">
        <f>'Adani Enterprises'!AI383</f>
        <v>0</v>
      </c>
      <c r="AJ383" s="48">
        <f>'Adani Enterprises'!AJ383</f>
        <v>0</v>
      </c>
      <c r="AK383" s="48">
        <f>'Adani Enterprises'!AK383</f>
        <v>0</v>
      </c>
      <c r="AL383" s="48">
        <f>'Adani Enterprises'!AL383</f>
        <v>0</v>
      </c>
    </row>
    <row r="384" customHeight="1" spans="1:38">
      <c r="A384" s="48">
        <f>'Adani Enterprises'!A384</f>
        <v>0</v>
      </c>
      <c r="B384" s="48">
        <f>'Adani Enterprises'!B384</f>
        <v>0</v>
      </c>
      <c r="C384" s="48">
        <f>'Adani Enterprises'!C384</f>
        <v>0</v>
      </c>
      <c r="D384" s="48">
        <f>'Adani Enterprises'!D384</f>
        <v>0</v>
      </c>
      <c r="E384" s="48">
        <f>'Adani Enterprises'!E384</f>
        <v>0</v>
      </c>
      <c r="F384" s="48">
        <f>'Adani Enterprises'!F384</f>
        <v>0</v>
      </c>
      <c r="G384" s="48">
        <f>'Adani Enterprises'!G384</f>
        <v>0</v>
      </c>
      <c r="H384" s="48">
        <f>'Adani Enterprises'!H384</f>
        <v>0</v>
      </c>
      <c r="I384" s="48">
        <f>'Adani Enterprises'!I384</f>
        <v>0</v>
      </c>
      <c r="J384" s="48">
        <f>'Adani Enterprises'!J384</f>
        <v>0</v>
      </c>
      <c r="K384" s="48">
        <f>'Adani Enterprises'!K384</f>
        <v>0</v>
      </c>
      <c r="L384" s="48">
        <f>'Adani Enterprises'!L384</f>
        <v>0</v>
      </c>
      <c r="M384" s="48">
        <f>'Adani Enterprises'!M384</f>
        <v>0</v>
      </c>
      <c r="N384" s="48">
        <f>'Adani Enterprises'!N384</f>
        <v>0</v>
      </c>
      <c r="O384" s="48">
        <f>'Adani Enterprises'!O384</f>
        <v>0</v>
      </c>
      <c r="P384" s="48">
        <f>'Adani Enterprises'!P384</f>
        <v>0</v>
      </c>
      <c r="Q384" s="48">
        <f>'Adani Enterprises'!Q384</f>
        <v>0</v>
      </c>
      <c r="R384" s="48">
        <f>'Adani Enterprises'!R384</f>
        <v>0</v>
      </c>
      <c r="S384" s="48">
        <f>'Adani Enterprises'!S384</f>
        <v>0</v>
      </c>
      <c r="T384" s="48">
        <f>'Adani Enterprises'!T384</f>
        <v>0</v>
      </c>
      <c r="U384" s="48">
        <f>'Adani Enterprises'!U384</f>
        <v>0</v>
      </c>
      <c r="V384" s="48">
        <f>'Adani Enterprises'!V384</f>
        <v>0</v>
      </c>
      <c r="W384" s="48">
        <f>'Adani Enterprises'!W384</f>
        <v>0</v>
      </c>
      <c r="X384" s="48">
        <f>'Adani Enterprises'!X384</f>
        <v>0</v>
      </c>
      <c r="Y384" s="48">
        <f>'Adani Enterprises'!Y384</f>
        <v>0</v>
      </c>
      <c r="Z384" s="48">
        <f>'Adani Enterprises'!Z384</f>
        <v>0</v>
      </c>
      <c r="AA384" s="48">
        <f>'Adani Enterprises'!AA384</f>
        <v>0</v>
      </c>
      <c r="AB384" s="48">
        <f>'Adani Enterprises'!AB384</f>
        <v>0</v>
      </c>
      <c r="AC384" s="48">
        <f>'Adani Enterprises'!AC384</f>
        <v>0</v>
      </c>
      <c r="AD384" s="48">
        <f>'Adani Enterprises'!AD384</f>
        <v>0</v>
      </c>
      <c r="AE384" s="48">
        <f>'Adani Enterprises'!AE384</f>
        <v>0</v>
      </c>
      <c r="AF384" s="48">
        <f>'Adani Enterprises'!AF384</f>
        <v>0</v>
      </c>
      <c r="AG384" s="48">
        <f>'Adani Enterprises'!AG384</f>
        <v>0</v>
      </c>
      <c r="AH384" s="48">
        <f>'Adani Enterprises'!AH384</f>
        <v>0</v>
      </c>
      <c r="AI384" s="48">
        <f>'Adani Enterprises'!AI384</f>
        <v>0</v>
      </c>
      <c r="AJ384" s="48">
        <f>'Adani Enterprises'!AJ384</f>
        <v>0</v>
      </c>
      <c r="AK384" s="48">
        <f>'Adani Enterprises'!AK384</f>
        <v>0</v>
      </c>
      <c r="AL384" s="48">
        <f>'Adani Enterprises'!AL384</f>
        <v>0</v>
      </c>
    </row>
    <row r="385" customHeight="1" spans="1:38">
      <c r="A385" s="48">
        <f>'Adani Enterprises'!A385</f>
        <v>0</v>
      </c>
      <c r="B385" s="48">
        <f>'Adani Enterprises'!B385</f>
        <v>0</v>
      </c>
      <c r="C385" s="48">
        <f>'Adani Enterprises'!C385</f>
        <v>0</v>
      </c>
      <c r="D385" s="48">
        <f>'Adani Enterprises'!D385</f>
        <v>0</v>
      </c>
      <c r="E385" s="48">
        <f>'Adani Enterprises'!E385</f>
        <v>0</v>
      </c>
      <c r="F385" s="48">
        <f>'Adani Enterprises'!F385</f>
        <v>0</v>
      </c>
      <c r="G385" s="48">
        <f>'Adani Enterprises'!G385</f>
        <v>0</v>
      </c>
      <c r="H385" s="48">
        <f>'Adani Enterprises'!H385</f>
        <v>0</v>
      </c>
      <c r="I385" s="48">
        <f>'Adani Enterprises'!I385</f>
        <v>0</v>
      </c>
      <c r="J385" s="48">
        <f>'Adani Enterprises'!J385</f>
        <v>0</v>
      </c>
      <c r="K385" s="48">
        <f>'Adani Enterprises'!K385</f>
        <v>0</v>
      </c>
      <c r="L385" s="48">
        <f>'Adani Enterprises'!L385</f>
        <v>0</v>
      </c>
      <c r="M385" s="48">
        <f>'Adani Enterprises'!M385</f>
        <v>0</v>
      </c>
      <c r="N385" s="48">
        <f>'Adani Enterprises'!N385</f>
        <v>0</v>
      </c>
      <c r="O385" s="48">
        <f>'Adani Enterprises'!O385</f>
        <v>0</v>
      </c>
      <c r="P385" s="48">
        <f>'Adani Enterprises'!P385</f>
        <v>0</v>
      </c>
      <c r="Q385" s="48">
        <f>'Adani Enterprises'!Q385</f>
        <v>0</v>
      </c>
      <c r="R385" s="48">
        <f>'Adani Enterprises'!R385</f>
        <v>0</v>
      </c>
      <c r="S385" s="48">
        <f>'Adani Enterprises'!S385</f>
        <v>0</v>
      </c>
      <c r="T385" s="48">
        <f>'Adani Enterprises'!T385</f>
        <v>0</v>
      </c>
      <c r="U385" s="48">
        <f>'Adani Enterprises'!U385</f>
        <v>0</v>
      </c>
      <c r="V385" s="48">
        <f>'Adani Enterprises'!V385</f>
        <v>0</v>
      </c>
      <c r="W385" s="48">
        <f>'Adani Enterprises'!W385</f>
        <v>0</v>
      </c>
      <c r="X385" s="48">
        <f>'Adani Enterprises'!X385</f>
        <v>0</v>
      </c>
      <c r="Y385" s="48">
        <f>'Adani Enterprises'!Y385</f>
        <v>0</v>
      </c>
      <c r="Z385" s="48">
        <f>'Adani Enterprises'!Z385</f>
        <v>0</v>
      </c>
      <c r="AA385" s="48">
        <f>'Adani Enterprises'!AA385</f>
        <v>0</v>
      </c>
      <c r="AB385" s="48">
        <f>'Adani Enterprises'!AB385</f>
        <v>0</v>
      </c>
      <c r="AC385" s="48">
        <f>'Adani Enterprises'!AC385</f>
        <v>0</v>
      </c>
      <c r="AD385" s="48">
        <f>'Adani Enterprises'!AD385</f>
        <v>0</v>
      </c>
      <c r="AE385" s="48">
        <f>'Adani Enterprises'!AE385</f>
        <v>0</v>
      </c>
      <c r="AF385" s="48">
        <f>'Adani Enterprises'!AF385</f>
        <v>0</v>
      </c>
      <c r="AG385" s="48">
        <f>'Adani Enterprises'!AG385</f>
        <v>0</v>
      </c>
      <c r="AH385" s="48">
        <f>'Adani Enterprises'!AH385</f>
        <v>0</v>
      </c>
      <c r="AI385" s="48">
        <f>'Adani Enterprises'!AI385</f>
        <v>0</v>
      </c>
      <c r="AJ385" s="48">
        <f>'Adani Enterprises'!AJ385</f>
        <v>0</v>
      </c>
      <c r="AK385" s="48">
        <f>'Adani Enterprises'!AK385</f>
        <v>0</v>
      </c>
      <c r="AL385" s="48">
        <f>'Adani Enterprises'!AL385</f>
        <v>0</v>
      </c>
    </row>
    <row r="386" customHeight="1" spans="1:38">
      <c r="A386" s="48">
        <f>'Adani Enterprises'!A386</f>
        <v>0</v>
      </c>
      <c r="B386" s="48">
        <f>'Adani Enterprises'!B386</f>
        <v>0</v>
      </c>
      <c r="C386" s="48">
        <f>'Adani Enterprises'!C386</f>
        <v>0</v>
      </c>
      <c r="D386" s="48">
        <f>'Adani Enterprises'!D386</f>
        <v>0</v>
      </c>
      <c r="E386" s="48">
        <f>'Adani Enterprises'!E386</f>
        <v>0</v>
      </c>
      <c r="F386" s="48">
        <f>'Adani Enterprises'!F386</f>
        <v>0</v>
      </c>
      <c r="G386" s="48">
        <f>'Adani Enterprises'!G386</f>
        <v>0</v>
      </c>
      <c r="H386" s="48">
        <f>'Adani Enterprises'!H386</f>
        <v>0</v>
      </c>
      <c r="I386" s="48">
        <f>'Adani Enterprises'!I386</f>
        <v>0</v>
      </c>
      <c r="J386" s="48">
        <f>'Adani Enterprises'!J386</f>
        <v>0</v>
      </c>
      <c r="K386" s="48">
        <f>'Adani Enterprises'!K386</f>
        <v>0</v>
      </c>
      <c r="L386" s="48">
        <f>'Adani Enterprises'!L386</f>
        <v>0</v>
      </c>
      <c r="M386" s="48">
        <f>'Adani Enterprises'!M386</f>
        <v>0</v>
      </c>
      <c r="N386" s="48">
        <f>'Adani Enterprises'!N386</f>
        <v>0</v>
      </c>
      <c r="O386" s="48">
        <f>'Adani Enterprises'!O386</f>
        <v>0</v>
      </c>
      <c r="P386" s="48">
        <f>'Adani Enterprises'!P386</f>
        <v>0</v>
      </c>
      <c r="Q386" s="48">
        <f>'Adani Enterprises'!Q386</f>
        <v>0</v>
      </c>
      <c r="R386" s="48">
        <f>'Adani Enterprises'!R386</f>
        <v>0</v>
      </c>
      <c r="S386" s="48">
        <f>'Adani Enterprises'!S386</f>
        <v>0</v>
      </c>
      <c r="T386" s="48">
        <f>'Adani Enterprises'!T386</f>
        <v>0</v>
      </c>
      <c r="U386" s="48">
        <f>'Adani Enterprises'!U386</f>
        <v>0</v>
      </c>
      <c r="V386" s="48">
        <f>'Adani Enterprises'!V386</f>
        <v>0</v>
      </c>
      <c r="W386" s="48">
        <f>'Adani Enterprises'!W386</f>
        <v>0</v>
      </c>
      <c r="X386" s="48">
        <f>'Adani Enterprises'!X386</f>
        <v>0</v>
      </c>
      <c r="Y386" s="48">
        <f>'Adani Enterprises'!Y386</f>
        <v>0</v>
      </c>
      <c r="Z386" s="48">
        <f>'Adani Enterprises'!Z386</f>
        <v>0</v>
      </c>
      <c r="AA386" s="48">
        <f>'Adani Enterprises'!AA386</f>
        <v>0</v>
      </c>
      <c r="AB386" s="48">
        <f>'Adani Enterprises'!AB386</f>
        <v>0</v>
      </c>
      <c r="AC386" s="48">
        <f>'Adani Enterprises'!AC386</f>
        <v>0</v>
      </c>
      <c r="AD386" s="48">
        <f>'Adani Enterprises'!AD386</f>
        <v>0</v>
      </c>
      <c r="AE386" s="48">
        <f>'Adani Enterprises'!AE386</f>
        <v>0</v>
      </c>
      <c r="AF386" s="48">
        <f>'Adani Enterprises'!AF386</f>
        <v>0</v>
      </c>
      <c r="AG386" s="48">
        <f>'Adani Enterprises'!AG386</f>
        <v>0</v>
      </c>
      <c r="AH386" s="48">
        <f>'Adani Enterprises'!AH386</f>
        <v>0</v>
      </c>
      <c r="AI386" s="48">
        <f>'Adani Enterprises'!AI386</f>
        <v>0</v>
      </c>
      <c r="AJ386" s="48">
        <f>'Adani Enterprises'!AJ386</f>
        <v>0</v>
      </c>
      <c r="AK386" s="48">
        <f>'Adani Enterprises'!AK386</f>
        <v>0</v>
      </c>
      <c r="AL386" s="48">
        <f>'Adani Enterprises'!AL386</f>
        <v>0</v>
      </c>
    </row>
    <row r="387" customHeight="1" spans="1:38">
      <c r="A387" s="48">
        <f>'Adani Enterprises'!A387</f>
        <v>0</v>
      </c>
      <c r="B387" s="48">
        <f>'Adani Enterprises'!B387</f>
        <v>0</v>
      </c>
      <c r="C387" s="48">
        <f>'Adani Enterprises'!C387</f>
        <v>0</v>
      </c>
      <c r="D387" s="48">
        <f>'Adani Enterprises'!D387</f>
        <v>0</v>
      </c>
      <c r="E387" s="48">
        <f>'Adani Enterprises'!E387</f>
        <v>0</v>
      </c>
      <c r="F387" s="48">
        <f>'Adani Enterprises'!F387</f>
        <v>0</v>
      </c>
      <c r="G387" s="48">
        <f>'Adani Enterprises'!G387</f>
        <v>0</v>
      </c>
      <c r="H387" s="48">
        <f>'Adani Enterprises'!H387</f>
        <v>0</v>
      </c>
      <c r="I387" s="48">
        <f>'Adani Enterprises'!I387</f>
        <v>0</v>
      </c>
      <c r="J387" s="48">
        <f>'Adani Enterprises'!J387</f>
        <v>0</v>
      </c>
      <c r="K387" s="48">
        <f>'Adani Enterprises'!K387</f>
        <v>0</v>
      </c>
      <c r="L387" s="48">
        <f>'Adani Enterprises'!L387</f>
        <v>0</v>
      </c>
      <c r="M387" s="48">
        <f>'Adani Enterprises'!M387</f>
        <v>0</v>
      </c>
      <c r="N387" s="48">
        <f>'Adani Enterprises'!N387</f>
        <v>0</v>
      </c>
      <c r="O387" s="48">
        <f>'Adani Enterprises'!O387</f>
        <v>0</v>
      </c>
      <c r="P387" s="48">
        <f>'Adani Enterprises'!P387</f>
        <v>0</v>
      </c>
      <c r="Q387" s="48">
        <f>'Adani Enterprises'!Q387</f>
        <v>0</v>
      </c>
      <c r="R387" s="48">
        <f>'Adani Enterprises'!R387</f>
        <v>0</v>
      </c>
      <c r="S387" s="48">
        <f>'Adani Enterprises'!S387</f>
        <v>0</v>
      </c>
      <c r="T387" s="48">
        <f>'Adani Enterprises'!T387</f>
        <v>0</v>
      </c>
      <c r="U387" s="48">
        <f>'Adani Enterprises'!U387</f>
        <v>0</v>
      </c>
      <c r="V387" s="48">
        <f>'Adani Enterprises'!V387</f>
        <v>0</v>
      </c>
      <c r="W387" s="48">
        <f>'Adani Enterprises'!W387</f>
        <v>0</v>
      </c>
      <c r="X387" s="48">
        <f>'Adani Enterprises'!X387</f>
        <v>0</v>
      </c>
      <c r="Y387" s="48">
        <f>'Adani Enterprises'!Y387</f>
        <v>0</v>
      </c>
      <c r="Z387" s="48">
        <f>'Adani Enterprises'!Z387</f>
        <v>0</v>
      </c>
      <c r="AA387" s="48">
        <f>'Adani Enterprises'!AA387</f>
        <v>0</v>
      </c>
      <c r="AB387" s="48">
        <f>'Adani Enterprises'!AB387</f>
        <v>0</v>
      </c>
      <c r="AC387" s="48">
        <f>'Adani Enterprises'!AC387</f>
        <v>0</v>
      </c>
      <c r="AD387" s="48">
        <f>'Adani Enterprises'!AD387</f>
        <v>0</v>
      </c>
      <c r="AE387" s="48">
        <f>'Adani Enterprises'!AE387</f>
        <v>0</v>
      </c>
      <c r="AF387" s="48">
        <f>'Adani Enterprises'!AF387</f>
        <v>0</v>
      </c>
      <c r="AG387" s="48">
        <f>'Adani Enterprises'!AG387</f>
        <v>0</v>
      </c>
      <c r="AH387" s="48">
        <f>'Adani Enterprises'!AH387</f>
        <v>0</v>
      </c>
      <c r="AI387" s="48">
        <f>'Adani Enterprises'!AI387</f>
        <v>0</v>
      </c>
      <c r="AJ387" s="48">
        <f>'Adani Enterprises'!AJ387</f>
        <v>0</v>
      </c>
      <c r="AK387" s="48">
        <f>'Adani Enterprises'!AK387</f>
        <v>0</v>
      </c>
      <c r="AL387" s="48">
        <f>'Adani Enterprises'!AL387</f>
        <v>0</v>
      </c>
    </row>
    <row r="388" customHeight="1" spans="1:38">
      <c r="A388" s="48">
        <f>'Adani Enterprises'!A388</f>
        <v>0</v>
      </c>
      <c r="B388" s="48">
        <f>'Adani Enterprises'!B388</f>
        <v>0</v>
      </c>
      <c r="C388" s="48">
        <f>'Adani Enterprises'!C388</f>
        <v>0</v>
      </c>
      <c r="D388" s="48">
        <f>'Adani Enterprises'!D388</f>
        <v>0</v>
      </c>
      <c r="E388" s="48">
        <f>'Adani Enterprises'!E388</f>
        <v>0</v>
      </c>
      <c r="F388" s="48">
        <f>'Adani Enterprises'!F388</f>
        <v>0</v>
      </c>
      <c r="G388" s="48">
        <f>'Adani Enterprises'!G388</f>
        <v>0</v>
      </c>
      <c r="H388" s="48">
        <f>'Adani Enterprises'!H388</f>
        <v>0</v>
      </c>
      <c r="I388" s="48">
        <f>'Adani Enterprises'!I388</f>
        <v>0</v>
      </c>
      <c r="J388" s="48">
        <f>'Adani Enterprises'!J388</f>
        <v>0</v>
      </c>
      <c r="K388" s="48">
        <f>'Adani Enterprises'!K388</f>
        <v>0</v>
      </c>
      <c r="L388" s="48">
        <f>'Adani Enterprises'!L388</f>
        <v>0</v>
      </c>
      <c r="M388" s="48">
        <f>'Adani Enterprises'!M388</f>
        <v>0</v>
      </c>
      <c r="N388" s="48">
        <f>'Adani Enterprises'!N388</f>
        <v>0</v>
      </c>
      <c r="O388" s="48">
        <f>'Adani Enterprises'!O388</f>
        <v>0</v>
      </c>
      <c r="P388" s="48">
        <f>'Adani Enterprises'!P388</f>
        <v>0</v>
      </c>
      <c r="Q388" s="48">
        <f>'Adani Enterprises'!Q388</f>
        <v>0</v>
      </c>
      <c r="R388" s="48">
        <f>'Adani Enterprises'!R388</f>
        <v>0</v>
      </c>
      <c r="S388" s="48">
        <f>'Adani Enterprises'!S388</f>
        <v>0</v>
      </c>
      <c r="T388" s="48">
        <f>'Adani Enterprises'!T388</f>
        <v>0</v>
      </c>
      <c r="U388" s="48">
        <f>'Adani Enterprises'!U388</f>
        <v>0</v>
      </c>
      <c r="V388" s="48">
        <f>'Adani Enterprises'!V388</f>
        <v>0</v>
      </c>
      <c r="W388" s="48">
        <f>'Adani Enterprises'!W388</f>
        <v>0</v>
      </c>
      <c r="X388" s="48">
        <f>'Adani Enterprises'!X388</f>
        <v>0</v>
      </c>
      <c r="Y388" s="48">
        <f>'Adani Enterprises'!Y388</f>
        <v>0</v>
      </c>
      <c r="Z388" s="48">
        <f>'Adani Enterprises'!Z388</f>
        <v>0</v>
      </c>
      <c r="AA388" s="48">
        <f>'Adani Enterprises'!AA388</f>
        <v>0</v>
      </c>
      <c r="AB388" s="48">
        <f>'Adani Enterprises'!AB388</f>
        <v>0</v>
      </c>
      <c r="AC388" s="48">
        <f>'Adani Enterprises'!AC388</f>
        <v>0</v>
      </c>
      <c r="AD388" s="48">
        <f>'Adani Enterprises'!AD388</f>
        <v>0</v>
      </c>
      <c r="AE388" s="48">
        <f>'Adani Enterprises'!AE388</f>
        <v>0</v>
      </c>
      <c r="AF388" s="48">
        <f>'Adani Enterprises'!AF388</f>
        <v>0</v>
      </c>
      <c r="AG388" s="48">
        <f>'Adani Enterprises'!AG388</f>
        <v>0</v>
      </c>
      <c r="AH388" s="48">
        <f>'Adani Enterprises'!AH388</f>
        <v>0</v>
      </c>
      <c r="AI388" s="48">
        <f>'Adani Enterprises'!AI388</f>
        <v>0</v>
      </c>
      <c r="AJ388" s="48">
        <f>'Adani Enterprises'!AJ388</f>
        <v>0</v>
      </c>
      <c r="AK388" s="48">
        <f>'Adani Enterprises'!AK388</f>
        <v>0</v>
      </c>
      <c r="AL388" s="48">
        <f>'Adani Enterprises'!AL388</f>
        <v>0</v>
      </c>
    </row>
    <row r="389" customHeight="1" spans="1:38">
      <c r="A389" s="48">
        <f>'Adani Enterprises'!A389</f>
        <v>0</v>
      </c>
      <c r="B389" s="48">
        <f>'Adani Enterprises'!B389</f>
        <v>0</v>
      </c>
      <c r="C389" s="48">
        <f>'Adani Enterprises'!C389</f>
        <v>0</v>
      </c>
      <c r="D389" s="48">
        <f>'Adani Enterprises'!D389</f>
        <v>0</v>
      </c>
      <c r="E389" s="48">
        <f>'Adani Enterprises'!E389</f>
        <v>0</v>
      </c>
      <c r="F389" s="48">
        <f>'Adani Enterprises'!F389</f>
        <v>0</v>
      </c>
      <c r="G389" s="48">
        <f>'Adani Enterprises'!G389</f>
        <v>0</v>
      </c>
      <c r="H389" s="48">
        <f>'Adani Enterprises'!H389</f>
        <v>0</v>
      </c>
      <c r="I389" s="48">
        <f>'Adani Enterprises'!I389</f>
        <v>0</v>
      </c>
      <c r="J389" s="48">
        <f>'Adani Enterprises'!J389</f>
        <v>0</v>
      </c>
      <c r="K389" s="48">
        <f>'Adani Enterprises'!K389</f>
        <v>0</v>
      </c>
      <c r="L389" s="48">
        <f>'Adani Enterprises'!L389</f>
        <v>0</v>
      </c>
      <c r="M389" s="48">
        <f>'Adani Enterprises'!M389</f>
        <v>0</v>
      </c>
      <c r="N389" s="48">
        <f>'Adani Enterprises'!N389</f>
        <v>0</v>
      </c>
      <c r="O389" s="48">
        <f>'Adani Enterprises'!O389</f>
        <v>0</v>
      </c>
      <c r="P389" s="48">
        <f>'Adani Enterprises'!P389</f>
        <v>0</v>
      </c>
      <c r="Q389" s="48">
        <f>'Adani Enterprises'!Q389</f>
        <v>0</v>
      </c>
      <c r="R389" s="48">
        <f>'Adani Enterprises'!R389</f>
        <v>0</v>
      </c>
      <c r="S389" s="48">
        <f>'Adani Enterprises'!S389</f>
        <v>0</v>
      </c>
      <c r="T389" s="48">
        <f>'Adani Enterprises'!T389</f>
        <v>0</v>
      </c>
      <c r="U389" s="48">
        <f>'Adani Enterprises'!U389</f>
        <v>0</v>
      </c>
      <c r="V389" s="48">
        <f>'Adani Enterprises'!V389</f>
        <v>0</v>
      </c>
      <c r="W389" s="48">
        <f>'Adani Enterprises'!W389</f>
        <v>0</v>
      </c>
      <c r="X389" s="48">
        <f>'Adani Enterprises'!X389</f>
        <v>0</v>
      </c>
      <c r="Y389" s="48">
        <f>'Adani Enterprises'!Y389</f>
        <v>0</v>
      </c>
      <c r="Z389" s="48">
        <f>'Adani Enterprises'!Z389</f>
        <v>0</v>
      </c>
      <c r="AA389" s="48">
        <f>'Adani Enterprises'!AA389</f>
        <v>0</v>
      </c>
      <c r="AB389" s="48">
        <f>'Adani Enterprises'!AB389</f>
        <v>0</v>
      </c>
      <c r="AC389" s="48">
        <f>'Adani Enterprises'!AC389</f>
        <v>0</v>
      </c>
      <c r="AD389" s="48">
        <f>'Adani Enterprises'!AD389</f>
        <v>0</v>
      </c>
      <c r="AE389" s="48">
        <f>'Adani Enterprises'!AE389</f>
        <v>0</v>
      </c>
      <c r="AF389" s="48">
        <f>'Adani Enterprises'!AF389</f>
        <v>0</v>
      </c>
      <c r="AG389" s="48">
        <f>'Adani Enterprises'!AG389</f>
        <v>0</v>
      </c>
      <c r="AH389" s="48">
        <f>'Adani Enterprises'!AH389</f>
        <v>0</v>
      </c>
      <c r="AI389" s="48">
        <f>'Adani Enterprises'!AI389</f>
        <v>0</v>
      </c>
      <c r="AJ389" s="48">
        <f>'Adani Enterprises'!AJ389</f>
        <v>0</v>
      </c>
      <c r="AK389" s="48">
        <f>'Adani Enterprises'!AK389</f>
        <v>0</v>
      </c>
      <c r="AL389" s="48">
        <f>'Adani Enterprises'!AL389</f>
        <v>0</v>
      </c>
    </row>
    <row r="390" customHeight="1" spans="1:38">
      <c r="A390" s="48">
        <f>'Adani Enterprises'!A390</f>
        <v>0</v>
      </c>
      <c r="B390" s="48">
        <f>'Adani Enterprises'!B390</f>
        <v>0</v>
      </c>
      <c r="C390" s="48">
        <f>'Adani Enterprises'!C390</f>
        <v>0</v>
      </c>
      <c r="D390" s="48">
        <f>'Adani Enterprises'!D390</f>
        <v>0</v>
      </c>
      <c r="E390" s="48">
        <f>'Adani Enterprises'!E390</f>
        <v>0</v>
      </c>
      <c r="F390" s="48">
        <f>'Adani Enterprises'!F390</f>
        <v>0</v>
      </c>
      <c r="G390" s="48">
        <f>'Adani Enterprises'!G390</f>
        <v>0</v>
      </c>
      <c r="H390" s="48">
        <f>'Adani Enterprises'!H390</f>
        <v>0</v>
      </c>
      <c r="I390" s="48">
        <f>'Adani Enterprises'!I390</f>
        <v>0</v>
      </c>
      <c r="J390" s="48">
        <f>'Adani Enterprises'!J390</f>
        <v>0</v>
      </c>
      <c r="K390" s="48">
        <f>'Adani Enterprises'!K390</f>
        <v>0</v>
      </c>
      <c r="L390" s="48">
        <f>'Adani Enterprises'!L390</f>
        <v>0</v>
      </c>
      <c r="M390" s="48">
        <f>'Adani Enterprises'!M390</f>
        <v>0</v>
      </c>
      <c r="N390" s="48">
        <f>'Adani Enterprises'!N390</f>
        <v>0</v>
      </c>
      <c r="O390" s="48">
        <f>'Adani Enterprises'!O390</f>
        <v>0</v>
      </c>
      <c r="P390" s="48">
        <f>'Adani Enterprises'!P390</f>
        <v>0</v>
      </c>
      <c r="Q390" s="48">
        <f>'Adani Enterprises'!Q390</f>
        <v>0</v>
      </c>
      <c r="R390" s="48">
        <f>'Adani Enterprises'!R390</f>
        <v>0</v>
      </c>
      <c r="S390" s="48">
        <f>'Adani Enterprises'!S390</f>
        <v>0</v>
      </c>
      <c r="T390" s="48">
        <f>'Adani Enterprises'!T390</f>
        <v>0</v>
      </c>
      <c r="U390" s="48">
        <f>'Adani Enterprises'!U390</f>
        <v>0</v>
      </c>
      <c r="V390" s="48">
        <f>'Adani Enterprises'!V390</f>
        <v>0</v>
      </c>
      <c r="W390" s="48">
        <f>'Adani Enterprises'!W390</f>
        <v>0</v>
      </c>
      <c r="X390" s="48">
        <f>'Adani Enterprises'!X390</f>
        <v>0</v>
      </c>
      <c r="Y390" s="48">
        <f>'Adani Enterprises'!Y390</f>
        <v>0</v>
      </c>
      <c r="Z390" s="48">
        <f>'Adani Enterprises'!Z390</f>
        <v>0</v>
      </c>
      <c r="AA390" s="48">
        <f>'Adani Enterprises'!AA390</f>
        <v>0</v>
      </c>
      <c r="AB390" s="48">
        <f>'Adani Enterprises'!AB390</f>
        <v>0</v>
      </c>
      <c r="AC390" s="48">
        <f>'Adani Enterprises'!AC390</f>
        <v>0</v>
      </c>
      <c r="AD390" s="48">
        <f>'Adani Enterprises'!AD390</f>
        <v>0</v>
      </c>
      <c r="AE390" s="48">
        <f>'Adani Enterprises'!AE390</f>
        <v>0</v>
      </c>
      <c r="AF390" s="48">
        <f>'Adani Enterprises'!AF390</f>
        <v>0</v>
      </c>
      <c r="AG390" s="48">
        <f>'Adani Enterprises'!AG390</f>
        <v>0</v>
      </c>
      <c r="AH390" s="48">
        <f>'Adani Enterprises'!AH390</f>
        <v>0</v>
      </c>
      <c r="AI390" s="48">
        <f>'Adani Enterprises'!AI390</f>
        <v>0</v>
      </c>
      <c r="AJ390" s="48">
        <f>'Adani Enterprises'!AJ390</f>
        <v>0</v>
      </c>
      <c r="AK390" s="48">
        <f>'Adani Enterprises'!AK390</f>
        <v>0</v>
      </c>
      <c r="AL390" s="48">
        <f>'Adani Enterprises'!AL390</f>
        <v>0</v>
      </c>
    </row>
    <row r="391" customHeight="1" spans="1:38">
      <c r="A391" s="48">
        <f>'Adani Enterprises'!A391</f>
        <v>0</v>
      </c>
      <c r="B391" s="48">
        <f>'Adani Enterprises'!B391</f>
        <v>0</v>
      </c>
      <c r="C391" s="48">
        <f>'Adani Enterprises'!C391</f>
        <v>0</v>
      </c>
      <c r="D391" s="48">
        <f>'Adani Enterprises'!D391</f>
        <v>0</v>
      </c>
      <c r="E391" s="48">
        <f>'Adani Enterprises'!E391</f>
        <v>0</v>
      </c>
      <c r="F391" s="48">
        <f>'Adani Enterprises'!F391</f>
        <v>0</v>
      </c>
      <c r="G391" s="48">
        <f>'Adani Enterprises'!G391</f>
        <v>0</v>
      </c>
      <c r="H391" s="48">
        <f>'Adani Enterprises'!H391</f>
        <v>0</v>
      </c>
      <c r="I391" s="48">
        <f>'Adani Enterprises'!I391</f>
        <v>0</v>
      </c>
      <c r="J391" s="48">
        <f>'Adani Enterprises'!J391</f>
        <v>0</v>
      </c>
      <c r="K391" s="48">
        <f>'Adani Enterprises'!K391</f>
        <v>0</v>
      </c>
      <c r="L391" s="48">
        <f>'Adani Enterprises'!L391</f>
        <v>0</v>
      </c>
      <c r="M391" s="48">
        <f>'Adani Enterprises'!M391</f>
        <v>0</v>
      </c>
      <c r="N391" s="48">
        <f>'Adani Enterprises'!N391</f>
        <v>0</v>
      </c>
      <c r="O391" s="48">
        <f>'Adani Enterprises'!O391</f>
        <v>0</v>
      </c>
      <c r="P391" s="48">
        <f>'Adani Enterprises'!P391</f>
        <v>0</v>
      </c>
      <c r="Q391" s="48">
        <f>'Adani Enterprises'!Q391</f>
        <v>0</v>
      </c>
      <c r="R391" s="48">
        <f>'Adani Enterprises'!R391</f>
        <v>0</v>
      </c>
      <c r="S391" s="48">
        <f>'Adani Enterprises'!S391</f>
        <v>0</v>
      </c>
      <c r="T391" s="48">
        <f>'Adani Enterprises'!T391</f>
        <v>0</v>
      </c>
      <c r="U391" s="48">
        <f>'Adani Enterprises'!U391</f>
        <v>0</v>
      </c>
      <c r="V391" s="48">
        <f>'Adani Enterprises'!V391</f>
        <v>0</v>
      </c>
      <c r="W391" s="48">
        <f>'Adani Enterprises'!W391</f>
        <v>0</v>
      </c>
      <c r="X391" s="48">
        <f>'Adani Enterprises'!X391</f>
        <v>0</v>
      </c>
      <c r="Y391" s="48">
        <f>'Adani Enterprises'!Y391</f>
        <v>0</v>
      </c>
      <c r="Z391" s="48">
        <f>'Adani Enterprises'!Z391</f>
        <v>0</v>
      </c>
      <c r="AA391" s="48">
        <f>'Adani Enterprises'!AA391</f>
        <v>0</v>
      </c>
      <c r="AB391" s="48">
        <f>'Adani Enterprises'!AB391</f>
        <v>0</v>
      </c>
      <c r="AC391" s="48">
        <f>'Adani Enterprises'!AC391</f>
        <v>0</v>
      </c>
      <c r="AD391" s="48">
        <f>'Adani Enterprises'!AD391</f>
        <v>0</v>
      </c>
      <c r="AE391" s="48">
        <f>'Adani Enterprises'!AE391</f>
        <v>0</v>
      </c>
      <c r="AF391" s="48">
        <f>'Adani Enterprises'!AF391</f>
        <v>0</v>
      </c>
      <c r="AG391" s="48">
        <f>'Adani Enterprises'!AG391</f>
        <v>0</v>
      </c>
      <c r="AH391" s="48">
        <f>'Adani Enterprises'!AH391</f>
        <v>0</v>
      </c>
      <c r="AI391" s="48">
        <f>'Adani Enterprises'!AI391</f>
        <v>0</v>
      </c>
      <c r="AJ391" s="48">
        <f>'Adani Enterprises'!AJ391</f>
        <v>0</v>
      </c>
      <c r="AK391" s="48">
        <f>'Adani Enterprises'!AK391</f>
        <v>0</v>
      </c>
      <c r="AL391" s="48">
        <f>'Adani Enterprises'!AL391</f>
        <v>0</v>
      </c>
    </row>
    <row r="392" customHeight="1" spans="1:38">
      <c r="A392" s="48">
        <f>'Adani Enterprises'!A392</f>
        <v>0</v>
      </c>
      <c r="B392" s="48">
        <f>'Adani Enterprises'!B392</f>
        <v>0</v>
      </c>
      <c r="C392" s="48">
        <f>'Adani Enterprises'!C392</f>
        <v>0</v>
      </c>
      <c r="D392" s="48">
        <f>'Adani Enterprises'!D392</f>
        <v>0</v>
      </c>
      <c r="E392" s="48">
        <f>'Adani Enterprises'!E392</f>
        <v>0</v>
      </c>
      <c r="F392" s="48">
        <f>'Adani Enterprises'!F392</f>
        <v>0</v>
      </c>
      <c r="G392" s="48">
        <f>'Adani Enterprises'!G392</f>
        <v>0</v>
      </c>
      <c r="H392" s="48">
        <f>'Adani Enterprises'!H392</f>
        <v>0</v>
      </c>
      <c r="I392" s="48">
        <f>'Adani Enterprises'!I392</f>
        <v>0</v>
      </c>
      <c r="J392" s="48">
        <f>'Adani Enterprises'!J392</f>
        <v>0</v>
      </c>
      <c r="K392" s="48">
        <f>'Adani Enterprises'!K392</f>
        <v>0</v>
      </c>
      <c r="L392" s="48">
        <f>'Adani Enterprises'!L392</f>
        <v>0</v>
      </c>
      <c r="M392" s="48">
        <f>'Adani Enterprises'!M392</f>
        <v>0</v>
      </c>
      <c r="N392" s="48">
        <f>'Adani Enterprises'!N392</f>
        <v>0</v>
      </c>
      <c r="O392" s="48">
        <f>'Adani Enterprises'!O392</f>
        <v>0</v>
      </c>
      <c r="P392" s="48">
        <f>'Adani Enterprises'!P392</f>
        <v>0</v>
      </c>
      <c r="Q392" s="48">
        <f>'Adani Enterprises'!Q392</f>
        <v>0</v>
      </c>
      <c r="R392" s="48">
        <f>'Adani Enterprises'!R392</f>
        <v>0</v>
      </c>
      <c r="S392" s="48">
        <f>'Adani Enterprises'!S392</f>
        <v>0</v>
      </c>
      <c r="T392" s="48">
        <f>'Adani Enterprises'!T392</f>
        <v>0</v>
      </c>
      <c r="U392" s="48">
        <f>'Adani Enterprises'!U392</f>
        <v>0</v>
      </c>
      <c r="V392" s="48">
        <f>'Adani Enterprises'!V392</f>
        <v>0</v>
      </c>
      <c r="W392" s="48">
        <f>'Adani Enterprises'!W392</f>
        <v>0</v>
      </c>
      <c r="X392" s="48">
        <f>'Adani Enterprises'!X392</f>
        <v>0</v>
      </c>
      <c r="Y392" s="48">
        <f>'Adani Enterprises'!Y392</f>
        <v>0</v>
      </c>
      <c r="Z392" s="48">
        <f>'Adani Enterprises'!Z392</f>
        <v>0</v>
      </c>
      <c r="AA392" s="48">
        <f>'Adani Enterprises'!AA392</f>
        <v>0</v>
      </c>
      <c r="AB392" s="48">
        <f>'Adani Enterprises'!AB392</f>
        <v>0</v>
      </c>
      <c r="AC392" s="48">
        <f>'Adani Enterprises'!AC392</f>
        <v>0</v>
      </c>
      <c r="AD392" s="48">
        <f>'Adani Enterprises'!AD392</f>
        <v>0</v>
      </c>
      <c r="AE392" s="48">
        <f>'Adani Enterprises'!AE392</f>
        <v>0</v>
      </c>
      <c r="AF392" s="48">
        <f>'Adani Enterprises'!AF392</f>
        <v>0</v>
      </c>
      <c r="AG392" s="48">
        <f>'Adani Enterprises'!AG392</f>
        <v>0</v>
      </c>
      <c r="AH392" s="48">
        <f>'Adani Enterprises'!AH392</f>
        <v>0</v>
      </c>
      <c r="AI392" s="48">
        <f>'Adani Enterprises'!AI392</f>
        <v>0</v>
      </c>
      <c r="AJ392" s="48">
        <f>'Adani Enterprises'!AJ392</f>
        <v>0</v>
      </c>
      <c r="AK392" s="48">
        <f>'Adani Enterprises'!AK392</f>
        <v>0</v>
      </c>
      <c r="AL392" s="48">
        <f>'Adani Enterprises'!AL392</f>
        <v>0</v>
      </c>
    </row>
    <row r="393" customHeight="1" spans="1:38">
      <c r="A393" s="48">
        <f>'Adani Enterprises'!A393</f>
        <v>0</v>
      </c>
      <c r="B393" s="48">
        <f>'Adani Enterprises'!B393</f>
        <v>0</v>
      </c>
      <c r="C393" s="48">
        <f>'Adani Enterprises'!C393</f>
        <v>0</v>
      </c>
      <c r="D393" s="48">
        <f>'Adani Enterprises'!D393</f>
        <v>0</v>
      </c>
      <c r="E393" s="48">
        <f>'Adani Enterprises'!E393</f>
        <v>0</v>
      </c>
      <c r="F393" s="48">
        <f>'Adani Enterprises'!F393</f>
        <v>0</v>
      </c>
      <c r="G393" s="48">
        <f>'Adani Enterprises'!G393</f>
        <v>0</v>
      </c>
      <c r="H393" s="48">
        <f>'Adani Enterprises'!H393</f>
        <v>0</v>
      </c>
      <c r="I393" s="48">
        <f>'Adani Enterprises'!I393</f>
        <v>0</v>
      </c>
      <c r="J393" s="48">
        <f>'Adani Enterprises'!J393</f>
        <v>0</v>
      </c>
      <c r="K393" s="48">
        <f>'Adani Enterprises'!K393</f>
        <v>0</v>
      </c>
      <c r="L393" s="48">
        <f>'Adani Enterprises'!L393</f>
        <v>0</v>
      </c>
      <c r="M393" s="48">
        <f>'Adani Enterprises'!M393</f>
        <v>0</v>
      </c>
      <c r="N393" s="48">
        <f>'Adani Enterprises'!N393</f>
        <v>0</v>
      </c>
      <c r="O393" s="48">
        <f>'Adani Enterprises'!O393</f>
        <v>0</v>
      </c>
      <c r="P393" s="48">
        <f>'Adani Enterprises'!P393</f>
        <v>0</v>
      </c>
      <c r="Q393" s="48">
        <f>'Adani Enterprises'!Q393</f>
        <v>0</v>
      </c>
      <c r="R393" s="48">
        <f>'Adani Enterprises'!R393</f>
        <v>0</v>
      </c>
      <c r="S393" s="48">
        <f>'Adani Enterprises'!S393</f>
        <v>0</v>
      </c>
      <c r="T393" s="48">
        <f>'Adani Enterprises'!T393</f>
        <v>0</v>
      </c>
      <c r="U393" s="48">
        <f>'Adani Enterprises'!U393</f>
        <v>0</v>
      </c>
      <c r="V393" s="48">
        <f>'Adani Enterprises'!V393</f>
        <v>0</v>
      </c>
      <c r="W393" s="48">
        <f>'Adani Enterprises'!W393</f>
        <v>0</v>
      </c>
      <c r="X393" s="48">
        <f>'Adani Enterprises'!X393</f>
        <v>0</v>
      </c>
      <c r="Y393" s="48">
        <f>'Adani Enterprises'!Y393</f>
        <v>0</v>
      </c>
      <c r="Z393" s="48">
        <f>'Adani Enterprises'!Z393</f>
        <v>0</v>
      </c>
      <c r="AA393" s="48">
        <f>'Adani Enterprises'!AA393</f>
        <v>0</v>
      </c>
      <c r="AB393" s="48">
        <f>'Adani Enterprises'!AB393</f>
        <v>0</v>
      </c>
      <c r="AC393" s="48">
        <f>'Adani Enterprises'!AC393</f>
        <v>0</v>
      </c>
      <c r="AD393" s="48">
        <f>'Adani Enterprises'!AD393</f>
        <v>0</v>
      </c>
      <c r="AE393" s="48">
        <f>'Adani Enterprises'!AE393</f>
        <v>0</v>
      </c>
      <c r="AF393" s="48">
        <f>'Adani Enterprises'!AF393</f>
        <v>0</v>
      </c>
      <c r="AG393" s="48">
        <f>'Adani Enterprises'!AG393</f>
        <v>0</v>
      </c>
      <c r="AH393" s="48">
        <f>'Adani Enterprises'!AH393</f>
        <v>0</v>
      </c>
      <c r="AI393" s="48">
        <f>'Adani Enterprises'!AI393</f>
        <v>0</v>
      </c>
      <c r="AJ393" s="48">
        <f>'Adani Enterprises'!AJ393</f>
        <v>0</v>
      </c>
      <c r="AK393" s="48">
        <f>'Adani Enterprises'!AK393</f>
        <v>0</v>
      </c>
      <c r="AL393" s="48">
        <f>'Adani Enterprises'!AL393</f>
        <v>0</v>
      </c>
    </row>
    <row r="394" customHeight="1" spans="1:38">
      <c r="A394" s="48">
        <f>'Adani Enterprises'!A394</f>
        <v>0</v>
      </c>
      <c r="B394" s="48">
        <f>'Adani Enterprises'!B394</f>
        <v>0</v>
      </c>
      <c r="C394" s="48">
        <f>'Adani Enterprises'!C394</f>
        <v>0</v>
      </c>
      <c r="D394" s="48">
        <f>'Adani Enterprises'!D394</f>
        <v>0</v>
      </c>
      <c r="E394" s="48">
        <f>'Adani Enterprises'!E394</f>
        <v>0</v>
      </c>
      <c r="F394" s="48">
        <f>'Adani Enterprises'!F394</f>
        <v>0</v>
      </c>
      <c r="G394" s="48">
        <f>'Adani Enterprises'!G394</f>
        <v>0</v>
      </c>
      <c r="H394" s="48">
        <f>'Adani Enterprises'!H394</f>
        <v>0</v>
      </c>
      <c r="I394" s="48">
        <f>'Adani Enterprises'!I394</f>
        <v>0</v>
      </c>
      <c r="J394" s="48">
        <f>'Adani Enterprises'!J394</f>
        <v>0</v>
      </c>
      <c r="K394" s="48">
        <f>'Adani Enterprises'!K394</f>
        <v>0</v>
      </c>
      <c r="L394" s="48">
        <f>'Adani Enterprises'!L394</f>
        <v>0</v>
      </c>
      <c r="M394" s="48">
        <f>'Adani Enterprises'!M394</f>
        <v>0</v>
      </c>
      <c r="N394" s="48">
        <f>'Adani Enterprises'!N394</f>
        <v>0</v>
      </c>
      <c r="O394" s="48">
        <f>'Adani Enterprises'!O394</f>
        <v>0</v>
      </c>
      <c r="P394" s="48">
        <f>'Adani Enterprises'!P394</f>
        <v>0</v>
      </c>
      <c r="Q394" s="48">
        <f>'Adani Enterprises'!Q394</f>
        <v>0</v>
      </c>
      <c r="R394" s="48">
        <f>'Adani Enterprises'!R394</f>
        <v>0</v>
      </c>
      <c r="S394" s="48">
        <f>'Adani Enterprises'!S394</f>
        <v>0</v>
      </c>
      <c r="T394" s="48">
        <f>'Adani Enterprises'!T394</f>
        <v>0</v>
      </c>
      <c r="U394" s="48">
        <f>'Adani Enterprises'!U394</f>
        <v>0</v>
      </c>
      <c r="V394" s="48">
        <f>'Adani Enterprises'!V394</f>
        <v>0</v>
      </c>
      <c r="W394" s="48">
        <f>'Adani Enterprises'!W394</f>
        <v>0</v>
      </c>
      <c r="X394" s="48">
        <f>'Adani Enterprises'!X394</f>
        <v>0</v>
      </c>
      <c r="Y394" s="48">
        <f>'Adani Enterprises'!Y394</f>
        <v>0</v>
      </c>
      <c r="Z394" s="48">
        <f>'Adani Enterprises'!Z394</f>
        <v>0</v>
      </c>
      <c r="AA394" s="48">
        <f>'Adani Enterprises'!AA394</f>
        <v>0</v>
      </c>
      <c r="AB394" s="48">
        <f>'Adani Enterprises'!AB394</f>
        <v>0</v>
      </c>
      <c r="AC394" s="48">
        <f>'Adani Enterprises'!AC394</f>
        <v>0</v>
      </c>
      <c r="AD394" s="48">
        <f>'Adani Enterprises'!AD394</f>
        <v>0</v>
      </c>
      <c r="AE394" s="48">
        <f>'Adani Enterprises'!AE394</f>
        <v>0</v>
      </c>
      <c r="AF394" s="48">
        <f>'Adani Enterprises'!AF394</f>
        <v>0</v>
      </c>
      <c r="AG394" s="48">
        <f>'Adani Enterprises'!AG394</f>
        <v>0</v>
      </c>
      <c r="AH394" s="48">
        <f>'Adani Enterprises'!AH394</f>
        <v>0</v>
      </c>
      <c r="AI394" s="48">
        <f>'Adani Enterprises'!AI394</f>
        <v>0</v>
      </c>
      <c r="AJ394" s="48">
        <f>'Adani Enterprises'!AJ394</f>
        <v>0</v>
      </c>
      <c r="AK394" s="48">
        <f>'Adani Enterprises'!AK394</f>
        <v>0</v>
      </c>
      <c r="AL394" s="48">
        <f>'Adani Enterprises'!AL394</f>
        <v>0</v>
      </c>
    </row>
    <row r="395" customHeight="1" spans="1:38">
      <c r="A395" s="48">
        <f>'Adani Enterprises'!A395</f>
        <v>0</v>
      </c>
      <c r="B395" s="48">
        <f>'Adani Enterprises'!B395</f>
        <v>0</v>
      </c>
      <c r="C395" s="48">
        <f>'Adani Enterprises'!C395</f>
        <v>0</v>
      </c>
      <c r="D395" s="48">
        <f>'Adani Enterprises'!D395</f>
        <v>0</v>
      </c>
      <c r="E395" s="48">
        <f>'Adani Enterprises'!E395</f>
        <v>0</v>
      </c>
      <c r="F395" s="48">
        <f>'Adani Enterprises'!F395</f>
        <v>0</v>
      </c>
      <c r="G395" s="48">
        <f>'Adani Enterprises'!G395</f>
        <v>0</v>
      </c>
      <c r="H395" s="48">
        <f>'Adani Enterprises'!H395</f>
        <v>0</v>
      </c>
      <c r="I395" s="48">
        <f>'Adani Enterprises'!I395</f>
        <v>0</v>
      </c>
      <c r="J395" s="48">
        <f>'Adani Enterprises'!J395</f>
        <v>0</v>
      </c>
      <c r="K395" s="48">
        <f>'Adani Enterprises'!K395</f>
        <v>0</v>
      </c>
      <c r="L395" s="48">
        <f>'Adani Enterprises'!L395</f>
        <v>0</v>
      </c>
      <c r="M395" s="48">
        <f>'Adani Enterprises'!M395</f>
        <v>0</v>
      </c>
      <c r="N395" s="48">
        <f>'Adani Enterprises'!N395</f>
        <v>0</v>
      </c>
      <c r="O395" s="48">
        <f>'Adani Enterprises'!O395</f>
        <v>0</v>
      </c>
      <c r="P395" s="48">
        <f>'Adani Enterprises'!P395</f>
        <v>0</v>
      </c>
      <c r="Q395" s="48">
        <f>'Adani Enterprises'!Q395</f>
        <v>0</v>
      </c>
      <c r="R395" s="48">
        <f>'Adani Enterprises'!R395</f>
        <v>0</v>
      </c>
      <c r="S395" s="48">
        <f>'Adani Enterprises'!S395</f>
        <v>0</v>
      </c>
      <c r="T395" s="48">
        <f>'Adani Enterprises'!T395</f>
        <v>0</v>
      </c>
      <c r="U395" s="48">
        <f>'Adani Enterprises'!U395</f>
        <v>0</v>
      </c>
      <c r="V395" s="48">
        <f>'Adani Enterprises'!V395</f>
        <v>0</v>
      </c>
      <c r="W395" s="48">
        <f>'Adani Enterprises'!W395</f>
        <v>0</v>
      </c>
      <c r="X395" s="48">
        <f>'Adani Enterprises'!X395</f>
        <v>0</v>
      </c>
      <c r="Y395" s="48">
        <f>'Adani Enterprises'!Y395</f>
        <v>0</v>
      </c>
      <c r="Z395" s="48">
        <f>'Adani Enterprises'!Z395</f>
        <v>0</v>
      </c>
      <c r="AA395" s="48">
        <f>'Adani Enterprises'!AA395</f>
        <v>0</v>
      </c>
      <c r="AB395" s="48">
        <f>'Adani Enterprises'!AB395</f>
        <v>0</v>
      </c>
      <c r="AC395" s="48">
        <f>'Adani Enterprises'!AC395</f>
        <v>0</v>
      </c>
      <c r="AD395" s="48">
        <f>'Adani Enterprises'!AD395</f>
        <v>0</v>
      </c>
      <c r="AE395" s="48">
        <f>'Adani Enterprises'!AE395</f>
        <v>0</v>
      </c>
      <c r="AF395" s="48">
        <f>'Adani Enterprises'!AF395</f>
        <v>0</v>
      </c>
      <c r="AG395" s="48">
        <f>'Adani Enterprises'!AG395</f>
        <v>0</v>
      </c>
      <c r="AH395" s="48">
        <f>'Adani Enterprises'!AH395</f>
        <v>0</v>
      </c>
      <c r="AI395" s="48">
        <f>'Adani Enterprises'!AI395</f>
        <v>0</v>
      </c>
      <c r="AJ395" s="48">
        <f>'Adani Enterprises'!AJ395</f>
        <v>0</v>
      </c>
      <c r="AK395" s="48">
        <f>'Adani Enterprises'!AK395</f>
        <v>0</v>
      </c>
      <c r="AL395" s="48">
        <f>'Adani Enterprises'!AL395</f>
        <v>0</v>
      </c>
    </row>
    <row r="396" customHeight="1" spans="1:38">
      <c r="A396" s="48">
        <f>'Adani Enterprises'!A396</f>
        <v>0</v>
      </c>
      <c r="B396" s="48">
        <f>'Adani Enterprises'!B396</f>
        <v>0</v>
      </c>
      <c r="C396" s="48">
        <f>'Adani Enterprises'!C396</f>
        <v>0</v>
      </c>
      <c r="D396" s="48">
        <f>'Adani Enterprises'!D396</f>
        <v>0</v>
      </c>
      <c r="E396" s="48">
        <f>'Adani Enterprises'!E396</f>
        <v>0</v>
      </c>
      <c r="F396" s="48">
        <f>'Adani Enterprises'!F396</f>
        <v>0</v>
      </c>
      <c r="G396" s="48">
        <f>'Adani Enterprises'!G396</f>
        <v>0</v>
      </c>
      <c r="H396" s="48">
        <f>'Adani Enterprises'!H396</f>
        <v>0</v>
      </c>
      <c r="I396" s="48">
        <f>'Adani Enterprises'!I396</f>
        <v>0</v>
      </c>
      <c r="J396" s="48">
        <f>'Adani Enterprises'!J396</f>
        <v>0</v>
      </c>
      <c r="K396" s="48">
        <f>'Adani Enterprises'!K396</f>
        <v>0</v>
      </c>
      <c r="L396" s="48">
        <f>'Adani Enterprises'!L396</f>
        <v>0</v>
      </c>
      <c r="M396" s="48">
        <f>'Adani Enterprises'!M396</f>
        <v>0</v>
      </c>
      <c r="N396" s="48">
        <f>'Adani Enterprises'!N396</f>
        <v>0</v>
      </c>
      <c r="O396" s="48">
        <f>'Adani Enterprises'!O396</f>
        <v>0</v>
      </c>
      <c r="P396" s="48">
        <f>'Adani Enterprises'!P396</f>
        <v>0</v>
      </c>
      <c r="Q396" s="48">
        <f>'Adani Enterprises'!Q396</f>
        <v>0</v>
      </c>
      <c r="R396" s="48">
        <f>'Adani Enterprises'!R396</f>
        <v>0</v>
      </c>
      <c r="S396" s="48">
        <f>'Adani Enterprises'!S396</f>
        <v>0</v>
      </c>
      <c r="T396" s="48">
        <f>'Adani Enterprises'!T396</f>
        <v>0</v>
      </c>
      <c r="U396" s="48">
        <f>'Adani Enterprises'!U396</f>
        <v>0</v>
      </c>
      <c r="V396" s="48">
        <f>'Adani Enterprises'!V396</f>
        <v>0</v>
      </c>
      <c r="W396" s="48">
        <f>'Adani Enterprises'!W396</f>
        <v>0</v>
      </c>
      <c r="X396" s="48">
        <f>'Adani Enterprises'!X396</f>
        <v>0</v>
      </c>
      <c r="Y396" s="48">
        <f>'Adani Enterprises'!Y396</f>
        <v>0</v>
      </c>
      <c r="Z396" s="48">
        <f>'Adani Enterprises'!Z396</f>
        <v>0</v>
      </c>
      <c r="AA396" s="48">
        <f>'Adani Enterprises'!AA396</f>
        <v>0</v>
      </c>
      <c r="AB396" s="48">
        <f>'Adani Enterprises'!AB396</f>
        <v>0</v>
      </c>
      <c r="AC396" s="48">
        <f>'Adani Enterprises'!AC396</f>
        <v>0</v>
      </c>
      <c r="AD396" s="48">
        <f>'Adani Enterprises'!AD396</f>
        <v>0</v>
      </c>
      <c r="AE396" s="48">
        <f>'Adani Enterprises'!AE396</f>
        <v>0</v>
      </c>
      <c r="AF396" s="48">
        <f>'Adani Enterprises'!AF396</f>
        <v>0</v>
      </c>
      <c r="AG396" s="48">
        <f>'Adani Enterprises'!AG396</f>
        <v>0</v>
      </c>
      <c r="AH396" s="48">
        <f>'Adani Enterprises'!AH396</f>
        <v>0</v>
      </c>
      <c r="AI396" s="48">
        <f>'Adani Enterprises'!AI396</f>
        <v>0</v>
      </c>
      <c r="AJ396" s="48">
        <f>'Adani Enterprises'!AJ396</f>
        <v>0</v>
      </c>
      <c r="AK396" s="48">
        <f>'Adani Enterprises'!AK396</f>
        <v>0</v>
      </c>
      <c r="AL396" s="48">
        <f>'Adani Enterprises'!AL396</f>
        <v>0</v>
      </c>
    </row>
    <row r="397" customHeight="1" spans="1:38">
      <c r="A397" s="48">
        <f>'Adani Enterprises'!A397</f>
        <v>0</v>
      </c>
      <c r="B397" s="48">
        <f>'Adani Enterprises'!B397</f>
        <v>0</v>
      </c>
      <c r="C397" s="48">
        <f>'Adani Enterprises'!C397</f>
        <v>0</v>
      </c>
      <c r="D397" s="48">
        <f>'Adani Enterprises'!D397</f>
        <v>0</v>
      </c>
      <c r="E397" s="48">
        <f>'Adani Enterprises'!E397</f>
        <v>0</v>
      </c>
      <c r="F397" s="48">
        <f>'Adani Enterprises'!F397</f>
        <v>0</v>
      </c>
      <c r="G397" s="48">
        <f>'Adani Enterprises'!G397</f>
        <v>0</v>
      </c>
      <c r="H397" s="48">
        <f>'Adani Enterprises'!H397</f>
        <v>0</v>
      </c>
      <c r="I397" s="48">
        <f>'Adani Enterprises'!I397</f>
        <v>0</v>
      </c>
      <c r="J397" s="48">
        <f>'Adani Enterprises'!J397</f>
        <v>0</v>
      </c>
      <c r="K397" s="48">
        <f>'Adani Enterprises'!K397</f>
        <v>0</v>
      </c>
      <c r="L397" s="48">
        <f>'Adani Enterprises'!L397</f>
        <v>0</v>
      </c>
      <c r="M397" s="48">
        <f>'Adani Enterprises'!M397</f>
        <v>0</v>
      </c>
      <c r="N397" s="48">
        <f>'Adani Enterprises'!N397</f>
        <v>0</v>
      </c>
      <c r="O397" s="48">
        <f>'Adani Enterprises'!O397</f>
        <v>0</v>
      </c>
      <c r="P397" s="48">
        <f>'Adani Enterprises'!P397</f>
        <v>0</v>
      </c>
      <c r="Q397" s="48">
        <f>'Adani Enterprises'!Q397</f>
        <v>0</v>
      </c>
      <c r="R397" s="48">
        <f>'Adani Enterprises'!R397</f>
        <v>0</v>
      </c>
      <c r="S397" s="48">
        <f>'Adani Enterprises'!S397</f>
        <v>0</v>
      </c>
      <c r="T397" s="48">
        <f>'Adani Enterprises'!T397</f>
        <v>0</v>
      </c>
      <c r="U397" s="48">
        <f>'Adani Enterprises'!U397</f>
        <v>0</v>
      </c>
      <c r="V397" s="48">
        <f>'Adani Enterprises'!V397</f>
        <v>0</v>
      </c>
      <c r="W397" s="48">
        <f>'Adani Enterprises'!W397</f>
        <v>0</v>
      </c>
      <c r="X397" s="48">
        <f>'Adani Enterprises'!X397</f>
        <v>0</v>
      </c>
      <c r="Y397" s="48">
        <f>'Adani Enterprises'!Y397</f>
        <v>0</v>
      </c>
      <c r="Z397" s="48">
        <f>'Adani Enterprises'!Z397</f>
        <v>0</v>
      </c>
      <c r="AA397" s="48">
        <f>'Adani Enterprises'!AA397</f>
        <v>0</v>
      </c>
      <c r="AB397" s="48">
        <f>'Adani Enterprises'!AB397</f>
        <v>0</v>
      </c>
      <c r="AC397" s="48">
        <f>'Adani Enterprises'!AC397</f>
        <v>0</v>
      </c>
      <c r="AD397" s="48">
        <f>'Adani Enterprises'!AD397</f>
        <v>0</v>
      </c>
      <c r="AE397" s="48">
        <f>'Adani Enterprises'!AE397</f>
        <v>0</v>
      </c>
      <c r="AF397" s="48">
        <f>'Adani Enterprises'!AF397</f>
        <v>0</v>
      </c>
      <c r="AG397" s="48">
        <f>'Adani Enterprises'!AG397</f>
        <v>0</v>
      </c>
      <c r="AH397" s="48">
        <f>'Adani Enterprises'!AH397</f>
        <v>0</v>
      </c>
      <c r="AI397" s="48">
        <f>'Adani Enterprises'!AI397</f>
        <v>0</v>
      </c>
      <c r="AJ397" s="48">
        <f>'Adani Enterprises'!AJ397</f>
        <v>0</v>
      </c>
      <c r="AK397" s="48">
        <f>'Adani Enterprises'!AK397</f>
        <v>0</v>
      </c>
      <c r="AL397" s="48">
        <f>'Adani Enterprises'!AL397</f>
        <v>0</v>
      </c>
    </row>
    <row r="398" customHeight="1" spans="1:38">
      <c r="A398" s="48">
        <f>'Adani Enterprises'!A398</f>
        <v>0</v>
      </c>
      <c r="B398" s="48">
        <f>'Adani Enterprises'!B398</f>
        <v>0</v>
      </c>
      <c r="C398" s="48">
        <f>'Adani Enterprises'!C398</f>
        <v>0</v>
      </c>
      <c r="D398" s="48">
        <f>'Adani Enterprises'!D398</f>
        <v>0</v>
      </c>
      <c r="E398" s="48">
        <f>'Adani Enterprises'!E398</f>
        <v>0</v>
      </c>
      <c r="F398" s="48">
        <f>'Adani Enterprises'!F398</f>
        <v>0</v>
      </c>
      <c r="G398" s="48">
        <f>'Adani Enterprises'!G398</f>
        <v>0</v>
      </c>
      <c r="H398" s="48">
        <f>'Adani Enterprises'!H398</f>
        <v>0</v>
      </c>
      <c r="I398" s="48">
        <f>'Adani Enterprises'!I398</f>
        <v>0</v>
      </c>
      <c r="J398" s="48">
        <f>'Adani Enterprises'!J398</f>
        <v>0</v>
      </c>
      <c r="K398" s="48">
        <f>'Adani Enterprises'!K398</f>
        <v>0</v>
      </c>
      <c r="L398" s="48">
        <f>'Adani Enterprises'!L398</f>
        <v>0</v>
      </c>
      <c r="M398" s="48">
        <f>'Adani Enterprises'!M398</f>
        <v>0</v>
      </c>
      <c r="N398" s="48">
        <f>'Adani Enterprises'!N398</f>
        <v>0</v>
      </c>
      <c r="O398" s="48">
        <f>'Adani Enterprises'!O398</f>
        <v>0</v>
      </c>
      <c r="P398" s="48">
        <f>'Adani Enterprises'!P398</f>
        <v>0</v>
      </c>
      <c r="Q398" s="48">
        <f>'Adani Enterprises'!Q398</f>
        <v>0</v>
      </c>
      <c r="R398" s="48">
        <f>'Adani Enterprises'!R398</f>
        <v>0</v>
      </c>
      <c r="S398" s="48">
        <f>'Adani Enterprises'!S398</f>
        <v>0</v>
      </c>
      <c r="T398" s="48">
        <f>'Adani Enterprises'!T398</f>
        <v>0</v>
      </c>
      <c r="U398" s="48">
        <f>'Adani Enterprises'!U398</f>
        <v>0</v>
      </c>
      <c r="V398" s="48">
        <f>'Adani Enterprises'!V398</f>
        <v>0</v>
      </c>
      <c r="W398" s="48">
        <f>'Adani Enterprises'!W398</f>
        <v>0</v>
      </c>
      <c r="X398" s="48">
        <f>'Adani Enterprises'!X398</f>
        <v>0</v>
      </c>
      <c r="Y398" s="48">
        <f>'Adani Enterprises'!Y398</f>
        <v>0</v>
      </c>
      <c r="Z398" s="48">
        <f>'Adani Enterprises'!Z398</f>
        <v>0</v>
      </c>
      <c r="AA398" s="48">
        <f>'Adani Enterprises'!AA398</f>
        <v>0</v>
      </c>
      <c r="AB398" s="48">
        <f>'Adani Enterprises'!AB398</f>
        <v>0</v>
      </c>
      <c r="AC398" s="48">
        <f>'Adani Enterprises'!AC398</f>
        <v>0</v>
      </c>
      <c r="AD398" s="48">
        <f>'Adani Enterprises'!AD398</f>
        <v>0</v>
      </c>
      <c r="AE398" s="48">
        <f>'Adani Enterprises'!AE398</f>
        <v>0</v>
      </c>
      <c r="AF398" s="48">
        <f>'Adani Enterprises'!AF398</f>
        <v>0</v>
      </c>
      <c r="AG398" s="48">
        <f>'Adani Enterprises'!AG398</f>
        <v>0</v>
      </c>
      <c r="AH398" s="48">
        <f>'Adani Enterprises'!AH398</f>
        <v>0</v>
      </c>
      <c r="AI398" s="48">
        <f>'Adani Enterprises'!AI398</f>
        <v>0</v>
      </c>
      <c r="AJ398" s="48">
        <f>'Adani Enterprises'!AJ398</f>
        <v>0</v>
      </c>
      <c r="AK398" s="48">
        <f>'Adani Enterprises'!AK398</f>
        <v>0</v>
      </c>
      <c r="AL398" s="48">
        <f>'Adani Enterprises'!AL398</f>
        <v>0</v>
      </c>
    </row>
    <row r="399" customHeight="1" spans="1:38">
      <c r="A399" s="48">
        <f>'Adani Enterprises'!A399</f>
        <v>0</v>
      </c>
      <c r="B399" s="48">
        <f>'Adani Enterprises'!B399</f>
        <v>0</v>
      </c>
      <c r="C399" s="48">
        <f>'Adani Enterprises'!C399</f>
        <v>0</v>
      </c>
      <c r="D399" s="48">
        <f>'Adani Enterprises'!D399</f>
        <v>0</v>
      </c>
      <c r="E399" s="48">
        <f>'Adani Enterprises'!E399</f>
        <v>0</v>
      </c>
      <c r="F399" s="48">
        <f>'Adani Enterprises'!F399</f>
        <v>0</v>
      </c>
      <c r="G399" s="48">
        <f>'Adani Enterprises'!G399</f>
        <v>0</v>
      </c>
      <c r="H399" s="48">
        <f>'Adani Enterprises'!H399</f>
        <v>0</v>
      </c>
      <c r="I399" s="48">
        <f>'Adani Enterprises'!I399</f>
        <v>0</v>
      </c>
      <c r="J399" s="48">
        <f>'Adani Enterprises'!J399</f>
        <v>0</v>
      </c>
      <c r="K399" s="48">
        <f>'Adani Enterprises'!K399</f>
        <v>0</v>
      </c>
      <c r="L399" s="48">
        <f>'Adani Enterprises'!L399</f>
        <v>0</v>
      </c>
      <c r="M399" s="48">
        <f>'Adani Enterprises'!M399</f>
        <v>0</v>
      </c>
      <c r="N399" s="48">
        <f>'Adani Enterprises'!N399</f>
        <v>0</v>
      </c>
      <c r="O399" s="48">
        <f>'Adani Enterprises'!O399</f>
        <v>0</v>
      </c>
      <c r="P399" s="48">
        <f>'Adani Enterprises'!P399</f>
        <v>0</v>
      </c>
      <c r="Q399" s="48">
        <f>'Adani Enterprises'!Q399</f>
        <v>0</v>
      </c>
      <c r="R399" s="48">
        <f>'Adani Enterprises'!R399</f>
        <v>0</v>
      </c>
      <c r="S399" s="48">
        <f>'Adani Enterprises'!S399</f>
        <v>0</v>
      </c>
      <c r="T399" s="48">
        <f>'Adani Enterprises'!T399</f>
        <v>0</v>
      </c>
      <c r="U399" s="48">
        <f>'Adani Enterprises'!U399</f>
        <v>0</v>
      </c>
      <c r="V399" s="48">
        <f>'Adani Enterprises'!V399</f>
        <v>0</v>
      </c>
      <c r="W399" s="48">
        <f>'Adani Enterprises'!W399</f>
        <v>0</v>
      </c>
      <c r="X399" s="48">
        <f>'Adani Enterprises'!X399</f>
        <v>0</v>
      </c>
      <c r="Y399" s="48">
        <f>'Adani Enterprises'!Y399</f>
        <v>0</v>
      </c>
      <c r="Z399" s="48">
        <f>'Adani Enterprises'!Z399</f>
        <v>0</v>
      </c>
      <c r="AA399" s="48">
        <f>'Adani Enterprises'!AA399</f>
        <v>0</v>
      </c>
      <c r="AB399" s="48">
        <f>'Adani Enterprises'!AB399</f>
        <v>0</v>
      </c>
      <c r="AC399" s="48">
        <f>'Adani Enterprises'!AC399</f>
        <v>0</v>
      </c>
      <c r="AD399" s="48">
        <f>'Adani Enterprises'!AD399</f>
        <v>0</v>
      </c>
      <c r="AE399" s="48">
        <f>'Adani Enterprises'!AE399</f>
        <v>0</v>
      </c>
      <c r="AF399" s="48">
        <f>'Adani Enterprises'!AF399</f>
        <v>0</v>
      </c>
      <c r="AG399" s="48">
        <f>'Adani Enterprises'!AG399</f>
        <v>0</v>
      </c>
      <c r="AH399" s="48">
        <f>'Adani Enterprises'!AH399</f>
        <v>0</v>
      </c>
      <c r="AI399" s="48">
        <f>'Adani Enterprises'!AI399</f>
        <v>0</v>
      </c>
      <c r="AJ399" s="48">
        <f>'Adani Enterprises'!AJ399</f>
        <v>0</v>
      </c>
      <c r="AK399" s="48">
        <f>'Adani Enterprises'!AK399</f>
        <v>0</v>
      </c>
      <c r="AL399" s="48">
        <f>'Adani Enterprises'!AL399</f>
        <v>0</v>
      </c>
    </row>
    <row r="400" customHeight="1" spans="1:38">
      <c r="A400" s="48">
        <f>'Adani Enterprises'!A400</f>
        <v>0</v>
      </c>
      <c r="B400" s="48">
        <f>'Adani Enterprises'!B400</f>
        <v>0</v>
      </c>
      <c r="C400" s="48">
        <f>'Adani Enterprises'!C400</f>
        <v>0</v>
      </c>
      <c r="D400" s="48">
        <f>'Adani Enterprises'!D400</f>
        <v>0</v>
      </c>
      <c r="E400" s="48">
        <f>'Adani Enterprises'!E400</f>
        <v>0</v>
      </c>
      <c r="F400" s="48">
        <f>'Adani Enterprises'!F400</f>
        <v>0</v>
      </c>
      <c r="G400" s="48">
        <f>'Adani Enterprises'!G400</f>
        <v>0</v>
      </c>
      <c r="H400" s="48">
        <f>'Adani Enterprises'!H400</f>
        <v>0</v>
      </c>
      <c r="I400" s="48">
        <f>'Adani Enterprises'!I400</f>
        <v>0</v>
      </c>
      <c r="J400" s="48">
        <f>'Adani Enterprises'!J400</f>
        <v>0</v>
      </c>
      <c r="K400" s="48">
        <f>'Adani Enterprises'!K400</f>
        <v>0</v>
      </c>
      <c r="L400" s="48">
        <f>'Adani Enterprises'!L400</f>
        <v>0</v>
      </c>
      <c r="M400" s="48">
        <f>'Adani Enterprises'!M400</f>
        <v>0</v>
      </c>
      <c r="N400" s="48">
        <f>'Adani Enterprises'!N400</f>
        <v>0</v>
      </c>
      <c r="O400" s="48">
        <f>'Adani Enterprises'!O400</f>
        <v>0</v>
      </c>
      <c r="P400" s="48">
        <f>'Adani Enterprises'!P400</f>
        <v>0</v>
      </c>
      <c r="Q400" s="48">
        <f>'Adani Enterprises'!Q400</f>
        <v>0</v>
      </c>
      <c r="R400" s="48">
        <f>'Adani Enterprises'!R400</f>
        <v>0</v>
      </c>
      <c r="S400" s="48">
        <f>'Adani Enterprises'!S400</f>
        <v>0</v>
      </c>
      <c r="T400" s="48">
        <f>'Adani Enterprises'!T400</f>
        <v>0</v>
      </c>
      <c r="U400" s="48">
        <f>'Adani Enterprises'!U400</f>
        <v>0</v>
      </c>
      <c r="V400" s="48">
        <f>'Adani Enterprises'!V400</f>
        <v>0</v>
      </c>
      <c r="W400" s="48">
        <f>'Adani Enterprises'!W400</f>
        <v>0</v>
      </c>
      <c r="X400" s="48">
        <f>'Adani Enterprises'!X400</f>
        <v>0</v>
      </c>
      <c r="Y400" s="48">
        <f>'Adani Enterprises'!Y400</f>
        <v>0</v>
      </c>
      <c r="Z400" s="48">
        <f>'Adani Enterprises'!Z400</f>
        <v>0</v>
      </c>
      <c r="AA400" s="48">
        <f>'Adani Enterprises'!AA400</f>
        <v>0</v>
      </c>
      <c r="AB400" s="48">
        <f>'Adani Enterprises'!AB400</f>
        <v>0</v>
      </c>
      <c r="AC400" s="48">
        <f>'Adani Enterprises'!AC400</f>
        <v>0</v>
      </c>
      <c r="AD400" s="48">
        <f>'Adani Enterprises'!AD400</f>
        <v>0</v>
      </c>
      <c r="AE400" s="48">
        <f>'Adani Enterprises'!AE400</f>
        <v>0</v>
      </c>
      <c r="AF400" s="48">
        <f>'Adani Enterprises'!AF400</f>
        <v>0</v>
      </c>
      <c r="AG400" s="48">
        <f>'Adani Enterprises'!AG400</f>
        <v>0</v>
      </c>
      <c r="AH400" s="48">
        <f>'Adani Enterprises'!AH400</f>
        <v>0</v>
      </c>
      <c r="AI400" s="48">
        <f>'Adani Enterprises'!AI400</f>
        <v>0</v>
      </c>
      <c r="AJ400" s="48">
        <f>'Adani Enterprises'!AJ400</f>
        <v>0</v>
      </c>
      <c r="AK400" s="48">
        <f>'Adani Enterprises'!AK400</f>
        <v>0</v>
      </c>
      <c r="AL400" s="48">
        <f>'Adani Enterprises'!AL400</f>
        <v>0</v>
      </c>
    </row>
    <row r="401" customHeight="1" spans="1:38">
      <c r="A401" s="48">
        <f>'Adani Enterprises'!A401</f>
        <v>0</v>
      </c>
      <c r="B401" s="48">
        <f>'Adani Enterprises'!B401</f>
        <v>0</v>
      </c>
      <c r="C401" s="48">
        <f>'Adani Enterprises'!C401</f>
        <v>0</v>
      </c>
      <c r="D401" s="48">
        <f>'Adani Enterprises'!D401</f>
        <v>0</v>
      </c>
      <c r="E401" s="48">
        <f>'Adani Enterprises'!E401</f>
        <v>0</v>
      </c>
      <c r="F401" s="48">
        <f>'Adani Enterprises'!F401</f>
        <v>0</v>
      </c>
      <c r="G401" s="48">
        <f>'Adani Enterprises'!G401</f>
        <v>0</v>
      </c>
      <c r="H401" s="48">
        <f>'Adani Enterprises'!H401</f>
        <v>0</v>
      </c>
      <c r="I401" s="48">
        <f>'Adani Enterprises'!I401</f>
        <v>0</v>
      </c>
      <c r="J401" s="48">
        <f>'Adani Enterprises'!J401</f>
        <v>0</v>
      </c>
      <c r="K401" s="48">
        <f>'Adani Enterprises'!K401</f>
        <v>0</v>
      </c>
      <c r="L401" s="48">
        <f>'Adani Enterprises'!L401</f>
        <v>0</v>
      </c>
      <c r="M401" s="48">
        <f>'Adani Enterprises'!M401</f>
        <v>0</v>
      </c>
      <c r="N401" s="48">
        <f>'Adani Enterprises'!N401</f>
        <v>0</v>
      </c>
      <c r="O401" s="48">
        <f>'Adani Enterprises'!O401</f>
        <v>0</v>
      </c>
      <c r="P401" s="48">
        <f>'Adani Enterprises'!P401</f>
        <v>0</v>
      </c>
      <c r="Q401" s="48">
        <f>'Adani Enterprises'!Q401</f>
        <v>0</v>
      </c>
      <c r="R401" s="48">
        <f>'Adani Enterprises'!R401</f>
        <v>0</v>
      </c>
      <c r="S401" s="48">
        <f>'Adani Enterprises'!S401</f>
        <v>0</v>
      </c>
      <c r="T401" s="48">
        <f>'Adani Enterprises'!T401</f>
        <v>0</v>
      </c>
      <c r="U401" s="48">
        <f>'Adani Enterprises'!U401</f>
        <v>0</v>
      </c>
      <c r="V401" s="48">
        <f>'Adani Enterprises'!V401</f>
        <v>0</v>
      </c>
      <c r="W401" s="48">
        <f>'Adani Enterprises'!W401</f>
        <v>0</v>
      </c>
      <c r="X401" s="48">
        <f>'Adani Enterprises'!X401</f>
        <v>0</v>
      </c>
      <c r="Y401" s="48">
        <f>'Adani Enterprises'!Y401</f>
        <v>0</v>
      </c>
      <c r="Z401" s="48">
        <f>'Adani Enterprises'!Z401</f>
        <v>0</v>
      </c>
      <c r="AA401" s="48">
        <f>'Adani Enterprises'!AA401</f>
        <v>0</v>
      </c>
      <c r="AB401" s="48">
        <f>'Adani Enterprises'!AB401</f>
        <v>0</v>
      </c>
      <c r="AC401" s="48">
        <f>'Adani Enterprises'!AC401</f>
        <v>0</v>
      </c>
      <c r="AD401" s="48">
        <f>'Adani Enterprises'!AD401</f>
        <v>0</v>
      </c>
      <c r="AE401" s="48">
        <f>'Adani Enterprises'!AE401</f>
        <v>0</v>
      </c>
      <c r="AF401" s="48">
        <f>'Adani Enterprises'!AF401</f>
        <v>0</v>
      </c>
      <c r="AG401" s="48">
        <f>'Adani Enterprises'!AG401</f>
        <v>0</v>
      </c>
      <c r="AH401" s="48">
        <f>'Adani Enterprises'!AH401</f>
        <v>0</v>
      </c>
      <c r="AI401" s="48">
        <f>'Adani Enterprises'!AI401</f>
        <v>0</v>
      </c>
      <c r="AJ401" s="48">
        <f>'Adani Enterprises'!AJ401</f>
        <v>0</v>
      </c>
      <c r="AK401" s="48">
        <f>'Adani Enterprises'!AK401</f>
        <v>0</v>
      </c>
      <c r="AL401" s="48">
        <f>'Adani Enterprises'!AL401</f>
        <v>0</v>
      </c>
    </row>
    <row r="402" customHeight="1" spans="1:38">
      <c r="A402" s="48">
        <f>'Adani Enterprises'!A402</f>
        <v>0</v>
      </c>
      <c r="B402" s="48">
        <f>'Adani Enterprises'!B402</f>
        <v>0</v>
      </c>
      <c r="C402" s="48">
        <f>'Adani Enterprises'!C402</f>
        <v>0</v>
      </c>
      <c r="D402" s="48">
        <f>'Adani Enterprises'!D402</f>
        <v>0</v>
      </c>
      <c r="E402" s="48">
        <f>'Adani Enterprises'!E402</f>
        <v>0</v>
      </c>
      <c r="F402" s="48">
        <f>'Adani Enterprises'!F402</f>
        <v>0</v>
      </c>
      <c r="G402" s="48">
        <f>'Adani Enterprises'!G402</f>
        <v>0</v>
      </c>
      <c r="H402" s="48">
        <f>'Adani Enterprises'!H402</f>
        <v>0</v>
      </c>
      <c r="I402" s="48">
        <f>'Adani Enterprises'!I402</f>
        <v>0</v>
      </c>
      <c r="J402" s="48">
        <f>'Adani Enterprises'!J402</f>
        <v>0</v>
      </c>
      <c r="K402" s="48">
        <f>'Adani Enterprises'!K402</f>
        <v>0</v>
      </c>
      <c r="L402" s="48">
        <f>'Adani Enterprises'!L402</f>
        <v>0</v>
      </c>
      <c r="M402" s="48">
        <f>'Adani Enterprises'!M402</f>
        <v>0</v>
      </c>
      <c r="N402" s="48">
        <f>'Adani Enterprises'!N402</f>
        <v>0</v>
      </c>
      <c r="O402" s="48">
        <f>'Adani Enterprises'!O402</f>
        <v>0</v>
      </c>
      <c r="P402" s="48">
        <f>'Adani Enterprises'!P402</f>
        <v>0</v>
      </c>
      <c r="Q402" s="48">
        <f>'Adani Enterprises'!Q402</f>
        <v>0</v>
      </c>
      <c r="R402" s="48">
        <f>'Adani Enterprises'!R402</f>
        <v>0</v>
      </c>
      <c r="S402" s="48">
        <f>'Adani Enterprises'!S402</f>
        <v>0</v>
      </c>
      <c r="T402" s="48">
        <f>'Adani Enterprises'!T402</f>
        <v>0</v>
      </c>
      <c r="U402" s="48">
        <f>'Adani Enterprises'!U402</f>
        <v>0</v>
      </c>
      <c r="V402" s="48">
        <f>'Adani Enterprises'!V402</f>
        <v>0</v>
      </c>
      <c r="W402" s="48">
        <f>'Adani Enterprises'!W402</f>
        <v>0</v>
      </c>
      <c r="X402" s="48">
        <f>'Adani Enterprises'!X402</f>
        <v>0</v>
      </c>
      <c r="Y402" s="48">
        <f>'Adani Enterprises'!Y402</f>
        <v>0</v>
      </c>
      <c r="Z402" s="48">
        <f>'Adani Enterprises'!Z402</f>
        <v>0</v>
      </c>
      <c r="AA402" s="48">
        <f>'Adani Enterprises'!AA402</f>
        <v>0</v>
      </c>
      <c r="AB402" s="48">
        <f>'Adani Enterprises'!AB402</f>
        <v>0</v>
      </c>
      <c r="AC402" s="48">
        <f>'Adani Enterprises'!AC402</f>
        <v>0</v>
      </c>
      <c r="AD402" s="48">
        <f>'Adani Enterprises'!AD402</f>
        <v>0</v>
      </c>
      <c r="AE402" s="48">
        <f>'Adani Enterprises'!AE402</f>
        <v>0</v>
      </c>
      <c r="AF402" s="48">
        <f>'Adani Enterprises'!AF402</f>
        <v>0</v>
      </c>
      <c r="AG402" s="48">
        <f>'Adani Enterprises'!AG402</f>
        <v>0</v>
      </c>
      <c r="AH402" s="48">
        <f>'Adani Enterprises'!AH402</f>
        <v>0</v>
      </c>
      <c r="AI402" s="48">
        <f>'Adani Enterprises'!AI402</f>
        <v>0</v>
      </c>
      <c r="AJ402" s="48">
        <f>'Adani Enterprises'!AJ402</f>
        <v>0</v>
      </c>
      <c r="AK402" s="48">
        <f>'Adani Enterprises'!AK402</f>
        <v>0</v>
      </c>
      <c r="AL402" s="48">
        <f>'Adani Enterprises'!AL402</f>
        <v>0</v>
      </c>
    </row>
    <row r="403" customHeight="1" spans="1:38">
      <c r="A403" s="48">
        <f>'Adani Enterprises'!A403</f>
        <v>0</v>
      </c>
      <c r="B403" s="48">
        <f>'Adani Enterprises'!B403</f>
        <v>0</v>
      </c>
      <c r="C403" s="48">
        <f>'Adani Enterprises'!C403</f>
        <v>0</v>
      </c>
      <c r="D403" s="48">
        <f>'Adani Enterprises'!D403</f>
        <v>0</v>
      </c>
      <c r="E403" s="48">
        <f>'Adani Enterprises'!E403</f>
        <v>0</v>
      </c>
      <c r="F403" s="48">
        <f>'Adani Enterprises'!F403</f>
        <v>0</v>
      </c>
      <c r="G403" s="48">
        <f>'Adani Enterprises'!G403</f>
        <v>0</v>
      </c>
      <c r="H403" s="48">
        <f>'Adani Enterprises'!H403</f>
        <v>0</v>
      </c>
      <c r="I403" s="48">
        <f>'Adani Enterprises'!I403</f>
        <v>0</v>
      </c>
      <c r="J403" s="48">
        <f>'Adani Enterprises'!J403</f>
        <v>0</v>
      </c>
      <c r="K403" s="48">
        <f>'Adani Enterprises'!K403</f>
        <v>0</v>
      </c>
      <c r="L403" s="48">
        <f>'Adani Enterprises'!L403</f>
        <v>0</v>
      </c>
      <c r="M403" s="48">
        <f>'Adani Enterprises'!M403</f>
        <v>0</v>
      </c>
      <c r="N403" s="48">
        <f>'Adani Enterprises'!N403</f>
        <v>0</v>
      </c>
      <c r="O403" s="48">
        <f>'Adani Enterprises'!O403</f>
        <v>0</v>
      </c>
      <c r="P403" s="48">
        <f>'Adani Enterprises'!P403</f>
        <v>0</v>
      </c>
      <c r="Q403" s="48">
        <f>'Adani Enterprises'!Q403</f>
        <v>0</v>
      </c>
      <c r="R403" s="48">
        <f>'Adani Enterprises'!R403</f>
        <v>0</v>
      </c>
      <c r="S403" s="48">
        <f>'Adani Enterprises'!S403</f>
        <v>0</v>
      </c>
      <c r="T403" s="48">
        <f>'Adani Enterprises'!T403</f>
        <v>0</v>
      </c>
      <c r="U403" s="48">
        <f>'Adani Enterprises'!U403</f>
        <v>0</v>
      </c>
      <c r="V403" s="48">
        <f>'Adani Enterprises'!V403</f>
        <v>0</v>
      </c>
      <c r="W403" s="48">
        <f>'Adani Enterprises'!W403</f>
        <v>0</v>
      </c>
      <c r="X403" s="48">
        <f>'Adani Enterprises'!X403</f>
        <v>0</v>
      </c>
      <c r="Y403" s="48">
        <f>'Adani Enterprises'!Y403</f>
        <v>0</v>
      </c>
      <c r="Z403" s="48">
        <f>'Adani Enterprises'!Z403</f>
        <v>0</v>
      </c>
      <c r="AA403" s="48">
        <f>'Adani Enterprises'!AA403</f>
        <v>0</v>
      </c>
      <c r="AB403" s="48">
        <f>'Adani Enterprises'!AB403</f>
        <v>0</v>
      </c>
      <c r="AC403" s="48">
        <f>'Adani Enterprises'!AC403</f>
        <v>0</v>
      </c>
      <c r="AD403" s="48">
        <f>'Adani Enterprises'!AD403</f>
        <v>0</v>
      </c>
      <c r="AE403" s="48">
        <f>'Adani Enterprises'!AE403</f>
        <v>0</v>
      </c>
      <c r="AF403" s="48">
        <f>'Adani Enterprises'!AF403</f>
        <v>0</v>
      </c>
      <c r="AG403" s="48">
        <f>'Adani Enterprises'!AG403</f>
        <v>0</v>
      </c>
      <c r="AH403" s="48">
        <f>'Adani Enterprises'!AH403</f>
        <v>0</v>
      </c>
      <c r="AI403" s="48">
        <f>'Adani Enterprises'!AI403</f>
        <v>0</v>
      </c>
      <c r="AJ403" s="48">
        <f>'Adani Enterprises'!AJ403</f>
        <v>0</v>
      </c>
      <c r="AK403" s="48">
        <f>'Adani Enterprises'!AK403</f>
        <v>0</v>
      </c>
      <c r="AL403" s="48">
        <f>'Adani Enterprises'!AL403</f>
        <v>0</v>
      </c>
    </row>
    <row r="404" customHeight="1" spans="1:38">
      <c r="A404" s="48">
        <f>'Adani Enterprises'!A404</f>
        <v>0</v>
      </c>
      <c r="B404" s="48">
        <f>'Adani Enterprises'!B404</f>
        <v>0</v>
      </c>
      <c r="C404" s="48">
        <f>'Adani Enterprises'!C404</f>
        <v>0</v>
      </c>
      <c r="D404" s="48">
        <f>'Adani Enterprises'!D404</f>
        <v>0</v>
      </c>
      <c r="E404" s="48">
        <f>'Adani Enterprises'!E404</f>
        <v>0</v>
      </c>
      <c r="F404" s="48">
        <f>'Adani Enterprises'!F404</f>
        <v>0</v>
      </c>
      <c r="G404" s="48">
        <f>'Adani Enterprises'!G404</f>
        <v>0</v>
      </c>
      <c r="H404" s="48">
        <f>'Adani Enterprises'!H404</f>
        <v>0</v>
      </c>
      <c r="I404" s="48">
        <f>'Adani Enterprises'!I404</f>
        <v>0</v>
      </c>
      <c r="J404" s="48">
        <f>'Adani Enterprises'!J404</f>
        <v>0</v>
      </c>
      <c r="K404" s="48">
        <f>'Adani Enterprises'!K404</f>
        <v>0</v>
      </c>
      <c r="L404" s="48">
        <f>'Adani Enterprises'!L404</f>
        <v>0</v>
      </c>
      <c r="M404" s="48">
        <f>'Adani Enterprises'!M404</f>
        <v>0</v>
      </c>
      <c r="N404" s="48">
        <f>'Adani Enterprises'!N404</f>
        <v>0</v>
      </c>
      <c r="O404" s="48">
        <f>'Adani Enterprises'!O404</f>
        <v>0</v>
      </c>
      <c r="P404" s="48">
        <f>'Adani Enterprises'!P404</f>
        <v>0</v>
      </c>
      <c r="Q404" s="48">
        <f>'Adani Enterprises'!Q404</f>
        <v>0</v>
      </c>
      <c r="R404" s="48">
        <f>'Adani Enterprises'!R404</f>
        <v>0</v>
      </c>
      <c r="S404" s="48">
        <f>'Adani Enterprises'!S404</f>
        <v>0</v>
      </c>
      <c r="T404" s="48">
        <f>'Adani Enterprises'!T404</f>
        <v>0</v>
      </c>
      <c r="U404" s="48">
        <f>'Adani Enterprises'!U404</f>
        <v>0</v>
      </c>
      <c r="V404" s="48">
        <f>'Adani Enterprises'!V404</f>
        <v>0</v>
      </c>
      <c r="W404" s="48">
        <f>'Adani Enterprises'!W404</f>
        <v>0</v>
      </c>
      <c r="X404" s="48">
        <f>'Adani Enterprises'!X404</f>
        <v>0</v>
      </c>
      <c r="Y404" s="48">
        <f>'Adani Enterprises'!Y404</f>
        <v>0</v>
      </c>
      <c r="Z404" s="48">
        <f>'Adani Enterprises'!Z404</f>
        <v>0</v>
      </c>
      <c r="AA404" s="48">
        <f>'Adani Enterprises'!AA404</f>
        <v>0</v>
      </c>
      <c r="AB404" s="48">
        <f>'Adani Enterprises'!AB404</f>
        <v>0</v>
      </c>
      <c r="AC404" s="48">
        <f>'Adani Enterprises'!AC404</f>
        <v>0</v>
      </c>
      <c r="AD404" s="48">
        <f>'Adani Enterprises'!AD404</f>
        <v>0</v>
      </c>
      <c r="AE404" s="48">
        <f>'Adani Enterprises'!AE404</f>
        <v>0</v>
      </c>
      <c r="AF404" s="48">
        <f>'Adani Enterprises'!AF404</f>
        <v>0</v>
      </c>
      <c r="AG404" s="48">
        <f>'Adani Enterprises'!AG404</f>
        <v>0</v>
      </c>
      <c r="AH404" s="48">
        <f>'Adani Enterprises'!AH404</f>
        <v>0</v>
      </c>
      <c r="AI404" s="48">
        <f>'Adani Enterprises'!AI404</f>
        <v>0</v>
      </c>
      <c r="AJ404" s="48">
        <f>'Adani Enterprises'!AJ404</f>
        <v>0</v>
      </c>
      <c r="AK404" s="48">
        <f>'Adani Enterprises'!AK404</f>
        <v>0</v>
      </c>
      <c r="AL404" s="48">
        <f>'Adani Enterprises'!AL404</f>
        <v>0</v>
      </c>
    </row>
    <row r="405" customHeight="1" spans="1:38">
      <c r="A405" s="48">
        <f>'Adani Enterprises'!A405</f>
        <v>0</v>
      </c>
      <c r="B405" s="48">
        <f>'Adani Enterprises'!B405</f>
        <v>0</v>
      </c>
      <c r="C405" s="48">
        <f>'Adani Enterprises'!C405</f>
        <v>0</v>
      </c>
      <c r="D405" s="48">
        <f>'Adani Enterprises'!D405</f>
        <v>0</v>
      </c>
      <c r="E405" s="48">
        <f>'Adani Enterprises'!E405</f>
        <v>0</v>
      </c>
      <c r="F405" s="48">
        <f>'Adani Enterprises'!F405</f>
        <v>0</v>
      </c>
      <c r="G405" s="48">
        <f>'Adani Enterprises'!G405</f>
        <v>0</v>
      </c>
      <c r="H405" s="48">
        <f>'Adani Enterprises'!H405</f>
        <v>0</v>
      </c>
      <c r="I405" s="48">
        <f>'Adani Enterprises'!I405</f>
        <v>0</v>
      </c>
      <c r="J405" s="48">
        <f>'Adani Enterprises'!J405</f>
        <v>0</v>
      </c>
      <c r="K405" s="48">
        <f>'Adani Enterprises'!K405</f>
        <v>0</v>
      </c>
      <c r="L405" s="48">
        <f>'Adani Enterprises'!L405</f>
        <v>0</v>
      </c>
      <c r="M405" s="48">
        <f>'Adani Enterprises'!M405</f>
        <v>0</v>
      </c>
      <c r="N405" s="48">
        <f>'Adani Enterprises'!N405</f>
        <v>0</v>
      </c>
      <c r="O405" s="48">
        <f>'Adani Enterprises'!O405</f>
        <v>0</v>
      </c>
      <c r="P405" s="48">
        <f>'Adani Enterprises'!P405</f>
        <v>0</v>
      </c>
      <c r="Q405" s="48">
        <f>'Adani Enterprises'!Q405</f>
        <v>0</v>
      </c>
      <c r="R405" s="48">
        <f>'Adani Enterprises'!R405</f>
        <v>0</v>
      </c>
      <c r="S405" s="48">
        <f>'Adani Enterprises'!S405</f>
        <v>0</v>
      </c>
      <c r="T405" s="48">
        <f>'Adani Enterprises'!T405</f>
        <v>0</v>
      </c>
      <c r="U405" s="48">
        <f>'Adani Enterprises'!U405</f>
        <v>0</v>
      </c>
      <c r="V405" s="48">
        <f>'Adani Enterprises'!V405</f>
        <v>0</v>
      </c>
      <c r="W405" s="48">
        <f>'Adani Enterprises'!W405</f>
        <v>0</v>
      </c>
      <c r="X405" s="48">
        <f>'Adani Enterprises'!X405</f>
        <v>0</v>
      </c>
      <c r="Y405" s="48">
        <f>'Adani Enterprises'!Y405</f>
        <v>0</v>
      </c>
      <c r="Z405" s="48">
        <f>'Adani Enterprises'!Z405</f>
        <v>0</v>
      </c>
      <c r="AA405" s="48">
        <f>'Adani Enterprises'!AA405</f>
        <v>0</v>
      </c>
      <c r="AB405" s="48">
        <f>'Adani Enterprises'!AB405</f>
        <v>0</v>
      </c>
      <c r="AC405" s="48">
        <f>'Adani Enterprises'!AC405</f>
        <v>0</v>
      </c>
      <c r="AD405" s="48">
        <f>'Adani Enterprises'!AD405</f>
        <v>0</v>
      </c>
      <c r="AE405" s="48">
        <f>'Adani Enterprises'!AE405</f>
        <v>0</v>
      </c>
      <c r="AF405" s="48">
        <f>'Adani Enterprises'!AF405</f>
        <v>0</v>
      </c>
      <c r="AG405" s="48">
        <f>'Adani Enterprises'!AG405</f>
        <v>0</v>
      </c>
      <c r="AH405" s="48">
        <f>'Adani Enterprises'!AH405</f>
        <v>0</v>
      </c>
      <c r="AI405" s="48">
        <f>'Adani Enterprises'!AI405</f>
        <v>0</v>
      </c>
      <c r="AJ405" s="48">
        <f>'Adani Enterprises'!AJ405</f>
        <v>0</v>
      </c>
      <c r="AK405" s="48">
        <f>'Adani Enterprises'!AK405</f>
        <v>0</v>
      </c>
      <c r="AL405" s="48">
        <f>'Adani Enterprises'!AL405</f>
        <v>0</v>
      </c>
    </row>
    <row r="406" customHeight="1" spans="1:38">
      <c r="A406" s="48">
        <f>'Adani Enterprises'!A406</f>
        <v>0</v>
      </c>
      <c r="B406" s="48">
        <f>'Adani Enterprises'!B406</f>
        <v>0</v>
      </c>
      <c r="C406" s="48">
        <f>'Adani Enterprises'!C406</f>
        <v>0</v>
      </c>
      <c r="D406" s="48">
        <f>'Adani Enterprises'!D406</f>
        <v>0</v>
      </c>
      <c r="E406" s="48">
        <f>'Adani Enterprises'!E406</f>
        <v>0</v>
      </c>
      <c r="F406" s="48">
        <f>'Adani Enterprises'!F406</f>
        <v>0</v>
      </c>
      <c r="G406" s="48">
        <f>'Adani Enterprises'!G406</f>
        <v>0</v>
      </c>
      <c r="H406" s="48">
        <f>'Adani Enterprises'!H406</f>
        <v>0</v>
      </c>
      <c r="I406" s="48">
        <f>'Adani Enterprises'!I406</f>
        <v>0</v>
      </c>
      <c r="J406" s="48">
        <f>'Adani Enterprises'!J406</f>
        <v>0</v>
      </c>
      <c r="K406" s="48">
        <f>'Adani Enterprises'!K406</f>
        <v>0</v>
      </c>
      <c r="L406" s="48">
        <f>'Adani Enterprises'!L406</f>
        <v>0</v>
      </c>
      <c r="M406" s="48">
        <f>'Adani Enterprises'!M406</f>
        <v>0</v>
      </c>
      <c r="N406" s="48">
        <f>'Adani Enterprises'!N406</f>
        <v>0</v>
      </c>
      <c r="O406" s="48">
        <f>'Adani Enterprises'!O406</f>
        <v>0</v>
      </c>
      <c r="P406" s="48">
        <f>'Adani Enterprises'!P406</f>
        <v>0</v>
      </c>
      <c r="Q406" s="48">
        <f>'Adani Enterprises'!Q406</f>
        <v>0</v>
      </c>
      <c r="R406" s="48">
        <f>'Adani Enterprises'!R406</f>
        <v>0</v>
      </c>
      <c r="S406" s="48">
        <f>'Adani Enterprises'!S406</f>
        <v>0</v>
      </c>
      <c r="T406" s="48">
        <f>'Adani Enterprises'!T406</f>
        <v>0</v>
      </c>
      <c r="U406" s="48">
        <f>'Adani Enterprises'!U406</f>
        <v>0</v>
      </c>
      <c r="V406" s="48">
        <f>'Adani Enterprises'!V406</f>
        <v>0</v>
      </c>
      <c r="W406" s="48">
        <f>'Adani Enterprises'!W406</f>
        <v>0</v>
      </c>
      <c r="X406" s="48">
        <f>'Adani Enterprises'!X406</f>
        <v>0</v>
      </c>
      <c r="Y406" s="48">
        <f>'Adani Enterprises'!Y406</f>
        <v>0</v>
      </c>
      <c r="Z406" s="48">
        <f>'Adani Enterprises'!Z406</f>
        <v>0</v>
      </c>
      <c r="AA406" s="48">
        <f>'Adani Enterprises'!AA406</f>
        <v>0</v>
      </c>
      <c r="AB406" s="48">
        <f>'Adani Enterprises'!AB406</f>
        <v>0</v>
      </c>
      <c r="AC406" s="48">
        <f>'Adani Enterprises'!AC406</f>
        <v>0</v>
      </c>
      <c r="AD406" s="48">
        <f>'Adani Enterprises'!AD406</f>
        <v>0</v>
      </c>
      <c r="AE406" s="48">
        <f>'Adani Enterprises'!AE406</f>
        <v>0</v>
      </c>
      <c r="AF406" s="48">
        <f>'Adani Enterprises'!AF406</f>
        <v>0</v>
      </c>
      <c r="AG406" s="48">
        <f>'Adani Enterprises'!AG406</f>
        <v>0</v>
      </c>
      <c r="AH406" s="48">
        <f>'Adani Enterprises'!AH406</f>
        <v>0</v>
      </c>
      <c r="AI406" s="48">
        <f>'Adani Enterprises'!AI406</f>
        <v>0</v>
      </c>
      <c r="AJ406" s="48">
        <f>'Adani Enterprises'!AJ406</f>
        <v>0</v>
      </c>
      <c r="AK406" s="48">
        <f>'Adani Enterprises'!AK406</f>
        <v>0</v>
      </c>
      <c r="AL406" s="48">
        <f>'Adani Enterprises'!AL406</f>
        <v>0</v>
      </c>
    </row>
    <row r="407" customHeight="1" spans="1:38">
      <c r="A407" s="48">
        <f>'Adani Enterprises'!A407</f>
        <v>0</v>
      </c>
      <c r="B407" s="48">
        <f>'Adani Enterprises'!B407</f>
        <v>0</v>
      </c>
      <c r="C407" s="48">
        <f>'Adani Enterprises'!C407</f>
        <v>0</v>
      </c>
      <c r="D407" s="48">
        <f>'Adani Enterprises'!D407</f>
        <v>0</v>
      </c>
      <c r="E407" s="48">
        <f>'Adani Enterprises'!E407</f>
        <v>0</v>
      </c>
      <c r="F407" s="48">
        <f>'Adani Enterprises'!F407</f>
        <v>0</v>
      </c>
      <c r="G407" s="48">
        <f>'Adani Enterprises'!G407</f>
        <v>0</v>
      </c>
      <c r="H407" s="48">
        <f>'Adani Enterprises'!H407</f>
        <v>0</v>
      </c>
      <c r="I407" s="48">
        <f>'Adani Enterprises'!I407</f>
        <v>0</v>
      </c>
      <c r="J407" s="48">
        <f>'Adani Enterprises'!J407</f>
        <v>0</v>
      </c>
      <c r="K407" s="48">
        <f>'Adani Enterprises'!K407</f>
        <v>0</v>
      </c>
      <c r="L407" s="48">
        <f>'Adani Enterprises'!L407</f>
        <v>0</v>
      </c>
      <c r="M407" s="48">
        <f>'Adani Enterprises'!M407</f>
        <v>0</v>
      </c>
      <c r="N407" s="48">
        <f>'Adani Enterprises'!N407</f>
        <v>0</v>
      </c>
      <c r="O407" s="48">
        <f>'Adani Enterprises'!O407</f>
        <v>0</v>
      </c>
      <c r="P407" s="48">
        <f>'Adani Enterprises'!P407</f>
        <v>0</v>
      </c>
      <c r="Q407" s="48">
        <f>'Adani Enterprises'!Q407</f>
        <v>0</v>
      </c>
      <c r="R407" s="48">
        <f>'Adani Enterprises'!R407</f>
        <v>0</v>
      </c>
      <c r="S407" s="48">
        <f>'Adani Enterprises'!S407</f>
        <v>0</v>
      </c>
      <c r="T407" s="48">
        <f>'Adani Enterprises'!T407</f>
        <v>0</v>
      </c>
      <c r="U407" s="48">
        <f>'Adani Enterprises'!U407</f>
        <v>0</v>
      </c>
      <c r="V407" s="48">
        <f>'Adani Enterprises'!V407</f>
        <v>0</v>
      </c>
      <c r="W407" s="48">
        <f>'Adani Enterprises'!W407</f>
        <v>0</v>
      </c>
      <c r="X407" s="48">
        <f>'Adani Enterprises'!X407</f>
        <v>0</v>
      </c>
      <c r="Y407" s="48">
        <f>'Adani Enterprises'!Y407</f>
        <v>0</v>
      </c>
      <c r="Z407" s="48">
        <f>'Adani Enterprises'!Z407</f>
        <v>0</v>
      </c>
      <c r="AA407" s="48">
        <f>'Adani Enterprises'!AA407</f>
        <v>0</v>
      </c>
      <c r="AB407" s="48">
        <f>'Adani Enterprises'!AB407</f>
        <v>0</v>
      </c>
      <c r="AC407" s="48">
        <f>'Adani Enterprises'!AC407</f>
        <v>0</v>
      </c>
      <c r="AD407" s="48">
        <f>'Adani Enterprises'!AD407</f>
        <v>0</v>
      </c>
      <c r="AE407" s="48">
        <f>'Adani Enterprises'!AE407</f>
        <v>0</v>
      </c>
      <c r="AF407" s="48">
        <f>'Adani Enterprises'!AF407</f>
        <v>0</v>
      </c>
      <c r="AG407" s="48">
        <f>'Adani Enterprises'!AG407</f>
        <v>0</v>
      </c>
      <c r="AH407" s="48">
        <f>'Adani Enterprises'!AH407</f>
        <v>0</v>
      </c>
      <c r="AI407" s="48">
        <f>'Adani Enterprises'!AI407</f>
        <v>0</v>
      </c>
      <c r="AJ407" s="48">
        <f>'Adani Enterprises'!AJ407</f>
        <v>0</v>
      </c>
      <c r="AK407" s="48">
        <f>'Adani Enterprises'!AK407</f>
        <v>0</v>
      </c>
      <c r="AL407" s="48">
        <f>'Adani Enterprises'!AL407</f>
        <v>0</v>
      </c>
    </row>
    <row r="408" customHeight="1" spans="1:38">
      <c r="A408" s="48">
        <f>'Adani Enterprises'!A408</f>
        <v>0</v>
      </c>
      <c r="B408" s="48">
        <f>'Adani Enterprises'!B408</f>
        <v>0</v>
      </c>
      <c r="C408" s="48">
        <f>'Adani Enterprises'!C408</f>
        <v>0</v>
      </c>
      <c r="D408" s="48">
        <f>'Adani Enterprises'!D408</f>
        <v>0</v>
      </c>
      <c r="E408" s="48">
        <f>'Adani Enterprises'!E408</f>
        <v>0</v>
      </c>
      <c r="F408" s="48">
        <f>'Adani Enterprises'!F408</f>
        <v>0</v>
      </c>
      <c r="G408" s="48">
        <f>'Adani Enterprises'!G408</f>
        <v>0</v>
      </c>
      <c r="H408" s="48">
        <f>'Adani Enterprises'!H408</f>
        <v>0</v>
      </c>
      <c r="I408" s="48">
        <f>'Adani Enterprises'!I408</f>
        <v>0</v>
      </c>
      <c r="J408" s="48">
        <f>'Adani Enterprises'!J408</f>
        <v>0</v>
      </c>
      <c r="K408" s="48">
        <f>'Adani Enterprises'!K408</f>
        <v>0</v>
      </c>
      <c r="L408" s="48">
        <f>'Adani Enterprises'!L408</f>
        <v>0</v>
      </c>
      <c r="M408" s="48">
        <f>'Adani Enterprises'!M408</f>
        <v>0</v>
      </c>
      <c r="N408" s="48">
        <f>'Adani Enterprises'!N408</f>
        <v>0</v>
      </c>
      <c r="O408" s="48">
        <f>'Adani Enterprises'!O408</f>
        <v>0</v>
      </c>
      <c r="P408" s="48">
        <f>'Adani Enterprises'!P408</f>
        <v>0</v>
      </c>
      <c r="Q408" s="48">
        <f>'Adani Enterprises'!Q408</f>
        <v>0</v>
      </c>
      <c r="R408" s="48">
        <f>'Adani Enterprises'!R408</f>
        <v>0</v>
      </c>
      <c r="S408" s="48">
        <f>'Adani Enterprises'!S408</f>
        <v>0</v>
      </c>
      <c r="T408" s="48">
        <f>'Adani Enterprises'!T408</f>
        <v>0</v>
      </c>
      <c r="U408" s="48">
        <f>'Adani Enterprises'!U408</f>
        <v>0</v>
      </c>
      <c r="V408" s="48">
        <f>'Adani Enterprises'!V408</f>
        <v>0</v>
      </c>
      <c r="W408" s="48">
        <f>'Adani Enterprises'!W408</f>
        <v>0</v>
      </c>
      <c r="X408" s="48">
        <f>'Adani Enterprises'!X408</f>
        <v>0</v>
      </c>
      <c r="Y408" s="48">
        <f>'Adani Enterprises'!Y408</f>
        <v>0</v>
      </c>
      <c r="Z408" s="48">
        <f>'Adani Enterprises'!Z408</f>
        <v>0</v>
      </c>
      <c r="AA408" s="48">
        <f>'Adani Enterprises'!AA408</f>
        <v>0</v>
      </c>
      <c r="AB408" s="48">
        <f>'Adani Enterprises'!AB408</f>
        <v>0</v>
      </c>
      <c r="AC408" s="48">
        <f>'Adani Enterprises'!AC408</f>
        <v>0</v>
      </c>
      <c r="AD408" s="48">
        <f>'Adani Enterprises'!AD408</f>
        <v>0</v>
      </c>
      <c r="AE408" s="48">
        <f>'Adani Enterprises'!AE408</f>
        <v>0</v>
      </c>
      <c r="AF408" s="48">
        <f>'Adani Enterprises'!AF408</f>
        <v>0</v>
      </c>
      <c r="AG408" s="48">
        <f>'Adani Enterprises'!AG408</f>
        <v>0</v>
      </c>
      <c r="AH408" s="48">
        <f>'Adani Enterprises'!AH408</f>
        <v>0</v>
      </c>
      <c r="AI408" s="48">
        <f>'Adani Enterprises'!AI408</f>
        <v>0</v>
      </c>
      <c r="AJ408" s="48">
        <f>'Adani Enterprises'!AJ408</f>
        <v>0</v>
      </c>
      <c r="AK408" s="48">
        <f>'Adani Enterprises'!AK408</f>
        <v>0</v>
      </c>
      <c r="AL408" s="48">
        <f>'Adani Enterprises'!AL408</f>
        <v>0</v>
      </c>
    </row>
    <row r="409" customHeight="1" spans="1:38">
      <c r="A409" s="48">
        <f>'Adani Enterprises'!A409</f>
        <v>0</v>
      </c>
      <c r="B409" s="48">
        <f>'Adani Enterprises'!B409</f>
        <v>0</v>
      </c>
      <c r="C409" s="48">
        <f>'Adani Enterprises'!C409</f>
        <v>0</v>
      </c>
      <c r="D409" s="48">
        <f>'Adani Enterprises'!D409</f>
        <v>0</v>
      </c>
      <c r="E409" s="48">
        <f>'Adani Enterprises'!E409</f>
        <v>0</v>
      </c>
      <c r="F409" s="48">
        <f>'Adani Enterprises'!F409</f>
        <v>0</v>
      </c>
      <c r="G409" s="48">
        <f>'Adani Enterprises'!G409</f>
        <v>0</v>
      </c>
      <c r="H409" s="48">
        <f>'Adani Enterprises'!H409</f>
        <v>0</v>
      </c>
      <c r="I409" s="48">
        <f>'Adani Enterprises'!I409</f>
        <v>0</v>
      </c>
      <c r="J409" s="48">
        <f>'Adani Enterprises'!J409</f>
        <v>0</v>
      </c>
      <c r="K409" s="48">
        <f>'Adani Enterprises'!K409</f>
        <v>0</v>
      </c>
      <c r="L409" s="48">
        <f>'Adani Enterprises'!L409</f>
        <v>0</v>
      </c>
      <c r="M409" s="48">
        <f>'Adani Enterprises'!M409</f>
        <v>0</v>
      </c>
      <c r="N409" s="48">
        <f>'Adani Enterprises'!N409</f>
        <v>0</v>
      </c>
      <c r="O409" s="48">
        <f>'Adani Enterprises'!O409</f>
        <v>0</v>
      </c>
      <c r="P409" s="48">
        <f>'Adani Enterprises'!P409</f>
        <v>0</v>
      </c>
      <c r="Q409" s="48">
        <f>'Adani Enterprises'!Q409</f>
        <v>0</v>
      </c>
      <c r="R409" s="48">
        <f>'Adani Enterprises'!R409</f>
        <v>0</v>
      </c>
      <c r="S409" s="48">
        <f>'Adani Enterprises'!S409</f>
        <v>0</v>
      </c>
      <c r="T409" s="48">
        <f>'Adani Enterprises'!T409</f>
        <v>0</v>
      </c>
      <c r="U409" s="48">
        <f>'Adani Enterprises'!U409</f>
        <v>0</v>
      </c>
      <c r="V409" s="48">
        <f>'Adani Enterprises'!V409</f>
        <v>0</v>
      </c>
      <c r="W409" s="48">
        <f>'Adani Enterprises'!W409</f>
        <v>0</v>
      </c>
      <c r="X409" s="48">
        <f>'Adani Enterprises'!X409</f>
        <v>0</v>
      </c>
      <c r="Y409" s="48">
        <f>'Adani Enterprises'!Y409</f>
        <v>0</v>
      </c>
      <c r="Z409" s="48">
        <f>'Adani Enterprises'!Z409</f>
        <v>0</v>
      </c>
      <c r="AA409" s="48">
        <f>'Adani Enterprises'!AA409</f>
        <v>0</v>
      </c>
      <c r="AB409" s="48">
        <f>'Adani Enterprises'!AB409</f>
        <v>0</v>
      </c>
      <c r="AC409" s="48">
        <f>'Adani Enterprises'!AC409</f>
        <v>0</v>
      </c>
      <c r="AD409" s="48">
        <f>'Adani Enterprises'!AD409</f>
        <v>0</v>
      </c>
      <c r="AE409" s="48">
        <f>'Adani Enterprises'!AE409</f>
        <v>0</v>
      </c>
      <c r="AF409" s="48">
        <f>'Adani Enterprises'!AF409</f>
        <v>0</v>
      </c>
      <c r="AG409" s="48">
        <f>'Adani Enterprises'!AG409</f>
        <v>0</v>
      </c>
      <c r="AH409" s="48">
        <f>'Adani Enterprises'!AH409</f>
        <v>0</v>
      </c>
      <c r="AI409" s="48">
        <f>'Adani Enterprises'!AI409</f>
        <v>0</v>
      </c>
      <c r="AJ409" s="48">
        <f>'Adani Enterprises'!AJ409</f>
        <v>0</v>
      </c>
      <c r="AK409" s="48">
        <f>'Adani Enterprises'!AK409</f>
        <v>0</v>
      </c>
      <c r="AL409" s="48">
        <f>'Adani Enterprises'!AL409</f>
        <v>0</v>
      </c>
    </row>
    <row r="410" customHeight="1" spans="1:38">
      <c r="A410" s="48">
        <f>'Adani Enterprises'!A410</f>
        <v>0</v>
      </c>
      <c r="B410" s="48">
        <f>'Adani Enterprises'!B410</f>
        <v>0</v>
      </c>
      <c r="C410" s="48">
        <f>'Adani Enterprises'!C410</f>
        <v>0</v>
      </c>
      <c r="D410" s="48">
        <f>'Adani Enterprises'!D410</f>
        <v>0</v>
      </c>
      <c r="E410" s="48">
        <f>'Adani Enterprises'!E410</f>
        <v>0</v>
      </c>
      <c r="F410" s="48">
        <f>'Adani Enterprises'!F410</f>
        <v>0</v>
      </c>
      <c r="G410" s="48">
        <f>'Adani Enterprises'!G410</f>
        <v>0</v>
      </c>
      <c r="H410" s="48">
        <f>'Adani Enterprises'!H410</f>
        <v>0</v>
      </c>
      <c r="I410" s="48">
        <f>'Adani Enterprises'!I410</f>
        <v>0</v>
      </c>
      <c r="J410" s="48">
        <f>'Adani Enterprises'!J410</f>
        <v>0</v>
      </c>
      <c r="K410" s="48">
        <f>'Adani Enterprises'!K410</f>
        <v>0</v>
      </c>
      <c r="L410" s="48">
        <f>'Adani Enterprises'!L410</f>
        <v>0</v>
      </c>
      <c r="M410" s="48">
        <f>'Adani Enterprises'!M410</f>
        <v>0</v>
      </c>
      <c r="N410" s="48">
        <f>'Adani Enterprises'!N410</f>
        <v>0</v>
      </c>
      <c r="O410" s="48">
        <f>'Adani Enterprises'!O410</f>
        <v>0</v>
      </c>
      <c r="P410" s="48">
        <f>'Adani Enterprises'!P410</f>
        <v>0</v>
      </c>
      <c r="Q410" s="48">
        <f>'Adani Enterprises'!Q410</f>
        <v>0</v>
      </c>
      <c r="R410" s="48">
        <f>'Adani Enterprises'!R410</f>
        <v>0</v>
      </c>
      <c r="S410" s="48">
        <f>'Adani Enterprises'!S410</f>
        <v>0</v>
      </c>
      <c r="T410" s="48">
        <f>'Adani Enterprises'!T410</f>
        <v>0</v>
      </c>
      <c r="U410" s="48">
        <f>'Adani Enterprises'!U410</f>
        <v>0</v>
      </c>
      <c r="V410" s="48">
        <f>'Adani Enterprises'!V410</f>
        <v>0</v>
      </c>
      <c r="W410" s="48">
        <f>'Adani Enterprises'!W410</f>
        <v>0</v>
      </c>
      <c r="X410" s="48">
        <f>'Adani Enterprises'!X410</f>
        <v>0</v>
      </c>
      <c r="Y410" s="48">
        <f>'Adani Enterprises'!Y410</f>
        <v>0</v>
      </c>
      <c r="Z410" s="48">
        <f>'Adani Enterprises'!Z410</f>
        <v>0</v>
      </c>
      <c r="AA410" s="48">
        <f>'Adani Enterprises'!AA410</f>
        <v>0</v>
      </c>
      <c r="AB410" s="48">
        <f>'Adani Enterprises'!AB410</f>
        <v>0</v>
      </c>
      <c r="AC410" s="48">
        <f>'Adani Enterprises'!AC410</f>
        <v>0</v>
      </c>
      <c r="AD410" s="48">
        <f>'Adani Enterprises'!AD410</f>
        <v>0</v>
      </c>
      <c r="AE410" s="48">
        <f>'Adani Enterprises'!AE410</f>
        <v>0</v>
      </c>
      <c r="AF410" s="48">
        <f>'Adani Enterprises'!AF410</f>
        <v>0</v>
      </c>
      <c r="AG410" s="48">
        <f>'Adani Enterprises'!AG410</f>
        <v>0</v>
      </c>
      <c r="AH410" s="48">
        <f>'Adani Enterprises'!AH410</f>
        <v>0</v>
      </c>
      <c r="AI410" s="48">
        <f>'Adani Enterprises'!AI410</f>
        <v>0</v>
      </c>
      <c r="AJ410" s="48">
        <f>'Adani Enterprises'!AJ410</f>
        <v>0</v>
      </c>
      <c r="AK410" s="48">
        <f>'Adani Enterprises'!AK410</f>
        <v>0</v>
      </c>
      <c r="AL410" s="48">
        <f>'Adani Enterprises'!AL410</f>
        <v>0</v>
      </c>
    </row>
    <row r="411" customHeight="1" spans="1:38">
      <c r="A411" s="48">
        <f>'Adani Enterprises'!A411</f>
        <v>0</v>
      </c>
      <c r="B411" s="48">
        <f>'Adani Enterprises'!B411</f>
        <v>0</v>
      </c>
      <c r="C411" s="48">
        <f>'Adani Enterprises'!C411</f>
        <v>0</v>
      </c>
      <c r="D411" s="48">
        <f>'Adani Enterprises'!D411</f>
        <v>0</v>
      </c>
      <c r="E411" s="48">
        <f>'Adani Enterprises'!E411</f>
        <v>0</v>
      </c>
      <c r="F411" s="48">
        <f>'Adani Enterprises'!F411</f>
        <v>0</v>
      </c>
      <c r="G411" s="48">
        <f>'Adani Enterprises'!G411</f>
        <v>0</v>
      </c>
      <c r="H411" s="48">
        <f>'Adani Enterprises'!H411</f>
        <v>0</v>
      </c>
      <c r="I411" s="48">
        <f>'Adani Enterprises'!I411</f>
        <v>0</v>
      </c>
      <c r="J411" s="48">
        <f>'Adani Enterprises'!J411</f>
        <v>0</v>
      </c>
      <c r="K411" s="48">
        <f>'Adani Enterprises'!K411</f>
        <v>0</v>
      </c>
      <c r="L411" s="48">
        <f>'Adani Enterprises'!L411</f>
        <v>0</v>
      </c>
      <c r="M411" s="48">
        <f>'Adani Enterprises'!M411</f>
        <v>0</v>
      </c>
      <c r="N411" s="48">
        <f>'Adani Enterprises'!N411</f>
        <v>0</v>
      </c>
      <c r="O411" s="48">
        <f>'Adani Enterprises'!O411</f>
        <v>0</v>
      </c>
      <c r="P411" s="48">
        <f>'Adani Enterprises'!P411</f>
        <v>0</v>
      </c>
      <c r="Q411" s="48">
        <f>'Adani Enterprises'!Q411</f>
        <v>0</v>
      </c>
      <c r="R411" s="48">
        <f>'Adani Enterprises'!R411</f>
        <v>0</v>
      </c>
      <c r="S411" s="48">
        <f>'Adani Enterprises'!S411</f>
        <v>0</v>
      </c>
      <c r="T411" s="48">
        <f>'Adani Enterprises'!T411</f>
        <v>0</v>
      </c>
      <c r="U411" s="48">
        <f>'Adani Enterprises'!U411</f>
        <v>0</v>
      </c>
      <c r="V411" s="48">
        <f>'Adani Enterprises'!V411</f>
        <v>0</v>
      </c>
      <c r="W411" s="48">
        <f>'Adani Enterprises'!W411</f>
        <v>0</v>
      </c>
      <c r="X411" s="48">
        <f>'Adani Enterprises'!X411</f>
        <v>0</v>
      </c>
      <c r="Y411" s="48">
        <f>'Adani Enterprises'!Y411</f>
        <v>0</v>
      </c>
      <c r="Z411" s="48">
        <f>'Adani Enterprises'!Z411</f>
        <v>0</v>
      </c>
      <c r="AA411" s="48">
        <f>'Adani Enterprises'!AA411</f>
        <v>0</v>
      </c>
      <c r="AB411" s="48">
        <f>'Adani Enterprises'!AB411</f>
        <v>0</v>
      </c>
      <c r="AC411" s="48">
        <f>'Adani Enterprises'!AC411</f>
        <v>0</v>
      </c>
      <c r="AD411" s="48">
        <f>'Adani Enterprises'!AD411</f>
        <v>0</v>
      </c>
      <c r="AE411" s="48">
        <f>'Adani Enterprises'!AE411</f>
        <v>0</v>
      </c>
      <c r="AF411" s="48">
        <f>'Adani Enterprises'!AF411</f>
        <v>0</v>
      </c>
      <c r="AG411" s="48">
        <f>'Adani Enterprises'!AG411</f>
        <v>0</v>
      </c>
      <c r="AH411" s="48">
        <f>'Adani Enterprises'!AH411</f>
        <v>0</v>
      </c>
      <c r="AI411" s="48">
        <f>'Adani Enterprises'!AI411</f>
        <v>0</v>
      </c>
      <c r="AJ411" s="48">
        <f>'Adani Enterprises'!AJ411</f>
        <v>0</v>
      </c>
      <c r="AK411" s="48">
        <f>'Adani Enterprises'!AK411</f>
        <v>0</v>
      </c>
      <c r="AL411" s="48">
        <f>'Adani Enterprises'!AL411</f>
        <v>0</v>
      </c>
    </row>
    <row r="412" customHeight="1" spans="1:38">
      <c r="A412" s="48">
        <f>'Adani Enterprises'!A412</f>
        <v>0</v>
      </c>
      <c r="B412" s="48">
        <f>'Adani Enterprises'!B412</f>
        <v>0</v>
      </c>
      <c r="C412" s="48">
        <f>'Adani Enterprises'!C412</f>
        <v>0</v>
      </c>
      <c r="D412" s="48">
        <f>'Adani Enterprises'!D412</f>
        <v>0</v>
      </c>
      <c r="E412" s="48">
        <f>'Adani Enterprises'!E412</f>
        <v>0</v>
      </c>
      <c r="F412" s="48">
        <f>'Adani Enterprises'!F412</f>
        <v>0</v>
      </c>
      <c r="G412" s="48">
        <f>'Adani Enterprises'!G412</f>
        <v>0</v>
      </c>
      <c r="H412" s="48">
        <f>'Adani Enterprises'!H412</f>
        <v>0</v>
      </c>
      <c r="I412" s="48">
        <f>'Adani Enterprises'!I412</f>
        <v>0</v>
      </c>
      <c r="J412" s="48">
        <f>'Adani Enterprises'!J412</f>
        <v>0</v>
      </c>
      <c r="K412" s="48">
        <f>'Adani Enterprises'!K412</f>
        <v>0</v>
      </c>
      <c r="L412" s="48">
        <f>'Adani Enterprises'!L412</f>
        <v>0</v>
      </c>
      <c r="M412" s="48">
        <f>'Adani Enterprises'!M412</f>
        <v>0</v>
      </c>
      <c r="N412" s="48">
        <f>'Adani Enterprises'!N412</f>
        <v>0</v>
      </c>
      <c r="O412" s="48">
        <f>'Adani Enterprises'!O412</f>
        <v>0</v>
      </c>
      <c r="P412" s="48">
        <f>'Adani Enterprises'!P412</f>
        <v>0</v>
      </c>
      <c r="Q412" s="48">
        <f>'Adani Enterprises'!Q412</f>
        <v>0</v>
      </c>
      <c r="R412" s="48">
        <f>'Adani Enterprises'!R412</f>
        <v>0</v>
      </c>
      <c r="S412" s="48">
        <f>'Adani Enterprises'!S412</f>
        <v>0</v>
      </c>
      <c r="T412" s="48">
        <f>'Adani Enterprises'!T412</f>
        <v>0</v>
      </c>
      <c r="U412" s="48">
        <f>'Adani Enterprises'!U412</f>
        <v>0</v>
      </c>
      <c r="V412" s="48">
        <f>'Adani Enterprises'!V412</f>
        <v>0</v>
      </c>
      <c r="W412" s="48">
        <f>'Adani Enterprises'!W412</f>
        <v>0</v>
      </c>
      <c r="X412" s="48">
        <f>'Adani Enterprises'!X412</f>
        <v>0</v>
      </c>
      <c r="Y412" s="48">
        <f>'Adani Enterprises'!Y412</f>
        <v>0</v>
      </c>
      <c r="Z412" s="48">
        <f>'Adani Enterprises'!Z412</f>
        <v>0</v>
      </c>
      <c r="AA412" s="48">
        <f>'Adani Enterprises'!AA412</f>
        <v>0</v>
      </c>
      <c r="AB412" s="48">
        <f>'Adani Enterprises'!AB412</f>
        <v>0</v>
      </c>
      <c r="AC412" s="48">
        <f>'Adani Enterprises'!AC412</f>
        <v>0</v>
      </c>
      <c r="AD412" s="48">
        <f>'Adani Enterprises'!AD412</f>
        <v>0</v>
      </c>
      <c r="AE412" s="48">
        <f>'Adani Enterprises'!AE412</f>
        <v>0</v>
      </c>
      <c r="AF412" s="48">
        <f>'Adani Enterprises'!AF412</f>
        <v>0</v>
      </c>
      <c r="AG412" s="48">
        <f>'Adani Enterprises'!AG412</f>
        <v>0</v>
      </c>
      <c r="AH412" s="48">
        <f>'Adani Enterprises'!AH412</f>
        <v>0</v>
      </c>
      <c r="AI412" s="48">
        <f>'Adani Enterprises'!AI412</f>
        <v>0</v>
      </c>
      <c r="AJ412" s="48">
        <f>'Adani Enterprises'!AJ412</f>
        <v>0</v>
      </c>
      <c r="AK412" s="48">
        <f>'Adani Enterprises'!AK412</f>
        <v>0</v>
      </c>
      <c r="AL412" s="48">
        <f>'Adani Enterprises'!AL412</f>
        <v>0</v>
      </c>
    </row>
    <row r="413" customHeight="1" spans="1:38">
      <c r="A413" s="48">
        <f>'Adani Enterprises'!A413</f>
        <v>0</v>
      </c>
      <c r="B413" s="48">
        <f>'Adani Enterprises'!B413</f>
        <v>0</v>
      </c>
      <c r="C413" s="48">
        <f>'Adani Enterprises'!C413</f>
        <v>0</v>
      </c>
      <c r="D413" s="48">
        <f>'Adani Enterprises'!D413</f>
        <v>0</v>
      </c>
      <c r="E413" s="48">
        <f>'Adani Enterprises'!E413</f>
        <v>0</v>
      </c>
      <c r="F413" s="48">
        <f>'Adani Enterprises'!F413</f>
        <v>0</v>
      </c>
      <c r="G413" s="48">
        <f>'Adani Enterprises'!G413</f>
        <v>0</v>
      </c>
      <c r="H413" s="48">
        <f>'Adani Enterprises'!H413</f>
        <v>0</v>
      </c>
      <c r="I413" s="48">
        <f>'Adani Enterprises'!I413</f>
        <v>0</v>
      </c>
      <c r="J413" s="48">
        <f>'Adani Enterprises'!J413</f>
        <v>0</v>
      </c>
      <c r="K413" s="48">
        <f>'Adani Enterprises'!K413</f>
        <v>0</v>
      </c>
      <c r="L413" s="48">
        <f>'Adani Enterprises'!L413</f>
        <v>0</v>
      </c>
      <c r="M413" s="48">
        <f>'Adani Enterprises'!M413</f>
        <v>0</v>
      </c>
      <c r="N413" s="48">
        <f>'Adani Enterprises'!N413</f>
        <v>0</v>
      </c>
      <c r="O413" s="48">
        <f>'Adani Enterprises'!O413</f>
        <v>0</v>
      </c>
      <c r="P413" s="48">
        <f>'Adani Enterprises'!P413</f>
        <v>0</v>
      </c>
      <c r="Q413" s="48">
        <f>'Adani Enterprises'!Q413</f>
        <v>0</v>
      </c>
      <c r="R413" s="48">
        <f>'Adani Enterprises'!R413</f>
        <v>0</v>
      </c>
      <c r="S413" s="48">
        <f>'Adani Enterprises'!S413</f>
        <v>0</v>
      </c>
      <c r="T413" s="48">
        <f>'Adani Enterprises'!T413</f>
        <v>0</v>
      </c>
      <c r="U413" s="48">
        <f>'Adani Enterprises'!U413</f>
        <v>0</v>
      </c>
      <c r="V413" s="48">
        <f>'Adani Enterprises'!V413</f>
        <v>0</v>
      </c>
      <c r="W413" s="48">
        <f>'Adani Enterprises'!W413</f>
        <v>0</v>
      </c>
      <c r="X413" s="48">
        <f>'Adani Enterprises'!X413</f>
        <v>0</v>
      </c>
      <c r="Y413" s="48">
        <f>'Adani Enterprises'!Y413</f>
        <v>0</v>
      </c>
      <c r="Z413" s="48">
        <f>'Adani Enterprises'!Z413</f>
        <v>0</v>
      </c>
      <c r="AA413" s="48">
        <f>'Adani Enterprises'!AA413</f>
        <v>0</v>
      </c>
      <c r="AB413" s="48">
        <f>'Adani Enterprises'!AB413</f>
        <v>0</v>
      </c>
      <c r="AC413" s="48">
        <f>'Adani Enterprises'!AC413</f>
        <v>0</v>
      </c>
      <c r="AD413" s="48">
        <f>'Adani Enterprises'!AD413</f>
        <v>0</v>
      </c>
      <c r="AE413" s="48">
        <f>'Adani Enterprises'!AE413</f>
        <v>0</v>
      </c>
      <c r="AF413" s="48">
        <f>'Adani Enterprises'!AF413</f>
        <v>0</v>
      </c>
      <c r="AG413" s="48">
        <f>'Adani Enterprises'!AG413</f>
        <v>0</v>
      </c>
      <c r="AH413" s="48">
        <f>'Adani Enterprises'!AH413</f>
        <v>0</v>
      </c>
      <c r="AI413" s="48">
        <f>'Adani Enterprises'!AI413</f>
        <v>0</v>
      </c>
      <c r="AJ413" s="48">
        <f>'Adani Enterprises'!AJ413</f>
        <v>0</v>
      </c>
      <c r="AK413" s="48">
        <f>'Adani Enterprises'!AK413</f>
        <v>0</v>
      </c>
      <c r="AL413" s="48">
        <f>'Adani Enterprises'!AL413</f>
        <v>0</v>
      </c>
    </row>
    <row r="414" customHeight="1" spans="1:38">
      <c r="A414" s="48">
        <f>'Adani Enterprises'!A414</f>
        <v>0</v>
      </c>
      <c r="B414" s="48">
        <f>'Adani Enterprises'!B414</f>
        <v>0</v>
      </c>
      <c r="C414" s="48">
        <f>'Adani Enterprises'!C414</f>
        <v>0</v>
      </c>
      <c r="D414" s="48">
        <f>'Adani Enterprises'!D414</f>
        <v>0</v>
      </c>
      <c r="E414" s="48">
        <f>'Adani Enterprises'!E414</f>
        <v>0</v>
      </c>
      <c r="F414" s="48">
        <f>'Adani Enterprises'!F414</f>
        <v>0</v>
      </c>
      <c r="G414" s="48">
        <f>'Adani Enterprises'!G414</f>
        <v>0</v>
      </c>
      <c r="H414" s="48">
        <f>'Adani Enterprises'!H414</f>
        <v>0</v>
      </c>
      <c r="I414" s="48">
        <f>'Adani Enterprises'!I414</f>
        <v>0</v>
      </c>
      <c r="J414" s="48">
        <f>'Adani Enterprises'!J414</f>
        <v>0</v>
      </c>
      <c r="K414" s="48">
        <f>'Adani Enterprises'!K414</f>
        <v>0</v>
      </c>
      <c r="L414" s="48">
        <f>'Adani Enterprises'!L414</f>
        <v>0</v>
      </c>
      <c r="M414" s="48">
        <f>'Adani Enterprises'!M414</f>
        <v>0</v>
      </c>
      <c r="N414" s="48">
        <f>'Adani Enterprises'!N414</f>
        <v>0</v>
      </c>
      <c r="O414" s="48">
        <f>'Adani Enterprises'!O414</f>
        <v>0</v>
      </c>
      <c r="P414" s="48">
        <f>'Adani Enterprises'!P414</f>
        <v>0</v>
      </c>
      <c r="Q414" s="48">
        <f>'Adani Enterprises'!Q414</f>
        <v>0</v>
      </c>
      <c r="R414" s="48">
        <f>'Adani Enterprises'!R414</f>
        <v>0</v>
      </c>
      <c r="S414" s="48">
        <f>'Adani Enterprises'!S414</f>
        <v>0</v>
      </c>
      <c r="T414" s="48">
        <f>'Adani Enterprises'!T414</f>
        <v>0</v>
      </c>
      <c r="U414" s="48">
        <f>'Adani Enterprises'!U414</f>
        <v>0</v>
      </c>
      <c r="V414" s="48">
        <f>'Adani Enterprises'!V414</f>
        <v>0</v>
      </c>
      <c r="W414" s="48">
        <f>'Adani Enterprises'!W414</f>
        <v>0</v>
      </c>
      <c r="X414" s="48">
        <f>'Adani Enterprises'!X414</f>
        <v>0</v>
      </c>
      <c r="Y414" s="48">
        <f>'Adani Enterprises'!Y414</f>
        <v>0</v>
      </c>
      <c r="Z414" s="48">
        <f>'Adani Enterprises'!Z414</f>
        <v>0</v>
      </c>
      <c r="AA414" s="48">
        <f>'Adani Enterprises'!AA414</f>
        <v>0</v>
      </c>
      <c r="AB414" s="48">
        <f>'Adani Enterprises'!AB414</f>
        <v>0</v>
      </c>
      <c r="AC414" s="48">
        <f>'Adani Enterprises'!AC414</f>
        <v>0</v>
      </c>
      <c r="AD414" s="48">
        <f>'Adani Enterprises'!AD414</f>
        <v>0</v>
      </c>
      <c r="AE414" s="48">
        <f>'Adani Enterprises'!AE414</f>
        <v>0</v>
      </c>
      <c r="AF414" s="48">
        <f>'Adani Enterprises'!AF414</f>
        <v>0</v>
      </c>
      <c r="AG414" s="48">
        <f>'Adani Enterprises'!AG414</f>
        <v>0</v>
      </c>
      <c r="AH414" s="48">
        <f>'Adani Enterprises'!AH414</f>
        <v>0</v>
      </c>
      <c r="AI414" s="48">
        <f>'Adani Enterprises'!AI414</f>
        <v>0</v>
      </c>
      <c r="AJ414" s="48">
        <f>'Adani Enterprises'!AJ414</f>
        <v>0</v>
      </c>
      <c r="AK414" s="48">
        <f>'Adani Enterprises'!AK414</f>
        <v>0</v>
      </c>
      <c r="AL414" s="48">
        <f>'Adani Enterprises'!AL414</f>
        <v>0</v>
      </c>
    </row>
    <row r="415" customHeight="1" spans="1:38">
      <c r="A415" s="48">
        <f>'Adani Enterprises'!A415</f>
        <v>0</v>
      </c>
      <c r="B415" s="48">
        <f>'Adani Enterprises'!B415</f>
        <v>0</v>
      </c>
      <c r="C415" s="48">
        <f>'Adani Enterprises'!C415</f>
        <v>0</v>
      </c>
      <c r="D415" s="48">
        <f>'Adani Enterprises'!D415</f>
        <v>0</v>
      </c>
      <c r="E415" s="48">
        <f>'Adani Enterprises'!E415</f>
        <v>0</v>
      </c>
      <c r="F415" s="48">
        <f>'Adani Enterprises'!F415</f>
        <v>0</v>
      </c>
      <c r="G415" s="48">
        <f>'Adani Enterprises'!G415</f>
        <v>0</v>
      </c>
      <c r="H415" s="48">
        <f>'Adani Enterprises'!H415</f>
        <v>0</v>
      </c>
      <c r="I415" s="48">
        <f>'Adani Enterprises'!I415</f>
        <v>0</v>
      </c>
      <c r="J415" s="48">
        <f>'Adani Enterprises'!J415</f>
        <v>0</v>
      </c>
      <c r="K415" s="48">
        <f>'Adani Enterprises'!K415</f>
        <v>0</v>
      </c>
      <c r="L415" s="48">
        <f>'Adani Enterprises'!L415</f>
        <v>0</v>
      </c>
      <c r="M415" s="48">
        <f>'Adani Enterprises'!M415</f>
        <v>0</v>
      </c>
      <c r="N415" s="48">
        <f>'Adani Enterprises'!N415</f>
        <v>0</v>
      </c>
      <c r="O415" s="48">
        <f>'Adani Enterprises'!O415</f>
        <v>0</v>
      </c>
      <c r="P415" s="48">
        <f>'Adani Enterprises'!P415</f>
        <v>0</v>
      </c>
      <c r="Q415" s="48">
        <f>'Adani Enterprises'!Q415</f>
        <v>0</v>
      </c>
      <c r="R415" s="48">
        <f>'Adani Enterprises'!R415</f>
        <v>0</v>
      </c>
      <c r="S415" s="48">
        <f>'Adani Enterprises'!S415</f>
        <v>0</v>
      </c>
      <c r="T415" s="48">
        <f>'Adani Enterprises'!T415</f>
        <v>0</v>
      </c>
      <c r="U415" s="48">
        <f>'Adani Enterprises'!U415</f>
        <v>0</v>
      </c>
      <c r="V415" s="48">
        <f>'Adani Enterprises'!V415</f>
        <v>0</v>
      </c>
      <c r="W415" s="48">
        <f>'Adani Enterprises'!W415</f>
        <v>0</v>
      </c>
      <c r="X415" s="48">
        <f>'Adani Enterprises'!X415</f>
        <v>0</v>
      </c>
      <c r="Y415" s="48">
        <f>'Adani Enterprises'!Y415</f>
        <v>0</v>
      </c>
      <c r="Z415" s="48">
        <f>'Adani Enterprises'!Z415</f>
        <v>0</v>
      </c>
      <c r="AA415" s="48">
        <f>'Adani Enterprises'!AA415</f>
        <v>0</v>
      </c>
      <c r="AB415" s="48">
        <f>'Adani Enterprises'!AB415</f>
        <v>0</v>
      </c>
      <c r="AC415" s="48">
        <f>'Adani Enterprises'!AC415</f>
        <v>0</v>
      </c>
      <c r="AD415" s="48">
        <f>'Adani Enterprises'!AD415</f>
        <v>0</v>
      </c>
      <c r="AE415" s="48">
        <f>'Adani Enterprises'!AE415</f>
        <v>0</v>
      </c>
      <c r="AF415" s="48">
        <f>'Adani Enterprises'!AF415</f>
        <v>0</v>
      </c>
      <c r="AG415" s="48">
        <f>'Adani Enterprises'!AG415</f>
        <v>0</v>
      </c>
      <c r="AH415" s="48">
        <f>'Adani Enterprises'!AH415</f>
        <v>0</v>
      </c>
      <c r="AI415" s="48">
        <f>'Adani Enterprises'!AI415</f>
        <v>0</v>
      </c>
      <c r="AJ415" s="48">
        <f>'Adani Enterprises'!AJ415</f>
        <v>0</v>
      </c>
      <c r="AK415" s="48">
        <f>'Adani Enterprises'!AK415</f>
        <v>0</v>
      </c>
      <c r="AL415" s="48">
        <f>'Adani Enterprises'!AL415</f>
        <v>0</v>
      </c>
    </row>
    <row r="416" customHeight="1" spans="1:38">
      <c r="A416" s="48">
        <f>'Adani Enterprises'!A416</f>
        <v>0</v>
      </c>
      <c r="B416" s="48">
        <f>'Adani Enterprises'!B416</f>
        <v>0</v>
      </c>
      <c r="C416" s="48">
        <f>'Adani Enterprises'!C416</f>
        <v>0</v>
      </c>
      <c r="D416" s="48">
        <f>'Adani Enterprises'!D416</f>
        <v>0</v>
      </c>
      <c r="E416" s="48">
        <f>'Adani Enterprises'!E416</f>
        <v>0</v>
      </c>
      <c r="F416" s="48">
        <f>'Adani Enterprises'!F416</f>
        <v>0</v>
      </c>
      <c r="G416" s="48">
        <f>'Adani Enterprises'!G416</f>
        <v>0</v>
      </c>
      <c r="H416" s="48">
        <f>'Adani Enterprises'!H416</f>
        <v>0</v>
      </c>
      <c r="I416" s="48">
        <f>'Adani Enterprises'!I416</f>
        <v>0</v>
      </c>
      <c r="J416" s="48">
        <f>'Adani Enterprises'!J416</f>
        <v>0</v>
      </c>
      <c r="K416" s="48">
        <f>'Adani Enterprises'!K416</f>
        <v>0</v>
      </c>
      <c r="L416" s="48">
        <f>'Adani Enterprises'!L416</f>
        <v>0</v>
      </c>
      <c r="M416" s="48">
        <f>'Adani Enterprises'!M416</f>
        <v>0</v>
      </c>
      <c r="N416" s="48">
        <f>'Adani Enterprises'!N416</f>
        <v>0</v>
      </c>
      <c r="O416" s="48">
        <f>'Adani Enterprises'!O416</f>
        <v>0</v>
      </c>
      <c r="P416" s="48">
        <f>'Adani Enterprises'!P416</f>
        <v>0</v>
      </c>
      <c r="Q416" s="48">
        <f>'Adani Enterprises'!Q416</f>
        <v>0</v>
      </c>
      <c r="R416" s="48">
        <f>'Adani Enterprises'!R416</f>
        <v>0</v>
      </c>
      <c r="S416" s="48">
        <f>'Adani Enterprises'!S416</f>
        <v>0</v>
      </c>
      <c r="T416" s="48">
        <f>'Adani Enterprises'!T416</f>
        <v>0</v>
      </c>
      <c r="U416" s="48">
        <f>'Adani Enterprises'!U416</f>
        <v>0</v>
      </c>
      <c r="V416" s="48">
        <f>'Adani Enterprises'!V416</f>
        <v>0</v>
      </c>
      <c r="W416" s="48">
        <f>'Adani Enterprises'!W416</f>
        <v>0</v>
      </c>
      <c r="X416" s="48">
        <f>'Adani Enterprises'!X416</f>
        <v>0</v>
      </c>
      <c r="Y416" s="48">
        <f>'Adani Enterprises'!Y416</f>
        <v>0</v>
      </c>
      <c r="Z416" s="48">
        <f>'Adani Enterprises'!Z416</f>
        <v>0</v>
      </c>
      <c r="AA416" s="48">
        <f>'Adani Enterprises'!AA416</f>
        <v>0</v>
      </c>
      <c r="AB416" s="48">
        <f>'Adani Enterprises'!AB416</f>
        <v>0</v>
      </c>
      <c r="AC416" s="48">
        <f>'Adani Enterprises'!AC416</f>
        <v>0</v>
      </c>
      <c r="AD416" s="48">
        <f>'Adani Enterprises'!AD416</f>
        <v>0</v>
      </c>
      <c r="AE416" s="48">
        <f>'Adani Enterprises'!AE416</f>
        <v>0</v>
      </c>
      <c r="AF416" s="48">
        <f>'Adani Enterprises'!AF416</f>
        <v>0</v>
      </c>
      <c r="AG416" s="48">
        <f>'Adani Enterprises'!AG416</f>
        <v>0</v>
      </c>
      <c r="AH416" s="48">
        <f>'Adani Enterprises'!AH416</f>
        <v>0</v>
      </c>
      <c r="AI416" s="48">
        <f>'Adani Enterprises'!AI416</f>
        <v>0</v>
      </c>
      <c r="AJ416" s="48">
        <f>'Adani Enterprises'!AJ416</f>
        <v>0</v>
      </c>
      <c r="AK416" s="48">
        <f>'Adani Enterprises'!AK416</f>
        <v>0</v>
      </c>
      <c r="AL416" s="48">
        <f>'Adani Enterprises'!AL416</f>
        <v>0</v>
      </c>
    </row>
    <row r="417" customHeight="1" spans="1:38">
      <c r="A417" s="48">
        <f>'Adani Enterprises'!A417</f>
        <v>0</v>
      </c>
      <c r="B417" s="48">
        <f>'Adani Enterprises'!B417</f>
        <v>0</v>
      </c>
      <c r="C417" s="48">
        <f>'Adani Enterprises'!C417</f>
        <v>0</v>
      </c>
      <c r="D417" s="48">
        <f>'Adani Enterprises'!D417</f>
        <v>0</v>
      </c>
      <c r="E417" s="48">
        <f>'Adani Enterprises'!E417</f>
        <v>0</v>
      </c>
      <c r="F417" s="48">
        <f>'Adani Enterprises'!F417</f>
        <v>0</v>
      </c>
      <c r="G417" s="48">
        <f>'Adani Enterprises'!G417</f>
        <v>0</v>
      </c>
      <c r="H417" s="48">
        <f>'Adani Enterprises'!H417</f>
        <v>0</v>
      </c>
      <c r="I417" s="48">
        <f>'Adani Enterprises'!I417</f>
        <v>0</v>
      </c>
      <c r="J417" s="48">
        <f>'Adani Enterprises'!J417</f>
        <v>0</v>
      </c>
      <c r="K417" s="48">
        <f>'Adani Enterprises'!K417</f>
        <v>0</v>
      </c>
      <c r="L417" s="48">
        <f>'Adani Enterprises'!L417</f>
        <v>0</v>
      </c>
      <c r="M417" s="48">
        <f>'Adani Enterprises'!M417</f>
        <v>0</v>
      </c>
      <c r="N417" s="48">
        <f>'Adani Enterprises'!N417</f>
        <v>0</v>
      </c>
      <c r="O417" s="48">
        <f>'Adani Enterprises'!O417</f>
        <v>0</v>
      </c>
      <c r="P417" s="48">
        <f>'Adani Enterprises'!P417</f>
        <v>0</v>
      </c>
      <c r="Q417" s="48">
        <f>'Adani Enterprises'!Q417</f>
        <v>0</v>
      </c>
      <c r="R417" s="48">
        <f>'Adani Enterprises'!R417</f>
        <v>0</v>
      </c>
      <c r="S417" s="48">
        <f>'Adani Enterprises'!S417</f>
        <v>0</v>
      </c>
      <c r="T417" s="48">
        <f>'Adani Enterprises'!T417</f>
        <v>0</v>
      </c>
      <c r="U417" s="48">
        <f>'Adani Enterprises'!U417</f>
        <v>0</v>
      </c>
      <c r="V417" s="48">
        <f>'Adani Enterprises'!V417</f>
        <v>0</v>
      </c>
      <c r="W417" s="48">
        <f>'Adani Enterprises'!W417</f>
        <v>0</v>
      </c>
      <c r="X417" s="48">
        <f>'Adani Enterprises'!X417</f>
        <v>0</v>
      </c>
      <c r="Y417" s="48">
        <f>'Adani Enterprises'!Y417</f>
        <v>0</v>
      </c>
      <c r="Z417" s="48">
        <f>'Adani Enterprises'!Z417</f>
        <v>0</v>
      </c>
      <c r="AA417" s="48">
        <f>'Adani Enterprises'!AA417</f>
        <v>0</v>
      </c>
      <c r="AB417" s="48">
        <f>'Adani Enterprises'!AB417</f>
        <v>0</v>
      </c>
      <c r="AC417" s="48">
        <f>'Adani Enterprises'!AC417</f>
        <v>0</v>
      </c>
      <c r="AD417" s="48">
        <f>'Adani Enterprises'!AD417</f>
        <v>0</v>
      </c>
      <c r="AE417" s="48">
        <f>'Adani Enterprises'!AE417</f>
        <v>0</v>
      </c>
      <c r="AF417" s="48">
        <f>'Adani Enterprises'!AF417</f>
        <v>0</v>
      </c>
      <c r="AG417" s="48">
        <f>'Adani Enterprises'!AG417</f>
        <v>0</v>
      </c>
      <c r="AH417" s="48">
        <f>'Adani Enterprises'!AH417</f>
        <v>0</v>
      </c>
      <c r="AI417" s="48">
        <f>'Adani Enterprises'!AI417</f>
        <v>0</v>
      </c>
      <c r="AJ417" s="48">
        <f>'Adani Enterprises'!AJ417</f>
        <v>0</v>
      </c>
      <c r="AK417" s="48">
        <f>'Adani Enterprises'!AK417</f>
        <v>0</v>
      </c>
      <c r="AL417" s="48">
        <f>'Adani Enterprises'!AL417</f>
        <v>0</v>
      </c>
    </row>
    <row r="418" customHeight="1" spans="1:38">
      <c r="A418" s="48">
        <f>'Adani Enterprises'!A418</f>
        <v>0</v>
      </c>
      <c r="B418" s="48">
        <f>'Adani Enterprises'!B418</f>
        <v>0</v>
      </c>
      <c r="C418" s="48">
        <f>'Adani Enterprises'!C418</f>
        <v>0</v>
      </c>
      <c r="D418" s="48">
        <f>'Adani Enterprises'!D418</f>
        <v>0</v>
      </c>
      <c r="E418" s="48">
        <f>'Adani Enterprises'!E418</f>
        <v>0</v>
      </c>
      <c r="F418" s="48">
        <f>'Adani Enterprises'!F418</f>
        <v>0</v>
      </c>
      <c r="G418" s="48">
        <f>'Adani Enterprises'!G418</f>
        <v>0</v>
      </c>
      <c r="H418" s="48">
        <f>'Adani Enterprises'!H418</f>
        <v>0</v>
      </c>
      <c r="I418" s="48">
        <f>'Adani Enterprises'!I418</f>
        <v>0</v>
      </c>
      <c r="J418" s="48">
        <f>'Adani Enterprises'!J418</f>
        <v>0</v>
      </c>
      <c r="K418" s="48">
        <f>'Adani Enterprises'!K418</f>
        <v>0</v>
      </c>
      <c r="L418" s="48">
        <f>'Adani Enterprises'!L418</f>
        <v>0</v>
      </c>
      <c r="M418" s="48">
        <f>'Adani Enterprises'!M418</f>
        <v>0</v>
      </c>
      <c r="N418" s="48">
        <f>'Adani Enterprises'!N418</f>
        <v>0</v>
      </c>
      <c r="O418" s="48">
        <f>'Adani Enterprises'!O418</f>
        <v>0</v>
      </c>
      <c r="P418" s="48">
        <f>'Adani Enterprises'!P418</f>
        <v>0</v>
      </c>
      <c r="Q418" s="48">
        <f>'Adani Enterprises'!Q418</f>
        <v>0</v>
      </c>
      <c r="R418" s="48">
        <f>'Adani Enterprises'!R418</f>
        <v>0</v>
      </c>
      <c r="S418" s="48">
        <f>'Adani Enterprises'!S418</f>
        <v>0</v>
      </c>
      <c r="T418" s="48">
        <f>'Adani Enterprises'!T418</f>
        <v>0</v>
      </c>
      <c r="U418" s="48">
        <f>'Adani Enterprises'!U418</f>
        <v>0</v>
      </c>
      <c r="V418" s="48">
        <f>'Adani Enterprises'!V418</f>
        <v>0</v>
      </c>
      <c r="W418" s="48">
        <f>'Adani Enterprises'!W418</f>
        <v>0</v>
      </c>
      <c r="X418" s="48">
        <f>'Adani Enterprises'!X418</f>
        <v>0</v>
      </c>
      <c r="Y418" s="48">
        <f>'Adani Enterprises'!Y418</f>
        <v>0</v>
      </c>
      <c r="Z418" s="48">
        <f>'Adani Enterprises'!Z418</f>
        <v>0</v>
      </c>
      <c r="AA418" s="48">
        <f>'Adani Enterprises'!AA418</f>
        <v>0</v>
      </c>
      <c r="AB418" s="48">
        <f>'Adani Enterprises'!AB418</f>
        <v>0</v>
      </c>
      <c r="AC418" s="48">
        <f>'Adani Enterprises'!AC418</f>
        <v>0</v>
      </c>
      <c r="AD418" s="48">
        <f>'Adani Enterprises'!AD418</f>
        <v>0</v>
      </c>
      <c r="AE418" s="48">
        <f>'Adani Enterprises'!AE418</f>
        <v>0</v>
      </c>
      <c r="AF418" s="48">
        <f>'Adani Enterprises'!AF418</f>
        <v>0</v>
      </c>
      <c r="AG418" s="48">
        <f>'Adani Enterprises'!AG418</f>
        <v>0</v>
      </c>
      <c r="AH418" s="48">
        <f>'Adani Enterprises'!AH418</f>
        <v>0</v>
      </c>
      <c r="AI418" s="48">
        <f>'Adani Enterprises'!AI418</f>
        <v>0</v>
      </c>
      <c r="AJ418" s="48">
        <f>'Adani Enterprises'!AJ418</f>
        <v>0</v>
      </c>
      <c r="AK418" s="48">
        <f>'Adani Enterprises'!AK418</f>
        <v>0</v>
      </c>
      <c r="AL418" s="48">
        <f>'Adani Enterprises'!AL418</f>
        <v>0</v>
      </c>
    </row>
    <row r="419" customHeight="1" spans="1:38">
      <c r="A419" s="48">
        <f>'Adani Enterprises'!A419</f>
        <v>0</v>
      </c>
      <c r="B419" s="48">
        <f>'Adani Enterprises'!B419</f>
        <v>0</v>
      </c>
      <c r="C419" s="48">
        <f>'Adani Enterprises'!C419</f>
        <v>0</v>
      </c>
      <c r="D419" s="48">
        <f>'Adani Enterprises'!D419</f>
        <v>0</v>
      </c>
      <c r="E419" s="48">
        <f>'Adani Enterprises'!E419</f>
        <v>0</v>
      </c>
      <c r="F419" s="48">
        <f>'Adani Enterprises'!F419</f>
        <v>0</v>
      </c>
      <c r="G419" s="48">
        <f>'Adani Enterprises'!G419</f>
        <v>0</v>
      </c>
      <c r="H419" s="48">
        <f>'Adani Enterprises'!H419</f>
        <v>0</v>
      </c>
      <c r="I419" s="48">
        <f>'Adani Enterprises'!I419</f>
        <v>0</v>
      </c>
      <c r="J419" s="48">
        <f>'Adani Enterprises'!J419</f>
        <v>0</v>
      </c>
      <c r="K419" s="48">
        <f>'Adani Enterprises'!K419</f>
        <v>0</v>
      </c>
      <c r="L419" s="48">
        <f>'Adani Enterprises'!L419</f>
        <v>0</v>
      </c>
      <c r="M419" s="48">
        <f>'Adani Enterprises'!M419</f>
        <v>0</v>
      </c>
      <c r="N419" s="48">
        <f>'Adani Enterprises'!N419</f>
        <v>0</v>
      </c>
      <c r="O419" s="48">
        <f>'Adani Enterprises'!O419</f>
        <v>0</v>
      </c>
      <c r="P419" s="48">
        <f>'Adani Enterprises'!P419</f>
        <v>0</v>
      </c>
      <c r="Q419" s="48">
        <f>'Adani Enterprises'!Q419</f>
        <v>0</v>
      </c>
      <c r="R419" s="48">
        <f>'Adani Enterprises'!R419</f>
        <v>0</v>
      </c>
      <c r="S419" s="48">
        <f>'Adani Enterprises'!S419</f>
        <v>0</v>
      </c>
      <c r="T419" s="48">
        <f>'Adani Enterprises'!T419</f>
        <v>0</v>
      </c>
      <c r="U419" s="48">
        <f>'Adani Enterprises'!U419</f>
        <v>0</v>
      </c>
      <c r="V419" s="48">
        <f>'Adani Enterprises'!V419</f>
        <v>0</v>
      </c>
      <c r="W419" s="48">
        <f>'Adani Enterprises'!W419</f>
        <v>0</v>
      </c>
      <c r="X419" s="48">
        <f>'Adani Enterprises'!X419</f>
        <v>0</v>
      </c>
      <c r="Y419" s="48">
        <f>'Adani Enterprises'!Y419</f>
        <v>0</v>
      </c>
      <c r="Z419" s="48">
        <f>'Adani Enterprises'!Z419</f>
        <v>0</v>
      </c>
      <c r="AA419" s="48">
        <f>'Adani Enterprises'!AA419</f>
        <v>0</v>
      </c>
      <c r="AB419" s="48">
        <f>'Adani Enterprises'!AB419</f>
        <v>0</v>
      </c>
      <c r="AC419" s="48">
        <f>'Adani Enterprises'!AC419</f>
        <v>0</v>
      </c>
      <c r="AD419" s="48">
        <f>'Adani Enterprises'!AD419</f>
        <v>0</v>
      </c>
      <c r="AE419" s="48">
        <f>'Adani Enterprises'!AE419</f>
        <v>0</v>
      </c>
      <c r="AF419" s="48">
        <f>'Adani Enterprises'!AF419</f>
        <v>0</v>
      </c>
      <c r="AG419" s="48">
        <f>'Adani Enterprises'!AG419</f>
        <v>0</v>
      </c>
      <c r="AH419" s="48">
        <f>'Adani Enterprises'!AH419</f>
        <v>0</v>
      </c>
      <c r="AI419" s="48">
        <f>'Adani Enterprises'!AI419</f>
        <v>0</v>
      </c>
      <c r="AJ419" s="48">
        <f>'Adani Enterprises'!AJ419</f>
        <v>0</v>
      </c>
      <c r="AK419" s="48">
        <f>'Adani Enterprises'!AK419</f>
        <v>0</v>
      </c>
      <c r="AL419" s="48">
        <f>'Adani Enterprises'!AL419</f>
        <v>0</v>
      </c>
    </row>
    <row r="420" customHeight="1" spans="1:38">
      <c r="A420" s="48">
        <f>'Adani Enterprises'!A420</f>
        <v>0</v>
      </c>
      <c r="B420" s="48">
        <f>'Adani Enterprises'!B420</f>
        <v>0</v>
      </c>
      <c r="C420" s="48">
        <f>'Adani Enterprises'!C420</f>
        <v>0</v>
      </c>
      <c r="D420" s="48">
        <f>'Adani Enterprises'!D420</f>
        <v>0</v>
      </c>
      <c r="E420" s="48">
        <f>'Adani Enterprises'!E420</f>
        <v>0</v>
      </c>
      <c r="F420" s="48">
        <f>'Adani Enterprises'!F420</f>
        <v>0</v>
      </c>
      <c r="G420" s="48">
        <f>'Adani Enterprises'!G420</f>
        <v>0</v>
      </c>
      <c r="H420" s="48">
        <f>'Adani Enterprises'!H420</f>
        <v>0</v>
      </c>
      <c r="I420" s="48">
        <f>'Adani Enterprises'!I420</f>
        <v>0</v>
      </c>
      <c r="J420" s="48">
        <f>'Adani Enterprises'!J420</f>
        <v>0</v>
      </c>
      <c r="K420" s="48">
        <f>'Adani Enterprises'!K420</f>
        <v>0</v>
      </c>
      <c r="L420" s="48">
        <f>'Adani Enterprises'!L420</f>
        <v>0</v>
      </c>
      <c r="M420" s="48">
        <f>'Adani Enterprises'!M420</f>
        <v>0</v>
      </c>
      <c r="N420" s="48">
        <f>'Adani Enterprises'!N420</f>
        <v>0</v>
      </c>
      <c r="O420" s="48">
        <f>'Adani Enterprises'!O420</f>
        <v>0</v>
      </c>
      <c r="P420" s="48">
        <f>'Adani Enterprises'!P420</f>
        <v>0</v>
      </c>
      <c r="Q420" s="48">
        <f>'Adani Enterprises'!Q420</f>
        <v>0</v>
      </c>
      <c r="R420" s="48">
        <f>'Adani Enterprises'!R420</f>
        <v>0</v>
      </c>
      <c r="S420" s="48">
        <f>'Adani Enterprises'!S420</f>
        <v>0</v>
      </c>
      <c r="T420" s="48">
        <f>'Adani Enterprises'!T420</f>
        <v>0</v>
      </c>
      <c r="U420" s="48">
        <f>'Adani Enterprises'!U420</f>
        <v>0</v>
      </c>
      <c r="V420" s="48">
        <f>'Adani Enterprises'!V420</f>
        <v>0</v>
      </c>
      <c r="W420" s="48">
        <f>'Adani Enterprises'!W420</f>
        <v>0</v>
      </c>
      <c r="X420" s="48">
        <f>'Adani Enterprises'!X420</f>
        <v>0</v>
      </c>
      <c r="Y420" s="48">
        <f>'Adani Enterprises'!Y420</f>
        <v>0</v>
      </c>
      <c r="Z420" s="48">
        <f>'Adani Enterprises'!Z420</f>
        <v>0</v>
      </c>
      <c r="AA420" s="48">
        <f>'Adani Enterprises'!AA420</f>
        <v>0</v>
      </c>
      <c r="AB420" s="48">
        <f>'Adani Enterprises'!AB420</f>
        <v>0</v>
      </c>
      <c r="AC420" s="48">
        <f>'Adani Enterprises'!AC420</f>
        <v>0</v>
      </c>
      <c r="AD420" s="48">
        <f>'Adani Enterprises'!AD420</f>
        <v>0</v>
      </c>
      <c r="AE420" s="48">
        <f>'Adani Enterprises'!AE420</f>
        <v>0</v>
      </c>
      <c r="AF420" s="48">
        <f>'Adani Enterprises'!AF420</f>
        <v>0</v>
      </c>
      <c r="AG420" s="48">
        <f>'Adani Enterprises'!AG420</f>
        <v>0</v>
      </c>
      <c r="AH420" s="48">
        <f>'Adani Enterprises'!AH420</f>
        <v>0</v>
      </c>
      <c r="AI420" s="48">
        <f>'Adani Enterprises'!AI420</f>
        <v>0</v>
      </c>
      <c r="AJ420" s="48">
        <f>'Adani Enterprises'!AJ420</f>
        <v>0</v>
      </c>
      <c r="AK420" s="48">
        <f>'Adani Enterprises'!AK420</f>
        <v>0</v>
      </c>
      <c r="AL420" s="48">
        <f>'Adani Enterprises'!AL420</f>
        <v>0</v>
      </c>
    </row>
    <row r="421" customHeight="1" spans="1:38">
      <c r="A421" s="48">
        <f>'Adani Enterprises'!A421</f>
        <v>0</v>
      </c>
      <c r="B421" s="48">
        <f>'Adani Enterprises'!B421</f>
        <v>0</v>
      </c>
      <c r="C421" s="48">
        <f>'Adani Enterprises'!C421</f>
        <v>0</v>
      </c>
      <c r="D421" s="48">
        <f>'Adani Enterprises'!D421</f>
        <v>0</v>
      </c>
      <c r="E421" s="48">
        <f>'Adani Enterprises'!E421</f>
        <v>0</v>
      </c>
      <c r="F421" s="48">
        <f>'Adani Enterprises'!F421</f>
        <v>0</v>
      </c>
      <c r="G421" s="48">
        <f>'Adani Enterprises'!G421</f>
        <v>0</v>
      </c>
      <c r="H421" s="48">
        <f>'Adani Enterprises'!H421</f>
        <v>0</v>
      </c>
      <c r="I421" s="48">
        <f>'Adani Enterprises'!I421</f>
        <v>0</v>
      </c>
      <c r="J421" s="48">
        <f>'Adani Enterprises'!J421</f>
        <v>0</v>
      </c>
      <c r="K421" s="48">
        <f>'Adani Enterprises'!K421</f>
        <v>0</v>
      </c>
      <c r="L421" s="48">
        <f>'Adani Enterprises'!L421</f>
        <v>0</v>
      </c>
      <c r="M421" s="48">
        <f>'Adani Enterprises'!M421</f>
        <v>0</v>
      </c>
      <c r="N421" s="48">
        <f>'Adani Enterprises'!N421</f>
        <v>0</v>
      </c>
      <c r="O421" s="48">
        <f>'Adani Enterprises'!O421</f>
        <v>0</v>
      </c>
      <c r="P421" s="48">
        <f>'Adani Enterprises'!P421</f>
        <v>0</v>
      </c>
      <c r="Q421" s="48">
        <f>'Adani Enterprises'!Q421</f>
        <v>0</v>
      </c>
      <c r="R421" s="48">
        <f>'Adani Enterprises'!R421</f>
        <v>0</v>
      </c>
      <c r="S421" s="48">
        <f>'Adani Enterprises'!S421</f>
        <v>0</v>
      </c>
      <c r="T421" s="48">
        <f>'Adani Enterprises'!T421</f>
        <v>0</v>
      </c>
      <c r="U421" s="48">
        <f>'Adani Enterprises'!U421</f>
        <v>0</v>
      </c>
      <c r="V421" s="48">
        <f>'Adani Enterprises'!V421</f>
        <v>0</v>
      </c>
      <c r="W421" s="48">
        <f>'Adani Enterprises'!W421</f>
        <v>0</v>
      </c>
      <c r="X421" s="48">
        <f>'Adani Enterprises'!X421</f>
        <v>0</v>
      </c>
      <c r="Y421" s="48">
        <f>'Adani Enterprises'!Y421</f>
        <v>0</v>
      </c>
      <c r="Z421" s="48">
        <f>'Adani Enterprises'!Z421</f>
        <v>0</v>
      </c>
      <c r="AA421" s="48">
        <f>'Adani Enterprises'!AA421</f>
        <v>0</v>
      </c>
      <c r="AB421" s="48">
        <f>'Adani Enterprises'!AB421</f>
        <v>0</v>
      </c>
      <c r="AC421" s="48">
        <f>'Adani Enterprises'!AC421</f>
        <v>0</v>
      </c>
      <c r="AD421" s="48">
        <f>'Adani Enterprises'!AD421</f>
        <v>0</v>
      </c>
      <c r="AE421" s="48">
        <f>'Adani Enterprises'!AE421</f>
        <v>0</v>
      </c>
      <c r="AF421" s="48">
        <f>'Adani Enterprises'!AF421</f>
        <v>0</v>
      </c>
      <c r="AG421" s="48">
        <f>'Adani Enterprises'!AG421</f>
        <v>0</v>
      </c>
      <c r="AH421" s="48">
        <f>'Adani Enterprises'!AH421</f>
        <v>0</v>
      </c>
      <c r="AI421" s="48">
        <f>'Adani Enterprises'!AI421</f>
        <v>0</v>
      </c>
      <c r="AJ421" s="48">
        <f>'Adani Enterprises'!AJ421</f>
        <v>0</v>
      </c>
      <c r="AK421" s="48">
        <f>'Adani Enterprises'!AK421</f>
        <v>0</v>
      </c>
      <c r="AL421" s="48">
        <f>'Adani Enterprises'!AL421</f>
        <v>0</v>
      </c>
    </row>
    <row r="422" customHeight="1" spans="1:38">
      <c r="A422" s="48">
        <f>'Adani Enterprises'!A422</f>
        <v>0</v>
      </c>
      <c r="B422" s="48">
        <f>'Adani Enterprises'!B422</f>
        <v>0</v>
      </c>
      <c r="C422" s="48">
        <f>'Adani Enterprises'!C422</f>
        <v>0</v>
      </c>
      <c r="D422" s="48">
        <f>'Adani Enterprises'!D422</f>
        <v>0</v>
      </c>
      <c r="E422" s="48">
        <f>'Adani Enterprises'!E422</f>
        <v>0</v>
      </c>
      <c r="F422" s="48">
        <f>'Adani Enterprises'!F422</f>
        <v>0</v>
      </c>
      <c r="G422" s="48">
        <f>'Adani Enterprises'!G422</f>
        <v>0</v>
      </c>
      <c r="H422" s="48">
        <f>'Adani Enterprises'!H422</f>
        <v>0</v>
      </c>
      <c r="I422" s="48">
        <f>'Adani Enterprises'!I422</f>
        <v>0</v>
      </c>
      <c r="J422" s="48">
        <f>'Adani Enterprises'!J422</f>
        <v>0</v>
      </c>
      <c r="K422" s="48">
        <f>'Adani Enterprises'!K422</f>
        <v>0</v>
      </c>
      <c r="L422" s="48">
        <f>'Adani Enterprises'!L422</f>
        <v>0</v>
      </c>
      <c r="M422" s="48">
        <f>'Adani Enterprises'!M422</f>
        <v>0</v>
      </c>
      <c r="N422" s="48">
        <f>'Adani Enterprises'!N422</f>
        <v>0</v>
      </c>
      <c r="O422" s="48">
        <f>'Adani Enterprises'!O422</f>
        <v>0</v>
      </c>
      <c r="P422" s="48">
        <f>'Adani Enterprises'!P422</f>
        <v>0</v>
      </c>
      <c r="Q422" s="48">
        <f>'Adani Enterprises'!Q422</f>
        <v>0</v>
      </c>
      <c r="R422" s="48">
        <f>'Adani Enterprises'!R422</f>
        <v>0</v>
      </c>
      <c r="S422" s="48">
        <f>'Adani Enterprises'!S422</f>
        <v>0</v>
      </c>
      <c r="T422" s="48">
        <f>'Adani Enterprises'!T422</f>
        <v>0</v>
      </c>
      <c r="U422" s="48">
        <f>'Adani Enterprises'!U422</f>
        <v>0</v>
      </c>
      <c r="V422" s="48">
        <f>'Adani Enterprises'!V422</f>
        <v>0</v>
      </c>
      <c r="W422" s="48">
        <f>'Adani Enterprises'!W422</f>
        <v>0</v>
      </c>
      <c r="X422" s="48">
        <f>'Adani Enterprises'!X422</f>
        <v>0</v>
      </c>
      <c r="Y422" s="48">
        <f>'Adani Enterprises'!Y422</f>
        <v>0</v>
      </c>
      <c r="Z422" s="48">
        <f>'Adani Enterprises'!Z422</f>
        <v>0</v>
      </c>
      <c r="AA422" s="48">
        <f>'Adani Enterprises'!AA422</f>
        <v>0</v>
      </c>
      <c r="AB422" s="48">
        <f>'Adani Enterprises'!AB422</f>
        <v>0</v>
      </c>
      <c r="AC422" s="48">
        <f>'Adani Enterprises'!AC422</f>
        <v>0</v>
      </c>
      <c r="AD422" s="48">
        <f>'Adani Enterprises'!AD422</f>
        <v>0</v>
      </c>
      <c r="AE422" s="48">
        <f>'Adani Enterprises'!AE422</f>
        <v>0</v>
      </c>
      <c r="AF422" s="48">
        <f>'Adani Enterprises'!AF422</f>
        <v>0</v>
      </c>
      <c r="AG422" s="48">
        <f>'Adani Enterprises'!AG422</f>
        <v>0</v>
      </c>
      <c r="AH422" s="48">
        <f>'Adani Enterprises'!AH422</f>
        <v>0</v>
      </c>
      <c r="AI422" s="48">
        <f>'Adani Enterprises'!AI422</f>
        <v>0</v>
      </c>
      <c r="AJ422" s="48">
        <f>'Adani Enterprises'!AJ422</f>
        <v>0</v>
      </c>
      <c r="AK422" s="48">
        <f>'Adani Enterprises'!AK422</f>
        <v>0</v>
      </c>
      <c r="AL422" s="48">
        <f>'Adani Enterprises'!AL422</f>
        <v>0</v>
      </c>
    </row>
    <row r="423" customHeight="1" spans="1:38">
      <c r="A423" s="48">
        <f>'Adani Enterprises'!A423</f>
        <v>0</v>
      </c>
      <c r="B423" s="48">
        <f>'Adani Enterprises'!B423</f>
        <v>0</v>
      </c>
      <c r="C423" s="48">
        <f>'Adani Enterprises'!C423</f>
        <v>0</v>
      </c>
      <c r="D423" s="48">
        <f>'Adani Enterprises'!D423</f>
        <v>0</v>
      </c>
      <c r="E423" s="48">
        <f>'Adani Enterprises'!E423</f>
        <v>0</v>
      </c>
      <c r="F423" s="48">
        <f>'Adani Enterprises'!F423</f>
        <v>0</v>
      </c>
      <c r="G423" s="48">
        <f>'Adani Enterprises'!G423</f>
        <v>0</v>
      </c>
      <c r="H423" s="48">
        <f>'Adani Enterprises'!H423</f>
        <v>0</v>
      </c>
      <c r="I423" s="48">
        <f>'Adani Enterprises'!I423</f>
        <v>0</v>
      </c>
      <c r="J423" s="48">
        <f>'Adani Enterprises'!J423</f>
        <v>0</v>
      </c>
      <c r="K423" s="48">
        <f>'Adani Enterprises'!K423</f>
        <v>0</v>
      </c>
      <c r="L423" s="48">
        <f>'Adani Enterprises'!L423</f>
        <v>0</v>
      </c>
      <c r="M423" s="48">
        <f>'Adani Enterprises'!M423</f>
        <v>0</v>
      </c>
      <c r="N423" s="48">
        <f>'Adani Enterprises'!N423</f>
        <v>0</v>
      </c>
      <c r="O423" s="48">
        <f>'Adani Enterprises'!O423</f>
        <v>0</v>
      </c>
      <c r="P423" s="48">
        <f>'Adani Enterprises'!P423</f>
        <v>0</v>
      </c>
      <c r="Q423" s="48">
        <f>'Adani Enterprises'!Q423</f>
        <v>0</v>
      </c>
      <c r="R423" s="48">
        <f>'Adani Enterprises'!R423</f>
        <v>0</v>
      </c>
      <c r="S423" s="48">
        <f>'Adani Enterprises'!S423</f>
        <v>0</v>
      </c>
      <c r="T423" s="48">
        <f>'Adani Enterprises'!T423</f>
        <v>0</v>
      </c>
      <c r="U423" s="48">
        <f>'Adani Enterprises'!U423</f>
        <v>0</v>
      </c>
      <c r="V423" s="48">
        <f>'Adani Enterprises'!V423</f>
        <v>0</v>
      </c>
      <c r="W423" s="48">
        <f>'Adani Enterprises'!W423</f>
        <v>0</v>
      </c>
      <c r="X423" s="48">
        <f>'Adani Enterprises'!X423</f>
        <v>0</v>
      </c>
      <c r="Y423" s="48">
        <f>'Adani Enterprises'!Y423</f>
        <v>0</v>
      </c>
      <c r="Z423" s="48">
        <f>'Adani Enterprises'!Z423</f>
        <v>0</v>
      </c>
      <c r="AA423" s="48">
        <f>'Adani Enterprises'!AA423</f>
        <v>0</v>
      </c>
      <c r="AB423" s="48">
        <f>'Adani Enterprises'!AB423</f>
        <v>0</v>
      </c>
      <c r="AC423" s="48">
        <f>'Adani Enterprises'!AC423</f>
        <v>0</v>
      </c>
      <c r="AD423" s="48">
        <f>'Adani Enterprises'!AD423</f>
        <v>0</v>
      </c>
      <c r="AE423" s="48">
        <f>'Adani Enterprises'!AE423</f>
        <v>0</v>
      </c>
      <c r="AF423" s="48">
        <f>'Adani Enterprises'!AF423</f>
        <v>0</v>
      </c>
      <c r="AG423" s="48">
        <f>'Adani Enterprises'!AG423</f>
        <v>0</v>
      </c>
      <c r="AH423" s="48">
        <f>'Adani Enterprises'!AH423</f>
        <v>0</v>
      </c>
      <c r="AI423" s="48">
        <f>'Adani Enterprises'!AI423</f>
        <v>0</v>
      </c>
      <c r="AJ423" s="48">
        <f>'Adani Enterprises'!AJ423</f>
        <v>0</v>
      </c>
      <c r="AK423" s="48">
        <f>'Adani Enterprises'!AK423</f>
        <v>0</v>
      </c>
      <c r="AL423" s="48">
        <f>'Adani Enterprises'!AL423</f>
        <v>0</v>
      </c>
    </row>
    <row r="424" customHeight="1" spans="1:38">
      <c r="A424" s="48">
        <f>'Adani Enterprises'!A424</f>
        <v>0</v>
      </c>
      <c r="B424" s="48">
        <f>'Adani Enterprises'!B424</f>
        <v>0</v>
      </c>
      <c r="C424" s="48">
        <f>'Adani Enterprises'!C424</f>
        <v>0</v>
      </c>
      <c r="D424" s="48">
        <f>'Adani Enterprises'!D424</f>
        <v>0</v>
      </c>
      <c r="E424" s="48">
        <f>'Adani Enterprises'!E424</f>
        <v>0</v>
      </c>
      <c r="F424" s="48">
        <f>'Adani Enterprises'!F424</f>
        <v>0</v>
      </c>
      <c r="G424" s="48">
        <f>'Adani Enterprises'!G424</f>
        <v>0</v>
      </c>
      <c r="H424" s="48">
        <f>'Adani Enterprises'!H424</f>
        <v>0</v>
      </c>
      <c r="I424" s="48">
        <f>'Adani Enterprises'!I424</f>
        <v>0</v>
      </c>
      <c r="J424" s="48">
        <f>'Adani Enterprises'!J424</f>
        <v>0</v>
      </c>
      <c r="K424" s="48">
        <f>'Adani Enterprises'!K424</f>
        <v>0</v>
      </c>
      <c r="L424" s="48">
        <f>'Adani Enterprises'!L424</f>
        <v>0</v>
      </c>
      <c r="M424" s="48">
        <f>'Adani Enterprises'!M424</f>
        <v>0</v>
      </c>
      <c r="N424" s="48">
        <f>'Adani Enterprises'!N424</f>
        <v>0</v>
      </c>
      <c r="O424" s="48">
        <f>'Adani Enterprises'!O424</f>
        <v>0</v>
      </c>
      <c r="P424" s="48">
        <f>'Adani Enterprises'!P424</f>
        <v>0</v>
      </c>
      <c r="Q424" s="48">
        <f>'Adani Enterprises'!Q424</f>
        <v>0</v>
      </c>
      <c r="R424" s="48">
        <f>'Adani Enterprises'!R424</f>
        <v>0</v>
      </c>
      <c r="S424" s="48">
        <f>'Adani Enterprises'!S424</f>
        <v>0</v>
      </c>
      <c r="T424" s="48">
        <f>'Adani Enterprises'!T424</f>
        <v>0</v>
      </c>
      <c r="U424" s="48">
        <f>'Adani Enterprises'!U424</f>
        <v>0</v>
      </c>
      <c r="V424" s="48">
        <f>'Adani Enterprises'!V424</f>
        <v>0</v>
      </c>
      <c r="W424" s="48">
        <f>'Adani Enterprises'!W424</f>
        <v>0</v>
      </c>
      <c r="X424" s="48">
        <f>'Adani Enterprises'!X424</f>
        <v>0</v>
      </c>
      <c r="Y424" s="48">
        <f>'Adani Enterprises'!Y424</f>
        <v>0</v>
      </c>
      <c r="Z424" s="48">
        <f>'Adani Enterprises'!Z424</f>
        <v>0</v>
      </c>
      <c r="AA424" s="48">
        <f>'Adani Enterprises'!AA424</f>
        <v>0</v>
      </c>
      <c r="AB424" s="48">
        <f>'Adani Enterprises'!AB424</f>
        <v>0</v>
      </c>
      <c r="AC424" s="48">
        <f>'Adani Enterprises'!AC424</f>
        <v>0</v>
      </c>
      <c r="AD424" s="48">
        <f>'Adani Enterprises'!AD424</f>
        <v>0</v>
      </c>
      <c r="AE424" s="48">
        <f>'Adani Enterprises'!AE424</f>
        <v>0</v>
      </c>
      <c r="AF424" s="48">
        <f>'Adani Enterprises'!AF424</f>
        <v>0</v>
      </c>
      <c r="AG424" s="48">
        <f>'Adani Enterprises'!AG424</f>
        <v>0</v>
      </c>
      <c r="AH424" s="48">
        <f>'Adani Enterprises'!AH424</f>
        <v>0</v>
      </c>
      <c r="AI424" s="48">
        <f>'Adani Enterprises'!AI424</f>
        <v>0</v>
      </c>
      <c r="AJ424" s="48">
        <f>'Adani Enterprises'!AJ424</f>
        <v>0</v>
      </c>
      <c r="AK424" s="48">
        <f>'Adani Enterprises'!AK424</f>
        <v>0</v>
      </c>
      <c r="AL424" s="48">
        <f>'Adani Enterprises'!AL424</f>
        <v>0</v>
      </c>
    </row>
    <row r="425" customHeight="1" spans="1:38">
      <c r="A425" s="48">
        <f>'Adani Enterprises'!A425</f>
        <v>0</v>
      </c>
      <c r="B425" s="48">
        <f>'Adani Enterprises'!B425</f>
        <v>0</v>
      </c>
      <c r="C425" s="48">
        <f>'Adani Enterprises'!C425</f>
        <v>0</v>
      </c>
      <c r="D425" s="48">
        <f>'Adani Enterprises'!D425</f>
        <v>0</v>
      </c>
      <c r="E425" s="48">
        <f>'Adani Enterprises'!E425</f>
        <v>0</v>
      </c>
      <c r="F425" s="48">
        <f>'Adani Enterprises'!F425</f>
        <v>0</v>
      </c>
      <c r="G425" s="48">
        <f>'Adani Enterprises'!G425</f>
        <v>0</v>
      </c>
      <c r="H425" s="48">
        <f>'Adani Enterprises'!H425</f>
        <v>0</v>
      </c>
      <c r="I425" s="48">
        <f>'Adani Enterprises'!I425</f>
        <v>0</v>
      </c>
      <c r="J425" s="48">
        <f>'Adani Enterprises'!J425</f>
        <v>0</v>
      </c>
      <c r="K425" s="48">
        <f>'Adani Enterprises'!K425</f>
        <v>0</v>
      </c>
      <c r="L425" s="48">
        <f>'Adani Enterprises'!L425</f>
        <v>0</v>
      </c>
      <c r="M425" s="48">
        <f>'Adani Enterprises'!M425</f>
        <v>0</v>
      </c>
      <c r="N425" s="48">
        <f>'Adani Enterprises'!N425</f>
        <v>0</v>
      </c>
      <c r="O425" s="48">
        <f>'Adani Enterprises'!O425</f>
        <v>0</v>
      </c>
      <c r="P425" s="48">
        <f>'Adani Enterprises'!P425</f>
        <v>0</v>
      </c>
      <c r="Q425" s="48">
        <f>'Adani Enterprises'!Q425</f>
        <v>0</v>
      </c>
      <c r="R425" s="48">
        <f>'Adani Enterprises'!R425</f>
        <v>0</v>
      </c>
      <c r="S425" s="48">
        <f>'Adani Enterprises'!S425</f>
        <v>0</v>
      </c>
      <c r="T425" s="48">
        <f>'Adani Enterprises'!T425</f>
        <v>0</v>
      </c>
      <c r="U425" s="48">
        <f>'Adani Enterprises'!U425</f>
        <v>0</v>
      </c>
      <c r="V425" s="48">
        <f>'Adani Enterprises'!V425</f>
        <v>0</v>
      </c>
      <c r="W425" s="48">
        <f>'Adani Enterprises'!W425</f>
        <v>0</v>
      </c>
      <c r="X425" s="48">
        <f>'Adani Enterprises'!X425</f>
        <v>0</v>
      </c>
      <c r="Y425" s="48">
        <f>'Adani Enterprises'!Y425</f>
        <v>0</v>
      </c>
      <c r="Z425" s="48">
        <f>'Adani Enterprises'!Z425</f>
        <v>0</v>
      </c>
      <c r="AA425" s="48">
        <f>'Adani Enterprises'!AA425</f>
        <v>0</v>
      </c>
      <c r="AB425" s="48">
        <f>'Adani Enterprises'!AB425</f>
        <v>0</v>
      </c>
      <c r="AC425" s="48">
        <f>'Adani Enterprises'!AC425</f>
        <v>0</v>
      </c>
      <c r="AD425" s="48">
        <f>'Adani Enterprises'!AD425</f>
        <v>0</v>
      </c>
      <c r="AE425" s="48">
        <f>'Adani Enterprises'!AE425</f>
        <v>0</v>
      </c>
      <c r="AF425" s="48">
        <f>'Adani Enterprises'!AF425</f>
        <v>0</v>
      </c>
      <c r="AG425" s="48">
        <f>'Adani Enterprises'!AG425</f>
        <v>0</v>
      </c>
      <c r="AH425" s="48">
        <f>'Adani Enterprises'!AH425</f>
        <v>0</v>
      </c>
      <c r="AI425" s="48">
        <f>'Adani Enterprises'!AI425</f>
        <v>0</v>
      </c>
      <c r="AJ425" s="48">
        <f>'Adani Enterprises'!AJ425</f>
        <v>0</v>
      </c>
      <c r="AK425" s="48">
        <f>'Adani Enterprises'!AK425</f>
        <v>0</v>
      </c>
      <c r="AL425" s="48">
        <f>'Adani Enterprises'!AL425</f>
        <v>0</v>
      </c>
    </row>
    <row r="426" customHeight="1" spans="1:38">
      <c r="A426" s="48">
        <f>'Adani Enterprises'!A426</f>
        <v>0</v>
      </c>
      <c r="B426" s="48">
        <f>'Adani Enterprises'!B426</f>
        <v>0</v>
      </c>
      <c r="C426" s="48">
        <f>'Adani Enterprises'!C426</f>
        <v>0</v>
      </c>
      <c r="D426" s="48">
        <f>'Adani Enterprises'!D426</f>
        <v>0</v>
      </c>
      <c r="E426" s="48">
        <f>'Adani Enterprises'!E426</f>
        <v>0</v>
      </c>
      <c r="F426" s="48">
        <f>'Adani Enterprises'!F426</f>
        <v>0</v>
      </c>
      <c r="G426" s="48">
        <f>'Adani Enterprises'!G426</f>
        <v>0</v>
      </c>
      <c r="H426" s="48">
        <f>'Adani Enterprises'!H426</f>
        <v>0</v>
      </c>
      <c r="I426" s="48">
        <f>'Adani Enterprises'!I426</f>
        <v>0</v>
      </c>
      <c r="J426" s="48">
        <f>'Adani Enterprises'!J426</f>
        <v>0</v>
      </c>
      <c r="K426" s="48">
        <f>'Adani Enterprises'!K426</f>
        <v>0</v>
      </c>
      <c r="L426" s="48">
        <f>'Adani Enterprises'!L426</f>
        <v>0</v>
      </c>
      <c r="M426" s="48">
        <f>'Adani Enterprises'!M426</f>
        <v>0</v>
      </c>
      <c r="N426" s="48">
        <f>'Adani Enterprises'!N426</f>
        <v>0</v>
      </c>
      <c r="O426" s="48">
        <f>'Adani Enterprises'!O426</f>
        <v>0</v>
      </c>
      <c r="P426" s="48">
        <f>'Adani Enterprises'!P426</f>
        <v>0</v>
      </c>
      <c r="Q426" s="48">
        <f>'Adani Enterprises'!Q426</f>
        <v>0</v>
      </c>
      <c r="R426" s="48">
        <f>'Adani Enterprises'!R426</f>
        <v>0</v>
      </c>
      <c r="S426" s="48">
        <f>'Adani Enterprises'!S426</f>
        <v>0</v>
      </c>
      <c r="T426" s="48">
        <f>'Adani Enterprises'!T426</f>
        <v>0</v>
      </c>
      <c r="U426" s="48">
        <f>'Adani Enterprises'!U426</f>
        <v>0</v>
      </c>
      <c r="V426" s="48">
        <f>'Adani Enterprises'!V426</f>
        <v>0</v>
      </c>
      <c r="W426" s="48">
        <f>'Adani Enterprises'!W426</f>
        <v>0</v>
      </c>
      <c r="X426" s="48">
        <f>'Adani Enterprises'!X426</f>
        <v>0</v>
      </c>
      <c r="Y426" s="48">
        <f>'Adani Enterprises'!Y426</f>
        <v>0</v>
      </c>
      <c r="Z426" s="48">
        <f>'Adani Enterprises'!Z426</f>
        <v>0</v>
      </c>
      <c r="AA426" s="48">
        <f>'Adani Enterprises'!AA426</f>
        <v>0</v>
      </c>
      <c r="AB426" s="48">
        <f>'Adani Enterprises'!AB426</f>
        <v>0</v>
      </c>
      <c r="AC426" s="48">
        <f>'Adani Enterprises'!AC426</f>
        <v>0</v>
      </c>
      <c r="AD426" s="48">
        <f>'Adani Enterprises'!AD426</f>
        <v>0</v>
      </c>
      <c r="AE426" s="48">
        <f>'Adani Enterprises'!AE426</f>
        <v>0</v>
      </c>
      <c r="AF426" s="48">
        <f>'Adani Enterprises'!AF426</f>
        <v>0</v>
      </c>
      <c r="AG426" s="48">
        <f>'Adani Enterprises'!AG426</f>
        <v>0</v>
      </c>
      <c r="AH426" s="48">
        <f>'Adani Enterprises'!AH426</f>
        <v>0</v>
      </c>
      <c r="AI426" s="48">
        <f>'Adani Enterprises'!AI426</f>
        <v>0</v>
      </c>
      <c r="AJ426" s="48">
        <f>'Adani Enterprises'!AJ426</f>
        <v>0</v>
      </c>
      <c r="AK426" s="48">
        <f>'Adani Enterprises'!AK426</f>
        <v>0</v>
      </c>
      <c r="AL426" s="48">
        <f>'Adani Enterprises'!AL426</f>
        <v>0</v>
      </c>
    </row>
    <row r="427" customHeight="1" spans="1:38">
      <c r="A427" s="48">
        <f>'Adani Enterprises'!A427</f>
        <v>0</v>
      </c>
      <c r="B427" s="48">
        <f>'Adani Enterprises'!B427</f>
        <v>0</v>
      </c>
      <c r="C427" s="48">
        <f>'Adani Enterprises'!C427</f>
        <v>0</v>
      </c>
      <c r="D427" s="48">
        <f>'Adani Enterprises'!D427</f>
        <v>0</v>
      </c>
      <c r="E427" s="48">
        <f>'Adani Enterprises'!E427</f>
        <v>0</v>
      </c>
      <c r="F427" s="48">
        <f>'Adani Enterprises'!F427</f>
        <v>0</v>
      </c>
      <c r="G427" s="48">
        <f>'Adani Enterprises'!G427</f>
        <v>0</v>
      </c>
      <c r="H427" s="48">
        <f>'Adani Enterprises'!H427</f>
        <v>0</v>
      </c>
      <c r="I427" s="48">
        <f>'Adani Enterprises'!I427</f>
        <v>0</v>
      </c>
      <c r="J427" s="48">
        <f>'Adani Enterprises'!J427</f>
        <v>0</v>
      </c>
      <c r="K427" s="48">
        <f>'Adani Enterprises'!K427</f>
        <v>0</v>
      </c>
      <c r="L427" s="48">
        <f>'Adani Enterprises'!L427</f>
        <v>0</v>
      </c>
      <c r="M427" s="48">
        <f>'Adani Enterprises'!M427</f>
        <v>0</v>
      </c>
      <c r="N427" s="48">
        <f>'Adani Enterprises'!N427</f>
        <v>0</v>
      </c>
      <c r="O427" s="48">
        <f>'Adani Enterprises'!O427</f>
        <v>0</v>
      </c>
      <c r="P427" s="48">
        <f>'Adani Enterprises'!P427</f>
        <v>0</v>
      </c>
      <c r="Q427" s="48">
        <f>'Adani Enterprises'!Q427</f>
        <v>0</v>
      </c>
      <c r="R427" s="48">
        <f>'Adani Enterprises'!R427</f>
        <v>0</v>
      </c>
      <c r="S427" s="48">
        <f>'Adani Enterprises'!S427</f>
        <v>0</v>
      </c>
      <c r="T427" s="48">
        <f>'Adani Enterprises'!T427</f>
        <v>0</v>
      </c>
      <c r="U427" s="48">
        <f>'Adani Enterprises'!U427</f>
        <v>0</v>
      </c>
      <c r="V427" s="48">
        <f>'Adani Enterprises'!V427</f>
        <v>0</v>
      </c>
      <c r="W427" s="48">
        <f>'Adani Enterprises'!W427</f>
        <v>0</v>
      </c>
      <c r="X427" s="48">
        <f>'Adani Enterprises'!X427</f>
        <v>0</v>
      </c>
      <c r="Y427" s="48">
        <f>'Adani Enterprises'!Y427</f>
        <v>0</v>
      </c>
      <c r="Z427" s="48">
        <f>'Adani Enterprises'!Z427</f>
        <v>0</v>
      </c>
      <c r="AA427" s="48">
        <f>'Adani Enterprises'!AA427</f>
        <v>0</v>
      </c>
      <c r="AB427" s="48">
        <f>'Adani Enterprises'!AB427</f>
        <v>0</v>
      </c>
      <c r="AC427" s="48">
        <f>'Adani Enterprises'!AC427</f>
        <v>0</v>
      </c>
      <c r="AD427" s="48">
        <f>'Adani Enterprises'!AD427</f>
        <v>0</v>
      </c>
      <c r="AE427" s="48">
        <f>'Adani Enterprises'!AE427</f>
        <v>0</v>
      </c>
      <c r="AF427" s="48">
        <f>'Adani Enterprises'!AF427</f>
        <v>0</v>
      </c>
      <c r="AG427" s="48">
        <f>'Adani Enterprises'!AG427</f>
        <v>0</v>
      </c>
      <c r="AH427" s="48">
        <f>'Adani Enterprises'!AH427</f>
        <v>0</v>
      </c>
      <c r="AI427" s="48">
        <f>'Adani Enterprises'!AI427</f>
        <v>0</v>
      </c>
      <c r="AJ427" s="48">
        <f>'Adani Enterprises'!AJ427</f>
        <v>0</v>
      </c>
      <c r="AK427" s="48">
        <f>'Adani Enterprises'!AK427</f>
        <v>0</v>
      </c>
      <c r="AL427" s="48">
        <f>'Adani Enterprises'!AL427</f>
        <v>0</v>
      </c>
    </row>
    <row r="428" customHeight="1" spans="1:38">
      <c r="A428" s="48">
        <f>'Adani Enterprises'!A428</f>
        <v>0</v>
      </c>
      <c r="B428" s="48">
        <f>'Adani Enterprises'!B428</f>
        <v>0</v>
      </c>
      <c r="C428" s="48">
        <f>'Adani Enterprises'!C428</f>
        <v>0</v>
      </c>
      <c r="D428" s="48">
        <f>'Adani Enterprises'!D428</f>
        <v>0</v>
      </c>
      <c r="E428" s="48">
        <f>'Adani Enterprises'!E428</f>
        <v>0</v>
      </c>
      <c r="F428" s="48">
        <f>'Adani Enterprises'!F428</f>
        <v>0</v>
      </c>
      <c r="G428" s="48">
        <f>'Adani Enterprises'!G428</f>
        <v>0</v>
      </c>
      <c r="H428" s="48">
        <f>'Adani Enterprises'!H428</f>
        <v>0</v>
      </c>
      <c r="I428" s="48">
        <f>'Adani Enterprises'!I428</f>
        <v>0</v>
      </c>
      <c r="J428" s="48">
        <f>'Adani Enterprises'!J428</f>
        <v>0</v>
      </c>
      <c r="K428" s="48">
        <f>'Adani Enterprises'!K428</f>
        <v>0</v>
      </c>
      <c r="L428" s="48">
        <f>'Adani Enterprises'!L428</f>
        <v>0</v>
      </c>
      <c r="M428" s="48">
        <f>'Adani Enterprises'!M428</f>
        <v>0</v>
      </c>
      <c r="N428" s="48">
        <f>'Adani Enterprises'!N428</f>
        <v>0</v>
      </c>
      <c r="O428" s="48">
        <f>'Adani Enterprises'!O428</f>
        <v>0</v>
      </c>
      <c r="P428" s="48">
        <f>'Adani Enterprises'!P428</f>
        <v>0</v>
      </c>
      <c r="Q428" s="48">
        <f>'Adani Enterprises'!Q428</f>
        <v>0</v>
      </c>
      <c r="R428" s="48">
        <f>'Adani Enterprises'!R428</f>
        <v>0</v>
      </c>
      <c r="S428" s="48">
        <f>'Adani Enterprises'!S428</f>
        <v>0</v>
      </c>
      <c r="T428" s="48">
        <f>'Adani Enterprises'!T428</f>
        <v>0</v>
      </c>
      <c r="U428" s="48">
        <f>'Adani Enterprises'!U428</f>
        <v>0</v>
      </c>
      <c r="V428" s="48">
        <f>'Adani Enterprises'!V428</f>
        <v>0</v>
      </c>
      <c r="W428" s="48">
        <f>'Adani Enterprises'!W428</f>
        <v>0</v>
      </c>
      <c r="X428" s="48">
        <f>'Adani Enterprises'!X428</f>
        <v>0</v>
      </c>
      <c r="Y428" s="48">
        <f>'Adani Enterprises'!Y428</f>
        <v>0</v>
      </c>
      <c r="Z428" s="48">
        <f>'Adani Enterprises'!Z428</f>
        <v>0</v>
      </c>
      <c r="AA428" s="48">
        <f>'Adani Enterprises'!AA428</f>
        <v>0</v>
      </c>
      <c r="AB428" s="48">
        <f>'Adani Enterprises'!AB428</f>
        <v>0</v>
      </c>
      <c r="AC428" s="48">
        <f>'Adani Enterprises'!AC428</f>
        <v>0</v>
      </c>
      <c r="AD428" s="48">
        <f>'Adani Enterprises'!AD428</f>
        <v>0</v>
      </c>
      <c r="AE428" s="48">
        <f>'Adani Enterprises'!AE428</f>
        <v>0</v>
      </c>
      <c r="AF428" s="48">
        <f>'Adani Enterprises'!AF428</f>
        <v>0</v>
      </c>
      <c r="AG428" s="48">
        <f>'Adani Enterprises'!AG428</f>
        <v>0</v>
      </c>
      <c r="AH428" s="48">
        <f>'Adani Enterprises'!AH428</f>
        <v>0</v>
      </c>
      <c r="AI428" s="48">
        <f>'Adani Enterprises'!AI428</f>
        <v>0</v>
      </c>
      <c r="AJ428" s="48">
        <f>'Adani Enterprises'!AJ428</f>
        <v>0</v>
      </c>
      <c r="AK428" s="48">
        <f>'Adani Enterprises'!AK428</f>
        <v>0</v>
      </c>
      <c r="AL428" s="48">
        <f>'Adani Enterprises'!AL428</f>
        <v>0</v>
      </c>
    </row>
    <row r="429" customHeight="1" spans="1:38">
      <c r="A429" s="48">
        <f>'Adani Enterprises'!A429</f>
        <v>0</v>
      </c>
      <c r="B429" s="48">
        <f>'Adani Enterprises'!B429</f>
        <v>0</v>
      </c>
      <c r="C429" s="48">
        <f>'Adani Enterprises'!C429</f>
        <v>0</v>
      </c>
      <c r="D429" s="48">
        <f>'Adani Enterprises'!D429</f>
        <v>0</v>
      </c>
      <c r="E429" s="48">
        <f>'Adani Enterprises'!E429</f>
        <v>0</v>
      </c>
      <c r="F429" s="48">
        <f>'Adani Enterprises'!F429</f>
        <v>0</v>
      </c>
      <c r="G429" s="48">
        <f>'Adani Enterprises'!G429</f>
        <v>0</v>
      </c>
      <c r="H429" s="48">
        <f>'Adani Enterprises'!H429</f>
        <v>0</v>
      </c>
      <c r="I429" s="48">
        <f>'Adani Enterprises'!I429</f>
        <v>0</v>
      </c>
      <c r="J429" s="48">
        <f>'Adani Enterprises'!J429</f>
        <v>0</v>
      </c>
      <c r="K429" s="48">
        <f>'Adani Enterprises'!K429</f>
        <v>0</v>
      </c>
      <c r="L429" s="48">
        <f>'Adani Enterprises'!L429</f>
        <v>0</v>
      </c>
      <c r="M429" s="48">
        <f>'Adani Enterprises'!M429</f>
        <v>0</v>
      </c>
      <c r="N429" s="48">
        <f>'Adani Enterprises'!N429</f>
        <v>0</v>
      </c>
      <c r="O429" s="48">
        <f>'Adani Enterprises'!O429</f>
        <v>0</v>
      </c>
      <c r="P429" s="48">
        <f>'Adani Enterprises'!P429</f>
        <v>0</v>
      </c>
      <c r="Q429" s="48">
        <f>'Adani Enterprises'!Q429</f>
        <v>0</v>
      </c>
      <c r="R429" s="48">
        <f>'Adani Enterprises'!R429</f>
        <v>0</v>
      </c>
      <c r="S429" s="48">
        <f>'Adani Enterprises'!S429</f>
        <v>0</v>
      </c>
      <c r="T429" s="48">
        <f>'Adani Enterprises'!T429</f>
        <v>0</v>
      </c>
      <c r="U429" s="48">
        <f>'Adani Enterprises'!U429</f>
        <v>0</v>
      </c>
      <c r="V429" s="48">
        <f>'Adani Enterprises'!V429</f>
        <v>0</v>
      </c>
      <c r="W429" s="48">
        <f>'Adani Enterprises'!W429</f>
        <v>0</v>
      </c>
      <c r="X429" s="48">
        <f>'Adani Enterprises'!X429</f>
        <v>0</v>
      </c>
      <c r="Y429" s="48">
        <f>'Adani Enterprises'!Y429</f>
        <v>0</v>
      </c>
      <c r="Z429" s="48">
        <f>'Adani Enterprises'!Z429</f>
        <v>0</v>
      </c>
      <c r="AA429" s="48">
        <f>'Adani Enterprises'!AA429</f>
        <v>0</v>
      </c>
      <c r="AB429" s="48">
        <f>'Adani Enterprises'!AB429</f>
        <v>0</v>
      </c>
      <c r="AC429" s="48">
        <f>'Adani Enterprises'!AC429</f>
        <v>0</v>
      </c>
      <c r="AD429" s="48">
        <f>'Adani Enterprises'!AD429</f>
        <v>0</v>
      </c>
      <c r="AE429" s="48">
        <f>'Adani Enterprises'!AE429</f>
        <v>0</v>
      </c>
      <c r="AF429" s="48">
        <f>'Adani Enterprises'!AF429</f>
        <v>0</v>
      </c>
      <c r="AG429" s="48">
        <f>'Adani Enterprises'!AG429</f>
        <v>0</v>
      </c>
      <c r="AH429" s="48">
        <f>'Adani Enterprises'!AH429</f>
        <v>0</v>
      </c>
      <c r="AI429" s="48">
        <f>'Adani Enterprises'!AI429</f>
        <v>0</v>
      </c>
      <c r="AJ429" s="48">
        <f>'Adani Enterprises'!AJ429</f>
        <v>0</v>
      </c>
      <c r="AK429" s="48">
        <f>'Adani Enterprises'!AK429</f>
        <v>0</v>
      </c>
      <c r="AL429" s="48">
        <f>'Adani Enterprises'!AL429</f>
        <v>0</v>
      </c>
    </row>
    <row r="430" customHeight="1" spans="1:38">
      <c r="A430" s="48">
        <f>'Adani Enterprises'!A430</f>
        <v>0</v>
      </c>
      <c r="B430" s="48">
        <f>'Adani Enterprises'!B430</f>
        <v>0</v>
      </c>
      <c r="C430" s="48">
        <f>'Adani Enterprises'!C430</f>
        <v>0</v>
      </c>
      <c r="D430" s="48">
        <f>'Adani Enterprises'!D430</f>
        <v>0</v>
      </c>
      <c r="E430" s="48">
        <f>'Adani Enterprises'!E430</f>
        <v>0</v>
      </c>
      <c r="F430" s="48">
        <f>'Adani Enterprises'!F430</f>
        <v>0</v>
      </c>
      <c r="G430" s="48">
        <f>'Adani Enterprises'!G430</f>
        <v>0</v>
      </c>
      <c r="H430" s="48">
        <f>'Adani Enterprises'!H430</f>
        <v>0</v>
      </c>
      <c r="I430" s="48">
        <f>'Adani Enterprises'!I430</f>
        <v>0</v>
      </c>
      <c r="J430" s="48">
        <f>'Adani Enterprises'!J430</f>
        <v>0</v>
      </c>
      <c r="K430" s="48">
        <f>'Adani Enterprises'!K430</f>
        <v>0</v>
      </c>
      <c r="L430" s="48">
        <f>'Adani Enterprises'!L430</f>
        <v>0</v>
      </c>
      <c r="M430" s="48">
        <f>'Adani Enterprises'!M430</f>
        <v>0</v>
      </c>
      <c r="N430" s="48">
        <f>'Adani Enterprises'!N430</f>
        <v>0</v>
      </c>
      <c r="O430" s="48">
        <f>'Adani Enterprises'!O430</f>
        <v>0</v>
      </c>
      <c r="P430" s="48">
        <f>'Adani Enterprises'!P430</f>
        <v>0</v>
      </c>
      <c r="Q430" s="48">
        <f>'Adani Enterprises'!Q430</f>
        <v>0</v>
      </c>
      <c r="R430" s="48">
        <f>'Adani Enterprises'!R430</f>
        <v>0</v>
      </c>
      <c r="S430" s="48">
        <f>'Adani Enterprises'!S430</f>
        <v>0</v>
      </c>
      <c r="T430" s="48">
        <f>'Adani Enterprises'!T430</f>
        <v>0</v>
      </c>
      <c r="U430" s="48">
        <f>'Adani Enterprises'!U430</f>
        <v>0</v>
      </c>
      <c r="V430" s="48">
        <f>'Adani Enterprises'!V430</f>
        <v>0</v>
      </c>
      <c r="W430" s="48">
        <f>'Adani Enterprises'!W430</f>
        <v>0</v>
      </c>
      <c r="X430" s="48">
        <f>'Adani Enterprises'!X430</f>
        <v>0</v>
      </c>
      <c r="Y430" s="48">
        <f>'Adani Enterprises'!Y430</f>
        <v>0</v>
      </c>
      <c r="Z430" s="48">
        <f>'Adani Enterprises'!Z430</f>
        <v>0</v>
      </c>
      <c r="AA430" s="48">
        <f>'Adani Enterprises'!AA430</f>
        <v>0</v>
      </c>
      <c r="AB430" s="48">
        <f>'Adani Enterprises'!AB430</f>
        <v>0</v>
      </c>
      <c r="AC430" s="48">
        <f>'Adani Enterprises'!AC430</f>
        <v>0</v>
      </c>
      <c r="AD430" s="48">
        <f>'Adani Enterprises'!AD430</f>
        <v>0</v>
      </c>
      <c r="AE430" s="48">
        <f>'Adani Enterprises'!AE430</f>
        <v>0</v>
      </c>
      <c r="AF430" s="48">
        <f>'Adani Enterprises'!AF430</f>
        <v>0</v>
      </c>
      <c r="AG430" s="48">
        <f>'Adani Enterprises'!AG430</f>
        <v>0</v>
      </c>
      <c r="AH430" s="48">
        <f>'Adani Enterprises'!AH430</f>
        <v>0</v>
      </c>
      <c r="AI430" s="48">
        <f>'Adani Enterprises'!AI430</f>
        <v>0</v>
      </c>
      <c r="AJ430" s="48">
        <f>'Adani Enterprises'!AJ430</f>
        <v>0</v>
      </c>
      <c r="AK430" s="48">
        <f>'Adani Enterprises'!AK430</f>
        <v>0</v>
      </c>
      <c r="AL430" s="48">
        <f>'Adani Enterprises'!AL430</f>
        <v>0</v>
      </c>
    </row>
    <row r="431" customHeight="1" spans="1:38">
      <c r="A431" s="48">
        <f>'Adani Enterprises'!A431</f>
        <v>0</v>
      </c>
      <c r="B431" s="48">
        <f>'Adani Enterprises'!B431</f>
        <v>0</v>
      </c>
      <c r="C431" s="48">
        <f>'Adani Enterprises'!C431</f>
        <v>0</v>
      </c>
      <c r="D431" s="48">
        <f>'Adani Enterprises'!D431</f>
        <v>0</v>
      </c>
      <c r="E431" s="48">
        <f>'Adani Enterprises'!E431</f>
        <v>0</v>
      </c>
      <c r="F431" s="48">
        <f>'Adani Enterprises'!F431</f>
        <v>0</v>
      </c>
      <c r="G431" s="48">
        <f>'Adani Enterprises'!G431</f>
        <v>0</v>
      </c>
      <c r="H431" s="48">
        <f>'Adani Enterprises'!H431</f>
        <v>0</v>
      </c>
      <c r="I431" s="48">
        <f>'Adani Enterprises'!I431</f>
        <v>0</v>
      </c>
      <c r="J431" s="48">
        <f>'Adani Enterprises'!J431</f>
        <v>0</v>
      </c>
      <c r="K431" s="48">
        <f>'Adani Enterprises'!K431</f>
        <v>0</v>
      </c>
      <c r="L431" s="48">
        <f>'Adani Enterprises'!L431</f>
        <v>0</v>
      </c>
      <c r="M431" s="48">
        <f>'Adani Enterprises'!M431</f>
        <v>0</v>
      </c>
      <c r="N431" s="48">
        <f>'Adani Enterprises'!N431</f>
        <v>0</v>
      </c>
      <c r="O431" s="48">
        <f>'Adani Enterprises'!O431</f>
        <v>0</v>
      </c>
      <c r="P431" s="48">
        <f>'Adani Enterprises'!P431</f>
        <v>0</v>
      </c>
      <c r="Q431" s="48">
        <f>'Adani Enterprises'!Q431</f>
        <v>0</v>
      </c>
      <c r="R431" s="48">
        <f>'Adani Enterprises'!R431</f>
        <v>0</v>
      </c>
      <c r="S431" s="48">
        <f>'Adani Enterprises'!S431</f>
        <v>0</v>
      </c>
      <c r="T431" s="48">
        <f>'Adani Enterprises'!T431</f>
        <v>0</v>
      </c>
      <c r="U431" s="48">
        <f>'Adani Enterprises'!U431</f>
        <v>0</v>
      </c>
      <c r="V431" s="48">
        <f>'Adani Enterprises'!V431</f>
        <v>0</v>
      </c>
      <c r="W431" s="48">
        <f>'Adani Enterprises'!W431</f>
        <v>0</v>
      </c>
      <c r="X431" s="48">
        <f>'Adani Enterprises'!X431</f>
        <v>0</v>
      </c>
      <c r="Y431" s="48">
        <f>'Adani Enterprises'!Y431</f>
        <v>0</v>
      </c>
      <c r="Z431" s="48">
        <f>'Adani Enterprises'!Z431</f>
        <v>0</v>
      </c>
      <c r="AA431" s="48">
        <f>'Adani Enterprises'!AA431</f>
        <v>0</v>
      </c>
      <c r="AB431" s="48">
        <f>'Adani Enterprises'!AB431</f>
        <v>0</v>
      </c>
      <c r="AC431" s="48">
        <f>'Adani Enterprises'!AC431</f>
        <v>0</v>
      </c>
      <c r="AD431" s="48">
        <f>'Adani Enterprises'!AD431</f>
        <v>0</v>
      </c>
      <c r="AE431" s="48">
        <f>'Adani Enterprises'!AE431</f>
        <v>0</v>
      </c>
      <c r="AF431" s="48">
        <f>'Adani Enterprises'!AF431</f>
        <v>0</v>
      </c>
      <c r="AG431" s="48">
        <f>'Adani Enterprises'!AG431</f>
        <v>0</v>
      </c>
      <c r="AH431" s="48">
        <f>'Adani Enterprises'!AH431</f>
        <v>0</v>
      </c>
      <c r="AI431" s="48">
        <f>'Adani Enterprises'!AI431</f>
        <v>0</v>
      </c>
      <c r="AJ431" s="48">
        <f>'Adani Enterprises'!AJ431</f>
        <v>0</v>
      </c>
      <c r="AK431" s="48">
        <f>'Adani Enterprises'!AK431</f>
        <v>0</v>
      </c>
      <c r="AL431" s="48">
        <f>'Adani Enterprises'!AL431</f>
        <v>0</v>
      </c>
    </row>
    <row r="432" customHeight="1" spans="1:38">
      <c r="A432" s="48">
        <f>'Adani Enterprises'!A432</f>
        <v>0</v>
      </c>
      <c r="B432" s="48">
        <f>'Adani Enterprises'!B432</f>
        <v>0</v>
      </c>
      <c r="C432" s="48">
        <f>'Adani Enterprises'!C432</f>
        <v>0</v>
      </c>
      <c r="D432" s="48">
        <f>'Adani Enterprises'!D432</f>
        <v>0</v>
      </c>
      <c r="E432" s="48">
        <f>'Adani Enterprises'!E432</f>
        <v>0</v>
      </c>
      <c r="F432" s="48">
        <f>'Adani Enterprises'!F432</f>
        <v>0</v>
      </c>
      <c r="G432" s="48">
        <f>'Adani Enterprises'!G432</f>
        <v>0</v>
      </c>
      <c r="H432" s="48">
        <f>'Adani Enterprises'!H432</f>
        <v>0</v>
      </c>
      <c r="I432" s="48">
        <f>'Adani Enterprises'!I432</f>
        <v>0</v>
      </c>
      <c r="J432" s="48">
        <f>'Adani Enterprises'!J432</f>
        <v>0</v>
      </c>
      <c r="K432" s="48">
        <f>'Adani Enterprises'!K432</f>
        <v>0</v>
      </c>
      <c r="L432" s="48">
        <f>'Adani Enterprises'!L432</f>
        <v>0</v>
      </c>
      <c r="M432" s="48">
        <f>'Adani Enterprises'!M432</f>
        <v>0</v>
      </c>
      <c r="N432" s="48">
        <f>'Adani Enterprises'!N432</f>
        <v>0</v>
      </c>
      <c r="O432" s="48">
        <f>'Adani Enterprises'!O432</f>
        <v>0</v>
      </c>
      <c r="P432" s="48">
        <f>'Adani Enterprises'!P432</f>
        <v>0</v>
      </c>
      <c r="Q432" s="48">
        <f>'Adani Enterprises'!Q432</f>
        <v>0</v>
      </c>
      <c r="R432" s="48">
        <f>'Adani Enterprises'!R432</f>
        <v>0</v>
      </c>
      <c r="S432" s="48">
        <f>'Adani Enterprises'!S432</f>
        <v>0</v>
      </c>
      <c r="T432" s="48">
        <f>'Adani Enterprises'!T432</f>
        <v>0</v>
      </c>
      <c r="U432" s="48">
        <f>'Adani Enterprises'!U432</f>
        <v>0</v>
      </c>
      <c r="V432" s="48">
        <f>'Adani Enterprises'!V432</f>
        <v>0</v>
      </c>
      <c r="W432" s="48">
        <f>'Adani Enterprises'!W432</f>
        <v>0</v>
      </c>
      <c r="X432" s="48">
        <f>'Adani Enterprises'!X432</f>
        <v>0</v>
      </c>
      <c r="Y432" s="48">
        <f>'Adani Enterprises'!Y432</f>
        <v>0</v>
      </c>
      <c r="Z432" s="48">
        <f>'Adani Enterprises'!Z432</f>
        <v>0</v>
      </c>
      <c r="AA432" s="48">
        <f>'Adani Enterprises'!AA432</f>
        <v>0</v>
      </c>
      <c r="AB432" s="48">
        <f>'Adani Enterprises'!AB432</f>
        <v>0</v>
      </c>
      <c r="AC432" s="48">
        <f>'Adani Enterprises'!AC432</f>
        <v>0</v>
      </c>
      <c r="AD432" s="48">
        <f>'Adani Enterprises'!AD432</f>
        <v>0</v>
      </c>
      <c r="AE432" s="48">
        <f>'Adani Enterprises'!AE432</f>
        <v>0</v>
      </c>
      <c r="AF432" s="48">
        <f>'Adani Enterprises'!AF432</f>
        <v>0</v>
      </c>
      <c r="AG432" s="48">
        <f>'Adani Enterprises'!AG432</f>
        <v>0</v>
      </c>
      <c r="AH432" s="48">
        <f>'Adani Enterprises'!AH432</f>
        <v>0</v>
      </c>
      <c r="AI432" s="48">
        <f>'Adani Enterprises'!AI432</f>
        <v>0</v>
      </c>
      <c r="AJ432" s="48">
        <f>'Adani Enterprises'!AJ432</f>
        <v>0</v>
      </c>
      <c r="AK432" s="48">
        <f>'Adani Enterprises'!AK432</f>
        <v>0</v>
      </c>
      <c r="AL432" s="48">
        <f>'Adani Enterprises'!AL432</f>
        <v>0</v>
      </c>
    </row>
    <row r="433" customHeight="1" spans="1:38">
      <c r="A433" s="48">
        <f>'Adani Enterprises'!A433</f>
        <v>0</v>
      </c>
      <c r="B433" s="48">
        <f>'Adani Enterprises'!B433</f>
        <v>0</v>
      </c>
      <c r="C433" s="48">
        <f>'Adani Enterprises'!C433</f>
        <v>0</v>
      </c>
      <c r="D433" s="48">
        <f>'Adani Enterprises'!D433</f>
        <v>0</v>
      </c>
      <c r="E433" s="48">
        <f>'Adani Enterprises'!E433</f>
        <v>0</v>
      </c>
      <c r="F433" s="48">
        <f>'Adani Enterprises'!F433</f>
        <v>0</v>
      </c>
      <c r="G433" s="48">
        <f>'Adani Enterprises'!G433</f>
        <v>0</v>
      </c>
      <c r="H433" s="48">
        <f>'Adani Enterprises'!H433</f>
        <v>0</v>
      </c>
      <c r="I433" s="48">
        <f>'Adani Enterprises'!I433</f>
        <v>0</v>
      </c>
      <c r="J433" s="48">
        <f>'Adani Enterprises'!J433</f>
        <v>0</v>
      </c>
      <c r="K433" s="48">
        <f>'Adani Enterprises'!K433</f>
        <v>0</v>
      </c>
      <c r="L433" s="48">
        <f>'Adani Enterprises'!L433</f>
        <v>0</v>
      </c>
      <c r="M433" s="48">
        <f>'Adani Enterprises'!M433</f>
        <v>0</v>
      </c>
      <c r="N433" s="48">
        <f>'Adani Enterprises'!N433</f>
        <v>0</v>
      </c>
      <c r="O433" s="48">
        <f>'Adani Enterprises'!O433</f>
        <v>0</v>
      </c>
      <c r="P433" s="48">
        <f>'Adani Enterprises'!P433</f>
        <v>0</v>
      </c>
      <c r="Q433" s="48">
        <f>'Adani Enterprises'!Q433</f>
        <v>0</v>
      </c>
      <c r="R433" s="48">
        <f>'Adani Enterprises'!R433</f>
        <v>0</v>
      </c>
      <c r="S433" s="48">
        <f>'Adani Enterprises'!S433</f>
        <v>0</v>
      </c>
      <c r="T433" s="48">
        <f>'Adani Enterprises'!T433</f>
        <v>0</v>
      </c>
      <c r="U433" s="48">
        <f>'Adani Enterprises'!U433</f>
        <v>0</v>
      </c>
      <c r="V433" s="48">
        <f>'Adani Enterprises'!V433</f>
        <v>0</v>
      </c>
      <c r="W433" s="48">
        <f>'Adani Enterprises'!W433</f>
        <v>0</v>
      </c>
      <c r="X433" s="48">
        <f>'Adani Enterprises'!X433</f>
        <v>0</v>
      </c>
      <c r="Y433" s="48">
        <f>'Adani Enterprises'!Y433</f>
        <v>0</v>
      </c>
      <c r="Z433" s="48">
        <f>'Adani Enterprises'!Z433</f>
        <v>0</v>
      </c>
      <c r="AA433" s="48">
        <f>'Adani Enterprises'!AA433</f>
        <v>0</v>
      </c>
      <c r="AB433" s="48">
        <f>'Adani Enterprises'!AB433</f>
        <v>0</v>
      </c>
      <c r="AC433" s="48">
        <f>'Adani Enterprises'!AC433</f>
        <v>0</v>
      </c>
      <c r="AD433" s="48">
        <f>'Adani Enterprises'!AD433</f>
        <v>0</v>
      </c>
      <c r="AE433" s="48">
        <f>'Adani Enterprises'!AE433</f>
        <v>0</v>
      </c>
      <c r="AF433" s="48">
        <f>'Adani Enterprises'!AF433</f>
        <v>0</v>
      </c>
      <c r="AG433" s="48">
        <f>'Adani Enterprises'!AG433</f>
        <v>0</v>
      </c>
      <c r="AH433" s="48">
        <f>'Adani Enterprises'!AH433</f>
        <v>0</v>
      </c>
      <c r="AI433" s="48">
        <f>'Adani Enterprises'!AI433</f>
        <v>0</v>
      </c>
      <c r="AJ433" s="48">
        <f>'Adani Enterprises'!AJ433</f>
        <v>0</v>
      </c>
      <c r="AK433" s="48">
        <f>'Adani Enterprises'!AK433</f>
        <v>0</v>
      </c>
      <c r="AL433" s="48">
        <f>'Adani Enterprises'!AL433</f>
        <v>0</v>
      </c>
    </row>
    <row r="434" customHeight="1" spans="1:38">
      <c r="A434" s="48">
        <f>'Adani Enterprises'!A434</f>
        <v>0</v>
      </c>
      <c r="B434" s="48">
        <f>'Adani Enterprises'!B434</f>
        <v>0</v>
      </c>
      <c r="C434" s="48">
        <f>'Adani Enterprises'!C434</f>
        <v>0</v>
      </c>
      <c r="D434" s="48">
        <f>'Adani Enterprises'!D434</f>
        <v>0</v>
      </c>
      <c r="E434" s="48">
        <f>'Adani Enterprises'!E434</f>
        <v>0</v>
      </c>
      <c r="F434" s="48">
        <f>'Adani Enterprises'!F434</f>
        <v>0</v>
      </c>
      <c r="G434" s="48">
        <f>'Adani Enterprises'!G434</f>
        <v>0</v>
      </c>
      <c r="H434" s="48">
        <f>'Adani Enterprises'!H434</f>
        <v>0</v>
      </c>
      <c r="I434" s="48">
        <f>'Adani Enterprises'!I434</f>
        <v>0</v>
      </c>
      <c r="J434" s="48">
        <f>'Adani Enterprises'!J434</f>
        <v>0</v>
      </c>
      <c r="K434" s="48">
        <f>'Adani Enterprises'!K434</f>
        <v>0</v>
      </c>
      <c r="L434" s="48">
        <f>'Adani Enterprises'!L434</f>
        <v>0</v>
      </c>
      <c r="M434" s="48">
        <f>'Adani Enterprises'!M434</f>
        <v>0</v>
      </c>
      <c r="N434" s="48">
        <f>'Adani Enterprises'!N434</f>
        <v>0</v>
      </c>
      <c r="O434" s="48">
        <f>'Adani Enterprises'!O434</f>
        <v>0</v>
      </c>
      <c r="P434" s="48">
        <f>'Adani Enterprises'!P434</f>
        <v>0</v>
      </c>
      <c r="Q434" s="48">
        <f>'Adani Enterprises'!Q434</f>
        <v>0</v>
      </c>
      <c r="R434" s="48">
        <f>'Adani Enterprises'!R434</f>
        <v>0</v>
      </c>
      <c r="S434" s="48">
        <f>'Adani Enterprises'!S434</f>
        <v>0</v>
      </c>
      <c r="T434" s="48">
        <f>'Adani Enterprises'!T434</f>
        <v>0</v>
      </c>
      <c r="U434" s="48">
        <f>'Adani Enterprises'!U434</f>
        <v>0</v>
      </c>
      <c r="V434" s="48">
        <f>'Adani Enterprises'!V434</f>
        <v>0</v>
      </c>
      <c r="W434" s="48">
        <f>'Adani Enterprises'!W434</f>
        <v>0</v>
      </c>
      <c r="X434" s="48">
        <f>'Adani Enterprises'!X434</f>
        <v>0</v>
      </c>
      <c r="Y434" s="48">
        <f>'Adani Enterprises'!Y434</f>
        <v>0</v>
      </c>
      <c r="Z434" s="48">
        <f>'Adani Enterprises'!Z434</f>
        <v>0</v>
      </c>
      <c r="AA434" s="48">
        <f>'Adani Enterprises'!AA434</f>
        <v>0</v>
      </c>
      <c r="AB434" s="48">
        <f>'Adani Enterprises'!AB434</f>
        <v>0</v>
      </c>
      <c r="AC434" s="48">
        <f>'Adani Enterprises'!AC434</f>
        <v>0</v>
      </c>
      <c r="AD434" s="48">
        <f>'Adani Enterprises'!AD434</f>
        <v>0</v>
      </c>
      <c r="AE434" s="48">
        <f>'Adani Enterprises'!AE434</f>
        <v>0</v>
      </c>
      <c r="AF434" s="48">
        <f>'Adani Enterprises'!AF434</f>
        <v>0</v>
      </c>
      <c r="AG434" s="48">
        <f>'Adani Enterprises'!AG434</f>
        <v>0</v>
      </c>
      <c r="AH434" s="48">
        <f>'Adani Enterprises'!AH434</f>
        <v>0</v>
      </c>
      <c r="AI434" s="48">
        <f>'Adani Enterprises'!AI434</f>
        <v>0</v>
      </c>
      <c r="AJ434" s="48">
        <f>'Adani Enterprises'!AJ434</f>
        <v>0</v>
      </c>
      <c r="AK434" s="48">
        <f>'Adani Enterprises'!AK434</f>
        <v>0</v>
      </c>
      <c r="AL434" s="48">
        <f>'Adani Enterprises'!AL434</f>
        <v>0</v>
      </c>
    </row>
    <row r="435" customHeight="1" spans="1:38">
      <c r="A435" s="48">
        <f>'Adani Enterprises'!A435</f>
        <v>0</v>
      </c>
      <c r="B435" s="48">
        <f>'Adani Enterprises'!B435</f>
        <v>0</v>
      </c>
      <c r="C435" s="48">
        <f>'Adani Enterprises'!C435</f>
        <v>0</v>
      </c>
      <c r="D435" s="48">
        <f>'Adani Enterprises'!D435</f>
        <v>0</v>
      </c>
      <c r="E435" s="48">
        <f>'Adani Enterprises'!E435</f>
        <v>0</v>
      </c>
      <c r="F435" s="48">
        <f>'Adani Enterprises'!F435</f>
        <v>0</v>
      </c>
      <c r="G435" s="48">
        <f>'Adani Enterprises'!G435</f>
        <v>0</v>
      </c>
      <c r="H435" s="48">
        <f>'Adani Enterprises'!H435</f>
        <v>0</v>
      </c>
      <c r="I435" s="48">
        <f>'Adani Enterprises'!I435</f>
        <v>0</v>
      </c>
      <c r="J435" s="48">
        <f>'Adani Enterprises'!J435</f>
        <v>0</v>
      </c>
      <c r="K435" s="48">
        <f>'Adani Enterprises'!K435</f>
        <v>0</v>
      </c>
      <c r="L435" s="48">
        <f>'Adani Enterprises'!L435</f>
        <v>0</v>
      </c>
      <c r="M435" s="48">
        <f>'Adani Enterprises'!M435</f>
        <v>0</v>
      </c>
      <c r="N435" s="48">
        <f>'Adani Enterprises'!N435</f>
        <v>0</v>
      </c>
      <c r="O435" s="48">
        <f>'Adani Enterprises'!O435</f>
        <v>0</v>
      </c>
      <c r="P435" s="48">
        <f>'Adani Enterprises'!P435</f>
        <v>0</v>
      </c>
      <c r="Q435" s="48">
        <f>'Adani Enterprises'!Q435</f>
        <v>0</v>
      </c>
      <c r="R435" s="48">
        <f>'Adani Enterprises'!R435</f>
        <v>0</v>
      </c>
      <c r="S435" s="48">
        <f>'Adani Enterprises'!S435</f>
        <v>0</v>
      </c>
      <c r="T435" s="48">
        <f>'Adani Enterprises'!T435</f>
        <v>0</v>
      </c>
      <c r="U435" s="48">
        <f>'Adani Enterprises'!U435</f>
        <v>0</v>
      </c>
      <c r="V435" s="48">
        <f>'Adani Enterprises'!V435</f>
        <v>0</v>
      </c>
      <c r="W435" s="48">
        <f>'Adani Enterprises'!W435</f>
        <v>0</v>
      </c>
      <c r="X435" s="48">
        <f>'Adani Enterprises'!X435</f>
        <v>0</v>
      </c>
      <c r="Y435" s="48">
        <f>'Adani Enterprises'!Y435</f>
        <v>0</v>
      </c>
      <c r="Z435" s="48">
        <f>'Adani Enterprises'!Z435</f>
        <v>0</v>
      </c>
      <c r="AA435" s="48">
        <f>'Adani Enterprises'!AA435</f>
        <v>0</v>
      </c>
      <c r="AB435" s="48">
        <f>'Adani Enterprises'!AB435</f>
        <v>0</v>
      </c>
      <c r="AC435" s="48">
        <f>'Adani Enterprises'!AC435</f>
        <v>0</v>
      </c>
      <c r="AD435" s="48">
        <f>'Adani Enterprises'!AD435</f>
        <v>0</v>
      </c>
      <c r="AE435" s="48">
        <f>'Adani Enterprises'!AE435</f>
        <v>0</v>
      </c>
      <c r="AF435" s="48">
        <f>'Adani Enterprises'!AF435</f>
        <v>0</v>
      </c>
      <c r="AG435" s="48">
        <f>'Adani Enterprises'!AG435</f>
        <v>0</v>
      </c>
      <c r="AH435" s="48">
        <f>'Adani Enterprises'!AH435</f>
        <v>0</v>
      </c>
      <c r="AI435" s="48">
        <f>'Adani Enterprises'!AI435</f>
        <v>0</v>
      </c>
      <c r="AJ435" s="48">
        <f>'Adani Enterprises'!AJ435</f>
        <v>0</v>
      </c>
      <c r="AK435" s="48">
        <f>'Adani Enterprises'!AK435</f>
        <v>0</v>
      </c>
      <c r="AL435" s="48">
        <f>'Adani Enterprises'!AL435</f>
        <v>0</v>
      </c>
    </row>
    <row r="436" customHeight="1" spans="1:38">
      <c r="A436" s="48">
        <f>'Adani Enterprises'!A436</f>
        <v>0</v>
      </c>
      <c r="B436" s="48">
        <f>'Adani Enterprises'!B436</f>
        <v>0</v>
      </c>
      <c r="C436" s="48">
        <f>'Adani Enterprises'!C436</f>
        <v>0</v>
      </c>
      <c r="D436" s="48">
        <f>'Adani Enterprises'!D436</f>
        <v>0</v>
      </c>
      <c r="E436" s="48">
        <f>'Adani Enterprises'!E436</f>
        <v>0</v>
      </c>
      <c r="F436" s="48">
        <f>'Adani Enterprises'!F436</f>
        <v>0</v>
      </c>
      <c r="G436" s="48">
        <f>'Adani Enterprises'!G436</f>
        <v>0</v>
      </c>
      <c r="H436" s="48">
        <f>'Adani Enterprises'!H436</f>
        <v>0</v>
      </c>
      <c r="I436" s="48">
        <f>'Adani Enterprises'!I436</f>
        <v>0</v>
      </c>
      <c r="J436" s="48">
        <f>'Adani Enterprises'!J436</f>
        <v>0</v>
      </c>
      <c r="K436" s="48">
        <f>'Adani Enterprises'!K436</f>
        <v>0</v>
      </c>
      <c r="L436" s="48">
        <f>'Adani Enterprises'!L436</f>
        <v>0</v>
      </c>
      <c r="M436" s="48">
        <f>'Adani Enterprises'!M436</f>
        <v>0</v>
      </c>
      <c r="N436" s="48">
        <f>'Adani Enterprises'!N436</f>
        <v>0</v>
      </c>
      <c r="O436" s="48">
        <f>'Adani Enterprises'!O436</f>
        <v>0</v>
      </c>
      <c r="P436" s="48">
        <f>'Adani Enterprises'!P436</f>
        <v>0</v>
      </c>
      <c r="Q436" s="48">
        <f>'Adani Enterprises'!Q436</f>
        <v>0</v>
      </c>
      <c r="R436" s="48">
        <f>'Adani Enterprises'!R436</f>
        <v>0</v>
      </c>
      <c r="S436" s="48">
        <f>'Adani Enterprises'!S436</f>
        <v>0</v>
      </c>
      <c r="T436" s="48">
        <f>'Adani Enterprises'!T436</f>
        <v>0</v>
      </c>
      <c r="U436" s="48">
        <f>'Adani Enterprises'!U436</f>
        <v>0</v>
      </c>
      <c r="V436" s="48">
        <f>'Adani Enterprises'!V436</f>
        <v>0</v>
      </c>
      <c r="W436" s="48">
        <f>'Adani Enterprises'!W436</f>
        <v>0</v>
      </c>
      <c r="X436" s="48">
        <f>'Adani Enterprises'!X436</f>
        <v>0</v>
      </c>
      <c r="Y436" s="48">
        <f>'Adani Enterprises'!Y436</f>
        <v>0</v>
      </c>
      <c r="Z436" s="48">
        <f>'Adani Enterprises'!Z436</f>
        <v>0</v>
      </c>
      <c r="AA436" s="48">
        <f>'Adani Enterprises'!AA436</f>
        <v>0</v>
      </c>
      <c r="AB436" s="48">
        <f>'Adani Enterprises'!AB436</f>
        <v>0</v>
      </c>
      <c r="AC436" s="48">
        <f>'Adani Enterprises'!AC436</f>
        <v>0</v>
      </c>
      <c r="AD436" s="48">
        <f>'Adani Enterprises'!AD436</f>
        <v>0</v>
      </c>
      <c r="AE436" s="48">
        <f>'Adani Enterprises'!AE436</f>
        <v>0</v>
      </c>
      <c r="AF436" s="48">
        <f>'Adani Enterprises'!AF436</f>
        <v>0</v>
      </c>
      <c r="AG436" s="48">
        <f>'Adani Enterprises'!AG436</f>
        <v>0</v>
      </c>
      <c r="AH436" s="48">
        <f>'Adani Enterprises'!AH436</f>
        <v>0</v>
      </c>
      <c r="AI436" s="48">
        <f>'Adani Enterprises'!AI436</f>
        <v>0</v>
      </c>
      <c r="AJ436" s="48">
        <f>'Adani Enterprises'!AJ436</f>
        <v>0</v>
      </c>
      <c r="AK436" s="48">
        <f>'Adani Enterprises'!AK436</f>
        <v>0</v>
      </c>
      <c r="AL436" s="48">
        <f>'Adani Enterprises'!AL436</f>
        <v>0</v>
      </c>
    </row>
    <row r="437" customHeight="1" spans="1:38">
      <c r="A437" s="48">
        <f>'Adani Enterprises'!A437</f>
        <v>0</v>
      </c>
      <c r="B437" s="48">
        <f>'Adani Enterprises'!B437</f>
        <v>0</v>
      </c>
      <c r="C437" s="48">
        <f>'Adani Enterprises'!C437</f>
        <v>0</v>
      </c>
      <c r="D437" s="48">
        <f>'Adani Enterprises'!D437</f>
        <v>0</v>
      </c>
      <c r="E437" s="48">
        <f>'Adani Enterprises'!E437</f>
        <v>0</v>
      </c>
      <c r="F437" s="48">
        <f>'Adani Enterprises'!F437</f>
        <v>0</v>
      </c>
      <c r="G437" s="48">
        <f>'Adani Enterprises'!G437</f>
        <v>0</v>
      </c>
      <c r="H437" s="48">
        <f>'Adani Enterprises'!H437</f>
        <v>0</v>
      </c>
      <c r="I437" s="48">
        <f>'Adani Enterprises'!I437</f>
        <v>0</v>
      </c>
      <c r="J437" s="48">
        <f>'Adani Enterprises'!J437</f>
        <v>0</v>
      </c>
      <c r="K437" s="48">
        <f>'Adani Enterprises'!K437</f>
        <v>0</v>
      </c>
      <c r="L437" s="48">
        <f>'Adani Enterprises'!L437</f>
        <v>0</v>
      </c>
      <c r="M437" s="48">
        <f>'Adani Enterprises'!M437</f>
        <v>0</v>
      </c>
      <c r="N437" s="48">
        <f>'Adani Enterprises'!N437</f>
        <v>0</v>
      </c>
      <c r="O437" s="48">
        <f>'Adani Enterprises'!O437</f>
        <v>0</v>
      </c>
      <c r="P437" s="48">
        <f>'Adani Enterprises'!P437</f>
        <v>0</v>
      </c>
      <c r="Q437" s="48">
        <f>'Adani Enterprises'!Q437</f>
        <v>0</v>
      </c>
      <c r="R437" s="48">
        <f>'Adani Enterprises'!R437</f>
        <v>0</v>
      </c>
      <c r="S437" s="48">
        <f>'Adani Enterprises'!S437</f>
        <v>0</v>
      </c>
      <c r="T437" s="48">
        <f>'Adani Enterprises'!T437</f>
        <v>0</v>
      </c>
      <c r="U437" s="48">
        <f>'Adani Enterprises'!U437</f>
        <v>0</v>
      </c>
      <c r="V437" s="48">
        <f>'Adani Enterprises'!V437</f>
        <v>0</v>
      </c>
      <c r="W437" s="48">
        <f>'Adani Enterprises'!W437</f>
        <v>0</v>
      </c>
      <c r="X437" s="48">
        <f>'Adani Enterprises'!X437</f>
        <v>0</v>
      </c>
      <c r="Y437" s="48">
        <f>'Adani Enterprises'!Y437</f>
        <v>0</v>
      </c>
      <c r="Z437" s="48">
        <f>'Adani Enterprises'!Z437</f>
        <v>0</v>
      </c>
      <c r="AA437" s="48">
        <f>'Adani Enterprises'!AA437</f>
        <v>0</v>
      </c>
      <c r="AB437" s="48">
        <f>'Adani Enterprises'!AB437</f>
        <v>0</v>
      </c>
      <c r="AC437" s="48">
        <f>'Adani Enterprises'!AC437</f>
        <v>0</v>
      </c>
      <c r="AD437" s="48">
        <f>'Adani Enterprises'!AD437</f>
        <v>0</v>
      </c>
      <c r="AE437" s="48">
        <f>'Adani Enterprises'!AE437</f>
        <v>0</v>
      </c>
      <c r="AF437" s="48">
        <f>'Adani Enterprises'!AF437</f>
        <v>0</v>
      </c>
      <c r="AG437" s="48">
        <f>'Adani Enterprises'!AG437</f>
        <v>0</v>
      </c>
      <c r="AH437" s="48">
        <f>'Adani Enterprises'!AH437</f>
        <v>0</v>
      </c>
      <c r="AI437" s="48">
        <f>'Adani Enterprises'!AI437</f>
        <v>0</v>
      </c>
      <c r="AJ437" s="48">
        <f>'Adani Enterprises'!AJ437</f>
        <v>0</v>
      </c>
      <c r="AK437" s="48">
        <f>'Adani Enterprises'!AK437</f>
        <v>0</v>
      </c>
      <c r="AL437" s="48">
        <f>'Adani Enterprises'!AL437</f>
        <v>0</v>
      </c>
    </row>
    <row r="438" customHeight="1" spans="1:38">
      <c r="A438" s="48">
        <f>'Adani Enterprises'!A438</f>
        <v>0</v>
      </c>
      <c r="B438" s="48">
        <f>'Adani Enterprises'!B438</f>
        <v>0</v>
      </c>
      <c r="C438" s="48">
        <f>'Adani Enterprises'!C438</f>
        <v>0</v>
      </c>
      <c r="D438" s="48">
        <f>'Adani Enterprises'!D438</f>
        <v>0</v>
      </c>
      <c r="E438" s="48">
        <f>'Adani Enterprises'!E438</f>
        <v>0</v>
      </c>
      <c r="F438" s="48">
        <f>'Adani Enterprises'!F438</f>
        <v>0</v>
      </c>
      <c r="G438" s="48">
        <f>'Adani Enterprises'!G438</f>
        <v>0</v>
      </c>
      <c r="H438" s="48">
        <f>'Adani Enterprises'!H438</f>
        <v>0</v>
      </c>
      <c r="I438" s="48">
        <f>'Adani Enterprises'!I438</f>
        <v>0</v>
      </c>
      <c r="J438" s="48">
        <f>'Adani Enterprises'!J438</f>
        <v>0</v>
      </c>
      <c r="K438" s="48">
        <f>'Adani Enterprises'!K438</f>
        <v>0</v>
      </c>
      <c r="L438" s="48">
        <f>'Adani Enterprises'!L438</f>
        <v>0</v>
      </c>
      <c r="M438" s="48">
        <f>'Adani Enterprises'!M438</f>
        <v>0</v>
      </c>
      <c r="N438" s="48">
        <f>'Adani Enterprises'!N438</f>
        <v>0</v>
      </c>
      <c r="O438" s="48">
        <f>'Adani Enterprises'!O438</f>
        <v>0</v>
      </c>
      <c r="P438" s="48">
        <f>'Adani Enterprises'!P438</f>
        <v>0</v>
      </c>
      <c r="Q438" s="48">
        <f>'Adani Enterprises'!Q438</f>
        <v>0</v>
      </c>
      <c r="R438" s="48">
        <f>'Adani Enterprises'!R438</f>
        <v>0</v>
      </c>
      <c r="S438" s="48">
        <f>'Adani Enterprises'!S438</f>
        <v>0</v>
      </c>
      <c r="T438" s="48">
        <f>'Adani Enterprises'!T438</f>
        <v>0</v>
      </c>
      <c r="U438" s="48">
        <f>'Adani Enterprises'!U438</f>
        <v>0</v>
      </c>
      <c r="V438" s="48">
        <f>'Adani Enterprises'!V438</f>
        <v>0</v>
      </c>
      <c r="W438" s="48">
        <f>'Adani Enterprises'!W438</f>
        <v>0</v>
      </c>
      <c r="X438" s="48">
        <f>'Adani Enterprises'!X438</f>
        <v>0</v>
      </c>
      <c r="Y438" s="48">
        <f>'Adani Enterprises'!Y438</f>
        <v>0</v>
      </c>
      <c r="Z438" s="48">
        <f>'Adani Enterprises'!Z438</f>
        <v>0</v>
      </c>
      <c r="AA438" s="48">
        <f>'Adani Enterprises'!AA438</f>
        <v>0</v>
      </c>
      <c r="AB438" s="48">
        <f>'Adani Enterprises'!AB438</f>
        <v>0</v>
      </c>
      <c r="AC438" s="48">
        <f>'Adani Enterprises'!AC438</f>
        <v>0</v>
      </c>
      <c r="AD438" s="48">
        <f>'Adani Enterprises'!AD438</f>
        <v>0</v>
      </c>
      <c r="AE438" s="48">
        <f>'Adani Enterprises'!AE438</f>
        <v>0</v>
      </c>
      <c r="AF438" s="48">
        <f>'Adani Enterprises'!AF438</f>
        <v>0</v>
      </c>
      <c r="AG438" s="48">
        <f>'Adani Enterprises'!AG438</f>
        <v>0</v>
      </c>
      <c r="AH438" s="48">
        <f>'Adani Enterprises'!AH438</f>
        <v>0</v>
      </c>
      <c r="AI438" s="48">
        <f>'Adani Enterprises'!AI438</f>
        <v>0</v>
      </c>
      <c r="AJ438" s="48">
        <f>'Adani Enterprises'!AJ438</f>
        <v>0</v>
      </c>
      <c r="AK438" s="48">
        <f>'Adani Enterprises'!AK438</f>
        <v>0</v>
      </c>
      <c r="AL438" s="48">
        <f>'Adani Enterprises'!AL438</f>
        <v>0</v>
      </c>
    </row>
    <row r="439" customHeight="1" spans="1:38">
      <c r="A439" s="48">
        <f>'Adani Enterprises'!A439</f>
        <v>0</v>
      </c>
      <c r="B439" s="48">
        <f>'Adani Enterprises'!B439</f>
        <v>0</v>
      </c>
      <c r="C439" s="48">
        <f>'Adani Enterprises'!C439</f>
        <v>0</v>
      </c>
      <c r="D439" s="48">
        <f>'Adani Enterprises'!D439</f>
        <v>0</v>
      </c>
      <c r="E439" s="48">
        <f>'Adani Enterprises'!E439</f>
        <v>0</v>
      </c>
      <c r="F439" s="48">
        <f>'Adani Enterprises'!F439</f>
        <v>0</v>
      </c>
      <c r="G439" s="48">
        <f>'Adani Enterprises'!G439</f>
        <v>0</v>
      </c>
      <c r="H439" s="48">
        <f>'Adani Enterprises'!H439</f>
        <v>0</v>
      </c>
      <c r="I439" s="48">
        <f>'Adani Enterprises'!I439</f>
        <v>0</v>
      </c>
      <c r="J439" s="48">
        <f>'Adani Enterprises'!J439</f>
        <v>0</v>
      </c>
      <c r="K439" s="48">
        <f>'Adani Enterprises'!K439</f>
        <v>0</v>
      </c>
      <c r="L439" s="48">
        <f>'Adani Enterprises'!L439</f>
        <v>0</v>
      </c>
      <c r="M439" s="48">
        <f>'Adani Enterprises'!M439</f>
        <v>0</v>
      </c>
      <c r="N439" s="48">
        <f>'Adani Enterprises'!N439</f>
        <v>0</v>
      </c>
      <c r="O439" s="48">
        <f>'Adani Enterprises'!O439</f>
        <v>0</v>
      </c>
      <c r="P439" s="48">
        <f>'Adani Enterprises'!P439</f>
        <v>0</v>
      </c>
      <c r="Q439" s="48">
        <f>'Adani Enterprises'!Q439</f>
        <v>0</v>
      </c>
      <c r="R439" s="48">
        <f>'Adani Enterprises'!R439</f>
        <v>0</v>
      </c>
      <c r="S439" s="48">
        <f>'Adani Enterprises'!S439</f>
        <v>0</v>
      </c>
      <c r="T439" s="48">
        <f>'Adani Enterprises'!T439</f>
        <v>0</v>
      </c>
      <c r="U439" s="48">
        <f>'Adani Enterprises'!U439</f>
        <v>0</v>
      </c>
      <c r="V439" s="48">
        <f>'Adani Enterprises'!V439</f>
        <v>0</v>
      </c>
      <c r="W439" s="48">
        <f>'Adani Enterprises'!W439</f>
        <v>0</v>
      </c>
      <c r="X439" s="48">
        <f>'Adani Enterprises'!X439</f>
        <v>0</v>
      </c>
      <c r="Y439" s="48">
        <f>'Adani Enterprises'!Y439</f>
        <v>0</v>
      </c>
      <c r="Z439" s="48">
        <f>'Adani Enterprises'!Z439</f>
        <v>0</v>
      </c>
      <c r="AA439" s="48">
        <f>'Adani Enterprises'!AA439</f>
        <v>0</v>
      </c>
      <c r="AB439" s="48">
        <f>'Adani Enterprises'!AB439</f>
        <v>0</v>
      </c>
      <c r="AC439" s="48">
        <f>'Adani Enterprises'!AC439</f>
        <v>0</v>
      </c>
      <c r="AD439" s="48">
        <f>'Adani Enterprises'!AD439</f>
        <v>0</v>
      </c>
      <c r="AE439" s="48">
        <f>'Adani Enterprises'!AE439</f>
        <v>0</v>
      </c>
      <c r="AF439" s="48">
        <f>'Adani Enterprises'!AF439</f>
        <v>0</v>
      </c>
      <c r="AG439" s="48">
        <f>'Adani Enterprises'!AG439</f>
        <v>0</v>
      </c>
      <c r="AH439" s="48">
        <f>'Adani Enterprises'!AH439</f>
        <v>0</v>
      </c>
      <c r="AI439" s="48">
        <f>'Adani Enterprises'!AI439</f>
        <v>0</v>
      </c>
      <c r="AJ439" s="48">
        <f>'Adani Enterprises'!AJ439</f>
        <v>0</v>
      </c>
      <c r="AK439" s="48">
        <f>'Adani Enterprises'!AK439</f>
        <v>0</v>
      </c>
      <c r="AL439" s="48">
        <f>'Adani Enterprises'!AL439</f>
        <v>0</v>
      </c>
    </row>
    <row r="440" customHeight="1" spans="1:38">
      <c r="A440" s="48">
        <f>'Adani Enterprises'!A440</f>
        <v>0</v>
      </c>
      <c r="B440" s="48">
        <f>'Adani Enterprises'!B440</f>
        <v>0</v>
      </c>
      <c r="C440" s="48">
        <f>'Adani Enterprises'!C440</f>
        <v>0</v>
      </c>
      <c r="D440" s="48">
        <f>'Adani Enterprises'!D440</f>
        <v>0</v>
      </c>
      <c r="E440" s="48">
        <f>'Adani Enterprises'!E440</f>
        <v>0</v>
      </c>
      <c r="F440" s="48">
        <f>'Adani Enterprises'!F440</f>
        <v>0</v>
      </c>
      <c r="G440" s="48">
        <f>'Adani Enterprises'!G440</f>
        <v>0</v>
      </c>
      <c r="H440" s="48">
        <f>'Adani Enterprises'!H440</f>
        <v>0</v>
      </c>
      <c r="I440" s="48">
        <f>'Adani Enterprises'!I440</f>
        <v>0</v>
      </c>
      <c r="J440" s="48">
        <f>'Adani Enterprises'!J440</f>
        <v>0</v>
      </c>
      <c r="K440" s="48">
        <f>'Adani Enterprises'!K440</f>
        <v>0</v>
      </c>
      <c r="L440" s="48">
        <f>'Adani Enterprises'!L440</f>
        <v>0</v>
      </c>
      <c r="M440" s="48">
        <f>'Adani Enterprises'!M440</f>
        <v>0</v>
      </c>
      <c r="N440" s="48">
        <f>'Adani Enterprises'!N440</f>
        <v>0</v>
      </c>
      <c r="O440" s="48">
        <f>'Adani Enterprises'!O440</f>
        <v>0</v>
      </c>
      <c r="P440" s="48">
        <f>'Adani Enterprises'!P440</f>
        <v>0</v>
      </c>
      <c r="Q440" s="48">
        <f>'Adani Enterprises'!Q440</f>
        <v>0</v>
      </c>
      <c r="R440" s="48">
        <f>'Adani Enterprises'!R440</f>
        <v>0</v>
      </c>
      <c r="S440" s="48">
        <f>'Adani Enterprises'!S440</f>
        <v>0</v>
      </c>
      <c r="T440" s="48">
        <f>'Adani Enterprises'!T440</f>
        <v>0</v>
      </c>
      <c r="U440" s="48">
        <f>'Adani Enterprises'!U440</f>
        <v>0</v>
      </c>
      <c r="V440" s="48">
        <f>'Adani Enterprises'!V440</f>
        <v>0</v>
      </c>
      <c r="W440" s="48">
        <f>'Adani Enterprises'!W440</f>
        <v>0</v>
      </c>
      <c r="X440" s="48">
        <f>'Adani Enterprises'!X440</f>
        <v>0</v>
      </c>
      <c r="Y440" s="48">
        <f>'Adani Enterprises'!Y440</f>
        <v>0</v>
      </c>
      <c r="Z440" s="48">
        <f>'Adani Enterprises'!Z440</f>
        <v>0</v>
      </c>
      <c r="AA440" s="48">
        <f>'Adani Enterprises'!AA440</f>
        <v>0</v>
      </c>
      <c r="AB440" s="48">
        <f>'Adani Enterprises'!AB440</f>
        <v>0</v>
      </c>
      <c r="AC440" s="48">
        <f>'Adani Enterprises'!AC440</f>
        <v>0</v>
      </c>
      <c r="AD440" s="48">
        <f>'Adani Enterprises'!AD440</f>
        <v>0</v>
      </c>
      <c r="AE440" s="48">
        <f>'Adani Enterprises'!AE440</f>
        <v>0</v>
      </c>
      <c r="AF440" s="48">
        <f>'Adani Enterprises'!AF440</f>
        <v>0</v>
      </c>
      <c r="AG440" s="48">
        <f>'Adani Enterprises'!AG440</f>
        <v>0</v>
      </c>
      <c r="AH440" s="48">
        <f>'Adani Enterprises'!AH440</f>
        <v>0</v>
      </c>
      <c r="AI440" s="48">
        <f>'Adani Enterprises'!AI440</f>
        <v>0</v>
      </c>
      <c r="AJ440" s="48">
        <f>'Adani Enterprises'!AJ440</f>
        <v>0</v>
      </c>
      <c r="AK440" s="48">
        <f>'Adani Enterprises'!AK440</f>
        <v>0</v>
      </c>
      <c r="AL440" s="48">
        <f>'Adani Enterprises'!AL440</f>
        <v>0</v>
      </c>
    </row>
    <row r="441" customHeight="1" spans="1:38">
      <c r="A441" s="48">
        <f>'Adani Enterprises'!A441</f>
        <v>0</v>
      </c>
      <c r="B441" s="48">
        <f>'Adani Enterprises'!B441</f>
        <v>0</v>
      </c>
      <c r="C441" s="48">
        <f>'Adani Enterprises'!C441</f>
        <v>0</v>
      </c>
      <c r="D441" s="48">
        <f>'Adani Enterprises'!D441</f>
        <v>0</v>
      </c>
      <c r="E441" s="48">
        <f>'Adani Enterprises'!E441</f>
        <v>0</v>
      </c>
      <c r="F441" s="48">
        <f>'Adani Enterprises'!F441</f>
        <v>0</v>
      </c>
      <c r="G441" s="48">
        <f>'Adani Enterprises'!G441</f>
        <v>0</v>
      </c>
      <c r="H441" s="48">
        <f>'Adani Enterprises'!H441</f>
        <v>0</v>
      </c>
      <c r="I441" s="48">
        <f>'Adani Enterprises'!I441</f>
        <v>0</v>
      </c>
      <c r="J441" s="48">
        <f>'Adani Enterprises'!J441</f>
        <v>0</v>
      </c>
      <c r="K441" s="48">
        <f>'Adani Enterprises'!K441</f>
        <v>0</v>
      </c>
      <c r="L441" s="48">
        <f>'Adani Enterprises'!L441</f>
        <v>0</v>
      </c>
      <c r="M441" s="48">
        <f>'Adani Enterprises'!M441</f>
        <v>0</v>
      </c>
      <c r="N441" s="48">
        <f>'Adani Enterprises'!N441</f>
        <v>0</v>
      </c>
      <c r="O441" s="48">
        <f>'Adani Enterprises'!O441</f>
        <v>0</v>
      </c>
      <c r="P441" s="48">
        <f>'Adani Enterprises'!P441</f>
        <v>0</v>
      </c>
      <c r="Q441" s="48">
        <f>'Adani Enterprises'!Q441</f>
        <v>0</v>
      </c>
      <c r="R441" s="48">
        <f>'Adani Enterprises'!R441</f>
        <v>0</v>
      </c>
      <c r="S441" s="48">
        <f>'Adani Enterprises'!S441</f>
        <v>0</v>
      </c>
      <c r="T441" s="48">
        <f>'Adani Enterprises'!T441</f>
        <v>0</v>
      </c>
      <c r="U441" s="48">
        <f>'Adani Enterprises'!U441</f>
        <v>0</v>
      </c>
      <c r="V441" s="48">
        <f>'Adani Enterprises'!V441</f>
        <v>0</v>
      </c>
      <c r="W441" s="48">
        <f>'Adani Enterprises'!W441</f>
        <v>0</v>
      </c>
      <c r="X441" s="48">
        <f>'Adani Enterprises'!X441</f>
        <v>0</v>
      </c>
      <c r="Y441" s="48">
        <f>'Adani Enterprises'!Y441</f>
        <v>0</v>
      </c>
      <c r="Z441" s="48">
        <f>'Adani Enterprises'!Z441</f>
        <v>0</v>
      </c>
      <c r="AA441" s="48">
        <f>'Adani Enterprises'!AA441</f>
        <v>0</v>
      </c>
      <c r="AB441" s="48">
        <f>'Adani Enterprises'!AB441</f>
        <v>0</v>
      </c>
      <c r="AC441" s="48">
        <f>'Adani Enterprises'!AC441</f>
        <v>0</v>
      </c>
      <c r="AD441" s="48">
        <f>'Adani Enterprises'!AD441</f>
        <v>0</v>
      </c>
      <c r="AE441" s="48">
        <f>'Adani Enterprises'!AE441</f>
        <v>0</v>
      </c>
      <c r="AF441" s="48">
        <f>'Adani Enterprises'!AF441</f>
        <v>0</v>
      </c>
      <c r="AG441" s="48">
        <f>'Adani Enterprises'!AG441</f>
        <v>0</v>
      </c>
      <c r="AH441" s="48">
        <f>'Adani Enterprises'!AH441</f>
        <v>0</v>
      </c>
      <c r="AI441" s="48">
        <f>'Adani Enterprises'!AI441</f>
        <v>0</v>
      </c>
      <c r="AJ441" s="48">
        <f>'Adani Enterprises'!AJ441</f>
        <v>0</v>
      </c>
      <c r="AK441" s="48">
        <f>'Adani Enterprises'!AK441</f>
        <v>0</v>
      </c>
      <c r="AL441" s="48">
        <f>'Adani Enterprises'!AL441</f>
        <v>0</v>
      </c>
    </row>
    <row r="442" customHeight="1" spans="1:38">
      <c r="A442" s="48">
        <f>'Adani Enterprises'!A442</f>
        <v>0</v>
      </c>
      <c r="B442" s="48">
        <f>'Adani Enterprises'!B442</f>
        <v>0</v>
      </c>
      <c r="C442" s="48">
        <f>'Adani Enterprises'!C442</f>
        <v>0</v>
      </c>
      <c r="D442" s="48">
        <f>'Adani Enterprises'!D442</f>
        <v>0</v>
      </c>
      <c r="E442" s="48">
        <f>'Adani Enterprises'!E442</f>
        <v>0</v>
      </c>
      <c r="F442" s="48">
        <f>'Adani Enterprises'!F442</f>
        <v>0</v>
      </c>
      <c r="G442" s="48">
        <f>'Adani Enterprises'!G442</f>
        <v>0</v>
      </c>
      <c r="H442" s="48">
        <f>'Adani Enterprises'!H442</f>
        <v>0</v>
      </c>
      <c r="I442" s="48">
        <f>'Adani Enterprises'!I442</f>
        <v>0</v>
      </c>
      <c r="J442" s="48">
        <f>'Adani Enterprises'!J442</f>
        <v>0</v>
      </c>
      <c r="K442" s="48">
        <f>'Adani Enterprises'!K442</f>
        <v>0</v>
      </c>
      <c r="L442" s="48">
        <f>'Adani Enterprises'!L442</f>
        <v>0</v>
      </c>
      <c r="M442" s="48">
        <f>'Adani Enterprises'!M442</f>
        <v>0</v>
      </c>
      <c r="N442" s="48">
        <f>'Adani Enterprises'!N442</f>
        <v>0</v>
      </c>
      <c r="O442" s="48">
        <f>'Adani Enterprises'!O442</f>
        <v>0</v>
      </c>
      <c r="P442" s="48">
        <f>'Adani Enterprises'!P442</f>
        <v>0</v>
      </c>
      <c r="Q442" s="48">
        <f>'Adani Enterprises'!Q442</f>
        <v>0</v>
      </c>
      <c r="R442" s="48">
        <f>'Adani Enterprises'!R442</f>
        <v>0</v>
      </c>
      <c r="S442" s="48">
        <f>'Adani Enterprises'!S442</f>
        <v>0</v>
      </c>
      <c r="T442" s="48">
        <f>'Adani Enterprises'!T442</f>
        <v>0</v>
      </c>
      <c r="U442" s="48">
        <f>'Adani Enterprises'!U442</f>
        <v>0</v>
      </c>
      <c r="V442" s="48">
        <f>'Adani Enterprises'!V442</f>
        <v>0</v>
      </c>
      <c r="W442" s="48">
        <f>'Adani Enterprises'!W442</f>
        <v>0</v>
      </c>
      <c r="X442" s="48">
        <f>'Adani Enterprises'!X442</f>
        <v>0</v>
      </c>
      <c r="Y442" s="48">
        <f>'Adani Enterprises'!Y442</f>
        <v>0</v>
      </c>
      <c r="Z442" s="48">
        <f>'Adani Enterprises'!Z442</f>
        <v>0</v>
      </c>
      <c r="AA442" s="48">
        <f>'Adani Enterprises'!AA442</f>
        <v>0</v>
      </c>
      <c r="AB442" s="48">
        <f>'Adani Enterprises'!AB442</f>
        <v>0</v>
      </c>
      <c r="AC442" s="48">
        <f>'Adani Enterprises'!AC442</f>
        <v>0</v>
      </c>
      <c r="AD442" s="48">
        <f>'Adani Enterprises'!AD442</f>
        <v>0</v>
      </c>
      <c r="AE442" s="48">
        <f>'Adani Enterprises'!AE442</f>
        <v>0</v>
      </c>
      <c r="AF442" s="48">
        <f>'Adani Enterprises'!AF442</f>
        <v>0</v>
      </c>
      <c r="AG442" s="48">
        <f>'Adani Enterprises'!AG442</f>
        <v>0</v>
      </c>
      <c r="AH442" s="48">
        <f>'Adani Enterprises'!AH442</f>
        <v>0</v>
      </c>
      <c r="AI442" s="48">
        <f>'Adani Enterprises'!AI442</f>
        <v>0</v>
      </c>
      <c r="AJ442" s="48">
        <f>'Adani Enterprises'!AJ442</f>
        <v>0</v>
      </c>
      <c r="AK442" s="48">
        <f>'Adani Enterprises'!AK442</f>
        <v>0</v>
      </c>
      <c r="AL442" s="48">
        <f>'Adani Enterprises'!AL442</f>
        <v>0</v>
      </c>
    </row>
    <row r="443" customHeight="1" spans="1:38">
      <c r="A443" s="48">
        <f>'Adani Enterprises'!A443</f>
        <v>0</v>
      </c>
      <c r="B443" s="48">
        <f>'Adani Enterprises'!B443</f>
        <v>0</v>
      </c>
      <c r="C443" s="48">
        <f>'Adani Enterprises'!C443</f>
        <v>0</v>
      </c>
      <c r="D443" s="48">
        <f>'Adani Enterprises'!D443</f>
        <v>0</v>
      </c>
      <c r="E443" s="48">
        <f>'Adani Enterprises'!E443</f>
        <v>0</v>
      </c>
      <c r="F443" s="48">
        <f>'Adani Enterprises'!F443</f>
        <v>0</v>
      </c>
      <c r="G443" s="48">
        <f>'Adani Enterprises'!G443</f>
        <v>0</v>
      </c>
      <c r="H443" s="48">
        <f>'Adani Enterprises'!H443</f>
        <v>0</v>
      </c>
      <c r="I443" s="48">
        <f>'Adani Enterprises'!I443</f>
        <v>0</v>
      </c>
      <c r="J443" s="48">
        <f>'Adani Enterprises'!J443</f>
        <v>0</v>
      </c>
      <c r="K443" s="48">
        <f>'Adani Enterprises'!K443</f>
        <v>0</v>
      </c>
      <c r="L443" s="48">
        <f>'Adani Enterprises'!L443</f>
        <v>0</v>
      </c>
      <c r="M443" s="48">
        <f>'Adani Enterprises'!M443</f>
        <v>0</v>
      </c>
      <c r="N443" s="48">
        <f>'Adani Enterprises'!N443</f>
        <v>0</v>
      </c>
      <c r="O443" s="48">
        <f>'Adani Enterprises'!O443</f>
        <v>0</v>
      </c>
      <c r="P443" s="48">
        <f>'Adani Enterprises'!P443</f>
        <v>0</v>
      </c>
      <c r="Q443" s="48">
        <f>'Adani Enterprises'!Q443</f>
        <v>0</v>
      </c>
      <c r="R443" s="48">
        <f>'Adani Enterprises'!R443</f>
        <v>0</v>
      </c>
      <c r="S443" s="48">
        <f>'Adani Enterprises'!S443</f>
        <v>0</v>
      </c>
      <c r="T443" s="48">
        <f>'Adani Enterprises'!T443</f>
        <v>0</v>
      </c>
      <c r="U443" s="48">
        <f>'Adani Enterprises'!U443</f>
        <v>0</v>
      </c>
      <c r="V443" s="48">
        <f>'Adani Enterprises'!V443</f>
        <v>0</v>
      </c>
      <c r="W443" s="48">
        <f>'Adani Enterprises'!W443</f>
        <v>0</v>
      </c>
      <c r="X443" s="48">
        <f>'Adani Enterprises'!X443</f>
        <v>0</v>
      </c>
      <c r="Y443" s="48">
        <f>'Adani Enterprises'!Y443</f>
        <v>0</v>
      </c>
      <c r="Z443" s="48">
        <f>'Adani Enterprises'!Z443</f>
        <v>0</v>
      </c>
      <c r="AA443" s="48">
        <f>'Adani Enterprises'!AA443</f>
        <v>0</v>
      </c>
      <c r="AB443" s="48">
        <f>'Adani Enterprises'!AB443</f>
        <v>0</v>
      </c>
      <c r="AC443" s="48">
        <f>'Adani Enterprises'!AC443</f>
        <v>0</v>
      </c>
      <c r="AD443" s="48">
        <f>'Adani Enterprises'!AD443</f>
        <v>0</v>
      </c>
      <c r="AE443" s="48">
        <f>'Adani Enterprises'!AE443</f>
        <v>0</v>
      </c>
      <c r="AF443" s="48">
        <f>'Adani Enterprises'!AF443</f>
        <v>0</v>
      </c>
      <c r="AG443" s="48">
        <f>'Adani Enterprises'!AG443</f>
        <v>0</v>
      </c>
      <c r="AH443" s="48">
        <f>'Adani Enterprises'!AH443</f>
        <v>0</v>
      </c>
      <c r="AI443" s="48">
        <f>'Adani Enterprises'!AI443</f>
        <v>0</v>
      </c>
      <c r="AJ443" s="48">
        <f>'Adani Enterprises'!AJ443</f>
        <v>0</v>
      </c>
      <c r="AK443" s="48">
        <f>'Adani Enterprises'!AK443</f>
        <v>0</v>
      </c>
      <c r="AL443" s="48">
        <f>'Adani Enterprises'!AL443</f>
        <v>0</v>
      </c>
    </row>
    <row r="444" customHeight="1" spans="1:38">
      <c r="A444" s="48">
        <f>'Adani Enterprises'!A444</f>
        <v>0</v>
      </c>
      <c r="B444" s="48">
        <f>'Adani Enterprises'!B444</f>
        <v>0</v>
      </c>
      <c r="C444" s="48">
        <f>'Adani Enterprises'!C444</f>
        <v>0</v>
      </c>
      <c r="D444" s="48">
        <f>'Adani Enterprises'!D444</f>
        <v>0</v>
      </c>
      <c r="E444" s="48">
        <f>'Adani Enterprises'!E444</f>
        <v>0</v>
      </c>
      <c r="F444" s="48">
        <f>'Adani Enterprises'!F444</f>
        <v>0</v>
      </c>
      <c r="G444" s="48">
        <f>'Adani Enterprises'!G444</f>
        <v>0</v>
      </c>
      <c r="H444" s="48">
        <f>'Adani Enterprises'!H444</f>
        <v>0</v>
      </c>
      <c r="I444" s="48">
        <f>'Adani Enterprises'!I444</f>
        <v>0</v>
      </c>
      <c r="J444" s="48">
        <f>'Adani Enterprises'!J444</f>
        <v>0</v>
      </c>
      <c r="K444" s="48">
        <f>'Adani Enterprises'!K444</f>
        <v>0</v>
      </c>
      <c r="L444" s="48">
        <f>'Adani Enterprises'!L444</f>
        <v>0</v>
      </c>
      <c r="M444" s="48">
        <f>'Adani Enterprises'!M444</f>
        <v>0</v>
      </c>
      <c r="N444" s="48">
        <f>'Adani Enterprises'!N444</f>
        <v>0</v>
      </c>
      <c r="O444" s="48">
        <f>'Adani Enterprises'!O444</f>
        <v>0</v>
      </c>
      <c r="P444" s="48">
        <f>'Adani Enterprises'!P444</f>
        <v>0</v>
      </c>
      <c r="Q444" s="48">
        <f>'Adani Enterprises'!Q444</f>
        <v>0</v>
      </c>
      <c r="R444" s="48">
        <f>'Adani Enterprises'!R444</f>
        <v>0</v>
      </c>
      <c r="S444" s="48">
        <f>'Adani Enterprises'!S444</f>
        <v>0</v>
      </c>
      <c r="T444" s="48">
        <f>'Adani Enterprises'!T444</f>
        <v>0</v>
      </c>
      <c r="U444" s="48">
        <f>'Adani Enterprises'!U444</f>
        <v>0</v>
      </c>
      <c r="V444" s="48">
        <f>'Adani Enterprises'!V444</f>
        <v>0</v>
      </c>
      <c r="W444" s="48">
        <f>'Adani Enterprises'!W444</f>
        <v>0</v>
      </c>
      <c r="X444" s="48">
        <f>'Adani Enterprises'!X444</f>
        <v>0</v>
      </c>
      <c r="Y444" s="48">
        <f>'Adani Enterprises'!Y444</f>
        <v>0</v>
      </c>
      <c r="Z444" s="48">
        <f>'Adani Enterprises'!Z444</f>
        <v>0</v>
      </c>
      <c r="AA444" s="48">
        <f>'Adani Enterprises'!AA444</f>
        <v>0</v>
      </c>
      <c r="AB444" s="48">
        <f>'Adani Enterprises'!AB444</f>
        <v>0</v>
      </c>
      <c r="AC444" s="48">
        <f>'Adani Enterprises'!AC444</f>
        <v>0</v>
      </c>
      <c r="AD444" s="48">
        <f>'Adani Enterprises'!AD444</f>
        <v>0</v>
      </c>
      <c r="AE444" s="48">
        <f>'Adani Enterprises'!AE444</f>
        <v>0</v>
      </c>
      <c r="AF444" s="48">
        <f>'Adani Enterprises'!AF444</f>
        <v>0</v>
      </c>
      <c r="AG444" s="48">
        <f>'Adani Enterprises'!AG444</f>
        <v>0</v>
      </c>
      <c r="AH444" s="48">
        <f>'Adani Enterprises'!AH444</f>
        <v>0</v>
      </c>
      <c r="AI444" s="48">
        <f>'Adani Enterprises'!AI444</f>
        <v>0</v>
      </c>
      <c r="AJ444" s="48">
        <f>'Adani Enterprises'!AJ444</f>
        <v>0</v>
      </c>
      <c r="AK444" s="48">
        <f>'Adani Enterprises'!AK444</f>
        <v>0</v>
      </c>
      <c r="AL444" s="48">
        <f>'Adani Enterprises'!AL444</f>
        <v>0</v>
      </c>
    </row>
    <row r="445" customHeight="1" spans="1:38">
      <c r="A445" s="48">
        <f>'Adani Enterprises'!A445</f>
        <v>0</v>
      </c>
      <c r="B445" s="48">
        <f>'Adani Enterprises'!B445</f>
        <v>0</v>
      </c>
      <c r="C445" s="48">
        <f>'Adani Enterprises'!C445</f>
        <v>0</v>
      </c>
      <c r="D445" s="48">
        <f>'Adani Enterprises'!D445</f>
        <v>0</v>
      </c>
      <c r="E445" s="48">
        <f>'Adani Enterprises'!E445</f>
        <v>0</v>
      </c>
      <c r="F445" s="48">
        <f>'Adani Enterprises'!F445</f>
        <v>0</v>
      </c>
      <c r="G445" s="48">
        <f>'Adani Enterprises'!G445</f>
        <v>0</v>
      </c>
      <c r="H445" s="48">
        <f>'Adani Enterprises'!H445</f>
        <v>0</v>
      </c>
      <c r="I445" s="48">
        <f>'Adani Enterprises'!I445</f>
        <v>0</v>
      </c>
      <c r="J445" s="48">
        <f>'Adani Enterprises'!J445</f>
        <v>0</v>
      </c>
      <c r="K445" s="48">
        <f>'Adani Enterprises'!K445</f>
        <v>0</v>
      </c>
      <c r="L445" s="48">
        <f>'Adani Enterprises'!L445</f>
        <v>0</v>
      </c>
      <c r="M445" s="48">
        <f>'Adani Enterprises'!M445</f>
        <v>0</v>
      </c>
      <c r="N445" s="48">
        <f>'Adani Enterprises'!N445</f>
        <v>0</v>
      </c>
      <c r="O445" s="48">
        <f>'Adani Enterprises'!O445</f>
        <v>0</v>
      </c>
      <c r="P445" s="48">
        <f>'Adani Enterprises'!P445</f>
        <v>0</v>
      </c>
      <c r="Q445" s="48">
        <f>'Adani Enterprises'!Q445</f>
        <v>0</v>
      </c>
      <c r="R445" s="48">
        <f>'Adani Enterprises'!R445</f>
        <v>0</v>
      </c>
      <c r="S445" s="48">
        <f>'Adani Enterprises'!S445</f>
        <v>0</v>
      </c>
      <c r="T445" s="48">
        <f>'Adani Enterprises'!T445</f>
        <v>0</v>
      </c>
      <c r="U445" s="48">
        <f>'Adani Enterprises'!U445</f>
        <v>0</v>
      </c>
      <c r="V445" s="48">
        <f>'Adani Enterprises'!V445</f>
        <v>0</v>
      </c>
      <c r="W445" s="48">
        <f>'Adani Enterprises'!W445</f>
        <v>0</v>
      </c>
      <c r="X445" s="48">
        <f>'Adani Enterprises'!X445</f>
        <v>0</v>
      </c>
      <c r="Y445" s="48">
        <f>'Adani Enterprises'!Y445</f>
        <v>0</v>
      </c>
      <c r="Z445" s="48">
        <f>'Adani Enterprises'!Z445</f>
        <v>0</v>
      </c>
      <c r="AA445" s="48">
        <f>'Adani Enterprises'!AA445</f>
        <v>0</v>
      </c>
      <c r="AB445" s="48">
        <f>'Adani Enterprises'!AB445</f>
        <v>0</v>
      </c>
      <c r="AC445" s="48">
        <f>'Adani Enterprises'!AC445</f>
        <v>0</v>
      </c>
      <c r="AD445" s="48">
        <f>'Adani Enterprises'!AD445</f>
        <v>0</v>
      </c>
      <c r="AE445" s="48">
        <f>'Adani Enterprises'!AE445</f>
        <v>0</v>
      </c>
      <c r="AF445" s="48">
        <f>'Adani Enterprises'!AF445</f>
        <v>0</v>
      </c>
      <c r="AG445" s="48">
        <f>'Adani Enterprises'!AG445</f>
        <v>0</v>
      </c>
      <c r="AH445" s="48">
        <f>'Adani Enterprises'!AH445</f>
        <v>0</v>
      </c>
      <c r="AI445" s="48">
        <f>'Adani Enterprises'!AI445</f>
        <v>0</v>
      </c>
      <c r="AJ445" s="48">
        <f>'Adani Enterprises'!AJ445</f>
        <v>0</v>
      </c>
      <c r="AK445" s="48">
        <f>'Adani Enterprises'!AK445</f>
        <v>0</v>
      </c>
      <c r="AL445" s="48">
        <f>'Adani Enterprises'!AL445</f>
        <v>0</v>
      </c>
    </row>
    <row r="446" customHeight="1" spans="1:38">
      <c r="A446" s="48">
        <f>'Adani Enterprises'!A446</f>
        <v>0</v>
      </c>
      <c r="B446" s="48">
        <f>'Adani Enterprises'!B446</f>
        <v>0</v>
      </c>
      <c r="C446" s="48">
        <f>'Adani Enterprises'!C446</f>
        <v>0</v>
      </c>
      <c r="D446" s="48">
        <f>'Adani Enterprises'!D446</f>
        <v>0</v>
      </c>
      <c r="E446" s="48">
        <f>'Adani Enterprises'!E446</f>
        <v>0</v>
      </c>
      <c r="F446" s="48">
        <f>'Adani Enterprises'!F446</f>
        <v>0</v>
      </c>
      <c r="G446" s="48">
        <f>'Adani Enterprises'!G446</f>
        <v>0</v>
      </c>
      <c r="H446" s="48">
        <f>'Adani Enterprises'!H446</f>
        <v>0</v>
      </c>
      <c r="I446" s="48">
        <f>'Adani Enterprises'!I446</f>
        <v>0</v>
      </c>
      <c r="J446" s="48">
        <f>'Adani Enterprises'!J446</f>
        <v>0</v>
      </c>
      <c r="K446" s="48">
        <f>'Adani Enterprises'!K446</f>
        <v>0</v>
      </c>
      <c r="L446" s="48">
        <f>'Adani Enterprises'!L446</f>
        <v>0</v>
      </c>
      <c r="M446" s="48">
        <f>'Adani Enterprises'!M446</f>
        <v>0</v>
      </c>
      <c r="N446" s="48">
        <f>'Adani Enterprises'!N446</f>
        <v>0</v>
      </c>
      <c r="O446" s="48">
        <f>'Adani Enterprises'!O446</f>
        <v>0</v>
      </c>
      <c r="P446" s="48">
        <f>'Adani Enterprises'!P446</f>
        <v>0</v>
      </c>
      <c r="Q446" s="48">
        <f>'Adani Enterprises'!Q446</f>
        <v>0</v>
      </c>
      <c r="R446" s="48">
        <f>'Adani Enterprises'!R446</f>
        <v>0</v>
      </c>
      <c r="S446" s="48">
        <f>'Adani Enterprises'!S446</f>
        <v>0</v>
      </c>
      <c r="T446" s="48">
        <f>'Adani Enterprises'!T446</f>
        <v>0</v>
      </c>
      <c r="U446" s="48">
        <f>'Adani Enterprises'!U446</f>
        <v>0</v>
      </c>
      <c r="V446" s="48">
        <f>'Adani Enterprises'!V446</f>
        <v>0</v>
      </c>
      <c r="W446" s="48">
        <f>'Adani Enterprises'!W446</f>
        <v>0</v>
      </c>
      <c r="X446" s="48">
        <f>'Adani Enterprises'!X446</f>
        <v>0</v>
      </c>
      <c r="Y446" s="48">
        <f>'Adani Enterprises'!Y446</f>
        <v>0</v>
      </c>
      <c r="Z446" s="48">
        <f>'Adani Enterprises'!Z446</f>
        <v>0</v>
      </c>
      <c r="AA446" s="48">
        <f>'Adani Enterprises'!AA446</f>
        <v>0</v>
      </c>
      <c r="AB446" s="48">
        <f>'Adani Enterprises'!AB446</f>
        <v>0</v>
      </c>
      <c r="AC446" s="48">
        <f>'Adani Enterprises'!AC446</f>
        <v>0</v>
      </c>
      <c r="AD446" s="48">
        <f>'Adani Enterprises'!AD446</f>
        <v>0</v>
      </c>
      <c r="AE446" s="48">
        <f>'Adani Enterprises'!AE446</f>
        <v>0</v>
      </c>
      <c r="AF446" s="48">
        <f>'Adani Enterprises'!AF446</f>
        <v>0</v>
      </c>
      <c r="AG446" s="48">
        <f>'Adani Enterprises'!AG446</f>
        <v>0</v>
      </c>
      <c r="AH446" s="48">
        <f>'Adani Enterprises'!AH446</f>
        <v>0</v>
      </c>
      <c r="AI446" s="48">
        <f>'Adani Enterprises'!AI446</f>
        <v>0</v>
      </c>
      <c r="AJ446" s="48">
        <f>'Adani Enterprises'!AJ446</f>
        <v>0</v>
      </c>
      <c r="AK446" s="48">
        <f>'Adani Enterprises'!AK446</f>
        <v>0</v>
      </c>
      <c r="AL446" s="48">
        <f>'Adani Enterprises'!AL446</f>
        <v>0</v>
      </c>
    </row>
    <row r="447" customHeight="1" spans="1:38">
      <c r="A447" s="48">
        <f>'Adani Enterprises'!A447</f>
        <v>0</v>
      </c>
      <c r="B447" s="48">
        <f>'Adani Enterprises'!B447</f>
        <v>0</v>
      </c>
      <c r="C447" s="48">
        <f>'Adani Enterprises'!C447</f>
        <v>0</v>
      </c>
      <c r="D447" s="48">
        <f>'Adani Enterprises'!D447</f>
        <v>0</v>
      </c>
      <c r="E447" s="48">
        <f>'Adani Enterprises'!E447</f>
        <v>0</v>
      </c>
      <c r="F447" s="48">
        <f>'Adani Enterprises'!F447</f>
        <v>0</v>
      </c>
      <c r="G447" s="48">
        <f>'Adani Enterprises'!G447</f>
        <v>0</v>
      </c>
      <c r="H447" s="48">
        <f>'Adani Enterprises'!H447</f>
        <v>0</v>
      </c>
      <c r="I447" s="48">
        <f>'Adani Enterprises'!I447</f>
        <v>0</v>
      </c>
      <c r="J447" s="48">
        <f>'Adani Enterprises'!J447</f>
        <v>0</v>
      </c>
      <c r="K447" s="48">
        <f>'Adani Enterprises'!K447</f>
        <v>0</v>
      </c>
      <c r="L447" s="48">
        <f>'Adani Enterprises'!L447</f>
        <v>0</v>
      </c>
      <c r="M447" s="48">
        <f>'Adani Enterprises'!M447</f>
        <v>0</v>
      </c>
      <c r="N447" s="48">
        <f>'Adani Enterprises'!N447</f>
        <v>0</v>
      </c>
      <c r="O447" s="48">
        <f>'Adani Enterprises'!O447</f>
        <v>0</v>
      </c>
      <c r="P447" s="48">
        <f>'Adani Enterprises'!P447</f>
        <v>0</v>
      </c>
      <c r="Q447" s="48">
        <f>'Adani Enterprises'!Q447</f>
        <v>0</v>
      </c>
      <c r="R447" s="48">
        <f>'Adani Enterprises'!R447</f>
        <v>0</v>
      </c>
      <c r="S447" s="48">
        <f>'Adani Enterprises'!S447</f>
        <v>0</v>
      </c>
      <c r="T447" s="48">
        <f>'Adani Enterprises'!T447</f>
        <v>0</v>
      </c>
      <c r="U447" s="48">
        <f>'Adani Enterprises'!U447</f>
        <v>0</v>
      </c>
      <c r="V447" s="48">
        <f>'Adani Enterprises'!V447</f>
        <v>0</v>
      </c>
      <c r="W447" s="48">
        <f>'Adani Enterprises'!W447</f>
        <v>0</v>
      </c>
      <c r="X447" s="48">
        <f>'Adani Enterprises'!X447</f>
        <v>0</v>
      </c>
      <c r="Y447" s="48">
        <f>'Adani Enterprises'!Y447</f>
        <v>0</v>
      </c>
      <c r="Z447" s="48">
        <f>'Adani Enterprises'!Z447</f>
        <v>0</v>
      </c>
      <c r="AA447" s="48">
        <f>'Adani Enterprises'!AA447</f>
        <v>0</v>
      </c>
      <c r="AB447" s="48">
        <f>'Adani Enterprises'!AB447</f>
        <v>0</v>
      </c>
      <c r="AC447" s="48">
        <f>'Adani Enterprises'!AC447</f>
        <v>0</v>
      </c>
      <c r="AD447" s="48">
        <f>'Adani Enterprises'!AD447</f>
        <v>0</v>
      </c>
      <c r="AE447" s="48">
        <f>'Adani Enterprises'!AE447</f>
        <v>0</v>
      </c>
      <c r="AF447" s="48">
        <f>'Adani Enterprises'!AF447</f>
        <v>0</v>
      </c>
      <c r="AG447" s="48">
        <f>'Adani Enterprises'!AG447</f>
        <v>0</v>
      </c>
      <c r="AH447" s="48">
        <f>'Adani Enterprises'!AH447</f>
        <v>0</v>
      </c>
      <c r="AI447" s="48">
        <f>'Adani Enterprises'!AI447</f>
        <v>0</v>
      </c>
      <c r="AJ447" s="48">
        <f>'Adani Enterprises'!AJ447</f>
        <v>0</v>
      </c>
      <c r="AK447" s="48">
        <f>'Adani Enterprises'!AK447</f>
        <v>0</v>
      </c>
      <c r="AL447" s="48">
        <f>'Adani Enterprises'!AL447</f>
        <v>0</v>
      </c>
    </row>
    <row r="448" customHeight="1" spans="1:38">
      <c r="A448" s="48">
        <f>'Adani Enterprises'!A448</f>
        <v>0</v>
      </c>
      <c r="B448" s="48">
        <f>'Adani Enterprises'!B448</f>
        <v>0</v>
      </c>
      <c r="C448" s="48">
        <f>'Adani Enterprises'!C448</f>
        <v>0</v>
      </c>
      <c r="D448" s="48">
        <f>'Adani Enterprises'!D448</f>
        <v>0</v>
      </c>
      <c r="E448" s="48">
        <f>'Adani Enterprises'!E448</f>
        <v>0</v>
      </c>
      <c r="F448" s="48">
        <f>'Adani Enterprises'!F448</f>
        <v>0</v>
      </c>
      <c r="G448" s="48">
        <f>'Adani Enterprises'!G448</f>
        <v>0</v>
      </c>
      <c r="H448" s="48">
        <f>'Adani Enterprises'!H448</f>
        <v>0</v>
      </c>
      <c r="I448" s="48">
        <f>'Adani Enterprises'!I448</f>
        <v>0</v>
      </c>
      <c r="J448" s="48">
        <f>'Adani Enterprises'!J448</f>
        <v>0</v>
      </c>
      <c r="K448" s="48">
        <f>'Adani Enterprises'!K448</f>
        <v>0</v>
      </c>
      <c r="L448" s="48">
        <f>'Adani Enterprises'!L448</f>
        <v>0</v>
      </c>
      <c r="M448" s="48">
        <f>'Adani Enterprises'!M448</f>
        <v>0</v>
      </c>
      <c r="N448" s="48">
        <f>'Adani Enterprises'!N448</f>
        <v>0</v>
      </c>
      <c r="O448" s="48">
        <f>'Adani Enterprises'!O448</f>
        <v>0</v>
      </c>
      <c r="P448" s="48">
        <f>'Adani Enterprises'!P448</f>
        <v>0</v>
      </c>
      <c r="Q448" s="48">
        <f>'Adani Enterprises'!Q448</f>
        <v>0</v>
      </c>
      <c r="R448" s="48">
        <f>'Adani Enterprises'!R448</f>
        <v>0</v>
      </c>
      <c r="S448" s="48">
        <f>'Adani Enterprises'!S448</f>
        <v>0</v>
      </c>
      <c r="T448" s="48">
        <f>'Adani Enterprises'!T448</f>
        <v>0</v>
      </c>
      <c r="U448" s="48">
        <f>'Adani Enterprises'!U448</f>
        <v>0</v>
      </c>
      <c r="V448" s="48">
        <f>'Adani Enterprises'!V448</f>
        <v>0</v>
      </c>
      <c r="W448" s="48">
        <f>'Adani Enterprises'!W448</f>
        <v>0</v>
      </c>
      <c r="X448" s="48">
        <f>'Adani Enterprises'!X448</f>
        <v>0</v>
      </c>
      <c r="Y448" s="48">
        <f>'Adani Enterprises'!Y448</f>
        <v>0</v>
      </c>
      <c r="Z448" s="48">
        <f>'Adani Enterprises'!Z448</f>
        <v>0</v>
      </c>
      <c r="AA448" s="48">
        <f>'Adani Enterprises'!AA448</f>
        <v>0</v>
      </c>
      <c r="AB448" s="48">
        <f>'Adani Enterprises'!AB448</f>
        <v>0</v>
      </c>
      <c r="AC448" s="48">
        <f>'Adani Enterprises'!AC448</f>
        <v>0</v>
      </c>
      <c r="AD448" s="48">
        <f>'Adani Enterprises'!AD448</f>
        <v>0</v>
      </c>
      <c r="AE448" s="48">
        <f>'Adani Enterprises'!AE448</f>
        <v>0</v>
      </c>
      <c r="AF448" s="48">
        <f>'Adani Enterprises'!AF448</f>
        <v>0</v>
      </c>
      <c r="AG448" s="48">
        <f>'Adani Enterprises'!AG448</f>
        <v>0</v>
      </c>
      <c r="AH448" s="48">
        <f>'Adani Enterprises'!AH448</f>
        <v>0</v>
      </c>
      <c r="AI448" s="48">
        <f>'Adani Enterprises'!AI448</f>
        <v>0</v>
      </c>
      <c r="AJ448" s="48">
        <f>'Adani Enterprises'!AJ448</f>
        <v>0</v>
      </c>
      <c r="AK448" s="48">
        <f>'Adani Enterprises'!AK448</f>
        <v>0</v>
      </c>
      <c r="AL448" s="48">
        <f>'Adani Enterprises'!AL448</f>
        <v>0</v>
      </c>
    </row>
    <row r="449" customHeight="1" spans="1:38">
      <c r="A449" s="48">
        <f>'Adani Enterprises'!A449</f>
        <v>0</v>
      </c>
      <c r="B449" s="48">
        <f>'Adani Enterprises'!B449</f>
        <v>0</v>
      </c>
      <c r="C449" s="48">
        <f>'Adani Enterprises'!C449</f>
        <v>0</v>
      </c>
      <c r="D449" s="48">
        <f>'Adani Enterprises'!D449</f>
        <v>0</v>
      </c>
      <c r="E449" s="48">
        <f>'Adani Enterprises'!E449</f>
        <v>0</v>
      </c>
      <c r="F449" s="48">
        <f>'Adani Enterprises'!F449</f>
        <v>0</v>
      </c>
      <c r="G449" s="48">
        <f>'Adani Enterprises'!G449</f>
        <v>0</v>
      </c>
      <c r="H449" s="48">
        <f>'Adani Enterprises'!H449</f>
        <v>0</v>
      </c>
      <c r="I449" s="48">
        <f>'Adani Enterprises'!I449</f>
        <v>0</v>
      </c>
      <c r="J449" s="48">
        <f>'Adani Enterprises'!J449</f>
        <v>0</v>
      </c>
      <c r="K449" s="48">
        <f>'Adani Enterprises'!K449</f>
        <v>0</v>
      </c>
      <c r="L449" s="48">
        <f>'Adani Enterprises'!L449</f>
        <v>0</v>
      </c>
      <c r="M449" s="48">
        <f>'Adani Enterprises'!M449</f>
        <v>0</v>
      </c>
      <c r="N449" s="48">
        <f>'Adani Enterprises'!N449</f>
        <v>0</v>
      </c>
      <c r="O449" s="48">
        <f>'Adani Enterprises'!O449</f>
        <v>0</v>
      </c>
      <c r="P449" s="48">
        <f>'Adani Enterprises'!P449</f>
        <v>0</v>
      </c>
      <c r="Q449" s="48">
        <f>'Adani Enterprises'!Q449</f>
        <v>0</v>
      </c>
      <c r="R449" s="48">
        <f>'Adani Enterprises'!R449</f>
        <v>0</v>
      </c>
      <c r="S449" s="48">
        <f>'Adani Enterprises'!S449</f>
        <v>0</v>
      </c>
      <c r="T449" s="48">
        <f>'Adani Enterprises'!T449</f>
        <v>0</v>
      </c>
      <c r="U449" s="48">
        <f>'Adani Enterprises'!U449</f>
        <v>0</v>
      </c>
      <c r="V449" s="48">
        <f>'Adani Enterprises'!V449</f>
        <v>0</v>
      </c>
      <c r="W449" s="48">
        <f>'Adani Enterprises'!W449</f>
        <v>0</v>
      </c>
      <c r="X449" s="48">
        <f>'Adani Enterprises'!X449</f>
        <v>0</v>
      </c>
      <c r="Y449" s="48">
        <f>'Adani Enterprises'!Y449</f>
        <v>0</v>
      </c>
      <c r="Z449" s="48">
        <f>'Adani Enterprises'!Z449</f>
        <v>0</v>
      </c>
      <c r="AA449" s="48">
        <f>'Adani Enterprises'!AA449</f>
        <v>0</v>
      </c>
      <c r="AB449" s="48">
        <f>'Adani Enterprises'!AB449</f>
        <v>0</v>
      </c>
      <c r="AC449" s="48">
        <f>'Adani Enterprises'!AC449</f>
        <v>0</v>
      </c>
      <c r="AD449" s="48">
        <f>'Adani Enterprises'!AD449</f>
        <v>0</v>
      </c>
      <c r="AE449" s="48">
        <f>'Adani Enterprises'!AE449</f>
        <v>0</v>
      </c>
      <c r="AF449" s="48">
        <f>'Adani Enterprises'!AF449</f>
        <v>0</v>
      </c>
      <c r="AG449" s="48">
        <f>'Adani Enterprises'!AG449</f>
        <v>0</v>
      </c>
      <c r="AH449" s="48">
        <f>'Adani Enterprises'!AH449</f>
        <v>0</v>
      </c>
      <c r="AI449" s="48">
        <f>'Adani Enterprises'!AI449</f>
        <v>0</v>
      </c>
      <c r="AJ449" s="48">
        <f>'Adani Enterprises'!AJ449</f>
        <v>0</v>
      </c>
      <c r="AK449" s="48">
        <f>'Adani Enterprises'!AK449</f>
        <v>0</v>
      </c>
      <c r="AL449" s="48">
        <f>'Adani Enterprises'!AL449</f>
        <v>0</v>
      </c>
    </row>
    <row r="450" customHeight="1" spans="1:38">
      <c r="A450" s="48">
        <f>'Adani Enterprises'!A450</f>
        <v>0</v>
      </c>
      <c r="B450" s="48">
        <f>'Adani Enterprises'!B450</f>
        <v>0</v>
      </c>
      <c r="C450" s="48">
        <f>'Adani Enterprises'!C450</f>
        <v>0</v>
      </c>
      <c r="D450" s="48">
        <f>'Adani Enterprises'!D450</f>
        <v>0</v>
      </c>
      <c r="E450" s="48">
        <f>'Adani Enterprises'!E450</f>
        <v>0</v>
      </c>
      <c r="F450" s="48">
        <f>'Adani Enterprises'!F450</f>
        <v>0</v>
      </c>
      <c r="G450" s="48">
        <f>'Adani Enterprises'!G450</f>
        <v>0</v>
      </c>
      <c r="H450" s="48">
        <f>'Adani Enterprises'!H450</f>
        <v>0</v>
      </c>
      <c r="I450" s="48">
        <f>'Adani Enterprises'!I450</f>
        <v>0</v>
      </c>
      <c r="J450" s="48">
        <f>'Adani Enterprises'!J450</f>
        <v>0</v>
      </c>
      <c r="K450" s="48">
        <f>'Adani Enterprises'!K450</f>
        <v>0</v>
      </c>
      <c r="L450" s="48">
        <f>'Adani Enterprises'!L450</f>
        <v>0</v>
      </c>
      <c r="M450" s="48">
        <f>'Adani Enterprises'!M450</f>
        <v>0</v>
      </c>
      <c r="N450" s="48">
        <f>'Adani Enterprises'!N450</f>
        <v>0</v>
      </c>
      <c r="O450" s="48">
        <f>'Adani Enterprises'!O450</f>
        <v>0</v>
      </c>
      <c r="P450" s="48">
        <f>'Adani Enterprises'!P450</f>
        <v>0</v>
      </c>
      <c r="Q450" s="48">
        <f>'Adani Enterprises'!Q450</f>
        <v>0</v>
      </c>
      <c r="R450" s="48">
        <f>'Adani Enterprises'!R450</f>
        <v>0</v>
      </c>
      <c r="S450" s="48">
        <f>'Adani Enterprises'!S450</f>
        <v>0</v>
      </c>
      <c r="T450" s="48">
        <f>'Adani Enterprises'!T450</f>
        <v>0</v>
      </c>
      <c r="U450" s="48">
        <f>'Adani Enterprises'!U450</f>
        <v>0</v>
      </c>
      <c r="V450" s="48">
        <f>'Adani Enterprises'!V450</f>
        <v>0</v>
      </c>
      <c r="W450" s="48">
        <f>'Adani Enterprises'!W450</f>
        <v>0</v>
      </c>
      <c r="X450" s="48">
        <f>'Adani Enterprises'!X450</f>
        <v>0</v>
      </c>
      <c r="Y450" s="48">
        <f>'Adani Enterprises'!Y450</f>
        <v>0</v>
      </c>
      <c r="Z450" s="48">
        <f>'Adani Enterprises'!Z450</f>
        <v>0</v>
      </c>
      <c r="AA450" s="48">
        <f>'Adani Enterprises'!AA450</f>
        <v>0</v>
      </c>
      <c r="AB450" s="48">
        <f>'Adani Enterprises'!AB450</f>
        <v>0</v>
      </c>
      <c r="AC450" s="48">
        <f>'Adani Enterprises'!AC450</f>
        <v>0</v>
      </c>
      <c r="AD450" s="48">
        <f>'Adani Enterprises'!AD450</f>
        <v>0</v>
      </c>
      <c r="AE450" s="48">
        <f>'Adani Enterprises'!AE450</f>
        <v>0</v>
      </c>
      <c r="AF450" s="48">
        <f>'Adani Enterprises'!AF450</f>
        <v>0</v>
      </c>
      <c r="AG450" s="48">
        <f>'Adani Enterprises'!AG450</f>
        <v>0</v>
      </c>
      <c r="AH450" s="48">
        <f>'Adani Enterprises'!AH450</f>
        <v>0</v>
      </c>
      <c r="AI450" s="48">
        <f>'Adani Enterprises'!AI450</f>
        <v>0</v>
      </c>
      <c r="AJ450" s="48">
        <f>'Adani Enterprises'!AJ450</f>
        <v>0</v>
      </c>
      <c r="AK450" s="48">
        <f>'Adani Enterprises'!AK450</f>
        <v>0</v>
      </c>
      <c r="AL450" s="48">
        <f>'Adani Enterprises'!AL450</f>
        <v>0</v>
      </c>
    </row>
    <row r="451" customHeight="1" spans="1:38">
      <c r="A451" s="48">
        <f>'Adani Enterprises'!A451</f>
        <v>0</v>
      </c>
      <c r="B451" s="48">
        <f>'Adani Enterprises'!B451</f>
        <v>0</v>
      </c>
      <c r="C451" s="48">
        <f>'Adani Enterprises'!C451</f>
        <v>0</v>
      </c>
      <c r="D451" s="48">
        <f>'Adani Enterprises'!D451</f>
        <v>0</v>
      </c>
      <c r="E451" s="48">
        <f>'Adani Enterprises'!E451</f>
        <v>0</v>
      </c>
      <c r="F451" s="48">
        <f>'Adani Enterprises'!F451</f>
        <v>0</v>
      </c>
      <c r="G451" s="48">
        <f>'Adani Enterprises'!G451</f>
        <v>0</v>
      </c>
      <c r="H451" s="48">
        <f>'Adani Enterprises'!H451</f>
        <v>0</v>
      </c>
      <c r="I451" s="48">
        <f>'Adani Enterprises'!I451</f>
        <v>0</v>
      </c>
      <c r="J451" s="48">
        <f>'Adani Enterprises'!J451</f>
        <v>0</v>
      </c>
      <c r="K451" s="48">
        <f>'Adani Enterprises'!K451</f>
        <v>0</v>
      </c>
      <c r="L451" s="48">
        <f>'Adani Enterprises'!L451</f>
        <v>0</v>
      </c>
      <c r="M451" s="48">
        <f>'Adani Enterprises'!M451</f>
        <v>0</v>
      </c>
      <c r="N451" s="48">
        <f>'Adani Enterprises'!N451</f>
        <v>0</v>
      </c>
      <c r="O451" s="48">
        <f>'Adani Enterprises'!O451</f>
        <v>0</v>
      </c>
      <c r="P451" s="48">
        <f>'Adani Enterprises'!P451</f>
        <v>0</v>
      </c>
      <c r="Q451" s="48">
        <f>'Adani Enterprises'!Q451</f>
        <v>0</v>
      </c>
      <c r="R451" s="48">
        <f>'Adani Enterprises'!R451</f>
        <v>0</v>
      </c>
      <c r="S451" s="48">
        <f>'Adani Enterprises'!S451</f>
        <v>0</v>
      </c>
      <c r="T451" s="48">
        <f>'Adani Enterprises'!T451</f>
        <v>0</v>
      </c>
      <c r="U451" s="48">
        <f>'Adani Enterprises'!U451</f>
        <v>0</v>
      </c>
      <c r="V451" s="48">
        <f>'Adani Enterprises'!V451</f>
        <v>0</v>
      </c>
      <c r="W451" s="48">
        <f>'Adani Enterprises'!W451</f>
        <v>0</v>
      </c>
      <c r="X451" s="48">
        <f>'Adani Enterprises'!X451</f>
        <v>0</v>
      </c>
      <c r="Y451" s="48">
        <f>'Adani Enterprises'!Y451</f>
        <v>0</v>
      </c>
      <c r="Z451" s="48">
        <f>'Adani Enterprises'!Z451</f>
        <v>0</v>
      </c>
      <c r="AA451" s="48">
        <f>'Adani Enterprises'!AA451</f>
        <v>0</v>
      </c>
      <c r="AB451" s="48">
        <f>'Adani Enterprises'!AB451</f>
        <v>0</v>
      </c>
      <c r="AC451" s="48">
        <f>'Adani Enterprises'!AC451</f>
        <v>0</v>
      </c>
      <c r="AD451" s="48">
        <f>'Adani Enterprises'!AD451</f>
        <v>0</v>
      </c>
      <c r="AE451" s="48">
        <f>'Adani Enterprises'!AE451</f>
        <v>0</v>
      </c>
      <c r="AF451" s="48">
        <f>'Adani Enterprises'!AF451</f>
        <v>0</v>
      </c>
      <c r="AG451" s="48">
        <f>'Adani Enterprises'!AG451</f>
        <v>0</v>
      </c>
      <c r="AH451" s="48">
        <f>'Adani Enterprises'!AH451</f>
        <v>0</v>
      </c>
      <c r="AI451" s="48">
        <f>'Adani Enterprises'!AI451</f>
        <v>0</v>
      </c>
      <c r="AJ451" s="48">
        <f>'Adani Enterprises'!AJ451</f>
        <v>0</v>
      </c>
      <c r="AK451" s="48">
        <f>'Adani Enterprises'!AK451</f>
        <v>0</v>
      </c>
      <c r="AL451" s="48">
        <f>'Adani Enterprises'!AL451</f>
        <v>0</v>
      </c>
    </row>
    <row r="452" customHeight="1" spans="1:38">
      <c r="A452" s="48">
        <f>'Adani Enterprises'!A452</f>
        <v>0</v>
      </c>
      <c r="B452" s="48">
        <f>'Adani Enterprises'!B452</f>
        <v>0</v>
      </c>
      <c r="C452" s="48">
        <f>'Adani Enterprises'!C452</f>
        <v>0</v>
      </c>
      <c r="D452" s="48">
        <f>'Adani Enterprises'!D452</f>
        <v>0</v>
      </c>
      <c r="E452" s="48">
        <f>'Adani Enterprises'!E452</f>
        <v>0</v>
      </c>
      <c r="F452" s="48">
        <f>'Adani Enterprises'!F452</f>
        <v>0</v>
      </c>
      <c r="G452" s="48">
        <f>'Adani Enterprises'!G452</f>
        <v>0</v>
      </c>
      <c r="H452" s="48">
        <f>'Adani Enterprises'!H452</f>
        <v>0</v>
      </c>
      <c r="I452" s="48">
        <f>'Adani Enterprises'!I452</f>
        <v>0</v>
      </c>
      <c r="J452" s="48">
        <f>'Adani Enterprises'!J452</f>
        <v>0</v>
      </c>
      <c r="K452" s="48">
        <f>'Adani Enterprises'!K452</f>
        <v>0</v>
      </c>
      <c r="L452" s="48">
        <f>'Adani Enterprises'!L452</f>
        <v>0</v>
      </c>
      <c r="M452" s="48">
        <f>'Adani Enterprises'!M452</f>
        <v>0</v>
      </c>
      <c r="N452" s="48">
        <f>'Adani Enterprises'!N452</f>
        <v>0</v>
      </c>
      <c r="O452" s="48">
        <f>'Adani Enterprises'!O452</f>
        <v>0</v>
      </c>
      <c r="P452" s="48">
        <f>'Adani Enterprises'!P452</f>
        <v>0</v>
      </c>
      <c r="Q452" s="48">
        <f>'Adani Enterprises'!Q452</f>
        <v>0</v>
      </c>
      <c r="R452" s="48">
        <f>'Adani Enterprises'!R452</f>
        <v>0</v>
      </c>
      <c r="S452" s="48">
        <f>'Adani Enterprises'!S452</f>
        <v>0</v>
      </c>
      <c r="T452" s="48">
        <f>'Adani Enterprises'!T452</f>
        <v>0</v>
      </c>
      <c r="U452" s="48">
        <f>'Adani Enterprises'!U452</f>
        <v>0</v>
      </c>
      <c r="V452" s="48">
        <f>'Adani Enterprises'!V452</f>
        <v>0</v>
      </c>
      <c r="W452" s="48">
        <f>'Adani Enterprises'!W452</f>
        <v>0</v>
      </c>
      <c r="X452" s="48">
        <f>'Adani Enterprises'!X452</f>
        <v>0</v>
      </c>
      <c r="Y452" s="48">
        <f>'Adani Enterprises'!Y452</f>
        <v>0</v>
      </c>
      <c r="Z452" s="48">
        <f>'Adani Enterprises'!Z452</f>
        <v>0</v>
      </c>
      <c r="AA452" s="48">
        <f>'Adani Enterprises'!AA452</f>
        <v>0</v>
      </c>
      <c r="AB452" s="48">
        <f>'Adani Enterprises'!AB452</f>
        <v>0</v>
      </c>
      <c r="AC452" s="48">
        <f>'Adani Enterprises'!AC452</f>
        <v>0</v>
      </c>
      <c r="AD452" s="48">
        <f>'Adani Enterprises'!AD452</f>
        <v>0</v>
      </c>
      <c r="AE452" s="48">
        <f>'Adani Enterprises'!AE452</f>
        <v>0</v>
      </c>
      <c r="AF452" s="48">
        <f>'Adani Enterprises'!AF452</f>
        <v>0</v>
      </c>
      <c r="AG452" s="48">
        <f>'Adani Enterprises'!AG452</f>
        <v>0</v>
      </c>
      <c r="AH452" s="48">
        <f>'Adani Enterprises'!AH452</f>
        <v>0</v>
      </c>
      <c r="AI452" s="48">
        <f>'Adani Enterprises'!AI452</f>
        <v>0</v>
      </c>
      <c r="AJ452" s="48">
        <f>'Adani Enterprises'!AJ452</f>
        <v>0</v>
      </c>
      <c r="AK452" s="48">
        <f>'Adani Enterprises'!AK452</f>
        <v>0</v>
      </c>
      <c r="AL452" s="48">
        <f>'Adani Enterprises'!AL452</f>
        <v>0</v>
      </c>
    </row>
    <row r="453" customHeight="1" spans="1:38">
      <c r="A453" s="48">
        <f>'Adani Enterprises'!A453</f>
        <v>0</v>
      </c>
      <c r="B453" s="48">
        <f>'Adani Enterprises'!B453</f>
        <v>0</v>
      </c>
      <c r="C453" s="48">
        <f>'Adani Enterprises'!C453</f>
        <v>0</v>
      </c>
      <c r="D453" s="48">
        <f>'Adani Enterprises'!D453</f>
        <v>0</v>
      </c>
      <c r="E453" s="48">
        <f>'Adani Enterprises'!E453</f>
        <v>0</v>
      </c>
      <c r="F453" s="48">
        <f>'Adani Enterprises'!F453</f>
        <v>0</v>
      </c>
      <c r="G453" s="48">
        <f>'Adani Enterprises'!G453</f>
        <v>0</v>
      </c>
      <c r="H453" s="48">
        <f>'Adani Enterprises'!H453</f>
        <v>0</v>
      </c>
      <c r="I453" s="48">
        <f>'Adani Enterprises'!I453</f>
        <v>0</v>
      </c>
      <c r="J453" s="48">
        <f>'Adani Enterprises'!J453</f>
        <v>0</v>
      </c>
      <c r="K453" s="48">
        <f>'Adani Enterprises'!K453</f>
        <v>0</v>
      </c>
      <c r="L453" s="48">
        <f>'Adani Enterprises'!L453</f>
        <v>0</v>
      </c>
      <c r="M453" s="48">
        <f>'Adani Enterprises'!M453</f>
        <v>0</v>
      </c>
      <c r="N453" s="48">
        <f>'Adani Enterprises'!N453</f>
        <v>0</v>
      </c>
      <c r="O453" s="48">
        <f>'Adani Enterprises'!O453</f>
        <v>0</v>
      </c>
      <c r="P453" s="48">
        <f>'Adani Enterprises'!P453</f>
        <v>0</v>
      </c>
      <c r="Q453" s="48">
        <f>'Adani Enterprises'!Q453</f>
        <v>0</v>
      </c>
      <c r="R453" s="48">
        <f>'Adani Enterprises'!R453</f>
        <v>0</v>
      </c>
      <c r="S453" s="48">
        <f>'Adani Enterprises'!S453</f>
        <v>0</v>
      </c>
      <c r="T453" s="48">
        <f>'Adani Enterprises'!T453</f>
        <v>0</v>
      </c>
      <c r="U453" s="48">
        <f>'Adani Enterprises'!U453</f>
        <v>0</v>
      </c>
      <c r="V453" s="48">
        <f>'Adani Enterprises'!V453</f>
        <v>0</v>
      </c>
      <c r="W453" s="48">
        <f>'Adani Enterprises'!W453</f>
        <v>0</v>
      </c>
      <c r="X453" s="48">
        <f>'Adani Enterprises'!X453</f>
        <v>0</v>
      </c>
      <c r="Y453" s="48">
        <f>'Adani Enterprises'!Y453</f>
        <v>0</v>
      </c>
      <c r="Z453" s="48">
        <f>'Adani Enterprises'!Z453</f>
        <v>0</v>
      </c>
      <c r="AA453" s="48">
        <f>'Adani Enterprises'!AA453</f>
        <v>0</v>
      </c>
      <c r="AB453" s="48">
        <f>'Adani Enterprises'!AB453</f>
        <v>0</v>
      </c>
      <c r="AC453" s="48">
        <f>'Adani Enterprises'!AC453</f>
        <v>0</v>
      </c>
      <c r="AD453" s="48">
        <f>'Adani Enterprises'!AD453</f>
        <v>0</v>
      </c>
      <c r="AE453" s="48">
        <f>'Adani Enterprises'!AE453</f>
        <v>0</v>
      </c>
      <c r="AF453" s="48">
        <f>'Adani Enterprises'!AF453</f>
        <v>0</v>
      </c>
      <c r="AG453" s="48">
        <f>'Adani Enterprises'!AG453</f>
        <v>0</v>
      </c>
      <c r="AH453" s="48">
        <f>'Adani Enterprises'!AH453</f>
        <v>0</v>
      </c>
      <c r="AI453" s="48">
        <f>'Adani Enterprises'!AI453</f>
        <v>0</v>
      </c>
      <c r="AJ453" s="48">
        <f>'Adani Enterprises'!AJ453</f>
        <v>0</v>
      </c>
      <c r="AK453" s="48">
        <f>'Adani Enterprises'!AK453</f>
        <v>0</v>
      </c>
      <c r="AL453" s="48">
        <f>'Adani Enterprises'!AL453</f>
        <v>0</v>
      </c>
    </row>
    <row r="454" customHeight="1" spans="1:38">
      <c r="A454" s="48">
        <f>'Adani Enterprises'!A454</f>
        <v>0</v>
      </c>
      <c r="B454" s="48">
        <f>'Adani Enterprises'!B454</f>
        <v>0</v>
      </c>
      <c r="C454" s="48">
        <f>'Adani Enterprises'!C454</f>
        <v>0</v>
      </c>
      <c r="D454" s="48">
        <f>'Adani Enterprises'!D454</f>
        <v>0</v>
      </c>
      <c r="E454" s="48">
        <f>'Adani Enterprises'!E454</f>
        <v>0</v>
      </c>
      <c r="F454" s="48">
        <f>'Adani Enterprises'!F454</f>
        <v>0</v>
      </c>
      <c r="G454" s="48">
        <f>'Adani Enterprises'!G454</f>
        <v>0</v>
      </c>
      <c r="H454" s="48">
        <f>'Adani Enterprises'!H454</f>
        <v>0</v>
      </c>
      <c r="I454" s="48">
        <f>'Adani Enterprises'!I454</f>
        <v>0</v>
      </c>
      <c r="J454" s="48">
        <f>'Adani Enterprises'!J454</f>
        <v>0</v>
      </c>
      <c r="K454" s="48">
        <f>'Adani Enterprises'!K454</f>
        <v>0</v>
      </c>
      <c r="L454" s="48">
        <f>'Adani Enterprises'!L454</f>
        <v>0</v>
      </c>
      <c r="M454" s="48">
        <f>'Adani Enterprises'!M454</f>
        <v>0</v>
      </c>
      <c r="N454" s="48">
        <f>'Adani Enterprises'!N454</f>
        <v>0</v>
      </c>
      <c r="O454" s="48">
        <f>'Adani Enterprises'!O454</f>
        <v>0</v>
      </c>
      <c r="P454" s="48">
        <f>'Adani Enterprises'!P454</f>
        <v>0</v>
      </c>
      <c r="Q454" s="48">
        <f>'Adani Enterprises'!Q454</f>
        <v>0</v>
      </c>
      <c r="R454" s="48">
        <f>'Adani Enterprises'!R454</f>
        <v>0</v>
      </c>
      <c r="S454" s="48">
        <f>'Adani Enterprises'!S454</f>
        <v>0</v>
      </c>
      <c r="T454" s="48">
        <f>'Adani Enterprises'!T454</f>
        <v>0</v>
      </c>
      <c r="U454" s="48">
        <f>'Adani Enterprises'!U454</f>
        <v>0</v>
      </c>
      <c r="V454" s="48">
        <f>'Adani Enterprises'!V454</f>
        <v>0</v>
      </c>
      <c r="W454" s="48">
        <f>'Adani Enterprises'!W454</f>
        <v>0</v>
      </c>
      <c r="X454" s="48">
        <f>'Adani Enterprises'!X454</f>
        <v>0</v>
      </c>
      <c r="Y454" s="48">
        <f>'Adani Enterprises'!Y454</f>
        <v>0</v>
      </c>
      <c r="Z454" s="48">
        <f>'Adani Enterprises'!Z454</f>
        <v>0</v>
      </c>
      <c r="AA454" s="48">
        <f>'Adani Enterprises'!AA454</f>
        <v>0</v>
      </c>
      <c r="AB454" s="48">
        <f>'Adani Enterprises'!AB454</f>
        <v>0</v>
      </c>
      <c r="AC454" s="48">
        <f>'Adani Enterprises'!AC454</f>
        <v>0</v>
      </c>
      <c r="AD454" s="48">
        <f>'Adani Enterprises'!AD454</f>
        <v>0</v>
      </c>
      <c r="AE454" s="48">
        <f>'Adani Enterprises'!AE454</f>
        <v>0</v>
      </c>
      <c r="AF454" s="48">
        <f>'Adani Enterprises'!AF454</f>
        <v>0</v>
      </c>
      <c r="AG454" s="48">
        <f>'Adani Enterprises'!AG454</f>
        <v>0</v>
      </c>
      <c r="AH454" s="48">
        <f>'Adani Enterprises'!AH454</f>
        <v>0</v>
      </c>
      <c r="AI454" s="48">
        <f>'Adani Enterprises'!AI454</f>
        <v>0</v>
      </c>
      <c r="AJ454" s="48">
        <f>'Adani Enterprises'!AJ454</f>
        <v>0</v>
      </c>
      <c r="AK454" s="48">
        <f>'Adani Enterprises'!AK454</f>
        <v>0</v>
      </c>
      <c r="AL454" s="48">
        <f>'Adani Enterprises'!AL454</f>
        <v>0</v>
      </c>
    </row>
    <row r="455" customHeight="1" spans="1:38">
      <c r="A455" s="48">
        <f>'Adani Enterprises'!A455</f>
        <v>0</v>
      </c>
      <c r="B455" s="48">
        <f>'Adani Enterprises'!B455</f>
        <v>0</v>
      </c>
      <c r="C455" s="48">
        <f>'Adani Enterprises'!C455</f>
        <v>0</v>
      </c>
      <c r="D455" s="48">
        <f>'Adani Enterprises'!D455</f>
        <v>0</v>
      </c>
      <c r="E455" s="48">
        <f>'Adani Enterprises'!E455</f>
        <v>0</v>
      </c>
      <c r="F455" s="48">
        <f>'Adani Enterprises'!F455</f>
        <v>0</v>
      </c>
      <c r="G455" s="48">
        <f>'Adani Enterprises'!G455</f>
        <v>0</v>
      </c>
      <c r="H455" s="48">
        <f>'Adani Enterprises'!H455</f>
        <v>0</v>
      </c>
      <c r="I455" s="48">
        <f>'Adani Enterprises'!I455</f>
        <v>0</v>
      </c>
      <c r="J455" s="48">
        <f>'Adani Enterprises'!J455</f>
        <v>0</v>
      </c>
      <c r="K455" s="48">
        <f>'Adani Enterprises'!K455</f>
        <v>0</v>
      </c>
      <c r="L455" s="48">
        <f>'Adani Enterprises'!L455</f>
        <v>0</v>
      </c>
      <c r="M455" s="48">
        <f>'Adani Enterprises'!M455</f>
        <v>0</v>
      </c>
      <c r="N455" s="48">
        <f>'Adani Enterprises'!N455</f>
        <v>0</v>
      </c>
      <c r="O455" s="48">
        <f>'Adani Enterprises'!O455</f>
        <v>0</v>
      </c>
      <c r="P455" s="48">
        <f>'Adani Enterprises'!P455</f>
        <v>0</v>
      </c>
      <c r="Q455" s="48">
        <f>'Adani Enterprises'!Q455</f>
        <v>0</v>
      </c>
      <c r="R455" s="48">
        <f>'Adani Enterprises'!R455</f>
        <v>0</v>
      </c>
      <c r="S455" s="48">
        <f>'Adani Enterprises'!S455</f>
        <v>0</v>
      </c>
      <c r="T455" s="48">
        <f>'Adani Enterprises'!T455</f>
        <v>0</v>
      </c>
      <c r="U455" s="48">
        <f>'Adani Enterprises'!U455</f>
        <v>0</v>
      </c>
      <c r="V455" s="48">
        <f>'Adani Enterprises'!V455</f>
        <v>0</v>
      </c>
      <c r="W455" s="48">
        <f>'Adani Enterprises'!W455</f>
        <v>0</v>
      </c>
      <c r="X455" s="48">
        <f>'Adani Enterprises'!X455</f>
        <v>0</v>
      </c>
      <c r="Y455" s="48">
        <f>'Adani Enterprises'!Y455</f>
        <v>0</v>
      </c>
      <c r="Z455" s="48">
        <f>'Adani Enterprises'!Z455</f>
        <v>0</v>
      </c>
      <c r="AA455" s="48">
        <f>'Adani Enterprises'!AA455</f>
        <v>0</v>
      </c>
      <c r="AB455" s="48">
        <f>'Adani Enterprises'!AB455</f>
        <v>0</v>
      </c>
      <c r="AC455" s="48">
        <f>'Adani Enterprises'!AC455</f>
        <v>0</v>
      </c>
      <c r="AD455" s="48">
        <f>'Adani Enterprises'!AD455</f>
        <v>0</v>
      </c>
      <c r="AE455" s="48">
        <f>'Adani Enterprises'!AE455</f>
        <v>0</v>
      </c>
      <c r="AF455" s="48">
        <f>'Adani Enterprises'!AF455</f>
        <v>0</v>
      </c>
      <c r="AG455" s="48">
        <f>'Adani Enterprises'!AG455</f>
        <v>0</v>
      </c>
      <c r="AH455" s="48">
        <f>'Adani Enterprises'!AH455</f>
        <v>0</v>
      </c>
      <c r="AI455" s="48">
        <f>'Adani Enterprises'!AI455</f>
        <v>0</v>
      </c>
      <c r="AJ455" s="48">
        <f>'Adani Enterprises'!AJ455</f>
        <v>0</v>
      </c>
      <c r="AK455" s="48">
        <f>'Adani Enterprises'!AK455</f>
        <v>0</v>
      </c>
      <c r="AL455" s="48">
        <f>'Adani Enterprises'!AL455</f>
        <v>0</v>
      </c>
    </row>
    <row r="456" customHeight="1" spans="1:38">
      <c r="A456" s="48">
        <f>'Adani Enterprises'!A456</f>
        <v>0</v>
      </c>
      <c r="B456" s="48">
        <f>'Adani Enterprises'!B456</f>
        <v>0</v>
      </c>
      <c r="C456" s="48">
        <f>'Adani Enterprises'!C456</f>
        <v>0</v>
      </c>
      <c r="D456" s="48">
        <f>'Adani Enterprises'!D456</f>
        <v>0</v>
      </c>
      <c r="E456" s="48">
        <f>'Adani Enterprises'!E456</f>
        <v>0</v>
      </c>
      <c r="F456" s="48">
        <f>'Adani Enterprises'!F456</f>
        <v>0</v>
      </c>
      <c r="G456" s="48">
        <f>'Adani Enterprises'!G456</f>
        <v>0</v>
      </c>
      <c r="H456" s="48">
        <f>'Adani Enterprises'!H456</f>
        <v>0</v>
      </c>
      <c r="I456" s="48">
        <f>'Adani Enterprises'!I456</f>
        <v>0</v>
      </c>
      <c r="J456" s="48">
        <f>'Adani Enterprises'!J456</f>
        <v>0</v>
      </c>
      <c r="K456" s="48">
        <f>'Adani Enterprises'!K456</f>
        <v>0</v>
      </c>
      <c r="L456" s="48">
        <f>'Adani Enterprises'!L456</f>
        <v>0</v>
      </c>
      <c r="M456" s="48">
        <f>'Adani Enterprises'!M456</f>
        <v>0</v>
      </c>
      <c r="N456" s="48">
        <f>'Adani Enterprises'!N456</f>
        <v>0</v>
      </c>
      <c r="O456" s="48">
        <f>'Adani Enterprises'!O456</f>
        <v>0</v>
      </c>
      <c r="P456" s="48">
        <f>'Adani Enterprises'!P456</f>
        <v>0</v>
      </c>
      <c r="Q456" s="48">
        <f>'Adani Enterprises'!Q456</f>
        <v>0</v>
      </c>
      <c r="R456" s="48">
        <f>'Adani Enterprises'!R456</f>
        <v>0</v>
      </c>
      <c r="S456" s="48">
        <f>'Adani Enterprises'!S456</f>
        <v>0</v>
      </c>
      <c r="T456" s="48">
        <f>'Adani Enterprises'!T456</f>
        <v>0</v>
      </c>
      <c r="U456" s="48">
        <f>'Adani Enterprises'!U456</f>
        <v>0</v>
      </c>
      <c r="V456" s="48">
        <f>'Adani Enterprises'!V456</f>
        <v>0</v>
      </c>
      <c r="W456" s="48">
        <f>'Adani Enterprises'!W456</f>
        <v>0</v>
      </c>
      <c r="X456" s="48">
        <f>'Adani Enterprises'!X456</f>
        <v>0</v>
      </c>
      <c r="Y456" s="48">
        <f>'Adani Enterprises'!Y456</f>
        <v>0</v>
      </c>
      <c r="Z456" s="48">
        <f>'Adani Enterprises'!Z456</f>
        <v>0</v>
      </c>
      <c r="AA456" s="48">
        <f>'Adani Enterprises'!AA456</f>
        <v>0</v>
      </c>
      <c r="AB456" s="48">
        <f>'Adani Enterprises'!AB456</f>
        <v>0</v>
      </c>
      <c r="AC456" s="48">
        <f>'Adani Enterprises'!AC456</f>
        <v>0</v>
      </c>
      <c r="AD456" s="48">
        <f>'Adani Enterprises'!AD456</f>
        <v>0</v>
      </c>
      <c r="AE456" s="48">
        <f>'Adani Enterprises'!AE456</f>
        <v>0</v>
      </c>
      <c r="AF456" s="48">
        <f>'Adani Enterprises'!AF456</f>
        <v>0</v>
      </c>
      <c r="AG456" s="48">
        <f>'Adani Enterprises'!AG456</f>
        <v>0</v>
      </c>
      <c r="AH456" s="48">
        <f>'Adani Enterprises'!AH456</f>
        <v>0</v>
      </c>
      <c r="AI456" s="48">
        <f>'Adani Enterprises'!AI456</f>
        <v>0</v>
      </c>
      <c r="AJ456" s="48">
        <f>'Adani Enterprises'!AJ456</f>
        <v>0</v>
      </c>
      <c r="AK456" s="48">
        <f>'Adani Enterprises'!AK456</f>
        <v>0</v>
      </c>
      <c r="AL456" s="48">
        <f>'Adani Enterprises'!AL456</f>
        <v>0</v>
      </c>
    </row>
    <row r="457" customHeight="1" spans="1:38">
      <c r="A457" s="48">
        <f>'Adani Enterprises'!A457</f>
        <v>0</v>
      </c>
      <c r="B457" s="48">
        <f>'Adani Enterprises'!B457</f>
        <v>0</v>
      </c>
      <c r="C457" s="48">
        <f>'Adani Enterprises'!C457</f>
        <v>0</v>
      </c>
      <c r="D457" s="48">
        <f>'Adani Enterprises'!D457</f>
        <v>0</v>
      </c>
      <c r="E457" s="48">
        <f>'Adani Enterprises'!E457</f>
        <v>0</v>
      </c>
      <c r="F457" s="48">
        <f>'Adani Enterprises'!F457</f>
        <v>0</v>
      </c>
      <c r="G457" s="48">
        <f>'Adani Enterprises'!G457</f>
        <v>0</v>
      </c>
      <c r="H457" s="48">
        <f>'Adani Enterprises'!H457</f>
        <v>0</v>
      </c>
      <c r="I457" s="48">
        <f>'Adani Enterprises'!I457</f>
        <v>0</v>
      </c>
      <c r="J457" s="48">
        <f>'Adani Enterprises'!J457</f>
        <v>0</v>
      </c>
      <c r="K457" s="48">
        <f>'Adani Enterprises'!K457</f>
        <v>0</v>
      </c>
      <c r="L457" s="48">
        <f>'Adani Enterprises'!L457</f>
        <v>0</v>
      </c>
      <c r="M457" s="48">
        <f>'Adani Enterprises'!M457</f>
        <v>0</v>
      </c>
      <c r="N457" s="48">
        <f>'Adani Enterprises'!N457</f>
        <v>0</v>
      </c>
      <c r="O457" s="48">
        <f>'Adani Enterprises'!O457</f>
        <v>0</v>
      </c>
      <c r="P457" s="48">
        <f>'Adani Enterprises'!P457</f>
        <v>0</v>
      </c>
      <c r="Q457" s="48">
        <f>'Adani Enterprises'!Q457</f>
        <v>0</v>
      </c>
      <c r="R457" s="48">
        <f>'Adani Enterprises'!R457</f>
        <v>0</v>
      </c>
      <c r="S457" s="48">
        <f>'Adani Enterprises'!S457</f>
        <v>0</v>
      </c>
      <c r="T457" s="48">
        <f>'Adani Enterprises'!T457</f>
        <v>0</v>
      </c>
      <c r="U457" s="48">
        <f>'Adani Enterprises'!U457</f>
        <v>0</v>
      </c>
      <c r="V457" s="48">
        <f>'Adani Enterprises'!V457</f>
        <v>0</v>
      </c>
      <c r="W457" s="48">
        <f>'Adani Enterprises'!W457</f>
        <v>0</v>
      </c>
      <c r="X457" s="48">
        <f>'Adani Enterprises'!X457</f>
        <v>0</v>
      </c>
      <c r="Y457" s="48">
        <f>'Adani Enterprises'!Y457</f>
        <v>0</v>
      </c>
      <c r="Z457" s="48">
        <f>'Adani Enterprises'!Z457</f>
        <v>0</v>
      </c>
      <c r="AA457" s="48">
        <f>'Adani Enterprises'!AA457</f>
        <v>0</v>
      </c>
      <c r="AB457" s="48">
        <f>'Adani Enterprises'!AB457</f>
        <v>0</v>
      </c>
      <c r="AC457" s="48">
        <f>'Adani Enterprises'!AC457</f>
        <v>0</v>
      </c>
      <c r="AD457" s="48">
        <f>'Adani Enterprises'!AD457</f>
        <v>0</v>
      </c>
      <c r="AE457" s="48">
        <f>'Adani Enterprises'!AE457</f>
        <v>0</v>
      </c>
      <c r="AF457" s="48">
        <f>'Adani Enterprises'!AF457</f>
        <v>0</v>
      </c>
      <c r="AG457" s="48">
        <f>'Adani Enterprises'!AG457</f>
        <v>0</v>
      </c>
      <c r="AH457" s="48">
        <f>'Adani Enterprises'!AH457</f>
        <v>0</v>
      </c>
      <c r="AI457" s="48">
        <f>'Adani Enterprises'!AI457</f>
        <v>0</v>
      </c>
      <c r="AJ457" s="48">
        <f>'Adani Enterprises'!AJ457</f>
        <v>0</v>
      </c>
      <c r="AK457" s="48">
        <f>'Adani Enterprises'!AK457</f>
        <v>0</v>
      </c>
      <c r="AL457" s="48">
        <f>'Adani Enterprises'!AL457</f>
        <v>0</v>
      </c>
    </row>
    <row r="458" customHeight="1" spans="1:38">
      <c r="A458" s="48">
        <f>'Adani Enterprises'!A458</f>
        <v>0</v>
      </c>
      <c r="B458" s="48">
        <f>'Adani Enterprises'!B458</f>
        <v>0</v>
      </c>
      <c r="C458" s="48">
        <f>'Adani Enterprises'!C458</f>
        <v>0</v>
      </c>
      <c r="D458" s="48">
        <f>'Adani Enterprises'!D458</f>
        <v>0</v>
      </c>
      <c r="E458" s="48">
        <f>'Adani Enterprises'!E458</f>
        <v>0</v>
      </c>
      <c r="F458" s="48">
        <f>'Adani Enterprises'!F458</f>
        <v>0</v>
      </c>
      <c r="G458" s="48">
        <f>'Adani Enterprises'!G458</f>
        <v>0</v>
      </c>
      <c r="H458" s="48">
        <f>'Adani Enterprises'!H458</f>
        <v>0</v>
      </c>
      <c r="I458" s="48">
        <f>'Adani Enterprises'!I458</f>
        <v>0</v>
      </c>
      <c r="J458" s="48">
        <f>'Adani Enterprises'!J458</f>
        <v>0</v>
      </c>
      <c r="K458" s="48">
        <f>'Adani Enterprises'!K458</f>
        <v>0</v>
      </c>
      <c r="L458" s="48">
        <f>'Adani Enterprises'!L458</f>
        <v>0</v>
      </c>
      <c r="M458" s="48">
        <f>'Adani Enterprises'!M458</f>
        <v>0</v>
      </c>
      <c r="N458" s="48">
        <f>'Adani Enterprises'!N458</f>
        <v>0</v>
      </c>
      <c r="O458" s="48">
        <f>'Adani Enterprises'!O458</f>
        <v>0</v>
      </c>
      <c r="P458" s="48">
        <f>'Adani Enterprises'!P458</f>
        <v>0</v>
      </c>
      <c r="Q458" s="48">
        <f>'Adani Enterprises'!Q458</f>
        <v>0</v>
      </c>
      <c r="R458" s="48">
        <f>'Adani Enterprises'!R458</f>
        <v>0</v>
      </c>
      <c r="S458" s="48">
        <f>'Adani Enterprises'!S458</f>
        <v>0</v>
      </c>
      <c r="T458" s="48">
        <f>'Adani Enterprises'!T458</f>
        <v>0</v>
      </c>
      <c r="U458" s="48">
        <f>'Adani Enterprises'!U458</f>
        <v>0</v>
      </c>
      <c r="V458" s="48">
        <f>'Adani Enterprises'!V458</f>
        <v>0</v>
      </c>
      <c r="W458" s="48">
        <f>'Adani Enterprises'!W458</f>
        <v>0</v>
      </c>
      <c r="X458" s="48">
        <f>'Adani Enterprises'!X458</f>
        <v>0</v>
      </c>
      <c r="Y458" s="48">
        <f>'Adani Enterprises'!Y458</f>
        <v>0</v>
      </c>
      <c r="Z458" s="48">
        <f>'Adani Enterprises'!Z458</f>
        <v>0</v>
      </c>
      <c r="AA458" s="48">
        <f>'Adani Enterprises'!AA458</f>
        <v>0</v>
      </c>
      <c r="AB458" s="48">
        <f>'Adani Enterprises'!AB458</f>
        <v>0</v>
      </c>
      <c r="AC458" s="48">
        <f>'Adani Enterprises'!AC458</f>
        <v>0</v>
      </c>
      <c r="AD458" s="48">
        <f>'Adani Enterprises'!AD458</f>
        <v>0</v>
      </c>
      <c r="AE458" s="48">
        <f>'Adani Enterprises'!AE458</f>
        <v>0</v>
      </c>
      <c r="AF458" s="48">
        <f>'Adani Enterprises'!AF458</f>
        <v>0</v>
      </c>
      <c r="AG458" s="48">
        <f>'Adani Enterprises'!AG458</f>
        <v>0</v>
      </c>
      <c r="AH458" s="48">
        <f>'Adani Enterprises'!AH458</f>
        <v>0</v>
      </c>
      <c r="AI458" s="48">
        <f>'Adani Enterprises'!AI458</f>
        <v>0</v>
      </c>
      <c r="AJ458" s="48">
        <f>'Adani Enterprises'!AJ458</f>
        <v>0</v>
      </c>
      <c r="AK458" s="48">
        <f>'Adani Enterprises'!AK458</f>
        <v>0</v>
      </c>
      <c r="AL458" s="48">
        <f>'Adani Enterprises'!AL458</f>
        <v>0</v>
      </c>
    </row>
    <row r="459" customHeight="1" spans="1:38">
      <c r="A459" s="48">
        <f>'Adani Enterprises'!A459</f>
        <v>0</v>
      </c>
      <c r="B459" s="48">
        <f>'Adani Enterprises'!B459</f>
        <v>0</v>
      </c>
      <c r="C459" s="48">
        <f>'Adani Enterprises'!C459</f>
        <v>0</v>
      </c>
      <c r="D459" s="48">
        <f>'Adani Enterprises'!D459</f>
        <v>0</v>
      </c>
      <c r="E459" s="48">
        <f>'Adani Enterprises'!E459</f>
        <v>0</v>
      </c>
      <c r="F459" s="48">
        <f>'Adani Enterprises'!F459</f>
        <v>0</v>
      </c>
      <c r="G459" s="48">
        <f>'Adani Enterprises'!G459</f>
        <v>0</v>
      </c>
      <c r="H459" s="48">
        <f>'Adani Enterprises'!H459</f>
        <v>0</v>
      </c>
      <c r="I459" s="48">
        <f>'Adani Enterprises'!I459</f>
        <v>0</v>
      </c>
      <c r="J459" s="48">
        <f>'Adani Enterprises'!J459</f>
        <v>0</v>
      </c>
      <c r="K459" s="48">
        <f>'Adani Enterprises'!K459</f>
        <v>0</v>
      </c>
      <c r="L459" s="48">
        <f>'Adani Enterprises'!L459</f>
        <v>0</v>
      </c>
      <c r="M459" s="48">
        <f>'Adani Enterprises'!M459</f>
        <v>0</v>
      </c>
      <c r="N459" s="48">
        <f>'Adani Enterprises'!N459</f>
        <v>0</v>
      </c>
      <c r="O459" s="48">
        <f>'Adani Enterprises'!O459</f>
        <v>0</v>
      </c>
      <c r="P459" s="48">
        <f>'Adani Enterprises'!P459</f>
        <v>0</v>
      </c>
      <c r="Q459" s="48">
        <f>'Adani Enterprises'!Q459</f>
        <v>0</v>
      </c>
      <c r="R459" s="48">
        <f>'Adani Enterprises'!R459</f>
        <v>0</v>
      </c>
      <c r="S459" s="48">
        <f>'Adani Enterprises'!S459</f>
        <v>0</v>
      </c>
      <c r="T459" s="48">
        <f>'Adani Enterprises'!T459</f>
        <v>0</v>
      </c>
      <c r="U459" s="48">
        <f>'Adani Enterprises'!U459</f>
        <v>0</v>
      </c>
      <c r="V459" s="48">
        <f>'Adani Enterprises'!V459</f>
        <v>0</v>
      </c>
      <c r="W459" s="48">
        <f>'Adani Enterprises'!W459</f>
        <v>0</v>
      </c>
      <c r="X459" s="48">
        <f>'Adani Enterprises'!X459</f>
        <v>0</v>
      </c>
      <c r="Y459" s="48">
        <f>'Adani Enterprises'!Y459</f>
        <v>0</v>
      </c>
      <c r="Z459" s="48">
        <f>'Adani Enterprises'!Z459</f>
        <v>0</v>
      </c>
      <c r="AA459" s="48">
        <f>'Adani Enterprises'!AA459</f>
        <v>0</v>
      </c>
      <c r="AB459" s="48">
        <f>'Adani Enterprises'!AB459</f>
        <v>0</v>
      </c>
      <c r="AC459" s="48">
        <f>'Adani Enterprises'!AC459</f>
        <v>0</v>
      </c>
      <c r="AD459" s="48">
        <f>'Adani Enterprises'!AD459</f>
        <v>0</v>
      </c>
      <c r="AE459" s="48">
        <f>'Adani Enterprises'!AE459</f>
        <v>0</v>
      </c>
      <c r="AF459" s="48">
        <f>'Adani Enterprises'!AF459</f>
        <v>0</v>
      </c>
      <c r="AG459" s="48">
        <f>'Adani Enterprises'!AG459</f>
        <v>0</v>
      </c>
      <c r="AH459" s="48">
        <f>'Adani Enterprises'!AH459</f>
        <v>0</v>
      </c>
      <c r="AI459" s="48">
        <f>'Adani Enterprises'!AI459</f>
        <v>0</v>
      </c>
      <c r="AJ459" s="48">
        <f>'Adani Enterprises'!AJ459</f>
        <v>0</v>
      </c>
      <c r="AK459" s="48">
        <f>'Adani Enterprises'!AK459</f>
        <v>0</v>
      </c>
      <c r="AL459" s="48">
        <f>'Adani Enterprises'!AL459</f>
        <v>0</v>
      </c>
    </row>
    <row r="460" customHeight="1" spans="1:38">
      <c r="A460" s="48">
        <f>'Adani Enterprises'!A460</f>
        <v>0</v>
      </c>
      <c r="B460" s="48">
        <f>'Adani Enterprises'!B460</f>
        <v>0</v>
      </c>
      <c r="C460" s="48">
        <f>'Adani Enterprises'!C460</f>
        <v>0</v>
      </c>
      <c r="D460" s="48">
        <f>'Adani Enterprises'!D460</f>
        <v>0</v>
      </c>
      <c r="E460" s="48">
        <f>'Adani Enterprises'!E460</f>
        <v>0</v>
      </c>
      <c r="F460" s="48">
        <f>'Adani Enterprises'!F460</f>
        <v>0</v>
      </c>
      <c r="G460" s="48">
        <f>'Adani Enterprises'!G460</f>
        <v>0</v>
      </c>
      <c r="H460" s="48">
        <f>'Adani Enterprises'!H460</f>
        <v>0</v>
      </c>
      <c r="I460" s="48">
        <f>'Adani Enterprises'!I460</f>
        <v>0</v>
      </c>
      <c r="J460" s="48">
        <f>'Adani Enterprises'!J460</f>
        <v>0</v>
      </c>
      <c r="K460" s="48">
        <f>'Adani Enterprises'!K460</f>
        <v>0</v>
      </c>
      <c r="L460" s="48">
        <f>'Adani Enterprises'!L460</f>
        <v>0</v>
      </c>
      <c r="M460" s="48">
        <f>'Adani Enterprises'!M460</f>
        <v>0</v>
      </c>
      <c r="N460" s="48">
        <f>'Adani Enterprises'!N460</f>
        <v>0</v>
      </c>
      <c r="O460" s="48">
        <f>'Adani Enterprises'!O460</f>
        <v>0</v>
      </c>
      <c r="P460" s="48">
        <f>'Adani Enterprises'!P460</f>
        <v>0</v>
      </c>
      <c r="Q460" s="48">
        <f>'Adani Enterprises'!Q460</f>
        <v>0</v>
      </c>
      <c r="R460" s="48">
        <f>'Adani Enterprises'!R460</f>
        <v>0</v>
      </c>
      <c r="S460" s="48">
        <f>'Adani Enterprises'!S460</f>
        <v>0</v>
      </c>
      <c r="T460" s="48">
        <f>'Adani Enterprises'!T460</f>
        <v>0</v>
      </c>
      <c r="U460" s="48">
        <f>'Adani Enterprises'!U460</f>
        <v>0</v>
      </c>
      <c r="V460" s="48">
        <f>'Adani Enterprises'!V460</f>
        <v>0</v>
      </c>
      <c r="W460" s="48">
        <f>'Adani Enterprises'!W460</f>
        <v>0</v>
      </c>
      <c r="X460" s="48">
        <f>'Adani Enterprises'!X460</f>
        <v>0</v>
      </c>
      <c r="Y460" s="48">
        <f>'Adani Enterprises'!Y460</f>
        <v>0</v>
      </c>
      <c r="Z460" s="48">
        <f>'Adani Enterprises'!Z460</f>
        <v>0</v>
      </c>
      <c r="AA460" s="48">
        <f>'Adani Enterprises'!AA460</f>
        <v>0</v>
      </c>
      <c r="AB460" s="48">
        <f>'Adani Enterprises'!AB460</f>
        <v>0</v>
      </c>
      <c r="AC460" s="48">
        <f>'Adani Enterprises'!AC460</f>
        <v>0</v>
      </c>
      <c r="AD460" s="48">
        <f>'Adani Enterprises'!AD460</f>
        <v>0</v>
      </c>
      <c r="AE460" s="48">
        <f>'Adani Enterprises'!AE460</f>
        <v>0</v>
      </c>
      <c r="AF460" s="48">
        <f>'Adani Enterprises'!AF460</f>
        <v>0</v>
      </c>
      <c r="AG460" s="48">
        <f>'Adani Enterprises'!AG460</f>
        <v>0</v>
      </c>
      <c r="AH460" s="48">
        <f>'Adani Enterprises'!AH460</f>
        <v>0</v>
      </c>
      <c r="AI460" s="48">
        <f>'Adani Enterprises'!AI460</f>
        <v>0</v>
      </c>
      <c r="AJ460" s="48">
        <f>'Adani Enterprises'!AJ460</f>
        <v>0</v>
      </c>
      <c r="AK460" s="48">
        <f>'Adani Enterprises'!AK460</f>
        <v>0</v>
      </c>
      <c r="AL460" s="48">
        <f>'Adani Enterprises'!AL460</f>
        <v>0</v>
      </c>
    </row>
    <row r="461" customHeight="1" spans="1:38">
      <c r="A461" s="48">
        <f>'Adani Enterprises'!A461</f>
        <v>0</v>
      </c>
      <c r="B461" s="48">
        <f>'Adani Enterprises'!B461</f>
        <v>0</v>
      </c>
      <c r="C461" s="48">
        <f>'Adani Enterprises'!C461</f>
        <v>0</v>
      </c>
      <c r="D461" s="48">
        <f>'Adani Enterprises'!D461</f>
        <v>0</v>
      </c>
      <c r="E461" s="48">
        <f>'Adani Enterprises'!E461</f>
        <v>0</v>
      </c>
      <c r="F461" s="48">
        <f>'Adani Enterprises'!F461</f>
        <v>0</v>
      </c>
      <c r="G461" s="48">
        <f>'Adani Enterprises'!G461</f>
        <v>0</v>
      </c>
      <c r="H461" s="48">
        <f>'Adani Enterprises'!H461</f>
        <v>0</v>
      </c>
      <c r="I461" s="48">
        <f>'Adani Enterprises'!I461</f>
        <v>0</v>
      </c>
      <c r="J461" s="48">
        <f>'Adani Enterprises'!J461</f>
        <v>0</v>
      </c>
      <c r="K461" s="48">
        <f>'Adani Enterprises'!K461</f>
        <v>0</v>
      </c>
      <c r="L461" s="48">
        <f>'Adani Enterprises'!L461</f>
        <v>0</v>
      </c>
      <c r="M461" s="48">
        <f>'Adani Enterprises'!M461</f>
        <v>0</v>
      </c>
      <c r="N461" s="48">
        <f>'Adani Enterprises'!N461</f>
        <v>0</v>
      </c>
      <c r="O461" s="48">
        <f>'Adani Enterprises'!O461</f>
        <v>0</v>
      </c>
      <c r="P461" s="48">
        <f>'Adani Enterprises'!P461</f>
        <v>0</v>
      </c>
      <c r="Q461" s="48">
        <f>'Adani Enterprises'!Q461</f>
        <v>0</v>
      </c>
      <c r="R461" s="48">
        <f>'Adani Enterprises'!R461</f>
        <v>0</v>
      </c>
      <c r="S461" s="48">
        <f>'Adani Enterprises'!S461</f>
        <v>0</v>
      </c>
      <c r="T461" s="48">
        <f>'Adani Enterprises'!T461</f>
        <v>0</v>
      </c>
      <c r="U461" s="48">
        <f>'Adani Enterprises'!U461</f>
        <v>0</v>
      </c>
      <c r="V461" s="48">
        <f>'Adani Enterprises'!V461</f>
        <v>0</v>
      </c>
      <c r="W461" s="48">
        <f>'Adani Enterprises'!W461</f>
        <v>0</v>
      </c>
      <c r="X461" s="48">
        <f>'Adani Enterprises'!X461</f>
        <v>0</v>
      </c>
      <c r="Y461" s="48">
        <f>'Adani Enterprises'!Y461</f>
        <v>0</v>
      </c>
      <c r="Z461" s="48">
        <f>'Adani Enterprises'!Z461</f>
        <v>0</v>
      </c>
      <c r="AA461" s="48">
        <f>'Adani Enterprises'!AA461</f>
        <v>0</v>
      </c>
      <c r="AB461" s="48">
        <f>'Adani Enterprises'!AB461</f>
        <v>0</v>
      </c>
      <c r="AC461" s="48">
        <f>'Adani Enterprises'!AC461</f>
        <v>0</v>
      </c>
      <c r="AD461" s="48">
        <f>'Adani Enterprises'!AD461</f>
        <v>0</v>
      </c>
      <c r="AE461" s="48">
        <f>'Adani Enterprises'!AE461</f>
        <v>0</v>
      </c>
      <c r="AF461" s="48">
        <f>'Adani Enterprises'!AF461</f>
        <v>0</v>
      </c>
      <c r="AG461" s="48">
        <f>'Adani Enterprises'!AG461</f>
        <v>0</v>
      </c>
      <c r="AH461" s="48">
        <f>'Adani Enterprises'!AH461</f>
        <v>0</v>
      </c>
      <c r="AI461" s="48">
        <f>'Adani Enterprises'!AI461</f>
        <v>0</v>
      </c>
      <c r="AJ461" s="48">
        <f>'Adani Enterprises'!AJ461</f>
        <v>0</v>
      </c>
      <c r="AK461" s="48">
        <f>'Adani Enterprises'!AK461</f>
        <v>0</v>
      </c>
      <c r="AL461" s="48">
        <f>'Adani Enterprises'!AL461</f>
        <v>0</v>
      </c>
    </row>
    <row r="462" customHeight="1" spans="1:38">
      <c r="A462" s="48">
        <f>'Adani Enterprises'!A462</f>
        <v>0</v>
      </c>
      <c r="B462" s="48">
        <f>'Adani Enterprises'!B462</f>
        <v>0</v>
      </c>
      <c r="C462" s="48">
        <f>'Adani Enterprises'!C462</f>
        <v>0</v>
      </c>
      <c r="D462" s="48">
        <f>'Adani Enterprises'!D462</f>
        <v>0</v>
      </c>
      <c r="E462" s="48">
        <f>'Adani Enterprises'!E462</f>
        <v>0</v>
      </c>
      <c r="F462" s="48">
        <f>'Adani Enterprises'!F462</f>
        <v>0</v>
      </c>
      <c r="G462" s="48">
        <f>'Adani Enterprises'!G462</f>
        <v>0</v>
      </c>
      <c r="H462" s="48">
        <f>'Adani Enterprises'!H462</f>
        <v>0</v>
      </c>
      <c r="I462" s="48">
        <f>'Adani Enterprises'!I462</f>
        <v>0</v>
      </c>
      <c r="J462" s="48">
        <f>'Adani Enterprises'!J462</f>
        <v>0</v>
      </c>
      <c r="K462" s="48">
        <f>'Adani Enterprises'!K462</f>
        <v>0</v>
      </c>
      <c r="L462" s="48">
        <f>'Adani Enterprises'!L462</f>
        <v>0</v>
      </c>
      <c r="M462" s="48">
        <f>'Adani Enterprises'!M462</f>
        <v>0</v>
      </c>
      <c r="N462" s="48">
        <f>'Adani Enterprises'!N462</f>
        <v>0</v>
      </c>
      <c r="O462" s="48">
        <f>'Adani Enterprises'!O462</f>
        <v>0</v>
      </c>
      <c r="P462" s="48">
        <f>'Adani Enterprises'!P462</f>
        <v>0</v>
      </c>
      <c r="Q462" s="48">
        <f>'Adani Enterprises'!Q462</f>
        <v>0</v>
      </c>
      <c r="R462" s="48">
        <f>'Adani Enterprises'!R462</f>
        <v>0</v>
      </c>
      <c r="S462" s="48">
        <f>'Adani Enterprises'!S462</f>
        <v>0</v>
      </c>
      <c r="T462" s="48">
        <f>'Adani Enterprises'!T462</f>
        <v>0</v>
      </c>
      <c r="U462" s="48">
        <f>'Adani Enterprises'!U462</f>
        <v>0</v>
      </c>
      <c r="V462" s="48">
        <f>'Adani Enterprises'!V462</f>
        <v>0</v>
      </c>
      <c r="W462" s="48">
        <f>'Adani Enterprises'!W462</f>
        <v>0</v>
      </c>
      <c r="X462" s="48">
        <f>'Adani Enterprises'!X462</f>
        <v>0</v>
      </c>
      <c r="Y462" s="48">
        <f>'Adani Enterprises'!Y462</f>
        <v>0</v>
      </c>
      <c r="Z462" s="48">
        <f>'Adani Enterprises'!Z462</f>
        <v>0</v>
      </c>
      <c r="AA462" s="48">
        <f>'Adani Enterprises'!AA462</f>
        <v>0</v>
      </c>
      <c r="AB462" s="48">
        <f>'Adani Enterprises'!AB462</f>
        <v>0</v>
      </c>
      <c r="AC462" s="48">
        <f>'Adani Enterprises'!AC462</f>
        <v>0</v>
      </c>
      <c r="AD462" s="48">
        <f>'Adani Enterprises'!AD462</f>
        <v>0</v>
      </c>
      <c r="AE462" s="48">
        <f>'Adani Enterprises'!AE462</f>
        <v>0</v>
      </c>
      <c r="AF462" s="48">
        <f>'Adani Enterprises'!AF462</f>
        <v>0</v>
      </c>
      <c r="AG462" s="48">
        <f>'Adani Enterprises'!AG462</f>
        <v>0</v>
      </c>
      <c r="AH462" s="48">
        <f>'Adani Enterprises'!AH462</f>
        <v>0</v>
      </c>
      <c r="AI462" s="48">
        <f>'Adani Enterprises'!AI462</f>
        <v>0</v>
      </c>
      <c r="AJ462" s="48">
        <f>'Adani Enterprises'!AJ462</f>
        <v>0</v>
      </c>
      <c r="AK462" s="48">
        <f>'Adani Enterprises'!AK462</f>
        <v>0</v>
      </c>
      <c r="AL462" s="48">
        <f>'Adani Enterprises'!AL462</f>
        <v>0</v>
      </c>
    </row>
    <row r="463" customHeight="1" spans="1:38">
      <c r="A463" s="48">
        <f>'Adani Enterprises'!A463</f>
        <v>0</v>
      </c>
      <c r="B463" s="48">
        <f>'Adani Enterprises'!B463</f>
        <v>0</v>
      </c>
      <c r="C463" s="48">
        <f>'Adani Enterprises'!C463</f>
        <v>0</v>
      </c>
      <c r="D463" s="48">
        <f>'Adani Enterprises'!D463</f>
        <v>0</v>
      </c>
      <c r="E463" s="48">
        <f>'Adani Enterprises'!E463</f>
        <v>0</v>
      </c>
      <c r="F463" s="48">
        <f>'Adani Enterprises'!F463</f>
        <v>0</v>
      </c>
      <c r="G463" s="48">
        <f>'Adani Enterprises'!G463</f>
        <v>0</v>
      </c>
      <c r="H463" s="48">
        <f>'Adani Enterprises'!H463</f>
        <v>0</v>
      </c>
      <c r="I463" s="48">
        <f>'Adani Enterprises'!I463</f>
        <v>0</v>
      </c>
      <c r="J463" s="48">
        <f>'Adani Enterprises'!J463</f>
        <v>0</v>
      </c>
      <c r="K463" s="48">
        <f>'Adani Enterprises'!K463</f>
        <v>0</v>
      </c>
      <c r="L463" s="48">
        <f>'Adani Enterprises'!L463</f>
        <v>0</v>
      </c>
      <c r="M463" s="48">
        <f>'Adani Enterprises'!M463</f>
        <v>0</v>
      </c>
      <c r="N463" s="48">
        <f>'Adani Enterprises'!N463</f>
        <v>0</v>
      </c>
      <c r="O463" s="48">
        <f>'Adani Enterprises'!O463</f>
        <v>0</v>
      </c>
      <c r="P463" s="48">
        <f>'Adani Enterprises'!P463</f>
        <v>0</v>
      </c>
      <c r="Q463" s="48">
        <f>'Adani Enterprises'!Q463</f>
        <v>0</v>
      </c>
      <c r="R463" s="48">
        <f>'Adani Enterprises'!R463</f>
        <v>0</v>
      </c>
      <c r="S463" s="48">
        <f>'Adani Enterprises'!S463</f>
        <v>0</v>
      </c>
      <c r="T463" s="48">
        <f>'Adani Enterprises'!T463</f>
        <v>0</v>
      </c>
      <c r="U463" s="48">
        <f>'Adani Enterprises'!U463</f>
        <v>0</v>
      </c>
      <c r="V463" s="48">
        <f>'Adani Enterprises'!V463</f>
        <v>0</v>
      </c>
      <c r="W463" s="48">
        <f>'Adani Enterprises'!W463</f>
        <v>0</v>
      </c>
      <c r="X463" s="48">
        <f>'Adani Enterprises'!X463</f>
        <v>0</v>
      </c>
      <c r="Y463" s="48">
        <f>'Adani Enterprises'!Y463</f>
        <v>0</v>
      </c>
      <c r="Z463" s="48">
        <f>'Adani Enterprises'!Z463</f>
        <v>0</v>
      </c>
      <c r="AA463" s="48">
        <f>'Adani Enterprises'!AA463</f>
        <v>0</v>
      </c>
      <c r="AB463" s="48">
        <f>'Adani Enterprises'!AB463</f>
        <v>0</v>
      </c>
      <c r="AC463" s="48">
        <f>'Adani Enterprises'!AC463</f>
        <v>0</v>
      </c>
      <c r="AD463" s="48">
        <f>'Adani Enterprises'!AD463</f>
        <v>0</v>
      </c>
      <c r="AE463" s="48">
        <f>'Adani Enterprises'!AE463</f>
        <v>0</v>
      </c>
      <c r="AF463" s="48">
        <f>'Adani Enterprises'!AF463</f>
        <v>0</v>
      </c>
      <c r="AG463" s="48">
        <f>'Adani Enterprises'!AG463</f>
        <v>0</v>
      </c>
      <c r="AH463" s="48">
        <f>'Adani Enterprises'!AH463</f>
        <v>0</v>
      </c>
      <c r="AI463" s="48">
        <f>'Adani Enterprises'!AI463</f>
        <v>0</v>
      </c>
      <c r="AJ463" s="48">
        <f>'Adani Enterprises'!AJ463</f>
        <v>0</v>
      </c>
      <c r="AK463" s="48">
        <f>'Adani Enterprises'!AK463</f>
        <v>0</v>
      </c>
      <c r="AL463" s="48">
        <f>'Adani Enterprises'!AL463</f>
        <v>0</v>
      </c>
    </row>
    <row r="464" customHeight="1" spans="1:38">
      <c r="A464" s="48">
        <f>'Adani Enterprises'!A464</f>
        <v>0</v>
      </c>
      <c r="B464" s="48">
        <f>'Adani Enterprises'!B464</f>
        <v>0</v>
      </c>
      <c r="C464" s="48">
        <f>'Adani Enterprises'!C464</f>
        <v>0</v>
      </c>
      <c r="D464" s="48">
        <f>'Adani Enterprises'!D464</f>
        <v>0</v>
      </c>
      <c r="E464" s="48">
        <f>'Adani Enterprises'!E464</f>
        <v>0</v>
      </c>
      <c r="F464" s="48">
        <f>'Adani Enterprises'!F464</f>
        <v>0</v>
      </c>
      <c r="G464" s="48">
        <f>'Adani Enterprises'!G464</f>
        <v>0</v>
      </c>
      <c r="H464" s="48">
        <f>'Adani Enterprises'!H464</f>
        <v>0</v>
      </c>
      <c r="I464" s="48">
        <f>'Adani Enterprises'!I464</f>
        <v>0</v>
      </c>
      <c r="J464" s="48">
        <f>'Adani Enterprises'!J464</f>
        <v>0</v>
      </c>
      <c r="K464" s="48">
        <f>'Adani Enterprises'!K464</f>
        <v>0</v>
      </c>
      <c r="L464" s="48">
        <f>'Adani Enterprises'!L464</f>
        <v>0</v>
      </c>
      <c r="M464" s="48">
        <f>'Adani Enterprises'!M464</f>
        <v>0</v>
      </c>
      <c r="N464" s="48">
        <f>'Adani Enterprises'!N464</f>
        <v>0</v>
      </c>
      <c r="O464" s="48">
        <f>'Adani Enterprises'!O464</f>
        <v>0</v>
      </c>
      <c r="P464" s="48">
        <f>'Adani Enterprises'!P464</f>
        <v>0</v>
      </c>
      <c r="Q464" s="48">
        <f>'Adani Enterprises'!Q464</f>
        <v>0</v>
      </c>
      <c r="R464" s="48">
        <f>'Adani Enterprises'!R464</f>
        <v>0</v>
      </c>
      <c r="S464" s="48">
        <f>'Adani Enterprises'!S464</f>
        <v>0</v>
      </c>
      <c r="T464" s="48">
        <f>'Adani Enterprises'!T464</f>
        <v>0</v>
      </c>
      <c r="U464" s="48">
        <f>'Adani Enterprises'!U464</f>
        <v>0</v>
      </c>
      <c r="V464" s="48">
        <f>'Adani Enterprises'!V464</f>
        <v>0</v>
      </c>
      <c r="W464" s="48">
        <f>'Adani Enterprises'!W464</f>
        <v>0</v>
      </c>
      <c r="X464" s="48">
        <f>'Adani Enterprises'!X464</f>
        <v>0</v>
      </c>
      <c r="Y464" s="48">
        <f>'Adani Enterprises'!Y464</f>
        <v>0</v>
      </c>
      <c r="Z464" s="48">
        <f>'Adani Enterprises'!Z464</f>
        <v>0</v>
      </c>
      <c r="AA464" s="48">
        <f>'Adani Enterprises'!AA464</f>
        <v>0</v>
      </c>
      <c r="AB464" s="48">
        <f>'Adani Enterprises'!AB464</f>
        <v>0</v>
      </c>
      <c r="AC464" s="48">
        <f>'Adani Enterprises'!AC464</f>
        <v>0</v>
      </c>
      <c r="AD464" s="48">
        <f>'Adani Enterprises'!AD464</f>
        <v>0</v>
      </c>
      <c r="AE464" s="48">
        <f>'Adani Enterprises'!AE464</f>
        <v>0</v>
      </c>
      <c r="AF464" s="48">
        <f>'Adani Enterprises'!AF464</f>
        <v>0</v>
      </c>
      <c r="AG464" s="48">
        <f>'Adani Enterprises'!AG464</f>
        <v>0</v>
      </c>
      <c r="AH464" s="48">
        <f>'Adani Enterprises'!AH464</f>
        <v>0</v>
      </c>
      <c r="AI464" s="48">
        <f>'Adani Enterprises'!AI464</f>
        <v>0</v>
      </c>
      <c r="AJ464" s="48">
        <f>'Adani Enterprises'!AJ464</f>
        <v>0</v>
      </c>
      <c r="AK464" s="48">
        <f>'Adani Enterprises'!AK464</f>
        <v>0</v>
      </c>
      <c r="AL464" s="48">
        <f>'Adani Enterprises'!AL464</f>
        <v>0</v>
      </c>
    </row>
    <row r="465" customHeight="1" spans="1:38">
      <c r="A465" s="48">
        <f>'Adani Enterprises'!A465</f>
        <v>0</v>
      </c>
      <c r="B465" s="48">
        <f>'Adani Enterprises'!B465</f>
        <v>0</v>
      </c>
      <c r="C465" s="48">
        <f>'Adani Enterprises'!C465</f>
        <v>0</v>
      </c>
      <c r="D465" s="48">
        <f>'Adani Enterprises'!D465</f>
        <v>0</v>
      </c>
      <c r="E465" s="48">
        <f>'Adani Enterprises'!E465</f>
        <v>0</v>
      </c>
      <c r="F465" s="48">
        <f>'Adani Enterprises'!F465</f>
        <v>0</v>
      </c>
      <c r="G465" s="48">
        <f>'Adani Enterprises'!G465</f>
        <v>0</v>
      </c>
      <c r="H465" s="48">
        <f>'Adani Enterprises'!H465</f>
        <v>0</v>
      </c>
      <c r="I465" s="48">
        <f>'Adani Enterprises'!I465</f>
        <v>0</v>
      </c>
      <c r="J465" s="48">
        <f>'Adani Enterprises'!J465</f>
        <v>0</v>
      </c>
      <c r="K465" s="48">
        <f>'Adani Enterprises'!K465</f>
        <v>0</v>
      </c>
      <c r="L465" s="48">
        <f>'Adani Enterprises'!L465</f>
        <v>0</v>
      </c>
      <c r="M465" s="48">
        <f>'Adani Enterprises'!M465</f>
        <v>0</v>
      </c>
      <c r="N465" s="48">
        <f>'Adani Enterprises'!N465</f>
        <v>0</v>
      </c>
      <c r="O465" s="48">
        <f>'Adani Enterprises'!O465</f>
        <v>0</v>
      </c>
      <c r="P465" s="48">
        <f>'Adani Enterprises'!P465</f>
        <v>0</v>
      </c>
      <c r="Q465" s="48">
        <f>'Adani Enterprises'!Q465</f>
        <v>0</v>
      </c>
      <c r="R465" s="48">
        <f>'Adani Enterprises'!R465</f>
        <v>0</v>
      </c>
      <c r="S465" s="48">
        <f>'Adani Enterprises'!S465</f>
        <v>0</v>
      </c>
      <c r="T465" s="48">
        <f>'Adani Enterprises'!T465</f>
        <v>0</v>
      </c>
      <c r="U465" s="48">
        <f>'Adani Enterprises'!U465</f>
        <v>0</v>
      </c>
      <c r="V465" s="48">
        <f>'Adani Enterprises'!V465</f>
        <v>0</v>
      </c>
      <c r="W465" s="48">
        <f>'Adani Enterprises'!W465</f>
        <v>0</v>
      </c>
      <c r="X465" s="48">
        <f>'Adani Enterprises'!X465</f>
        <v>0</v>
      </c>
      <c r="Y465" s="48">
        <f>'Adani Enterprises'!Y465</f>
        <v>0</v>
      </c>
      <c r="Z465" s="48">
        <f>'Adani Enterprises'!Z465</f>
        <v>0</v>
      </c>
      <c r="AA465" s="48">
        <f>'Adani Enterprises'!AA465</f>
        <v>0</v>
      </c>
      <c r="AB465" s="48">
        <f>'Adani Enterprises'!AB465</f>
        <v>0</v>
      </c>
      <c r="AC465" s="48">
        <f>'Adani Enterprises'!AC465</f>
        <v>0</v>
      </c>
      <c r="AD465" s="48">
        <f>'Adani Enterprises'!AD465</f>
        <v>0</v>
      </c>
      <c r="AE465" s="48">
        <f>'Adani Enterprises'!AE465</f>
        <v>0</v>
      </c>
      <c r="AF465" s="48">
        <f>'Adani Enterprises'!AF465</f>
        <v>0</v>
      </c>
      <c r="AG465" s="48">
        <f>'Adani Enterprises'!AG465</f>
        <v>0</v>
      </c>
      <c r="AH465" s="48">
        <f>'Adani Enterprises'!AH465</f>
        <v>0</v>
      </c>
      <c r="AI465" s="48">
        <f>'Adani Enterprises'!AI465</f>
        <v>0</v>
      </c>
      <c r="AJ465" s="48">
        <f>'Adani Enterprises'!AJ465</f>
        <v>0</v>
      </c>
      <c r="AK465" s="48">
        <f>'Adani Enterprises'!AK465</f>
        <v>0</v>
      </c>
      <c r="AL465" s="48">
        <f>'Adani Enterprises'!AL465</f>
        <v>0</v>
      </c>
    </row>
    <row r="466" customHeight="1" spans="1:38">
      <c r="A466" s="48">
        <f>'Adani Enterprises'!A466</f>
        <v>0</v>
      </c>
      <c r="B466" s="48">
        <f>'Adani Enterprises'!B466</f>
        <v>0</v>
      </c>
      <c r="C466" s="48">
        <f>'Adani Enterprises'!C466</f>
        <v>0</v>
      </c>
      <c r="D466" s="48">
        <f>'Adani Enterprises'!D466</f>
        <v>0</v>
      </c>
      <c r="E466" s="48">
        <f>'Adani Enterprises'!E466</f>
        <v>0</v>
      </c>
      <c r="F466" s="48">
        <f>'Adani Enterprises'!F466</f>
        <v>0</v>
      </c>
      <c r="G466" s="48">
        <f>'Adani Enterprises'!G466</f>
        <v>0</v>
      </c>
      <c r="H466" s="48">
        <f>'Adani Enterprises'!H466</f>
        <v>0</v>
      </c>
      <c r="I466" s="48">
        <f>'Adani Enterprises'!I466</f>
        <v>0</v>
      </c>
      <c r="J466" s="48">
        <f>'Adani Enterprises'!J466</f>
        <v>0</v>
      </c>
      <c r="K466" s="48">
        <f>'Adani Enterprises'!K466</f>
        <v>0</v>
      </c>
      <c r="L466" s="48">
        <f>'Adani Enterprises'!L466</f>
        <v>0</v>
      </c>
      <c r="M466" s="48">
        <f>'Adani Enterprises'!M466</f>
        <v>0</v>
      </c>
      <c r="N466" s="48">
        <f>'Adani Enterprises'!N466</f>
        <v>0</v>
      </c>
      <c r="O466" s="48">
        <f>'Adani Enterprises'!O466</f>
        <v>0</v>
      </c>
      <c r="P466" s="48">
        <f>'Adani Enterprises'!P466</f>
        <v>0</v>
      </c>
      <c r="Q466" s="48">
        <f>'Adani Enterprises'!Q466</f>
        <v>0</v>
      </c>
      <c r="R466" s="48">
        <f>'Adani Enterprises'!R466</f>
        <v>0</v>
      </c>
      <c r="S466" s="48">
        <f>'Adani Enterprises'!S466</f>
        <v>0</v>
      </c>
      <c r="T466" s="48">
        <f>'Adani Enterprises'!T466</f>
        <v>0</v>
      </c>
      <c r="U466" s="48">
        <f>'Adani Enterprises'!U466</f>
        <v>0</v>
      </c>
      <c r="V466" s="48">
        <f>'Adani Enterprises'!V466</f>
        <v>0</v>
      </c>
      <c r="W466" s="48">
        <f>'Adani Enterprises'!W466</f>
        <v>0</v>
      </c>
      <c r="X466" s="48">
        <f>'Adani Enterprises'!X466</f>
        <v>0</v>
      </c>
      <c r="Y466" s="48">
        <f>'Adani Enterprises'!Y466</f>
        <v>0</v>
      </c>
      <c r="Z466" s="48">
        <f>'Adani Enterprises'!Z466</f>
        <v>0</v>
      </c>
      <c r="AA466" s="48">
        <f>'Adani Enterprises'!AA466</f>
        <v>0</v>
      </c>
      <c r="AB466" s="48">
        <f>'Adani Enterprises'!AB466</f>
        <v>0</v>
      </c>
      <c r="AC466" s="48">
        <f>'Adani Enterprises'!AC466</f>
        <v>0</v>
      </c>
      <c r="AD466" s="48">
        <f>'Adani Enterprises'!AD466</f>
        <v>0</v>
      </c>
      <c r="AE466" s="48">
        <f>'Adani Enterprises'!AE466</f>
        <v>0</v>
      </c>
      <c r="AF466" s="48">
        <f>'Adani Enterprises'!AF466</f>
        <v>0</v>
      </c>
      <c r="AG466" s="48">
        <f>'Adani Enterprises'!AG466</f>
        <v>0</v>
      </c>
      <c r="AH466" s="48">
        <f>'Adani Enterprises'!AH466</f>
        <v>0</v>
      </c>
      <c r="AI466" s="48">
        <f>'Adani Enterprises'!AI466</f>
        <v>0</v>
      </c>
      <c r="AJ466" s="48">
        <f>'Adani Enterprises'!AJ466</f>
        <v>0</v>
      </c>
      <c r="AK466" s="48">
        <f>'Adani Enterprises'!AK466</f>
        <v>0</v>
      </c>
      <c r="AL466" s="48">
        <f>'Adani Enterprises'!AL466</f>
        <v>0</v>
      </c>
    </row>
    <row r="467" customHeight="1" spans="1:38">
      <c r="A467" s="48">
        <f>'Adani Enterprises'!A467</f>
        <v>0</v>
      </c>
      <c r="B467" s="48">
        <f>'Adani Enterprises'!B467</f>
        <v>0</v>
      </c>
      <c r="C467" s="48">
        <f>'Adani Enterprises'!C467</f>
        <v>0</v>
      </c>
      <c r="D467" s="48">
        <f>'Adani Enterprises'!D467</f>
        <v>0</v>
      </c>
      <c r="E467" s="48">
        <f>'Adani Enterprises'!E467</f>
        <v>0</v>
      </c>
      <c r="F467" s="48">
        <f>'Adani Enterprises'!F467</f>
        <v>0</v>
      </c>
      <c r="G467" s="48">
        <f>'Adani Enterprises'!G467</f>
        <v>0</v>
      </c>
      <c r="H467" s="48">
        <f>'Adani Enterprises'!H467</f>
        <v>0</v>
      </c>
      <c r="I467" s="48">
        <f>'Adani Enterprises'!I467</f>
        <v>0</v>
      </c>
      <c r="J467" s="48">
        <f>'Adani Enterprises'!J467</f>
        <v>0</v>
      </c>
      <c r="K467" s="48">
        <f>'Adani Enterprises'!K467</f>
        <v>0</v>
      </c>
      <c r="L467" s="48">
        <f>'Adani Enterprises'!L467</f>
        <v>0</v>
      </c>
      <c r="M467" s="48">
        <f>'Adani Enterprises'!M467</f>
        <v>0</v>
      </c>
      <c r="N467" s="48">
        <f>'Adani Enterprises'!N467</f>
        <v>0</v>
      </c>
      <c r="O467" s="48">
        <f>'Adani Enterprises'!O467</f>
        <v>0</v>
      </c>
      <c r="P467" s="48">
        <f>'Adani Enterprises'!P467</f>
        <v>0</v>
      </c>
      <c r="Q467" s="48">
        <f>'Adani Enterprises'!Q467</f>
        <v>0</v>
      </c>
      <c r="R467" s="48">
        <f>'Adani Enterprises'!R467</f>
        <v>0</v>
      </c>
      <c r="S467" s="48">
        <f>'Adani Enterprises'!S467</f>
        <v>0</v>
      </c>
      <c r="T467" s="48">
        <f>'Adani Enterprises'!T467</f>
        <v>0</v>
      </c>
      <c r="U467" s="48">
        <f>'Adani Enterprises'!U467</f>
        <v>0</v>
      </c>
      <c r="V467" s="48">
        <f>'Adani Enterprises'!V467</f>
        <v>0</v>
      </c>
      <c r="W467" s="48">
        <f>'Adani Enterprises'!W467</f>
        <v>0</v>
      </c>
      <c r="X467" s="48">
        <f>'Adani Enterprises'!X467</f>
        <v>0</v>
      </c>
      <c r="Y467" s="48">
        <f>'Adani Enterprises'!Y467</f>
        <v>0</v>
      </c>
      <c r="Z467" s="48">
        <f>'Adani Enterprises'!Z467</f>
        <v>0</v>
      </c>
      <c r="AA467" s="48">
        <f>'Adani Enterprises'!AA467</f>
        <v>0</v>
      </c>
      <c r="AB467" s="48">
        <f>'Adani Enterprises'!AB467</f>
        <v>0</v>
      </c>
      <c r="AC467" s="48">
        <f>'Adani Enterprises'!AC467</f>
        <v>0</v>
      </c>
      <c r="AD467" s="48">
        <f>'Adani Enterprises'!AD467</f>
        <v>0</v>
      </c>
      <c r="AE467" s="48">
        <f>'Adani Enterprises'!AE467</f>
        <v>0</v>
      </c>
      <c r="AF467" s="48">
        <f>'Adani Enterprises'!AF467</f>
        <v>0</v>
      </c>
      <c r="AG467" s="48">
        <f>'Adani Enterprises'!AG467</f>
        <v>0</v>
      </c>
      <c r="AH467" s="48">
        <f>'Adani Enterprises'!AH467</f>
        <v>0</v>
      </c>
      <c r="AI467" s="48">
        <f>'Adani Enterprises'!AI467</f>
        <v>0</v>
      </c>
      <c r="AJ467" s="48">
        <f>'Adani Enterprises'!AJ467</f>
        <v>0</v>
      </c>
      <c r="AK467" s="48">
        <f>'Adani Enterprises'!AK467</f>
        <v>0</v>
      </c>
      <c r="AL467" s="48">
        <f>'Adani Enterprises'!AL467</f>
        <v>0</v>
      </c>
    </row>
    <row r="468" customHeight="1" spans="1:38">
      <c r="A468" s="48">
        <f>'Adani Enterprises'!A468</f>
        <v>0</v>
      </c>
      <c r="B468" s="48">
        <f>'Adani Enterprises'!B468</f>
        <v>0</v>
      </c>
      <c r="C468" s="48">
        <f>'Adani Enterprises'!C468</f>
        <v>0</v>
      </c>
      <c r="D468" s="48">
        <f>'Adani Enterprises'!D468</f>
        <v>0</v>
      </c>
      <c r="E468" s="48">
        <f>'Adani Enterprises'!E468</f>
        <v>0</v>
      </c>
      <c r="F468" s="48">
        <f>'Adani Enterprises'!F468</f>
        <v>0</v>
      </c>
      <c r="G468" s="48">
        <f>'Adani Enterprises'!G468</f>
        <v>0</v>
      </c>
      <c r="H468" s="48">
        <f>'Adani Enterprises'!H468</f>
        <v>0</v>
      </c>
      <c r="I468" s="48">
        <f>'Adani Enterprises'!I468</f>
        <v>0</v>
      </c>
      <c r="J468" s="48">
        <f>'Adani Enterprises'!J468</f>
        <v>0</v>
      </c>
      <c r="K468" s="48">
        <f>'Adani Enterprises'!K468</f>
        <v>0</v>
      </c>
      <c r="L468" s="48">
        <f>'Adani Enterprises'!L468</f>
        <v>0</v>
      </c>
      <c r="M468" s="48">
        <f>'Adani Enterprises'!M468</f>
        <v>0</v>
      </c>
      <c r="N468" s="48">
        <f>'Adani Enterprises'!N468</f>
        <v>0</v>
      </c>
      <c r="O468" s="48">
        <f>'Adani Enterprises'!O468</f>
        <v>0</v>
      </c>
      <c r="P468" s="48">
        <f>'Adani Enterprises'!P468</f>
        <v>0</v>
      </c>
      <c r="Q468" s="48">
        <f>'Adani Enterprises'!Q468</f>
        <v>0</v>
      </c>
      <c r="R468" s="48">
        <f>'Adani Enterprises'!R468</f>
        <v>0</v>
      </c>
      <c r="S468" s="48">
        <f>'Adani Enterprises'!S468</f>
        <v>0</v>
      </c>
      <c r="T468" s="48">
        <f>'Adani Enterprises'!T468</f>
        <v>0</v>
      </c>
      <c r="U468" s="48">
        <f>'Adani Enterprises'!U468</f>
        <v>0</v>
      </c>
      <c r="V468" s="48">
        <f>'Adani Enterprises'!V468</f>
        <v>0</v>
      </c>
      <c r="W468" s="48">
        <f>'Adani Enterprises'!W468</f>
        <v>0</v>
      </c>
      <c r="X468" s="48">
        <f>'Adani Enterprises'!X468</f>
        <v>0</v>
      </c>
      <c r="Y468" s="48">
        <f>'Adani Enterprises'!Y468</f>
        <v>0</v>
      </c>
      <c r="Z468" s="48">
        <f>'Adani Enterprises'!Z468</f>
        <v>0</v>
      </c>
      <c r="AA468" s="48">
        <f>'Adani Enterprises'!AA468</f>
        <v>0</v>
      </c>
      <c r="AB468" s="48">
        <f>'Adani Enterprises'!AB468</f>
        <v>0</v>
      </c>
      <c r="AC468" s="48">
        <f>'Adani Enterprises'!AC468</f>
        <v>0</v>
      </c>
      <c r="AD468" s="48">
        <f>'Adani Enterprises'!AD468</f>
        <v>0</v>
      </c>
      <c r="AE468" s="48">
        <f>'Adani Enterprises'!AE468</f>
        <v>0</v>
      </c>
      <c r="AF468" s="48">
        <f>'Adani Enterprises'!AF468</f>
        <v>0</v>
      </c>
      <c r="AG468" s="48">
        <f>'Adani Enterprises'!AG468</f>
        <v>0</v>
      </c>
      <c r="AH468" s="48">
        <f>'Adani Enterprises'!AH468</f>
        <v>0</v>
      </c>
      <c r="AI468" s="48">
        <f>'Adani Enterprises'!AI468</f>
        <v>0</v>
      </c>
      <c r="AJ468" s="48">
        <f>'Adani Enterprises'!AJ468</f>
        <v>0</v>
      </c>
      <c r="AK468" s="48">
        <f>'Adani Enterprises'!AK468</f>
        <v>0</v>
      </c>
      <c r="AL468" s="48">
        <f>'Adani Enterprises'!AL468</f>
        <v>0</v>
      </c>
    </row>
    <row r="469" customHeight="1" spans="1:38">
      <c r="A469" s="48">
        <f>'Adani Enterprises'!A469</f>
        <v>0</v>
      </c>
      <c r="B469" s="48">
        <f>'Adani Enterprises'!B469</f>
        <v>0</v>
      </c>
      <c r="C469" s="48">
        <f>'Adani Enterprises'!C469</f>
        <v>0</v>
      </c>
      <c r="D469" s="48">
        <f>'Adani Enterprises'!D469</f>
        <v>0</v>
      </c>
      <c r="E469" s="48">
        <f>'Adani Enterprises'!E469</f>
        <v>0</v>
      </c>
      <c r="F469" s="48">
        <f>'Adani Enterprises'!F469</f>
        <v>0</v>
      </c>
      <c r="G469" s="48">
        <f>'Adani Enterprises'!G469</f>
        <v>0</v>
      </c>
      <c r="H469" s="48">
        <f>'Adani Enterprises'!H469</f>
        <v>0</v>
      </c>
      <c r="I469" s="48">
        <f>'Adani Enterprises'!I469</f>
        <v>0</v>
      </c>
      <c r="J469" s="48">
        <f>'Adani Enterprises'!J469</f>
        <v>0</v>
      </c>
      <c r="K469" s="48">
        <f>'Adani Enterprises'!K469</f>
        <v>0</v>
      </c>
      <c r="L469" s="48">
        <f>'Adani Enterprises'!L469</f>
        <v>0</v>
      </c>
      <c r="M469" s="48">
        <f>'Adani Enterprises'!M469</f>
        <v>0</v>
      </c>
      <c r="N469" s="48">
        <f>'Adani Enterprises'!N469</f>
        <v>0</v>
      </c>
      <c r="O469" s="48">
        <f>'Adani Enterprises'!O469</f>
        <v>0</v>
      </c>
      <c r="P469" s="48">
        <f>'Adani Enterprises'!P469</f>
        <v>0</v>
      </c>
      <c r="Q469" s="48">
        <f>'Adani Enterprises'!Q469</f>
        <v>0</v>
      </c>
      <c r="R469" s="48">
        <f>'Adani Enterprises'!R469</f>
        <v>0</v>
      </c>
      <c r="S469" s="48">
        <f>'Adani Enterprises'!S469</f>
        <v>0</v>
      </c>
      <c r="T469" s="48">
        <f>'Adani Enterprises'!T469</f>
        <v>0</v>
      </c>
      <c r="U469" s="48">
        <f>'Adani Enterprises'!U469</f>
        <v>0</v>
      </c>
      <c r="V469" s="48">
        <f>'Adani Enterprises'!V469</f>
        <v>0</v>
      </c>
      <c r="W469" s="48">
        <f>'Adani Enterprises'!W469</f>
        <v>0</v>
      </c>
      <c r="X469" s="48">
        <f>'Adani Enterprises'!X469</f>
        <v>0</v>
      </c>
      <c r="Y469" s="48">
        <f>'Adani Enterprises'!Y469</f>
        <v>0</v>
      </c>
      <c r="Z469" s="48">
        <f>'Adani Enterprises'!Z469</f>
        <v>0</v>
      </c>
      <c r="AA469" s="48">
        <f>'Adani Enterprises'!AA469</f>
        <v>0</v>
      </c>
      <c r="AB469" s="48">
        <f>'Adani Enterprises'!AB469</f>
        <v>0</v>
      </c>
      <c r="AC469" s="48">
        <f>'Adani Enterprises'!AC469</f>
        <v>0</v>
      </c>
      <c r="AD469" s="48">
        <f>'Adani Enterprises'!AD469</f>
        <v>0</v>
      </c>
      <c r="AE469" s="48">
        <f>'Adani Enterprises'!AE469</f>
        <v>0</v>
      </c>
      <c r="AF469" s="48">
        <f>'Adani Enterprises'!AF469</f>
        <v>0</v>
      </c>
      <c r="AG469" s="48">
        <f>'Adani Enterprises'!AG469</f>
        <v>0</v>
      </c>
      <c r="AH469" s="48">
        <f>'Adani Enterprises'!AH469</f>
        <v>0</v>
      </c>
      <c r="AI469" s="48">
        <f>'Adani Enterprises'!AI469</f>
        <v>0</v>
      </c>
      <c r="AJ469" s="48">
        <f>'Adani Enterprises'!AJ469</f>
        <v>0</v>
      </c>
      <c r="AK469" s="48">
        <f>'Adani Enterprises'!AK469</f>
        <v>0</v>
      </c>
      <c r="AL469" s="48">
        <f>'Adani Enterprises'!AL469</f>
        <v>0</v>
      </c>
    </row>
    <row r="470" customHeight="1" spans="1:38">
      <c r="A470" s="48">
        <f>'Adani Enterprises'!A470</f>
        <v>0</v>
      </c>
      <c r="B470" s="48">
        <f>'Adani Enterprises'!B470</f>
        <v>0</v>
      </c>
      <c r="C470" s="48">
        <f>'Adani Enterprises'!C470</f>
        <v>0</v>
      </c>
      <c r="D470" s="48">
        <f>'Adani Enterprises'!D470</f>
        <v>0</v>
      </c>
      <c r="E470" s="48">
        <f>'Adani Enterprises'!E470</f>
        <v>0</v>
      </c>
      <c r="F470" s="48">
        <f>'Adani Enterprises'!F470</f>
        <v>0</v>
      </c>
      <c r="G470" s="48">
        <f>'Adani Enterprises'!G470</f>
        <v>0</v>
      </c>
      <c r="H470" s="48">
        <f>'Adani Enterprises'!H470</f>
        <v>0</v>
      </c>
      <c r="I470" s="48">
        <f>'Adani Enterprises'!I470</f>
        <v>0</v>
      </c>
      <c r="J470" s="48">
        <f>'Adani Enterprises'!J470</f>
        <v>0</v>
      </c>
      <c r="K470" s="48">
        <f>'Adani Enterprises'!K470</f>
        <v>0</v>
      </c>
      <c r="L470" s="48">
        <f>'Adani Enterprises'!L470</f>
        <v>0</v>
      </c>
      <c r="M470" s="48">
        <f>'Adani Enterprises'!M470</f>
        <v>0</v>
      </c>
      <c r="N470" s="48">
        <f>'Adani Enterprises'!N470</f>
        <v>0</v>
      </c>
      <c r="O470" s="48">
        <f>'Adani Enterprises'!O470</f>
        <v>0</v>
      </c>
      <c r="P470" s="48">
        <f>'Adani Enterprises'!P470</f>
        <v>0</v>
      </c>
      <c r="Q470" s="48">
        <f>'Adani Enterprises'!Q470</f>
        <v>0</v>
      </c>
      <c r="R470" s="48">
        <f>'Adani Enterprises'!R470</f>
        <v>0</v>
      </c>
      <c r="S470" s="48">
        <f>'Adani Enterprises'!S470</f>
        <v>0</v>
      </c>
      <c r="T470" s="48">
        <f>'Adani Enterprises'!T470</f>
        <v>0</v>
      </c>
      <c r="U470" s="48">
        <f>'Adani Enterprises'!U470</f>
        <v>0</v>
      </c>
      <c r="V470" s="48">
        <f>'Adani Enterprises'!V470</f>
        <v>0</v>
      </c>
      <c r="W470" s="48">
        <f>'Adani Enterprises'!W470</f>
        <v>0</v>
      </c>
      <c r="X470" s="48">
        <f>'Adani Enterprises'!X470</f>
        <v>0</v>
      </c>
      <c r="Y470" s="48">
        <f>'Adani Enterprises'!Y470</f>
        <v>0</v>
      </c>
      <c r="Z470" s="48">
        <f>'Adani Enterprises'!Z470</f>
        <v>0</v>
      </c>
      <c r="AA470" s="48">
        <f>'Adani Enterprises'!AA470</f>
        <v>0</v>
      </c>
      <c r="AB470" s="48">
        <f>'Adani Enterprises'!AB470</f>
        <v>0</v>
      </c>
      <c r="AC470" s="48">
        <f>'Adani Enterprises'!AC470</f>
        <v>0</v>
      </c>
      <c r="AD470" s="48">
        <f>'Adani Enterprises'!AD470</f>
        <v>0</v>
      </c>
      <c r="AE470" s="48">
        <f>'Adani Enterprises'!AE470</f>
        <v>0</v>
      </c>
      <c r="AF470" s="48">
        <f>'Adani Enterprises'!AF470</f>
        <v>0</v>
      </c>
      <c r="AG470" s="48">
        <f>'Adani Enterprises'!AG470</f>
        <v>0</v>
      </c>
      <c r="AH470" s="48">
        <f>'Adani Enterprises'!AH470</f>
        <v>0</v>
      </c>
      <c r="AI470" s="48">
        <f>'Adani Enterprises'!AI470</f>
        <v>0</v>
      </c>
      <c r="AJ470" s="48">
        <f>'Adani Enterprises'!AJ470</f>
        <v>0</v>
      </c>
      <c r="AK470" s="48">
        <f>'Adani Enterprises'!AK470</f>
        <v>0</v>
      </c>
      <c r="AL470" s="48">
        <f>'Adani Enterprises'!AL470</f>
        <v>0</v>
      </c>
    </row>
    <row r="471" customHeight="1" spans="1:38">
      <c r="A471" s="48">
        <f>'Adani Enterprises'!A471</f>
        <v>0</v>
      </c>
      <c r="B471" s="48">
        <f>'Adani Enterprises'!B471</f>
        <v>0</v>
      </c>
      <c r="C471" s="48">
        <f>'Adani Enterprises'!C471</f>
        <v>0</v>
      </c>
      <c r="D471" s="48">
        <f>'Adani Enterprises'!D471</f>
        <v>0</v>
      </c>
      <c r="E471" s="48">
        <f>'Adani Enterprises'!E471</f>
        <v>0</v>
      </c>
      <c r="F471" s="48">
        <f>'Adani Enterprises'!F471</f>
        <v>0</v>
      </c>
      <c r="G471" s="48">
        <f>'Adani Enterprises'!G471</f>
        <v>0</v>
      </c>
      <c r="H471" s="48">
        <f>'Adani Enterprises'!H471</f>
        <v>0</v>
      </c>
      <c r="I471" s="48">
        <f>'Adani Enterprises'!I471</f>
        <v>0</v>
      </c>
      <c r="J471" s="48">
        <f>'Adani Enterprises'!J471</f>
        <v>0</v>
      </c>
      <c r="K471" s="48">
        <f>'Adani Enterprises'!K471</f>
        <v>0</v>
      </c>
      <c r="L471" s="48">
        <f>'Adani Enterprises'!L471</f>
        <v>0</v>
      </c>
      <c r="M471" s="48">
        <f>'Adani Enterprises'!M471</f>
        <v>0</v>
      </c>
      <c r="N471" s="48">
        <f>'Adani Enterprises'!N471</f>
        <v>0</v>
      </c>
      <c r="O471" s="48">
        <f>'Adani Enterprises'!O471</f>
        <v>0</v>
      </c>
      <c r="P471" s="48">
        <f>'Adani Enterprises'!P471</f>
        <v>0</v>
      </c>
      <c r="Q471" s="48">
        <f>'Adani Enterprises'!Q471</f>
        <v>0</v>
      </c>
      <c r="R471" s="48">
        <f>'Adani Enterprises'!R471</f>
        <v>0</v>
      </c>
      <c r="S471" s="48">
        <f>'Adani Enterprises'!S471</f>
        <v>0</v>
      </c>
      <c r="T471" s="48">
        <f>'Adani Enterprises'!T471</f>
        <v>0</v>
      </c>
      <c r="U471" s="48">
        <f>'Adani Enterprises'!U471</f>
        <v>0</v>
      </c>
      <c r="V471" s="48">
        <f>'Adani Enterprises'!V471</f>
        <v>0</v>
      </c>
      <c r="W471" s="48">
        <f>'Adani Enterprises'!W471</f>
        <v>0</v>
      </c>
      <c r="X471" s="48">
        <f>'Adani Enterprises'!X471</f>
        <v>0</v>
      </c>
      <c r="Y471" s="48">
        <f>'Adani Enterprises'!Y471</f>
        <v>0</v>
      </c>
      <c r="Z471" s="48">
        <f>'Adani Enterprises'!Z471</f>
        <v>0</v>
      </c>
      <c r="AA471" s="48">
        <f>'Adani Enterprises'!AA471</f>
        <v>0</v>
      </c>
      <c r="AB471" s="48">
        <f>'Adani Enterprises'!AB471</f>
        <v>0</v>
      </c>
      <c r="AC471" s="48">
        <f>'Adani Enterprises'!AC471</f>
        <v>0</v>
      </c>
      <c r="AD471" s="48">
        <f>'Adani Enterprises'!AD471</f>
        <v>0</v>
      </c>
      <c r="AE471" s="48">
        <f>'Adani Enterprises'!AE471</f>
        <v>0</v>
      </c>
      <c r="AF471" s="48">
        <f>'Adani Enterprises'!AF471</f>
        <v>0</v>
      </c>
      <c r="AG471" s="48">
        <f>'Adani Enterprises'!AG471</f>
        <v>0</v>
      </c>
      <c r="AH471" s="48">
        <f>'Adani Enterprises'!AH471</f>
        <v>0</v>
      </c>
      <c r="AI471" s="48">
        <f>'Adani Enterprises'!AI471</f>
        <v>0</v>
      </c>
      <c r="AJ471" s="48">
        <f>'Adani Enterprises'!AJ471</f>
        <v>0</v>
      </c>
      <c r="AK471" s="48">
        <f>'Adani Enterprises'!AK471</f>
        <v>0</v>
      </c>
      <c r="AL471" s="48">
        <f>'Adani Enterprises'!AL471</f>
        <v>0</v>
      </c>
    </row>
    <row r="472" customHeight="1" spans="1:38">
      <c r="A472" s="48">
        <f>'Adani Enterprises'!A472</f>
        <v>0</v>
      </c>
      <c r="B472" s="48">
        <f>'Adani Enterprises'!B472</f>
        <v>0</v>
      </c>
      <c r="C472" s="48">
        <f>'Adani Enterprises'!C472</f>
        <v>0</v>
      </c>
      <c r="D472" s="48">
        <f>'Adani Enterprises'!D472</f>
        <v>0</v>
      </c>
      <c r="E472" s="48">
        <f>'Adani Enterprises'!E472</f>
        <v>0</v>
      </c>
      <c r="F472" s="48">
        <f>'Adani Enterprises'!F472</f>
        <v>0</v>
      </c>
      <c r="G472" s="48">
        <f>'Adani Enterprises'!G472</f>
        <v>0</v>
      </c>
      <c r="H472" s="48">
        <f>'Adani Enterprises'!H472</f>
        <v>0</v>
      </c>
      <c r="I472" s="48">
        <f>'Adani Enterprises'!I472</f>
        <v>0</v>
      </c>
      <c r="J472" s="48">
        <f>'Adani Enterprises'!J472</f>
        <v>0</v>
      </c>
      <c r="K472" s="48">
        <f>'Adani Enterprises'!K472</f>
        <v>0</v>
      </c>
      <c r="L472" s="48">
        <f>'Adani Enterprises'!L472</f>
        <v>0</v>
      </c>
      <c r="M472" s="48">
        <f>'Adani Enterprises'!M472</f>
        <v>0</v>
      </c>
      <c r="N472" s="48">
        <f>'Adani Enterprises'!N472</f>
        <v>0</v>
      </c>
      <c r="O472" s="48">
        <f>'Adani Enterprises'!O472</f>
        <v>0</v>
      </c>
      <c r="P472" s="48">
        <f>'Adani Enterprises'!P472</f>
        <v>0</v>
      </c>
      <c r="Q472" s="48">
        <f>'Adani Enterprises'!Q472</f>
        <v>0</v>
      </c>
      <c r="R472" s="48">
        <f>'Adani Enterprises'!R472</f>
        <v>0</v>
      </c>
      <c r="S472" s="48">
        <f>'Adani Enterprises'!S472</f>
        <v>0</v>
      </c>
      <c r="T472" s="48">
        <f>'Adani Enterprises'!T472</f>
        <v>0</v>
      </c>
      <c r="U472" s="48">
        <f>'Adani Enterprises'!U472</f>
        <v>0</v>
      </c>
      <c r="V472" s="48">
        <f>'Adani Enterprises'!V472</f>
        <v>0</v>
      </c>
      <c r="W472" s="48">
        <f>'Adani Enterprises'!W472</f>
        <v>0</v>
      </c>
      <c r="X472" s="48">
        <f>'Adani Enterprises'!X472</f>
        <v>0</v>
      </c>
      <c r="Y472" s="48">
        <f>'Adani Enterprises'!Y472</f>
        <v>0</v>
      </c>
      <c r="Z472" s="48">
        <f>'Adani Enterprises'!Z472</f>
        <v>0</v>
      </c>
      <c r="AA472" s="48">
        <f>'Adani Enterprises'!AA472</f>
        <v>0</v>
      </c>
      <c r="AB472" s="48">
        <f>'Adani Enterprises'!AB472</f>
        <v>0</v>
      </c>
      <c r="AC472" s="48">
        <f>'Adani Enterprises'!AC472</f>
        <v>0</v>
      </c>
      <c r="AD472" s="48">
        <f>'Adani Enterprises'!AD472</f>
        <v>0</v>
      </c>
      <c r="AE472" s="48">
        <f>'Adani Enterprises'!AE472</f>
        <v>0</v>
      </c>
      <c r="AF472" s="48">
        <f>'Adani Enterprises'!AF472</f>
        <v>0</v>
      </c>
      <c r="AG472" s="48">
        <f>'Adani Enterprises'!AG472</f>
        <v>0</v>
      </c>
      <c r="AH472" s="48">
        <f>'Adani Enterprises'!AH472</f>
        <v>0</v>
      </c>
      <c r="AI472" s="48">
        <f>'Adani Enterprises'!AI472</f>
        <v>0</v>
      </c>
      <c r="AJ472" s="48">
        <f>'Adani Enterprises'!AJ472</f>
        <v>0</v>
      </c>
      <c r="AK472" s="48">
        <f>'Adani Enterprises'!AK472</f>
        <v>0</v>
      </c>
      <c r="AL472" s="48">
        <f>'Adani Enterprises'!AL472</f>
        <v>0</v>
      </c>
    </row>
    <row r="473" customHeight="1" spans="1:38">
      <c r="A473" s="48">
        <f>'Adani Enterprises'!A473</f>
        <v>0</v>
      </c>
      <c r="B473" s="48">
        <f>'Adani Enterprises'!B473</f>
        <v>0</v>
      </c>
      <c r="C473" s="48">
        <f>'Adani Enterprises'!C473</f>
        <v>0</v>
      </c>
      <c r="D473" s="48">
        <f>'Adani Enterprises'!D473</f>
        <v>0</v>
      </c>
      <c r="E473" s="48">
        <f>'Adani Enterprises'!E473</f>
        <v>0</v>
      </c>
      <c r="F473" s="48">
        <f>'Adani Enterprises'!F473</f>
        <v>0</v>
      </c>
      <c r="G473" s="48">
        <f>'Adani Enterprises'!G473</f>
        <v>0</v>
      </c>
      <c r="H473" s="48">
        <f>'Adani Enterprises'!H473</f>
        <v>0</v>
      </c>
      <c r="I473" s="48">
        <f>'Adani Enterprises'!I473</f>
        <v>0</v>
      </c>
      <c r="J473" s="48">
        <f>'Adani Enterprises'!J473</f>
        <v>0</v>
      </c>
      <c r="K473" s="48">
        <f>'Adani Enterprises'!K473</f>
        <v>0</v>
      </c>
      <c r="L473" s="48">
        <f>'Adani Enterprises'!L473</f>
        <v>0</v>
      </c>
      <c r="M473" s="48">
        <f>'Adani Enterprises'!M473</f>
        <v>0</v>
      </c>
      <c r="N473" s="48">
        <f>'Adani Enterprises'!N473</f>
        <v>0</v>
      </c>
      <c r="O473" s="48">
        <f>'Adani Enterprises'!O473</f>
        <v>0</v>
      </c>
      <c r="P473" s="48">
        <f>'Adani Enterprises'!P473</f>
        <v>0</v>
      </c>
      <c r="Q473" s="48">
        <f>'Adani Enterprises'!Q473</f>
        <v>0</v>
      </c>
      <c r="R473" s="48">
        <f>'Adani Enterprises'!R473</f>
        <v>0</v>
      </c>
      <c r="S473" s="48">
        <f>'Adani Enterprises'!S473</f>
        <v>0</v>
      </c>
      <c r="T473" s="48">
        <f>'Adani Enterprises'!T473</f>
        <v>0</v>
      </c>
      <c r="U473" s="48">
        <f>'Adani Enterprises'!U473</f>
        <v>0</v>
      </c>
      <c r="V473" s="48">
        <f>'Adani Enterprises'!V473</f>
        <v>0</v>
      </c>
      <c r="W473" s="48">
        <f>'Adani Enterprises'!W473</f>
        <v>0</v>
      </c>
      <c r="X473" s="48">
        <f>'Adani Enterprises'!X473</f>
        <v>0</v>
      </c>
      <c r="Y473" s="48">
        <f>'Adani Enterprises'!Y473</f>
        <v>0</v>
      </c>
      <c r="Z473" s="48">
        <f>'Adani Enterprises'!Z473</f>
        <v>0</v>
      </c>
      <c r="AA473" s="48">
        <f>'Adani Enterprises'!AA473</f>
        <v>0</v>
      </c>
      <c r="AB473" s="48">
        <f>'Adani Enterprises'!AB473</f>
        <v>0</v>
      </c>
      <c r="AC473" s="48">
        <f>'Adani Enterprises'!AC473</f>
        <v>0</v>
      </c>
      <c r="AD473" s="48">
        <f>'Adani Enterprises'!AD473</f>
        <v>0</v>
      </c>
      <c r="AE473" s="48">
        <f>'Adani Enterprises'!AE473</f>
        <v>0</v>
      </c>
      <c r="AF473" s="48">
        <f>'Adani Enterprises'!AF473</f>
        <v>0</v>
      </c>
      <c r="AG473" s="48">
        <f>'Adani Enterprises'!AG473</f>
        <v>0</v>
      </c>
      <c r="AH473" s="48">
        <f>'Adani Enterprises'!AH473</f>
        <v>0</v>
      </c>
      <c r="AI473" s="48">
        <f>'Adani Enterprises'!AI473</f>
        <v>0</v>
      </c>
      <c r="AJ473" s="48">
        <f>'Adani Enterprises'!AJ473</f>
        <v>0</v>
      </c>
      <c r="AK473" s="48">
        <f>'Adani Enterprises'!AK473</f>
        <v>0</v>
      </c>
      <c r="AL473" s="48">
        <f>'Adani Enterprises'!AL473</f>
        <v>0</v>
      </c>
    </row>
    <row r="474" customHeight="1" spans="1:38">
      <c r="A474" s="48">
        <f>'Adani Enterprises'!A474</f>
        <v>0</v>
      </c>
      <c r="B474" s="48">
        <f>'Adani Enterprises'!B474</f>
        <v>0</v>
      </c>
      <c r="C474" s="48">
        <f>'Adani Enterprises'!C474</f>
        <v>0</v>
      </c>
      <c r="D474" s="48">
        <f>'Adani Enterprises'!D474</f>
        <v>0</v>
      </c>
      <c r="E474" s="48">
        <f>'Adani Enterprises'!E474</f>
        <v>0</v>
      </c>
      <c r="F474" s="48">
        <f>'Adani Enterprises'!F474</f>
        <v>0</v>
      </c>
      <c r="G474" s="48">
        <f>'Adani Enterprises'!G474</f>
        <v>0</v>
      </c>
      <c r="H474" s="48">
        <f>'Adani Enterprises'!H474</f>
        <v>0</v>
      </c>
      <c r="I474" s="48">
        <f>'Adani Enterprises'!I474</f>
        <v>0</v>
      </c>
      <c r="J474" s="48">
        <f>'Adani Enterprises'!J474</f>
        <v>0</v>
      </c>
      <c r="K474" s="48">
        <f>'Adani Enterprises'!K474</f>
        <v>0</v>
      </c>
      <c r="L474" s="48">
        <f>'Adani Enterprises'!L474</f>
        <v>0</v>
      </c>
      <c r="M474" s="48">
        <f>'Adani Enterprises'!M474</f>
        <v>0</v>
      </c>
      <c r="N474" s="48">
        <f>'Adani Enterprises'!N474</f>
        <v>0</v>
      </c>
      <c r="O474" s="48">
        <f>'Adani Enterprises'!O474</f>
        <v>0</v>
      </c>
      <c r="P474" s="48">
        <f>'Adani Enterprises'!P474</f>
        <v>0</v>
      </c>
      <c r="Q474" s="48">
        <f>'Adani Enterprises'!Q474</f>
        <v>0</v>
      </c>
      <c r="R474" s="48">
        <f>'Adani Enterprises'!R474</f>
        <v>0</v>
      </c>
      <c r="S474" s="48">
        <f>'Adani Enterprises'!S474</f>
        <v>0</v>
      </c>
      <c r="T474" s="48">
        <f>'Adani Enterprises'!T474</f>
        <v>0</v>
      </c>
      <c r="U474" s="48">
        <f>'Adani Enterprises'!U474</f>
        <v>0</v>
      </c>
      <c r="V474" s="48">
        <f>'Adani Enterprises'!V474</f>
        <v>0</v>
      </c>
      <c r="W474" s="48">
        <f>'Adani Enterprises'!W474</f>
        <v>0</v>
      </c>
      <c r="X474" s="48">
        <f>'Adani Enterprises'!X474</f>
        <v>0</v>
      </c>
      <c r="Y474" s="48">
        <f>'Adani Enterprises'!Y474</f>
        <v>0</v>
      </c>
      <c r="Z474" s="48">
        <f>'Adani Enterprises'!Z474</f>
        <v>0</v>
      </c>
      <c r="AA474" s="48">
        <f>'Adani Enterprises'!AA474</f>
        <v>0</v>
      </c>
      <c r="AB474" s="48">
        <f>'Adani Enterprises'!AB474</f>
        <v>0</v>
      </c>
      <c r="AC474" s="48">
        <f>'Adani Enterprises'!AC474</f>
        <v>0</v>
      </c>
      <c r="AD474" s="48">
        <f>'Adani Enterprises'!AD474</f>
        <v>0</v>
      </c>
      <c r="AE474" s="48">
        <f>'Adani Enterprises'!AE474</f>
        <v>0</v>
      </c>
      <c r="AF474" s="48">
        <f>'Adani Enterprises'!AF474</f>
        <v>0</v>
      </c>
      <c r="AG474" s="48">
        <f>'Adani Enterprises'!AG474</f>
        <v>0</v>
      </c>
      <c r="AH474" s="48">
        <f>'Adani Enterprises'!AH474</f>
        <v>0</v>
      </c>
      <c r="AI474" s="48">
        <f>'Adani Enterprises'!AI474</f>
        <v>0</v>
      </c>
      <c r="AJ474" s="48">
        <f>'Adani Enterprises'!AJ474</f>
        <v>0</v>
      </c>
      <c r="AK474" s="48">
        <f>'Adani Enterprises'!AK474</f>
        <v>0</v>
      </c>
      <c r="AL474" s="48">
        <f>'Adani Enterprises'!AL474</f>
        <v>0</v>
      </c>
    </row>
    <row r="475" customHeight="1" spans="1:38">
      <c r="A475" s="48">
        <f>'Adani Enterprises'!A475</f>
        <v>0</v>
      </c>
      <c r="B475" s="48">
        <f>'Adani Enterprises'!B475</f>
        <v>0</v>
      </c>
      <c r="C475" s="48">
        <f>'Adani Enterprises'!C475</f>
        <v>0</v>
      </c>
      <c r="D475" s="48">
        <f>'Adani Enterprises'!D475</f>
        <v>0</v>
      </c>
      <c r="E475" s="48">
        <f>'Adani Enterprises'!E475</f>
        <v>0</v>
      </c>
      <c r="F475" s="48">
        <f>'Adani Enterprises'!F475</f>
        <v>0</v>
      </c>
      <c r="G475" s="48">
        <f>'Adani Enterprises'!G475</f>
        <v>0</v>
      </c>
      <c r="H475" s="48">
        <f>'Adani Enterprises'!H475</f>
        <v>0</v>
      </c>
      <c r="I475" s="48">
        <f>'Adani Enterprises'!I475</f>
        <v>0</v>
      </c>
      <c r="J475" s="48">
        <f>'Adani Enterprises'!J475</f>
        <v>0</v>
      </c>
      <c r="K475" s="48">
        <f>'Adani Enterprises'!K475</f>
        <v>0</v>
      </c>
      <c r="L475" s="48">
        <f>'Adani Enterprises'!L475</f>
        <v>0</v>
      </c>
      <c r="M475" s="48">
        <f>'Adani Enterprises'!M475</f>
        <v>0</v>
      </c>
      <c r="N475" s="48">
        <f>'Adani Enterprises'!N475</f>
        <v>0</v>
      </c>
      <c r="O475" s="48">
        <f>'Adani Enterprises'!O475</f>
        <v>0</v>
      </c>
      <c r="P475" s="48">
        <f>'Adani Enterprises'!P475</f>
        <v>0</v>
      </c>
      <c r="Q475" s="48">
        <f>'Adani Enterprises'!Q475</f>
        <v>0</v>
      </c>
      <c r="R475" s="48">
        <f>'Adani Enterprises'!R475</f>
        <v>0</v>
      </c>
      <c r="S475" s="48">
        <f>'Adani Enterprises'!S475</f>
        <v>0</v>
      </c>
      <c r="T475" s="48">
        <f>'Adani Enterprises'!T475</f>
        <v>0</v>
      </c>
      <c r="U475" s="48">
        <f>'Adani Enterprises'!U475</f>
        <v>0</v>
      </c>
      <c r="V475" s="48">
        <f>'Adani Enterprises'!V475</f>
        <v>0</v>
      </c>
      <c r="W475" s="48">
        <f>'Adani Enterprises'!W475</f>
        <v>0</v>
      </c>
      <c r="X475" s="48">
        <f>'Adani Enterprises'!X475</f>
        <v>0</v>
      </c>
      <c r="Y475" s="48">
        <f>'Adani Enterprises'!Y475</f>
        <v>0</v>
      </c>
      <c r="Z475" s="48">
        <f>'Adani Enterprises'!Z475</f>
        <v>0</v>
      </c>
      <c r="AA475" s="48">
        <f>'Adani Enterprises'!AA475</f>
        <v>0</v>
      </c>
      <c r="AB475" s="48">
        <f>'Adani Enterprises'!AB475</f>
        <v>0</v>
      </c>
      <c r="AC475" s="48">
        <f>'Adani Enterprises'!AC475</f>
        <v>0</v>
      </c>
      <c r="AD475" s="48">
        <f>'Adani Enterprises'!AD475</f>
        <v>0</v>
      </c>
      <c r="AE475" s="48">
        <f>'Adani Enterprises'!AE475</f>
        <v>0</v>
      </c>
      <c r="AF475" s="48">
        <f>'Adani Enterprises'!AF475</f>
        <v>0</v>
      </c>
      <c r="AG475" s="48">
        <f>'Adani Enterprises'!AG475</f>
        <v>0</v>
      </c>
      <c r="AH475" s="48">
        <f>'Adani Enterprises'!AH475</f>
        <v>0</v>
      </c>
      <c r="AI475" s="48">
        <f>'Adani Enterprises'!AI475</f>
        <v>0</v>
      </c>
      <c r="AJ475" s="48">
        <f>'Adani Enterprises'!AJ475</f>
        <v>0</v>
      </c>
      <c r="AK475" s="48">
        <f>'Adani Enterprises'!AK475</f>
        <v>0</v>
      </c>
      <c r="AL475" s="48">
        <f>'Adani Enterprises'!AL475</f>
        <v>0</v>
      </c>
    </row>
    <row r="476" customHeight="1" spans="1:38">
      <c r="A476" s="48">
        <f>'Adani Enterprises'!A476</f>
        <v>0</v>
      </c>
      <c r="B476" s="48">
        <f>'Adani Enterprises'!B476</f>
        <v>0</v>
      </c>
      <c r="C476" s="48">
        <f>'Adani Enterprises'!C476</f>
        <v>0</v>
      </c>
      <c r="D476" s="48">
        <f>'Adani Enterprises'!D476</f>
        <v>0</v>
      </c>
      <c r="E476" s="48">
        <f>'Adani Enterprises'!E476</f>
        <v>0</v>
      </c>
      <c r="F476" s="48">
        <f>'Adani Enterprises'!F476</f>
        <v>0</v>
      </c>
      <c r="G476" s="48">
        <f>'Adani Enterprises'!G476</f>
        <v>0</v>
      </c>
      <c r="H476" s="48">
        <f>'Adani Enterprises'!H476</f>
        <v>0</v>
      </c>
      <c r="I476" s="48">
        <f>'Adani Enterprises'!I476</f>
        <v>0</v>
      </c>
      <c r="J476" s="48">
        <f>'Adani Enterprises'!J476</f>
        <v>0</v>
      </c>
      <c r="K476" s="48">
        <f>'Adani Enterprises'!K476</f>
        <v>0</v>
      </c>
      <c r="L476" s="48">
        <f>'Adani Enterprises'!L476</f>
        <v>0</v>
      </c>
      <c r="M476" s="48">
        <f>'Adani Enterprises'!M476</f>
        <v>0</v>
      </c>
      <c r="N476" s="48">
        <f>'Adani Enterprises'!N476</f>
        <v>0</v>
      </c>
      <c r="O476" s="48">
        <f>'Adani Enterprises'!O476</f>
        <v>0</v>
      </c>
      <c r="P476" s="48">
        <f>'Adani Enterprises'!P476</f>
        <v>0</v>
      </c>
      <c r="Q476" s="48">
        <f>'Adani Enterprises'!Q476</f>
        <v>0</v>
      </c>
      <c r="R476" s="48">
        <f>'Adani Enterprises'!R476</f>
        <v>0</v>
      </c>
      <c r="S476" s="48">
        <f>'Adani Enterprises'!S476</f>
        <v>0</v>
      </c>
      <c r="T476" s="48">
        <f>'Adani Enterprises'!T476</f>
        <v>0</v>
      </c>
      <c r="U476" s="48">
        <f>'Adani Enterprises'!U476</f>
        <v>0</v>
      </c>
      <c r="V476" s="48">
        <f>'Adani Enterprises'!V476</f>
        <v>0</v>
      </c>
      <c r="W476" s="48">
        <f>'Adani Enterprises'!W476</f>
        <v>0</v>
      </c>
      <c r="X476" s="48">
        <f>'Adani Enterprises'!X476</f>
        <v>0</v>
      </c>
      <c r="Y476" s="48">
        <f>'Adani Enterprises'!Y476</f>
        <v>0</v>
      </c>
      <c r="Z476" s="48">
        <f>'Adani Enterprises'!Z476</f>
        <v>0</v>
      </c>
      <c r="AA476" s="48">
        <f>'Adani Enterprises'!AA476</f>
        <v>0</v>
      </c>
      <c r="AB476" s="48">
        <f>'Adani Enterprises'!AB476</f>
        <v>0</v>
      </c>
      <c r="AC476" s="48">
        <f>'Adani Enterprises'!AC476</f>
        <v>0</v>
      </c>
      <c r="AD476" s="48">
        <f>'Adani Enterprises'!AD476</f>
        <v>0</v>
      </c>
      <c r="AE476" s="48">
        <f>'Adani Enterprises'!AE476</f>
        <v>0</v>
      </c>
      <c r="AF476" s="48">
        <f>'Adani Enterprises'!AF476</f>
        <v>0</v>
      </c>
      <c r="AG476" s="48">
        <f>'Adani Enterprises'!AG476</f>
        <v>0</v>
      </c>
      <c r="AH476" s="48">
        <f>'Adani Enterprises'!AH476</f>
        <v>0</v>
      </c>
      <c r="AI476" s="48">
        <f>'Adani Enterprises'!AI476</f>
        <v>0</v>
      </c>
      <c r="AJ476" s="48">
        <f>'Adani Enterprises'!AJ476</f>
        <v>0</v>
      </c>
      <c r="AK476" s="48">
        <f>'Adani Enterprises'!AK476</f>
        <v>0</v>
      </c>
      <c r="AL476" s="48">
        <f>'Adani Enterprises'!AL476</f>
        <v>0</v>
      </c>
    </row>
    <row r="477" customHeight="1" spans="1:38">
      <c r="A477" s="48">
        <f>'Adani Enterprises'!A477</f>
        <v>0</v>
      </c>
      <c r="B477" s="48">
        <f>'Adani Enterprises'!B477</f>
        <v>0</v>
      </c>
      <c r="C477" s="48">
        <f>'Adani Enterprises'!C477</f>
        <v>0</v>
      </c>
      <c r="D477" s="48">
        <f>'Adani Enterprises'!D477</f>
        <v>0</v>
      </c>
      <c r="E477" s="48">
        <f>'Adani Enterprises'!E477</f>
        <v>0</v>
      </c>
      <c r="F477" s="48">
        <f>'Adani Enterprises'!F477</f>
        <v>0</v>
      </c>
      <c r="G477" s="48">
        <f>'Adani Enterprises'!G477</f>
        <v>0</v>
      </c>
      <c r="H477" s="48">
        <f>'Adani Enterprises'!H477</f>
        <v>0</v>
      </c>
      <c r="I477" s="48">
        <f>'Adani Enterprises'!I477</f>
        <v>0</v>
      </c>
      <c r="J477" s="48">
        <f>'Adani Enterprises'!J477</f>
        <v>0</v>
      </c>
      <c r="K477" s="48">
        <f>'Adani Enterprises'!K477</f>
        <v>0</v>
      </c>
      <c r="L477" s="48">
        <f>'Adani Enterprises'!L477</f>
        <v>0</v>
      </c>
      <c r="M477" s="48">
        <f>'Adani Enterprises'!M477</f>
        <v>0</v>
      </c>
      <c r="N477" s="48">
        <f>'Adani Enterprises'!N477</f>
        <v>0</v>
      </c>
      <c r="O477" s="48">
        <f>'Adani Enterprises'!O477</f>
        <v>0</v>
      </c>
      <c r="P477" s="48">
        <f>'Adani Enterprises'!P477</f>
        <v>0</v>
      </c>
      <c r="Q477" s="48">
        <f>'Adani Enterprises'!Q477</f>
        <v>0</v>
      </c>
      <c r="R477" s="48">
        <f>'Adani Enterprises'!R477</f>
        <v>0</v>
      </c>
      <c r="S477" s="48">
        <f>'Adani Enterprises'!S477</f>
        <v>0</v>
      </c>
      <c r="T477" s="48">
        <f>'Adani Enterprises'!T477</f>
        <v>0</v>
      </c>
      <c r="U477" s="48">
        <f>'Adani Enterprises'!U477</f>
        <v>0</v>
      </c>
      <c r="V477" s="48">
        <f>'Adani Enterprises'!V477</f>
        <v>0</v>
      </c>
      <c r="W477" s="48">
        <f>'Adani Enterprises'!W477</f>
        <v>0</v>
      </c>
      <c r="X477" s="48">
        <f>'Adani Enterprises'!X477</f>
        <v>0</v>
      </c>
      <c r="Y477" s="48">
        <f>'Adani Enterprises'!Y477</f>
        <v>0</v>
      </c>
      <c r="Z477" s="48">
        <f>'Adani Enterprises'!Z477</f>
        <v>0</v>
      </c>
      <c r="AA477" s="48">
        <f>'Adani Enterprises'!AA477</f>
        <v>0</v>
      </c>
      <c r="AB477" s="48">
        <f>'Adani Enterprises'!AB477</f>
        <v>0</v>
      </c>
      <c r="AC477" s="48">
        <f>'Adani Enterprises'!AC477</f>
        <v>0</v>
      </c>
      <c r="AD477" s="48">
        <f>'Adani Enterprises'!AD477</f>
        <v>0</v>
      </c>
      <c r="AE477" s="48">
        <f>'Adani Enterprises'!AE477</f>
        <v>0</v>
      </c>
      <c r="AF477" s="48">
        <f>'Adani Enterprises'!AF477</f>
        <v>0</v>
      </c>
      <c r="AG477" s="48">
        <f>'Adani Enterprises'!AG477</f>
        <v>0</v>
      </c>
      <c r="AH477" s="48">
        <f>'Adani Enterprises'!AH477</f>
        <v>0</v>
      </c>
      <c r="AI477" s="48">
        <f>'Adani Enterprises'!AI477</f>
        <v>0</v>
      </c>
      <c r="AJ477" s="48">
        <f>'Adani Enterprises'!AJ477</f>
        <v>0</v>
      </c>
      <c r="AK477" s="48">
        <f>'Adani Enterprises'!AK477</f>
        <v>0</v>
      </c>
      <c r="AL477" s="48">
        <f>'Adani Enterprises'!AL477</f>
        <v>0</v>
      </c>
    </row>
    <row r="478" customHeight="1" spans="1:38">
      <c r="A478" s="48">
        <f>'Adani Enterprises'!A478</f>
        <v>0</v>
      </c>
      <c r="B478" s="48">
        <f>'Adani Enterprises'!B478</f>
        <v>0</v>
      </c>
      <c r="C478" s="48">
        <f>'Adani Enterprises'!C478</f>
        <v>0</v>
      </c>
      <c r="D478" s="48">
        <f>'Adani Enterprises'!D478</f>
        <v>0</v>
      </c>
      <c r="E478" s="48">
        <f>'Adani Enterprises'!E478</f>
        <v>0</v>
      </c>
      <c r="F478" s="48">
        <f>'Adani Enterprises'!F478</f>
        <v>0</v>
      </c>
      <c r="G478" s="48">
        <f>'Adani Enterprises'!G478</f>
        <v>0</v>
      </c>
      <c r="H478" s="48">
        <f>'Adani Enterprises'!H478</f>
        <v>0</v>
      </c>
      <c r="I478" s="48">
        <f>'Adani Enterprises'!I478</f>
        <v>0</v>
      </c>
      <c r="J478" s="48">
        <f>'Adani Enterprises'!J478</f>
        <v>0</v>
      </c>
      <c r="K478" s="48">
        <f>'Adani Enterprises'!K478</f>
        <v>0</v>
      </c>
      <c r="L478" s="48">
        <f>'Adani Enterprises'!L478</f>
        <v>0</v>
      </c>
      <c r="M478" s="48">
        <f>'Adani Enterprises'!M478</f>
        <v>0</v>
      </c>
      <c r="N478" s="48">
        <f>'Adani Enterprises'!N478</f>
        <v>0</v>
      </c>
      <c r="O478" s="48">
        <f>'Adani Enterprises'!O478</f>
        <v>0</v>
      </c>
      <c r="P478" s="48">
        <f>'Adani Enterprises'!P478</f>
        <v>0</v>
      </c>
      <c r="Q478" s="48">
        <f>'Adani Enterprises'!Q478</f>
        <v>0</v>
      </c>
      <c r="R478" s="48">
        <f>'Adani Enterprises'!R478</f>
        <v>0</v>
      </c>
      <c r="S478" s="48">
        <f>'Adani Enterprises'!S478</f>
        <v>0</v>
      </c>
      <c r="T478" s="48">
        <f>'Adani Enterprises'!T478</f>
        <v>0</v>
      </c>
      <c r="U478" s="48">
        <f>'Adani Enterprises'!U478</f>
        <v>0</v>
      </c>
      <c r="V478" s="48">
        <f>'Adani Enterprises'!V478</f>
        <v>0</v>
      </c>
      <c r="W478" s="48">
        <f>'Adani Enterprises'!W478</f>
        <v>0</v>
      </c>
      <c r="X478" s="48">
        <f>'Adani Enterprises'!X478</f>
        <v>0</v>
      </c>
      <c r="Y478" s="48">
        <f>'Adani Enterprises'!Y478</f>
        <v>0</v>
      </c>
      <c r="Z478" s="48">
        <f>'Adani Enterprises'!Z478</f>
        <v>0</v>
      </c>
      <c r="AA478" s="48">
        <f>'Adani Enterprises'!AA478</f>
        <v>0</v>
      </c>
      <c r="AB478" s="48">
        <f>'Adani Enterprises'!AB478</f>
        <v>0</v>
      </c>
      <c r="AC478" s="48">
        <f>'Adani Enterprises'!AC478</f>
        <v>0</v>
      </c>
      <c r="AD478" s="48">
        <f>'Adani Enterprises'!AD478</f>
        <v>0</v>
      </c>
      <c r="AE478" s="48">
        <f>'Adani Enterprises'!AE478</f>
        <v>0</v>
      </c>
      <c r="AF478" s="48">
        <f>'Adani Enterprises'!AF478</f>
        <v>0</v>
      </c>
      <c r="AG478" s="48">
        <f>'Adani Enterprises'!AG478</f>
        <v>0</v>
      </c>
      <c r="AH478" s="48">
        <f>'Adani Enterprises'!AH478</f>
        <v>0</v>
      </c>
      <c r="AI478" s="48">
        <f>'Adani Enterprises'!AI478</f>
        <v>0</v>
      </c>
      <c r="AJ478" s="48">
        <f>'Adani Enterprises'!AJ478</f>
        <v>0</v>
      </c>
      <c r="AK478" s="48">
        <f>'Adani Enterprises'!AK478</f>
        <v>0</v>
      </c>
      <c r="AL478" s="48">
        <f>'Adani Enterprises'!AL478</f>
        <v>0</v>
      </c>
    </row>
    <row r="479" customHeight="1" spans="1:38">
      <c r="A479" s="48">
        <f>'Adani Enterprises'!A479</f>
        <v>0</v>
      </c>
      <c r="B479" s="48">
        <f>'Adani Enterprises'!B479</f>
        <v>0</v>
      </c>
      <c r="C479" s="48">
        <f>'Adani Enterprises'!C479</f>
        <v>0</v>
      </c>
      <c r="D479" s="48">
        <f>'Adani Enterprises'!D479</f>
        <v>0</v>
      </c>
      <c r="E479" s="48">
        <f>'Adani Enterprises'!E479</f>
        <v>0</v>
      </c>
      <c r="F479" s="48">
        <f>'Adani Enterprises'!F479</f>
        <v>0</v>
      </c>
      <c r="G479" s="48">
        <f>'Adani Enterprises'!G479</f>
        <v>0</v>
      </c>
      <c r="H479" s="48">
        <f>'Adani Enterprises'!H479</f>
        <v>0</v>
      </c>
      <c r="I479" s="48">
        <f>'Adani Enterprises'!I479</f>
        <v>0</v>
      </c>
      <c r="J479" s="48">
        <f>'Adani Enterprises'!J479</f>
        <v>0</v>
      </c>
      <c r="K479" s="48">
        <f>'Adani Enterprises'!K479</f>
        <v>0</v>
      </c>
      <c r="L479" s="48">
        <f>'Adani Enterprises'!L479</f>
        <v>0</v>
      </c>
      <c r="M479" s="48">
        <f>'Adani Enterprises'!M479</f>
        <v>0</v>
      </c>
      <c r="N479" s="48">
        <f>'Adani Enterprises'!N479</f>
        <v>0</v>
      </c>
      <c r="O479" s="48">
        <f>'Adani Enterprises'!O479</f>
        <v>0</v>
      </c>
      <c r="P479" s="48">
        <f>'Adani Enterprises'!P479</f>
        <v>0</v>
      </c>
      <c r="Q479" s="48">
        <f>'Adani Enterprises'!Q479</f>
        <v>0</v>
      </c>
      <c r="R479" s="48">
        <f>'Adani Enterprises'!R479</f>
        <v>0</v>
      </c>
      <c r="S479" s="48">
        <f>'Adani Enterprises'!S479</f>
        <v>0</v>
      </c>
      <c r="T479" s="48">
        <f>'Adani Enterprises'!T479</f>
        <v>0</v>
      </c>
      <c r="U479" s="48">
        <f>'Adani Enterprises'!U479</f>
        <v>0</v>
      </c>
      <c r="V479" s="48">
        <f>'Adani Enterprises'!V479</f>
        <v>0</v>
      </c>
      <c r="W479" s="48">
        <f>'Adani Enterprises'!W479</f>
        <v>0</v>
      </c>
      <c r="X479" s="48">
        <f>'Adani Enterprises'!X479</f>
        <v>0</v>
      </c>
      <c r="Y479" s="48">
        <f>'Adani Enterprises'!Y479</f>
        <v>0</v>
      </c>
      <c r="Z479" s="48">
        <f>'Adani Enterprises'!Z479</f>
        <v>0</v>
      </c>
      <c r="AA479" s="48">
        <f>'Adani Enterprises'!AA479</f>
        <v>0</v>
      </c>
      <c r="AB479" s="48">
        <f>'Adani Enterprises'!AB479</f>
        <v>0</v>
      </c>
      <c r="AC479" s="48">
        <f>'Adani Enterprises'!AC479</f>
        <v>0</v>
      </c>
      <c r="AD479" s="48">
        <f>'Adani Enterprises'!AD479</f>
        <v>0</v>
      </c>
      <c r="AE479" s="48">
        <f>'Adani Enterprises'!AE479</f>
        <v>0</v>
      </c>
      <c r="AF479" s="48">
        <f>'Adani Enterprises'!AF479</f>
        <v>0</v>
      </c>
      <c r="AG479" s="48">
        <f>'Adani Enterprises'!AG479</f>
        <v>0</v>
      </c>
      <c r="AH479" s="48">
        <f>'Adani Enterprises'!AH479</f>
        <v>0</v>
      </c>
      <c r="AI479" s="48">
        <f>'Adani Enterprises'!AI479</f>
        <v>0</v>
      </c>
      <c r="AJ479" s="48">
        <f>'Adani Enterprises'!AJ479</f>
        <v>0</v>
      </c>
      <c r="AK479" s="48">
        <f>'Adani Enterprises'!AK479</f>
        <v>0</v>
      </c>
      <c r="AL479" s="48">
        <f>'Adani Enterprises'!AL479</f>
        <v>0</v>
      </c>
    </row>
    <row r="480" customHeight="1" spans="1:38">
      <c r="A480" s="48">
        <f>'Adani Enterprises'!A480</f>
        <v>0</v>
      </c>
      <c r="B480" s="48">
        <f>'Adani Enterprises'!B480</f>
        <v>0</v>
      </c>
      <c r="C480" s="48">
        <f>'Adani Enterprises'!C480</f>
        <v>0</v>
      </c>
      <c r="D480" s="48">
        <f>'Adani Enterprises'!D480</f>
        <v>0</v>
      </c>
      <c r="E480" s="48">
        <f>'Adani Enterprises'!E480</f>
        <v>0</v>
      </c>
      <c r="F480" s="48">
        <f>'Adani Enterprises'!F480</f>
        <v>0</v>
      </c>
      <c r="G480" s="48">
        <f>'Adani Enterprises'!G480</f>
        <v>0</v>
      </c>
      <c r="H480" s="48">
        <f>'Adani Enterprises'!H480</f>
        <v>0</v>
      </c>
      <c r="I480" s="48">
        <f>'Adani Enterprises'!I480</f>
        <v>0</v>
      </c>
      <c r="J480" s="48">
        <f>'Adani Enterprises'!J480</f>
        <v>0</v>
      </c>
      <c r="K480" s="48">
        <f>'Adani Enterprises'!K480</f>
        <v>0</v>
      </c>
      <c r="L480" s="48">
        <f>'Adani Enterprises'!L480</f>
        <v>0</v>
      </c>
      <c r="M480" s="48">
        <f>'Adani Enterprises'!M480</f>
        <v>0</v>
      </c>
      <c r="N480" s="48">
        <f>'Adani Enterprises'!N480</f>
        <v>0</v>
      </c>
      <c r="O480" s="48">
        <f>'Adani Enterprises'!O480</f>
        <v>0</v>
      </c>
      <c r="P480" s="48">
        <f>'Adani Enterprises'!P480</f>
        <v>0</v>
      </c>
      <c r="Q480" s="48">
        <f>'Adani Enterprises'!Q480</f>
        <v>0</v>
      </c>
      <c r="R480" s="48">
        <f>'Adani Enterprises'!R480</f>
        <v>0</v>
      </c>
      <c r="S480" s="48">
        <f>'Adani Enterprises'!S480</f>
        <v>0</v>
      </c>
      <c r="T480" s="48">
        <f>'Adani Enterprises'!T480</f>
        <v>0</v>
      </c>
      <c r="U480" s="48">
        <f>'Adani Enterprises'!U480</f>
        <v>0</v>
      </c>
      <c r="V480" s="48">
        <f>'Adani Enterprises'!V480</f>
        <v>0</v>
      </c>
      <c r="W480" s="48">
        <f>'Adani Enterprises'!W480</f>
        <v>0</v>
      </c>
      <c r="X480" s="48">
        <f>'Adani Enterprises'!X480</f>
        <v>0</v>
      </c>
      <c r="Y480" s="48">
        <f>'Adani Enterprises'!Y480</f>
        <v>0</v>
      </c>
      <c r="Z480" s="48">
        <f>'Adani Enterprises'!Z480</f>
        <v>0</v>
      </c>
      <c r="AA480" s="48">
        <f>'Adani Enterprises'!AA480</f>
        <v>0</v>
      </c>
      <c r="AB480" s="48">
        <f>'Adani Enterprises'!AB480</f>
        <v>0</v>
      </c>
      <c r="AC480" s="48">
        <f>'Adani Enterprises'!AC480</f>
        <v>0</v>
      </c>
      <c r="AD480" s="48">
        <f>'Adani Enterprises'!AD480</f>
        <v>0</v>
      </c>
      <c r="AE480" s="48">
        <f>'Adani Enterprises'!AE480</f>
        <v>0</v>
      </c>
      <c r="AF480" s="48">
        <f>'Adani Enterprises'!AF480</f>
        <v>0</v>
      </c>
      <c r="AG480" s="48">
        <f>'Adani Enterprises'!AG480</f>
        <v>0</v>
      </c>
      <c r="AH480" s="48">
        <f>'Adani Enterprises'!AH480</f>
        <v>0</v>
      </c>
      <c r="AI480" s="48">
        <f>'Adani Enterprises'!AI480</f>
        <v>0</v>
      </c>
      <c r="AJ480" s="48">
        <f>'Adani Enterprises'!AJ480</f>
        <v>0</v>
      </c>
      <c r="AK480" s="48">
        <f>'Adani Enterprises'!AK480</f>
        <v>0</v>
      </c>
      <c r="AL480" s="48">
        <f>'Adani Enterprises'!AL480</f>
        <v>0</v>
      </c>
    </row>
    <row r="481" customHeight="1" spans="1:38">
      <c r="A481" s="48">
        <f>'Adani Enterprises'!A481</f>
        <v>0</v>
      </c>
      <c r="B481" s="48">
        <f>'Adani Enterprises'!B481</f>
        <v>0</v>
      </c>
      <c r="C481" s="48">
        <f>'Adani Enterprises'!C481</f>
        <v>0</v>
      </c>
      <c r="D481" s="48">
        <f>'Adani Enterprises'!D481</f>
        <v>0</v>
      </c>
      <c r="E481" s="48">
        <f>'Adani Enterprises'!E481</f>
        <v>0</v>
      </c>
      <c r="F481" s="48">
        <f>'Adani Enterprises'!F481</f>
        <v>0</v>
      </c>
      <c r="G481" s="48">
        <f>'Adani Enterprises'!G481</f>
        <v>0</v>
      </c>
      <c r="H481" s="48">
        <f>'Adani Enterprises'!H481</f>
        <v>0</v>
      </c>
      <c r="I481" s="48">
        <f>'Adani Enterprises'!I481</f>
        <v>0</v>
      </c>
      <c r="J481" s="48">
        <f>'Adani Enterprises'!J481</f>
        <v>0</v>
      </c>
      <c r="K481" s="48">
        <f>'Adani Enterprises'!K481</f>
        <v>0</v>
      </c>
      <c r="L481" s="48">
        <f>'Adani Enterprises'!L481</f>
        <v>0</v>
      </c>
      <c r="M481" s="48">
        <f>'Adani Enterprises'!M481</f>
        <v>0</v>
      </c>
      <c r="N481" s="48">
        <f>'Adani Enterprises'!N481</f>
        <v>0</v>
      </c>
      <c r="O481" s="48">
        <f>'Adani Enterprises'!O481</f>
        <v>0</v>
      </c>
      <c r="P481" s="48">
        <f>'Adani Enterprises'!P481</f>
        <v>0</v>
      </c>
      <c r="Q481" s="48">
        <f>'Adani Enterprises'!Q481</f>
        <v>0</v>
      </c>
      <c r="R481" s="48">
        <f>'Adani Enterprises'!R481</f>
        <v>0</v>
      </c>
      <c r="S481" s="48">
        <f>'Adani Enterprises'!S481</f>
        <v>0</v>
      </c>
      <c r="T481" s="48">
        <f>'Adani Enterprises'!T481</f>
        <v>0</v>
      </c>
      <c r="U481" s="48">
        <f>'Adani Enterprises'!U481</f>
        <v>0</v>
      </c>
      <c r="V481" s="48">
        <f>'Adani Enterprises'!V481</f>
        <v>0</v>
      </c>
      <c r="W481" s="48">
        <f>'Adani Enterprises'!W481</f>
        <v>0</v>
      </c>
      <c r="X481" s="48">
        <f>'Adani Enterprises'!X481</f>
        <v>0</v>
      </c>
      <c r="Y481" s="48">
        <f>'Adani Enterprises'!Y481</f>
        <v>0</v>
      </c>
      <c r="Z481" s="48">
        <f>'Adani Enterprises'!Z481</f>
        <v>0</v>
      </c>
      <c r="AA481" s="48">
        <f>'Adani Enterprises'!AA481</f>
        <v>0</v>
      </c>
      <c r="AB481" s="48">
        <f>'Adani Enterprises'!AB481</f>
        <v>0</v>
      </c>
      <c r="AC481" s="48">
        <f>'Adani Enterprises'!AC481</f>
        <v>0</v>
      </c>
      <c r="AD481" s="48">
        <f>'Adani Enterprises'!AD481</f>
        <v>0</v>
      </c>
      <c r="AE481" s="48">
        <f>'Adani Enterprises'!AE481</f>
        <v>0</v>
      </c>
      <c r="AF481" s="48">
        <f>'Adani Enterprises'!AF481</f>
        <v>0</v>
      </c>
      <c r="AG481" s="48">
        <f>'Adani Enterprises'!AG481</f>
        <v>0</v>
      </c>
      <c r="AH481" s="48">
        <f>'Adani Enterprises'!AH481</f>
        <v>0</v>
      </c>
      <c r="AI481" s="48">
        <f>'Adani Enterprises'!AI481</f>
        <v>0</v>
      </c>
      <c r="AJ481" s="48">
        <f>'Adani Enterprises'!AJ481</f>
        <v>0</v>
      </c>
      <c r="AK481" s="48">
        <f>'Adani Enterprises'!AK481</f>
        <v>0</v>
      </c>
      <c r="AL481" s="48">
        <f>'Adani Enterprises'!AL481</f>
        <v>0</v>
      </c>
    </row>
    <row r="482" customHeight="1" spans="1:38">
      <c r="A482" s="48">
        <f>'Adani Enterprises'!A482</f>
        <v>0</v>
      </c>
      <c r="B482" s="48">
        <f>'Adani Enterprises'!B482</f>
        <v>0</v>
      </c>
      <c r="C482" s="48">
        <f>'Adani Enterprises'!C482</f>
        <v>0</v>
      </c>
      <c r="D482" s="48">
        <f>'Adani Enterprises'!D482</f>
        <v>0</v>
      </c>
      <c r="E482" s="48">
        <f>'Adani Enterprises'!E482</f>
        <v>0</v>
      </c>
      <c r="F482" s="48">
        <f>'Adani Enterprises'!F482</f>
        <v>0</v>
      </c>
      <c r="G482" s="48">
        <f>'Adani Enterprises'!G482</f>
        <v>0</v>
      </c>
      <c r="H482" s="48">
        <f>'Adani Enterprises'!H482</f>
        <v>0</v>
      </c>
      <c r="I482" s="48">
        <f>'Adani Enterprises'!I482</f>
        <v>0</v>
      </c>
      <c r="J482" s="48">
        <f>'Adani Enterprises'!J482</f>
        <v>0</v>
      </c>
      <c r="K482" s="48">
        <f>'Adani Enterprises'!K482</f>
        <v>0</v>
      </c>
      <c r="L482" s="48">
        <f>'Adani Enterprises'!L482</f>
        <v>0</v>
      </c>
      <c r="M482" s="48">
        <f>'Adani Enterprises'!M482</f>
        <v>0</v>
      </c>
      <c r="N482" s="48">
        <f>'Adani Enterprises'!N482</f>
        <v>0</v>
      </c>
      <c r="O482" s="48">
        <f>'Adani Enterprises'!O482</f>
        <v>0</v>
      </c>
      <c r="P482" s="48">
        <f>'Adani Enterprises'!P482</f>
        <v>0</v>
      </c>
      <c r="Q482" s="48">
        <f>'Adani Enterprises'!Q482</f>
        <v>0</v>
      </c>
      <c r="R482" s="48">
        <f>'Adani Enterprises'!R482</f>
        <v>0</v>
      </c>
      <c r="S482" s="48">
        <f>'Adani Enterprises'!S482</f>
        <v>0</v>
      </c>
      <c r="T482" s="48">
        <f>'Adani Enterprises'!T482</f>
        <v>0</v>
      </c>
      <c r="U482" s="48">
        <f>'Adani Enterprises'!U482</f>
        <v>0</v>
      </c>
      <c r="V482" s="48">
        <f>'Adani Enterprises'!V482</f>
        <v>0</v>
      </c>
      <c r="W482" s="48">
        <f>'Adani Enterprises'!W482</f>
        <v>0</v>
      </c>
      <c r="X482" s="48">
        <f>'Adani Enterprises'!X482</f>
        <v>0</v>
      </c>
      <c r="Y482" s="48">
        <f>'Adani Enterprises'!Y482</f>
        <v>0</v>
      </c>
      <c r="Z482" s="48">
        <f>'Adani Enterprises'!Z482</f>
        <v>0</v>
      </c>
      <c r="AA482" s="48">
        <f>'Adani Enterprises'!AA482</f>
        <v>0</v>
      </c>
      <c r="AB482" s="48">
        <f>'Adani Enterprises'!AB482</f>
        <v>0</v>
      </c>
      <c r="AC482" s="48">
        <f>'Adani Enterprises'!AC482</f>
        <v>0</v>
      </c>
      <c r="AD482" s="48">
        <f>'Adani Enterprises'!AD482</f>
        <v>0</v>
      </c>
      <c r="AE482" s="48">
        <f>'Adani Enterprises'!AE482</f>
        <v>0</v>
      </c>
      <c r="AF482" s="48">
        <f>'Adani Enterprises'!AF482</f>
        <v>0</v>
      </c>
      <c r="AG482" s="48">
        <f>'Adani Enterprises'!AG482</f>
        <v>0</v>
      </c>
      <c r="AH482" s="48">
        <f>'Adani Enterprises'!AH482</f>
        <v>0</v>
      </c>
      <c r="AI482" s="48">
        <f>'Adani Enterprises'!AI482</f>
        <v>0</v>
      </c>
      <c r="AJ482" s="48">
        <f>'Adani Enterprises'!AJ482</f>
        <v>0</v>
      </c>
      <c r="AK482" s="48">
        <f>'Adani Enterprises'!AK482</f>
        <v>0</v>
      </c>
      <c r="AL482" s="48">
        <f>'Adani Enterprises'!AL482</f>
        <v>0</v>
      </c>
    </row>
    <row r="483" customHeight="1" spans="1:38">
      <c r="A483" s="48">
        <f>'Adani Enterprises'!A483</f>
        <v>0</v>
      </c>
      <c r="B483" s="48">
        <f>'Adani Enterprises'!B483</f>
        <v>0</v>
      </c>
      <c r="C483" s="48">
        <f>'Adani Enterprises'!C483</f>
        <v>0</v>
      </c>
      <c r="D483" s="48">
        <f>'Adani Enterprises'!D483</f>
        <v>0</v>
      </c>
      <c r="E483" s="48">
        <f>'Adani Enterprises'!E483</f>
        <v>0</v>
      </c>
      <c r="F483" s="48">
        <f>'Adani Enterprises'!F483</f>
        <v>0</v>
      </c>
      <c r="G483" s="48">
        <f>'Adani Enterprises'!G483</f>
        <v>0</v>
      </c>
      <c r="H483" s="48">
        <f>'Adani Enterprises'!H483</f>
        <v>0</v>
      </c>
      <c r="I483" s="48">
        <f>'Adani Enterprises'!I483</f>
        <v>0</v>
      </c>
      <c r="J483" s="48">
        <f>'Adani Enterprises'!J483</f>
        <v>0</v>
      </c>
      <c r="K483" s="48">
        <f>'Adani Enterprises'!K483</f>
        <v>0</v>
      </c>
      <c r="L483" s="48">
        <f>'Adani Enterprises'!L483</f>
        <v>0</v>
      </c>
      <c r="M483" s="48">
        <f>'Adani Enterprises'!M483</f>
        <v>0</v>
      </c>
      <c r="N483" s="48">
        <f>'Adani Enterprises'!N483</f>
        <v>0</v>
      </c>
      <c r="O483" s="48">
        <f>'Adani Enterprises'!O483</f>
        <v>0</v>
      </c>
      <c r="P483" s="48">
        <f>'Adani Enterprises'!P483</f>
        <v>0</v>
      </c>
      <c r="Q483" s="48">
        <f>'Adani Enterprises'!Q483</f>
        <v>0</v>
      </c>
      <c r="R483" s="48">
        <f>'Adani Enterprises'!R483</f>
        <v>0</v>
      </c>
      <c r="S483" s="48">
        <f>'Adani Enterprises'!S483</f>
        <v>0</v>
      </c>
      <c r="T483" s="48">
        <f>'Adani Enterprises'!T483</f>
        <v>0</v>
      </c>
      <c r="U483" s="48">
        <f>'Adani Enterprises'!U483</f>
        <v>0</v>
      </c>
      <c r="V483" s="48">
        <f>'Adani Enterprises'!V483</f>
        <v>0</v>
      </c>
      <c r="W483" s="48">
        <f>'Adani Enterprises'!W483</f>
        <v>0</v>
      </c>
      <c r="X483" s="48">
        <f>'Adani Enterprises'!X483</f>
        <v>0</v>
      </c>
      <c r="Y483" s="48">
        <f>'Adani Enterprises'!Y483</f>
        <v>0</v>
      </c>
      <c r="Z483" s="48">
        <f>'Adani Enterprises'!Z483</f>
        <v>0</v>
      </c>
      <c r="AA483" s="48">
        <f>'Adani Enterprises'!AA483</f>
        <v>0</v>
      </c>
      <c r="AB483" s="48">
        <f>'Adani Enterprises'!AB483</f>
        <v>0</v>
      </c>
      <c r="AC483" s="48">
        <f>'Adani Enterprises'!AC483</f>
        <v>0</v>
      </c>
      <c r="AD483" s="48">
        <f>'Adani Enterprises'!AD483</f>
        <v>0</v>
      </c>
      <c r="AE483" s="48">
        <f>'Adani Enterprises'!AE483</f>
        <v>0</v>
      </c>
      <c r="AF483" s="48">
        <f>'Adani Enterprises'!AF483</f>
        <v>0</v>
      </c>
      <c r="AG483" s="48">
        <f>'Adani Enterprises'!AG483</f>
        <v>0</v>
      </c>
      <c r="AH483" s="48">
        <f>'Adani Enterprises'!AH483</f>
        <v>0</v>
      </c>
      <c r="AI483" s="48">
        <f>'Adani Enterprises'!AI483</f>
        <v>0</v>
      </c>
      <c r="AJ483" s="48">
        <f>'Adani Enterprises'!AJ483</f>
        <v>0</v>
      </c>
      <c r="AK483" s="48">
        <f>'Adani Enterprises'!AK483</f>
        <v>0</v>
      </c>
      <c r="AL483" s="48">
        <f>'Adani Enterprises'!AL483</f>
        <v>0</v>
      </c>
    </row>
    <row r="484" customHeight="1" spans="1:38">
      <c r="A484" s="48">
        <f>'Adani Enterprises'!A484</f>
        <v>0</v>
      </c>
      <c r="B484" s="48">
        <f>'Adani Enterprises'!B484</f>
        <v>0</v>
      </c>
      <c r="C484" s="48">
        <f>'Adani Enterprises'!C484</f>
        <v>0</v>
      </c>
      <c r="D484" s="48">
        <f>'Adani Enterprises'!D484</f>
        <v>0</v>
      </c>
      <c r="E484" s="48">
        <f>'Adani Enterprises'!E484</f>
        <v>0</v>
      </c>
      <c r="F484" s="48">
        <f>'Adani Enterprises'!F484</f>
        <v>0</v>
      </c>
      <c r="G484" s="48">
        <f>'Adani Enterprises'!G484</f>
        <v>0</v>
      </c>
      <c r="H484" s="48">
        <f>'Adani Enterprises'!H484</f>
        <v>0</v>
      </c>
      <c r="I484" s="48">
        <f>'Adani Enterprises'!I484</f>
        <v>0</v>
      </c>
      <c r="J484" s="48">
        <f>'Adani Enterprises'!J484</f>
        <v>0</v>
      </c>
      <c r="K484" s="48">
        <f>'Adani Enterprises'!K484</f>
        <v>0</v>
      </c>
      <c r="L484" s="48">
        <f>'Adani Enterprises'!L484</f>
        <v>0</v>
      </c>
      <c r="M484" s="48">
        <f>'Adani Enterprises'!M484</f>
        <v>0</v>
      </c>
      <c r="N484" s="48">
        <f>'Adani Enterprises'!N484</f>
        <v>0</v>
      </c>
      <c r="O484" s="48">
        <f>'Adani Enterprises'!O484</f>
        <v>0</v>
      </c>
      <c r="P484" s="48">
        <f>'Adani Enterprises'!P484</f>
        <v>0</v>
      </c>
      <c r="Q484" s="48">
        <f>'Adani Enterprises'!Q484</f>
        <v>0</v>
      </c>
      <c r="R484" s="48">
        <f>'Adani Enterprises'!R484</f>
        <v>0</v>
      </c>
      <c r="S484" s="48">
        <f>'Adani Enterprises'!S484</f>
        <v>0</v>
      </c>
      <c r="T484" s="48">
        <f>'Adani Enterprises'!T484</f>
        <v>0</v>
      </c>
      <c r="U484" s="48">
        <f>'Adani Enterprises'!U484</f>
        <v>0</v>
      </c>
      <c r="V484" s="48">
        <f>'Adani Enterprises'!V484</f>
        <v>0</v>
      </c>
      <c r="W484" s="48">
        <f>'Adani Enterprises'!W484</f>
        <v>0</v>
      </c>
      <c r="X484" s="48">
        <f>'Adani Enterprises'!X484</f>
        <v>0</v>
      </c>
      <c r="Y484" s="48">
        <f>'Adani Enterprises'!Y484</f>
        <v>0</v>
      </c>
      <c r="Z484" s="48">
        <f>'Adani Enterprises'!Z484</f>
        <v>0</v>
      </c>
      <c r="AA484" s="48">
        <f>'Adani Enterprises'!AA484</f>
        <v>0</v>
      </c>
      <c r="AB484" s="48">
        <f>'Adani Enterprises'!AB484</f>
        <v>0</v>
      </c>
      <c r="AC484" s="48">
        <f>'Adani Enterprises'!AC484</f>
        <v>0</v>
      </c>
      <c r="AD484" s="48">
        <f>'Adani Enterprises'!AD484</f>
        <v>0</v>
      </c>
      <c r="AE484" s="48">
        <f>'Adani Enterprises'!AE484</f>
        <v>0</v>
      </c>
      <c r="AF484" s="48">
        <f>'Adani Enterprises'!AF484</f>
        <v>0</v>
      </c>
      <c r="AG484" s="48">
        <f>'Adani Enterprises'!AG484</f>
        <v>0</v>
      </c>
      <c r="AH484" s="48">
        <f>'Adani Enterprises'!AH484</f>
        <v>0</v>
      </c>
      <c r="AI484" s="48">
        <f>'Adani Enterprises'!AI484</f>
        <v>0</v>
      </c>
      <c r="AJ484" s="48">
        <f>'Adani Enterprises'!AJ484</f>
        <v>0</v>
      </c>
      <c r="AK484" s="48">
        <f>'Adani Enterprises'!AK484</f>
        <v>0</v>
      </c>
      <c r="AL484" s="48">
        <f>'Adani Enterprises'!AL484</f>
        <v>0</v>
      </c>
    </row>
    <row r="485" customHeight="1" spans="1:38">
      <c r="A485" s="48">
        <f>'Adani Enterprises'!A485</f>
        <v>0</v>
      </c>
      <c r="B485" s="48">
        <f>'Adani Enterprises'!B485</f>
        <v>0</v>
      </c>
      <c r="C485" s="48">
        <f>'Adani Enterprises'!C485</f>
        <v>0</v>
      </c>
      <c r="D485" s="48">
        <f>'Adani Enterprises'!D485</f>
        <v>0</v>
      </c>
      <c r="E485" s="48">
        <f>'Adani Enterprises'!E485</f>
        <v>0</v>
      </c>
      <c r="F485" s="48">
        <f>'Adani Enterprises'!F485</f>
        <v>0</v>
      </c>
      <c r="G485" s="48">
        <f>'Adani Enterprises'!G485</f>
        <v>0</v>
      </c>
      <c r="H485" s="48">
        <f>'Adani Enterprises'!H485</f>
        <v>0</v>
      </c>
      <c r="I485" s="48">
        <f>'Adani Enterprises'!I485</f>
        <v>0</v>
      </c>
      <c r="J485" s="48">
        <f>'Adani Enterprises'!J485</f>
        <v>0</v>
      </c>
      <c r="K485" s="48">
        <f>'Adani Enterprises'!K485</f>
        <v>0</v>
      </c>
      <c r="L485" s="48">
        <f>'Adani Enterprises'!L485</f>
        <v>0</v>
      </c>
      <c r="M485" s="48">
        <f>'Adani Enterprises'!M485</f>
        <v>0</v>
      </c>
      <c r="N485" s="48">
        <f>'Adani Enterprises'!N485</f>
        <v>0</v>
      </c>
      <c r="O485" s="48">
        <f>'Adani Enterprises'!O485</f>
        <v>0</v>
      </c>
      <c r="P485" s="48">
        <f>'Adani Enterprises'!P485</f>
        <v>0</v>
      </c>
      <c r="Q485" s="48">
        <f>'Adani Enterprises'!Q485</f>
        <v>0</v>
      </c>
      <c r="R485" s="48">
        <f>'Adani Enterprises'!R485</f>
        <v>0</v>
      </c>
      <c r="S485" s="48">
        <f>'Adani Enterprises'!S485</f>
        <v>0</v>
      </c>
      <c r="T485" s="48">
        <f>'Adani Enterprises'!T485</f>
        <v>0</v>
      </c>
      <c r="U485" s="48">
        <f>'Adani Enterprises'!U485</f>
        <v>0</v>
      </c>
      <c r="V485" s="48">
        <f>'Adani Enterprises'!V485</f>
        <v>0</v>
      </c>
      <c r="W485" s="48">
        <f>'Adani Enterprises'!W485</f>
        <v>0</v>
      </c>
      <c r="X485" s="48">
        <f>'Adani Enterprises'!X485</f>
        <v>0</v>
      </c>
      <c r="Y485" s="48">
        <f>'Adani Enterprises'!Y485</f>
        <v>0</v>
      </c>
      <c r="Z485" s="48">
        <f>'Adani Enterprises'!Z485</f>
        <v>0</v>
      </c>
      <c r="AA485" s="48">
        <f>'Adani Enterprises'!AA485</f>
        <v>0</v>
      </c>
      <c r="AB485" s="48">
        <f>'Adani Enterprises'!AB485</f>
        <v>0</v>
      </c>
      <c r="AC485" s="48">
        <f>'Adani Enterprises'!AC485</f>
        <v>0</v>
      </c>
      <c r="AD485" s="48">
        <f>'Adani Enterprises'!AD485</f>
        <v>0</v>
      </c>
      <c r="AE485" s="48">
        <f>'Adani Enterprises'!AE485</f>
        <v>0</v>
      </c>
      <c r="AF485" s="48">
        <f>'Adani Enterprises'!AF485</f>
        <v>0</v>
      </c>
      <c r="AG485" s="48">
        <f>'Adani Enterprises'!AG485</f>
        <v>0</v>
      </c>
      <c r="AH485" s="48">
        <f>'Adani Enterprises'!AH485</f>
        <v>0</v>
      </c>
      <c r="AI485" s="48">
        <f>'Adani Enterprises'!AI485</f>
        <v>0</v>
      </c>
      <c r="AJ485" s="48">
        <f>'Adani Enterprises'!AJ485</f>
        <v>0</v>
      </c>
      <c r="AK485" s="48">
        <f>'Adani Enterprises'!AK485</f>
        <v>0</v>
      </c>
      <c r="AL485" s="48">
        <f>'Adani Enterprises'!AL485</f>
        <v>0</v>
      </c>
    </row>
    <row r="486" customHeight="1" spans="1:38">
      <c r="A486" s="48">
        <f>'Adani Enterprises'!A486</f>
        <v>0</v>
      </c>
      <c r="B486" s="48">
        <f>'Adani Enterprises'!B486</f>
        <v>0</v>
      </c>
      <c r="C486" s="48">
        <f>'Adani Enterprises'!C486</f>
        <v>0</v>
      </c>
      <c r="D486" s="48">
        <f>'Adani Enterprises'!D486</f>
        <v>0</v>
      </c>
      <c r="E486" s="48">
        <f>'Adani Enterprises'!E486</f>
        <v>0</v>
      </c>
      <c r="F486" s="48">
        <f>'Adani Enterprises'!F486</f>
        <v>0</v>
      </c>
      <c r="G486" s="48">
        <f>'Adani Enterprises'!G486</f>
        <v>0</v>
      </c>
      <c r="H486" s="48">
        <f>'Adani Enterprises'!H486</f>
        <v>0</v>
      </c>
      <c r="I486" s="48">
        <f>'Adani Enterprises'!I486</f>
        <v>0</v>
      </c>
      <c r="J486" s="48">
        <f>'Adani Enterprises'!J486</f>
        <v>0</v>
      </c>
      <c r="K486" s="48">
        <f>'Adani Enterprises'!K486</f>
        <v>0</v>
      </c>
      <c r="L486" s="48">
        <f>'Adani Enterprises'!L486</f>
        <v>0</v>
      </c>
      <c r="M486" s="48">
        <f>'Adani Enterprises'!M486</f>
        <v>0</v>
      </c>
      <c r="N486" s="48">
        <f>'Adani Enterprises'!N486</f>
        <v>0</v>
      </c>
      <c r="O486" s="48">
        <f>'Adani Enterprises'!O486</f>
        <v>0</v>
      </c>
      <c r="P486" s="48">
        <f>'Adani Enterprises'!P486</f>
        <v>0</v>
      </c>
      <c r="Q486" s="48">
        <f>'Adani Enterprises'!Q486</f>
        <v>0</v>
      </c>
      <c r="R486" s="48">
        <f>'Adani Enterprises'!R486</f>
        <v>0</v>
      </c>
      <c r="S486" s="48">
        <f>'Adani Enterprises'!S486</f>
        <v>0</v>
      </c>
      <c r="T486" s="48">
        <f>'Adani Enterprises'!T486</f>
        <v>0</v>
      </c>
      <c r="U486" s="48">
        <f>'Adani Enterprises'!U486</f>
        <v>0</v>
      </c>
      <c r="V486" s="48">
        <f>'Adani Enterprises'!V486</f>
        <v>0</v>
      </c>
      <c r="W486" s="48">
        <f>'Adani Enterprises'!W486</f>
        <v>0</v>
      </c>
      <c r="X486" s="48">
        <f>'Adani Enterprises'!X486</f>
        <v>0</v>
      </c>
      <c r="Y486" s="48">
        <f>'Adani Enterprises'!Y486</f>
        <v>0</v>
      </c>
      <c r="Z486" s="48">
        <f>'Adani Enterprises'!Z486</f>
        <v>0</v>
      </c>
      <c r="AA486" s="48">
        <f>'Adani Enterprises'!AA486</f>
        <v>0</v>
      </c>
      <c r="AB486" s="48">
        <f>'Adani Enterprises'!AB486</f>
        <v>0</v>
      </c>
      <c r="AC486" s="48">
        <f>'Adani Enterprises'!AC486</f>
        <v>0</v>
      </c>
      <c r="AD486" s="48">
        <f>'Adani Enterprises'!AD486</f>
        <v>0</v>
      </c>
      <c r="AE486" s="48">
        <f>'Adani Enterprises'!AE486</f>
        <v>0</v>
      </c>
      <c r="AF486" s="48">
        <f>'Adani Enterprises'!AF486</f>
        <v>0</v>
      </c>
      <c r="AG486" s="48">
        <f>'Adani Enterprises'!AG486</f>
        <v>0</v>
      </c>
      <c r="AH486" s="48">
        <f>'Adani Enterprises'!AH486</f>
        <v>0</v>
      </c>
      <c r="AI486" s="48">
        <f>'Adani Enterprises'!AI486</f>
        <v>0</v>
      </c>
      <c r="AJ486" s="48">
        <f>'Adani Enterprises'!AJ486</f>
        <v>0</v>
      </c>
      <c r="AK486" s="48">
        <f>'Adani Enterprises'!AK486</f>
        <v>0</v>
      </c>
      <c r="AL486" s="48">
        <f>'Adani Enterprises'!AL486</f>
        <v>0</v>
      </c>
    </row>
    <row r="487" customHeight="1" spans="1:38">
      <c r="A487" s="48">
        <f>'Adani Enterprises'!A487</f>
        <v>0</v>
      </c>
      <c r="B487" s="48">
        <f>'Adani Enterprises'!B487</f>
        <v>0</v>
      </c>
      <c r="C487" s="48">
        <f>'Adani Enterprises'!C487</f>
        <v>0</v>
      </c>
      <c r="D487" s="48">
        <f>'Adani Enterprises'!D487</f>
        <v>0</v>
      </c>
      <c r="E487" s="48">
        <f>'Adani Enterprises'!E487</f>
        <v>0</v>
      </c>
      <c r="F487" s="48">
        <f>'Adani Enterprises'!F487</f>
        <v>0</v>
      </c>
      <c r="G487" s="48">
        <f>'Adani Enterprises'!G487</f>
        <v>0</v>
      </c>
      <c r="H487" s="48">
        <f>'Adani Enterprises'!H487</f>
        <v>0</v>
      </c>
      <c r="I487" s="48">
        <f>'Adani Enterprises'!I487</f>
        <v>0</v>
      </c>
      <c r="J487" s="48">
        <f>'Adani Enterprises'!J487</f>
        <v>0</v>
      </c>
      <c r="K487" s="48">
        <f>'Adani Enterprises'!K487</f>
        <v>0</v>
      </c>
      <c r="L487" s="48">
        <f>'Adani Enterprises'!L487</f>
        <v>0</v>
      </c>
      <c r="M487" s="48">
        <f>'Adani Enterprises'!M487</f>
        <v>0</v>
      </c>
      <c r="N487" s="48">
        <f>'Adani Enterprises'!N487</f>
        <v>0</v>
      </c>
      <c r="O487" s="48">
        <f>'Adani Enterprises'!O487</f>
        <v>0</v>
      </c>
      <c r="P487" s="48">
        <f>'Adani Enterprises'!P487</f>
        <v>0</v>
      </c>
      <c r="Q487" s="48">
        <f>'Adani Enterprises'!Q487</f>
        <v>0</v>
      </c>
      <c r="R487" s="48">
        <f>'Adani Enterprises'!R487</f>
        <v>0</v>
      </c>
      <c r="S487" s="48">
        <f>'Adani Enterprises'!S487</f>
        <v>0</v>
      </c>
      <c r="T487" s="48">
        <f>'Adani Enterprises'!T487</f>
        <v>0</v>
      </c>
      <c r="U487" s="48">
        <f>'Adani Enterprises'!U487</f>
        <v>0</v>
      </c>
      <c r="V487" s="48">
        <f>'Adani Enterprises'!V487</f>
        <v>0</v>
      </c>
      <c r="W487" s="48">
        <f>'Adani Enterprises'!W487</f>
        <v>0</v>
      </c>
      <c r="X487" s="48">
        <f>'Adani Enterprises'!X487</f>
        <v>0</v>
      </c>
      <c r="Y487" s="48">
        <f>'Adani Enterprises'!Y487</f>
        <v>0</v>
      </c>
      <c r="Z487" s="48">
        <f>'Adani Enterprises'!Z487</f>
        <v>0</v>
      </c>
      <c r="AA487" s="48">
        <f>'Adani Enterprises'!AA487</f>
        <v>0</v>
      </c>
      <c r="AB487" s="48">
        <f>'Adani Enterprises'!AB487</f>
        <v>0</v>
      </c>
      <c r="AC487" s="48">
        <f>'Adani Enterprises'!AC487</f>
        <v>0</v>
      </c>
      <c r="AD487" s="48">
        <f>'Adani Enterprises'!AD487</f>
        <v>0</v>
      </c>
      <c r="AE487" s="48">
        <f>'Adani Enterprises'!AE487</f>
        <v>0</v>
      </c>
      <c r="AF487" s="48">
        <f>'Adani Enterprises'!AF487</f>
        <v>0</v>
      </c>
      <c r="AG487" s="48">
        <f>'Adani Enterprises'!AG487</f>
        <v>0</v>
      </c>
      <c r="AH487" s="48">
        <f>'Adani Enterprises'!AH487</f>
        <v>0</v>
      </c>
      <c r="AI487" s="48">
        <f>'Adani Enterprises'!AI487</f>
        <v>0</v>
      </c>
      <c r="AJ487" s="48">
        <f>'Adani Enterprises'!AJ487</f>
        <v>0</v>
      </c>
      <c r="AK487" s="48">
        <f>'Adani Enterprises'!AK487</f>
        <v>0</v>
      </c>
      <c r="AL487" s="48">
        <f>'Adani Enterprises'!AL487</f>
        <v>0</v>
      </c>
    </row>
    <row r="488" customHeight="1" spans="1:38">
      <c r="A488" s="48">
        <f>'Adani Enterprises'!A488</f>
        <v>0</v>
      </c>
      <c r="B488" s="48">
        <f>'Adani Enterprises'!B488</f>
        <v>0</v>
      </c>
      <c r="C488" s="48">
        <f>'Adani Enterprises'!C488</f>
        <v>0</v>
      </c>
      <c r="D488" s="48">
        <f>'Adani Enterprises'!D488</f>
        <v>0</v>
      </c>
      <c r="E488" s="48">
        <f>'Adani Enterprises'!E488</f>
        <v>0</v>
      </c>
      <c r="F488" s="48">
        <f>'Adani Enterprises'!F488</f>
        <v>0</v>
      </c>
      <c r="G488" s="48">
        <f>'Adani Enterprises'!G488</f>
        <v>0</v>
      </c>
      <c r="H488" s="48">
        <f>'Adani Enterprises'!H488</f>
        <v>0</v>
      </c>
      <c r="I488" s="48">
        <f>'Adani Enterprises'!I488</f>
        <v>0</v>
      </c>
      <c r="J488" s="48">
        <f>'Adani Enterprises'!J488</f>
        <v>0</v>
      </c>
      <c r="K488" s="48">
        <f>'Adani Enterprises'!K488</f>
        <v>0</v>
      </c>
      <c r="L488" s="48">
        <f>'Adani Enterprises'!L488</f>
        <v>0</v>
      </c>
      <c r="M488" s="48">
        <f>'Adani Enterprises'!M488</f>
        <v>0</v>
      </c>
      <c r="N488" s="48">
        <f>'Adani Enterprises'!N488</f>
        <v>0</v>
      </c>
      <c r="O488" s="48">
        <f>'Adani Enterprises'!O488</f>
        <v>0</v>
      </c>
      <c r="P488" s="48">
        <f>'Adani Enterprises'!P488</f>
        <v>0</v>
      </c>
      <c r="Q488" s="48">
        <f>'Adani Enterprises'!Q488</f>
        <v>0</v>
      </c>
      <c r="R488" s="48">
        <f>'Adani Enterprises'!R488</f>
        <v>0</v>
      </c>
      <c r="S488" s="48">
        <f>'Adani Enterprises'!S488</f>
        <v>0</v>
      </c>
      <c r="T488" s="48">
        <f>'Adani Enterprises'!T488</f>
        <v>0</v>
      </c>
      <c r="U488" s="48">
        <f>'Adani Enterprises'!U488</f>
        <v>0</v>
      </c>
      <c r="V488" s="48">
        <f>'Adani Enterprises'!V488</f>
        <v>0</v>
      </c>
      <c r="W488" s="48">
        <f>'Adani Enterprises'!W488</f>
        <v>0</v>
      </c>
      <c r="X488" s="48">
        <f>'Adani Enterprises'!X488</f>
        <v>0</v>
      </c>
      <c r="Y488" s="48">
        <f>'Adani Enterprises'!Y488</f>
        <v>0</v>
      </c>
      <c r="Z488" s="48">
        <f>'Adani Enterprises'!Z488</f>
        <v>0</v>
      </c>
      <c r="AA488" s="48">
        <f>'Adani Enterprises'!AA488</f>
        <v>0</v>
      </c>
      <c r="AB488" s="48">
        <f>'Adani Enterprises'!AB488</f>
        <v>0</v>
      </c>
      <c r="AC488" s="48">
        <f>'Adani Enterprises'!AC488</f>
        <v>0</v>
      </c>
      <c r="AD488" s="48">
        <f>'Adani Enterprises'!AD488</f>
        <v>0</v>
      </c>
      <c r="AE488" s="48">
        <f>'Adani Enterprises'!AE488</f>
        <v>0</v>
      </c>
      <c r="AF488" s="48">
        <f>'Adani Enterprises'!AF488</f>
        <v>0</v>
      </c>
      <c r="AG488" s="48">
        <f>'Adani Enterprises'!AG488</f>
        <v>0</v>
      </c>
      <c r="AH488" s="48">
        <f>'Adani Enterprises'!AH488</f>
        <v>0</v>
      </c>
      <c r="AI488" s="48">
        <f>'Adani Enterprises'!AI488</f>
        <v>0</v>
      </c>
      <c r="AJ488" s="48">
        <f>'Adani Enterprises'!AJ488</f>
        <v>0</v>
      </c>
      <c r="AK488" s="48">
        <f>'Adani Enterprises'!AK488</f>
        <v>0</v>
      </c>
      <c r="AL488" s="48">
        <f>'Adani Enterprises'!AL488</f>
        <v>0</v>
      </c>
    </row>
    <row r="489" customHeight="1" spans="1:38">
      <c r="A489" s="48">
        <f>'Adani Enterprises'!A489</f>
        <v>0</v>
      </c>
      <c r="B489" s="48">
        <f>'Adani Enterprises'!B489</f>
        <v>0</v>
      </c>
      <c r="C489" s="48">
        <f>'Adani Enterprises'!C489</f>
        <v>0</v>
      </c>
      <c r="D489" s="48">
        <f>'Adani Enterprises'!D489</f>
        <v>0</v>
      </c>
      <c r="E489" s="48">
        <f>'Adani Enterprises'!E489</f>
        <v>0</v>
      </c>
      <c r="F489" s="48">
        <f>'Adani Enterprises'!F489</f>
        <v>0</v>
      </c>
      <c r="G489" s="48">
        <f>'Adani Enterprises'!G489</f>
        <v>0</v>
      </c>
      <c r="H489" s="48">
        <f>'Adani Enterprises'!H489</f>
        <v>0</v>
      </c>
      <c r="I489" s="48">
        <f>'Adani Enterprises'!I489</f>
        <v>0</v>
      </c>
      <c r="J489" s="48">
        <f>'Adani Enterprises'!J489</f>
        <v>0</v>
      </c>
      <c r="K489" s="48">
        <f>'Adani Enterprises'!K489</f>
        <v>0</v>
      </c>
      <c r="L489" s="48">
        <f>'Adani Enterprises'!L489</f>
        <v>0</v>
      </c>
      <c r="M489" s="48">
        <f>'Adani Enterprises'!M489</f>
        <v>0</v>
      </c>
      <c r="N489" s="48">
        <f>'Adani Enterprises'!N489</f>
        <v>0</v>
      </c>
      <c r="O489" s="48">
        <f>'Adani Enterprises'!O489</f>
        <v>0</v>
      </c>
      <c r="P489" s="48">
        <f>'Adani Enterprises'!P489</f>
        <v>0</v>
      </c>
      <c r="Q489" s="48">
        <f>'Adani Enterprises'!Q489</f>
        <v>0</v>
      </c>
      <c r="R489" s="48">
        <f>'Adani Enterprises'!R489</f>
        <v>0</v>
      </c>
      <c r="S489" s="48">
        <f>'Adani Enterprises'!S489</f>
        <v>0</v>
      </c>
      <c r="T489" s="48">
        <f>'Adani Enterprises'!T489</f>
        <v>0</v>
      </c>
      <c r="U489" s="48">
        <f>'Adani Enterprises'!U489</f>
        <v>0</v>
      </c>
      <c r="V489" s="48">
        <f>'Adani Enterprises'!V489</f>
        <v>0</v>
      </c>
      <c r="W489" s="48">
        <f>'Adani Enterprises'!W489</f>
        <v>0</v>
      </c>
      <c r="X489" s="48">
        <f>'Adani Enterprises'!X489</f>
        <v>0</v>
      </c>
      <c r="Y489" s="48">
        <f>'Adani Enterprises'!Y489</f>
        <v>0</v>
      </c>
      <c r="Z489" s="48">
        <f>'Adani Enterprises'!Z489</f>
        <v>0</v>
      </c>
      <c r="AA489" s="48">
        <f>'Adani Enterprises'!AA489</f>
        <v>0</v>
      </c>
      <c r="AB489" s="48">
        <f>'Adani Enterprises'!AB489</f>
        <v>0</v>
      </c>
      <c r="AC489" s="48">
        <f>'Adani Enterprises'!AC489</f>
        <v>0</v>
      </c>
      <c r="AD489" s="48">
        <f>'Adani Enterprises'!AD489</f>
        <v>0</v>
      </c>
      <c r="AE489" s="48">
        <f>'Adani Enterprises'!AE489</f>
        <v>0</v>
      </c>
      <c r="AF489" s="48">
        <f>'Adani Enterprises'!AF489</f>
        <v>0</v>
      </c>
      <c r="AG489" s="48">
        <f>'Adani Enterprises'!AG489</f>
        <v>0</v>
      </c>
      <c r="AH489" s="48">
        <f>'Adani Enterprises'!AH489</f>
        <v>0</v>
      </c>
      <c r="AI489" s="48">
        <f>'Adani Enterprises'!AI489</f>
        <v>0</v>
      </c>
      <c r="AJ489" s="48">
        <f>'Adani Enterprises'!AJ489</f>
        <v>0</v>
      </c>
      <c r="AK489" s="48">
        <f>'Adani Enterprises'!AK489</f>
        <v>0</v>
      </c>
      <c r="AL489" s="48">
        <f>'Adani Enterprises'!AL489</f>
        <v>0</v>
      </c>
    </row>
    <row r="490" customHeight="1" spans="1:38">
      <c r="A490" s="48">
        <f>'Adani Enterprises'!A490</f>
        <v>0</v>
      </c>
      <c r="B490" s="48">
        <f>'Adani Enterprises'!B490</f>
        <v>0</v>
      </c>
      <c r="C490" s="48">
        <f>'Adani Enterprises'!C490</f>
        <v>0</v>
      </c>
      <c r="D490" s="48">
        <f>'Adani Enterprises'!D490</f>
        <v>0</v>
      </c>
      <c r="E490" s="48">
        <f>'Adani Enterprises'!E490</f>
        <v>0</v>
      </c>
      <c r="F490" s="48">
        <f>'Adani Enterprises'!F490</f>
        <v>0</v>
      </c>
      <c r="G490" s="48">
        <f>'Adani Enterprises'!G490</f>
        <v>0</v>
      </c>
      <c r="H490" s="48">
        <f>'Adani Enterprises'!H490</f>
        <v>0</v>
      </c>
      <c r="I490" s="48">
        <f>'Adani Enterprises'!I490</f>
        <v>0</v>
      </c>
      <c r="J490" s="48">
        <f>'Adani Enterprises'!J490</f>
        <v>0</v>
      </c>
      <c r="K490" s="48">
        <f>'Adani Enterprises'!K490</f>
        <v>0</v>
      </c>
      <c r="L490" s="48">
        <f>'Adani Enterprises'!L490</f>
        <v>0</v>
      </c>
      <c r="M490" s="48">
        <f>'Adani Enterprises'!M490</f>
        <v>0</v>
      </c>
      <c r="N490" s="48">
        <f>'Adani Enterprises'!N490</f>
        <v>0</v>
      </c>
      <c r="O490" s="48">
        <f>'Adani Enterprises'!O490</f>
        <v>0</v>
      </c>
      <c r="P490" s="48">
        <f>'Adani Enterprises'!P490</f>
        <v>0</v>
      </c>
      <c r="Q490" s="48">
        <f>'Adani Enterprises'!Q490</f>
        <v>0</v>
      </c>
      <c r="R490" s="48">
        <f>'Adani Enterprises'!R490</f>
        <v>0</v>
      </c>
      <c r="S490" s="48">
        <f>'Adani Enterprises'!S490</f>
        <v>0</v>
      </c>
      <c r="T490" s="48">
        <f>'Adani Enterprises'!T490</f>
        <v>0</v>
      </c>
      <c r="U490" s="48">
        <f>'Adani Enterprises'!U490</f>
        <v>0</v>
      </c>
      <c r="V490" s="48">
        <f>'Adani Enterprises'!V490</f>
        <v>0</v>
      </c>
      <c r="W490" s="48">
        <f>'Adani Enterprises'!W490</f>
        <v>0</v>
      </c>
      <c r="X490" s="48">
        <f>'Adani Enterprises'!X490</f>
        <v>0</v>
      </c>
      <c r="Y490" s="48">
        <f>'Adani Enterprises'!Y490</f>
        <v>0</v>
      </c>
      <c r="Z490" s="48">
        <f>'Adani Enterprises'!Z490</f>
        <v>0</v>
      </c>
      <c r="AA490" s="48">
        <f>'Adani Enterprises'!AA490</f>
        <v>0</v>
      </c>
      <c r="AB490" s="48">
        <f>'Adani Enterprises'!AB490</f>
        <v>0</v>
      </c>
      <c r="AC490" s="48">
        <f>'Adani Enterprises'!AC490</f>
        <v>0</v>
      </c>
      <c r="AD490" s="48">
        <f>'Adani Enterprises'!AD490</f>
        <v>0</v>
      </c>
      <c r="AE490" s="48">
        <f>'Adani Enterprises'!AE490</f>
        <v>0</v>
      </c>
      <c r="AF490" s="48">
        <f>'Adani Enterprises'!AF490</f>
        <v>0</v>
      </c>
      <c r="AG490" s="48">
        <f>'Adani Enterprises'!AG490</f>
        <v>0</v>
      </c>
      <c r="AH490" s="48">
        <f>'Adani Enterprises'!AH490</f>
        <v>0</v>
      </c>
      <c r="AI490" s="48">
        <f>'Adani Enterprises'!AI490</f>
        <v>0</v>
      </c>
      <c r="AJ490" s="48">
        <f>'Adani Enterprises'!AJ490</f>
        <v>0</v>
      </c>
      <c r="AK490" s="48">
        <f>'Adani Enterprises'!AK490</f>
        <v>0</v>
      </c>
      <c r="AL490" s="48">
        <f>'Adani Enterprises'!AL490</f>
        <v>0</v>
      </c>
    </row>
    <row r="491" customHeight="1" spans="1:38">
      <c r="A491" s="48">
        <f>'Adani Enterprises'!A491</f>
        <v>0</v>
      </c>
      <c r="B491" s="48">
        <f>'Adani Enterprises'!B491</f>
        <v>0</v>
      </c>
      <c r="C491" s="48">
        <f>'Adani Enterprises'!C491</f>
        <v>0</v>
      </c>
      <c r="D491" s="48">
        <f>'Adani Enterprises'!D491</f>
        <v>0</v>
      </c>
      <c r="E491" s="48">
        <f>'Adani Enterprises'!E491</f>
        <v>0</v>
      </c>
      <c r="F491" s="48">
        <f>'Adani Enterprises'!F491</f>
        <v>0</v>
      </c>
      <c r="G491" s="48">
        <f>'Adani Enterprises'!G491</f>
        <v>0</v>
      </c>
      <c r="H491" s="48">
        <f>'Adani Enterprises'!H491</f>
        <v>0</v>
      </c>
      <c r="I491" s="48">
        <f>'Adani Enterprises'!I491</f>
        <v>0</v>
      </c>
      <c r="J491" s="48">
        <f>'Adani Enterprises'!J491</f>
        <v>0</v>
      </c>
      <c r="K491" s="48">
        <f>'Adani Enterprises'!K491</f>
        <v>0</v>
      </c>
      <c r="L491" s="48">
        <f>'Adani Enterprises'!L491</f>
        <v>0</v>
      </c>
      <c r="M491" s="48">
        <f>'Adani Enterprises'!M491</f>
        <v>0</v>
      </c>
      <c r="N491" s="48">
        <f>'Adani Enterprises'!N491</f>
        <v>0</v>
      </c>
      <c r="O491" s="48">
        <f>'Adani Enterprises'!O491</f>
        <v>0</v>
      </c>
      <c r="P491" s="48">
        <f>'Adani Enterprises'!P491</f>
        <v>0</v>
      </c>
      <c r="Q491" s="48">
        <f>'Adani Enterprises'!Q491</f>
        <v>0</v>
      </c>
      <c r="R491" s="48">
        <f>'Adani Enterprises'!R491</f>
        <v>0</v>
      </c>
      <c r="S491" s="48">
        <f>'Adani Enterprises'!S491</f>
        <v>0</v>
      </c>
      <c r="T491" s="48">
        <f>'Adani Enterprises'!T491</f>
        <v>0</v>
      </c>
      <c r="U491" s="48">
        <f>'Adani Enterprises'!U491</f>
        <v>0</v>
      </c>
      <c r="V491" s="48">
        <f>'Adani Enterprises'!V491</f>
        <v>0</v>
      </c>
      <c r="W491" s="48">
        <f>'Adani Enterprises'!W491</f>
        <v>0</v>
      </c>
      <c r="X491" s="48">
        <f>'Adani Enterprises'!X491</f>
        <v>0</v>
      </c>
      <c r="Y491" s="48">
        <f>'Adani Enterprises'!Y491</f>
        <v>0</v>
      </c>
      <c r="Z491" s="48">
        <f>'Adani Enterprises'!Z491</f>
        <v>0</v>
      </c>
      <c r="AA491" s="48">
        <f>'Adani Enterprises'!AA491</f>
        <v>0</v>
      </c>
      <c r="AB491" s="48">
        <f>'Adani Enterprises'!AB491</f>
        <v>0</v>
      </c>
      <c r="AC491" s="48">
        <f>'Adani Enterprises'!AC491</f>
        <v>0</v>
      </c>
      <c r="AD491" s="48">
        <f>'Adani Enterprises'!AD491</f>
        <v>0</v>
      </c>
      <c r="AE491" s="48">
        <f>'Adani Enterprises'!AE491</f>
        <v>0</v>
      </c>
      <c r="AF491" s="48">
        <f>'Adani Enterprises'!AF491</f>
        <v>0</v>
      </c>
      <c r="AG491" s="48">
        <f>'Adani Enterprises'!AG491</f>
        <v>0</v>
      </c>
      <c r="AH491" s="48">
        <f>'Adani Enterprises'!AH491</f>
        <v>0</v>
      </c>
      <c r="AI491" s="48">
        <f>'Adani Enterprises'!AI491</f>
        <v>0</v>
      </c>
      <c r="AJ491" s="48">
        <f>'Adani Enterprises'!AJ491</f>
        <v>0</v>
      </c>
      <c r="AK491" s="48">
        <f>'Adani Enterprises'!AK491</f>
        <v>0</v>
      </c>
      <c r="AL491" s="48">
        <f>'Adani Enterprises'!AL491</f>
        <v>0</v>
      </c>
    </row>
    <row r="492" customHeight="1" spans="1:38">
      <c r="A492" s="48">
        <f>'Adani Enterprises'!A492</f>
        <v>0</v>
      </c>
      <c r="B492" s="48">
        <f>'Adani Enterprises'!B492</f>
        <v>0</v>
      </c>
      <c r="C492" s="48">
        <f>'Adani Enterprises'!C492</f>
        <v>0</v>
      </c>
      <c r="D492" s="48">
        <f>'Adani Enterprises'!D492</f>
        <v>0</v>
      </c>
      <c r="E492" s="48">
        <f>'Adani Enterprises'!E492</f>
        <v>0</v>
      </c>
      <c r="F492" s="48">
        <f>'Adani Enterprises'!F492</f>
        <v>0</v>
      </c>
      <c r="G492" s="48">
        <f>'Adani Enterprises'!G492</f>
        <v>0</v>
      </c>
      <c r="H492" s="48">
        <f>'Adani Enterprises'!H492</f>
        <v>0</v>
      </c>
      <c r="I492" s="48">
        <f>'Adani Enterprises'!I492</f>
        <v>0</v>
      </c>
      <c r="J492" s="48">
        <f>'Adani Enterprises'!J492</f>
        <v>0</v>
      </c>
      <c r="K492" s="48">
        <f>'Adani Enterprises'!K492</f>
        <v>0</v>
      </c>
      <c r="L492" s="48">
        <f>'Adani Enterprises'!L492</f>
        <v>0</v>
      </c>
      <c r="M492" s="48">
        <f>'Adani Enterprises'!M492</f>
        <v>0</v>
      </c>
      <c r="N492" s="48">
        <f>'Adani Enterprises'!N492</f>
        <v>0</v>
      </c>
      <c r="O492" s="48">
        <f>'Adani Enterprises'!O492</f>
        <v>0</v>
      </c>
      <c r="P492" s="48">
        <f>'Adani Enterprises'!P492</f>
        <v>0</v>
      </c>
      <c r="Q492" s="48">
        <f>'Adani Enterprises'!Q492</f>
        <v>0</v>
      </c>
      <c r="R492" s="48">
        <f>'Adani Enterprises'!R492</f>
        <v>0</v>
      </c>
      <c r="S492" s="48">
        <f>'Adani Enterprises'!S492</f>
        <v>0</v>
      </c>
      <c r="T492" s="48">
        <f>'Adani Enterprises'!T492</f>
        <v>0</v>
      </c>
      <c r="U492" s="48">
        <f>'Adani Enterprises'!U492</f>
        <v>0</v>
      </c>
      <c r="V492" s="48">
        <f>'Adani Enterprises'!V492</f>
        <v>0</v>
      </c>
      <c r="W492" s="48">
        <f>'Adani Enterprises'!W492</f>
        <v>0</v>
      </c>
      <c r="X492" s="48">
        <f>'Adani Enterprises'!X492</f>
        <v>0</v>
      </c>
      <c r="Y492" s="48">
        <f>'Adani Enterprises'!Y492</f>
        <v>0</v>
      </c>
      <c r="Z492" s="48">
        <f>'Adani Enterprises'!Z492</f>
        <v>0</v>
      </c>
      <c r="AA492" s="48">
        <f>'Adani Enterprises'!AA492</f>
        <v>0</v>
      </c>
      <c r="AB492" s="48">
        <f>'Adani Enterprises'!AB492</f>
        <v>0</v>
      </c>
      <c r="AC492" s="48">
        <f>'Adani Enterprises'!AC492</f>
        <v>0</v>
      </c>
      <c r="AD492" s="48">
        <f>'Adani Enterprises'!AD492</f>
        <v>0</v>
      </c>
      <c r="AE492" s="48">
        <f>'Adani Enterprises'!AE492</f>
        <v>0</v>
      </c>
      <c r="AF492" s="48">
        <f>'Adani Enterprises'!AF492</f>
        <v>0</v>
      </c>
      <c r="AG492" s="48">
        <f>'Adani Enterprises'!AG492</f>
        <v>0</v>
      </c>
      <c r="AH492" s="48">
        <f>'Adani Enterprises'!AH492</f>
        <v>0</v>
      </c>
      <c r="AI492" s="48">
        <f>'Adani Enterprises'!AI492</f>
        <v>0</v>
      </c>
      <c r="AJ492" s="48">
        <f>'Adani Enterprises'!AJ492</f>
        <v>0</v>
      </c>
      <c r="AK492" s="48">
        <f>'Adani Enterprises'!AK492</f>
        <v>0</v>
      </c>
      <c r="AL492" s="48">
        <f>'Adani Enterprises'!AL492</f>
        <v>0</v>
      </c>
    </row>
    <row r="493" customHeight="1" spans="1:38">
      <c r="A493" s="48">
        <f>'Adani Enterprises'!A493</f>
        <v>0</v>
      </c>
      <c r="B493" s="48">
        <f>'Adani Enterprises'!B493</f>
        <v>0</v>
      </c>
      <c r="C493" s="48">
        <f>'Adani Enterprises'!C493</f>
        <v>0</v>
      </c>
      <c r="D493" s="48">
        <f>'Adani Enterprises'!D493</f>
        <v>0</v>
      </c>
      <c r="E493" s="48">
        <f>'Adani Enterprises'!E493</f>
        <v>0</v>
      </c>
      <c r="F493" s="48">
        <f>'Adani Enterprises'!F493</f>
        <v>0</v>
      </c>
      <c r="G493" s="48">
        <f>'Adani Enterprises'!G493</f>
        <v>0</v>
      </c>
      <c r="H493" s="48">
        <f>'Adani Enterprises'!H493</f>
        <v>0</v>
      </c>
      <c r="I493" s="48">
        <f>'Adani Enterprises'!I493</f>
        <v>0</v>
      </c>
      <c r="J493" s="48">
        <f>'Adani Enterprises'!J493</f>
        <v>0</v>
      </c>
      <c r="K493" s="48">
        <f>'Adani Enterprises'!K493</f>
        <v>0</v>
      </c>
      <c r="L493" s="48">
        <f>'Adani Enterprises'!L493</f>
        <v>0</v>
      </c>
      <c r="M493" s="48">
        <f>'Adani Enterprises'!M493</f>
        <v>0</v>
      </c>
      <c r="N493" s="48">
        <f>'Adani Enterprises'!N493</f>
        <v>0</v>
      </c>
      <c r="O493" s="48">
        <f>'Adani Enterprises'!O493</f>
        <v>0</v>
      </c>
      <c r="P493" s="48">
        <f>'Adani Enterprises'!P493</f>
        <v>0</v>
      </c>
      <c r="Q493" s="48">
        <f>'Adani Enterprises'!Q493</f>
        <v>0</v>
      </c>
      <c r="R493" s="48">
        <f>'Adani Enterprises'!R493</f>
        <v>0</v>
      </c>
      <c r="S493" s="48">
        <f>'Adani Enterprises'!S493</f>
        <v>0</v>
      </c>
      <c r="T493" s="48">
        <f>'Adani Enterprises'!T493</f>
        <v>0</v>
      </c>
      <c r="U493" s="48">
        <f>'Adani Enterprises'!U493</f>
        <v>0</v>
      </c>
      <c r="V493" s="48">
        <f>'Adani Enterprises'!V493</f>
        <v>0</v>
      </c>
      <c r="W493" s="48">
        <f>'Adani Enterprises'!W493</f>
        <v>0</v>
      </c>
      <c r="X493" s="48">
        <f>'Adani Enterprises'!X493</f>
        <v>0</v>
      </c>
      <c r="Y493" s="48">
        <f>'Adani Enterprises'!Y493</f>
        <v>0</v>
      </c>
      <c r="Z493" s="48">
        <f>'Adani Enterprises'!Z493</f>
        <v>0</v>
      </c>
      <c r="AA493" s="48">
        <f>'Adani Enterprises'!AA493</f>
        <v>0</v>
      </c>
      <c r="AB493" s="48">
        <f>'Adani Enterprises'!AB493</f>
        <v>0</v>
      </c>
      <c r="AC493" s="48">
        <f>'Adani Enterprises'!AC493</f>
        <v>0</v>
      </c>
      <c r="AD493" s="48">
        <f>'Adani Enterprises'!AD493</f>
        <v>0</v>
      </c>
      <c r="AE493" s="48">
        <f>'Adani Enterprises'!AE493</f>
        <v>0</v>
      </c>
      <c r="AF493" s="48">
        <f>'Adani Enterprises'!AF493</f>
        <v>0</v>
      </c>
      <c r="AG493" s="48">
        <f>'Adani Enterprises'!AG493</f>
        <v>0</v>
      </c>
      <c r="AH493" s="48">
        <f>'Adani Enterprises'!AH493</f>
        <v>0</v>
      </c>
      <c r="AI493" s="48">
        <f>'Adani Enterprises'!AI493</f>
        <v>0</v>
      </c>
      <c r="AJ493" s="48">
        <f>'Adani Enterprises'!AJ493</f>
        <v>0</v>
      </c>
      <c r="AK493" s="48">
        <f>'Adani Enterprises'!AK493</f>
        <v>0</v>
      </c>
      <c r="AL493" s="48">
        <f>'Adani Enterprises'!AL493</f>
        <v>0</v>
      </c>
    </row>
    <row r="494" customHeight="1" spans="1:38">
      <c r="A494" s="48">
        <f>'Adani Enterprises'!A494</f>
        <v>0</v>
      </c>
      <c r="B494" s="48">
        <f>'Adani Enterprises'!B494</f>
        <v>0</v>
      </c>
      <c r="C494" s="48">
        <f>'Adani Enterprises'!C494</f>
        <v>0</v>
      </c>
      <c r="D494" s="48">
        <f>'Adani Enterprises'!D494</f>
        <v>0</v>
      </c>
      <c r="E494" s="48">
        <f>'Adani Enterprises'!E494</f>
        <v>0</v>
      </c>
      <c r="F494" s="48">
        <f>'Adani Enterprises'!F494</f>
        <v>0</v>
      </c>
      <c r="G494" s="48">
        <f>'Adani Enterprises'!G494</f>
        <v>0</v>
      </c>
      <c r="H494" s="48">
        <f>'Adani Enterprises'!H494</f>
        <v>0</v>
      </c>
      <c r="I494" s="48">
        <f>'Adani Enterprises'!I494</f>
        <v>0</v>
      </c>
      <c r="J494" s="48">
        <f>'Adani Enterprises'!J494</f>
        <v>0</v>
      </c>
      <c r="K494" s="48">
        <f>'Adani Enterprises'!K494</f>
        <v>0</v>
      </c>
      <c r="L494" s="48">
        <f>'Adani Enterprises'!L494</f>
        <v>0</v>
      </c>
      <c r="M494" s="48">
        <f>'Adani Enterprises'!M494</f>
        <v>0</v>
      </c>
      <c r="N494" s="48">
        <f>'Adani Enterprises'!N494</f>
        <v>0</v>
      </c>
      <c r="O494" s="48">
        <f>'Adani Enterprises'!O494</f>
        <v>0</v>
      </c>
      <c r="P494" s="48">
        <f>'Adani Enterprises'!P494</f>
        <v>0</v>
      </c>
      <c r="Q494" s="48">
        <f>'Adani Enterprises'!Q494</f>
        <v>0</v>
      </c>
      <c r="R494" s="48">
        <f>'Adani Enterprises'!R494</f>
        <v>0</v>
      </c>
      <c r="S494" s="48">
        <f>'Adani Enterprises'!S494</f>
        <v>0</v>
      </c>
      <c r="T494" s="48">
        <f>'Adani Enterprises'!T494</f>
        <v>0</v>
      </c>
      <c r="U494" s="48">
        <f>'Adani Enterprises'!U494</f>
        <v>0</v>
      </c>
      <c r="V494" s="48">
        <f>'Adani Enterprises'!V494</f>
        <v>0</v>
      </c>
      <c r="W494" s="48">
        <f>'Adani Enterprises'!W494</f>
        <v>0</v>
      </c>
      <c r="X494" s="48">
        <f>'Adani Enterprises'!X494</f>
        <v>0</v>
      </c>
      <c r="Y494" s="48">
        <f>'Adani Enterprises'!Y494</f>
        <v>0</v>
      </c>
      <c r="Z494" s="48">
        <f>'Adani Enterprises'!Z494</f>
        <v>0</v>
      </c>
      <c r="AA494" s="48">
        <f>'Adani Enterprises'!AA494</f>
        <v>0</v>
      </c>
      <c r="AB494" s="48">
        <f>'Adani Enterprises'!AB494</f>
        <v>0</v>
      </c>
      <c r="AC494" s="48">
        <f>'Adani Enterprises'!AC494</f>
        <v>0</v>
      </c>
      <c r="AD494" s="48">
        <f>'Adani Enterprises'!AD494</f>
        <v>0</v>
      </c>
      <c r="AE494" s="48">
        <f>'Adani Enterprises'!AE494</f>
        <v>0</v>
      </c>
      <c r="AF494" s="48">
        <f>'Adani Enterprises'!AF494</f>
        <v>0</v>
      </c>
      <c r="AG494" s="48">
        <f>'Adani Enterprises'!AG494</f>
        <v>0</v>
      </c>
      <c r="AH494" s="48">
        <f>'Adani Enterprises'!AH494</f>
        <v>0</v>
      </c>
      <c r="AI494" s="48">
        <f>'Adani Enterprises'!AI494</f>
        <v>0</v>
      </c>
      <c r="AJ494" s="48">
        <f>'Adani Enterprises'!AJ494</f>
        <v>0</v>
      </c>
      <c r="AK494" s="48">
        <f>'Adani Enterprises'!AK494</f>
        <v>0</v>
      </c>
      <c r="AL494" s="48">
        <f>'Adani Enterprises'!AL494</f>
        <v>0</v>
      </c>
    </row>
    <row r="495" customHeight="1" spans="1:38">
      <c r="A495" s="48">
        <f>'Adani Enterprises'!A495</f>
        <v>0</v>
      </c>
      <c r="B495" s="48">
        <f>'Adani Enterprises'!B495</f>
        <v>0</v>
      </c>
      <c r="C495" s="48">
        <f>'Adani Enterprises'!C495</f>
        <v>0</v>
      </c>
      <c r="D495" s="48">
        <f>'Adani Enterprises'!D495</f>
        <v>0</v>
      </c>
      <c r="E495" s="48">
        <f>'Adani Enterprises'!E495</f>
        <v>0</v>
      </c>
      <c r="F495" s="48">
        <f>'Adani Enterprises'!F495</f>
        <v>0</v>
      </c>
      <c r="G495" s="48">
        <f>'Adani Enterprises'!G495</f>
        <v>0</v>
      </c>
      <c r="H495" s="48">
        <f>'Adani Enterprises'!H495</f>
        <v>0</v>
      </c>
      <c r="I495" s="48">
        <f>'Adani Enterprises'!I495</f>
        <v>0</v>
      </c>
      <c r="J495" s="48">
        <f>'Adani Enterprises'!J495</f>
        <v>0</v>
      </c>
      <c r="K495" s="48">
        <f>'Adani Enterprises'!K495</f>
        <v>0</v>
      </c>
      <c r="L495" s="48">
        <f>'Adani Enterprises'!L495</f>
        <v>0</v>
      </c>
      <c r="M495" s="48">
        <f>'Adani Enterprises'!M495</f>
        <v>0</v>
      </c>
      <c r="N495" s="48">
        <f>'Adani Enterprises'!N495</f>
        <v>0</v>
      </c>
      <c r="O495" s="48">
        <f>'Adani Enterprises'!O495</f>
        <v>0</v>
      </c>
      <c r="P495" s="48">
        <f>'Adani Enterprises'!P495</f>
        <v>0</v>
      </c>
      <c r="Q495" s="48">
        <f>'Adani Enterprises'!Q495</f>
        <v>0</v>
      </c>
      <c r="R495" s="48">
        <f>'Adani Enterprises'!R495</f>
        <v>0</v>
      </c>
      <c r="S495" s="48">
        <f>'Adani Enterprises'!S495</f>
        <v>0</v>
      </c>
      <c r="T495" s="48">
        <f>'Adani Enterprises'!T495</f>
        <v>0</v>
      </c>
      <c r="U495" s="48">
        <f>'Adani Enterprises'!U495</f>
        <v>0</v>
      </c>
      <c r="V495" s="48">
        <f>'Adani Enterprises'!V495</f>
        <v>0</v>
      </c>
      <c r="W495" s="48">
        <f>'Adani Enterprises'!W495</f>
        <v>0</v>
      </c>
      <c r="X495" s="48">
        <f>'Adani Enterprises'!X495</f>
        <v>0</v>
      </c>
      <c r="Y495" s="48">
        <f>'Adani Enterprises'!Y495</f>
        <v>0</v>
      </c>
      <c r="Z495" s="48">
        <f>'Adani Enterprises'!Z495</f>
        <v>0</v>
      </c>
      <c r="AA495" s="48">
        <f>'Adani Enterprises'!AA495</f>
        <v>0</v>
      </c>
      <c r="AB495" s="48">
        <f>'Adani Enterprises'!AB495</f>
        <v>0</v>
      </c>
      <c r="AC495" s="48">
        <f>'Adani Enterprises'!AC495</f>
        <v>0</v>
      </c>
      <c r="AD495" s="48">
        <f>'Adani Enterprises'!AD495</f>
        <v>0</v>
      </c>
      <c r="AE495" s="48">
        <f>'Adani Enterprises'!AE495</f>
        <v>0</v>
      </c>
      <c r="AF495" s="48">
        <f>'Adani Enterprises'!AF495</f>
        <v>0</v>
      </c>
      <c r="AG495" s="48">
        <f>'Adani Enterprises'!AG495</f>
        <v>0</v>
      </c>
      <c r="AH495" s="48">
        <f>'Adani Enterprises'!AH495</f>
        <v>0</v>
      </c>
      <c r="AI495" s="48">
        <f>'Adani Enterprises'!AI495</f>
        <v>0</v>
      </c>
      <c r="AJ495" s="48">
        <f>'Adani Enterprises'!AJ495</f>
        <v>0</v>
      </c>
      <c r="AK495" s="48">
        <f>'Adani Enterprises'!AK495</f>
        <v>0</v>
      </c>
      <c r="AL495" s="48">
        <f>'Adani Enterprises'!AL495</f>
        <v>0</v>
      </c>
    </row>
    <row r="496" customHeight="1" spans="1:38">
      <c r="A496" s="48">
        <f>'Adani Enterprises'!A496</f>
        <v>0</v>
      </c>
      <c r="B496" s="48">
        <f>'Adani Enterprises'!B496</f>
        <v>0</v>
      </c>
      <c r="C496" s="48">
        <f>'Adani Enterprises'!C496</f>
        <v>0</v>
      </c>
      <c r="D496" s="48">
        <f>'Adani Enterprises'!D496</f>
        <v>0</v>
      </c>
      <c r="E496" s="48">
        <f>'Adani Enterprises'!E496</f>
        <v>0</v>
      </c>
      <c r="F496" s="48">
        <f>'Adani Enterprises'!F496</f>
        <v>0</v>
      </c>
      <c r="G496" s="48">
        <f>'Adani Enterprises'!G496</f>
        <v>0</v>
      </c>
      <c r="H496" s="48">
        <f>'Adani Enterprises'!H496</f>
        <v>0</v>
      </c>
      <c r="I496" s="48">
        <f>'Adani Enterprises'!I496</f>
        <v>0</v>
      </c>
      <c r="J496" s="48">
        <f>'Adani Enterprises'!J496</f>
        <v>0</v>
      </c>
      <c r="K496" s="48">
        <f>'Adani Enterprises'!K496</f>
        <v>0</v>
      </c>
      <c r="L496" s="48">
        <f>'Adani Enterprises'!L496</f>
        <v>0</v>
      </c>
      <c r="M496" s="48">
        <f>'Adani Enterprises'!M496</f>
        <v>0</v>
      </c>
      <c r="N496" s="48">
        <f>'Adani Enterprises'!N496</f>
        <v>0</v>
      </c>
      <c r="O496" s="48">
        <f>'Adani Enterprises'!O496</f>
        <v>0</v>
      </c>
      <c r="P496" s="48">
        <f>'Adani Enterprises'!P496</f>
        <v>0</v>
      </c>
      <c r="Q496" s="48">
        <f>'Adani Enterprises'!Q496</f>
        <v>0</v>
      </c>
      <c r="R496" s="48">
        <f>'Adani Enterprises'!R496</f>
        <v>0</v>
      </c>
      <c r="S496" s="48">
        <f>'Adani Enterprises'!S496</f>
        <v>0</v>
      </c>
      <c r="T496" s="48">
        <f>'Adani Enterprises'!T496</f>
        <v>0</v>
      </c>
      <c r="U496" s="48">
        <f>'Adani Enterprises'!U496</f>
        <v>0</v>
      </c>
      <c r="V496" s="48">
        <f>'Adani Enterprises'!V496</f>
        <v>0</v>
      </c>
      <c r="W496" s="48">
        <f>'Adani Enterprises'!W496</f>
        <v>0</v>
      </c>
      <c r="X496" s="48">
        <f>'Adani Enterprises'!X496</f>
        <v>0</v>
      </c>
      <c r="Y496" s="48">
        <f>'Adani Enterprises'!Y496</f>
        <v>0</v>
      </c>
      <c r="Z496" s="48">
        <f>'Adani Enterprises'!Z496</f>
        <v>0</v>
      </c>
      <c r="AA496" s="48">
        <f>'Adani Enterprises'!AA496</f>
        <v>0</v>
      </c>
      <c r="AB496" s="48">
        <f>'Adani Enterprises'!AB496</f>
        <v>0</v>
      </c>
      <c r="AC496" s="48">
        <f>'Adani Enterprises'!AC496</f>
        <v>0</v>
      </c>
      <c r="AD496" s="48">
        <f>'Adani Enterprises'!AD496</f>
        <v>0</v>
      </c>
      <c r="AE496" s="48">
        <f>'Adani Enterprises'!AE496</f>
        <v>0</v>
      </c>
      <c r="AF496" s="48">
        <f>'Adani Enterprises'!AF496</f>
        <v>0</v>
      </c>
      <c r="AG496" s="48">
        <f>'Adani Enterprises'!AG496</f>
        <v>0</v>
      </c>
      <c r="AH496" s="48">
        <f>'Adani Enterprises'!AH496</f>
        <v>0</v>
      </c>
      <c r="AI496" s="48">
        <f>'Adani Enterprises'!AI496</f>
        <v>0</v>
      </c>
      <c r="AJ496" s="48">
        <f>'Adani Enterprises'!AJ496</f>
        <v>0</v>
      </c>
      <c r="AK496" s="48">
        <f>'Adani Enterprises'!AK496</f>
        <v>0</v>
      </c>
      <c r="AL496" s="48">
        <f>'Adani Enterprises'!AL496</f>
        <v>0</v>
      </c>
    </row>
    <row r="497" customHeight="1" spans="1:38">
      <c r="A497" s="48">
        <f>'Adani Enterprises'!A497</f>
        <v>0</v>
      </c>
      <c r="B497" s="48">
        <f>'Adani Enterprises'!B497</f>
        <v>0</v>
      </c>
      <c r="C497" s="48">
        <f>'Adani Enterprises'!C497</f>
        <v>0</v>
      </c>
      <c r="D497" s="48">
        <f>'Adani Enterprises'!D497</f>
        <v>0</v>
      </c>
      <c r="E497" s="48">
        <f>'Adani Enterprises'!E497</f>
        <v>0</v>
      </c>
      <c r="F497" s="48">
        <f>'Adani Enterprises'!F497</f>
        <v>0</v>
      </c>
      <c r="G497" s="48">
        <f>'Adani Enterprises'!G497</f>
        <v>0</v>
      </c>
      <c r="H497" s="48">
        <f>'Adani Enterprises'!H497</f>
        <v>0</v>
      </c>
      <c r="I497" s="48">
        <f>'Adani Enterprises'!I497</f>
        <v>0</v>
      </c>
      <c r="J497" s="48">
        <f>'Adani Enterprises'!J497</f>
        <v>0</v>
      </c>
      <c r="K497" s="48">
        <f>'Adani Enterprises'!K497</f>
        <v>0</v>
      </c>
      <c r="L497" s="48">
        <f>'Adani Enterprises'!L497</f>
        <v>0</v>
      </c>
      <c r="M497" s="48">
        <f>'Adani Enterprises'!M497</f>
        <v>0</v>
      </c>
      <c r="N497" s="48">
        <f>'Adani Enterprises'!N497</f>
        <v>0</v>
      </c>
      <c r="O497" s="48">
        <f>'Adani Enterprises'!O497</f>
        <v>0</v>
      </c>
      <c r="P497" s="48">
        <f>'Adani Enterprises'!P497</f>
        <v>0</v>
      </c>
      <c r="Q497" s="48">
        <f>'Adani Enterprises'!Q497</f>
        <v>0</v>
      </c>
      <c r="R497" s="48">
        <f>'Adani Enterprises'!R497</f>
        <v>0</v>
      </c>
      <c r="S497" s="48">
        <f>'Adani Enterprises'!S497</f>
        <v>0</v>
      </c>
      <c r="T497" s="48">
        <f>'Adani Enterprises'!T497</f>
        <v>0</v>
      </c>
      <c r="U497" s="48">
        <f>'Adani Enterprises'!U497</f>
        <v>0</v>
      </c>
      <c r="V497" s="48">
        <f>'Adani Enterprises'!V497</f>
        <v>0</v>
      </c>
      <c r="W497" s="48">
        <f>'Adani Enterprises'!W497</f>
        <v>0</v>
      </c>
      <c r="X497" s="48">
        <f>'Adani Enterprises'!X497</f>
        <v>0</v>
      </c>
      <c r="Y497" s="48">
        <f>'Adani Enterprises'!Y497</f>
        <v>0</v>
      </c>
      <c r="Z497" s="48">
        <f>'Adani Enterprises'!Z497</f>
        <v>0</v>
      </c>
      <c r="AA497" s="48">
        <f>'Adani Enterprises'!AA497</f>
        <v>0</v>
      </c>
      <c r="AB497" s="48">
        <f>'Adani Enterprises'!AB497</f>
        <v>0</v>
      </c>
      <c r="AC497" s="48">
        <f>'Adani Enterprises'!AC497</f>
        <v>0</v>
      </c>
      <c r="AD497" s="48">
        <f>'Adani Enterprises'!AD497</f>
        <v>0</v>
      </c>
      <c r="AE497" s="48">
        <f>'Adani Enterprises'!AE497</f>
        <v>0</v>
      </c>
      <c r="AF497" s="48">
        <f>'Adani Enterprises'!AF497</f>
        <v>0</v>
      </c>
      <c r="AG497" s="48">
        <f>'Adani Enterprises'!AG497</f>
        <v>0</v>
      </c>
      <c r="AH497" s="48">
        <f>'Adani Enterprises'!AH497</f>
        <v>0</v>
      </c>
      <c r="AI497" s="48">
        <f>'Adani Enterprises'!AI497</f>
        <v>0</v>
      </c>
      <c r="AJ497" s="48">
        <f>'Adani Enterprises'!AJ497</f>
        <v>0</v>
      </c>
      <c r="AK497" s="48">
        <f>'Adani Enterprises'!AK497</f>
        <v>0</v>
      </c>
      <c r="AL497" s="48">
        <f>'Adani Enterprises'!AL497</f>
        <v>0</v>
      </c>
    </row>
    <row r="498" customHeight="1" spans="1:38">
      <c r="A498" s="48">
        <f>'Adani Enterprises'!A498</f>
        <v>0</v>
      </c>
      <c r="B498" s="48">
        <f>'Adani Enterprises'!B498</f>
        <v>0</v>
      </c>
      <c r="C498" s="48">
        <f>'Adani Enterprises'!C498</f>
        <v>0</v>
      </c>
      <c r="D498" s="48">
        <f>'Adani Enterprises'!D498</f>
        <v>0</v>
      </c>
      <c r="E498" s="48">
        <f>'Adani Enterprises'!E498</f>
        <v>0</v>
      </c>
      <c r="F498" s="48">
        <f>'Adani Enterprises'!F498</f>
        <v>0</v>
      </c>
      <c r="G498" s="48">
        <f>'Adani Enterprises'!G498</f>
        <v>0</v>
      </c>
      <c r="H498" s="48">
        <f>'Adani Enterprises'!H498</f>
        <v>0</v>
      </c>
      <c r="I498" s="48">
        <f>'Adani Enterprises'!I498</f>
        <v>0</v>
      </c>
      <c r="J498" s="48">
        <f>'Adani Enterprises'!J498</f>
        <v>0</v>
      </c>
      <c r="K498" s="48">
        <f>'Adani Enterprises'!K498</f>
        <v>0</v>
      </c>
      <c r="L498" s="48">
        <f>'Adani Enterprises'!L498</f>
        <v>0</v>
      </c>
      <c r="M498" s="48">
        <f>'Adani Enterprises'!M498</f>
        <v>0</v>
      </c>
      <c r="N498" s="48">
        <f>'Adani Enterprises'!N498</f>
        <v>0</v>
      </c>
      <c r="O498" s="48">
        <f>'Adani Enterprises'!O498</f>
        <v>0</v>
      </c>
      <c r="P498" s="48">
        <f>'Adani Enterprises'!P498</f>
        <v>0</v>
      </c>
      <c r="Q498" s="48">
        <f>'Adani Enterprises'!Q498</f>
        <v>0</v>
      </c>
      <c r="R498" s="48">
        <f>'Adani Enterprises'!R498</f>
        <v>0</v>
      </c>
      <c r="S498" s="48">
        <f>'Adani Enterprises'!S498</f>
        <v>0</v>
      </c>
      <c r="T498" s="48">
        <f>'Adani Enterprises'!T498</f>
        <v>0</v>
      </c>
      <c r="U498" s="48">
        <f>'Adani Enterprises'!U498</f>
        <v>0</v>
      </c>
      <c r="V498" s="48">
        <f>'Adani Enterprises'!V498</f>
        <v>0</v>
      </c>
      <c r="W498" s="48">
        <f>'Adani Enterprises'!W498</f>
        <v>0</v>
      </c>
      <c r="X498" s="48">
        <f>'Adani Enterprises'!X498</f>
        <v>0</v>
      </c>
      <c r="Y498" s="48">
        <f>'Adani Enterprises'!Y498</f>
        <v>0</v>
      </c>
      <c r="Z498" s="48">
        <f>'Adani Enterprises'!Z498</f>
        <v>0</v>
      </c>
      <c r="AA498" s="48">
        <f>'Adani Enterprises'!AA498</f>
        <v>0</v>
      </c>
      <c r="AB498" s="48">
        <f>'Adani Enterprises'!AB498</f>
        <v>0</v>
      </c>
      <c r="AC498" s="48">
        <f>'Adani Enterprises'!AC498</f>
        <v>0</v>
      </c>
      <c r="AD498" s="48">
        <f>'Adani Enterprises'!AD498</f>
        <v>0</v>
      </c>
      <c r="AE498" s="48">
        <f>'Adani Enterprises'!AE498</f>
        <v>0</v>
      </c>
      <c r="AF498" s="48">
        <f>'Adani Enterprises'!AF498</f>
        <v>0</v>
      </c>
      <c r="AG498" s="48">
        <f>'Adani Enterprises'!AG498</f>
        <v>0</v>
      </c>
      <c r="AH498" s="48">
        <f>'Adani Enterprises'!AH498</f>
        <v>0</v>
      </c>
      <c r="AI498" s="48">
        <f>'Adani Enterprises'!AI498</f>
        <v>0</v>
      </c>
      <c r="AJ498" s="48">
        <f>'Adani Enterprises'!AJ498</f>
        <v>0</v>
      </c>
      <c r="AK498" s="48">
        <f>'Adani Enterprises'!AK498</f>
        <v>0</v>
      </c>
      <c r="AL498" s="48">
        <f>'Adani Enterprises'!AL498</f>
        <v>0</v>
      </c>
    </row>
    <row r="499" customHeight="1" spans="1:38">
      <c r="A499" s="48">
        <f>'Adani Enterprises'!A499</f>
        <v>0</v>
      </c>
      <c r="B499" s="48">
        <f>'Adani Enterprises'!B499</f>
        <v>0</v>
      </c>
      <c r="C499" s="48">
        <f>'Adani Enterprises'!C499</f>
        <v>0</v>
      </c>
      <c r="D499" s="48">
        <f>'Adani Enterprises'!D499</f>
        <v>0</v>
      </c>
      <c r="E499" s="48">
        <f>'Adani Enterprises'!E499</f>
        <v>0</v>
      </c>
      <c r="F499" s="48">
        <f>'Adani Enterprises'!F499</f>
        <v>0</v>
      </c>
      <c r="G499" s="48">
        <f>'Adani Enterprises'!G499</f>
        <v>0</v>
      </c>
      <c r="H499" s="48">
        <f>'Adani Enterprises'!H499</f>
        <v>0</v>
      </c>
      <c r="I499" s="48">
        <f>'Adani Enterprises'!I499</f>
        <v>0</v>
      </c>
      <c r="J499" s="48">
        <f>'Adani Enterprises'!J499</f>
        <v>0</v>
      </c>
      <c r="K499" s="48">
        <f>'Adani Enterprises'!K499</f>
        <v>0</v>
      </c>
      <c r="L499" s="48">
        <f>'Adani Enterprises'!L499</f>
        <v>0</v>
      </c>
      <c r="M499" s="48">
        <f>'Adani Enterprises'!M499</f>
        <v>0</v>
      </c>
      <c r="N499" s="48">
        <f>'Adani Enterprises'!N499</f>
        <v>0</v>
      </c>
      <c r="O499" s="48">
        <f>'Adani Enterprises'!O499</f>
        <v>0</v>
      </c>
      <c r="P499" s="48">
        <f>'Adani Enterprises'!P499</f>
        <v>0</v>
      </c>
      <c r="Q499" s="48">
        <f>'Adani Enterprises'!Q499</f>
        <v>0</v>
      </c>
      <c r="R499" s="48">
        <f>'Adani Enterprises'!R499</f>
        <v>0</v>
      </c>
      <c r="S499" s="48">
        <f>'Adani Enterprises'!S499</f>
        <v>0</v>
      </c>
      <c r="T499" s="48">
        <f>'Adani Enterprises'!T499</f>
        <v>0</v>
      </c>
      <c r="U499" s="48">
        <f>'Adani Enterprises'!U499</f>
        <v>0</v>
      </c>
      <c r="V499" s="48">
        <f>'Adani Enterprises'!V499</f>
        <v>0</v>
      </c>
      <c r="W499" s="48">
        <f>'Adani Enterprises'!W499</f>
        <v>0</v>
      </c>
      <c r="X499" s="48">
        <f>'Adani Enterprises'!X499</f>
        <v>0</v>
      </c>
      <c r="Y499" s="48">
        <f>'Adani Enterprises'!Y499</f>
        <v>0</v>
      </c>
      <c r="Z499" s="48">
        <f>'Adani Enterprises'!Z499</f>
        <v>0</v>
      </c>
      <c r="AA499" s="48">
        <f>'Adani Enterprises'!AA499</f>
        <v>0</v>
      </c>
      <c r="AB499" s="48">
        <f>'Adani Enterprises'!AB499</f>
        <v>0</v>
      </c>
      <c r="AC499" s="48">
        <f>'Adani Enterprises'!AC499</f>
        <v>0</v>
      </c>
      <c r="AD499" s="48">
        <f>'Adani Enterprises'!AD499</f>
        <v>0</v>
      </c>
      <c r="AE499" s="48">
        <f>'Adani Enterprises'!AE499</f>
        <v>0</v>
      </c>
      <c r="AF499" s="48">
        <f>'Adani Enterprises'!AF499</f>
        <v>0</v>
      </c>
      <c r="AG499" s="48">
        <f>'Adani Enterprises'!AG499</f>
        <v>0</v>
      </c>
      <c r="AH499" s="48">
        <f>'Adani Enterprises'!AH499</f>
        <v>0</v>
      </c>
      <c r="AI499" s="48">
        <f>'Adani Enterprises'!AI499</f>
        <v>0</v>
      </c>
      <c r="AJ499" s="48">
        <f>'Adani Enterprises'!AJ499</f>
        <v>0</v>
      </c>
      <c r="AK499" s="48">
        <f>'Adani Enterprises'!AK499</f>
        <v>0</v>
      </c>
      <c r="AL499" s="48">
        <f>'Adani Enterprises'!AL499</f>
        <v>0</v>
      </c>
    </row>
    <row r="500" customHeight="1" spans="1:38">
      <c r="A500" s="48">
        <f>'Adani Enterprises'!A500</f>
        <v>0</v>
      </c>
      <c r="B500" s="48">
        <f>'Adani Enterprises'!B500</f>
        <v>0</v>
      </c>
      <c r="C500" s="48">
        <f>'Adani Enterprises'!C500</f>
        <v>0</v>
      </c>
      <c r="D500" s="48">
        <f>'Adani Enterprises'!D500</f>
        <v>0</v>
      </c>
      <c r="E500" s="48">
        <f>'Adani Enterprises'!E500</f>
        <v>0</v>
      </c>
      <c r="F500" s="48">
        <f>'Adani Enterprises'!F500</f>
        <v>0</v>
      </c>
      <c r="G500" s="48">
        <f>'Adani Enterprises'!G500</f>
        <v>0</v>
      </c>
      <c r="H500" s="48">
        <f>'Adani Enterprises'!H500</f>
        <v>0</v>
      </c>
      <c r="I500" s="48">
        <f>'Adani Enterprises'!I500</f>
        <v>0</v>
      </c>
      <c r="J500" s="48">
        <f>'Adani Enterprises'!J500</f>
        <v>0</v>
      </c>
      <c r="K500" s="48">
        <f>'Adani Enterprises'!K500</f>
        <v>0</v>
      </c>
      <c r="L500" s="48">
        <f>'Adani Enterprises'!L500</f>
        <v>0</v>
      </c>
      <c r="M500" s="48">
        <f>'Adani Enterprises'!M500</f>
        <v>0</v>
      </c>
      <c r="N500" s="48">
        <f>'Adani Enterprises'!N500</f>
        <v>0</v>
      </c>
      <c r="O500" s="48">
        <f>'Adani Enterprises'!O500</f>
        <v>0</v>
      </c>
      <c r="P500" s="48">
        <f>'Adani Enterprises'!P500</f>
        <v>0</v>
      </c>
      <c r="Q500" s="48">
        <f>'Adani Enterprises'!Q500</f>
        <v>0</v>
      </c>
      <c r="R500" s="48">
        <f>'Adani Enterprises'!R500</f>
        <v>0</v>
      </c>
      <c r="S500" s="48">
        <f>'Adani Enterprises'!S500</f>
        <v>0</v>
      </c>
      <c r="T500" s="48">
        <f>'Adani Enterprises'!T500</f>
        <v>0</v>
      </c>
      <c r="U500" s="48">
        <f>'Adani Enterprises'!U500</f>
        <v>0</v>
      </c>
      <c r="V500" s="48">
        <f>'Adani Enterprises'!V500</f>
        <v>0</v>
      </c>
      <c r="W500" s="48">
        <f>'Adani Enterprises'!W500</f>
        <v>0</v>
      </c>
      <c r="X500" s="48">
        <f>'Adani Enterprises'!X500</f>
        <v>0</v>
      </c>
      <c r="Y500" s="48">
        <f>'Adani Enterprises'!Y500</f>
        <v>0</v>
      </c>
      <c r="Z500" s="48">
        <f>'Adani Enterprises'!Z500</f>
        <v>0</v>
      </c>
      <c r="AA500" s="48">
        <f>'Adani Enterprises'!AA500</f>
        <v>0</v>
      </c>
      <c r="AB500" s="48">
        <f>'Adani Enterprises'!AB500</f>
        <v>0</v>
      </c>
      <c r="AC500" s="48">
        <f>'Adani Enterprises'!AC500</f>
        <v>0</v>
      </c>
      <c r="AD500" s="48">
        <f>'Adani Enterprises'!AD500</f>
        <v>0</v>
      </c>
      <c r="AE500" s="48">
        <f>'Adani Enterprises'!AE500</f>
        <v>0</v>
      </c>
      <c r="AF500" s="48">
        <f>'Adani Enterprises'!AF500</f>
        <v>0</v>
      </c>
      <c r="AG500" s="48">
        <f>'Adani Enterprises'!AG500</f>
        <v>0</v>
      </c>
      <c r="AH500" s="48">
        <f>'Adani Enterprises'!AH500</f>
        <v>0</v>
      </c>
      <c r="AI500" s="48">
        <f>'Adani Enterprises'!AI500</f>
        <v>0</v>
      </c>
      <c r="AJ500" s="48">
        <f>'Adani Enterprises'!AJ500</f>
        <v>0</v>
      </c>
      <c r="AK500" s="48">
        <f>'Adani Enterprises'!AK500</f>
        <v>0</v>
      </c>
      <c r="AL500" s="48">
        <f>'Adani Enterprises'!AL500</f>
        <v>0</v>
      </c>
    </row>
    <row r="501" customHeight="1" spans="1:38">
      <c r="A501" s="48">
        <f>'Adani Enterprises'!A501</f>
        <v>0</v>
      </c>
      <c r="B501" s="48">
        <f>'Adani Enterprises'!B501</f>
        <v>0</v>
      </c>
      <c r="C501" s="48">
        <f>'Adani Enterprises'!C501</f>
        <v>0</v>
      </c>
      <c r="D501" s="48">
        <f>'Adani Enterprises'!D501</f>
        <v>0</v>
      </c>
      <c r="E501" s="48">
        <f>'Adani Enterprises'!E501</f>
        <v>0</v>
      </c>
      <c r="F501" s="48">
        <f>'Adani Enterprises'!F501</f>
        <v>0</v>
      </c>
      <c r="G501" s="48">
        <f>'Adani Enterprises'!G501</f>
        <v>0</v>
      </c>
      <c r="H501" s="48">
        <f>'Adani Enterprises'!H501</f>
        <v>0</v>
      </c>
      <c r="I501" s="48">
        <f>'Adani Enterprises'!I501</f>
        <v>0</v>
      </c>
      <c r="J501" s="48">
        <f>'Adani Enterprises'!J501</f>
        <v>0</v>
      </c>
      <c r="K501" s="48">
        <f>'Adani Enterprises'!K501</f>
        <v>0</v>
      </c>
      <c r="L501" s="48">
        <f>'Adani Enterprises'!L501</f>
        <v>0</v>
      </c>
      <c r="M501" s="48">
        <f>'Adani Enterprises'!M501</f>
        <v>0</v>
      </c>
      <c r="N501" s="48">
        <f>'Adani Enterprises'!N501</f>
        <v>0</v>
      </c>
      <c r="O501" s="48">
        <f>'Adani Enterprises'!O501</f>
        <v>0</v>
      </c>
      <c r="P501" s="48">
        <f>'Adani Enterprises'!P501</f>
        <v>0</v>
      </c>
      <c r="Q501" s="48">
        <f>'Adani Enterprises'!Q501</f>
        <v>0</v>
      </c>
      <c r="R501" s="48">
        <f>'Adani Enterprises'!R501</f>
        <v>0</v>
      </c>
      <c r="S501" s="48">
        <f>'Adani Enterprises'!S501</f>
        <v>0</v>
      </c>
      <c r="T501" s="48">
        <f>'Adani Enterprises'!T501</f>
        <v>0</v>
      </c>
      <c r="U501" s="48">
        <f>'Adani Enterprises'!U501</f>
        <v>0</v>
      </c>
      <c r="V501" s="48">
        <f>'Adani Enterprises'!V501</f>
        <v>0</v>
      </c>
      <c r="W501" s="48">
        <f>'Adani Enterprises'!W501</f>
        <v>0</v>
      </c>
      <c r="X501" s="48">
        <f>'Adani Enterprises'!X501</f>
        <v>0</v>
      </c>
      <c r="Y501" s="48">
        <f>'Adani Enterprises'!Y501</f>
        <v>0</v>
      </c>
      <c r="Z501" s="48">
        <f>'Adani Enterprises'!Z501</f>
        <v>0</v>
      </c>
      <c r="AA501" s="48">
        <f>'Adani Enterprises'!AA501</f>
        <v>0</v>
      </c>
      <c r="AB501" s="48">
        <f>'Adani Enterprises'!AB501</f>
        <v>0</v>
      </c>
      <c r="AC501" s="48">
        <f>'Adani Enterprises'!AC501</f>
        <v>0</v>
      </c>
      <c r="AD501" s="48">
        <f>'Adani Enterprises'!AD501</f>
        <v>0</v>
      </c>
      <c r="AE501" s="48">
        <f>'Adani Enterprises'!AE501</f>
        <v>0</v>
      </c>
      <c r="AF501" s="48">
        <f>'Adani Enterprises'!AF501</f>
        <v>0</v>
      </c>
      <c r="AG501" s="48">
        <f>'Adani Enterprises'!AG501</f>
        <v>0</v>
      </c>
      <c r="AH501" s="48">
        <f>'Adani Enterprises'!AH501</f>
        <v>0</v>
      </c>
      <c r="AI501" s="48">
        <f>'Adani Enterprises'!AI501</f>
        <v>0</v>
      </c>
      <c r="AJ501" s="48">
        <f>'Adani Enterprises'!AJ501</f>
        <v>0</v>
      </c>
      <c r="AK501" s="48">
        <f>'Adani Enterprises'!AK501</f>
        <v>0</v>
      </c>
      <c r="AL501" s="48">
        <f>'Adani Enterprises'!AL501</f>
        <v>0</v>
      </c>
    </row>
    <row r="502" customHeight="1" spans="1:38">
      <c r="A502" s="48">
        <f>'Adani Enterprises'!A502</f>
        <v>0</v>
      </c>
      <c r="B502" s="48">
        <f>'Adani Enterprises'!B502</f>
        <v>0</v>
      </c>
      <c r="C502" s="48">
        <f>'Adani Enterprises'!C502</f>
        <v>0</v>
      </c>
      <c r="D502" s="48">
        <f>'Adani Enterprises'!D502</f>
        <v>0</v>
      </c>
      <c r="E502" s="48">
        <f>'Adani Enterprises'!E502</f>
        <v>0</v>
      </c>
      <c r="F502" s="48">
        <f>'Adani Enterprises'!F502</f>
        <v>0</v>
      </c>
      <c r="G502" s="48">
        <f>'Adani Enterprises'!G502</f>
        <v>0</v>
      </c>
      <c r="H502" s="48">
        <f>'Adani Enterprises'!H502</f>
        <v>0</v>
      </c>
      <c r="I502" s="48">
        <f>'Adani Enterprises'!I502</f>
        <v>0</v>
      </c>
      <c r="J502" s="48">
        <f>'Adani Enterprises'!J502</f>
        <v>0</v>
      </c>
      <c r="K502" s="48">
        <f>'Adani Enterprises'!K502</f>
        <v>0</v>
      </c>
      <c r="L502" s="48">
        <f>'Adani Enterprises'!L502</f>
        <v>0</v>
      </c>
      <c r="M502" s="48">
        <f>'Adani Enterprises'!M502</f>
        <v>0</v>
      </c>
      <c r="N502" s="48">
        <f>'Adani Enterprises'!N502</f>
        <v>0</v>
      </c>
      <c r="O502" s="48">
        <f>'Adani Enterprises'!O502</f>
        <v>0</v>
      </c>
      <c r="P502" s="48">
        <f>'Adani Enterprises'!P502</f>
        <v>0</v>
      </c>
      <c r="Q502" s="48">
        <f>'Adani Enterprises'!Q502</f>
        <v>0</v>
      </c>
      <c r="R502" s="48">
        <f>'Adani Enterprises'!R502</f>
        <v>0</v>
      </c>
      <c r="S502" s="48">
        <f>'Adani Enterprises'!S502</f>
        <v>0</v>
      </c>
      <c r="T502" s="48">
        <f>'Adani Enterprises'!T502</f>
        <v>0</v>
      </c>
      <c r="U502" s="48">
        <f>'Adani Enterprises'!U502</f>
        <v>0</v>
      </c>
      <c r="V502" s="48">
        <f>'Adani Enterprises'!V502</f>
        <v>0</v>
      </c>
      <c r="W502" s="48">
        <f>'Adani Enterprises'!W502</f>
        <v>0</v>
      </c>
      <c r="X502" s="48">
        <f>'Adani Enterprises'!X502</f>
        <v>0</v>
      </c>
      <c r="Y502" s="48">
        <f>'Adani Enterprises'!Y502</f>
        <v>0</v>
      </c>
      <c r="Z502" s="48">
        <f>'Adani Enterprises'!Z502</f>
        <v>0</v>
      </c>
      <c r="AA502" s="48">
        <f>'Adani Enterprises'!AA502</f>
        <v>0</v>
      </c>
      <c r="AB502" s="48">
        <f>'Adani Enterprises'!AB502</f>
        <v>0</v>
      </c>
      <c r="AC502" s="48">
        <f>'Adani Enterprises'!AC502</f>
        <v>0</v>
      </c>
      <c r="AD502" s="48">
        <f>'Adani Enterprises'!AD502</f>
        <v>0</v>
      </c>
      <c r="AE502" s="48">
        <f>'Adani Enterprises'!AE502</f>
        <v>0</v>
      </c>
      <c r="AF502" s="48">
        <f>'Adani Enterprises'!AF502</f>
        <v>0</v>
      </c>
      <c r="AG502" s="48">
        <f>'Adani Enterprises'!AG502</f>
        <v>0</v>
      </c>
      <c r="AH502" s="48">
        <f>'Adani Enterprises'!AH502</f>
        <v>0</v>
      </c>
      <c r="AI502" s="48">
        <f>'Adani Enterprises'!AI502</f>
        <v>0</v>
      </c>
      <c r="AJ502" s="48">
        <f>'Adani Enterprises'!AJ502</f>
        <v>0</v>
      </c>
      <c r="AK502" s="48">
        <f>'Adani Enterprises'!AK502</f>
        <v>0</v>
      </c>
      <c r="AL502" s="48">
        <f>'Adani Enterprises'!AL502</f>
        <v>0</v>
      </c>
    </row>
    <row r="503" customHeight="1" spans="1:38">
      <c r="A503" s="48">
        <f>'Adani Enterprises'!A503</f>
        <v>0</v>
      </c>
      <c r="B503" s="48">
        <f>'Adani Enterprises'!B503</f>
        <v>0</v>
      </c>
      <c r="C503" s="48">
        <f>'Adani Enterprises'!C503</f>
        <v>0</v>
      </c>
      <c r="D503" s="48">
        <f>'Adani Enterprises'!D503</f>
        <v>0</v>
      </c>
      <c r="E503" s="48">
        <f>'Adani Enterprises'!E503</f>
        <v>0</v>
      </c>
      <c r="F503" s="48">
        <f>'Adani Enterprises'!F503</f>
        <v>0</v>
      </c>
      <c r="G503" s="48">
        <f>'Adani Enterprises'!G503</f>
        <v>0</v>
      </c>
      <c r="H503" s="48">
        <f>'Adani Enterprises'!H503</f>
        <v>0</v>
      </c>
      <c r="I503" s="48">
        <f>'Adani Enterprises'!I503</f>
        <v>0</v>
      </c>
      <c r="J503" s="48">
        <f>'Adani Enterprises'!J503</f>
        <v>0</v>
      </c>
      <c r="K503" s="48">
        <f>'Adani Enterprises'!K503</f>
        <v>0</v>
      </c>
      <c r="L503" s="48">
        <f>'Adani Enterprises'!L503</f>
        <v>0</v>
      </c>
      <c r="M503" s="48">
        <f>'Adani Enterprises'!M503</f>
        <v>0</v>
      </c>
      <c r="N503" s="48">
        <f>'Adani Enterprises'!N503</f>
        <v>0</v>
      </c>
      <c r="O503" s="48">
        <f>'Adani Enterprises'!O503</f>
        <v>0</v>
      </c>
      <c r="P503" s="48">
        <f>'Adani Enterprises'!P503</f>
        <v>0</v>
      </c>
      <c r="Q503" s="48">
        <f>'Adani Enterprises'!Q503</f>
        <v>0</v>
      </c>
      <c r="R503" s="48">
        <f>'Adani Enterprises'!R503</f>
        <v>0</v>
      </c>
      <c r="S503" s="48">
        <f>'Adani Enterprises'!S503</f>
        <v>0</v>
      </c>
      <c r="T503" s="48">
        <f>'Adani Enterprises'!T503</f>
        <v>0</v>
      </c>
      <c r="U503" s="48">
        <f>'Adani Enterprises'!U503</f>
        <v>0</v>
      </c>
      <c r="V503" s="48">
        <f>'Adani Enterprises'!V503</f>
        <v>0</v>
      </c>
      <c r="W503" s="48">
        <f>'Adani Enterprises'!W503</f>
        <v>0</v>
      </c>
      <c r="X503" s="48">
        <f>'Adani Enterprises'!X503</f>
        <v>0</v>
      </c>
      <c r="Y503" s="48">
        <f>'Adani Enterprises'!Y503</f>
        <v>0</v>
      </c>
      <c r="Z503" s="48">
        <f>'Adani Enterprises'!Z503</f>
        <v>0</v>
      </c>
      <c r="AA503" s="48">
        <f>'Adani Enterprises'!AA503</f>
        <v>0</v>
      </c>
      <c r="AB503" s="48">
        <f>'Adani Enterprises'!AB503</f>
        <v>0</v>
      </c>
      <c r="AC503" s="48">
        <f>'Adani Enterprises'!AC503</f>
        <v>0</v>
      </c>
      <c r="AD503" s="48">
        <f>'Adani Enterprises'!AD503</f>
        <v>0</v>
      </c>
      <c r="AE503" s="48">
        <f>'Adani Enterprises'!AE503</f>
        <v>0</v>
      </c>
      <c r="AF503" s="48">
        <f>'Adani Enterprises'!AF503</f>
        <v>0</v>
      </c>
      <c r="AG503" s="48">
        <f>'Adani Enterprises'!AG503</f>
        <v>0</v>
      </c>
      <c r="AH503" s="48">
        <f>'Adani Enterprises'!AH503</f>
        <v>0</v>
      </c>
      <c r="AI503" s="48">
        <f>'Adani Enterprises'!AI503</f>
        <v>0</v>
      </c>
      <c r="AJ503" s="48">
        <f>'Adani Enterprises'!AJ503</f>
        <v>0</v>
      </c>
      <c r="AK503" s="48">
        <f>'Adani Enterprises'!AK503</f>
        <v>0</v>
      </c>
      <c r="AL503" s="48">
        <f>'Adani Enterprises'!AL503</f>
        <v>0</v>
      </c>
    </row>
    <row r="504" customHeight="1" spans="1:38">
      <c r="A504" s="48">
        <f>'Adani Enterprises'!A504</f>
        <v>0</v>
      </c>
      <c r="B504" s="48">
        <f>'Adani Enterprises'!B504</f>
        <v>0</v>
      </c>
      <c r="C504" s="48">
        <f>'Adani Enterprises'!C504</f>
        <v>0</v>
      </c>
      <c r="D504" s="48">
        <f>'Adani Enterprises'!D504</f>
        <v>0</v>
      </c>
      <c r="E504" s="48">
        <f>'Adani Enterprises'!E504</f>
        <v>0</v>
      </c>
      <c r="F504" s="48">
        <f>'Adani Enterprises'!F504</f>
        <v>0</v>
      </c>
      <c r="G504" s="48">
        <f>'Adani Enterprises'!G504</f>
        <v>0</v>
      </c>
      <c r="H504" s="48">
        <f>'Adani Enterprises'!H504</f>
        <v>0</v>
      </c>
      <c r="I504" s="48">
        <f>'Adani Enterprises'!I504</f>
        <v>0</v>
      </c>
      <c r="J504" s="48">
        <f>'Adani Enterprises'!J504</f>
        <v>0</v>
      </c>
      <c r="K504" s="48">
        <f>'Adani Enterprises'!K504</f>
        <v>0</v>
      </c>
      <c r="L504" s="48">
        <f>'Adani Enterprises'!L504</f>
        <v>0</v>
      </c>
      <c r="M504" s="48">
        <f>'Adani Enterprises'!M504</f>
        <v>0</v>
      </c>
      <c r="N504" s="48">
        <f>'Adani Enterprises'!N504</f>
        <v>0</v>
      </c>
      <c r="O504" s="48">
        <f>'Adani Enterprises'!O504</f>
        <v>0</v>
      </c>
      <c r="P504" s="48">
        <f>'Adani Enterprises'!P504</f>
        <v>0</v>
      </c>
      <c r="Q504" s="48">
        <f>'Adani Enterprises'!Q504</f>
        <v>0</v>
      </c>
      <c r="R504" s="48">
        <f>'Adani Enterprises'!R504</f>
        <v>0</v>
      </c>
      <c r="S504" s="48">
        <f>'Adani Enterprises'!S504</f>
        <v>0</v>
      </c>
      <c r="T504" s="48">
        <f>'Adani Enterprises'!T504</f>
        <v>0</v>
      </c>
      <c r="U504" s="48">
        <f>'Adani Enterprises'!U504</f>
        <v>0</v>
      </c>
      <c r="V504" s="48">
        <f>'Adani Enterprises'!V504</f>
        <v>0</v>
      </c>
      <c r="W504" s="48">
        <f>'Adani Enterprises'!W504</f>
        <v>0</v>
      </c>
      <c r="X504" s="48">
        <f>'Adani Enterprises'!X504</f>
        <v>0</v>
      </c>
      <c r="Y504" s="48">
        <f>'Adani Enterprises'!Y504</f>
        <v>0</v>
      </c>
      <c r="Z504" s="48">
        <f>'Adani Enterprises'!Z504</f>
        <v>0</v>
      </c>
      <c r="AA504" s="48">
        <f>'Adani Enterprises'!AA504</f>
        <v>0</v>
      </c>
      <c r="AB504" s="48">
        <f>'Adani Enterprises'!AB504</f>
        <v>0</v>
      </c>
      <c r="AC504" s="48">
        <f>'Adani Enterprises'!AC504</f>
        <v>0</v>
      </c>
      <c r="AD504" s="48">
        <f>'Adani Enterprises'!AD504</f>
        <v>0</v>
      </c>
      <c r="AE504" s="48">
        <f>'Adani Enterprises'!AE504</f>
        <v>0</v>
      </c>
      <c r="AF504" s="48">
        <f>'Adani Enterprises'!AF504</f>
        <v>0</v>
      </c>
      <c r="AG504" s="48">
        <f>'Adani Enterprises'!AG504</f>
        <v>0</v>
      </c>
      <c r="AH504" s="48">
        <f>'Adani Enterprises'!AH504</f>
        <v>0</v>
      </c>
      <c r="AI504" s="48">
        <f>'Adani Enterprises'!AI504</f>
        <v>0</v>
      </c>
      <c r="AJ504" s="48">
        <f>'Adani Enterprises'!AJ504</f>
        <v>0</v>
      </c>
      <c r="AK504" s="48">
        <f>'Adani Enterprises'!AK504</f>
        <v>0</v>
      </c>
      <c r="AL504" s="48">
        <f>'Adani Enterprises'!AL504</f>
        <v>0</v>
      </c>
    </row>
    <row r="505" customHeight="1" spans="1:38">
      <c r="A505" s="48">
        <f>'Adani Enterprises'!A505</f>
        <v>0</v>
      </c>
      <c r="B505" s="48">
        <f>'Adani Enterprises'!B505</f>
        <v>0</v>
      </c>
      <c r="C505" s="48">
        <f>'Adani Enterprises'!C505</f>
        <v>0</v>
      </c>
      <c r="D505" s="48">
        <f>'Adani Enterprises'!D505</f>
        <v>0</v>
      </c>
      <c r="E505" s="48">
        <f>'Adani Enterprises'!E505</f>
        <v>0</v>
      </c>
      <c r="F505" s="48">
        <f>'Adani Enterprises'!F505</f>
        <v>0</v>
      </c>
      <c r="G505" s="48">
        <f>'Adani Enterprises'!G505</f>
        <v>0</v>
      </c>
      <c r="H505" s="48">
        <f>'Adani Enterprises'!H505</f>
        <v>0</v>
      </c>
      <c r="I505" s="48">
        <f>'Adani Enterprises'!I505</f>
        <v>0</v>
      </c>
      <c r="J505" s="48">
        <f>'Adani Enterprises'!J505</f>
        <v>0</v>
      </c>
      <c r="K505" s="48">
        <f>'Adani Enterprises'!K505</f>
        <v>0</v>
      </c>
      <c r="L505" s="48">
        <f>'Adani Enterprises'!L505</f>
        <v>0</v>
      </c>
      <c r="M505" s="48">
        <f>'Adani Enterprises'!M505</f>
        <v>0</v>
      </c>
      <c r="N505" s="48">
        <f>'Adani Enterprises'!N505</f>
        <v>0</v>
      </c>
      <c r="O505" s="48">
        <f>'Adani Enterprises'!O505</f>
        <v>0</v>
      </c>
      <c r="P505" s="48">
        <f>'Adani Enterprises'!P505</f>
        <v>0</v>
      </c>
      <c r="Q505" s="48">
        <f>'Adani Enterprises'!Q505</f>
        <v>0</v>
      </c>
      <c r="R505" s="48">
        <f>'Adani Enterprises'!R505</f>
        <v>0</v>
      </c>
      <c r="S505" s="48">
        <f>'Adani Enterprises'!S505</f>
        <v>0</v>
      </c>
      <c r="T505" s="48">
        <f>'Adani Enterprises'!T505</f>
        <v>0</v>
      </c>
      <c r="U505" s="48">
        <f>'Adani Enterprises'!U505</f>
        <v>0</v>
      </c>
      <c r="V505" s="48">
        <f>'Adani Enterprises'!V505</f>
        <v>0</v>
      </c>
      <c r="W505" s="48">
        <f>'Adani Enterprises'!W505</f>
        <v>0</v>
      </c>
      <c r="X505" s="48">
        <f>'Adani Enterprises'!X505</f>
        <v>0</v>
      </c>
      <c r="Y505" s="48">
        <f>'Adani Enterprises'!Y505</f>
        <v>0</v>
      </c>
      <c r="Z505" s="48">
        <f>'Adani Enterprises'!Z505</f>
        <v>0</v>
      </c>
      <c r="AA505" s="48">
        <f>'Adani Enterprises'!AA505</f>
        <v>0</v>
      </c>
      <c r="AB505" s="48">
        <f>'Adani Enterprises'!AB505</f>
        <v>0</v>
      </c>
      <c r="AC505" s="48">
        <f>'Adani Enterprises'!AC505</f>
        <v>0</v>
      </c>
      <c r="AD505" s="48">
        <f>'Adani Enterprises'!AD505</f>
        <v>0</v>
      </c>
      <c r="AE505" s="48">
        <f>'Adani Enterprises'!AE505</f>
        <v>0</v>
      </c>
      <c r="AF505" s="48">
        <f>'Adani Enterprises'!AF505</f>
        <v>0</v>
      </c>
      <c r="AG505" s="48">
        <f>'Adani Enterprises'!AG505</f>
        <v>0</v>
      </c>
      <c r="AH505" s="48">
        <f>'Adani Enterprises'!AH505</f>
        <v>0</v>
      </c>
      <c r="AI505" s="48">
        <f>'Adani Enterprises'!AI505</f>
        <v>0</v>
      </c>
      <c r="AJ505" s="48">
        <f>'Adani Enterprises'!AJ505</f>
        <v>0</v>
      </c>
      <c r="AK505" s="48">
        <f>'Adani Enterprises'!AK505</f>
        <v>0</v>
      </c>
      <c r="AL505" s="48">
        <f>'Adani Enterprises'!AL505</f>
        <v>0</v>
      </c>
    </row>
    <row r="506" customHeight="1" spans="1:38">
      <c r="A506" s="48">
        <f>'Adani Enterprises'!A506</f>
        <v>0</v>
      </c>
      <c r="B506" s="48">
        <f>'Adani Enterprises'!B506</f>
        <v>0</v>
      </c>
      <c r="C506" s="48">
        <f>'Adani Enterprises'!C506</f>
        <v>0</v>
      </c>
      <c r="D506" s="48">
        <f>'Adani Enterprises'!D506</f>
        <v>0</v>
      </c>
      <c r="E506" s="48">
        <f>'Adani Enterprises'!E506</f>
        <v>0</v>
      </c>
      <c r="F506" s="48">
        <f>'Adani Enterprises'!F506</f>
        <v>0</v>
      </c>
      <c r="G506" s="48">
        <f>'Adani Enterprises'!G506</f>
        <v>0</v>
      </c>
      <c r="H506" s="48">
        <f>'Adani Enterprises'!H506</f>
        <v>0</v>
      </c>
      <c r="I506" s="48">
        <f>'Adani Enterprises'!I506</f>
        <v>0</v>
      </c>
      <c r="J506" s="48">
        <f>'Adani Enterprises'!J506</f>
        <v>0</v>
      </c>
      <c r="K506" s="48">
        <f>'Adani Enterprises'!K506</f>
        <v>0</v>
      </c>
      <c r="L506" s="48">
        <f>'Adani Enterprises'!L506</f>
        <v>0</v>
      </c>
      <c r="M506" s="48">
        <f>'Adani Enterprises'!M506</f>
        <v>0</v>
      </c>
      <c r="N506" s="48">
        <f>'Adani Enterprises'!N506</f>
        <v>0</v>
      </c>
      <c r="O506" s="48">
        <f>'Adani Enterprises'!O506</f>
        <v>0</v>
      </c>
      <c r="P506" s="48">
        <f>'Adani Enterprises'!P506</f>
        <v>0</v>
      </c>
      <c r="Q506" s="48">
        <f>'Adani Enterprises'!Q506</f>
        <v>0</v>
      </c>
      <c r="R506" s="48">
        <f>'Adani Enterprises'!R506</f>
        <v>0</v>
      </c>
      <c r="S506" s="48">
        <f>'Adani Enterprises'!S506</f>
        <v>0</v>
      </c>
      <c r="T506" s="48">
        <f>'Adani Enterprises'!T506</f>
        <v>0</v>
      </c>
      <c r="U506" s="48">
        <f>'Adani Enterprises'!U506</f>
        <v>0</v>
      </c>
      <c r="V506" s="48">
        <f>'Adani Enterprises'!V506</f>
        <v>0</v>
      </c>
      <c r="W506" s="48">
        <f>'Adani Enterprises'!W506</f>
        <v>0</v>
      </c>
      <c r="X506" s="48">
        <f>'Adani Enterprises'!X506</f>
        <v>0</v>
      </c>
      <c r="Y506" s="48">
        <f>'Adani Enterprises'!Y506</f>
        <v>0</v>
      </c>
      <c r="Z506" s="48">
        <f>'Adani Enterprises'!Z506</f>
        <v>0</v>
      </c>
      <c r="AA506" s="48">
        <f>'Adani Enterprises'!AA506</f>
        <v>0</v>
      </c>
      <c r="AB506" s="48">
        <f>'Adani Enterprises'!AB506</f>
        <v>0</v>
      </c>
      <c r="AC506" s="48">
        <f>'Adani Enterprises'!AC506</f>
        <v>0</v>
      </c>
      <c r="AD506" s="48">
        <f>'Adani Enterprises'!AD506</f>
        <v>0</v>
      </c>
      <c r="AE506" s="48">
        <f>'Adani Enterprises'!AE506</f>
        <v>0</v>
      </c>
      <c r="AF506" s="48">
        <f>'Adani Enterprises'!AF506</f>
        <v>0</v>
      </c>
      <c r="AG506" s="48">
        <f>'Adani Enterprises'!AG506</f>
        <v>0</v>
      </c>
      <c r="AH506" s="48">
        <f>'Adani Enterprises'!AH506</f>
        <v>0</v>
      </c>
      <c r="AI506" s="48">
        <f>'Adani Enterprises'!AI506</f>
        <v>0</v>
      </c>
      <c r="AJ506" s="48">
        <f>'Adani Enterprises'!AJ506</f>
        <v>0</v>
      </c>
      <c r="AK506" s="48">
        <f>'Adani Enterprises'!AK506</f>
        <v>0</v>
      </c>
      <c r="AL506" s="48">
        <f>'Adani Enterprises'!AL506</f>
        <v>0</v>
      </c>
    </row>
    <row r="507" customHeight="1" spans="1:38">
      <c r="A507" s="48">
        <f>'Adani Enterprises'!A507</f>
        <v>0</v>
      </c>
      <c r="B507" s="48">
        <f>'Adani Enterprises'!B507</f>
        <v>0</v>
      </c>
      <c r="C507" s="48">
        <f>'Adani Enterprises'!C507</f>
        <v>0</v>
      </c>
      <c r="D507" s="48">
        <f>'Adani Enterprises'!D507</f>
        <v>0</v>
      </c>
      <c r="E507" s="48">
        <f>'Adani Enterprises'!E507</f>
        <v>0</v>
      </c>
      <c r="F507" s="48">
        <f>'Adani Enterprises'!F507</f>
        <v>0</v>
      </c>
      <c r="G507" s="48">
        <f>'Adani Enterprises'!G507</f>
        <v>0</v>
      </c>
      <c r="H507" s="48">
        <f>'Adani Enterprises'!H507</f>
        <v>0</v>
      </c>
      <c r="I507" s="48">
        <f>'Adani Enterprises'!I507</f>
        <v>0</v>
      </c>
      <c r="J507" s="48">
        <f>'Adani Enterprises'!J507</f>
        <v>0</v>
      </c>
      <c r="K507" s="48">
        <f>'Adani Enterprises'!K507</f>
        <v>0</v>
      </c>
      <c r="L507" s="48">
        <f>'Adani Enterprises'!L507</f>
        <v>0</v>
      </c>
      <c r="M507" s="48">
        <f>'Adani Enterprises'!M507</f>
        <v>0</v>
      </c>
      <c r="N507" s="48">
        <f>'Adani Enterprises'!N507</f>
        <v>0</v>
      </c>
      <c r="O507" s="48">
        <f>'Adani Enterprises'!O507</f>
        <v>0</v>
      </c>
      <c r="P507" s="48">
        <f>'Adani Enterprises'!P507</f>
        <v>0</v>
      </c>
      <c r="Q507" s="48">
        <f>'Adani Enterprises'!Q507</f>
        <v>0</v>
      </c>
      <c r="R507" s="48">
        <f>'Adani Enterprises'!R507</f>
        <v>0</v>
      </c>
      <c r="S507" s="48">
        <f>'Adani Enterprises'!S507</f>
        <v>0</v>
      </c>
      <c r="T507" s="48">
        <f>'Adani Enterprises'!T507</f>
        <v>0</v>
      </c>
      <c r="U507" s="48">
        <f>'Adani Enterprises'!U507</f>
        <v>0</v>
      </c>
      <c r="V507" s="48">
        <f>'Adani Enterprises'!V507</f>
        <v>0</v>
      </c>
      <c r="W507" s="48">
        <f>'Adani Enterprises'!W507</f>
        <v>0</v>
      </c>
      <c r="X507" s="48">
        <f>'Adani Enterprises'!X507</f>
        <v>0</v>
      </c>
      <c r="Y507" s="48">
        <f>'Adani Enterprises'!Y507</f>
        <v>0</v>
      </c>
      <c r="Z507" s="48">
        <f>'Adani Enterprises'!Z507</f>
        <v>0</v>
      </c>
      <c r="AA507" s="48">
        <f>'Adani Enterprises'!AA507</f>
        <v>0</v>
      </c>
      <c r="AB507" s="48">
        <f>'Adani Enterprises'!AB507</f>
        <v>0</v>
      </c>
      <c r="AC507" s="48">
        <f>'Adani Enterprises'!AC507</f>
        <v>0</v>
      </c>
      <c r="AD507" s="48">
        <f>'Adani Enterprises'!AD507</f>
        <v>0</v>
      </c>
      <c r="AE507" s="48">
        <f>'Adani Enterprises'!AE507</f>
        <v>0</v>
      </c>
      <c r="AF507" s="48">
        <f>'Adani Enterprises'!AF507</f>
        <v>0</v>
      </c>
      <c r="AG507" s="48">
        <f>'Adani Enterprises'!AG507</f>
        <v>0</v>
      </c>
      <c r="AH507" s="48">
        <f>'Adani Enterprises'!AH507</f>
        <v>0</v>
      </c>
      <c r="AI507" s="48">
        <f>'Adani Enterprises'!AI507</f>
        <v>0</v>
      </c>
      <c r="AJ507" s="48">
        <f>'Adani Enterprises'!AJ507</f>
        <v>0</v>
      </c>
      <c r="AK507" s="48">
        <f>'Adani Enterprises'!AK507</f>
        <v>0</v>
      </c>
      <c r="AL507" s="48">
        <f>'Adani Enterprises'!AL507</f>
        <v>0</v>
      </c>
    </row>
    <row r="508" customHeight="1" spans="1:38">
      <c r="A508" s="48">
        <f>'Adani Enterprises'!A508</f>
        <v>0</v>
      </c>
      <c r="B508" s="48">
        <f>'Adani Enterprises'!B508</f>
        <v>0</v>
      </c>
      <c r="C508" s="48">
        <f>'Adani Enterprises'!C508</f>
        <v>0</v>
      </c>
      <c r="D508" s="48">
        <f>'Adani Enterprises'!D508</f>
        <v>0</v>
      </c>
      <c r="E508" s="48">
        <f>'Adani Enterprises'!E508</f>
        <v>0</v>
      </c>
      <c r="F508" s="48">
        <f>'Adani Enterprises'!F508</f>
        <v>0</v>
      </c>
      <c r="G508" s="48">
        <f>'Adani Enterprises'!G508</f>
        <v>0</v>
      </c>
      <c r="H508" s="48">
        <f>'Adani Enterprises'!H508</f>
        <v>0</v>
      </c>
      <c r="I508" s="48">
        <f>'Adani Enterprises'!I508</f>
        <v>0</v>
      </c>
      <c r="J508" s="48">
        <f>'Adani Enterprises'!J508</f>
        <v>0</v>
      </c>
      <c r="K508" s="48">
        <f>'Adani Enterprises'!K508</f>
        <v>0</v>
      </c>
      <c r="L508" s="48">
        <f>'Adani Enterprises'!L508</f>
        <v>0</v>
      </c>
      <c r="M508" s="48">
        <f>'Adani Enterprises'!M508</f>
        <v>0</v>
      </c>
      <c r="N508" s="48">
        <f>'Adani Enterprises'!N508</f>
        <v>0</v>
      </c>
      <c r="O508" s="48">
        <f>'Adani Enterprises'!O508</f>
        <v>0</v>
      </c>
      <c r="P508" s="48">
        <f>'Adani Enterprises'!P508</f>
        <v>0</v>
      </c>
      <c r="Q508" s="48">
        <f>'Adani Enterprises'!Q508</f>
        <v>0</v>
      </c>
      <c r="R508" s="48">
        <f>'Adani Enterprises'!R508</f>
        <v>0</v>
      </c>
      <c r="S508" s="48">
        <f>'Adani Enterprises'!S508</f>
        <v>0</v>
      </c>
      <c r="T508" s="48">
        <f>'Adani Enterprises'!T508</f>
        <v>0</v>
      </c>
      <c r="U508" s="48">
        <f>'Adani Enterprises'!U508</f>
        <v>0</v>
      </c>
      <c r="V508" s="48">
        <f>'Adani Enterprises'!V508</f>
        <v>0</v>
      </c>
      <c r="W508" s="48">
        <f>'Adani Enterprises'!W508</f>
        <v>0</v>
      </c>
      <c r="X508" s="48">
        <f>'Adani Enterprises'!X508</f>
        <v>0</v>
      </c>
      <c r="Y508" s="48">
        <f>'Adani Enterprises'!Y508</f>
        <v>0</v>
      </c>
      <c r="Z508" s="48">
        <f>'Adani Enterprises'!Z508</f>
        <v>0</v>
      </c>
      <c r="AA508" s="48">
        <f>'Adani Enterprises'!AA508</f>
        <v>0</v>
      </c>
      <c r="AB508" s="48">
        <f>'Adani Enterprises'!AB508</f>
        <v>0</v>
      </c>
      <c r="AC508" s="48">
        <f>'Adani Enterprises'!AC508</f>
        <v>0</v>
      </c>
      <c r="AD508" s="48">
        <f>'Adani Enterprises'!AD508</f>
        <v>0</v>
      </c>
      <c r="AE508" s="48">
        <f>'Adani Enterprises'!AE508</f>
        <v>0</v>
      </c>
      <c r="AF508" s="48">
        <f>'Adani Enterprises'!AF508</f>
        <v>0</v>
      </c>
      <c r="AG508" s="48">
        <f>'Adani Enterprises'!AG508</f>
        <v>0</v>
      </c>
      <c r="AH508" s="48">
        <f>'Adani Enterprises'!AH508</f>
        <v>0</v>
      </c>
      <c r="AI508" s="48">
        <f>'Adani Enterprises'!AI508</f>
        <v>0</v>
      </c>
      <c r="AJ508" s="48">
        <f>'Adani Enterprises'!AJ508</f>
        <v>0</v>
      </c>
      <c r="AK508" s="48">
        <f>'Adani Enterprises'!AK508</f>
        <v>0</v>
      </c>
      <c r="AL508" s="48">
        <f>'Adani Enterprises'!AL508</f>
        <v>0</v>
      </c>
    </row>
  </sheetData>
  <mergeCells count="3">
    <mergeCell ref="M1:P1"/>
    <mergeCell ref="A3:F3"/>
    <mergeCell ref="AB4:AE4"/>
  </mergeCells>
  <conditionalFormatting sqref="A1:A2 A4">
    <cfRule type="notContainsBlanks" dxfId="0" priority="1">
      <formula>LEN(TRIM(A1))&gt;0</formula>
    </cfRule>
  </conditionalFormatting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16">
      <c r="A1" s="49" t="s">
        <v>264</v>
      </c>
      <c r="B1" s="50">
        <f ca="1">TODAY()</f>
        <v>45927</v>
      </c>
      <c r="C1" s="51">
        <f ca="1">DAY(B1)</f>
        <v>27</v>
      </c>
      <c r="D1" s="51">
        <f ca="1" t="shared" ref="D1:D2" si="0">MONTH(B1)</f>
        <v>9</v>
      </c>
      <c r="E1" s="51">
        <f ca="1" t="shared" ref="E1:E2" si="1">YEAR(B1)</f>
        <v>2025</v>
      </c>
      <c r="F1" s="52"/>
      <c r="G1" s="53"/>
      <c r="H1" s="51"/>
      <c r="I1" s="51"/>
      <c r="J1" s="51"/>
      <c r="K1" s="51"/>
      <c r="L1" s="51"/>
      <c r="M1" s="62" t="s">
        <v>265</v>
      </c>
      <c r="N1" s="19"/>
      <c r="O1" s="19"/>
      <c r="P1" s="19"/>
    </row>
    <row r="2" customHeight="1" spans="1:20">
      <c r="A2" s="49" t="s">
        <v>266</v>
      </c>
      <c r="B2" s="50">
        <f ca="1">EDATE(TODAY(),-6)</f>
        <v>45743</v>
      </c>
      <c r="C2" s="51">
        <f ca="1">DAY(B2)</f>
        <v>27</v>
      </c>
      <c r="D2" s="51">
        <f ca="1" t="shared" si="0"/>
        <v>3</v>
      </c>
      <c r="E2" s="51">
        <f ca="1" t="shared" si="1"/>
        <v>2025</v>
      </c>
      <c r="F2" s="52"/>
      <c r="G2" s="53"/>
      <c r="H2" s="51"/>
      <c r="I2" s="51"/>
      <c r="J2" s="51"/>
      <c r="K2" s="51"/>
      <c r="L2" s="51"/>
      <c r="M2" s="63" t="str">
        <f>IFERROR(__xludf.DUMMYFUNCTION("GOOGLEFINANCE(L3, ""close"", WORKDAY(TODAY(), -1), WORKDAY(TODAY(), -1))"),"Date")</f>
        <v>Date</v>
      </c>
      <c r="N2" s="64" t="str">
        <f>IFERROR(__xludf.DUMMYFUNCTION("""COMPUTED_VALUE"""),"Close")</f>
        <v>Close</v>
      </c>
      <c r="O2" s="63" t="str">
        <f>IFERROR(__xludf.DUMMYFUNCTION("GOOGLEFINANCE(L3, ""open"", WORKDAY(TODAY(), -1), WORKDAY(TODAY(), -1))"),"Date")</f>
        <v>Date</v>
      </c>
      <c r="P2" s="64" t="str">
        <f>IFERROR(__xludf.DUMMYFUNCTION("""COMPUTED_VALUE"""),"Open")</f>
        <v>Open</v>
      </c>
      <c r="Q2" s="72" t="str">
        <f>IFERROR(__xludf.DUMMYFUNCTION("GOOGLEFINANCE(L3, ""hIGH"", WORKDAY(TODAY(), -1), WORKDAY(TODAY(), -1))"),"Date")</f>
        <v>Date</v>
      </c>
      <c r="R2" s="48" t="str">
        <f>IFERROR(__xludf.DUMMYFUNCTION("""COMPUTED_VALUE"""),"High")</f>
        <v>High</v>
      </c>
      <c r="S2" s="72" t="str">
        <f>IFERROR(__xludf.DUMMYFUNCTION("GOOGLEFINANCE(L3, ""LOW"", WORKDAY(TODAY(), -1), WORKDAY(TODAY(), -1))"),"Date")</f>
        <v>Date</v>
      </c>
      <c r="T2" s="48" t="str">
        <f>IFERROR(__xludf.DUMMYFUNCTION("""COMPUTED_VALUE"""),"Low")</f>
        <v>Low</v>
      </c>
    </row>
    <row r="3" customHeight="1" spans="1:20">
      <c r="A3" s="54" t="s">
        <v>293</v>
      </c>
      <c r="B3" s="7"/>
      <c r="C3" s="7"/>
      <c r="D3" s="7"/>
      <c r="E3" s="7"/>
      <c r="F3" s="8"/>
      <c r="G3" s="55" t="s">
        <v>268</v>
      </c>
      <c r="H3" s="56">
        <f>IFERROR(__xludf.DUMMYFUNCTION("GOOGLEFINANCE(L3, ""price"")"),1154)</f>
        <v>1154</v>
      </c>
      <c r="I3" s="65" t="s">
        <v>269</v>
      </c>
      <c r="J3" s="56">
        <f>IFERROR(__xludf.DUMMYFUNCTION("GOOGLEFINANCE(L3, ""volume"")"),5618932)</f>
        <v>5618932</v>
      </c>
      <c r="K3" s="66" t="s">
        <v>270</v>
      </c>
      <c r="L3" s="67" t="str">
        <f>Mastersheet!B6</f>
        <v>NSE:AXISBANK</v>
      </c>
      <c r="M3" s="68">
        <f>IFERROR(__xludf.DUMMYFUNCTION("""COMPUTED_VALUE"""),45926.6458333333)</f>
        <v>45926.6458333333</v>
      </c>
      <c r="N3" s="67">
        <f>IFERROR(__xludf.DUMMYFUNCTION("""COMPUTED_VALUE"""),1154)</f>
        <v>1154</v>
      </c>
      <c r="O3" s="68">
        <f>IFERROR(__xludf.DUMMYFUNCTION("""COMPUTED_VALUE"""),45926.6458333333)</f>
        <v>45926.6458333333</v>
      </c>
      <c r="P3" s="67">
        <f>IFERROR(__xludf.DUMMYFUNCTION("""COMPUTED_VALUE"""),1161.6)</f>
        <v>1161.6</v>
      </c>
      <c r="Q3" s="47">
        <f>IFERROR(__xludf.DUMMYFUNCTION("""COMPUTED_VALUE"""),45926.6458333333)</f>
        <v>45926.6458333333</v>
      </c>
      <c r="R3" s="48">
        <f>IFERROR(__xludf.DUMMYFUNCTION("""COMPUTED_VALUE"""),1169.7)</f>
        <v>1169.7</v>
      </c>
      <c r="S3" s="47">
        <f>IFERROR(__xludf.DUMMYFUNCTION("""COMPUTED_VALUE"""),45926.6458333333)</f>
        <v>45926.6458333333</v>
      </c>
      <c r="T3" s="48">
        <f>IFERROR(__xludf.DUMMYFUNCTION("""COMPUTED_VALUE"""),1148)</f>
        <v>1148</v>
      </c>
    </row>
    <row r="4" customHeight="1" spans="1:31">
      <c r="A4" s="57" t="str">
        <f>IFERROR(__xludf.DUMMYFUNCTION("GOOGLEFINANCE(L3, ""CLOSE"",DATE(E2,D2,C2), DATE(E1,D1,C1), ""DAILY"")"),"Date")</f>
        <v>Date</v>
      </c>
      <c r="B4" s="58" t="str">
        <f>IFERROR(__xludf.DUMMYFUNCTION("""COMPUTED_VALUE"""),"Close")</f>
        <v>Close</v>
      </c>
      <c r="C4" s="58" t="str">
        <f>IFERROR(__xludf.DUMMYFUNCTION("GOOGLEFINANCE(L3, ""open"", DATE(E2,D2,C2), DATE(E1,D1,C1), ""DAILY"")"),"Date")</f>
        <v>Date</v>
      </c>
      <c r="D4" s="58" t="str">
        <f>IFERROR(__xludf.DUMMYFUNCTION("""COMPUTED_VALUE"""),"Open")</f>
        <v>Open</v>
      </c>
      <c r="E4" s="59" t="str">
        <f>IFERROR(__xludf.DUMMYFUNCTION("GOOGLEFINANCE(L3, ""VOLUME"", DATE(E2,D2,C2), DATE(E1,D1,C1), ""DAILY"")"),"Date")</f>
        <v>Date</v>
      </c>
      <c r="F4" s="58" t="str">
        <f>IFERROR(__xludf.DUMMYFUNCTION("""COMPUTED_VALUE"""),"Volume")</f>
        <v>Volume</v>
      </c>
      <c r="G4" s="59" t="str">
        <f>IFERROR(__xludf.DUMMYFUNCTION("GOOGLEFINANCE(L3, ""HIGH"", DATE(E2,D2,C2), DATE(E1,D1,C1), ""DAILY"")"),"Date")</f>
        <v>Date</v>
      </c>
      <c r="H4" s="59" t="str">
        <f>IFERROR(__xludf.DUMMYFUNCTION("""COMPUTED_VALUE"""),"High")</f>
        <v>High</v>
      </c>
      <c r="I4" s="59" t="str">
        <f>IFERROR(__xludf.DUMMYFUNCTION("GOOGLEFINANCE(L3, ""LOW"", DATE(E2,D2,C2), DATE(E1,D1,C1), ""DAILY"")"),"Date")</f>
        <v>Date</v>
      </c>
      <c r="J4" s="69" t="str">
        <f>IFERROR(__xludf.DUMMYFUNCTION("""COMPUTED_VALUE"""),"Low")</f>
        <v>Low</v>
      </c>
      <c r="K4" s="70" t="s">
        <v>271</v>
      </c>
      <c r="L4" s="70" t="s">
        <v>272</v>
      </c>
      <c r="M4" s="70" t="s">
        <v>273</v>
      </c>
      <c r="N4" s="70" t="s">
        <v>274</v>
      </c>
      <c r="O4" s="70" t="s">
        <v>275</v>
      </c>
      <c r="P4" s="70" t="s">
        <v>276</v>
      </c>
      <c r="Q4" s="73" t="s">
        <v>277</v>
      </c>
      <c r="R4" s="73" t="s">
        <v>278</v>
      </c>
      <c r="S4" s="73" t="s">
        <v>279</v>
      </c>
      <c r="T4" s="73" t="s">
        <v>280</v>
      </c>
      <c r="U4" s="73" t="s">
        <v>281</v>
      </c>
      <c r="V4" s="73" t="s">
        <v>282</v>
      </c>
      <c r="W4" s="70" t="s">
        <v>283</v>
      </c>
      <c r="X4" s="74" t="s">
        <v>284</v>
      </c>
      <c r="Y4" s="37" t="s">
        <v>285</v>
      </c>
      <c r="Z4" s="77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60">
        <f>IFERROR(__xludf.DUMMYFUNCTION("""COMPUTED_VALUE"""),45743.6458333333)</f>
        <v>45743.6458333333</v>
      </c>
      <c r="B5" s="61">
        <f>IFERROR(__xludf.DUMMYFUNCTION("""COMPUTED_VALUE"""),1098.35)</f>
        <v>1098.35</v>
      </c>
      <c r="C5" s="60">
        <f>IFERROR(__xludf.DUMMYFUNCTION("""COMPUTED_VALUE"""),45743.6458333333)</f>
        <v>45743.6458333333</v>
      </c>
      <c r="D5" s="61">
        <f>IFERROR(__xludf.DUMMYFUNCTION("""COMPUTED_VALUE"""),1092)</f>
        <v>1092</v>
      </c>
      <c r="E5" s="60">
        <f>IFERROR(__xludf.DUMMYFUNCTION("""COMPUTED_VALUE"""),45743.6458333333)</f>
        <v>45743.6458333333</v>
      </c>
      <c r="F5" s="61">
        <f>IFERROR(__xludf.DUMMYFUNCTION("""COMPUTED_VALUE"""),8508917)</f>
        <v>8508917</v>
      </c>
      <c r="G5" s="60">
        <f>IFERROR(__xludf.DUMMYFUNCTION("""COMPUTED_VALUE"""),45743.6458333333)</f>
        <v>45743.6458333333</v>
      </c>
      <c r="H5" s="61">
        <f>IFERROR(__xludf.DUMMYFUNCTION("""COMPUTED_VALUE"""),1108)</f>
        <v>1108</v>
      </c>
      <c r="I5" s="71">
        <f>IFERROR(__xludf.DUMMYFUNCTION("""COMPUTED_VALUE"""),45743.6458333333)</f>
        <v>45743.6458333333</v>
      </c>
      <c r="J5" s="51">
        <f>IFERROR(__xludf.DUMMYFUNCTION("""COMPUTED_VALUE"""),1088.1)</f>
        <v>1088.1</v>
      </c>
      <c r="K5" s="51"/>
      <c r="L5" s="51"/>
      <c r="M5" s="51">
        <f t="array" ref="M5">INDEX(K11:K124,MATCH(SMALL(ABS(K11:K124-H3),1),ABS(K11:K124-H3),0))</f>
        <v>1215.2</v>
      </c>
      <c r="N5" s="51">
        <f t="array" ref="N5">INDEX(K11:K124,MATCH(SMALL(ABS(K11:K124-H3),2),ABS(K11:K124-H3),0))</f>
        <v>1223</v>
      </c>
      <c r="O5" s="51">
        <f t="array" ref="O5">INDEX(L11:L124,MATCH(SMALL(ABS(L11:L124-H3),1),ABS(L11:L124-H3),0))</f>
        <v>1151.1</v>
      </c>
      <c r="P5" s="51">
        <f t="array" ref="P5">INDEX(L11:L124,MATCH(SMALL(ABS(L11:L124-H3),2),ABS(L11:L124-H3),0))</f>
        <v>1159</v>
      </c>
      <c r="Q5" s="48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S5" s="75">
        <f ca="1">IF(Q5&gt;0,Q5,S5)</f>
        <v>1118.55</v>
      </c>
      <c r="T5" s="48">
        <f ca="1">IF(AND(H3&gt;=Mastersheet!I3*S5,H3&lt;=Mastersheet!J3*S5),1,0)</f>
        <v>0</v>
      </c>
      <c r="U5" s="76">
        <f>(N3+P3)/2</f>
        <v>1157.8</v>
      </c>
      <c r="V5" s="48">
        <f>(N3+P3+R3+T3)/4</f>
        <v>1158.325</v>
      </c>
      <c r="W5" s="48">
        <f>IF(V5&gt;U5,1,0)</f>
        <v>1</v>
      </c>
      <c r="X5" s="48">
        <f>IF(V5&gt;U5,0,1)</f>
        <v>0</v>
      </c>
      <c r="Y5" s="48">
        <f>IF(COUNTIF(Mastersheet!E:E,L3)&gt;0,0,1)</f>
        <v>1</v>
      </c>
      <c r="Z5" s="78">
        <f ca="1">IF(T5*W5*Y5=1,1,0)</f>
        <v>0</v>
      </c>
      <c r="AA5" s="79"/>
      <c r="AB5" s="44" t="s">
        <v>289</v>
      </c>
      <c r="AC5" s="80" t="s">
        <v>290</v>
      </c>
      <c r="AD5" s="81" t="s">
        <v>291</v>
      </c>
      <c r="AE5" s="81" t="s">
        <v>292</v>
      </c>
    </row>
    <row r="6" customHeight="1" spans="1:31">
      <c r="A6" s="47">
        <f>IFERROR(__xludf.DUMMYFUNCTION("""COMPUTED_VALUE"""),45744.6458333333)</f>
        <v>45744.6458333333</v>
      </c>
      <c r="B6" s="48">
        <f>IFERROR(__xludf.DUMMYFUNCTION("""COMPUTED_VALUE"""),1102)</f>
        <v>1102</v>
      </c>
      <c r="C6" s="47">
        <f>IFERROR(__xludf.DUMMYFUNCTION("""COMPUTED_VALUE"""),45744.6458333333)</f>
        <v>45744.6458333333</v>
      </c>
      <c r="D6" s="48">
        <f>IFERROR(__xludf.DUMMYFUNCTION("""COMPUTED_VALUE"""),1098.4)</f>
        <v>1098.4</v>
      </c>
      <c r="E6" s="47">
        <f>IFERROR(__xludf.DUMMYFUNCTION("""COMPUTED_VALUE"""),45744.6458333333)</f>
        <v>45744.6458333333</v>
      </c>
      <c r="F6" s="48">
        <f>IFERROR(__xludf.DUMMYFUNCTION("""COMPUTED_VALUE"""),4921190)</f>
        <v>4921190</v>
      </c>
      <c r="G6" s="47">
        <f>IFERROR(__xludf.DUMMYFUNCTION("""COMPUTED_VALUE"""),45744.6458333333)</f>
        <v>45744.6458333333</v>
      </c>
      <c r="H6" s="48">
        <f>IFERROR(__xludf.DUMMYFUNCTION("""COMPUTED_VALUE"""),1107)</f>
        <v>1107</v>
      </c>
      <c r="I6" s="47">
        <f>IFERROR(__xludf.DUMMYFUNCTION("""COMPUTED_VALUE"""),45744.6458333333)</f>
        <v>45744.6458333333</v>
      </c>
      <c r="J6" s="48">
        <f>IFERROR(__xludf.DUMMYFUNCTION("""COMPUTED_VALUE"""),1086.5)</f>
        <v>1086.5</v>
      </c>
      <c r="AB6" s="48">
        <f>IF(COUNTIF(Mastersheet!E:E,L3)&gt;0,1,0)</f>
        <v>0</v>
      </c>
      <c r="AC6" s="48">
        <f>IF(AND(H3&gt;Mastersheet!L3*Mastersheet!F3,X5),1,0)</f>
        <v>0</v>
      </c>
      <c r="AD6" s="76">
        <f>IF(H3&lt;Mastersheet!M3*Mastersheet!F3,1,0)</f>
        <v>0</v>
      </c>
      <c r="AE6" s="48">
        <f>IF(OR(AC6*AB6=1,AD6*AB6=1),1,0)</f>
        <v>0</v>
      </c>
    </row>
    <row r="7" customHeight="1" spans="1:10">
      <c r="A7" s="47">
        <f>IFERROR(__xludf.DUMMYFUNCTION("""COMPUTED_VALUE"""),45748.6458333333)</f>
        <v>45748.6458333333</v>
      </c>
      <c r="B7" s="48">
        <f>IFERROR(__xludf.DUMMYFUNCTION("""COMPUTED_VALUE"""),1085.6)</f>
        <v>1085.6</v>
      </c>
      <c r="C7" s="47">
        <f>IFERROR(__xludf.DUMMYFUNCTION("""COMPUTED_VALUE"""),45748.6458333333)</f>
        <v>45748.6458333333</v>
      </c>
      <c r="D7" s="48">
        <f>IFERROR(__xludf.DUMMYFUNCTION("""COMPUTED_VALUE"""),1093.2)</f>
        <v>1093.2</v>
      </c>
      <c r="E7" s="47">
        <f>IFERROR(__xludf.DUMMYFUNCTION("""COMPUTED_VALUE"""),45748.6458333333)</f>
        <v>45748.6458333333</v>
      </c>
      <c r="F7" s="48">
        <f>IFERROR(__xludf.DUMMYFUNCTION("""COMPUTED_VALUE"""),6638140)</f>
        <v>6638140</v>
      </c>
      <c r="G7" s="47">
        <f>IFERROR(__xludf.DUMMYFUNCTION("""COMPUTED_VALUE"""),45748.6458333333)</f>
        <v>45748.6458333333</v>
      </c>
      <c r="H7" s="48">
        <f>IFERROR(__xludf.DUMMYFUNCTION("""COMPUTED_VALUE"""),1101.25)</f>
        <v>1101.25</v>
      </c>
      <c r="I7" s="47">
        <f>IFERROR(__xludf.DUMMYFUNCTION("""COMPUTED_VALUE"""),45748.6458333333)</f>
        <v>45748.6458333333</v>
      </c>
      <c r="J7" s="48">
        <f>IFERROR(__xludf.DUMMYFUNCTION("""COMPUTED_VALUE"""),1070)</f>
        <v>1070</v>
      </c>
    </row>
    <row r="8" customHeight="1" spans="1:10">
      <c r="A8" s="47">
        <f>IFERROR(__xludf.DUMMYFUNCTION("""COMPUTED_VALUE"""),45749.6458333333)</f>
        <v>45749.6458333333</v>
      </c>
      <c r="B8" s="48">
        <f>IFERROR(__xludf.DUMMYFUNCTION("""COMPUTED_VALUE"""),1084.45)</f>
        <v>1084.45</v>
      </c>
      <c r="C8" s="47">
        <f>IFERROR(__xludf.DUMMYFUNCTION("""COMPUTED_VALUE"""),45749.6458333333)</f>
        <v>45749.6458333333</v>
      </c>
      <c r="D8" s="48">
        <f>IFERROR(__xludf.DUMMYFUNCTION("""COMPUTED_VALUE"""),1091.7)</f>
        <v>1091.7</v>
      </c>
      <c r="E8" s="47">
        <f>IFERROR(__xludf.DUMMYFUNCTION("""COMPUTED_VALUE"""),45749.6458333333)</f>
        <v>45749.6458333333</v>
      </c>
      <c r="F8" s="48">
        <f>IFERROR(__xludf.DUMMYFUNCTION("""COMPUTED_VALUE"""),4065344)</f>
        <v>4065344</v>
      </c>
      <c r="G8" s="47">
        <f>IFERROR(__xludf.DUMMYFUNCTION("""COMPUTED_VALUE"""),45749.6458333333)</f>
        <v>45749.6458333333</v>
      </c>
      <c r="H8" s="48">
        <f>IFERROR(__xludf.DUMMYFUNCTION("""COMPUTED_VALUE"""),1095.6)</f>
        <v>1095.6</v>
      </c>
      <c r="I8" s="47">
        <f>IFERROR(__xludf.DUMMYFUNCTION("""COMPUTED_VALUE"""),45749.6458333333)</f>
        <v>45749.6458333333</v>
      </c>
      <c r="J8" s="48">
        <f>IFERROR(__xludf.DUMMYFUNCTION("""COMPUTED_VALUE"""),1080.75)</f>
        <v>1080.75</v>
      </c>
    </row>
    <row r="9" customHeight="1" spans="1:10">
      <c r="A9" s="47">
        <f>IFERROR(__xludf.DUMMYFUNCTION("""COMPUTED_VALUE"""),45750.6458333333)</f>
        <v>45750.6458333333</v>
      </c>
      <c r="B9" s="48">
        <f>IFERROR(__xludf.DUMMYFUNCTION("""COMPUTED_VALUE"""),1089.85)</f>
        <v>1089.85</v>
      </c>
      <c r="C9" s="47">
        <f>IFERROR(__xludf.DUMMYFUNCTION("""COMPUTED_VALUE"""),45750.6458333333)</f>
        <v>45750.6458333333</v>
      </c>
      <c r="D9" s="48">
        <f>IFERROR(__xludf.DUMMYFUNCTION("""COMPUTED_VALUE"""),1078.9)</f>
        <v>1078.9</v>
      </c>
      <c r="E9" s="47">
        <f>IFERROR(__xludf.DUMMYFUNCTION("""COMPUTED_VALUE"""),45750.6458333333)</f>
        <v>45750.6458333333</v>
      </c>
      <c r="F9" s="48">
        <f>IFERROR(__xludf.DUMMYFUNCTION("""COMPUTED_VALUE"""),5345660)</f>
        <v>5345660</v>
      </c>
      <c r="G9" s="47">
        <f>IFERROR(__xludf.DUMMYFUNCTION("""COMPUTED_VALUE"""),45750.6458333333)</f>
        <v>45750.6458333333</v>
      </c>
      <c r="H9" s="48">
        <f>IFERROR(__xludf.DUMMYFUNCTION("""COMPUTED_VALUE"""),1091.95)</f>
        <v>1091.95</v>
      </c>
      <c r="I9" s="47">
        <f>IFERROR(__xludf.DUMMYFUNCTION("""COMPUTED_VALUE"""),45750.6458333333)</f>
        <v>45750.6458333333</v>
      </c>
      <c r="J9" s="48">
        <f>IFERROR(__xludf.DUMMYFUNCTION("""COMPUTED_VALUE"""),1075.3)</f>
        <v>1075.3</v>
      </c>
    </row>
    <row r="10" customHeight="1" spans="1:10">
      <c r="A10" s="47">
        <f>IFERROR(__xludf.DUMMYFUNCTION("""COMPUTED_VALUE"""),45751.6458333333)</f>
        <v>45751.6458333333</v>
      </c>
      <c r="B10" s="48">
        <f>IFERROR(__xludf.DUMMYFUNCTION("""COMPUTED_VALUE"""),1091.3)</f>
        <v>1091.3</v>
      </c>
      <c r="C10" s="47">
        <f>IFERROR(__xludf.DUMMYFUNCTION("""COMPUTED_VALUE"""),45751.6458333333)</f>
        <v>45751.6458333333</v>
      </c>
      <c r="D10" s="48">
        <f>IFERROR(__xludf.DUMMYFUNCTION("""COMPUTED_VALUE"""),1081.5)</f>
        <v>1081.5</v>
      </c>
      <c r="E10" s="47">
        <f>IFERROR(__xludf.DUMMYFUNCTION("""COMPUTED_VALUE"""),45751.6458333333)</f>
        <v>45751.6458333333</v>
      </c>
      <c r="F10" s="48">
        <f>IFERROR(__xludf.DUMMYFUNCTION("""COMPUTED_VALUE"""),6059991)</f>
        <v>6059991</v>
      </c>
      <c r="G10" s="47">
        <f>IFERROR(__xludf.DUMMYFUNCTION("""COMPUTED_VALUE"""),45751.6458333333)</f>
        <v>45751.6458333333</v>
      </c>
      <c r="H10" s="48">
        <f>IFERROR(__xludf.DUMMYFUNCTION("""COMPUTED_VALUE"""),1101.9)</f>
        <v>1101.9</v>
      </c>
      <c r="I10" s="47">
        <f>IFERROR(__xludf.DUMMYFUNCTION("""COMPUTED_VALUE"""),45751.6458333333)</f>
        <v>45751.6458333333</v>
      </c>
      <c r="J10" s="48">
        <f>IFERROR(__xludf.DUMMYFUNCTION("""COMPUTED_VALUE"""),1075.45)</f>
        <v>1075.45</v>
      </c>
    </row>
    <row r="11" customHeight="1" spans="1:12">
      <c r="A11" s="47">
        <f>IFERROR(__xludf.DUMMYFUNCTION("""COMPUTED_VALUE"""),45754.6458333333)</f>
        <v>45754.6458333333</v>
      </c>
      <c r="B11" s="48">
        <f>IFERROR(__xludf.DUMMYFUNCTION("""COMPUTED_VALUE"""),1047.95)</f>
        <v>1047.95</v>
      </c>
      <c r="C11" s="47">
        <f>IFERROR(__xludf.DUMMYFUNCTION("""COMPUTED_VALUE"""),45754.6458333333)</f>
        <v>45754.6458333333</v>
      </c>
      <c r="D11" s="48">
        <f>IFERROR(__xludf.DUMMYFUNCTION("""COMPUTED_VALUE"""),1035)</f>
        <v>1035</v>
      </c>
      <c r="E11" s="47">
        <f>IFERROR(__xludf.DUMMYFUNCTION("""COMPUTED_VALUE"""),45754.6458333333)</f>
        <v>45754.6458333333</v>
      </c>
      <c r="F11" s="48">
        <f>IFERROR(__xludf.DUMMYFUNCTION("""COMPUTED_VALUE"""),9720457)</f>
        <v>9720457</v>
      </c>
      <c r="G11" s="47">
        <f>IFERROR(__xludf.DUMMYFUNCTION("""COMPUTED_VALUE"""),45754.6458333333)</f>
        <v>45754.6458333333</v>
      </c>
      <c r="H11" s="48">
        <f>IFERROR(__xludf.DUMMYFUNCTION("""COMPUTED_VALUE"""),1069)</f>
        <v>1069</v>
      </c>
      <c r="I11" s="47">
        <f>IFERROR(__xludf.DUMMYFUNCTION("""COMPUTED_VALUE"""),45754.6458333333)</f>
        <v>45754.6458333333</v>
      </c>
      <c r="J11" s="48">
        <f>IFERROR(__xludf.DUMMYFUNCTION("""COMPUTED_VALUE"""),1032.35)</f>
        <v>1032.35</v>
      </c>
      <c r="K11" s="3">
        <f t="shared" ref="K11:K125" si="2">IF(B11=MAX(B5:B17),B11,0)</f>
        <v>0</v>
      </c>
      <c r="L11" s="3">
        <f t="shared" ref="L11:L125" si="3">IF(B11=MIN(B5:B17),B11,0)</f>
        <v>1047.95</v>
      </c>
    </row>
    <row r="12" customHeight="1" spans="1:12">
      <c r="A12" s="47">
        <f>IFERROR(__xludf.DUMMYFUNCTION("""COMPUTED_VALUE"""),45755.6458333333)</f>
        <v>45755.6458333333</v>
      </c>
      <c r="B12" s="48">
        <f>IFERROR(__xludf.DUMMYFUNCTION("""COMPUTED_VALUE"""),1077.85)</f>
        <v>1077.85</v>
      </c>
      <c r="C12" s="47">
        <f>IFERROR(__xludf.DUMMYFUNCTION("""COMPUTED_VALUE"""),45755.6458333333)</f>
        <v>45755.6458333333</v>
      </c>
      <c r="D12" s="48">
        <f>IFERROR(__xludf.DUMMYFUNCTION("""COMPUTED_VALUE"""),1061)</f>
        <v>1061</v>
      </c>
      <c r="E12" s="47">
        <f>IFERROR(__xludf.DUMMYFUNCTION("""COMPUTED_VALUE"""),45755.6458333333)</f>
        <v>45755.6458333333</v>
      </c>
      <c r="F12" s="48">
        <f>IFERROR(__xludf.DUMMYFUNCTION("""COMPUTED_VALUE"""),8723357)</f>
        <v>8723357</v>
      </c>
      <c r="G12" s="47">
        <f>IFERROR(__xludf.DUMMYFUNCTION("""COMPUTED_VALUE"""),45755.6458333333)</f>
        <v>45755.6458333333</v>
      </c>
      <c r="H12" s="48">
        <f>IFERROR(__xludf.DUMMYFUNCTION("""COMPUTED_VALUE"""),1084.95)</f>
        <v>1084.95</v>
      </c>
      <c r="I12" s="47">
        <f>IFERROR(__xludf.DUMMYFUNCTION("""COMPUTED_VALUE"""),45755.6458333333)</f>
        <v>45755.6458333333</v>
      </c>
      <c r="J12" s="48">
        <f>IFERROR(__xludf.DUMMYFUNCTION("""COMPUTED_VALUE"""),1060.3)</f>
        <v>1060.3</v>
      </c>
      <c r="K12" s="3">
        <f t="shared" si="2"/>
        <v>0</v>
      </c>
      <c r="L12" s="3">
        <f t="shared" si="3"/>
        <v>0</v>
      </c>
    </row>
    <row r="13" customHeight="1" spans="1:12">
      <c r="A13" s="47">
        <f>IFERROR(__xludf.DUMMYFUNCTION("""COMPUTED_VALUE"""),45756.6458333333)</f>
        <v>45756.6458333333</v>
      </c>
      <c r="B13" s="48">
        <f>IFERROR(__xludf.DUMMYFUNCTION("""COMPUTED_VALUE"""),1061.65)</f>
        <v>1061.65</v>
      </c>
      <c r="C13" s="47">
        <f>IFERROR(__xludf.DUMMYFUNCTION("""COMPUTED_VALUE"""),45756.6458333333)</f>
        <v>45756.6458333333</v>
      </c>
      <c r="D13" s="48">
        <f>IFERROR(__xludf.DUMMYFUNCTION("""COMPUTED_VALUE"""),1073.1)</f>
        <v>1073.1</v>
      </c>
      <c r="E13" s="47">
        <f>IFERROR(__xludf.DUMMYFUNCTION("""COMPUTED_VALUE"""),45756.6458333333)</f>
        <v>45756.6458333333</v>
      </c>
      <c r="F13" s="48">
        <f>IFERROR(__xludf.DUMMYFUNCTION("""COMPUTED_VALUE"""),6690201)</f>
        <v>6690201</v>
      </c>
      <c r="G13" s="47">
        <f>IFERROR(__xludf.DUMMYFUNCTION("""COMPUTED_VALUE"""),45756.6458333333)</f>
        <v>45756.6458333333</v>
      </c>
      <c r="H13" s="48">
        <f>IFERROR(__xludf.DUMMYFUNCTION("""COMPUTED_VALUE"""),1081.85)</f>
        <v>1081.85</v>
      </c>
      <c r="I13" s="47">
        <f>IFERROR(__xludf.DUMMYFUNCTION("""COMPUTED_VALUE"""),45756.6458333333)</f>
        <v>45756.6458333333</v>
      </c>
      <c r="J13" s="48">
        <f>IFERROR(__xludf.DUMMYFUNCTION("""COMPUTED_VALUE"""),1058)</f>
        <v>1058</v>
      </c>
      <c r="K13" s="3">
        <f t="shared" si="2"/>
        <v>0</v>
      </c>
      <c r="L13" s="3">
        <f t="shared" si="3"/>
        <v>0</v>
      </c>
    </row>
    <row r="14" customHeight="1" spans="1:12">
      <c r="A14" s="47">
        <f>IFERROR(__xludf.DUMMYFUNCTION("""COMPUTED_VALUE"""),45758.6458333333)</f>
        <v>45758.6458333333</v>
      </c>
      <c r="B14" s="48">
        <f>IFERROR(__xludf.DUMMYFUNCTION("""COMPUTED_VALUE"""),1068.95)</f>
        <v>1068.95</v>
      </c>
      <c r="C14" s="47">
        <f>IFERROR(__xludf.DUMMYFUNCTION("""COMPUTED_VALUE"""),45758.6458333333)</f>
        <v>45758.6458333333</v>
      </c>
      <c r="D14" s="48">
        <f>IFERROR(__xludf.DUMMYFUNCTION("""COMPUTED_VALUE"""),1063.3)</f>
        <v>1063.3</v>
      </c>
      <c r="E14" s="47">
        <f>IFERROR(__xludf.DUMMYFUNCTION("""COMPUTED_VALUE"""),45758.6458333333)</f>
        <v>45758.6458333333</v>
      </c>
      <c r="F14" s="48">
        <f>IFERROR(__xludf.DUMMYFUNCTION("""COMPUTED_VALUE"""),8144072)</f>
        <v>8144072</v>
      </c>
      <c r="G14" s="47">
        <f>IFERROR(__xludf.DUMMYFUNCTION("""COMPUTED_VALUE"""),45758.6458333333)</f>
        <v>45758.6458333333</v>
      </c>
      <c r="H14" s="48">
        <f>IFERROR(__xludf.DUMMYFUNCTION("""COMPUTED_VALUE"""),1072.7)</f>
        <v>1072.7</v>
      </c>
      <c r="I14" s="47">
        <f>IFERROR(__xludf.DUMMYFUNCTION("""COMPUTED_VALUE"""),45758.6458333333)</f>
        <v>45758.6458333333</v>
      </c>
      <c r="J14" s="48">
        <f>IFERROR(__xludf.DUMMYFUNCTION("""COMPUTED_VALUE"""),1057.55)</f>
        <v>1057.55</v>
      </c>
      <c r="K14" s="3">
        <f t="shared" si="2"/>
        <v>0</v>
      </c>
      <c r="L14" s="3">
        <f t="shared" si="3"/>
        <v>0</v>
      </c>
    </row>
    <row r="15" customHeight="1" spans="1:12">
      <c r="A15" s="47">
        <f>IFERROR(__xludf.DUMMYFUNCTION("""COMPUTED_VALUE"""),45762.6458333333)</f>
        <v>45762.6458333333</v>
      </c>
      <c r="B15" s="48">
        <f>IFERROR(__xludf.DUMMYFUNCTION("""COMPUTED_VALUE"""),1112.8)</f>
        <v>1112.8</v>
      </c>
      <c r="C15" s="47">
        <f>IFERROR(__xludf.DUMMYFUNCTION("""COMPUTED_VALUE"""),45762.6458333333)</f>
        <v>45762.6458333333</v>
      </c>
      <c r="D15" s="48">
        <f>IFERROR(__xludf.DUMMYFUNCTION("""COMPUTED_VALUE"""),1090)</f>
        <v>1090</v>
      </c>
      <c r="E15" s="47">
        <f>IFERROR(__xludf.DUMMYFUNCTION("""COMPUTED_VALUE"""),45762.6458333333)</f>
        <v>45762.6458333333</v>
      </c>
      <c r="F15" s="48">
        <f>IFERROR(__xludf.DUMMYFUNCTION("""COMPUTED_VALUE"""),9320299)</f>
        <v>9320299</v>
      </c>
      <c r="G15" s="47">
        <f>IFERROR(__xludf.DUMMYFUNCTION("""COMPUTED_VALUE"""),45762.6458333333)</f>
        <v>45762.6458333333</v>
      </c>
      <c r="H15" s="48">
        <f>IFERROR(__xludf.DUMMYFUNCTION("""COMPUTED_VALUE"""),1117)</f>
        <v>1117</v>
      </c>
      <c r="I15" s="47">
        <f>IFERROR(__xludf.DUMMYFUNCTION("""COMPUTED_VALUE"""),45762.6458333333)</f>
        <v>45762.6458333333</v>
      </c>
      <c r="J15" s="48">
        <f>IFERROR(__xludf.DUMMYFUNCTION("""COMPUTED_VALUE"""),1083)</f>
        <v>1083</v>
      </c>
      <c r="K15" s="3">
        <f t="shared" si="2"/>
        <v>0</v>
      </c>
      <c r="L15" s="3">
        <f t="shared" si="3"/>
        <v>0</v>
      </c>
    </row>
    <row r="16" customHeight="1" spans="1:12">
      <c r="A16" s="47">
        <f>IFERROR(__xludf.DUMMYFUNCTION("""COMPUTED_VALUE"""),45763.6458333333)</f>
        <v>45763.6458333333</v>
      </c>
      <c r="B16" s="48">
        <f>IFERROR(__xludf.DUMMYFUNCTION("""COMPUTED_VALUE"""),1161.3)</f>
        <v>1161.3</v>
      </c>
      <c r="C16" s="47">
        <f>IFERROR(__xludf.DUMMYFUNCTION("""COMPUTED_VALUE"""),45763.6458333333)</f>
        <v>45763.6458333333</v>
      </c>
      <c r="D16" s="48">
        <f>IFERROR(__xludf.DUMMYFUNCTION("""COMPUTED_VALUE"""),1122.7)</f>
        <v>1122.7</v>
      </c>
      <c r="E16" s="47">
        <f>IFERROR(__xludf.DUMMYFUNCTION("""COMPUTED_VALUE"""),45763.6458333333)</f>
        <v>45763.6458333333</v>
      </c>
      <c r="F16" s="48">
        <f>IFERROR(__xludf.DUMMYFUNCTION("""COMPUTED_VALUE"""),12836428)</f>
        <v>12836428</v>
      </c>
      <c r="G16" s="47">
        <f>IFERROR(__xludf.DUMMYFUNCTION("""COMPUTED_VALUE"""),45763.6458333333)</f>
        <v>45763.6458333333</v>
      </c>
      <c r="H16" s="48">
        <f>IFERROR(__xludf.DUMMYFUNCTION("""COMPUTED_VALUE"""),1163.5)</f>
        <v>1163.5</v>
      </c>
      <c r="I16" s="47">
        <f>IFERROR(__xludf.DUMMYFUNCTION("""COMPUTED_VALUE"""),45763.6458333333)</f>
        <v>45763.6458333333</v>
      </c>
      <c r="J16" s="48">
        <f>IFERROR(__xludf.DUMMYFUNCTION("""COMPUTED_VALUE"""),1112.6)</f>
        <v>1112.6</v>
      </c>
      <c r="K16" s="3">
        <f t="shared" si="2"/>
        <v>0</v>
      </c>
      <c r="L16" s="3">
        <f t="shared" si="3"/>
        <v>0</v>
      </c>
    </row>
    <row r="17" customHeight="1" spans="1:12">
      <c r="A17" s="47">
        <f>IFERROR(__xludf.DUMMYFUNCTION("""COMPUTED_VALUE"""),45764.6458333333)</f>
        <v>45764.6458333333</v>
      </c>
      <c r="B17" s="48">
        <f>IFERROR(__xludf.DUMMYFUNCTION("""COMPUTED_VALUE"""),1190.8)</f>
        <v>1190.8</v>
      </c>
      <c r="C17" s="47">
        <f>IFERROR(__xludf.DUMMYFUNCTION("""COMPUTED_VALUE"""),45764.6458333333)</f>
        <v>45764.6458333333</v>
      </c>
      <c r="D17" s="48">
        <f>IFERROR(__xludf.DUMMYFUNCTION("""COMPUTED_VALUE"""),1155.6)</f>
        <v>1155.6</v>
      </c>
      <c r="E17" s="47">
        <f>IFERROR(__xludf.DUMMYFUNCTION("""COMPUTED_VALUE"""),45764.6458333333)</f>
        <v>45764.6458333333</v>
      </c>
      <c r="F17" s="48">
        <f>IFERROR(__xludf.DUMMYFUNCTION("""COMPUTED_VALUE"""),13446336)</f>
        <v>13446336</v>
      </c>
      <c r="G17" s="47">
        <f>IFERROR(__xludf.DUMMYFUNCTION("""COMPUTED_VALUE"""),45764.6458333333)</f>
        <v>45764.6458333333</v>
      </c>
      <c r="H17" s="48">
        <f>IFERROR(__xludf.DUMMYFUNCTION("""COMPUTED_VALUE"""),1199.2)</f>
        <v>1199.2</v>
      </c>
      <c r="I17" s="47">
        <f>IFERROR(__xludf.DUMMYFUNCTION("""COMPUTED_VALUE"""),45764.6458333333)</f>
        <v>45764.6458333333</v>
      </c>
      <c r="J17" s="48">
        <f>IFERROR(__xludf.DUMMYFUNCTION("""COMPUTED_VALUE"""),1153.6)</f>
        <v>1153.6</v>
      </c>
      <c r="K17" s="3">
        <f t="shared" si="2"/>
        <v>0</v>
      </c>
      <c r="L17" s="3">
        <f t="shared" si="3"/>
        <v>0</v>
      </c>
    </row>
    <row r="18" customHeight="1" spans="1:12">
      <c r="A18" s="47">
        <f>IFERROR(__xludf.DUMMYFUNCTION("""COMPUTED_VALUE"""),45768.6458333333)</f>
        <v>45768.6458333333</v>
      </c>
      <c r="B18" s="48">
        <f>IFERROR(__xludf.DUMMYFUNCTION("""COMPUTED_VALUE"""),1223)</f>
        <v>1223</v>
      </c>
      <c r="C18" s="47">
        <f>IFERROR(__xludf.DUMMYFUNCTION("""COMPUTED_VALUE"""),45768.6458333333)</f>
        <v>45768.6458333333</v>
      </c>
      <c r="D18" s="48">
        <f>IFERROR(__xludf.DUMMYFUNCTION("""COMPUTED_VALUE"""),1202)</f>
        <v>1202</v>
      </c>
      <c r="E18" s="47">
        <f>IFERROR(__xludf.DUMMYFUNCTION("""COMPUTED_VALUE"""),45768.6458333333)</f>
        <v>45768.6458333333</v>
      </c>
      <c r="F18" s="48">
        <f>IFERROR(__xludf.DUMMYFUNCTION("""COMPUTED_VALUE"""),15166580)</f>
        <v>15166580</v>
      </c>
      <c r="G18" s="47">
        <f>IFERROR(__xludf.DUMMYFUNCTION("""COMPUTED_VALUE"""),45768.6458333333)</f>
        <v>45768.6458333333</v>
      </c>
      <c r="H18" s="48">
        <f>IFERROR(__xludf.DUMMYFUNCTION("""COMPUTED_VALUE"""),1238.7)</f>
        <v>1238.7</v>
      </c>
      <c r="I18" s="47">
        <f>IFERROR(__xludf.DUMMYFUNCTION("""COMPUTED_VALUE"""),45768.6458333333)</f>
        <v>45768.6458333333</v>
      </c>
      <c r="J18" s="48">
        <f>IFERROR(__xludf.DUMMYFUNCTION("""COMPUTED_VALUE"""),1198.1)</f>
        <v>1198.1</v>
      </c>
      <c r="K18" s="3">
        <f t="shared" si="2"/>
        <v>1223</v>
      </c>
      <c r="L18" s="3">
        <f t="shared" si="3"/>
        <v>0</v>
      </c>
    </row>
    <row r="19" customHeight="1" spans="1:12">
      <c r="A19" s="47">
        <f>IFERROR(__xludf.DUMMYFUNCTION("""COMPUTED_VALUE"""),45769.6458333333)</f>
        <v>45769.6458333333</v>
      </c>
      <c r="B19" s="48">
        <f>IFERROR(__xludf.DUMMYFUNCTION("""COMPUTED_VALUE"""),1216.8)</f>
        <v>1216.8</v>
      </c>
      <c r="C19" s="47">
        <f>IFERROR(__xludf.DUMMYFUNCTION("""COMPUTED_VALUE"""),45769.6458333333)</f>
        <v>45769.6458333333</v>
      </c>
      <c r="D19" s="48">
        <f>IFERROR(__xludf.DUMMYFUNCTION("""COMPUTED_VALUE"""),1230.4)</f>
        <v>1230.4</v>
      </c>
      <c r="E19" s="47">
        <f>IFERROR(__xludf.DUMMYFUNCTION("""COMPUTED_VALUE"""),45769.6458333333)</f>
        <v>45769.6458333333</v>
      </c>
      <c r="F19" s="48">
        <f>IFERROR(__xludf.DUMMYFUNCTION("""COMPUTED_VALUE"""),8461710)</f>
        <v>8461710</v>
      </c>
      <c r="G19" s="47">
        <f>IFERROR(__xludf.DUMMYFUNCTION("""COMPUTED_VALUE"""),45769.6458333333)</f>
        <v>45769.6458333333</v>
      </c>
      <c r="H19" s="48">
        <f>IFERROR(__xludf.DUMMYFUNCTION("""COMPUTED_VALUE"""),1235)</f>
        <v>1235</v>
      </c>
      <c r="I19" s="47">
        <f>IFERROR(__xludf.DUMMYFUNCTION("""COMPUTED_VALUE"""),45769.6458333333)</f>
        <v>45769.6458333333</v>
      </c>
      <c r="J19" s="48">
        <f>IFERROR(__xludf.DUMMYFUNCTION("""COMPUTED_VALUE"""),1212.1)</f>
        <v>1212.1</v>
      </c>
      <c r="K19" s="3">
        <f t="shared" si="2"/>
        <v>0</v>
      </c>
      <c r="L19" s="3">
        <f t="shared" si="3"/>
        <v>0</v>
      </c>
    </row>
    <row r="20" customHeight="1" spans="1:12">
      <c r="A20" s="47">
        <f>IFERROR(__xludf.DUMMYFUNCTION("""COMPUTED_VALUE"""),45770.6458333333)</f>
        <v>45770.6458333333</v>
      </c>
      <c r="B20" s="48">
        <f>IFERROR(__xludf.DUMMYFUNCTION("""COMPUTED_VALUE"""),1206.9)</f>
        <v>1206.9</v>
      </c>
      <c r="C20" s="47">
        <f>IFERROR(__xludf.DUMMYFUNCTION("""COMPUTED_VALUE"""),45770.6458333333)</f>
        <v>45770.6458333333</v>
      </c>
      <c r="D20" s="48">
        <f>IFERROR(__xludf.DUMMYFUNCTION("""COMPUTED_VALUE"""),1225.3)</f>
        <v>1225.3</v>
      </c>
      <c r="E20" s="47">
        <f>IFERROR(__xludf.DUMMYFUNCTION("""COMPUTED_VALUE"""),45770.6458333333)</f>
        <v>45770.6458333333</v>
      </c>
      <c r="F20" s="48">
        <f>IFERROR(__xludf.DUMMYFUNCTION("""COMPUTED_VALUE"""),9433911)</f>
        <v>9433911</v>
      </c>
      <c r="G20" s="47">
        <f>IFERROR(__xludf.DUMMYFUNCTION("""COMPUTED_VALUE"""),45770.6458333333)</f>
        <v>45770.6458333333</v>
      </c>
      <c r="H20" s="48">
        <f>IFERROR(__xludf.DUMMYFUNCTION("""COMPUTED_VALUE"""),1230)</f>
        <v>1230</v>
      </c>
      <c r="I20" s="47">
        <f>IFERROR(__xludf.DUMMYFUNCTION("""COMPUTED_VALUE"""),45770.6458333333)</f>
        <v>45770.6458333333</v>
      </c>
      <c r="J20" s="48">
        <f>IFERROR(__xludf.DUMMYFUNCTION("""COMPUTED_VALUE"""),1194.9)</f>
        <v>1194.9</v>
      </c>
      <c r="K20" s="3">
        <f t="shared" si="2"/>
        <v>0</v>
      </c>
      <c r="L20" s="3">
        <f t="shared" si="3"/>
        <v>0</v>
      </c>
    </row>
    <row r="21" customHeight="1" spans="1:12">
      <c r="A21" s="47">
        <f>IFERROR(__xludf.DUMMYFUNCTION("""COMPUTED_VALUE"""),45771.6458333333)</f>
        <v>45771.6458333333</v>
      </c>
      <c r="B21" s="48">
        <f>IFERROR(__xludf.DUMMYFUNCTION("""COMPUTED_VALUE"""),1207.1)</f>
        <v>1207.1</v>
      </c>
      <c r="C21" s="47">
        <f>IFERROR(__xludf.DUMMYFUNCTION("""COMPUTED_VALUE"""),45771.6458333333)</f>
        <v>45771.6458333333</v>
      </c>
      <c r="D21" s="48">
        <f>IFERROR(__xludf.DUMMYFUNCTION("""COMPUTED_VALUE"""),1199.1)</f>
        <v>1199.1</v>
      </c>
      <c r="E21" s="47">
        <f>IFERROR(__xludf.DUMMYFUNCTION("""COMPUTED_VALUE"""),45771.6458333333)</f>
        <v>45771.6458333333</v>
      </c>
      <c r="F21" s="48">
        <f>IFERROR(__xludf.DUMMYFUNCTION("""COMPUTED_VALUE"""),9078137)</f>
        <v>9078137</v>
      </c>
      <c r="G21" s="47">
        <f>IFERROR(__xludf.DUMMYFUNCTION("""COMPUTED_VALUE"""),45771.6458333333)</f>
        <v>45771.6458333333</v>
      </c>
      <c r="H21" s="48">
        <f>IFERROR(__xludf.DUMMYFUNCTION("""COMPUTED_VALUE"""),1220)</f>
        <v>1220</v>
      </c>
      <c r="I21" s="47">
        <f>IFERROR(__xludf.DUMMYFUNCTION("""COMPUTED_VALUE"""),45771.6458333333)</f>
        <v>45771.6458333333</v>
      </c>
      <c r="J21" s="48">
        <f>IFERROR(__xludf.DUMMYFUNCTION("""COMPUTED_VALUE"""),1199.1)</f>
        <v>1199.1</v>
      </c>
      <c r="K21" s="3">
        <f t="shared" si="2"/>
        <v>0</v>
      </c>
      <c r="L21" s="3">
        <f t="shared" si="3"/>
        <v>0</v>
      </c>
    </row>
    <row r="22" customHeight="1" spans="1:12">
      <c r="A22" s="47">
        <f>IFERROR(__xludf.DUMMYFUNCTION("""COMPUTED_VALUE"""),45772.6458333333)</f>
        <v>45772.6458333333</v>
      </c>
      <c r="B22" s="48">
        <f>IFERROR(__xludf.DUMMYFUNCTION("""COMPUTED_VALUE"""),1166.3)</f>
        <v>1166.3</v>
      </c>
      <c r="C22" s="47">
        <f>IFERROR(__xludf.DUMMYFUNCTION("""COMPUTED_VALUE"""),45772.6458333333)</f>
        <v>45772.6458333333</v>
      </c>
      <c r="D22" s="48">
        <f>IFERROR(__xludf.DUMMYFUNCTION("""COMPUTED_VALUE"""),1177)</f>
        <v>1177</v>
      </c>
      <c r="E22" s="47">
        <f>IFERROR(__xludf.DUMMYFUNCTION("""COMPUTED_VALUE"""),45772.6458333333)</f>
        <v>45772.6458333333</v>
      </c>
      <c r="F22" s="48">
        <f>IFERROR(__xludf.DUMMYFUNCTION("""COMPUTED_VALUE"""),17243807)</f>
        <v>17243807</v>
      </c>
      <c r="G22" s="47">
        <f>IFERROR(__xludf.DUMMYFUNCTION("""COMPUTED_VALUE"""),45772.6458333333)</f>
        <v>45772.6458333333</v>
      </c>
      <c r="H22" s="48">
        <f>IFERROR(__xludf.DUMMYFUNCTION("""COMPUTED_VALUE"""),1179.9)</f>
        <v>1179.9</v>
      </c>
      <c r="I22" s="47">
        <f>IFERROR(__xludf.DUMMYFUNCTION("""COMPUTED_VALUE"""),45772.6458333333)</f>
        <v>45772.6458333333</v>
      </c>
      <c r="J22" s="48">
        <f>IFERROR(__xludf.DUMMYFUNCTION("""COMPUTED_VALUE"""),1146)</f>
        <v>1146</v>
      </c>
      <c r="K22" s="3">
        <f t="shared" si="2"/>
        <v>0</v>
      </c>
      <c r="L22" s="3">
        <f t="shared" si="3"/>
        <v>0</v>
      </c>
    </row>
    <row r="23" customHeight="1" spans="1:12">
      <c r="A23" s="47">
        <f>IFERROR(__xludf.DUMMYFUNCTION("""COMPUTED_VALUE"""),45775.6458333333)</f>
        <v>45775.6458333333</v>
      </c>
      <c r="B23" s="48">
        <f>IFERROR(__xludf.DUMMYFUNCTION("""COMPUTED_VALUE"""),1192.8)</f>
        <v>1192.8</v>
      </c>
      <c r="C23" s="47">
        <f>IFERROR(__xludf.DUMMYFUNCTION("""COMPUTED_VALUE"""),45775.6458333333)</f>
        <v>45775.6458333333</v>
      </c>
      <c r="D23" s="48">
        <f>IFERROR(__xludf.DUMMYFUNCTION("""COMPUTED_VALUE"""),1166.3)</f>
        <v>1166.3</v>
      </c>
      <c r="E23" s="47">
        <f>IFERROR(__xludf.DUMMYFUNCTION("""COMPUTED_VALUE"""),45775.6458333333)</f>
        <v>45775.6458333333</v>
      </c>
      <c r="F23" s="48">
        <f>IFERROR(__xludf.DUMMYFUNCTION("""COMPUTED_VALUE"""),5523502)</f>
        <v>5523502</v>
      </c>
      <c r="G23" s="47">
        <f>IFERROR(__xludf.DUMMYFUNCTION("""COMPUTED_VALUE"""),45775.6458333333)</f>
        <v>45775.6458333333</v>
      </c>
      <c r="H23" s="48">
        <f>IFERROR(__xludf.DUMMYFUNCTION("""COMPUTED_VALUE"""),1196)</f>
        <v>1196</v>
      </c>
      <c r="I23" s="47">
        <f>IFERROR(__xludf.DUMMYFUNCTION("""COMPUTED_VALUE"""),45775.6458333333)</f>
        <v>45775.6458333333</v>
      </c>
      <c r="J23" s="48">
        <f>IFERROR(__xludf.DUMMYFUNCTION("""COMPUTED_VALUE"""),1164.3)</f>
        <v>1164.3</v>
      </c>
      <c r="K23" s="3">
        <f t="shared" si="2"/>
        <v>0</v>
      </c>
      <c r="L23" s="3">
        <f t="shared" si="3"/>
        <v>0</v>
      </c>
    </row>
    <row r="24" customHeight="1" spans="1:12">
      <c r="A24" s="47">
        <f>IFERROR(__xludf.DUMMYFUNCTION("""COMPUTED_VALUE"""),45776.6458333333)</f>
        <v>45776.6458333333</v>
      </c>
      <c r="B24" s="48">
        <f>IFERROR(__xludf.DUMMYFUNCTION("""COMPUTED_VALUE"""),1187.3)</f>
        <v>1187.3</v>
      </c>
      <c r="C24" s="47">
        <f>IFERROR(__xludf.DUMMYFUNCTION("""COMPUTED_VALUE"""),45776.6458333333)</f>
        <v>45776.6458333333</v>
      </c>
      <c r="D24" s="48">
        <f>IFERROR(__xludf.DUMMYFUNCTION("""COMPUTED_VALUE"""),1194)</f>
        <v>1194</v>
      </c>
      <c r="E24" s="47">
        <f>IFERROR(__xludf.DUMMYFUNCTION("""COMPUTED_VALUE"""),45776.6458333333)</f>
        <v>45776.6458333333</v>
      </c>
      <c r="F24" s="48">
        <f>IFERROR(__xludf.DUMMYFUNCTION("""COMPUTED_VALUE"""),6074520)</f>
        <v>6074520</v>
      </c>
      <c r="G24" s="47">
        <f>IFERROR(__xludf.DUMMYFUNCTION("""COMPUTED_VALUE"""),45776.6458333333)</f>
        <v>45776.6458333333</v>
      </c>
      <c r="H24" s="48">
        <f>IFERROR(__xludf.DUMMYFUNCTION("""COMPUTED_VALUE"""),1210)</f>
        <v>1210</v>
      </c>
      <c r="I24" s="47">
        <f>IFERROR(__xludf.DUMMYFUNCTION("""COMPUTED_VALUE"""),45776.6458333333)</f>
        <v>45776.6458333333</v>
      </c>
      <c r="J24" s="48">
        <f>IFERROR(__xludf.DUMMYFUNCTION("""COMPUTED_VALUE"""),1184.4)</f>
        <v>1184.4</v>
      </c>
      <c r="K24" s="3">
        <f t="shared" si="2"/>
        <v>0</v>
      </c>
      <c r="L24" s="3">
        <f t="shared" si="3"/>
        <v>0</v>
      </c>
    </row>
    <row r="25" customHeight="1" spans="1:12">
      <c r="A25" s="47">
        <f>IFERROR(__xludf.DUMMYFUNCTION("""COMPUTED_VALUE"""),45777.6458333333)</f>
        <v>45777.6458333333</v>
      </c>
      <c r="B25" s="48">
        <f>IFERROR(__xludf.DUMMYFUNCTION("""COMPUTED_VALUE"""),1185)</f>
        <v>1185</v>
      </c>
      <c r="C25" s="47">
        <f>IFERROR(__xludf.DUMMYFUNCTION("""COMPUTED_VALUE"""),45777.6458333333)</f>
        <v>45777.6458333333</v>
      </c>
      <c r="D25" s="48">
        <f>IFERROR(__xludf.DUMMYFUNCTION("""COMPUTED_VALUE"""),1185.1)</f>
        <v>1185.1</v>
      </c>
      <c r="E25" s="47">
        <f>IFERROR(__xludf.DUMMYFUNCTION("""COMPUTED_VALUE"""),45777.6458333333)</f>
        <v>45777.6458333333</v>
      </c>
      <c r="F25" s="48">
        <f>IFERROR(__xludf.DUMMYFUNCTION("""COMPUTED_VALUE"""),6288257)</f>
        <v>6288257</v>
      </c>
      <c r="G25" s="47">
        <f>IFERROR(__xludf.DUMMYFUNCTION("""COMPUTED_VALUE"""),45777.6458333333)</f>
        <v>45777.6458333333</v>
      </c>
      <c r="H25" s="48">
        <f>IFERROR(__xludf.DUMMYFUNCTION("""COMPUTED_VALUE"""),1193.9)</f>
        <v>1193.9</v>
      </c>
      <c r="I25" s="47">
        <f>IFERROR(__xludf.DUMMYFUNCTION("""COMPUTED_VALUE"""),45777.6458333333)</f>
        <v>45777.6458333333</v>
      </c>
      <c r="J25" s="48">
        <f>IFERROR(__xludf.DUMMYFUNCTION("""COMPUTED_VALUE"""),1175)</f>
        <v>1175</v>
      </c>
      <c r="K25" s="3">
        <f t="shared" si="2"/>
        <v>0</v>
      </c>
      <c r="L25" s="3">
        <f t="shared" si="3"/>
        <v>0</v>
      </c>
    </row>
    <row r="26" customHeight="1" spans="1:12">
      <c r="A26" s="47">
        <f>IFERROR(__xludf.DUMMYFUNCTION("""COMPUTED_VALUE"""),45779.6458333333)</f>
        <v>45779.6458333333</v>
      </c>
      <c r="B26" s="48">
        <f>IFERROR(__xludf.DUMMYFUNCTION("""COMPUTED_VALUE"""),1182.2)</f>
        <v>1182.2</v>
      </c>
      <c r="C26" s="47">
        <f>IFERROR(__xludf.DUMMYFUNCTION("""COMPUTED_VALUE"""),45779.6458333333)</f>
        <v>45779.6458333333</v>
      </c>
      <c r="D26" s="48">
        <f>IFERROR(__xludf.DUMMYFUNCTION("""COMPUTED_VALUE"""),1182.1)</f>
        <v>1182.1</v>
      </c>
      <c r="E26" s="47">
        <f>IFERROR(__xludf.DUMMYFUNCTION("""COMPUTED_VALUE"""),45779.6458333333)</f>
        <v>45779.6458333333</v>
      </c>
      <c r="F26" s="48">
        <f>IFERROR(__xludf.DUMMYFUNCTION("""COMPUTED_VALUE"""),5249372)</f>
        <v>5249372</v>
      </c>
      <c r="G26" s="47">
        <f>IFERROR(__xludf.DUMMYFUNCTION("""COMPUTED_VALUE"""),45779.6458333333)</f>
        <v>45779.6458333333</v>
      </c>
      <c r="H26" s="48">
        <f>IFERROR(__xludf.DUMMYFUNCTION("""COMPUTED_VALUE"""),1210.5)</f>
        <v>1210.5</v>
      </c>
      <c r="I26" s="47">
        <f>IFERROR(__xludf.DUMMYFUNCTION("""COMPUTED_VALUE"""),45779.6458333333)</f>
        <v>45779.6458333333</v>
      </c>
      <c r="J26" s="48">
        <f>IFERROR(__xludf.DUMMYFUNCTION("""COMPUTED_VALUE"""),1180.1)</f>
        <v>1180.1</v>
      </c>
      <c r="K26" s="3">
        <f t="shared" si="2"/>
        <v>0</v>
      </c>
      <c r="L26" s="3">
        <f t="shared" si="3"/>
        <v>0</v>
      </c>
    </row>
    <row r="27" customHeight="1" spans="1:12">
      <c r="A27" s="47">
        <f>IFERROR(__xludf.DUMMYFUNCTION("""COMPUTED_VALUE"""),45782.6458333333)</f>
        <v>45782.6458333333</v>
      </c>
      <c r="B27" s="48">
        <f>IFERROR(__xludf.DUMMYFUNCTION("""COMPUTED_VALUE"""),1173.2)</f>
        <v>1173.2</v>
      </c>
      <c r="C27" s="47">
        <f>IFERROR(__xludf.DUMMYFUNCTION("""COMPUTED_VALUE"""),45782.6458333333)</f>
        <v>45782.6458333333</v>
      </c>
      <c r="D27" s="48">
        <f>IFERROR(__xludf.DUMMYFUNCTION("""COMPUTED_VALUE"""),1190)</f>
        <v>1190</v>
      </c>
      <c r="E27" s="47">
        <f>IFERROR(__xludf.DUMMYFUNCTION("""COMPUTED_VALUE"""),45782.6458333333)</f>
        <v>45782.6458333333</v>
      </c>
      <c r="F27" s="48">
        <f>IFERROR(__xludf.DUMMYFUNCTION("""COMPUTED_VALUE"""),7236056)</f>
        <v>7236056</v>
      </c>
      <c r="G27" s="47">
        <f>IFERROR(__xludf.DUMMYFUNCTION("""COMPUTED_VALUE"""),45782.6458333333)</f>
        <v>45782.6458333333</v>
      </c>
      <c r="H27" s="48">
        <f>IFERROR(__xludf.DUMMYFUNCTION("""COMPUTED_VALUE"""),1190)</f>
        <v>1190</v>
      </c>
      <c r="I27" s="47">
        <f>IFERROR(__xludf.DUMMYFUNCTION("""COMPUTED_VALUE"""),45782.6458333333)</f>
        <v>45782.6458333333</v>
      </c>
      <c r="J27" s="48">
        <f>IFERROR(__xludf.DUMMYFUNCTION("""COMPUTED_VALUE"""),1164.3)</f>
        <v>1164.3</v>
      </c>
      <c r="K27" s="3">
        <f t="shared" si="2"/>
        <v>0</v>
      </c>
      <c r="L27" s="3">
        <f t="shared" si="3"/>
        <v>0</v>
      </c>
    </row>
    <row r="28" customHeight="1" spans="1:12">
      <c r="A28" s="47">
        <f>IFERROR(__xludf.DUMMYFUNCTION("""COMPUTED_VALUE"""),45783.6458333333)</f>
        <v>45783.6458333333</v>
      </c>
      <c r="B28" s="48">
        <f>IFERROR(__xludf.DUMMYFUNCTION("""COMPUTED_VALUE"""),1161.4)</f>
        <v>1161.4</v>
      </c>
      <c r="C28" s="47">
        <f>IFERROR(__xludf.DUMMYFUNCTION("""COMPUTED_VALUE"""),45783.6458333333)</f>
        <v>45783.6458333333</v>
      </c>
      <c r="D28" s="48">
        <f>IFERROR(__xludf.DUMMYFUNCTION("""COMPUTED_VALUE"""),1178)</f>
        <v>1178</v>
      </c>
      <c r="E28" s="47">
        <f>IFERROR(__xludf.DUMMYFUNCTION("""COMPUTED_VALUE"""),45783.6458333333)</f>
        <v>45783.6458333333</v>
      </c>
      <c r="F28" s="48">
        <f>IFERROR(__xludf.DUMMYFUNCTION("""COMPUTED_VALUE"""),5348267)</f>
        <v>5348267</v>
      </c>
      <c r="G28" s="47">
        <f>IFERROR(__xludf.DUMMYFUNCTION("""COMPUTED_VALUE"""),45783.6458333333)</f>
        <v>45783.6458333333</v>
      </c>
      <c r="H28" s="48">
        <f>IFERROR(__xludf.DUMMYFUNCTION("""COMPUTED_VALUE"""),1178.8)</f>
        <v>1178.8</v>
      </c>
      <c r="I28" s="47">
        <f>IFERROR(__xludf.DUMMYFUNCTION("""COMPUTED_VALUE"""),45783.6458333333)</f>
        <v>45783.6458333333</v>
      </c>
      <c r="J28" s="48">
        <f>IFERROR(__xludf.DUMMYFUNCTION("""COMPUTED_VALUE"""),1157.7)</f>
        <v>1157.7</v>
      </c>
      <c r="K28" s="3">
        <f t="shared" si="2"/>
        <v>0</v>
      </c>
      <c r="L28" s="3">
        <f t="shared" si="3"/>
        <v>0</v>
      </c>
    </row>
    <row r="29" customHeight="1" spans="1:12">
      <c r="A29" s="47">
        <f>IFERROR(__xludf.DUMMYFUNCTION("""COMPUTED_VALUE"""),45784.6458333333)</f>
        <v>45784.6458333333</v>
      </c>
      <c r="B29" s="48">
        <f>IFERROR(__xludf.DUMMYFUNCTION("""COMPUTED_VALUE"""),1161.3)</f>
        <v>1161.3</v>
      </c>
      <c r="C29" s="47">
        <f>IFERROR(__xludf.DUMMYFUNCTION("""COMPUTED_VALUE"""),45784.6458333333)</f>
        <v>45784.6458333333</v>
      </c>
      <c r="D29" s="48">
        <f>IFERROR(__xludf.DUMMYFUNCTION("""COMPUTED_VALUE"""),1159)</f>
        <v>1159</v>
      </c>
      <c r="E29" s="47">
        <f>IFERROR(__xludf.DUMMYFUNCTION("""COMPUTED_VALUE"""),45784.6458333333)</f>
        <v>45784.6458333333</v>
      </c>
      <c r="F29" s="48">
        <f>IFERROR(__xludf.DUMMYFUNCTION("""COMPUTED_VALUE"""),4263817)</f>
        <v>4263817</v>
      </c>
      <c r="G29" s="47">
        <f>IFERROR(__xludf.DUMMYFUNCTION("""COMPUTED_VALUE"""),45784.6458333333)</f>
        <v>45784.6458333333</v>
      </c>
      <c r="H29" s="48">
        <f>IFERROR(__xludf.DUMMYFUNCTION("""COMPUTED_VALUE"""),1168.6)</f>
        <v>1168.6</v>
      </c>
      <c r="I29" s="47">
        <f>IFERROR(__xludf.DUMMYFUNCTION("""COMPUTED_VALUE"""),45784.6458333333)</f>
        <v>45784.6458333333</v>
      </c>
      <c r="J29" s="48">
        <f>IFERROR(__xludf.DUMMYFUNCTION("""COMPUTED_VALUE"""),1152.9)</f>
        <v>1152.9</v>
      </c>
      <c r="K29" s="3">
        <f t="shared" si="2"/>
        <v>0</v>
      </c>
      <c r="L29" s="3">
        <f t="shared" si="3"/>
        <v>0</v>
      </c>
    </row>
    <row r="30" customHeight="1" spans="1:12">
      <c r="A30" s="47">
        <f>IFERROR(__xludf.DUMMYFUNCTION("""COMPUTED_VALUE"""),45785.6458333333)</f>
        <v>45785.6458333333</v>
      </c>
      <c r="B30" s="48">
        <f>IFERROR(__xludf.DUMMYFUNCTION("""COMPUTED_VALUE"""),1172.2)</f>
        <v>1172.2</v>
      </c>
      <c r="C30" s="47">
        <f>IFERROR(__xludf.DUMMYFUNCTION("""COMPUTED_VALUE"""),45785.6458333333)</f>
        <v>45785.6458333333</v>
      </c>
      <c r="D30" s="48">
        <f>IFERROR(__xludf.DUMMYFUNCTION("""COMPUTED_VALUE"""),1170)</f>
        <v>1170</v>
      </c>
      <c r="E30" s="47">
        <f>IFERROR(__xludf.DUMMYFUNCTION("""COMPUTED_VALUE"""),45785.6458333333)</f>
        <v>45785.6458333333</v>
      </c>
      <c r="F30" s="48">
        <f>IFERROR(__xludf.DUMMYFUNCTION("""COMPUTED_VALUE"""),9912347)</f>
        <v>9912347</v>
      </c>
      <c r="G30" s="47">
        <f>IFERROR(__xludf.DUMMYFUNCTION("""COMPUTED_VALUE"""),45785.6458333333)</f>
        <v>45785.6458333333</v>
      </c>
      <c r="H30" s="48">
        <f>IFERROR(__xludf.DUMMYFUNCTION("""COMPUTED_VALUE"""),1179)</f>
        <v>1179</v>
      </c>
      <c r="I30" s="47">
        <f>IFERROR(__xludf.DUMMYFUNCTION("""COMPUTED_VALUE"""),45785.6458333333)</f>
        <v>45785.6458333333</v>
      </c>
      <c r="J30" s="48">
        <f>IFERROR(__xludf.DUMMYFUNCTION("""COMPUTED_VALUE"""),1165.6)</f>
        <v>1165.6</v>
      </c>
      <c r="K30" s="3">
        <f t="shared" si="2"/>
        <v>0</v>
      </c>
      <c r="L30" s="3">
        <f t="shared" si="3"/>
        <v>0</v>
      </c>
    </row>
    <row r="31" customHeight="1" spans="1:12">
      <c r="A31" s="47">
        <f>IFERROR(__xludf.DUMMYFUNCTION("""COMPUTED_VALUE"""),45786.6458333333)</f>
        <v>45786.6458333333</v>
      </c>
      <c r="B31" s="48">
        <f>IFERROR(__xludf.DUMMYFUNCTION("""COMPUTED_VALUE"""),1151.1)</f>
        <v>1151.1</v>
      </c>
      <c r="C31" s="47">
        <f>IFERROR(__xludf.DUMMYFUNCTION("""COMPUTED_VALUE"""),45786.6458333333)</f>
        <v>45786.6458333333</v>
      </c>
      <c r="D31" s="48">
        <f>IFERROR(__xludf.DUMMYFUNCTION("""COMPUTED_VALUE"""),1160)</f>
        <v>1160</v>
      </c>
      <c r="E31" s="47">
        <f>IFERROR(__xludf.DUMMYFUNCTION("""COMPUTED_VALUE"""),45786.6458333333)</f>
        <v>45786.6458333333</v>
      </c>
      <c r="F31" s="48">
        <f>IFERROR(__xludf.DUMMYFUNCTION("""COMPUTED_VALUE"""),5379571)</f>
        <v>5379571</v>
      </c>
      <c r="G31" s="47">
        <f>IFERROR(__xludf.DUMMYFUNCTION("""COMPUTED_VALUE"""),45786.6458333333)</f>
        <v>45786.6458333333</v>
      </c>
      <c r="H31" s="48">
        <f>IFERROR(__xludf.DUMMYFUNCTION("""COMPUTED_VALUE"""),1172.2)</f>
        <v>1172.2</v>
      </c>
      <c r="I31" s="47">
        <f>IFERROR(__xludf.DUMMYFUNCTION("""COMPUTED_VALUE"""),45786.6458333333)</f>
        <v>45786.6458333333</v>
      </c>
      <c r="J31" s="48">
        <f>IFERROR(__xludf.DUMMYFUNCTION("""COMPUTED_VALUE"""),1148.5)</f>
        <v>1148.5</v>
      </c>
      <c r="K31" s="3">
        <f t="shared" si="2"/>
        <v>0</v>
      </c>
      <c r="L31" s="3">
        <f t="shared" si="3"/>
        <v>1151.1</v>
      </c>
    </row>
    <row r="32" customHeight="1" spans="1:12">
      <c r="A32" s="47">
        <f>IFERROR(__xludf.DUMMYFUNCTION("""COMPUTED_VALUE"""),45789.6458333333)</f>
        <v>45789.6458333333</v>
      </c>
      <c r="B32" s="48">
        <f>IFERROR(__xludf.DUMMYFUNCTION("""COMPUTED_VALUE"""),1203)</f>
        <v>1203</v>
      </c>
      <c r="C32" s="47">
        <f>IFERROR(__xludf.DUMMYFUNCTION("""COMPUTED_VALUE"""),45789.6458333333)</f>
        <v>45789.6458333333</v>
      </c>
      <c r="D32" s="48">
        <f>IFERROR(__xludf.DUMMYFUNCTION("""COMPUTED_VALUE"""),1185)</f>
        <v>1185</v>
      </c>
      <c r="E32" s="47">
        <f>IFERROR(__xludf.DUMMYFUNCTION("""COMPUTED_VALUE"""),45789.6458333333)</f>
        <v>45789.6458333333</v>
      </c>
      <c r="F32" s="48">
        <f>IFERROR(__xludf.DUMMYFUNCTION("""COMPUTED_VALUE"""),7616208)</f>
        <v>7616208</v>
      </c>
      <c r="G32" s="47">
        <f>IFERROR(__xludf.DUMMYFUNCTION("""COMPUTED_VALUE"""),45789.6458333333)</f>
        <v>45789.6458333333</v>
      </c>
      <c r="H32" s="48">
        <f>IFERROR(__xludf.DUMMYFUNCTION("""COMPUTED_VALUE"""),1209)</f>
        <v>1209</v>
      </c>
      <c r="I32" s="47">
        <f>IFERROR(__xludf.DUMMYFUNCTION("""COMPUTED_VALUE"""),45789.6458333333)</f>
        <v>45789.6458333333</v>
      </c>
      <c r="J32" s="48">
        <f>IFERROR(__xludf.DUMMYFUNCTION("""COMPUTED_VALUE"""),1175.2)</f>
        <v>1175.2</v>
      </c>
      <c r="K32" s="3">
        <f t="shared" si="2"/>
        <v>0</v>
      </c>
      <c r="L32" s="3">
        <f t="shared" si="3"/>
        <v>0</v>
      </c>
    </row>
    <row r="33" customHeight="1" spans="1:12">
      <c r="A33" s="47">
        <f>IFERROR(__xludf.DUMMYFUNCTION("""COMPUTED_VALUE"""),45790.6458333333)</f>
        <v>45790.6458333333</v>
      </c>
      <c r="B33" s="48">
        <f>IFERROR(__xludf.DUMMYFUNCTION("""COMPUTED_VALUE"""),1193.6)</f>
        <v>1193.6</v>
      </c>
      <c r="C33" s="47">
        <f>IFERROR(__xludf.DUMMYFUNCTION("""COMPUTED_VALUE"""),45790.6458333333)</f>
        <v>45790.6458333333</v>
      </c>
      <c r="D33" s="48">
        <f>IFERROR(__xludf.DUMMYFUNCTION("""COMPUTED_VALUE"""),1205.2)</f>
        <v>1205.2</v>
      </c>
      <c r="E33" s="47">
        <f>IFERROR(__xludf.DUMMYFUNCTION("""COMPUTED_VALUE"""),45790.6458333333)</f>
        <v>45790.6458333333</v>
      </c>
      <c r="F33" s="48">
        <f>IFERROR(__xludf.DUMMYFUNCTION("""COMPUTED_VALUE"""),5569926)</f>
        <v>5569926</v>
      </c>
      <c r="G33" s="47">
        <f>IFERROR(__xludf.DUMMYFUNCTION("""COMPUTED_VALUE"""),45790.6458333333)</f>
        <v>45790.6458333333</v>
      </c>
      <c r="H33" s="48">
        <f>IFERROR(__xludf.DUMMYFUNCTION("""COMPUTED_VALUE"""),1214.8)</f>
        <v>1214.8</v>
      </c>
      <c r="I33" s="47">
        <f>IFERROR(__xludf.DUMMYFUNCTION("""COMPUTED_VALUE"""),45790.6458333333)</f>
        <v>45790.6458333333</v>
      </c>
      <c r="J33" s="48">
        <f>IFERROR(__xludf.DUMMYFUNCTION("""COMPUTED_VALUE"""),1190)</f>
        <v>1190</v>
      </c>
      <c r="K33" s="3">
        <f t="shared" si="2"/>
        <v>0</v>
      </c>
      <c r="L33" s="3">
        <f t="shared" si="3"/>
        <v>0</v>
      </c>
    </row>
    <row r="34" customHeight="1" spans="1:12">
      <c r="A34" s="47">
        <f>IFERROR(__xludf.DUMMYFUNCTION("""COMPUTED_VALUE"""),45791.6458333333)</f>
        <v>45791.6458333333</v>
      </c>
      <c r="B34" s="48">
        <f>IFERROR(__xludf.DUMMYFUNCTION("""COMPUTED_VALUE"""),1195.5)</f>
        <v>1195.5</v>
      </c>
      <c r="C34" s="47">
        <f>IFERROR(__xludf.DUMMYFUNCTION("""COMPUTED_VALUE"""),45791.6458333333)</f>
        <v>45791.6458333333</v>
      </c>
      <c r="D34" s="48">
        <f>IFERROR(__xludf.DUMMYFUNCTION("""COMPUTED_VALUE"""),1195.9)</f>
        <v>1195.9</v>
      </c>
      <c r="E34" s="47">
        <f>IFERROR(__xludf.DUMMYFUNCTION("""COMPUTED_VALUE"""),45791.6458333333)</f>
        <v>45791.6458333333</v>
      </c>
      <c r="F34" s="48">
        <f>IFERROR(__xludf.DUMMYFUNCTION("""COMPUTED_VALUE"""),4084921)</f>
        <v>4084921</v>
      </c>
      <c r="G34" s="47">
        <f>IFERROR(__xludf.DUMMYFUNCTION("""COMPUTED_VALUE"""),45791.6458333333)</f>
        <v>45791.6458333333</v>
      </c>
      <c r="H34" s="48">
        <f>IFERROR(__xludf.DUMMYFUNCTION("""COMPUTED_VALUE"""),1199.4)</f>
        <v>1199.4</v>
      </c>
      <c r="I34" s="47">
        <f>IFERROR(__xludf.DUMMYFUNCTION("""COMPUTED_VALUE"""),45791.6458333333)</f>
        <v>45791.6458333333</v>
      </c>
      <c r="J34" s="48">
        <f>IFERROR(__xludf.DUMMYFUNCTION("""COMPUTED_VALUE"""),1185.9)</f>
        <v>1185.9</v>
      </c>
      <c r="K34" s="3">
        <f t="shared" si="2"/>
        <v>0</v>
      </c>
      <c r="L34" s="3">
        <f t="shared" si="3"/>
        <v>0</v>
      </c>
    </row>
    <row r="35" customHeight="1" spans="1:12">
      <c r="A35" s="47">
        <f>IFERROR(__xludf.DUMMYFUNCTION("""COMPUTED_VALUE"""),45792.6458333333)</f>
        <v>45792.6458333333</v>
      </c>
      <c r="B35" s="48">
        <f>IFERROR(__xludf.DUMMYFUNCTION("""COMPUTED_VALUE"""),1209.1)</f>
        <v>1209.1</v>
      </c>
      <c r="C35" s="47">
        <f>IFERROR(__xludf.DUMMYFUNCTION("""COMPUTED_VALUE"""),45792.6458333333)</f>
        <v>45792.6458333333</v>
      </c>
      <c r="D35" s="48">
        <f>IFERROR(__xludf.DUMMYFUNCTION("""COMPUTED_VALUE"""),1197)</f>
        <v>1197</v>
      </c>
      <c r="E35" s="47">
        <f>IFERROR(__xludf.DUMMYFUNCTION("""COMPUTED_VALUE"""),45792.6458333333)</f>
        <v>45792.6458333333</v>
      </c>
      <c r="F35" s="48">
        <f>IFERROR(__xludf.DUMMYFUNCTION("""COMPUTED_VALUE"""),6705748)</f>
        <v>6705748</v>
      </c>
      <c r="G35" s="47">
        <f>IFERROR(__xludf.DUMMYFUNCTION("""COMPUTED_VALUE"""),45792.6458333333)</f>
        <v>45792.6458333333</v>
      </c>
      <c r="H35" s="48">
        <f>IFERROR(__xludf.DUMMYFUNCTION("""COMPUTED_VALUE"""),1217)</f>
        <v>1217</v>
      </c>
      <c r="I35" s="47">
        <f>IFERROR(__xludf.DUMMYFUNCTION("""COMPUTED_VALUE"""),45792.6458333333)</f>
        <v>45792.6458333333</v>
      </c>
      <c r="J35" s="48">
        <f>IFERROR(__xludf.DUMMYFUNCTION("""COMPUTED_VALUE"""),1185)</f>
        <v>1185</v>
      </c>
      <c r="K35" s="3">
        <f t="shared" si="2"/>
        <v>0</v>
      </c>
      <c r="L35" s="3">
        <f t="shared" si="3"/>
        <v>0</v>
      </c>
    </row>
    <row r="36" customHeight="1" spans="1:12">
      <c r="A36" s="47">
        <f>IFERROR(__xludf.DUMMYFUNCTION("""COMPUTED_VALUE"""),45793.6458333333)</f>
        <v>45793.6458333333</v>
      </c>
      <c r="B36" s="48">
        <f>IFERROR(__xludf.DUMMYFUNCTION("""COMPUTED_VALUE"""),1208.8)</f>
        <v>1208.8</v>
      </c>
      <c r="C36" s="47">
        <f>IFERROR(__xludf.DUMMYFUNCTION("""COMPUTED_VALUE"""),45793.6458333333)</f>
        <v>45793.6458333333</v>
      </c>
      <c r="D36" s="48">
        <f>IFERROR(__xludf.DUMMYFUNCTION("""COMPUTED_VALUE"""),1206)</f>
        <v>1206</v>
      </c>
      <c r="E36" s="47">
        <f>IFERROR(__xludf.DUMMYFUNCTION("""COMPUTED_VALUE"""),45793.6458333333)</f>
        <v>45793.6458333333</v>
      </c>
      <c r="F36" s="48">
        <f>IFERROR(__xludf.DUMMYFUNCTION("""COMPUTED_VALUE"""),4016269)</f>
        <v>4016269</v>
      </c>
      <c r="G36" s="47">
        <f>IFERROR(__xludf.DUMMYFUNCTION("""COMPUTED_VALUE"""),45793.6458333333)</f>
        <v>45793.6458333333</v>
      </c>
      <c r="H36" s="48">
        <f>IFERROR(__xludf.DUMMYFUNCTION("""COMPUTED_VALUE"""),1213.3)</f>
        <v>1213.3</v>
      </c>
      <c r="I36" s="47">
        <f>IFERROR(__xludf.DUMMYFUNCTION("""COMPUTED_VALUE"""),45793.6458333333)</f>
        <v>45793.6458333333</v>
      </c>
      <c r="J36" s="48">
        <f>IFERROR(__xludf.DUMMYFUNCTION("""COMPUTED_VALUE"""),1203.2)</f>
        <v>1203.2</v>
      </c>
      <c r="K36" s="3">
        <f t="shared" si="2"/>
        <v>0</v>
      </c>
      <c r="L36" s="3">
        <f t="shared" si="3"/>
        <v>0</v>
      </c>
    </row>
    <row r="37" customHeight="1" spans="1:12">
      <c r="A37" s="47">
        <f>IFERROR(__xludf.DUMMYFUNCTION("""COMPUTED_VALUE"""),45796.6458333333)</f>
        <v>45796.6458333333</v>
      </c>
      <c r="B37" s="48">
        <f>IFERROR(__xludf.DUMMYFUNCTION("""COMPUTED_VALUE"""),1202.8)</f>
        <v>1202.8</v>
      </c>
      <c r="C37" s="47">
        <f>IFERROR(__xludf.DUMMYFUNCTION("""COMPUTED_VALUE"""),45796.6458333333)</f>
        <v>45796.6458333333</v>
      </c>
      <c r="D37" s="48">
        <f>IFERROR(__xludf.DUMMYFUNCTION("""COMPUTED_VALUE"""),1208)</f>
        <v>1208</v>
      </c>
      <c r="E37" s="47">
        <f>IFERROR(__xludf.DUMMYFUNCTION("""COMPUTED_VALUE"""),45796.6458333333)</f>
        <v>45796.6458333333</v>
      </c>
      <c r="F37" s="48">
        <f>IFERROR(__xludf.DUMMYFUNCTION("""COMPUTED_VALUE"""),4550022)</f>
        <v>4550022</v>
      </c>
      <c r="G37" s="47">
        <f>IFERROR(__xludf.DUMMYFUNCTION("""COMPUTED_VALUE"""),45796.6458333333)</f>
        <v>45796.6458333333</v>
      </c>
      <c r="H37" s="48">
        <f>IFERROR(__xludf.DUMMYFUNCTION("""COMPUTED_VALUE"""),1219)</f>
        <v>1219</v>
      </c>
      <c r="I37" s="47">
        <f>IFERROR(__xludf.DUMMYFUNCTION("""COMPUTED_VALUE"""),45796.6458333333)</f>
        <v>45796.6458333333</v>
      </c>
      <c r="J37" s="48">
        <f>IFERROR(__xludf.DUMMYFUNCTION("""COMPUTED_VALUE"""),1201.1)</f>
        <v>1201.1</v>
      </c>
      <c r="K37" s="3">
        <f t="shared" si="2"/>
        <v>0</v>
      </c>
      <c r="L37" s="3">
        <f t="shared" si="3"/>
        <v>0</v>
      </c>
    </row>
    <row r="38" customHeight="1" spans="1:12">
      <c r="A38" s="47">
        <f>IFERROR(__xludf.DUMMYFUNCTION("""COMPUTED_VALUE"""),45797.6458333333)</f>
        <v>45797.6458333333</v>
      </c>
      <c r="B38" s="48">
        <f>IFERROR(__xludf.DUMMYFUNCTION("""COMPUTED_VALUE"""),1195.8)</f>
        <v>1195.8</v>
      </c>
      <c r="C38" s="47">
        <f>IFERROR(__xludf.DUMMYFUNCTION("""COMPUTED_VALUE"""),45797.6458333333)</f>
        <v>45797.6458333333</v>
      </c>
      <c r="D38" s="48">
        <f>IFERROR(__xludf.DUMMYFUNCTION("""COMPUTED_VALUE"""),1208)</f>
        <v>1208</v>
      </c>
      <c r="E38" s="47">
        <f>IFERROR(__xludf.DUMMYFUNCTION("""COMPUTED_VALUE"""),45797.6458333333)</f>
        <v>45797.6458333333</v>
      </c>
      <c r="F38" s="48">
        <f>IFERROR(__xludf.DUMMYFUNCTION("""COMPUTED_VALUE"""),4724482)</f>
        <v>4724482</v>
      </c>
      <c r="G38" s="47">
        <f>IFERROR(__xludf.DUMMYFUNCTION("""COMPUTED_VALUE"""),45797.6458333333)</f>
        <v>45797.6458333333</v>
      </c>
      <c r="H38" s="48">
        <f>IFERROR(__xludf.DUMMYFUNCTION("""COMPUTED_VALUE"""),1210.7)</f>
        <v>1210.7</v>
      </c>
      <c r="I38" s="47">
        <f>IFERROR(__xludf.DUMMYFUNCTION("""COMPUTED_VALUE"""),45797.6458333333)</f>
        <v>45797.6458333333</v>
      </c>
      <c r="J38" s="48">
        <f>IFERROR(__xludf.DUMMYFUNCTION("""COMPUTED_VALUE"""),1192.9)</f>
        <v>1192.9</v>
      </c>
      <c r="K38" s="3">
        <f t="shared" si="2"/>
        <v>0</v>
      </c>
      <c r="L38" s="3">
        <f t="shared" si="3"/>
        <v>0</v>
      </c>
    </row>
    <row r="39" customHeight="1" spans="1:12">
      <c r="A39" s="47">
        <f>IFERROR(__xludf.DUMMYFUNCTION("""COMPUTED_VALUE"""),45798.6458333333)</f>
        <v>45798.6458333333</v>
      </c>
      <c r="B39" s="48">
        <f>IFERROR(__xludf.DUMMYFUNCTION("""COMPUTED_VALUE"""),1197.8)</f>
        <v>1197.8</v>
      </c>
      <c r="C39" s="47">
        <f>IFERROR(__xludf.DUMMYFUNCTION("""COMPUTED_VALUE"""),45798.6458333333)</f>
        <v>45798.6458333333</v>
      </c>
      <c r="D39" s="48">
        <f>IFERROR(__xludf.DUMMYFUNCTION("""COMPUTED_VALUE"""),1197.1)</f>
        <v>1197.1</v>
      </c>
      <c r="E39" s="47">
        <f>IFERROR(__xludf.DUMMYFUNCTION("""COMPUTED_VALUE"""),45798.6458333333)</f>
        <v>45798.6458333333</v>
      </c>
      <c r="F39" s="48">
        <f>IFERROR(__xludf.DUMMYFUNCTION("""COMPUTED_VALUE"""),3712472)</f>
        <v>3712472</v>
      </c>
      <c r="G39" s="47">
        <f>IFERROR(__xludf.DUMMYFUNCTION("""COMPUTED_VALUE"""),45798.6458333333)</f>
        <v>45798.6458333333</v>
      </c>
      <c r="H39" s="48">
        <f>IFERROR(__xludf.DUMMYFUNCTION("""COMPUTED_VALUE"""),1204.9)</f>
        <v>1204.9</v>
      </c>
      <c r="I39" s="47">
        <f>IFERROR(__xludf.DUMMYFUNCTION("""COMPUTED_VALUE"""),45798.6458333333)</f>
        <v>45798.6458333333</v>
      </c>
      <c r="J39" s="48">
        <f>IFERROR(__xludf.DUMMYFUNCTION("""COMPUTED_VALUE"""),1182.7)</f>
        <v>1182.7</v>
      </c>
      <c r="K39" s="3">
        <f t="shared" si="2"/>
        <v>0</v>
      </c>
      <c r="L39" s="3">
        <f t="shared" si="3"/>
        <v>0</v>
      </c>
    </row>
    <row r="40" customHeight="1" spans="1:12">
      <c r="A40" s="47">
        <f>IFERROR(__xludf.DUMMYFUNCTION("""COMPUTED_VALUE"""),45799.6458333333)</f>
        <v>45799.6458333333</v>
      </c>
      <c r="B40" s="48">
        <f>IFERROR(__xludf.DUMMYFUNCTION("""COMPUTED_VALUE"""),1188.5)</f>
        <v>1188.5</v>
      </c>
      <c r="C40" s="47">
        <f>IFERROR(__xludf.DUMMYFUNCTION("""COMPUTED_VALUE"""),45799.6458333333)</f>
        <v>45799.6458333333</v>
      </c>
      <c r="D40" s="48">
        <f>IFERROR(__xludf.DUMMYFUNCTION("""COMPUTED_VALUE"""),1196.7)</f>
        <v>1196.7</v>
      </c>
      <c r="E40" s="47">
        <f>IFERROR(__xludf.DUMMYFUNCTION("""COMPUTED_VALUE"""),45799.6458333333)</f>
        <v>45799.6458333333</v>
      </c>
      <c r="F40" s="48">
        <f>IFERROR(__xludf.DUMMYFUNCTION("""COMPUTED_VALUE"""),4795583)</f>
        <v>4795583</v>
      </c>
      <c r="G40" s="47">
        <f>IFERROR(__xludf.DUMMYFUNCTION("""COMPUTED_VALUE"""),45799.6458333333)</f>
        <v>45799.6458333333</v>
      </c>
      <c r="H40" s="48">
        <f>IFERROR(__xludf.DUMMYFUNCTION("""COMPUTED_VALUE"""),1196.7)</f>
        <v>1196.7</v>
      </c>
      <c r="I40" s="47">
        <f>IFERROR(__xludf.DUMMYFUNCTION("""COMPUTED_VALUE"""),45799.6458333333)</f>
        <v>45799.6458333333</v>
      </c>
      <c r="J40" s="48">
        <f>IFERROR(__xludf.DUMMYFUNCTION("""COMPUTED_VALUE"""),1177.5)</f>
        <v>1177.5</v>
      </c>
      <c r="K40" s="3">
        <f t="shared" si="2"/>
        <v>0</v>
      </c>
      <c r="L40" s="3">
        <f t="shared" si="3"/>
        <v>1188.5</v>
      </c>
    </row>
    <row r="41" customHeight="1" spans="1:12">
      <c r="A41" s="47">
        <f>IFERROR(__xludf.DUMMYFUNCTION("""COMPUTED_VALUE"""),45800.6458333333)</f>
        <v>45800.6458333333</v>
      </c>
      <c r="B41" s="48">
        <f>IFERROR(__xludf.DUMMYFUNCTION("""COMPUTED_VALUE"""),1210.1)</f>
        <v>1210.1</v>
      </c>
      <c r="C41" s="47">
        <f>IFERROR(__xludf.DUMMYFUNCTION("""COMPUTED_VALUE"""),45800.6458333333)</f>
        <v>45800.6458333333</v>
      </c>
      <c r="D41" s="48">
        <f>IFERROR(__xludf.DUMMYFUNCTION("""COMPUTED_VALUE"""),1188.5)</f>
        <v>1188.5</v>
      </c>
      <c r="E41" s="47">
        <f>IFERROR(__xludf.DUMMYFUNCTION("""COMPUTED_VALUE"""),45800.6458333333)</f>
        <v>45800.6458333333</v>
      </c>
      <c r="F41" s="48">
        <f>IFERROR(__xludf.DUMMYFUNCTION("""COMPUTED_VALUE"""),3676469)</f>
        <v>3676469</v>
      </c>
      <c r="G41" s="47">
        <f>IFERROR(__xludf.DUMMYFUNCTION("""COMPUTED_VALUE"""),45800.6458333333)</f>
        <v>45800.6458333333</v>
      </c>
      <c r="H41" s="48">
        <f>IFERROR(__xludf.DUMMYFUNCTION("""COMPUTED_VALUE"""),1213.1)</f>
        <v>1213.1</v>
      </c>
      <c r="I41" s="47">
        <f>IFERROR(__xludf.DUMMYFUNCTION("""COMPUTED_VALUE"""),45800.6458333333)</f>
        <v>45800.6458333333</v>
      </c>
      <c r="J41" s="48">
        <f>IFERROR(__xludf.DUMMYFUNCTION("""COMPUTED_VALUE"""),1188.1)</f>
        <v>1188.1</v>
      </c>
      <c r="K41" s="3">
        <f t="shared" si="2"/>
        <v>0</v>
      </c>
      <c r="L41" s="3">
        <f t="shared" si="3"/>
        <v>0</v>
      </c>
    </row>
    <row r="42" customHeight="1" spans="1:12">
      <c r="A42" s="47">
        <f>IFERROR(__xludf.DUMMYFUNCTION("""COMPUTED_VALUE"""),45803.6458333333)</f>
        <v>45803.6458333333</v>
      </c>
      <c r="B42" s="48">
        <f>IFERROR(__xludf.DUMMYFUNCTION("""COMPUTED_VALUE"""),1215.2)</f>
        <v>1215.2</v>
      </c>
      <c r="C42" s="47">
        <f>IFERROR(__xludf.DUMMYFUNCTION("""COMPUTED_VALUE"""),45803.6458333333)</f>
        <v>45803.6458333333</v>
      </c>
      <c r="D42" s="48">
        <f>IFERROR(__xludf.DUMMYFUNCTION("""COMPUTED_VALUE"""),1216.2)</f>
        <v>1216.2</v>
      </c>
      <c r="E42" s="47">
        <f>IFERROR(__xludf.DUMMYFUNCTION("""COMPUTED_VALUE"""),45803.6458333333)</f>
        <v>45803.6458333333</v>
      </c>
      <c r="F42" s="48">
        <f>IFERROR(__xludf.DUMMYFUNCTION("""COMPUTED_VALUE"""),3607612)</f>
        <v>3607612</v>
      </c>
      <c r="G42" s="47">
        <f>IFERROR(__xludf.DUMMYFUNCTION("""COMPUTED_VALUE"""),45803.6458333333)</f>
        <v>45803.6458333333</v>
      </c>
      <c r="H42" s="48">
        <f>IFERROR(__xludf.DUMMYFUNCTION("""COMPUTED_VALUE"""),1224.2)</f>
        <v>1224.2</v>
      </c>
      <c r="I42" s="47">
        <f>IFERROR(__xludf.DUMMYFUNCTION("""COMPUTED_VALUE"""),45803.6458333333)</f>
        <v>45803.6458333333</v>
      </c>
      <c r="J42" s="48">
        <f>IFERROR(__xludf.DUMMYFUNCTION("""COMPUTED_VALUE"""),1208.7)</f>
        <v>1208.7</v>
      </c>
      <c r="K42" s="3">
        <f t="shared" si="2"/>
        <v>1215.2</v>
      </c>
      <c r="L42" s="3">
        <f t="shared" si="3"/>
        <v>0</v>
      </c>
    </row>
    <row r="43" customHeight="1" spans="1:12">
      <c r="A43" s="47">
        <f>IFERROR(__xludf.DUMMYFUNCTION("""COMPUTED_VALUE"""),45804.6458333333)</f>
        <v>45804.6458333333</v>
      </c>
      <c r="B43" s="48">
        <f>IFERROR(__xludf.DUMMYFUNCTION("""COMPUTED_VALUE"""),1195.6)</f>
        <v>1195.6</v>
      </c>
      <c r="C43" s="47">
        <f>IFERROR(__xludf.DUMMYFUNCTION("""COMPUTED_VALUE"""),45804.6458333333)</f>
        <v>45804.6458333333</v>
      </c>
      <c r="D43" s="48">
        <f>IFERROR(__xludf.DUMMYFUNCTION("""COMPUTED_VALUE"""),1215.2)</f>
        <v>1215.2</v>
      </c>
      <c r="E43" s="47">
        <f>IFERROR(__xludf.DUMMYFUNCTION("""COMPUTED_VALUE"""),45804.6458333333)</f>
        <v>45804.6458333333</v>
      </c>
      <c r="F43" s="48">
        <f>IFERROR(__xludf.DUMMYFUNCTION("""COMPUTED_VALUE"""),7249163)</f>
        <v>7249163</v>
      </c>
      <c r="G43" s="47">
        <f>IFERROR(__xludf.DUMMYFUNCTION("""COMPUTED_VALUE"""),45804.6458333333)</f>
        <v>45804.6458333333</v>
      </c>
      <c r="H43" s="48">
        <f>IFERROR(__xludf.DUMMYFUNCTION("""COMPUTED_VALUE"""),1216.7)</f>
        <v>1216.7</v>
      </c>
      <c r="I43" s="47">
        <f>IFERROR(__xludf.DUMMYFUNCTION("""COMPUTED_VALUE"""),45804.6458333333)</f>
        <v>45804.6458333333</v>
      </c>
      <c r="J43" s="48">
        <f>IFERROR(__xludf.DUMMYFUNCTION("""COMPUTED_VALUE"""),1190.4)</f>
        <v>1190.4</v>
      </c>
      <c r="K43" s="3">
        <f t="shared" si="2"/>
        <v>0</v>
      </c>
      <c r="L43" s="3">
        <f t="shared" si="3"/>
        <v>0</v>
      </c>
    </row>
    <row r="44" customHeight="1" spans="1:12">
      <c r="A44" s="47">
        <f>IFERROR(__xludf.DUMMYFUNCTION("""COMPUTED_VALUE"""),45805.6458333333)</f>
        <v>45805.6458333333</v>
      </c>
      <c r="B44" s="48">
        <f>IFERROR(__xludf.DUMMYFUNCTION("""COMPUTED_VALUE"""),1194.7)</f>
        <v>1194.7</v>
      </c>
      <c r="C44" s="47">
        <f>IFERROR(__xludf.DUMMYFUNCTION("""COMPUTED_VALUE"""),45805.6458333333)</f>
        <v>45805.6458333333</v>
      </c>
      <c r="D44" s="48">
        <f>IFERROR(__xludf.DUMMYFUNCTION("""COMPUTED_VALUE"""),1195.6)</f>
        <v>1195.6</v>
      </c>
      <c r="E44" s="47">
        <f>IFERROR(__xludf.DUMMYFUNCTION("""COMPUTED_VALUE"""),45805.6458333333)</f>
        <v>45805.6458333333</v>
      </c>
      <c r="F44" s="48">
        <f>IFERROR(__xludf.DUMMYFUNCTION("""COMPUTED_VALUE"""),3525421)</f>
        <v>3525421</v>
      </c>
      <c r="G44" s="47">
        <f>IFERROR(__xludf.DUMMYFUNCTION("""COMPUTED_VALUE"""),45805.6458333333)</f>
        <v>45805.6458333333</v>
      </c>
      <c r="H44" s="48">
        <f>IFERROR(__xludf.DUMMYFUNCTION("""COMPUTED_VALUE"""),1202.2)</f>
        <v>1202.2</v>
      </c>
      <c r="I44" s="47">
        <f>IFERROR(__xludf.DUMMYFUNCTION("""COMPUTED_VALUE"""),45805.6458333333)</f>
        <v>45805.6458333333</v>
      </c>
      <c r="J44" s="48">
        <f>IFERROR(__xludf.DUMMYFUNCTION("""COMPUTED_VALUE"""),1191.7)</f>
        <v>1191.7</v>
      </c>
      <c r="K44" s="3">
        <f t="shared" si="2"/>
        <v>0</v>
      </c>
      <c r="L44" s="3">
        <f t="shared" si="3"/>
        <v>0</v>
      </c>
    </row>
    <row r="45" customHeight="1" spans="1:12">
      <c r="A45" s="47">
        <f>IFERROR(__xludf.DUMMYFUNCTION("""COMPUTED_VALUE"""),45806.6458333333)</f>
        <v>45806.6458333333</v>
      </c>
      <c r="B45" s="48">
        <f>IFERROR(__xludf.DUMMYFUNCTION("""COMPUTED_VALUE"""),1201.7)</f>
        <v>1201.7</v>
      </c>
      <c r="C45" s="47">
        <f>IFERROR(__xludf.DUMMYFUNCTION("""COMPUTED_VALUE"""),45806.6458333333)</f>
        <v>45806.6458333333</v>
      </c>
      <c r="D45" s="48">
        <f>IFERROR(__xludf.DUMMYFUNCTION("""COMPUTED_VALUE"""),1200)</f>
        <v>1200</v>
      </c>
      <c r="E45" s="47">
        <f>IFERROR(__xludf.DUMMYFUNCTION("""COMPUTED_VALUE"""),45806.6458333333)</f>
        <v>45806.6458333333</v>
      </c>
      <c r="F45" s="48">
        <f>IFERROR(__xludf.DUMMYFUNCTION("""COMPUTED_VALUE"""),7788068)</f>
        <v>7788068</v>
      </c>
      <c r="G45" s="47">
        <f>IFERROR(__xludf.DUMMYFUNCTION("""COMPUTED_VALUE"""),45806.6458333333)</f>
        <v>45806.6458333333</v>
      </c>
      <c r="H45" s="48">
        <f>IFERROR(__xludf.DUMMYFUNCTION("""COMPUTED_VALUE"""),1209)</f>
        <v>1209</v>
      </c>
      <c r="I45" s="47">
        <f>IFERROR(__xludf.DUMMYFUNCTION("""COMPUTED_VALUE"""),45806.6458333333)</f>
        <v>45806.6458333333</v>
      </c>
      <c r="J45" s="48">
        <f>IFERROR(__xludf.DUMMYFUNCTION("""COMPUTED_VALUE"""),1189)</f>
        <v>1189</v>
      </c>
      <c r="K45" s="3">
        <f t="shared" si="2"/>
        <v>0</v>
      </c>
      <c r="L45" s="3">
        <f t="shared" si="3"/>
        <v>0</v>
      </c>
    </row>
    <row r="46" customHeight="1" spans="1:12">
      <c r="A46" s="47">
        <f>IFERROR(__xludf.DUMMYFUNCTION("""COMPUTED_VALUE"""),45807.6458333333)</f>
        <v>45807.6458333333</v>
      </c>
      <c r="B46" s="48">
        <f>IFERROR(__xludf.DUMMYFUNCTION("""COMPUTED_VALUE"""),1192.2)</f>
        <v>1192.2</v>
      </c>
      <c r="C46" s="47">
        <f>IFERROR(__xludf.DUMMYFUNCTION("""COMPUTED_VALUE"""),45807.6458333333)</f>
        <v>45807.6458333333</v>
      </c>
      <c r="D46" s="48">
        <f>IFERROR(__xludf.DUMMYFUNCTION("""COMPUTED_VALUE"""),1201.4)</f>
        <v>1201.4</v>
      </c>
      <c r="E46" s="47">
        <f>IFERROR(__xludf.DUMMYFUNCTION("""COMPUTED_VALUE"""),45807.6458333333)</f>
        <v>45807.6458333333</v>
      </c>
      <c r="F46" s="48">
        <f>IFERROR(__xludf.DUMMYFUNCTION("""COMPUTED_VALUE"""),9998488)</f>
        <v>9998488</v>
      </c>
      <c r="G46" s="47">
        <f>IFERROR(__xludf.DUMMYFUNCTION("""COMPUTED_VALUE"""),45807.6458333333)</f>
        <v>45807.6458333333</v>
      </c>
      <c r="H46" s="48">
        <f>IFERROR(__xludf.DUMMYFUNCTION("""COMPUTED_VALUE"""),1208.8)</f>
        <v>1208.8</v>
      </c>
      <c r="I46" s="47">
        <f>IFERROR(__xludf.DUMMYFUNCTION("""COMPUTED_VALUE"""),45807.6458333333)</f>
        <v>45807.6458333333</v>
      </c>
      <c r="J46" s="48">
        <f>IFERROR(__xludf.DUMMYFUNCTION("""COMPUTED_VALUE"""),1189.6)</f>
        <v>1189.6</v>
      </c>
      <c r="K46" s="3">
        <f t="shared" si="2"/>
        <v>0</v>
      </c>
      <c r="L46" s="3">
        <f t="shared" si="3"/>
        <v>0</v>
      </c>
    </row>
    <row r="47" customHeight="1" spans="1:12">
      <c r="A47" s="47">
        <f>IFERROR(__xludf.DUMMYFUNCTION("""COMPUTED_VALUE"""),45810.6458333333)</f>
        <v>45810.6458333333</v>
      </c>
      <c r="B47" s="48">
        <f>IFERROR(__xludf.DUMMYFUNCTION("""COMPUTED_VALUE"""),1194.4)</f>
        <v>1194.4</v>
      </c>
      <c r="C47" s="47">
        <f>IFERROR(__xludf.DUMMYFUNCTION("""COMPUTED_VALUE"""),45810.6458333333)</f>
        <v>45810.6458333333</v>
      </c>
      <c r="D47" s="48">
        <f>IFERROR(__xludf.DUMMYFUNCTION("""COMPUTED_VALUE"""),1189.8)</f>
        <v>1189.8</v>
      </c>
      <c r="E47" s="47">
        <f>IFERROR(__xludf.DUMMYFUNCTION("""COMPUTED_VALUE"""),45810.6458333333)</f>
        <v>45810.6458333333</v>
      </c>
      <c r="F47" s="48">
        <f>IFERROR(__xludf.DUMMYFUNCTION("""COMPUTED_VALUE"""),3761853)</f>
        <v>3761853</v>
      </c>
      <c r="G47" s="47">
        <f>IFERROR(__xludf.DUMMYFUNCTION("""COMPUTED_VALUE"""),45810.6458333333)</f>
        <v>45810.6458333333</v>
      </c>
      <c r="H47" s="48">
        <f>IFERROR(__xludf.DUMMYFUNCTION("""COMPUTED_VALUE"""),1200.9)</f>
        <v>1200.9</v>
      </c>
      <c r="I47" s="47">
        <f>IFERROR(__xludf.DUMMYFUNCTION("""COMPUTED_VALUE"""),45810.6458333333)</f>
        <v>45810.6458333333</v>
      </c>
      <c r="J47" s="48">
        <f>IFERROR(__xludf.DUMMYFUNCTION("""COMPUTED_VALUE"""),1179.2)</f>
        <v>1179.2</v>
      </c>
      <c r="K47" s="3">
        <f t="shared" si="2"/>
        <v>0</v>
      </c>
      <c r="L47" s="3">
        <f t="shared" si="3"/>
        <v>0</v>
      </c>
    </row>
    <row r="48" customHeight="1" spans="1:12">
      <c r="A48" s="47">
        <f>IFERROR(__xludf.DUMMYFUNCTION("""COMPUTED_VALUE"""),45811.6458333333)</f>
        <v>45811.6458333333</v>
      </c>
      <c r="B48" s="48">
        <f>IFERROR(__xludf.DUMMYFUNCTION("""COMPUTED_VALUE"""),1181.5)</f>
        <v>1181.5</v>
      </c>
      <c r="C48" s="47">
        <f>IFERROR(__xludf.DUMMYFUNCTION("""COMPUTED_VALUE"""),45811.6458333333)</f>
        <v>45811.6458333333</v>
      </c>
      <c r="D48" s="48">
        <f>IFERROR(__xludf.DUMMYFUNCTION("""COMPUTED_VALUE"""),1195)</f>
        <v>1195</v>
      </c>
      <c r="E48" s="47">
        <f>IFERROR(__xludf.DUMMYFUNCTION("""COMPUTED_VALUE"""),45811.6458333333)</f>
        <v>45811.6458333333</v>
      </c>
      <c r="F48" s="48">
        <f>IFERROR(__xludf.DUMMYFUNCTION("""COMPUTED_VALUE"""),8155665)</f>
        <v>8155665</v>
      </c>
      <c r="G48" s="47">
        <f>IFERROR(__xludf.DUMMYFUNCTION("""COMPUTED_VALUE"""),45811.6458333333)</f>
        <v>45811.6458333333</v>
      </c>
      <c r="H48" s="48">
        <f>IFERROR(__xludf.DUMMYFUNCTION("""COMPUTED_VALUE"""),1198.9)</f>
        <v>1198.9</v>
      </c>
      <c r="I48" s="47">
        <f>IFERROR(__xludf.DUMMYFUNCTION("""COMPUTED_VALUE"""),45811.6458333333)</f>
        <v>45811.6458333333</v>
      </c>
      <c r="J48" s="48">
        <f>IFERROR(__xludf.DUMMYFUNCTION("""COMPUTED_VALUE"""),1174.9)</f>
        <v>1174.9</v>
      </c>
      <c r="K48" s="3">
        <f t="shared" si="2"/>
        <v>0</v>
      </c>
      <c r="L48" s="3">
        <f t="shared" si="3"/>
        <v>0</v>
      </c>
    </row>
    <row r="49" customHeight="1" spans="1:12">
      <c r="A49" s="47">
        <f>IFERROR(__xludf.DUMMYFUNCTION("""COMPUTED_VALUE"""),45812.6458333333)</f>
        <v>45812.6458333333</v>
      </c>
      <c r="B49" s="48">
        <f>IFERROR(__xludf.DUMMYFUNCTION("""COMPUTED_VALUE"""),1171)</f>
        <v>1171</v>
      </c>
      <c r="C49" s="47">
        <f>IFERROR(__xludf.DUMMYFUNCTION("""COMPUTED_VALUE"""),45812.6458333333)</f>
        <v>45812.6458333333</v>
      </c>
      <c r="D49" s="48">
        <f>IFERROR(__xludf.DUMMYFUNCTION("""COMPUTED_VALUE"""),1181.8)</f>
        <v>1181.8</v>
      </c>
      <c r="E49" s="47">
        <f>IFERROR(__xludf.DUMMYFUNCTION("""COMPUTED_VALUE"""),45812.6458333333)</f>
        <v>45812.6458333333</v>
      </c>
      <c r="F49" s="48">
        <f>IFERROR(__xludf.DUMMYFUNCTION("""COMPUTED_VALUE"""),4306355)</f>
        <v>4306355</v>
      </c>
      <c r="G49" s="47">
        <f>IFERROR(__xludf.DUMMYFUNCTION("""COMPUTED_VALUE"""),45812.6458333333)</f>
        <v>45812.6458333333</v>
      </c>
      <c r="H49" s="48">
        <f>IFERROR(__xludf.DUMMYFUNCTION("""COMPUTED_VALUE"""),1191.3)</f>
        <v>1191.3</v>
      </c>
      <c r="I49" s="47">
        <f>IFERROR(__xludf.DUMMYFUNCTION("""COMPUTED_VALUE"""),45812.6458333333)</f>
        <v>45812.6458333333</v>
      </c>
      <c r="J49" s="48">
        <f>IFERROR(__xludf.DUMMYFUNCTION("""COMPUTED_VALUE"""),1168.6)</f>
        <v>1168.6</v>
      </c>
      <c r="K49" s="3">
        <f t="shared" si="2"/>
        <v>0</v>
      </c>
      <c r="L49" s="3">
        <f t="shared" si="3"/>
        <v>0</v>
      </c>
    </row>
    <row r="50" customHeight="1" spans="1:12">
      <c r="A50" s="47">
        <f>IFERROR(__xludf.DUMMYFUNCTION("""COMPUTED_VALUE"""),45813.6458333333)</f>
        <v>45813.6458333333</v>
      </c>
      <c r="B50" s="48">
        <f>IFERROR(__xludf.DUMMYFUNCTION("""COMPUTED_VALUE"""),1159)</f>
        <v>1159</v>
      </c>
      <c r="C50" s="47">
        <f>IFERROR(__xludf.DUMMYFUNCTION("""COMPUTED_VALUE"""),45813.6458333333)</f>
        <v>45813.6458333333</v>
      </c>
      <c r="D50" s="48">
        <f>IFERROR(__xludf.DUMMYFUNCTION("""COMPUTED_VALUE"""),1172.5)</f>
        <v>1172.5</v>
      </c>
      <c r="E50" s="47">
        <f>IFERROR(__xludf.DUMMYFUNCTION("""COMPUTED_VALUE"""),45813.6458333333)</f>
        <v>45813.6458333333</v>
      </c>
      <c r="F50" s="48">
        <f>IFERROR(__xludf.DUMMYFUNCTION("""COMPUTED_VALUE"""),10481600)</f>
        <v>10481600</v>
      </c>
      <c r="G50" s="47">
        <f>IFERROR(__xludf.DUMMYFUNCTION("""COMPUTED_VALUE"""),45813.6458333333)</f>
        <v>45813.6458333333</v>
      </c>
      <c r="H50" s="48">
        <f>IFERROR(__xludf.DUMMYFUNCTION("""COMPUTED_VALUE"""),1175.5)</f>
        <v>1175.5</v>
      </c>
      <c r="I50" s="47">
        <f>IFERROR(__xludf.DUMMYFUNCTION("""COMPUTED_VALUE"""),45813.6458333333)</f>
        <v>45813.6458333333</v>
      </c>
      <c r="J50" s="48">
        <f>IFERROR(__xludf.DUMMYFUNCTION("""COMPUTED_VALUE"""),1157)</f>
        <v>1157</v>
      </c>
      <c r="K50" s="3">
        <f t="shared" si="2"/>
        <v>0</v>
      </c>
      <c r="L50" s="3">
        <f t="shared" si="3"/>
        <v>1159</v>
      </c>
    </row>
    <row r="51" customHeight="1" spans="1:12">
      <c r="A51" s="47">
        <f>IFERROR(__xludf.DUMMYFUNCTION("""COMPUTED_VALUE"""),45814.6458333333)</f>
        <v>45814.6458333333</v>
      </c>
      <c r="B51" s="48">
        <f>IFERROR(__xludf.DUMMYFUNCTION("""COMPUTED_VALUE"""),1194.6)</f>
        <v>1194.6</v>
      </c>
      <c r="C51" s="47">
        <f>IFERROR(__xludf.DUMMYFUNCTION("""COMPUTED_VALUE"""),45814.6458333333)</f>
        <v>45814.6458333333</v>
      </c>
      <c r="D51" s="48">
        <f>IFERROR(__xludf.DUMMYFUNCTION("""COMPUTED_VALUE"""),1158.9)</f>
        <v>1158.9</v>
      </c>
      <c r="E51" s="47">
        <f>IFERROR(__xludf.DUMMYFUNCTION("""COMPUTED_VALUE"""),45814.6458333333)</f>
        <v>45814.6458333333</v>
      </c>
      <c r="F51" s="48">
        <f>IFERROR(__xludf.DUMMYFUNCTION("""COMPUTED_VALUE"""),14715421)</f>
        <v>14715421</v>
      </c>
      <c r="G51" s="47">
        <f>IFERROR(__xludf.DUMMYFUNCTION("""COMPUTED_VALUE"""),45814.6458333333)</f>
        <v>45814.6458333333</v>
      </c>
      <c r="H51" s="48">
        <f>IFERROR(__xludf.DUMMYFUNCTION("""COMPUTED_VALUE"""),1201.2)</f>
        <v>1201.2</v>
      </c>
      <c r="I51" s="47">
        <f>IFERROR(__xludf.DUMMYFUNCTION("""COMPUTED_VALUE"""),45814.6458333333)</f>
        <v>45814.6458333333</v>
      </c>
      <c r="J51" s="48">
        <f>IFERROR(__xludf.DUMMYFUNCTION("""COMPUTED_VALUE"""),1151.2)</f>
        <v>1151.2</v>
      </c>
      <c r="K51" s="3">
        <f t="shared" si="2"/>
        <v>0</v>
      </c>
      <c r="L51" s="3">
        <f t="shared" si="3"/>
        <v>0</v>
      </c>
    </row>
    <row r="52" customHeight="1" spans="1:12">
      <c r="A52" s="47">
        <f>IFERROR(__xludf.DUMMYFUNCTION("""COMPUTED_VALUE"""),45817.6458333333)</f>
        <v>45817.6458333333</v>
      </c>
      <c r="B52" s="48">
        <f>IFERROR(__xludf.DUMMYFUNCTION("""COMPUTED_VALUE"""),1219.9)</f>
        <v>1219.9</v>
      </c>
      <c r="C52" s="47">
        <f>IFERROR(__xludf.DUMMYFUNCTION("""COMPUTED_VALUE"""),45817.6458333333)</f>
        <v>45817.6458333333</v>
      </c>
      <c r="D52" s="48">
        <f>IFERROR(__xludf.DUMMYFUNCTION("""COMPUTED_VALUE"""),1212.5)</f>
        <v>1212.5</v>
      </c>
      <c r="E52" s="47">
        <f>IFERROR(__xludf.DUMMYFUNCTION("""COMPUTED_VALUE"""),45817.6458333333)</f>
        <v>45817.6458333333</v>
      </c>
      <c r="F52" s="48">
        <f>IFERROR(__xludf.DUMMYFUNCTION("""COMPUTED_VALUE"""),9138108)</f>
        <v>9138108</v>
      </c>
      <c r="G52" s="47">
        <f>IFERROR(__xludf.DUMMYFUNCTION("""COMPUTED_VALUE"""),45817.6458333333)</f>
        <v>45817.6458333333</v>
      </c>
      <c r="H52" s="48">
        <f>IFERROR(__xludf.DUMMYFUNCTION("""COMPUTED_VALUE"""),1224.5)</f>
        <v>1224.5</v>
      </c>
      <c r="I52" s="47">
        <f>IFERROR(__xludf.DUMMYFUNCTION("""COMPUTED_VALUE"""),45817.6458333333)</f>
        <v>45817.6458333333</v>
      </c>
      <c r="J52" s="48">
        <f>IFERROR(__xludf.DUMMYFUNCTION("""COMPUTED_VALUE"""),1206.2)</f>
        <v>1206.2</v>
      </c>
      <c r="K52" s="3">
        <f t="shared" si="2"/>
        <v>0</v>
      </c>
      <c r="L52" s="3">
        <f t="shared" si="3"/>
        <v>0</v>
      </c>
    </row>
    <row r="53" customHeight="1" spans="1:12">
      <c r="A53" s="47">
        <f>IFERROR(__xludf.DUMMYFUNCTION("""COMPUTED_VALUE"""),45818.6458333333)</f>
        <v>45818.6458333333</v>
      </c>
      <c r="B53" s="48">
        <f>IFERROR(__xludf.DUMMYFUNCTION("""COMPUTED_VALUE"""),1232.8)</f>
        <v>1232.8</v>
      </c>
      <c r="C53" s="47">
        <f>IFERROR(__xludf.DUMMYFUNCTION("""COMPUTED_VALUE"""),45818.6458333333)</f>
        <v>45818.6458333333</v>
      </c>
      <c r="D53" s="48">
        <f>IFERROR(__xludf.DUMMYFUNCTION("""COMPUTED_VALUE"""),1224.4)</f>
        <v>1224.4</v>
      </c>
      <c r="E53" s="47">
        <f>IFERROR(__xludf.DUMMYFUNCTION("""COMPUTED_VALUE"""),45818.6458333333)</f>
        <v>45818.6458333333</v>
      </c>
      <c r="F53" s="48">
        <f>IFERROR(__xludf.DUMMYFUNCTION("""COMPUTED_VALUE"""),7747558)</f>
        <v>7747558</v>
      </c>
      <c r="G53" s="47">
        <f>IFERROR(__xludf.DUMMYFUNCTION("""COMPUTED_VALUE"""),45818.6458333333)</f>
        <v>45818.6458333333</v>
      </c>
      <c r="H53" s="48">
        <f>IFERROR(__xludf.DUMMYFUNCTION("""COMPUTED_VALUE"""),1235.9)</f>
        <v>1235.9</v>
      </c>
      <c r="I53" s="47">
        <f>IFERROR(__xludf.DUMMYFUNCTION("""COMPUTED_VALUE"""),45818.6458333333)</f>
        <v>45818.6458333333</v>
      </c>
      <c r="J53" s="48">
        <f>IFERROR(__xludf.DUMMYFUNCTION("""COMPUTED_VALUE"""),1218.4)</f>
        <v>1218.4</v>
      </c>
      <c r="K53" s="3">
        <f t="shared" si="2"/>
        <v>1232.8</v>
      </c>
      <c r="L53" s="3">
        <f t="shared" si="3"/>
        <v>0</v>
      </c>
    </row>
    <row r="54" customHeight="1" spans="1:12">
      <c r="A54" s="47">
        <f>IFERROR(__xludf.DUMMYFUNCTION("""COMPUTED_VALUE"""),45819.6458333333)</f>
        <v>45819.6458333333</v>
      </c>
      <c r="B54" s="48">
        <f>IFERROR(__xludf.DUMMYFUNCTION("""COMPUTED_VALUE"""),1231.4)</f>
        <v>1231.4</v>
      </c>
      <c r="C54" s="47">
        <f>IFERROR(__xludf.DUMMYFUNCTION("""COMPUTED_VALUE"""),45819.6458333333)</f>
        <v>45819.6458333333</v>
      </c>
      <c r="D54" s="48">
        <f>IFERROR(__xludf.DUMMYFUNCTION("""COMPUTED_VALUE"""),1232.6)</f>
        <v>1232.6</v>
      </c>
      <c r="E54" s="47">
        <f>IFERROR(__xludf.DUMMYFUNCTION("""COMPUTED_VALUE"""),45819.6458333333)</f>
        <v>45819.6458333333</v>
      </c>
      <c r="F54" s="48">
        <f>IFERROR(__xludf.DUMMYFUNCTION("""COMPUTED_VALUE"""),4135775)</f>
        <v>4135775</v>
      </c>
      <c r="G54" s="47">
        <f>IFERROR(__xludf.DUMMYFUNCTION("""COMPUTED_VALUE"""),45819.6458333333)</f>
        <v>45819.6458333333</v>
      </c>
      <c r="H54" s="48">
        <f>IFERROR(__xludf.DUMMYFUNCTION("""COMPUTED_VALUE"""),1241.8)</f>
        <v>1241.8</v>
      </c>
      <c r="I54" s="47">
        <f>IFERROR(__xludf.DUMMYFUNCTION("""COMPUTED_VALUE"""),45819.6458333333)</f>
        <v>45819.6458333333</v>
      </c>
      <c r="J54" s="48">
        <f>IFERROR(__xludf.DUMMYFUNCTION("""COMPUTED_VALUE"""),1228.1)</f>
        <v>1228.1</v>
      </c>
      <c r="K54" s="3">
        <f t="shared" si="2"/>
        <v>0</v>
      </c>
      <c r="L54" s="3">
        <f t="shared" si="3"/>
        <v>0</v>
      </c>
    </row>
    <row r="55" customHeight="1" spans="1:12">
      <c r="A55" s="47">
        <f>IFERROR(__xludf.DUMMYFUNCTION("""COMPUTED_VALUE"""),45820.6458333333)</f>
        <v>45820.6458333333</v>
      </c>
      <c r="B55" s="48">
        <f>IFERROR(__xludf.DUMMYFUNCTION("""COMPUTED_VALUE"""),1212.9)</f>
        <v>1212.9</v>
      </c>
      <c r="C55" s="47">
        <f>IFERROR(__xludf.DUMMYFUNCTION("""COMPUTED_VALUE"""),45820.6458333333)</f>
        <v>45820.6458333333</v>
      </c>
      <c r="D55" s="48">
        <f>IFERROR(__xludf.DUMMYFUNCTION("""COMPUTED_VALUE"""),1231)</f>
        <v>1231</v>
      </c>
      <c r="E55" s="47">
        <f>IFERROR(__xludf.DUMMYFUNCTION("""COMPUTED_VALUE"""),45820.6458333333)</f>
        <v>45820.6458333333</v>
      </c>
      <c r="F55" s="48">
        <f>IFERROR(__xludf.DUMMYFUNCTION("""COMPUTED_VALUE"""),3461744)</f>
        <v>3461744</v>
      </c>
      <c r="G55" s="47">
        <f>IFERROR(__xludf.DUMMYFUNCTION("""COMPUTED_VALUE"""),45820.6458333333)</f>
        <v>45820.6458333333</v>
      </c>
      <c r="H55" s="48">
        <f>IFERROR(__xludf.DUMMYFUNCTION("""COMPUTED_VALUE"""),1237.1)</f>
        <v>1237.1</v>
      </c>
      <c r="I55" s="47">
        <f>IFERROR(__xludf.DUMMYFUNCTION("""COMPUTED_VALUE"""),45820.6458333333)</f>
        <v>45820.6458333333</v>
      </c>
      <c r="J55" s="48">
        <f>IFERROR(__xludf.DUMMYFUNCTION("""COMPUTED_VALUE"""),1210.8)</f>
        <v>1210.8</v>
      </c>
      <c r="K55" s="3">
        <f t="shared" si="2"/>
        <v>0</v>
      </c>
      <c r="L55" s="3">
        <f t="shared" si="3"/>
        <v>0</v>
      </c>
    </row>
    <row r="56" customHeight="1" spans="1:12">
      <c r="A56" s="47">
        <f>IFERROR(__xludf.DUMMYFUNCTION("""COMPUTED_VALUE"""),45821.6458333333)</f>
        <v>45821.6458333333</v>
      </c>
      <c r="B56" s="48">
        <f>IFERROR(__xludf.DUMMYFUNCTION("""COMPUTED_VALUE"""),1205.8)</f>
        <v>1205.8</v>
      </c>
      <c r="C56" s="47">
        <f>IFERROR(__xludf.DUMMYFUNCTION("""COMPUTED_VALUE"""),45821.6458333333)</f>
        <v>45821.6458333333</v>
      </c>
      <c r="D56" s="48">
        <f>IFERROR(__xludf.DUMMYFUNCTION("""COMPUTED_VALUE"""),1198)</f>
        <v>1198</v>
      </c>
      <c r="E56" s="47">
        <f>IFERROR(__xludf.DUMMYFUNCTION("""COMPUTED_VALUE"""),45821.6458333333)</f>
        <v>45821.6458333333</v>
      </c>
      <c r="F56" s="48">
        <f>IFERROR(__xludf.DUMMYFUNCTION("""COMPUTED_VALUE"""),3906868)</f>
        <v>3906868</v>
      </c>
      <c r="G56" s="47">
        <f>IFERROR(__xludf.DUMMYFUNCTION("""COMPUTED_VALUE"""),45821.6458333333)</f>
        <v>45821.6458333333</v>
      </c>
      <c r="H56" s="48">
        <f>IFERROR(__xludf.DUMMYFUNCTION("""COMPUTED_VALUE"""),1211.7)</f>
        <v>1211.7</v>
      </c>
      <c r="I56" s="47">
        <f>IFERROR(__xludf.DUMMYFUNCTION("""COMPUTED_VALUE"""),45821.6458333333)</f>
        <v>45821.6458333333</v>
      </c>
      <c r="J56" s="48">
        <f>IFERROR(__xludf.DUMMYFUNCTION("""COMPUTED_VALUE"""),1195.6)</f>
        <v>1195.6</v>
      </c>
      <c r="K56" s="3">
        <f t="shared" si="2"/>
        <v>0</v>
      </c>
      <c r="L56" s="3">
        <f t="shared" si="3"/>
        <v>0</v>
      </c>
    </row>
    <row r="57" customHeight="1" spans="1:12">
      <c r="A57" s="47">
        <f>IFERROR(__xludf.DUMMYFUNCTION("""COMPUTED_VALUE"""),45824.6458333333)</f>
        <v>45824.6458333333</v>
      </c>
      <c r="B57" s="48">
        <f>IFERROR(__xludf.DUMMYFUNCTION("""COMPUTED_VALUE"""),1215.4)</f>
        <v>1215.4</v>
      </c>
      <c r="C57" s="47">
        <f>IFERROR(__xludf.DUMMYFUNCTION("""COMPUTED_VALUE"""),45824.6458333333)</f>
        <v>45824.6458333333</v>
      </c>
      <c r="D57" s="48">
        <f>IFERROR(__xludf.DUMMYFUNCTION("""COMPUTED_VALUE"""),1206.1)</f>
        <v>1206.1</v>
      </c>
      <c r="E57" s="47">
        <f>IFERROR(__xludf.DUMMYFUNCTION("""COMPUTED_VALUE"""),45824.6458333333)</f>
        <v>45824.6458333333</v>
      </c>
      <c r="F57" s="48">
        <f>IFERROR(__xludf.DUMMYFUNCTION("""COMPUTED_VALUE"""),5697424)</f>
        <v>5697424</v>
      </c>
      <c r="G57" s="47">
        <f>IFERROR(__xludf.DUMMYFUNCTION("""COMPUTED_VALUE"""),45824.6458333333)</f>
        <v>45824.6458333333</v>
      </c>
      <c r="H57" s="48">
        <f>IFERROR(__xludf.DUMMYFUNCTION("""COMPUTED_VALUE"""),1218)</f>
        <v>1218</v>
      </c>
      <c r="I57" s="47">
        <f>IFERROR(__xludf.DUMMYFUNCTION("""COMPUTED_VALUE"""),45824.6458333333)</f>
        <v>45824.6458333333</v>
      </c>
      <c r="J57" s="48">
        <f>IFERROR(__xludf.DUMMYFUNCTION("""COMPUTED_VALUE"""),1196)</f>
        <v>1196</v>
      </c>
      <c r="K57" s="3">
        <f t="shared" si="2"/>
        <v>0</v>
      </c>
      <c r="L57" s="3">
        <f t="shared" si="3"/>
        <v>0</v>
      </c>
    </row>
    <row r="58" customHeight="1" spans="1:12">
      <c r="A58" s="47">
        <f>IFERROR(__xludf.DUMMYFUNCTION("""COMPUTED_VALUE"""),45825.6458333333)</f>
        <v>45825.6458333333</v>
      </c>
      <c r="B58" s="48">
        <f>IFERROR(__xludf.DUMMYFUNCTION("""COMPUTED_VALUE"""),1215.1)</f>
        <v>1215.1</v>
      </c>
      <c r="C58" s="47">
        <f>IFERROR(__xludf.DUMMYFUNCTION("""COMPUTED_VALUE"""),45825.6458333333)</f>
        <v>45825.6458333333</v>
      </c>
      <c r="D58" s="48">
        <f>IFERROR(__xludf.DUMMYFUNCTION("""COMPUTED_VALUE"""),1215.4)</f>
        <v>1215.4</v>
      </c>
      <c r="E58" s="47">
        <f>IFERROR(__xludf.DUMMYFUNCTION("""COMPUTED_VALUE"""),45825.6458333333)</f>
        <v>45825.6458333333</v>
      </c>
      <c r="F58" s="48">
        <f>IFERROR(__xludf.DUMMYFUNCTION("""COMPUTED_VALUE"""),4492946)</f>
        <v>4492946</v>
      </c>
      <c r="G58" s="47">
        <f>IFERROR(__xludf.DUMMYFUNCTION("""COMPUTED_VALUE"""),45825.6458333333)</f>
        <v>45825.6458333333</v>
      </c>
      <c r="H58" s="48">
        <f>IFERROR(__xludf.DUMMYFUNCTION("""COMPUTED_VALUE"""),1227)</f>
        <v>1227</v>
      </c>
      <c r="I58" s="47">
        <f>IFERROR(__xludf.DUMMYFUNCTION("""COMPUTED_VALUE"""),45825.6458333333)</f>
        <v>45825.6458333333</v>
      </c>
      <c r="J58" s="48">
        <f>IFERROR(__xludf.DUMMYFUNCTION("""COMPUTED_VALUE"""),1211.3)</f>
        <v>1211.3</v>
      </c>
      <c r="K58" s="3">
        <f t="shared" si="2"/>
        <v>0</v>
      </c>
      <c r="L58" s="3">
        <f t="shared" si="3"/>
        <v>0</v>
      </c>
    </row>
    <row r="59" customHeight="1" spans="1:12">
      <c r="A59" s="47">
        <f>IFERROR(__xludf.DUMMYFUNCTION("""COMPUTED_VALUE"""),45826.6458333333)</f>
        <v>45826.6458333333</v>
      </c>
      <c r="B59" s="48">
        <f>IFERROR(__xludf.DUMMYFUNCTION("""COMPUTED_VALUE"""),1221)</f>
        <v>1221</v>
      </c>
      <c r="C59" s="47">
        <f>IFERROR(__xludf.DUMMYFUNCTION("""COMPUTED_VALUE"""),45826.6458333333)</f>
        <v>45826.6458333333</v>
      </c>
      <c r="D59" s="48">
        <f>IFERROR(__xludf.DUMMYFUNCTION("""COMPUTED_VALUE"""),1209.8)</f>
        <v>1209.8</v>
      </c>
      <c r="E59" s="47">
        <f>IFERROR(__xludf.DUMMYFUNCTION("""COMPUTED_VALUE"""),45826.6458333333)</f>
        <v>45826.6458333333</v>
      </c>
      <c r="F59" s="48">
        <f>IFERROR(__xludf.DUMMYFUNCTION("""COMPUTED_VALUE"""),3135662)</f>
        <v>3135662</v>
      </c>
      <c r="G59" s="47">
        <f>IFERROR(__xludf.DUMMYFUNCTION("""COMPUTED_VALUE"""),45826.6458333333)</f>
        <v>45826.6458333333</v>
      </c>
      <c r="H59" s="48">
        <f>IFERROR(__xludf.DUMMYFUNCTION("""COMPUTED_VALUE"""),1223.3)</f>
        <v>1223.3</v>
      </c>
      <c r="I59" s="47">
        <f>IFERROR(__xludf.DUMMYFUNCTION("""COMPUTED_VALUE"""),45826.6458333333)</f>
        <v>45826.6458333333</v>
      </c>
      <c r="J59" s="48">
        <f>IFERROR(__xludf.DUMMYFUNCTION("""COMPUTED_VALUE"""),1203.9)</f>
        <v>1203.9</v>
      </c>
      <c r="K59" s="3">
        <f t="shared" si="2"/>
        <v>0</v>
      </c>
      <c r="L59" s="3">
        <f t="shared" si="3"/>
        <v>0</v>
      </c>
    </row>
    <row r="60" customHeight="1" spans="1:12">
      <c r="A60" s="47">
        <f>IFERROR(__xludf.DUMMYFUNCTION("""COMPUTED_VALUE"""),45827.6458333333)</f>
        <v>45827.6458333333</v>
      </c>
      <c r="B60" s="48">
        <f>IFERROR(__xludf.DUMMYFUNCTION("""COMPUTED_VALUE"""),1217.5)</f>
        <v>1217.5</v>
      </c>
      <c r="C60" s="47">
        <f>IFERROR(__xludf.DUMMYFUNCTION("""COMPUTED_VALUE"""),45827.6458333333)</f>
        <v>45827.6458333333</v>
      </c>
      <c r="D60" s="48">
        <f>IFERROR(__xludf.DUMMYFUNCTION("""COMPUTED_VALUE"""),1218)</f>
        <v>1218</v>
      </c>
      <c r="E60" s="47">
        <f>IFERROR(__xludf.DUMMYFUNCTION("""COMPUTED_VALUE"""),45827.6458333333)</f>
        <v>45827.6458333333</v>
      </c>
      <c r="F60" s="48">
        <f>IFERROR(__xludf.DUMMYFUNCTION("""COMPUTED_VALUE"""),4243763)</f>
        <v>4243763</v>
      </c>
      <c r="G60" s="47">
        <f>IFERROR(__xludf.DUMMYFUNCTION("""COMPUTED_VALUE"""),45827.6458333333)</f>
        <v>45827.6458333333</v>
      </c>
      <c r="H60" s="48">
        <f>IFERROR(__xludf.DUMMYFUNCTION("""COMPUTED_VALUE"""),1227.8)</f>
        <v>1227.8</v>
      </c>
      <c r="I60" s="47">
        <f>IFERROR(__xludf.DUMMYFUNCTION("""COMPUTED_VALUE"""),45827.6458333333)</f>
        <v>45827.6458333333</v>
      </c>
      <c r="J60" s="48">
        <f>IFERROR(__xludf.DUMMYFUNCTION("""COMPUTED_VALUE"""),1213.8)</f>
        <v>1213.8</v>
      </c>
      <c r="K60" s="3">
        <f t="shared" si="2"/>
        <v>0</v>
      </c>
      <c r="L60" s="3">
        <f t="shared" si="3"/>
        <v>0</v>
      </c>
    </row>
    <row r="61" customHeight="1" spans="1:12">
      <c r="A61" s="47">
        <f>IFERROR(__xludf.DUMMYFUNCTION("""COMPUTED_VALUE"""),45828.6458333333)</f>
        <v>45828.6458333333</v>
      </c>
      <c r="B61" s="48">
        <f>IFERROR(__xludf.DUMMYFUNCTION("""COMPUTED_VALUE"""),1220.7)</f>
        <v>1220.7</v>
      </c>
      <c r="C61" s="47">
        <f>IFERROR(__xludf.DUMMYFUNCTION("""COMPUTED_VALUE"""),45828.6458333333)</f>
        <v>45828.6458333333</v>
      </c>
      <c r="D61" s="48">
        <f>IFERROR(__xludf.DUMMYFUNCTION("""COMPUTED_VALUE"""),1217.5)</f>
        <v>1217.5</v>
      </c>
      <c r="E61" s="47">
        <f>IFERROR(__xludf.DUMMYFUNCTION("""COMPUTED_VALUE"""),45828.6458333333)</f>
        <v>45828.6458333333</v>
      </c>
      <c r="F61" s="48">
        <f>IFERROR(__xludf.DUMMYFUNCTION("""COMPUTED_VALUE"""),4652390)</f>
        <v>4652390</v>
      </c>
      <c r="G61" s="47">
        <f>IFERROR(__xludf.DUMMYFUNCTION("""COMPUTED_VALUE"""),45828.6458333333)</f>
        <v>45828.6458333333</v>
      </c>
      <c r="H61" s="48">
        <f>IFERROR(__xludf.DUMMYFUNCTION("""COMPUTED_VALUE"""),1226)</f>
        <v>1226</v>
      </c>
      <c r="I61" s="47">
        <f>IFERROR(__xludf.DUMMYFUNCTION("""COMPUTED_VALUE"""),45828.6458333333)</f>
        <v>45828.6458333333</v>
      </c>
      <c r="J61" s="48">
        <f>IFERROR(__xludf.DUMMYFUNCTION("""COMPUTED_VALUE"""),1214.2)</f>
        <v>1214.2</v>
      </c>
      <c r="K61" s="3">
        <f t="shared" si="2"/>
        <v>0</v>
      </c>
      <c r="L61" s="3">
        <f t="shared" si="3"/>
        <v>0</v>
      </c>
    </row>
    <row r="62" customHeight="1" spans="1:12">
      <c r="A62" s="47">
        <f>IFERROR(__xludf.DUMMYFUNCTION("""COMPUTED_VALUE"""),45831.6458333333)</f>
        <v>45831.6458333333</v>
      </c>
      <c r="B62" s="48">
        <f>IFERROR(__xludf.DUMMYFUNCTION("""COMPUTED_VALUE"""),1214.1)</f>
        <v>1214.1</v>
      </c>
      <c r="C62" s="47">
        <f>IFERROR(__xludf.DUMMYFUNCTION("""COMPUTED_VALUE"""),45831.6458333333)</f>
        <v>45831.6458333333</v>
      </c>
      <c r="D62" s="48">
        <f>IFERROR(__xludf.DUMMYFUNCTION("""COMPUTED_VALUE"""),1212.6)</f>
        <v>1212.6</v>
      </c>
      <c r="E62" s="47">
        <f>IFERROR(__xludf.DUMMYFUNCTION("""COMPUTED_VALUE"""),45831.6458333333)</f>
        <v>45831.6458333333</v>
      </c>
      <c r="F62" s="48">
        <f>IFERROR(__xludf.DUMMYFUNCTION("""COMPUTED_VALUE"""),2312469)</f>
        <v>2312469</v>
      </c>
      <c r="G62" s="47">
        <f>IFERROR(__xludf.DUMMYFUNCTION("""COMPUTED_VALUE"""),45831.6458333333)</f>
        <v>45831.6458333333</v>
      </c>
      <c r="H62" s="48">
        <f>IFERROR(__xludf.DUMMYFUNCTION("""COMPUTED_VALUE"""),1222.9)</f>
        <v>1222.9</v>
      </c>
      <c r="I62" s="47">
        <f>IFERROR(__xludf.DUMMYFUNCTION("""COMPUTED_VALUE"""),45831.6458333333)</f>
        <v>45831.6458333333</v>
      </c>
      <c r="J62" s="48">
        <f>IFERROR(__xludf.DUMMYFUNCTION("""COMPUTED_VALUE"""),1205.6)</f>
        <v>1205.6</v>
      </c>
      <c r="K62" s="3">
        <f t="shared" si="2"/>
        <v>0</v>
      </c>
      <c r="L62" s="3">
        <f t="shared" si="3"/>
        <v>0</v>
      </c>
    </row>
    <row r="63" customHeight="1" spans="1:12">
      <c r="A63" s="47">
        <f>IFERROR(__xludf.DUMMYFUNCTION("""COMPUTED_VALUE"""),45832.6458333333)</f>
        <v>45832.6458333333</v>
      </c>
      <c r="B63" s="48">
        <f>IFERROR(__xludf.DUMMYFUNCTION("""COMPUTED_VALUE"""),1221.2)</f>
        <v>1221.2</v>
      </c>
      <c r="C63" s="47">
        <f>IFERROR(__xludf.DUMMYFUNCTION("""COMPUTED_VALUE"""),45832.6458333333)</f>
        <v>45832.6458333333</v>
      </c>
      <c r="D63" s="48">
        <f>IFERROR(__xludf.DUMMYFUNCTION("""COMPUTED_VALUE"""),1222.9)</f>
        <v>1222.9</v>
      </c>
      <c r="E63" s="47">
        <f>IFERROR(__xludf.DUMMYFUNCTION("""COMPUTED_VALUE"""),45832.6458333333)</f>
        <v>45832.6458333333</v>
      </c>
      <c r="F63" s="48">
        <f>IFERROR(__xludf.DUMMYFUNCTION("""COMPUTED_VALUE"""),6745788)</f>
        <v>6745788</v>
      </c>
      <c r="G63" s="47">
        <f>IFERROR(__xludf.DUMMYFUNCTION("""COMPUTED_VALUE"""),45832.6458333333)</f>
        <v>45832.6458333333</v>
      </c>
      <c r="H63" s="48">
        <f>IFERROR(__xludf.DUMMYFUNCTION("""COMPUTED_VALUE"""),1238.4)</f>
        <v>1238.4</v>
      </c>
      <c r="I63" s="47">
        <f>IFERROR(__xludf.DUMMYFUNCTION("""COMPUTED_VALUE"""),45832.6458333333)</f>
        <v>45832.6458333333</v>
      </c>
      <c r="J63" s="48">
        <f>IFERROR(__xludf.DUMMYFUNCTION("""COMPUTED_VALUE"""),1215.6)</f>
        <v>1215.6</v>
      </c>
      <c r="K63" s="3">
        <f t="shared" si="2"/>
        <v>0</v>
      </c>
      <c r="L63" s="3">
        <f t="shared" si="3"/>
        <v>0</v>
      </c>
    </row>
    <row r="64" customHeight="1" spans="1:12">
      <c r="A64" s="47">
        <f>IFERROR(__xludf.DUMMYFUNCTION("""COMPUTED_VALUE"""),45833.6458333333)</f>
        <v>45833.6458333333</v>
      </c>
      <c r="B64" s="48">
        <f>IFERROR(__xludf.DUMMYFUNCTION("""COMPUTED_VALUE"""),1213.3)</f>
        <v>1213.3</v>
      </c>
      <c r="C64" s="47">
        <f>IFERROR(__xludf.DUMMYFUNCTION("""COMPUTED_VALUE"""),45833.6458333333)</f>
        <v>45833.6458333333</v>
      </c>
      <c r="D64" s="48">
        <f>IFERROR(__xludf.DUMMYFUNCTION("""COMPUTED_VALUE"""),1226.3)</f>
        <v>1226.3</v>
      </c>
      <c r="E64" s="47">
        <f>IFERROR(__xludf.DUMMYFUNCTION("""COMPUTED_VALUE"""),45833.6458333333)</f>
        <v>45833.6458333333</v>
      </c>
      <c r="F64" s="48">
        <f>IFERROR(__xludf.DUMMYFUNCTION("""COMPUTED_VALUE"""),4229259)</f>
        <v>4229259</v>
      </c>
      <c r="G64" s="47">
        <f>IFERROR(__xludf.DUMMYFUNCTION("""COMPUTED_VALUE"""),45833.6458333333)</f>
        <v>45833.6458333333</v>
      </c>
      <c r="H64" s="48">
        <f>IFERROR(__xludf.DUMMYFUNCTION("""COMPUTED_VALUE"""),1226.3)</f>
        <v>1226.3</v>
      </c>
      <c r="I64" s="47">
        <f>IFERROR(__xludf.DUMMYFUNCTION("""COMPUTED_VALUE"""),45833.6458333333)</f>
        <v>45833.6458333333</v>
      </c>
      <c r="J64" s="48">
        <f>IFERROR(__xludf.DUMMYFUNCTION("""COMPUTED_VALUE"""),1211)</f>
        <v>1211</v>
      </c>
      <c r="K64" s="3">
        <f t="shared" si="2"/>
        <v>0</v>
      </c>
      <c r="L64" s="3">
        <f t="shared" si="3"/>
        <v>0</v>
      </c>
    </row>
    <row r="65" customHeight="1" spans="1:12">
      <c r="A65" s="47">
        <f>IFERROR(__xludf.DUMMYFUNCTION("""COMPUTED_VALUE"""),45834.6458333333)</f>
        <v>45834.6458333333</v>
      </c>
      <c r="B65" s="48">
        <f>IFERROR(__xludf.DUMMYFUNCTION("""COMPUTED_VALUE"""),1233.5)</f>
        <v>1233.5</v>
      </c>
      <c r="C65" s="47">
        <f>IFERROR(__xludf.DUMMYFUNCTION("""COMPUTED_VALUE"""),45834.6458333333)</f>
        <v>45834.6458333333</v>
      </c>
      <c r="D65" s="48">
        <f>IFERROR(__xludf.DUMMYFUNCTION("""COMPUTED_VALUE"""),1215.2)</f>
        <v>1215.2</v>
      </c>
      <c r="E65" s="47">
        <f>IFERROR(__xludf.DUMMYFUNCTION("""COMPUTED_VALUE"""),45834.6458333333)</f>
        <v>45834.6458333333</v>
      </c>
      <c r="F65" s="48">
        <f>IFERROR(__xludf.DUMMYFUNCTION("""COMPUTED_VALUE"""),8678448)</f>
        <v>8678448</v>
      </c>
      <c r="G65" s="47">
        <f>IFERROR(__xludf.DUMMYFUNCTION("""COMPUTED_VALUE"""),45834.6458333333)</f>
        <v>45834.6458333333</v>
      </c>
      <c r="H65" s="48">
        <f>IFERROR(__xludf.DUMMYFUNCTION("""COMPUTED_VALUE"""),1239)</f>
        <v>1239</v>
      </c>
      <c r="I65" s="47">
        <f>IFERROR(__xludf.DUMMYFUNCTION("""COMPUTED_VALUE"""),45834.6458333333)</f>
        <v>45834.6458333333</v>
      </c>
      <c r="J65" s="48">
        <f>IFERROR(__xludf.DUMMYFUNCTION("""COMPUTED_VALUE"""),1211.2)</f>
        <v>1211.2</v>
      </c>
      <c r="K65" s="3">
        <f t="shared" si="2"/>
        <v>1233.5</v>
      </c>
      <c r="L65" s="3">
        <f t="shared" si="3"/>
        <v>0</v>
      </c>
    </row>
    <row r="66" customHeight="1" spans="1:12">
      <c r="A66" s="47">
        <f>IFERROR(__xludf.DUMMYFUNCTION("""COMPUTED_VALUE"""),45835.6458333333)</f>
        <v>45835.6458333333</v>
      </c>
      <c r="B66" s="48">
        <f>IFERROR(__xludf.DUMMYFUNCTION("""COMPUTED_VALUE"""),1225.1)</f>
        <v>1225.1</v>
      </c>
      <c r="C66" s="47">
        <f>IFERROR(__xludf.DUMMYFUNCTION("""COMPUTED_VALUE"""),45835.6458333333)</f>
        <v>45835.6458333333</v>
      </c>
      <c r="D66" s="48">
        <f>IFERROR(__xludf.DUMMYFUNCTION("""COMPUTED_VALUE"""),1236.9)</f>
        <v>1236.9</v>
      </c>
      <c r="E66" s="47">
        <f>IFERROR(__xludf.DUMMYFUNCTION("""COMPUTED_VALUE"""),45835.6458333333)</f>
        <v>45835.6458333333</v>
      </c>
      <c r="F66" s="48">
        <f>IFERROR(__xludf.DUMMYFUNCTION("""COMPUTED_VALUE"""),6068274)</f>
        <v>6068274</v>
      </c>
      <c r="G66" s="47">
        <f>IFERROR(__xludf.DUMMYFUNCTION("""COMPUTED_VALUE"""),45835.6458333333)</f>
        <v>45835.6458333333</v>
      </c>
      <c r="H66" s="48">
        <f>IFERROR(__xludf.DUMMYFUNCTION("""COMPUTED_VALUE"""),1247)</f>
        <v>1247</v>
      </c>
      <c r="I66" s="47">
        <f>IFERROR(__xludf.DUMMYFUNCTION("""COMPUTED_VALUE"""),45835.6458333333)</f>
        <v>45835.6458333333</v>
      </c>
      <c r="J66" s="48">
        <f>IFERROR(__xludf.DUMMYFUNCTION("""COMPUTED_VALUE"""),1220.4)</f>
        <v>1220.4</v>
      </c>
      <c r="K66" s="3">
        <f t="shared" si="2"/>
        <v>0</v>
      </c>
      <c r="L66" s="3">
        <f t="shared" si="3"/>
        <v>0</v>
      </c>
    </row>
    <row r="67" customHeight="1" spans="1:12">
      <c r="A67" s="47">
        <f>IFERROR(__xludf.DUMMYFUNCTION("""COMPUTED_VALUE"""),45838.6458333333)</f>
        <v>45838.6458333333</v>
      </c>
      <c r="B67" s="48">
        <f>IFERROR(__xludf.DUMMYFUNCTION("""COMPUTED_VALUE"""),1199.2)</f>
        <v>1199.2</v>
      </c>
      <c r="C67" s="47">
        <f>IFERROR(__xludf.DUMMYFUNCTION("""COMPUTED_VALUE"""),45838.6458333333)</f>
        <v>45838.6458333333</v>
      </c>
      <c r="D67" s="48">
        <f>IFERROR(__xludf.DUMMYFUNCTION("""COMPUTED_VALUE"""),1228.9)</f>
        <v>1228.9</v>
      </c>
      <c r="E67" s="47">
        <f>IFERROR(__xludf.DUMMYFUNCTION("""COMPUTED_VALUE"""),45838.6458333333)</f>
        <v>45838.6458333333</v>
      </c>
      <c r="F67" s="48">
        <f>IFERROR(__xludf.DUMMYFUNCTION("""COMPUTED_VALUE"""),6559872)</f>
        <v>6559872</v>
      </c>
      <c r="G67" s="47">
        <f>IFERROR(__xludf.DUMMYFUNCTION("""COMPUTED_VALUE"""),45838.6458333333)</f>
        <v>45838.6458333333</v>
      </c>
      <c r="H67" s="48">
        <f>IFERROR(__xludf.DUMMYFUNCTION("""COMPUTED_VALUE"""),1236)</f>
        <v>1236</v>
      </c>
      <c r="I67" s="47">
        <f>IFERROR(__xludf.DUMMYFUNCTION("""COMPUTED_VALUE"""),45838.6458333333)</f>
        <v>45838.6458333333</v>
      </c>
      <c r="J67" s="48">
        <f>IFERROR(__xludf.DUMMYFUNCTION("""COMPUTED_VALUE"""),1193.1)</f>
        <v>1193.1</v>
      </c>
      <c r="K67" s="3">
        <f t="shared" si="2"/>
        <v>0</v>
      </c>
      <c r="L67" s="3">
        <f t="shared" si="3"/>
        <v>0</v>
      </c>
    </row>
    <row r="68" customHeight="1" spans="1:12">
      <c r="A68" s="47">
        <f>IFERROR(__xludf.DUMMYFUNCTION("""COMPUTED_VALUE"""),45839.6458333333)</f>
        <v>45839.6458333333</v>
      </c>
      <c r="B68" s="48">
        <f>IFERROR(__xludf.DUMMYFUNCTION("""COMPUTED_VALUE"""),1173.3)</f>
        <v>1173.3</v>
      </c>
      <c r="C68" s="47">
        <f>IFERROR(__xludf.DUMMYFUNCTION("""COMPUTED_VALUE"""),45839.6458333333)</f>
        <v>45839.6458333333</v>
      </c>
      <c r="D68" s="48">
        <f>IFERROR(__xludf.DUMMYFUNCTION("""COMPUTED_VALUE"""),1202)</f>
        <v>1202</v>
      </c>
      <c r="E68" s="47">
        <f>IFERROR(__xludf.DUMMYFUNCTION("""COMPUTED_VALUE"""),45839.6458333333)</f>
        <v>45839.6458333333</v>
      </c>
      <c r="F68" s="48">
        <f>IFERROR(__xludf.DUMMYFUNCTION("""COMPUTED_VALUE"""),8702198)</f>
        <v>8702198</v>
      </c>
      <c r="G68" s="47">
        <f>IFERROR(__xludf.DUMMYFUNCTION("""COMPUTED_VALUE"""),45839.6458333333)</f>
        <v>45839.6458333333</v>
      </c>
      <c r="H68" s="48">
        <f>IFERROR(__xludf.DUMMYFUNCTION("""COMPUTED_VALUE"""),1202)</f>
        <v>1202</v>
      </c>
      <c r="I68" s="47">
        <f>IFERROR(__xludf.DUMMYFUNCTION("""COMPUTED_VALUE"""),45839.6458333333)</f>
        <v>45839.6458333333</v>
      </c>
      <c r="J68" s="48">
        <f>IFERROR(__xludf.DUMMYFUNCTION("""COMPUTED_VALUE"""),1167)</f>
        <v>1167</v>
      </c>
      <c r="K68" s="3">
        <f t="shared" si="2"/>
        <v>0</v>
      </c>
      <c r="L68" s="3">
        <f t="shared" si="3"/>
        <v>0</v>
      </c>
    </row>
    <row r="69" customHeight="1" spans="1:12">
      <c r="A69" s="47">
        <f>IFERROR(__xludf.DUMMYFUNCTION("""COMPUTED_VALUE"""),45840.6458333333)</f>
        <v>45840.6458333333</v>
      </c>
      <c r="B69" s="48">
        <f>IFERROR(__xludf.DUMMYFUNCTION("""COMPUTED_VALUE"""),1175.3)</f>
        <v>1175.3</v>
      </c>
      <c r="C69" s="47">
        <f>IFERROR(__xludf.DUMMYFUNCTION("""COMPUTED_VALUE"""),45840.6458333333)</f>
        <v>45840.6458333333</v>
      </c>
      <c r="D69" s="48">
        <f>IFERROR(__xludf.DUMMYFUNCTION("""COMPUTED_VALUE"""),1180)</f>
        <v>1180</v>
      </c>
      <c r="E69" s="47">
        <f>IFERROR(__xludf.DUMMYFUNCTION("""COMPUTED_VALUE"""),45840.6458333333)</f>
        <v>45840.6458333333</v>
      </c>
      <c r="F69" s="48">
        <f>IFERROR(__xludf.DUMMYFUNCTION("""COMPUTED_VALUE"""),5471100)</f>
        <v>5471100</v>
      </c>
      <c r="G69" s="47">
        <f>IFERROR(__xludf.DUMMYFUNCTION("""COMPUTED_VALUE"""),45840.6458333333)</f>
        <v>45840.6458333333</v>
      </c>
      <c r="H69" s="48">
        <f>IFERROR(__xludf.DUMMYFUNCTION("""COMPUTED_VALUE"""),1181.9)</f>
        <v>1181.9</v>
      </c>
      <c r="I69" s="47">
        <f>IFERROR(__xludf.DUMMYFUNCTION("""COMPUTED_VALUE"""),45840.6458333333)</f>
        <v>45840.6458333333</v>
      </c>
      <c r="J69" s="48">
        <f>IFERROR(__xludf.DUMMYFUNCTION("""COMPUTED_VALUE"""),1172)</f>
        <v>1172</v>
      </c>
      <c r="K69" s="3">
        <f t="shared" si="2"/>
        <v>0</v>
      </c>
      <c r="L69" s="3">
        <f t="shared" si="3"/>
        <v>0</v>
      </c>
    </row>
    <row r="70" customHeight="1" spans="1:12">
      <c r="A70" s="47">
        <f>IFERROR(__xludf.DUMMYFUNCTION("""COMPUTED_VALUE"""),45841.6458333333)</f>
        <v>45841.6458333333</v>
      </c>
      <c r="B70" s="48">
        <f>IFERROR(__xludf.DUMMYFUNCTION("""COMPUTED_VALUE"""),1171.1)</f>
        <v>1171.1</v>
      </c>
      <c r="C70" s="47">
        <f>IFERROR(__xludf.DUMMYFUNCTION("""COMPUTED_VALUE"""),45841.6458333333)</f>
        <v>45841.6458333333</v>
      </c>
      <c r="D70" s="48">
        <f>IFERROR(__xludf.DUMMYFUNCTION("""COMPUTED_VALUE"""),1178)</f>
        <v>1178</v>
      </c>
      <c r="E70" s="47">
        <f>IFERROR(__xludf.DUMMYFUNCTION("""COMPUTED_VALUE"""),45841.6458333333)</f>
        <v>45841.6458333333</v>
      </c>
      <c r="F70" s="48">
        <f>IFERROR(__xludf.DUMMYFUNCTION("""COMPUTED_VALUE"""),6237185)</f>
        <v>6237185</v>
      </c>
      <c r="G70" s="47">
        <f>IFERROR(__xludf.DUMMYFUNCTION("""COMPUTED_VALUE"""),45841.6458333333)</f>
        <v>45841.6458333333</v>
      </c>
      <c r="H70" s="48">
        <f>IFERROR(__xludf.DUMMYFUNCTION("""COMPUTED_VALUE"""),1181)</f>
        <v>1181</v>
      </c>
      <c r="I70" s="47">
        <f>IFERROR(__xludf.DUMMYFUNCTION("""COMPUTED_VALUE"""),45841.6458333333)</f>
        <v>45841.6458333333</v>
      </c>
      <c r="J70" s="48">
        <f>IFERROR(__xludf.DUMMYFUNCTION("""COMPUTED_VALUE"""),1168)</f>
        <v>1168</v>
      </c>
      <c r="K70" s="3">
        <f t="shared" si="2"/>
        <v>0</v>
      </c>
      <c r="L70" s="3">
        <f t="shared" si="3"/>
        <v>0</v>
      </c>
    </row>
    <row r="71" customHeight="1" spans="1:12">
      <c r="A71" s="47">
        <f>IFERROR(__xludf.DUMMYFUNCTION("""COMPUTED_VALUE"""),45842.6458333333)</f>
        <v>45842.6458333333</v>
      </c>
      <c r="B71" s="48">
        <f>IFERROR(__xludf.DUMMYFUNCTION("""COMPUTED_VALUE"""),1177.6)</f>
        <v>1177.6</v>
      </c>
      <c r="C71" s="47">
        <f>IFERROR(__xludf.DUMMYFUNCTION("""COMPUTED_VALUE"""),45842.6458333333)</f>
        <v>45842.6458333333</v>
      </c>
      <c r="D71" s="48">
        <f>IFERROR(__xludf.DUMMYFUNCTION("""COMPUTED_VALUE"""),1174)</f>
        <v>1174</v>
      </c>
      <c r="E71" s="47">
        <f>IFERROR(__xludf.DUMMYFUNCTION("""COMPUTED_VALUE"""),45842.6458333333)</f>
        <v>45842.6458333333</v>
      </c>
      <c r="F71" s="48">
        <f>IFERROR(__xludf.DUMMYFUNCTION("""COMPUTED_VALUE"""),3926186)</f>
        <v>3926186</v>
      </c>
      <c r="G71" s="47">
        <f>IFERROR(__xludf.DUMMYFUNCTION("""COMPUTED_VALUE"""),45842.6458333333)</f>
        <v>45842.6458333333</v>
      </c>
      <c r="H71" s="48">
        <f>IFERROR(__xludf.DUMMYFUNCTION("""COMPUTED_VALUE"""),1179.5)</f>
        <v>1179.5</v>
      </c>
      <c r="I71" s="47">
        <f>IFERROR(__xludf.DUMMYFUNCTION("""COMPUTED_VALUE"""),45842.6458333333)</f>
        <v>45842.6458333333</v>
      </c>
      <c r="J71" s="48">
        <f>IFERROR(__xludf.DUMMYFUNCTION("""COMPUTED_VALUE"""),1162)</f>
        <v>1162</v>
      </c>
      <c r="K71" s="3">
        <f t="shared" si="2"/>
        <v>0</v>
      </c>
      <c r="L71" s="3">
        <f t="shared" si="3"/>
        <v>0</v>
      </c>
    </row>
    <row r="72" customHeight="1" spans="1:12">
      <c r="A72" s="47">
        <f>IFERROR(__xludf.DUMMYFUNCTION("""COMPUTED_VALUE"""),45845.6458333333)</f>
        <v>45845.6458333333</v>
      </c>
      <c r="B72" s="48">
        <f>IFERROR(__xludf.DUMMYFUNCTION("""COMPUTED_VALUE"""),1175.1)</f>
        <v>1175.1</v>
      </c>
      <c r="C72" s="47">
        <f>IFERROR(__xludf.DUMMYFUNCTION("""COMPUTED_VALUE"""),45845.6458333333)</f>
        <v>45845.6458333333</v>
      </c>
      <c r="D72" s="48">
        <f>IFERROR(__xludf.DUMMYFUNCTION("""COMPUTED_VALUE"""),1177.6)</f>
        <v>1177.6</v>
      </c>
      <c r="E72" s="47">
        <f>IFERROR(__xludf.DUMMYFUNCTION("""COMPUTED_VALUE"""),45845.6458333333)</f>
        <v>45845.6458333333</v>
      </c>
      <c r="F72" s="48">
        <f>IFERROR(__xludf.DUMMYFUNCTION("""COMPUTED_VALUE"""),5783402)</f>
        <v>5783402</v>
      </c>
      <c r="G72" s="47">
        <f>IFERROR(__xludf.DUMMYFUNCTION("""COMPUTED_VALUE"""),45845.6458333333)</f>
        <v>45845.6458333333</v>
      </c>
      <c r="H72" s="48">
        <f>IFERROR(__xludf.DUMMYFUNCTION("""COMPUTED_VALUE"""),1177.6)</f>
        <v>1177.6</v>
      </c>
      <c r="I72" s="47">
        <f>IFERROR(__xludf.DUMMYFUNCTION("""COMPUTED_VALUE"""),45845.6458333333)</f>
        <v>45845.6458333333</v>
      </c>
      <c r="J72" s="48">
        <f>IFERROR(__xludf.DUMMYFUNCTION("""COMPUTED_VALUE"""),1167.6)</f>
        <v>1167.6</v>
      </c>
      <c r="K72" s="3">
        <f t="shared" si="2"/>
        <v>0</v>
      </c>
      <c r="L72" s="3">
        <f t="shared" si="3"/>
        <v>0</v>
      </c>
    </row>
    <row r="73" customHeight="1" spans="1:12">
      <c r="A73" s="47">
        <f>IFERROR(__xludf.DUMMYFUNCTION("""COMPUTED_VALUE"""),45846.6458333333)</f>
        <v>45846.6458333333</v>
      </c>
      <c r="B73" s="48">
        <f>IFERROR(__xludf.DUMMYFUNCTION("""COMPUTED_VALUE"""),1165.4)</f>
        <v>1165.4</v>
      </c>
      <c r="C73" s="47">
        <f>IFERROR(__xludf.DUMMYFUNCTION("""COMPUTED_VALUE"""),45846.6458333333)</f>
        <v>45846.6458333333</v>
      </c>
      <c r="D73" s="48">
        <f>IFERROR(__xludf.DUMMYFUNCTION("""COMPUTED_VALUE"""),1180)</f>
        <v>1180</v>
      </c>
      <c r="E73" s="47">
        <f>IFERROR(__xludf.DUMMYFUNCTION("""COMPUTED_VALUE"""),45846.6458333333)</f>
        <v>45846.6458333333</v>
      </c>
      <c r="F73" s="48">
        <f>IFERROR(__xludf.DUMMYFUNCTION("""COMPUTED_VALUE"""),9973619)</f>
        <v>9973619</v>
      </c>
      <c r="G73" s="47">
        <f>IFERROR(__xludf.DUMMYFUNCTION("""COMPUTED_VALUE"""),45846.6458333333)</f>
        <v>45846.6458333333</v>
      </c>
      <c r="H73" s="48">
        <f>IFERROR(__xludf.DUMMYFUNCTION("""COMPUTED_VALUE"""),1180)</f>
        <v>1180</v>
      </c>
      <c r="I73" s="47">
        <f>IFERROR(__xludf.DUMMYFUNCTION("""COMPUTED_VALUE"""),45846.6458333333)</f>
        <v>45846.6458333333</v>
      </c>
      <c r="J73" s="48">
        <f>IFERROR(__xludf.DUMMYFUNCTION("""COMPUTED_VALUE"""),1161.9)</f>
        <v>1161.9</v>
      </c>
      <c r="K73" s="3">
        <f t="shared" si="2"/>
        <v>0</v>
      </c>
      <c r="L73" s="3">
        <f t="shared" si="3"/>
        <v>0</v>
      </c>
    </row>
    <row r="74" customHeight="1" spans="1:12">
      <c r="A74" s="47">
        <f>IFERROR(__xludf.DUMMYFUNCTION("""COMPUTED_VALUE"""),45847.6458333333)</f>
        <v>45847.6458333333</v>
      </c>
      <c r="B74" s="48">
        <f>IFERROR(__xludf.DUMMYFUNCTION("""COMPUTED_VALUE"""),1164.7)</f>
        <v>1164.7</v>
      </c>
      <c r="C74" s="47">
        <f>IFERROR(__xludf.DUMMYFUNCTION("""COMPUTED_VALUE"""),45847.6458333333)</f>
        <v>45847.6458333333</v>
      </c>
      <c r="D74" s="48">
        <f>IFERROR(__xludf.DUMMYFUNCTION("""COMPUTED_VALUE"""),1160)</f>
        <v>1160</v>
      </c>
      <c r="E74" s="47">
        <f>IFERROR(__xludf.DUMMYFUNCTION("""COMPUTED_VALUE"""),45847.6458333333)</f>
        <v>45847.6458333333</v>
      </c>
      <c r="F74" s="48">
        <f>IFERROR(__xludf.DUMMYFUNCTION("""COMPUTED_VALUE"""),8674795)</f>
        <v>8674795</v>
      </c>
      <c r="G74" s="47">
        <f>IFERROR(__xludf.DUMMYFUNCTION("""COMPUTED_VALUE"""),45847.6458333333)</f>
        <v>45847.6458333333</v>
      </c>
      <c r="H74" s="48">
        <f>IFERROR(__xludf.DUMMYFUNCTION("""COMPUTED_VALUE"""),1171)</f>
        <v>1171</v>
      </c>
      <c r="I74" s="47">
        <f>IFERROR(__xludf.DUMMYFUNCTION("""COMPUTED_VALUE"""),45847.6458333333)</f>
        <v>45847.6458333333</v>
      </c>
      <c r="J74" s="48">
        <f>IFERROR(__xludf.DUMMYFUNCTION("""COMPUTED_VALUE"""),1158.6)</f>
        <v>1158.6</v>
      </c>
      <c r="K74" s="3">
        <f t="shared" si="2"/>
        <v>0</v>
      </c>
      <c r="L74" s="3">
        <f t="shared" si="3"/>
        <v>0</v>
      </c>
    </row>
    <row r="75" customHeight="1" spans="1:12">
      <c r="A75" s="47">
        <f>IFERROR(__xludf.DUMMYFUNCTION("""COMPUTED_VALUE"""),45848.6458333333)</f>
        <v>45848.6458333333</v>
      </c>
      <c r="B75" s="48">
        <f>IFERROR(__xludf.DUMMYFUNCTION("""COMPUTED_VALUE"""),1164.3)</f>
        <v>1164.3</v>
      </c>
      <c r="C75" s="47">
        <f>IFERROR(__xludf.DUMMYFUNCTION("""COMPUTED_VALUE"""),45848.6458333333)</f>
        <v>45848.6458333333</v>
      </c>
      <c r="D75" s="48">
        <f>IFERROR(__xludf.DUMMYFUNCTION("""COMPUTED_VALUE"""),1170.1)</f>
        <v>1170.1</v>
      </c>
      <c r="E75" s="47">
        <f>IFERROR(__xludf.DUMMYFUNCTION("""COMPUTED_VALUE"""),45848.6458333333)</f>
        <v>45848.6458333333</v>
      </c>
      <c r="F75" s="48">
        <f>IFERROR(__xludf.DUMMYFUNCTION("""COMPUTED_VALUE"""),4339755)</f>
        <v>4339755</v>
      </c>
      <c r="G75" s="47">
        <f>IFERROR(__xludf.DUMMYFUNCTION("""COMPUTED_VALUE"""),45848.6458333333)</f>
        <v>45848.6458333333</v>
      </c>
      <c r="H75" s="48">
        <f>IFERROR(__xludf.DUMMYFUNCTION("""COMPUTED_VALUE"""),1176.6)</f>
        <v>1176.6</v>
      </c>
      <c r="I75" s="47">
        <f>IFERROR(__xludf.DUMMYFUNCTION("""COMPUTED_VALUE"""),45848.6458333333)</f>
        <v>45848.6458333333</v>
      </c>
      <c r="J75" s="48">
        <f>IFERROR(__xludf.DUMMYFUNCTION("""COMPUTED_VALUE"""),1163)</f>
        <v>1163</v>
      </c>
      <c r="K75" s="3">
        <f t="shared" si="2"/>
        <v>0</v>
      </c>
      <c r="L75" s="3">
        <f t="shared" si="3"/>
        <v>0</v>
      </c>
    </row>
    <row r="76" customHeight="1" spans="1:12">
      <c r="A76" s="47">
        <f>IFERROR(__xludf.DUMMYFUNCTION("""COMPUTED_VALUE"""),45849.6458333333)</f>
        <v>45849.6458333333</v>
      </c>
      <c r="B76" s="48">
        <f>IFERROR(__xludf.DUMMYFUNCTION("""COMPUTED_VALUE"""),1173.8)</f>
        <v>1173.8</v>
      </c>
      <c r="C76" s="47">
        <f>IFERROR(__xludf.DUMMYFUNCTION("""COMPUTED_VALUE"""),45849.6458333333)</f>
        <v>45849.6458333333</v>
      </c>
      <c r="D76" s="48">
        <f>IFERROR(__xludf.DUMMYFUNCTION("""COMPUTED_VALUE"""),1162)</f>
        <v>1162</v>
      </c>
      <c r="E76" s="47">
        <f>IFERROR(__xludf.DUMMYFUNCTION("""COMPUTED_VALUE"""),45849.6458333333)</f>
        <v>45849.6458333333</v>
      </c>
      <c r="F76" s="48">
        <f>IFERROR(__xludf.DUMMYFUNCTION("""COMPUTED_VALUE"""),4468654)</f>
        <v>4468654</v>
      </c>
      <c r="G76" s="47">
        <f>IFERROR(__xludf.DUMMYFUNCTION("""COMPUTED_VALUE"""),45849.6458333333)</f>
        <v>45849.6458333333</v>
      </c>
      <c r="H76" s="48">
        <f>IFERROR(__xludf.DUMMYFUNCTION("""COMPUTED_VALUE"""),1175.9)</f>
        <v>1175.9</v>
      </c>
      <c r="I76" s="47">
        <f>IFERROR(__xludf.DUMMYFUNCTION("""COMPUTED_VALUE"""),45849.6458333333)</f>
        <v>45849.6458333333</v>
      </c>
      <c r="J76" s="48">
        <f>IFERROR(__xludf.DUMMYFUNCTION("""COMPUTED_VALUE"""),1160.6)</f>
        <v>1160.6</v>
      </c>
      <c r="K76" s="3">
        <f t="shared" si="2"/>
        <v>0</v>
      </c>
      <c r="L76" s="3">
        <f t="shared" si="3"/>
        <v>0</v>
      </c>
    </row>
    <row r="77" customHeight="1" spans="1:12">
      <c r="A77" s="47">
        <f>IFERROR(__xludf.DUMMYFUNCTION("""COMPUTED_VALUE"""),45852.6458333333)</f>
        <v>45852.6458333333</v>
      </c>
      <c r="B77" s="48">
        <f>IFERROR(__xludf.DUMMYFUNCTION("""COMPUTED_VALUE"""),1172.7)</f>
        <v>1172.7</v>
      </c>
      <c r="C77" s="47">
        <f>IFERROR(__xludf.DUMMYFUNCTION("""COMPUTED_VALUE"""),45852.6458333333)</f>
        <v>45852.6458333333</v>
      </c>
      <c r="D77" s="48">
        <f>IFERROR(__xludf.DUMMYFUNCTION("""COMPUTED_VALUE"""),1179)</f>
        <v>1179</v>
      </c>
      <c r="E77" s="47">
        <f>IFERROR(__xludf.DUMMYFUNCTION("""COMPUTED_VALUE"""),45852.6458333333)</f>
        <v>45852.6458333333</v>
      </c>
      <c r="F77" s="48">
        <f>IFERROR(__xludf.DUMMYFUNCTION("""COMPUTED_VALUE"""),4772502)</f>
        <v>4772502</v>
      </c>
      <c r="G77" s="47">
        <f>IFERROR(__xludf.DUMMYFUNCTION("""COMPUTED_VALUE"""),45852.6458333333)</f>
        <v>45852.6458333333</v>
      </c>
      <c r="H77" s="48">
        <f>IFERROR(__xludf.DUMMYFUNCTION("""COMPUTED_VALUE"""),1179.9)</f>
        <v>1179.9</v>
      </c>
      <c r="I77" s="47">
        <f>IFERROR(__xludf.DUMMYFUNCTION("""COMPUTED_VALUE"""),45852.6458333333)</f>
        <v>45852.6458333333</v>
      </c>
      <c r="J77" s="48">
        <f>IFERROR(__xludf.DUMMYFUNCTION("""COMPUTED_VALUE"""),1163)</f>
        <v>1163</v>
      </c>
      <c r="K77" s="3">
        <f t="shared" si="2"/>
        <v>0</v>
      </c>
      <c r="L77" s="3">
        <f t="shared" si="3"/>
        <v>0</v>
      </c>
    </row>
    <row r="78" customHeight="1" spans="1:12">
      <c r="A78" s="47">
        <f>IFERROR(__xludf.DUMMYFUNCTION("""COMPUTED_VALUE"""),45853.6458333333)</f>
        <v>45853.6458333333</v>
      </c>
      <c r="B78" s="48">
        <f>IFERROR(__xludf.DUMMYFUNCTION("""COMPUTED_VALUE"""),1165.9)</f>
        <v>1165.9</v>
      </c>
      <c r="C78" s="47">
        <f>IFERROR(__xludf.DUMMYFUNCTION("""COMPUTED_VALUE"""),45853.6458333333)</f>
        <v>45853.6458333333</v>
      </c>
      <c r="D78" s="48">
        <f>IFERROR(__xludf.DUMMYFUNCTION("""COMPUTED_VALUE"""),1174)</f>
        <v>1174</v>
      </c>
      <c r="E78" s="47">
        <f>IFERROR(__xludf.DUMMYFUNCTION("""COMPUTED_VALUE"""),45853.6458333333)</f>
        <v>45853.6458333333</v>
      </c>
      <c r="F78" s="48">
        <f>IFERROR(__xludf.DUMMYFUNCTION("""COMPUTED_VALUE"""),4776756)</f>
        <v>4776756</v>
      </c>
      <c r="G78" s="47">
        <f>IFERROR(__xludf.DUMMYFUNCTION("""COMPUTED_VALUE"""),45853.6458333333)</f>
        <v>45853.6458333333</v>
      </c>
      <c r="H78" s="48">
        <f>IFERROR(__xludf.DUMMYFUNCTION("""COMPUTED_VALUE"""),1179)</f>
        <v>1179</v>
      </c>
      <c r="I78" s="47">
        <f>IFERROR(__xludf.DUMMYFUNCTION("""COMPUTED_VALUE"""),45853.6458333333)</f>
        <v>45853.6458333333</v>
      </c>
      <c r="J78" s="48">
        <f>IFERROR(__xludf.DUMMYFUNCTION("""COMPUTED_VALUE"""),1162.3)</f>
        <v>1162.3</v>
      </c>
      <c r="K78" s="3">
        <f t="shared" si="2"/>
        <v>0</v>
      </c>
      <c r="L78" s="3">
        <f t="shared" si="3"/>
        <v>0</v>
      </c>
    </row>
    <row r="79" customHeight="1" spans="1:12">
      <c r="A79" s="47">
        <f>IFERROR(__xludf.DUMMYFUNCTION("""COMPUTED_VALUE"""),45854.6458333333)</f>
        <v>45854.6458333333</v>
      </c>
      <c r="B79" s="48">
        <f>IFERROR(__xludf.DUMMYFUNCTION("""COMPUTED_VALUE"""),1168.4)</f>
        <v>1168.4</v>
      </c>
      <c r="C79" s="47">
        <f>IFERROR(__xludf.DUMMYFUNCTION("""COMPUTED_VALUE"""),45854.6458333333)</f>
        <v>45854.6458333333</v>
      </c>
      <c r="D79" s="48">
        <f>IFERROR(__xludf.DUMMYFUNCTION("""COMPUTED_VALUE"""),1164.9)</f>
        <v>1164.9</v>
      </c>
      <c r="E79" s="47">
        <f>IFERROR(__xludf.DUMMYFUNCTION("""COMPUTED_VALUE"""),45854.6458333333)</f>
        <v>45854.6458333333</v>
      </c>
      <c r="F79" s="48">
        <f>IFERROR(__xludf.DUMMYFUNCTION("""COMPUTED_VALUE"""),4388279)</f>
        <v>4388279</v>
      </c>
      <c r="G79" s="47">
        <f>IFERROR(__xludf.DUMMYFUNCTION("""COMPUTED_VALUE"""),45854.6458333333)</f>
        <v>45854.6458333333</v>
      </c>
      <c r="H79" s="48">
        <f>IFERROR(__xludf.DUMMYFUNCTION("""COMPUTED_VALUE"""),1174)</f>
        <v>1174</v>
      </c>
      <c r="I79" s="47">
        <f>IFERROR(__xludf.DUMMYFUNCTION("""COMPUTED_VALUE"""),45854.6458333333)</f>
        <v>45854.6458333333</v>
      </c>
      <c r="J79" s="48">
        <f>IFERROR(__xludf.DUMMYFUNCTION("""COMPUTED_VALUE"""),1157.1)</f>
        <v>1157.1</v>
      </c>
      <c r="K79" s="3">
        <f t="shared" si="2"/>
        <v>0</v>
      </c>
      <c r="L79" s="3">
        <f t="shared" si="3"/>
        <v>0</v>
      </c>
    </row>
    <row r="80" customHeight="1" spans="1:12">
      <c r="A80" s="47">
        <f>IFERROR(__xludf.DUMMYFUNCTION("""COMPUTED_VALUE"""),45855.6458333333)</f>
        <v>45855.6458333333</v>
      </c>
      <c r="B80" s="48">
        <f>IFERROR(__xludf.DUMMYFUNCTION("""COMPUTED_VALUE"""),1159.8)</f>
        <v>1159.8</v>
      </c>
      <c r="C80" s="47">
        <f>IFERROR(__xludf.DUMMYFUNCTION("""COMPUTED_VALUE"""),45855.6458333333)</f>
        <v>45855.6458333333</v>
      </c>
      <c r="D80" s="48">
        <f>IFERROR(__xludf.DUMMYFUNCTION("""COMPUTED_VALUE"""),1170)</f>
        <v>1170</v>
      </c>
      <c r="E80" s="47">
        <f>IFERROR(__xludf.DUMMYFUNCTION("""COMPUTED_VALUE"""),45855.6458333333)</f>
        <v>45855.6458333333</v>
      </c>
      <c r="F80" s="48">
        <f>IFERROR(__xludf.DUMMYFUNCTION("""COMPUTED_VALUE"""),5694428)</f>
        <v>5694428</v>
      </c>
      <c r="G80" s="47">
        <f>IFERROR(__xludf.DUMMYFUNCTION("""COMPUTED_VALUE"""),45855.6458333333)</f>
        <v>45855.6458333333</v>
      </c>
      <c r="H80" s="48">
        <f>IFERROR(__xludf.DUMMYFUNCTION("""COMPUTED_VALUE"""),1172.9)</f>
        <v>1172.9</v>
      </c>
      <c r="I80" s="47">
        <f>IFERROR(__xludf.DUMMYFUNCTION("""COMPUTED_VALUE"""),45855.6458333333)</f>
        <v>45855.6458333333</v>
      </c>
      <c r="J80" s="48">
        <f>IFERROR(__xludf.DUMMYFUNCTION("""COMPUTED_VALUE"""),1154.8)</f>
        <v>1154.8</v>
      </c>
      <c r="K80" s="3">
        <f t="shared" si="2"/>
        <v>0</v>
      </c>
      <c r="L80" s="3">
        <f t="shared" si="3"/>
        <v>0</v>
      </c>
    </row>
    <row r="81" customHeight="1" spans="1:12">
      <c r="A81" s="47">
        <f>IFERROR(__xludf.DUMMYFUNCTION("""COMPUTED_VALUE"""),45856.6458333333)</f>
        <v>45856.6458333333</v>
      </c>
      <c r="B81" s="48">
        <f>IFERROR(__xludf.DUMMYFUNCTION("""COMPUTED_VALUE"""),1099.3)</f>
        <v>1099.3</v>
      </c>
      <c r="C81" s="47">
        <f>IFERROR(__xludf.DUMMYFUNCTION("""COMPUTED_VALUE"""),45856.6458333333)</f>
        <v>45856.6458333333</v>
      </c>
      <c r="D81" s="48">
        <f>IFERROR(__xludf.DUMMYFUNCTION("""COMPUTED_VALUE"""),1090)</f>
        <v>1090</v>
      </c>
      <c r="E81" s="47">
        <f>IFERROR(__xludf.DUMMYFUNCTION("""COMPUTED_VALUE"""),45856.6458333333)</f>
        <v>45856.6458333333</v>
      </c>
      <c r="F81" s="48">
        <f>IFERROR(__xludf.DUMMYFUNCTION("""COMPUTED_VALUE"""),38053695)</f>
        <v>38053695</v>
      </c>
      <c r="G81" s="47">
        <f>IFERROR(__xludf.DUMMYFUNCTION("""COMPUTED_VALUE"""),45856.6458333333)</f>
        <v>45856.6458333333</v>
      </c>
      <c r="H81" s="48">
        <f>IFERROR(__xludf.DUMMYFUNCTION("""COMPUTED_VALUE"""),1115.9)</f>
        <v>1115.9</v>
      </c>
      <c r="I81" s="47">
        <f>IFERROR(__xludf.DUMMYFUNCTION("""COMPUTED_VALUE"""),45856.6458333333)</f>
        <v>45856.6458333333</v>
      </c>
      <c r="J81" s="48">
        <f>IFERROR(__xludf.DUMMYFUNCTION("""COMPUTED_VALUE"""),1086)</f>
        <v>1086</v>
      </c>
      <c r="K81" s="3">
        <f t="shared" si="2"/>
        <v>0</v>
      </c>
      <c r="L81" s="3">
        <f t="shared" si="3"/>
        <v>0</v>
      </c>
    </row>
    <row r="82" customHeight="1" spans="1:12">
      <c r="A82" s="47">
        <f>IFERROR(__xludf.DUMMYFUNCTION("""COMPUTED_VALUE"""),45859.6458333333)</f>
        <v>45859.6458333333</v>
      </c>
      <c r="B82" s="48">
        <f>IFERROR(__xludf.DUMMYFUNCTION("""COMPUTED_VALUE"""),1099.6)</f>
        <v>1099.6</v>
      </c>
      <c r="C82" s="47">
        <f>IFERROR(__xludf.DUMMYFUNCTION("""COMPUTED_VALUE"""),45859.6458333333)</f>
        <v>45859.6458333333</v>
      </c>
      <c r="D82" s="48">
        <f>IFERROR(__xludf.DUMMYFUNCTION("""COMPUTED_VALUE"""),1086)</f>
        <v>1086</v>
      </c>
      <c r="E82" s="47">
        <f>IFERROR(__xludf.DUMMYFUNCTION("""COMPUTED_VALUE"""),45859.6458333333)</f>
        <v>45859.6458333333</v>
      </c>
      <c r="F82" s="48">
        <f>IFERROR(__xludf.DUMMYFUNCTION("""COMPUTED_VALUE"""),15905500)</f>
        <v>15905500</v>
      </c>
      <c r="G82" s="47">
        <f>IFERROR(__xludf.DUMMYFUNCTION("""COMPUTED_VALUE"""),45859.6458333333)</f>
        <v>45859.6458333333</v>
      </c>
      <c r="H82" s="48">
        <f>IFERROR(__xludf.DUMMYFUNCTION("""COMPUTED_VALUE"""),1101.5)</f>
        <v>1101.5</v>
      </c>
      <c r="I82" s="47">
        <f>IFERROR(__xludf.DUMMYFUNCTION("""COMPUTED_VALUE"""),45859.6458333333)</f>
        <v>45859.6458333333</v>
      </c>
      <c r="J82" s="48">
        <f>IFERROR(__xludf.DUMMYFUNCTION("""COMPUTED_VALUE"""),1071.9)</f>
        <v>1071.9</v>
      </c>
      <c r="K82" s="3">
        <f t="shared" si="2"/>
        <v>0</v>
      </c>
      <c r="L82" s="3">
        <f t="shared" si="3"/>
        <v>0</v>
      </c>
    </row>
    <row r="83" customHeight="1" spans="1:12">
      <c r="A83" s="47">
        <f>IFERROR(__xludf.DUMMYFUNCTION("""COMPUTED_VALUE"""),45860.6458333333)</f>
        <v>45860.6458333333</v>
      </c>
      <c r="B83" s="48">
        <f>IFERROR(__xludf.DUMMYFUNCTION("""COMPUTED_VALUE"""),1098)</f>
        <v>1098</v>
      </c>
      <c r="C83" s="47">
        <f>IFERROR(__xludf.DUMMYFUNCTION("""COMPUTED_VALUE"""),45860.6458333333)</f>
        <v>45860.6458333333</v>
      </c>
      <c r="D83" s="48">
        <f>IFERROR(__xludf.DUMMYFUNCTION("""COMPUTED_VALUE"""),1102)</f>
        <v>1102</v>
      </c>
      <c r="E83" s="47">
        <f>IFERROR(__xludf.DUMMYFUNCTION("""COMPUTED_VALUE"""),45860.6458333333)</f>
        <v>45860.6458333333</v>
      </c>
      <c r="F83" s="48">
        <f>IFERROR(__xludf.DUMMYFUNCTION("""COMPUTED_VALUE"""),9999957)</f>
        <v>9999957</v>
      </c>
      <c r="G83" s="47">
        <f>IFERROR(__xludf.DUMMYFUNCTION("""COMPUTED_VALUE"""),45860.6458333333)</f>
        <v>45860.6458333333</v>
      </c>
      <c r="H83" s="48">
        <f>IFERROR(__xludf.DUMMYFUNCTION("""COMPUTED_VALUE"""),1110.6)</f>
        <v>1110.6</v>
      </c>
      <c r="I83" s="47">
        <f>IFERROR(__xludf.DUMMYFUNCTION("""COMPUTED_VALUE"""),45860.6458333333)</f>
        <v>45860.6458333333</v>
      </c>
      <c r="J83" s="48">
        <f>IFERROR(__xludf.DUMMYFUNCTION("""COMPUTED_VALUE"""),1095)</f>
        <v>1095</v>
      </c>
      <c r="K83" s="3">
        <f t="shared" si="2"/>
        <v>0</v>
      </c>
      <c r="L83" s="3">
        <f t="shared" si="3"/>
        <v>0</v>
      </c>
    </row>
    <row r="84" customHeight="1" spans="1:12">
      <c r="A84" s="47">
        <f>IFERROR(__xludf.DUMMYFUNCTION("""COMPUTED_VALUE"""),45861.6458333333)</f>
        <v>45861.6458333333</v>
      </c>
      <c r="B84" s="48">
        <f>IFERROR(__xludf.DUMMYFUNCTION("""COMPUTED_VALUE"""),1104.8)</f>
        <v>1104.8</v>
      </c>
      <c r="C84" s="47">
        <f>IFERROR(__xludf.DUMMYFUNCTION("""COMPUTED_VALUE"""),45861.6458333333)</f>
        <v>45861.6458333333</v>
      </c>
      <c r="D84" s="48">
        <f>IFERROR(__xludf.DUMMYFUNCTION("""COMPUTED_VALUE"""),1099.5)</f>
        <v>1099.5</v>
      </c>
      <c r="E84" s="47">
        <f>IFERROR(__xludf.DUMMYFUNCTION("""COMPUTED_VALUE"""),45861.6458333333)</f>
        <v>45861.6458333333</v>
      </c>
      <c r="F84" s="48">
        <f>IFERROR(__xludf.DUMMYFUNCTION("""COMPUTED_VALUE"""),6633979)</f>
        <v>6633979</v>
      </c>
      <c r="G84" s="47">
        <f>IFERROR(__xludf.DUMMYFUNCTION("""COMPUTED_VALUE"""),45861.6458333333)</f>
        <v>45861.6458333333</v>
      </c>
      <c r="H84" s="48">
        <f>IFERROR(__xludf.DUMMYFUNCTION("""COMPUTED_VALUE"""),1110.5)</f>
        <v>1110.5</v>
      </c>
      <c r="I84" s="47">
        <f>IFERROR(__xludf.DUMMYFUNCTION("""COMPUTED_VALUE"""),45861.6458333333)</f>
        <v>45861.6458333333</v>
      </c>
      <c r="J84" s="48">
        <f>IFERROR(__xludf.DUMMYFUNCTION("""COMPUTED_VALUE"""),1098.1)</f>
        <v>1098.1</v>
      </c>
      <c r="K84" s="3">
        <f t="shared" si="2"/>
        <v>0</v>
      </c>
      <c r="L84" s="3">
        <f t="shared" si="3"/>
        <v>0</v>
      </c>
    </row>
    <row r="85" customHeight="1" spans="1:12">
      <c r="A85" s="47">
        <f>IFERROR(__xludf.DUMMYFUNCTION("""COMPUTED_VALUE"""),45862.6458333333)</f>
        <v>45862.6458333333</v>
      </c>
      <c r="B85" s="48">
        <f>IFERROR(__xludf.DUMMYFUNCTION("""COMPUTED_VALUE"""),1095.1)</f>
        <v>1095.1</v>
      </c>
      <c r="C85" s="47">
        <f>IFERROR(__xludf.DUMMYFUNCTION("""COMPUTED_VALUE"""),45862.6458333333)</f>
        <v>45862.6458333333</v>
      </c>
      <c r="D85" s="48">
        <f>IFERROR(__xludf.DUMMYFUNCTION("""COMPUTED_VALUE"""),1104)</f>
        <v>1104</v>
      </c>
      <c r="E85" s="47">
        <f>IFERROR(__xludf.DUMMYFUNCTION("""COMPUTED_VALUE"""),45862.6458333333)</f>
        <v>45862.6458333333</v>
      </c>
      <c r="F85" s="48">
        <f>IFERROR(__xludf.DUMMYFUNCTION("""COMPUTED_VALUE"""),9901209)</f>
        <v>9901209</v>
      </c>
      <c r="G85" s="47">
        <f>IFERROR(__xludf.DUMMYFUNCTION("""COMPUTED_VALUE"""),45862.6458333333)</f>
        <v>45862.6458333333</v>
      </c>
      <c r="H85" s="48">
        <f>IFERROR(__xludf.DUMMYFUNCTION("""COMPUTED_VALUE"""),1105)</f>
        <v>1105</v>
      </c>
      <c r="I85" s="47">
        <f>IFERROR(__xludf.DUMMYFUNCTION("""COMPUTED_VALUE"""),45862.6458333333)</f>
        <v>45862.6458333333</v>
      </c>
      <c r="J85" s="48">
        <f>IFERROR(__xludf.DUMMYFUNCTION("""COMPUTED_VALUE"""),1089.4)</f>
        <v>1089.4</v>
      </c>
      <c r="K85" s="3">
        <f t="shared" si="2"/>
        <v>0</v>
      </c>
      <c r="L85" s="3">
        <f t="shared" si="3"/>
        <v>0</v>
      </c>
    </row>
    <row r="86" customHeight="1" spans="1:12">
      <c r="A86" s="47">
        <f>IFERROR(__xludf.DUMMYFUNCTION("""COMPUTED_VALUE"""),45863.6458333333)</f>
        <v>45863.6458333333</v>
      </c>
      <c r="B86" s="48">
        <f>IFERROR(__xludf.DUMMYFUNCTION("""COMPUTED_VALUE"""),1086.1)</f>
        <v>1086.1</v>
      </c>
      <c r="C86" s="47">
        <f>IFERROR(__xludf.DUMMYFUNCTION("""COMPUTED_VALUE"""),45863.6458333333)</f>
        <v>45863.6458333333</v>
      </c>
      <c r="D86" s="48">
        <f>IFERROR(__xludf.DUMMYFUNCTION("""COMPUTED_VALUE"""),1086.1)</f>
        <v>1086.1</v>
      </c>
      <c r="E86" s="47">
        <f>IFERROR(__xludf.DUMMYFUNCTION("""COMPUTED_VALUE"""),45863.6458333333)</f>
        <v>45863.6458333333</v>
      </c>
      <c r="F86" s="48">
        <f>IFERROR(__xludf.DUMMYFUNCTION("""COMPUTED_VALUE"""),11779887)</f>
        <v>11779887</v>
      </c>
      <c r="G86" s="47">
        <f>IFERROR(__xludf.DUMMYFUNCTION("""COMPUTED_VALUE"""),45863.6458333333)</f>
        <v>45863.6458333333</v>
      </c>
      <c r="H86" s="48">
        <f>IFERROR(__xludf.DUMMYFUNCTION("""COMPUTED_VALUE"""),1101)</f>
        <v>1101</v>
      </c>
      <c r="I86" s="47">
        <f>IFERROR(__xludf.DUMMYFUNCTION("""COMPUTED_VALUE"""),45863.6458333333)</f>
        <v>45863.6458333333</v>
      </c>
      <c r="J86" s="48">
        <f>IFERROR(__xludf.DUMMYFUNCTION("""COMPUTED_VALUE"""),1076.2)</f>
        <v>1076.2</v>
      </c>
      <c r="K86" s="3">
        <f t="shared" si="2"/>
        <v>0</v>
      </c>
      <c r="L86" s="3">
        <f t="shared" si="3"/>
        <v>0</v>
      </c>
    </row>
    <row r="87" customHeight="1" spans="1:12">
      <c r="A87" s="47">
        <f>IFERROR(__xludf.DUMMYFUNCTION("""COMPUTED_VALUE"""),45866.6458333333)</f>
        <v>45866.6458333333</v>
      </c>
      <c r="B87" s="48">
        <f>IFERROR(__xludf.DUMMYFUNCTION("""COMPUTED_VALUE"""),1073.6)</f>
        <v>1073.6</v>
      </c>
      <c r="C87" s="47">
        <f>IFERROR(__xludf.DUMMYFUNCTION("""COMPUTED_VALUE"""),45866.6458333333)</f>
        <v>45866.6458333333</v>
      </c>
      <c r="D87" s="48">
        <f>IFERROR(__xludf.DUMMYFUNCTION("""COMPUTED_VALUE"""),1080.9)</f>
        <v>1080.9</v>
      </c>
      <c r="E87" s="47">
        <f>IFERROR(__xludf.DUMMYFUNCTION("""COMPUTED_VALUE"""),45866.6458333333)</f>
        <v>45866.6458333333</v>
      </c>
      <c r="F87" s="48">
        <f>IFERROR(__xludf.DUMMYFUNCTION("""COMPUTED_VALUE"""),9029557)</f>
        <v>9029557</v>
      </c>
      <c r="G87" s="47">
        <f>IFERROR(__xludf.DUMMYFUNCTION("""COMPUTED_VALUE"""),45866.6458333333)</f>
        <v>45866.6458333333</v>
      </c>
      <c r="H87" s="48">
        <f>IFERROR(__xludf.DUMMYFUNCTION("""COMPUTED_VALUE"""),1092.2)</f>
        <v>1092.2</v>
      </c>
      <c r="I87" s="47">
        <f>IFERROR(__xludf.DUMMYFUNCTION("""COMPUTED_VALUE"""),45866.6458333333)</f>
        <v>45866.6458333333</v>
      </c>
      <c r="J87" s="48">
        <f>IFERROR(__xludf.DUMMYFUNCTION("""COMPUTED_VALUE"""),1067.4)</f>
        <v>1067.4</v>
      </c>
      <c r="K87" s="3">
        <f t="shared" si="2"/>
        <v>0</v>
      </c>
      <c r="L87" s="3">
        <f t="shared" si="3"/>
        <v>0</v>
      </c>
    </row>
    <row r="88" customHeight="1" spans="1:12">
      <c r="A88" s="47">
        <f>IFERROR(__xludf.DUMMYFUNCTION("""COMPUTED_VALUE"""),45867.6458333333)</f>
        <v>45867.6458333333</v>
      </c>
      <c r="B88" s="48">
        <f>IFERROR(__xludf.DUMMYFUNCTION("""COMPUTED_VALUE"""),1064.2)</f>
        <v>1064.2</v>
      </c>
      <c r="C88" s="47">
        <f>IFERROR(__xludf.DUMMYFUNCTION("""COMPUTED_VALUE"""),45867.6458333333)</f>
        <v>45867.6458333333</v>
      </c>
      <c r="D88" s="48">
        <f>IFERROR(__xludf.DUMMYFUNCTION("""COMPUTED_VALUE"""),1070.9)</f>
        <v>1070.9</v>
      </c>
      <c r="E88" s="47">
        <f>IFERROR(__xludf.DUMMYFUNCTION("""COMPUTED_VALUE"""),45867.6458333333)</f>
        <v>45867.6458333333</v>
      </c>
      <c r="F88" s="48">
        <f>IFERROR(__xludf.DUMMYFUNCTION("""COMPUTED_VALUE"""),15599773)</f>
        <v>15599773</v>
      </c>
      <c r="G88" s="47">
        <f>IFERROR(__xludf.DUMMYFUNCTION("""COMPUTED_VALUE"""),45867.6458333333)</f>
        <v>45867.6458333333</v>
      </c>
      <c r="H88" s="48">
        <f>IFERROR(__xludf.DUMMYFUNCTION("""COMPUTED_VALUE"""),1078.7)</f>
        <v>1078.7</v>
      </c>
      <c r="I88" s="47">
        <f>IFERROR(__xludf.DUMMYFUNCTION("""COMPUTED_VALUE"""),45867.6458333333)</f>
        <v>45867.6458333333</v>
      </c>
      <c r="J88" s="48">
        <f>IFERROR(__xludf.DUMMYFUNCTION("""COMPUTED_VALUE"""),1055.4)</f>
        <v>1055.4</v>
      </c>
      <c r="K88" s="3">
        <f t="shared" si="2"/>
        <v>0</v>
      </c>
      <c r="L88" s="3">
        <f t="shared" si="3"/>
        <v>0</v>
      </c>
    </row>
    <row r="89" customHeight="1" spans="1:12">
      <c r="A89" s="47">
        <f>IFERROR(__xludf.DUMMYFUNCTION("""COMPUTED_VALUE"""),45868.6458333333)</f>
        <v>45868.6458333333</v>
      </c>
      <c r="B89" s="48">
        <f>IFERROR(__xludf.DUMMYFUNCTION("""COMPUTED_VALUE"""),1073.3)</f>
        <v>1073.3</v>
      </c>
      <c r="C89" s="47">
        <f>IFERROR(__xludf.DUMMYFUNCTION("""COMPUTED_VALUE"""),45868.6458333333)</f>
        <v>45868.6458333333</v>
      </c>
      <c r="D89" s="48">
        <f>IFERROR(__xludf.DUMMYFUNCTION("""COMPUTED_VALUE"""),1070.5)</f>
        <v>1070.5</v>
      </c>
      <c r="E89" s="47">
        <f>IFERROR(__xludf.DUMMYFUNCTION("""COMPUTED_VALUE"""),45868.6458333333)</f>
        <v>45868.6458333333</v>
      </c>
      <c r="F89" s="48">
        <f>IFERROR(__xludf.DUMMYFUNCTION("""COMPUTED_VALUE"""),8247433)</f>
        <v>8247433</v>
      </c>
      <c r="G89" s="47">
        <f>IFERROR(__xludf.DUMMYFUNCTION("""COMPUTED_VALUE"""),45868.6458333333)</f>
        <v>45868.6458333333</v>
      </c>
      <c r="H89" s="48">
        <f>IFERROR(__xludf.DUMMYFUNCTION("""COMPUTED_VALUE"""),1080.6)</f>
        <v>1080.6</v>
      </c>
      <c r="I89" s="47">
        <f>IFERROR(__xludf.DUMMYFUNCTION("""COMPUTED_VALUE"""),45868.6458333333)</f>
        <v>45868.6458333333</v>
      </c>
      <c r="J89" s="48">
        <f>IFERROR(__xludf.DUMMYFUNCTION("""COMPUTED_VALUE"""),1062)</f>
        <v>1062</v>
      </c>
      <c r="K89" s="3">
        <f t="shared" si="2"/>
        <v>0</v>
      </c>
      <c r="L89" s="3">
        <f t="shared" si="3"/>
        <v>0</v>
      </c>
    </row>
    <row r="90" customHeight="1" spans="1:12">
      <c r="A90" s="47">
        <f>IFERROR(__xludf.DUMMYFUNCTION("""COMPUTED_VALUE"""),45869.6458333333)</f>
        <v>45869.6458333333</v>
      </c>
      <c r="B90" s="48">
        <f>IFERROR(__xludf.DUMMYFUNCTION("""COMPUTED_VALUE"""),1068.4)</f>
        <v>1068.4</v>
      </c>
      <c r="C90" s="47">
        <f>IFERROR(__xludf.DUMMYFUNCTION("""COMPUTED_VALUE"""),45869.6458333333)</f>
        <v>45869.6458333333</v>
      </c>
      <c r="D90" s="48">
        <f>IFERROR(__xludf.DUMMYFUNCTION("""COMPUTED_VALUE"""),1066)</f>
        <v>1066</v>
      </c>
      <c r="E90" s="47">
        <f>IFERROR(__xludf.DUMMYFUNCTION("""COMPUTED_VALUE"""),45869.6458333333)</f>
        <v>45869.6458333333</v>
      </c>
      <c r="F90" s="48">
        <f>IFERROR(__xludf.DUMMYFUNCTION("""COMPUTED_VALUE"""),7634413)</f>
        <v>7634413</v>
      </c>
      <c r="G90" s="47">
        <f>IFERROR(__xludf.DUMMYFUNCTION("""COMPUTED_VALUE"""),45869.6458333333)</f>
        <v>45869.6458333333</v>
      </c>
      <c r="H90" s="48">
        <f>IFERROR(__xludf.DUMMYFUNCTION("""COMPUTED_VALUE"""),1081.3)</f>
        <v>1081.3</v>
      </c>
      <c r="I90" s="47">
        <f>IFERROR(__xludf.DUMMYFUNCTION("""COMPUTED_VALUE"""),45869.6458333333)</f>
        <v>45869.6458333333</v>
      </c>
      <c r="J90" s="48">
        <f>IFERROR(__xludf.DUMMYFUNCTION("""COMPUTED_VALUE"""),1063.9)</f>
        <v>1063.9</v>
      </c>
      <c r="K90" s="3">
        <f t="shared" si="2"/>
        <v>0</v>
      </c>
      <c r="L90" s="3">
        <f t="shared" si="3"/>
        <v>0</v>
      </c>
    </row>
    <row r="91" customHeight="1" spans="1:12">
      <c r="A91" s="47">
        <f>IFERROR(__xludf.DUMMYFUNCTION("""COMPUTED_VALUE"""),45870.6458333333)</f>
        <v>45870.6458333333</v>
      </c>
      <c r="B91" s="48">
        <f>IFERROR(__xludf.DUMMYFUNCTION("""COMPUTED_VALUE"""),1062.4)</f>
        <v>1062.4</v>
      </c>
      <c r="C91" s="47">
        <f>IFERROR(__xludf.DUMMYFUNCTION("""COMPUTED_VALUE"""),45870.6458333333)</f>
        <v>45870.6458333333</v>
      </c>
      <c r="D91" s="48">
        <f>IFERROR(__xludf.DUMMYFUNCTION("""COMPUTED_VALUE"""),1065)</f>
        <v>1065</v>
      </c>
      <c r="E91" s="47">
        <f>IFERROR(__xludf.DUMMYFUNCTION("""COMPUTED_VALUE"""),45870.6458333333)</f>
        <v>45870.6458333333</v>
      </c>
      <c r="F91" s="48">
        <f>IFERROR(__xludf.DUMMYFUNCTION("""COMPUTED_VALUE"""),5545447)</f>
        <v>5545447</v>
      </c>
      <c r="G91" s="47">
        <f>IFERROR(__xludf.DUMMYFUNCTION("""COMPUTED_VALUE"""),45870.6458333333)</f>
        <v>45870.6458333333</v>
      </c>
      <c r="H91" s="48">
        <f>IFERROR(__xludf.DUMMYFUNCTION("""COMPUTED_VALUE"""),1070.9)</f>
        <v>1070.9</v>
      </c>
      <c r="I91" s="47">
        <f>IFERROR(__xludf.DUMMYFUNCTION("""COMPUTED_VALUE"""),45870.6458333333)</f>
        <v>45870.6458333333</v>
      </c>
      <c r="J91" s="48">
        <f>IFERROR(__xludf.DUMMYFUNCTION("""COMPUTED_VALUE"""),1060)</f>
        <v>1060</v>
      </c>
      <c r="K91" s="3">
        <f t="shared" si="2"/>
        <v>0</v>
      </c>
      <c r="L91" s="3">
        <f t="shared" si="3"/>
        <v>0</v>
      </c>
    </row>
    <row r="92" customHeight="1" spans="1:12">
      <c r="A92" s="47">
        <f>IFERROR(__xludf.DUMMYFUNCTION("""COMPUTED_VALUE"""),45873.6458333333)</f>
        <v>45873.6458333333</v>
      </c>
      <c r="B92" s="48">
        <f>IFERROR(__xludf.DUMMYFUNCTION("""COMPUTED_VALUE"""),1068.6)</f>
        <v>1068.6</v>
      </c>
      <c r="C92" s="47">
        <f>IFERROR(__xludf.DUMMYFUNCTION("""COMPUTED_VALUE"""),45873.6458333333)</f>
        <v>45873.6458333333</v>
      </c>
      <c r="D92" s="48">
        <f>IFERROR(__xludf.DUMMYFUNCTION("""COMPUTED_VALUE"""),1064.4)</f>
        <v>1064.4</v>
      </c>
      <c r="E92" s="47">
        <f>IFERROR(__xludf.DUMMYFUNCTION("""COMPUTED_VALUE"""),45873.6458333333)</f>
        <v>45873.6458333333</v>
      </c>
      <c r="F92" s="48">
        <f>IFERROR(__xludf.DUMMYFUNCTION("""COMPUTED_VALUE"""),4465845)</f>
        <v>4465845</v>
      </c>
      <c r="G92" s="47">
        <f>IFERROR(__xludf.DUMMYFUNCTION("""COMPUTED_VALUE"""),45873.6458333333)</f>
        <v>45873.6458333333</v>
      </c>
      <c r="H92" s="48">
        <f>IFERROR(__xludf.DUMMYFUNCTION("""COMPUTED_VALUE"""),1070)</f>
        <v>1070</v>
      </c>
      <c r="I92" s="47">
        <f>IFERROR(__xludf.DUMMYFUNCTION("""COMPUTED_VALUE"""),45873.6458333333)</f>
        <v>45873.6458333333</v>
      </c>
      <c r="J92" s="48">
        <f>IFERROR(__xludf.DUMMYFUNCTION("""COMPUTED_VALUE"""),1059)</f>
        <v>1059</v>
      </c>
      <c r="K92" s="3">
        <f t="shared" si="2"/>
        <v>0</v>
      </c>
      <c r="L92" s="3">
        <f t="shared" si="3"/>
        <v>0</v>
      </c>
    </row>
    <row r="93" customHeight="1" spans="1:12">
      <c r="A93" s="47">
        <f>IFERROR(__xludf.DUMMYFUNCTION("""COMPUTED_VALUE"""),45874.6458333333)</f>
        <v>45874.6458333333</v>
      </c>
      <c r="B93" s="48">
        <f>IFERROR(__xludf.DUMMYFUNCTION("""COMPUTED_VALUE"""),1070.8)</f>
        <v>1070.8</v>
      </c>
      <c r="C93" s="47">
        <f>IFERROR(__xludf.DUMMYFUNCTION("""COMPUTED_VALUE"""),45874.6458333333)</f>
        <v>45874.6458333333</v>
      </c>
      <c r="D93" s="48">
        <f>IFERROR(__xludf.DUMMYFUNCTION("""COMPUTED_VALUE"""),1068)</f>
        <v>1068</v>
      </c>
      <c r="E93" s="47">
        <f>IFERROR(__xludf.DUMMYFUNCTION("""COMPUTED_VALUE"""),45874.6458333333)</f>
        <v>45874.6458333333</v>
      </c>
      <c r="F93" s="48">
        <f>IFERROR(__xludf.DUMMYFUNCTION("""COMPUTED_VALUE"""),5318081)</f>
        <v>5318081</v>
      </c>
      <c r="G93" s="47">
        <f>IFERROR(__xludf.DUMMYFUNCTION("""COMPUTED_VALUE"""),45874.6458333333)</f>
        <v>45874.6458333333</v>
      </c>
      <c r="H93" s="48">
        <f>IFERROR(__xludf.DUMMYFUNCTION("""COMPUTED_VALUE"""),1079.9)</f>
        <v>1079.9</v>
      </c>
      <c r="I93" s="47">
        <f>IFERROR(__xludf.DUMMYFUNCTION("""COMPUTED_VALUE"""),45874.6458333333)</f>
        <v>45874.6458333333</v>
      </c>
      <c r="J93" s="48">
        <f>IFERROR(__xludf.DUMMYFUNCTION("""COMPUTED_VALUE"""),1062.5)</f>
        <v>1062.5</v>
      </c>
      <c r="K93" s="3">
        <f t="shared" si="2"/>
        <v>0</v>
      </c>
      <c r="L93" s="3">
        <f t="shared" si="3"/>
        <v>0</v>
      </c>
    </row>
    <row r="94" customHeight="1" spans="1:12">
      <c r="A94" s="47">
        <f>IFERROR(__xludf.DUMMYFUNCTION("""COMPUTED_VALUE"""),45875.6458333333)</f>
        <v>45875.6458333333</v>
      </c>
      <c r="B94" s="48">
        <f>IFERROR(__xludf.DUMMYFUNCTION("""COMPUTED_VALUE"""),1071)</f>
        <v>1071</v>
      </c>
      <c r="C94" s="47">
        <f>IFERROR(__xludf.DUMMYFUNCTION("""COMPUTED_VALUE"""),45875.6458333333)</f>
        <v>45875.6458333333</v>
      </c>
      <c r="D94" s="48">
        <f>IFERROR(__xludf.DUMMYFUNCTION("""COMPUTED_VALUE"""),1074)</f>
        <v>1074</v>
      </c>
      <c r="E94" s="47">
        <f>IFERROR(__xludf.DUMMYFUNCTION("""COMPUTED_VALUE"""),45875.6458333333)</f>
        <v>45875.6458333333</v>
      </c>
      <c r="F94" s="48">
        <f>IFERROR(__xludf.DUMMYFUNCTION("""COMPUTED_VALUE"""),4216651)</f>
        <v>4216651</v>
      </c>
      <c r="G94" s="47">
        <f>IFERROR(__xludf.DUMMYFUNCTION("""COMPUTED_VALUE"""),45875.6458333333)</f>
        <v>45875.6458333333</v>
      </c>
      <c r="H94" s="48">
        <f>IFERROR(__xludf.DUMMYFUNCTION("""COMPUTED_VALUE"""),1077.7)</f>
        <v>1077.7</v>
      </c>
      <c r="I94" s="47">
        <f>IFERROR(__xludf.DUMMYFUNCTION("""COMPUTED_VALUE"""),45875.6458333333)</f>
        <v>45875.6458333333</v>
      </c>
      <c r="J94" s="48">
        <f>IFERROR(__xludf.DUMMYFUNCTION("""COMPUTED_VALUE"""),1065.6)</f>
        <v>1065.6</v>
      </c>
      <c r="K94" s="3">
        <f t="shared" si="2"/>
        <v>0</v>
      </c>
      <c r="L94" s="3">
        <f t="shared" si="3"/>
        <v>0</v>
      </c>
    </row>
    <row r="95" customHeight="1" spans="1:12">
      <c r="A95" s="47">
        <f>IFERROR(__xludf.DUMMYFUNCTION("""COMPUTED_VALUE"""),45876.6458333333)</f>
        <v>45876.6458333333</v>
      </c>
      <c r="B95" s="48">
        <f>IFERROR(__xludf.DUMMYFUNCTION("""COMPUTED_VALUE"""),1076.2)</f>
        <v>1076.2</v>
      </c>
      <c r="C95" s="47">
        <f>IFERROR(__xludf.DUMMYFUNCTION("""COMPUTED_VALUE"""),45876.6458333333)</f>
        <v>45876.6458333333</v>
      </c>
      <c r="D95" s="48">
        <f>IFERROR(__xludf.DUMMYFUNCTION("""COMPUTED_VALUE"""),1067.8)</f>
        <v>1067.8</v>
      </c>
      <c r="E95" s="47">
        <f>IFERROR(__xludf.DUMMYFUNCTION("""COMPUTED_VALUE"""),45876.6458333333)</f>
        <v>45876.6458333333</v>
      </c>
      <c r="F95" s="48">
        <f>IFERROR(__xludf.DUMMYFUNCTION("""COMPUTED_VALUE"""),5321131)</f>
        <v>5321131</v>
      </c>
      <c r="G95" s="47">
        <f>IFERROR(__xludf.DUMMYFUNCTION("""COMPUTED_VALUE"""),45876.6458333333)</f>
        <v>45876.6458333333</v>
      </c>
      <c r="H95" s="48">
        <f>IFERROR(__xludf.DUMMYFUNCTION("""COMPUTED_VALUE"""),1079.7)</f>
        <v>1079.7</v>
      </c>
      <c r="I95" s="47">
        <f>IFERROR(__xludf.DUMMYFUNCTION("""COMPUTED_VALUE"""),45876.6458333333)</f>
        <v>45876.6458333333</v>
      </c>
      <c r="J95" s="48">
        <f>IFERROR(__xludf.DUMMYFUNCTION("""COMPUTED_VALUE"""),1064.5)</f>
        <v>1064.5</v>
      </c>
      <c r="K95" s="3">
        <f t="shared" si="2"/>
        <v>0</v>
      </c>
      <c r="L95" s="3">
        <f t="shared" si="3"/>
        <v>0</v>
      </c>
    </row>
    <row r="96" customHeight="1" spans="1:12">
      <c r="A96" s="47">
        <f>IFERROR(__xludf.DUMMYFUNCTION("""COMPUTED_VALUE"""),45877.6458333333)</f>
        <v>45877.6458333333</v>
      </c>
      <c r="B96" s="48">
        <f>IFERROR(__xludf.DUMMYFUNCTION("""COMPUTED_VALUE"""),1058.1)</f>
        <v>1058.1</v>
      </c>
      <c r="C96" s="47">
        <f>IFERROR(__xludf.DUMMYFUNCTION("""COMPUTED_VALUE"""),45877.6458333333)</f>
        <v>45877.6458333333</v>
      </c>
      <c r="D96" s="48">
        <f>IFERROR(__xludf.DUMMYFUNCTION("""COMPUTED_VALUE"""),1073)</f>
        <v>1073</v>
      </c>
      <c r="E96" s="47">
        <f>IFERROR(__xludf.DUMMYFUNCTION("""COMPUTED_VALUE"""),45877.6458333333)</f>
        <v>45877.6458333333</v>
      </c>
      <c r="F96" s="48">
        <f>IFERROR(__xludf.DUMMYFUNCTION("""COMPUTED_VALUE"""),5084903)</f>
        <v>5084903</v>
      </c>
      <c r="G96" s="47">
        <f>IFERROR(__xludf.DUMMYFUNCTION("""COMPUTED_VALUE"""),45877.6458333333)</f>
        <v>45877.6458333333</v>
      </c>
      <c r="H96" s="48">
        <f>IFERROR(__xludf.DUMMYFUNCTION("""COMPUTED_VALUE"""),1080.4)</f>
        <v>1080.4</v>
      </c>
      <c r="I96" s="47">
        <f>IFERROR(__xludf.DUMMYFUNCTION("""COMPUTED_VALUE"""),45877.6458333333)</f>
        <v>45877.6458333333</v>
      </c>
      <c r="J96" s="48">
        <f>IFERROR(__xludf.DUMMYFUNCTION("""COMPUTED_VALUE"""),1054.2)</f>
        <v>1054.2</v>
      </c>
      <c r="K96" s="3">
        <f t="shared" si="2"/>
        <v>0</v>
      </c>
      <c r="L96" s="3">
        <f t="shared" si="3"/>
        <v>1058.1</v>
      </c>
    </row>
    <row r="97" customHeight="1" spans="1:12">
      <c r="A97" s="47">
        <f>IFERROR(__xludf.DUMMYFUNCTION("""COMPUTED_VALUE"""),45880.6458333333)</f>
        <v>45880.6458333333</v>
      </c>
      <c r="B97" s="48">
        <f>IFERROR(__xludf.DUMMYFUNCTION("""COMPUTED_VALUE"""),1073.3)</f>
        <v>1073.3</v>
      </c>
      <c r="C97" s="47">
        <f>IFERROR(__xludf.DUMMYFUNCTION("""COMPUTED_VALUE"""),45880.6458333333)</f>
        <v>45880.6458333333</v>
      </c>
      <c r="D97" s="48">
        <f>IFERROR(__xludf.DUMMYFUNCTION("""COMPUTED_VALUE"""),1058.1)</f>
        <v>1058.1</v>
      </c>
      <c r="E97" s="47">
        <f>IFERROR(__xludf.DUMMYFUNCTION("""COMPUTED_VALUE"""),45880.6458333333)</f>
        <v>45880.6458333333</v>
      </c>
      <c r="F97" s="48">
        <f>IFERROR(__xludf.DUMMYFUNCTION("""COMPUTED_VALUE"""),5452775)</f>
        <v>5452775</v>
      </c>
      <c r="G97" s="47">
        <f>IFERROR(__xludf.DUMMYFUNCTION("""COMPUTED_VALUE"""),45880.6458333333)</f>
        <v>45880.6458333333</v>
      </c>
      <c r="H97" s="48">
        <f>IFERROR(__xludf.DUMMYFUNCTION("""COMPUTED_VALUE"""),1075.4)</f>
        <v>1075.4</v>
      </c>
      <c r="I97" s="47">
        <f>IFERROR(__xludf.DUMMYFUNCTION("""COMPUTED_VALUE"""),45880.6458333333)</f>
        <v>45880.6458333333</v>
      </c>
      <c r="J97" s="48">
        <f>IFERROR(__xludf.DUMMYFUNCTION("""COMPUTED_VALUE"""),1052.6)</f>
        <v>1052.6</v>
      </c>
      <c r="K97" s="3">
        <f t="shared" si="2"/>
        <v>0</v>
      </c>
      <c r="L97" s="3">
        <f t="shared" si="3"/>
        <v>0</v>
      </c>
    </row>
    <row r="98" customHeight="1" spans="1:12">
      <c r="A98" s="47">
        <f>IFERROR(__xludf.DUMMYFUNCTION("""COMPUTED_VALUE"""),45881.6458333333)</f>
        <v>45881.6458333333</v>
      </c>
      <c r="B98" s="48">
        <f>IFERROR(__xludf.DUMMYFUNCTION("""COMPUTED_VALUE"""),1070)</f>
        <v>1070</v>
      </c>
      <c r="C98" s="47">
        <f>IFERROR(__xludf.DUMMYFUNCTION("""COMPUTED_VALUE"""),45881.6458333333)</f>
        <v>45881.6458333333</v>
      </c>
      <c r="D98" s="48">
        <f>IFERROR(__xludf.DUMMYFUNCTION("""COMPUTED_VALUE"""),1071.1)</f>
        <v>1071.1</v>
      </c>
      <c r="E98" s="47">
        <f>IFERROR(__xludf.DUMMYFUNCTION("""COMPUTED_VALUE"""),45881.6458333333)</f>
        <v>45881.6458333333</v>
      </c>
      <c r="F98" s="48">
        <f>IFERROR(__xludf.DUMMYFUNCTION("""COMPUTED_VALUE"""),4573025)</f>
        <v>4573025</v>
      </c>
      <c r="G98" s="47">
        <f>IFERROR(__xludf.DUMMYFUNCTION("""COMPUTED_VALUE"""),45881.6458333333)</f>
        <v>45881.6458333333</v>
      </c>
      <c r="H98" s="48">
        <f>IFERROR(__xludf.DUMMYFUNCTION("""COMPUTED_VALUE"""),1076.6)</f>
        <v>1076.6</v>
      </c>
      <c r="I98" s="47">
        <f>IFERROR(__xludf.DUMMYFUNCTION("""COMPUTED_VALUE"""),45881.6458333333)</f>
        <v>45881.6458333333</v>
      </c>
      <c r="J98" s="48">
        <f>IFERROR(__xludf.DUMMYFUNCTION("""COMPUTED_VALUE"""),1066.3)</f>
        <v>1066.3</v>
      </c>
      <c r="K98" s="3">
        <f t="shared" si="2"/>
        <v>0</v>
      </c>
      <c r="L98" s="3">
        <f t="shared" si="3"/>
        <v>0</v>
      </c>
    </row>
    <row r="99" customHeight="1" spans="1:12">
      <c r="A99" s="47">
        <f>IFERROR(__xludf.DUMMYFUNCTION("""COMPUTED_VALUE"""),45882.6458333333)</f>
        <v>45882.6458333333</v>
      </c>
      <c r="B99" s="48">
        <f>IFERROR(__xludf.DUMMYFUNCTION("""COMPUTED_VALUE"""),1066)</f>
        <v>1066</v>
      </c>
      <c r="C99" s="47">
        <f>IFERROR(__xludf.DUMMYFUNCTION("""COMPUTED_VALUE"""),45882.6458333333)</f>
        <v>45882.6458333333</v>
      </c>
      <c r="D99" s="48">
        <f>IFERROR(__xludf.DUMMYFUNCTION("""COMPUTED_VALUE"""),1071.1)</f>
        <v>1071.1</v>
      </c>
      <c r="E99" s="47">
        <f>IFERROR(__xludf.DUMMYFUNCTION("""COMPUTED_VALUE"""),45882.6458333333)</f>
        <v>45882.6458333333</v>
      </c>
      <c r="F99" s="48">
        <f>IFERROR(__xludf.DUMMYFUNCTION("""COMPUTED_VALUE"""),4966778)</f>
        <v>4966778</v>
      </c>
      <c r="G99" s="47">
        <f>IFERROR(__xludf.DUMMYFUNCTION("""COMPUTED_VALUE"""),45882.6458333333)</f>
        <v>45882.6458333333</v>
      </c>
      <c r="H99" s="48">
        <f>IFERROR(__xludf.DUMMYFUNCTION("""COMPUTED_VALUE"""),1072.8)</f>
        <v>1072.8</v>
      </c>
      <c r="I99" s="47">
        <f>IFERROR(__xludf.DUMMYFUNCTION("""COMPUTED_VALUE"""),45882.6458333333)</f>
        <v>45882.6458333333</v>
      </c>
      <c r="J99" s="48">
        <f>IFERROR(__xludf.DUMMYFUNCTION("""COMPUTED_VALUE"""),1063.2)</f>
        <v>1063.2</v>
      </c>
      <c r="K99" s="3">
        <f t="shared" si="2"/>
        <v>0</v>
      </c>
      <c r="L99" s="3">
        <f t="shared" si="3"/>
        <v>0</v>
      </c>
    </row>
    <row r="100" customHeight="1" spans="1:12">
      <c r="A100" s="47">
        <f>IFERROR(__xludf.DUMMYFUNCTION("""COMPUTED_VALUE"""),45883.6458333333)</f>
        <v>45883.6458333333</v>
      </c>
      <c r="B100" s="48">
        <f>IFERROR(__xludf.DUMMYFUNCTION("""COMPUTED_VALUE"""),1068.2)</f>
        <v>1068.2</v>
      </c>
      <c r="C100" s="47">
        <f>IFERROR(__xludf.DUMMYFUNCTION("""COMPUTED_VALUE"""),45883.6458333333)</f>
        <v>45883.6458333333</v>
      </c>
      <c r="D100" s="48">
        <f>IFERROR(__xludf.DUMMYFUNCTION("""COMPUTED_VALUE"""),1067)</f>
        <v>1067</v>
      </c>
      <c r="E100" s="47">
        <f>IFERROR(__xludf.DUMMYFUNCTION("""COMPUTED_VALUE"""),45883.6458333333)</f>
        <v>45883.6458333333</v>
      </c>
      <c r="F100" s="48">
        <f>IFERROR(__xludf.DUMMYFUNCTION("""COMPUTED_VALUE"""),6761305)</f>
        <v>6761305</v>
      </c>
      <c r="G100" s="47">
        <f>IFERROR(__xludf.DUMMYFUNCTION("""COMPUTED_VALUE"""),45883.6458333333)</f>
        <v>45883.6458333333</v>
      </c>
      <c r="H100" s="48">
        <f>IFERROR(__xludf.DUMMYFUNCTION("""COMPUTED_VALUE"""),1072.4)</f>
        <v>1072.4</v>
      </c>
      <c r="I100" s="47">
        <f>IFERROR(__xludf.DUMMYFUNCTION("""COMPUTED_VALUE"""),45883.6458333333)</f>
        <v>45883.6458333333</v>
      </c>
      <c r="J100" s="48">
        <f>IFERROR(__xludf.DUMMYFUNCTION("""COMPUTED_VALUE"""),1062)</f>
        <v>1062</v>
      </c>
      <c r="K100" s="3">
        <f t="shared" si="2"/>
        <v>0</v>
      </c>
      <c r="L100" s="3">
        <f t="shared" si="3"/>
        <v>0</v>
      </c>
    </row>
    <row r="101" customHeight="1" spans="1:12">
      <c r="A101" s="47">
        <f>IFERROR(__xludf.DUMMYFUNCTION("""COMPUTED_VALUE"""),45887.6458333333)</f>
        <v>45887.6458333333</v>
      </c>
      <c r="B101" s="48">
        <f>IFERROR(__xludf.DUMMYFUNCTION("""COMPUTED_VALUE"""),1082.6)</f>
        <v>1082.6</v>
      </c>
      <c r="C101" s="47">
        <f>IFERROR(__xludf.DUMMYFUNCTION("""COMPUTED_VALUE"""),45887.6458333333)</f>
        <v>45887.6458333333</v>
      </c>
      <c r="D101" s="48">
        <f>IFERROR(__xludf.DUMMYFUNCTION("""COMPUTED_VALUE"""),1080)</f>
        <v>1080</v>
      </c>
      <c r="E101" s="47">
        <f>IFERROR(__xludf.DUMMYFUNCTION("""COMPUTED_VALUE"""),45887.6458333333)</f>
        <v>45887.6458333333</v>
      </c>
      <c r="F101" s="48">
        <f>IFERROR(__xludf.DUMMYFUNCTION("""COMPUTED_VALUE"""),7964987)</f>
        <v>7964987</v>
      </c>
      <c r="G101" s="47">
        <f>IFERROR(__xludf.DUMMYFUNCTION("""COMPUTED_VALUE"""),45887.6458333333)</f>
        <v>45887.6458333333</v>
      </c>
      <c r="H101" s="48">
        <f>IFERROR(__xludf.DUMMYFUNCTION("""COMPUTED_VALUE"""),1090)</f>
        <v>1090</v>
      </c>
      <c r="I101" s="47">
        <f>IFERROR(__xludf.DUMMYFUNCTION("""COMPUTED_VALUE"""),45887.6458333333)</f>
        <v>45887.6458333333</v>
      </c>
      <c r="J101" s="48">
        <f>IFERROR(__xludf.DUMMYFUNCTION("""COMPUTED_VALUE"""),1079.4)</f>
        <v>1079.4</v>
      </c>
      <c r="K101" s="3">
        <f t="shared" si="2"/>
        <v>0</v>
      </c>
      <c r="L101" s="3">
        <f t="shared" si="3"/>
        <v>0</v>
      </c>
    </row>
    <row r="102" customHeight="1" spans="1:12">
      <c r="A102" s="47">
        <f>IFERROR(__xludf.DUMMYFUNCTION("""COMPUTED_VALUE"""),45888.6458333333)</f>
        <v>45888.6458333333</v>
      </c>
      <c r="B102" s="48">
        <f>IFERROR(__xludf.DUMMYFUNCTION("""COMPUTED_VALUE"""),1083.2)</f>
        <v>1083.2</v>
      </c>
      <c r="C102" s="47">
        <f>IFERROR(__xludf.DUMMYFUNCTION("""COMPUTED_VALUE"""),45888.6458333333)</f>
        <v>45888.6458333333</v>
      </c>
      <c r="D102" s="48">
        <f>IFERROR(__xludf.DUMMYFUNCTION("""COMPUTED_VALUE"""),1078)</f>
        <v>1078</v>
      </c>
      <c r="E102" s="47">
        <f>IFERROR(__xludf.DUMMYFUNCTION("""COMPUTED_VALUE"""),45888.6458333333)</f>
        <v>45888.6458333333</v>
      </c>
      <c r="F102" s="48">
        <f>IFERROR(__xludf.DUMMYFUNCTION("""COMPUTED_VALUE"""),5661531)</f>
        <v>5661531</v>
      </c>
      <c r="G102" s="47">
        <f>IFERROR(__xludf.DUMMYFUNCTION("""COMPUTED_VALUE"""),45888.6458333333)</f>
        <v>45888.6458333333</v>
      </c>
      <c r="H102" s="48">
        <f>IFERROR(__xludf.DUMMYFUNCTION("""COMPUTED_VALUE"""),1095)</f>
        <v>1095</v>
      </c>
      <c r="I102" s="47">
        <f>IFERROR(__xludf.DUMMYFUNCTION("""COMPUTED_VALUE"""),45888.6458333333)</f>
        <v>45888.6458333333</v>
      </c>
      <c r="J102" s="48">
        <f>IFERROR(__xludf.DUMMYFUNCTION("""COMPUTED_VALUE"""),1075.8)</f>
        <v>1075.8</v>
      </c>
      <c r="K102" s="3">
        <f t="shared" si="2"/>
        <v>1083.2</v>
      </c>
      <c r="L102" s="3">
        <f t="shared" si="3"/>
        <v>0</v>
      </c>
    </row>
    <row r="103" customHeight="1" spans="1:12">
      <c r="A103" s="47">
        <f>IFERROR(__xludf.DUMMYFUNCTION("""COMPUTED_VALUE"""),45889.6458333333)</f>
        <v>45889.6458333333</v>
      </c>
      <c r="B103" s="48">
        <f>IFERROR(__xludf.DUMMYFUNCTION("""COMPUTED_VALUE"""),1080.2)</f>
        <v>1080.2</v>
      </c>
      <c r="C103" s="47">
        <f>IFERROR(__xludf.DUMMYFUNCTION("""COMPUTED_VALUE"""),45889.6458333333)</f>
        <v>45889.6458333333</v>
      </c>
      <c r="D103" s="48">
        <f>IFERROR(__xludf.DUMMYFUNCTION("""COMPUTED_VALUE"""),1081)</f>
        <v>1081</v>
      </c>
      <c r="E103" s="47">
        <f>IFERROR(__xludf.DUMMYFUNCTION("""COMPUTED_VALUE"""),45889.6458333333)</f>
        <v>45889.6458333333</v>
      </c>
      <c r="F103" s="48">
        <f>IFERROR(__xludf.DUMMYFUNCTION("""COMPUTED_VALUE"""),3034728)</f>
        <v>3034728</v>
      </c>
      <c r="G103" s="47">
        <f>IFERROR(__xludf.DUMMYFUNCTION("""COMPUTED_VALUE"""),45889.6458333333)</f>
        <v>45889.6458333333</v>
      </c>
      <c r="H103" s="48">
        <f>IFERROR(__xludf.DUMMYFUNCTION("""COMPUTED_VALUE"""),1083.7)</f>
        <v>1083.7</v>
      </c>
      <c r="I103" s="47">
        <f>IFERROR(__xludf.DUMMYFUNCTION("""COMPUTED_VALUE"""),45889.6458333333)</f>
        <v>45889.6458333333</v>
      </c>
      <c r="J103" s="48">
        <f>IFERROR(__xludf.DUMMYFUNCTION("""COMPUTED_VALUE"""),1077.8)</f>
        <v>1077.8</v>
      </c>
      <c r="K103" s="3">
        <f t="shared" si="2"/>
        <v>0</v>
      </c>
      <c r="L103" s="3">
        <f t="shared" si="3"/>
        <v>0</v>
      </c>
    </row>
    <row r="104" customHeight="1" spans="1:12">
      <c r="A104" s="47">
        <f>IFERROR(__xludf.DUMMYFUNCTION("""COMPUTED_VALUE"""),45890.6458333333)</f>
        <v>45890.6458333333</v>
      </c>
      <c r="B104" s="48">
        <f>IFERROR(__xludf.DUMMYFUNCTION("""COMPUTED_VALUE"""),1078.9)</f>
        <v>1078.9</v>
      </c>
      <c r="C104" s="47">
        <f>IFERROR(__xludf.DUMMYFUNCTION("""COMPUTED_VALUE"""),45890.6458333333)</f>
        <v>45890.6458333333</v>
      </c>
      <c r="D104" s="48">
        <f>IFERROR(__xludf.DUMMYFUNCTION("""COMPUTED_VALUE"""),1090)</f>
        <v>1090</v>
      </c>
      <c r="E104" s="47">
        <f>IFERROR(__xludf.DUMMYFUNCTION("""COMPUTED_VALUE"""),45890.6458333333)</f>
        <v>45890.6458333333</v>
      </c>
      <c r="F104" s="48">
        <f>IFERROR(__xludf.DUMMYFUNCTION("""COMPUTED_VALUE"""),6459262)</f>
        <v>6459262</v>
      </c>
      <c r="G104" s="47">
        <f>IFERROR(__xludf.DUMMYFUNCTION("""COMPUTED_VALUE"""),45890.6458333333)</f>
        <v>45890.6458333333</v>
      </c>
      <c r="H104" s="48">
        <f>IFERROR(__xludf.DUMMYFUNCTION("""COMPUTED_VALUE"""),1090)</f>
        <v>1090</v>
      </c>
      <c r="I104" s="47">
        <f>IFERROR(__xludf.DUMMYFUNCTION("""COMPUTED_VALUE"""),45890.6458333333)</f>
        <v>45890.6458333333</v>
      </c>
      <c r="J104" s="48">
        <f>IFERROR(__xludf.DUMMYFUNCTION("""COMPUTED_VALUE"""),1076.4)</f>
        <v>1076.4</v>
      </c>
      <c r="K104" s="3">
        <f t="shared" si="2"/>
        <v>0</v>
      </c>
      <c r="L104" s="3">
        <f t="shared" si="3"/>
        <v>0</v>
      </c>
    </row>
    <row r="105" customHeight="1" spans="1:12">
      <c r="A105" s="47">
        <f>IFERROR(__xludf.DUMMYFUNCTION("""COMPUTED_VALUE"""),45891.6458333333)</f>
        <v>45891.6458333333</v>
      </c>
      <c r="B105" s="48">
        <f>IFERROR(__xludf.DUMMYFUNCTION("""COMPUTED_VALUE"""),1070.9)</f>
        <v>1070.9</v>
      </c>
      <c r="C105" s="47">
        <f>IFERROR(__xludf.DUMMYFUNCTION("""COMPUTED_VALUE"""),45891.6458333333)</f>
        <v>45891.6458333333</v>
      </c>
      <c r="D105" s="48">
        <f>IFERROR(__xludf.DUMMYFUNCTION("""COMPUTED_VALUE"""),1076)</f>
        <v>1076</v>
      </c>
      <c r="E105" s="47">
        <f>IFERROR(__xludf.DUMMYFUNCTION("""COMPUTED_VALUE"""),45891.6458333333)</f>
        <v>45891.6458333333</v>
      </c>
      <c r="F105" s="48">
        <f>IFERROR(__xludf.DUMMYFUNCTION("""COMPUTED_VALUE"""),3853718)</f>
        <v>3853718</v>
      </c>
      <c r="G105" s="47">
        <f>IFERROR(__xludf.DUMMYFUNCTION("""COMPUTED_VALUE"""),45891.6458333333)</f>
        <v>45891.6458333333</v>
      </c>
      <c r="H105" s="48">
        <f>IFERROR(__xludf.DUMMYFUNCTION("""COMPUTED_VALUE"""),1078.5)</f>
        <v>1078.5</v>
      </c>
      <c r="I105" s="47">
        <f>IFERROR(__xludf.DUMMYFUNCTION("""COMPUTED_VALUE"""),45891.6458333333)</f>
        <v>45891.6458333333</v>
      </c>
      <c r="J105" s="48">
        <f>IFERROR(__xludf.DUMMYFUNCTION("""COMPUTED_VALUE"""),1069.5)</f>
        <v>1069.5</v>
      </c>
      <c r="K105" s="3">
        <f t="shared" si="2"/>
        <v>0</v>
      </c>
      <c r="L105" s="3">
        <f t="shared" si="3"/>
        <v>0</v>
      </c>
    </row>
    <row r="106" customHeight="1" spans="1:12">
      <c r="A106" s="47">
        <f>IFERROR(__xludf.DUMMYFUNCTION("""COMPUTED_VALUE"""),45894.6458333333)</f>
        <v>45894.6458333333</v>
      </c>
      <c r="B106" s="48">
        <f>IFERROR(__xludf.DUMMYFUNCTION("""COMPUTED_VALUE"""),1070)</f>
        <v>1070</v>
      </c>
      <c r="C106" s="47">
        <f>IFERROR(__xludf.DUMMYFUNCTION("""COMPUTED_VALUE"""),45894.6458333333)</f>
        <v>45894.6458333333</v>
      </c>
      <c r="D106" s="48">
        <f>IFERROR(__xludf.DUMMYFUNCTION("""COMPUTED_VALUE"""),1073)</f>
        <v>1073</v>
      </c>
      <c r="E106" s="47">
        <f>IFERROR(__xludf.DUMMYFUNCTION("""COMPUTED_VALUE"""),45894.6458333333)</f>
        <v>45894.6458333333</v>
      </c>
      <c r="F106" s="48">
        <f>IFERROR(__xludf.DUMMYFUNCTION("""COMPUTED_VALUE"""),2711278)</f>
        <v>2711278</v>
      </c>
      <c r="G106" s="47">
        <f>IFERROR(__xludf.DUMMYFUNCTION("""COMPUTED_VALUE"""),45894.6458333333)</f>
        <v>45894.6458333333</v>
      </c>
      <c r="H106" s="48">
        <f>IFERROR(__xludf.DUMMYFUNCTION("""COMPUTED_VALUE"""),1074.5)</f>
        <v>1074.5</v>
      </c>
      <c r="I106" s="47">
        <f>IFERROR(__xludf.DUMMYFUNCTION("""COMPUTED_VALUE"""),45894.6458333333)</f>
        <v>45894.6458333333</v>
      </c>
      <c r="J106" s="48">
        <f>IFERROR(__xludf.DUMMYFUNCTION("""COMPUTED_VALUE"""),1068.2)</f>
        <v>1068.2</v>
      </c>
      <c r="K106" s="3">
        <f t="shared" si="2"/>
        <v>0</v>
      </c>
      <c r="L106" s="3">
        <f t="shared" si="3"/>
        <v>0</v>
      </c>
    </row>
    <row r="107" customHeight="1" spans="1:12">
      <c r="A107" s="47">
        <f>IFERROR(__xludf.DUMMYFUNCTION("""COMPUTED_VALUE"""),45895.6458333333)</f>
        <v>45895.6458333333</v>
      </c>
      <c r="B107" s="48">
        <f>IFERROR(__xludf.DUMMYFUNCTION("""COMPUTED_VALUE"""),1050.1)</f>
        <v>1050.1</v>
      </c>
      <c r="C107" s="47">
        <f>IFERROR(__xludf.DUMMYFUNCTION("""COMPUTED_VALUE"""),45895.6458333333)</f>
        <v>45895.6458333333</v>
      </c>
      <c r="D107" s="48">
        <f>IFERROR(__xludf.DUMMYFUNCTION("""COMPUTED_VALUE"""),1068)</f>
        <v>1068</v>
      </c>
      <c r="E107" s="47">
        <f>IFERROR(__xludf.DUMMYFUNCTION("""COMPUTED_VALUE"""),45895.6458333333)</f>
        <v>45895.6458333333</v>
      </c>
      <c r="F107" s="48">
        <f>IFERROR(__xludf.DUMMYFUNCTION("""COMPUTED_VALUE"""),7197666)</f>
        <v>7197666</v>
      </c>
      <c r="G107" s="47">
        <f>IFERROR(__xludf.DUMMYFUNCTION("""COMPUTED_VALUE"""),45895.6458333333)</f>
        <v>45895.6458333333</v>
      </c>
      <c r="H107" s="48">
        <f>IFERROR(__xludf.DUMMYFUNCTION("""COMPUTED_VALUE"""),1069.8)</f>
        <v>1069.8</v>
      </c>
      <c r="I107" s="47">
        <f>IFERROR(__xludf.DUMMYFUNCTION("""COMPUTED_VALUE"""),45895.6458333333)</f>
        <v>45895.6458333333</v>
      </c>
      <c r="J107" s="48">
        <f>IFERROR(__xludf.DUMMYFUNCTION("""COMPUTED_VALUE"""),1048)</f>
        <v>1048</v>
      </c>
      <c r="K107" s="3">
        <f t="shared" si="2"/>
        <v>0</v>
      </c>
      <c r="L107" s="3">
        <f t="shared" si="3"/>
        <v>0</v>
      </c>
    </row>
    <row r="108" customHeight="1" spans="1:12">
      <c r="A108" s="47">
        <f>IFERROR(__xludf.DUMMYFUNCTION("""COMPUTED_VALUE"""),45897.6458333333)</f>
        <v>45897.6458333333</v>
      </c>
      <c r="B108" s="48">
        <f>IFERROR(__xludf.DUMMYFUNCTION("""COMPUTED_VALUE"""),1051.9)</f>
        <v>1051.9</v>
      </c>
      <c r="C108" s="47">
        <f>IFERROR(__xludf.DUMMYFUNCTION("""COMPUTED_VALUE"""),45897.6458333333)</f>
        <v>45897.6458333333</v>
      </c>
      <c r="D108" s="48">
        <f>IFERROR(__xludf.DUMMYFUNCTION("""COMPUTED_VALUE"""),1057)</f>
        <v>1057</v>
      </c>
      <c r="E108" s="47">
        <f>IFERROR(__xludf.DUMMYFUNCTION("""COMPUTED_VALUE"""),45897.6458333333)</f>
        <v>45897.6458333333</v>
      </c>
      <c r="F108" s="48">
        <f>IFERROR(__xludf.DUMMYFUNCTION("""COMPUTED_VALUE"""),8564803)</f>
        <v>8564803</v>
      </c>
      <c r="G108" s="47">
        <f>IFERROR(__xludf.DUMMYFUNCTION("""COMPUTED_VALUE"""),45897.6458333333)</f>
        <v>45897.6458333333</v>
      </c>
      <c r="H108" s="48">
        <f>IFERROR(__xludf.DUMMYFUNCTION("""COMPUTED_VALUE"""),1059.5)</f>
        <v>1059.5</v>
      </c>
      <c r="I108" s="47">
        <f>IFERROR(__xludf.DUMMYFUNCTION("""COMPUTED_VALUE"""),45897.6458333333)</f>
        <v>45897.6458333333</v>
      </c>
      <c r="J108" s="48">
        <f>IFERROR(__xludf.DUMMYFUNCTION("""COMPUTED_VALUE"""),1047)</f>
        <v>1047</v>
      </c>
      <c r="K108" s="3">
        <f t="shared" si="2"/>
        <v>0</v>
      </c>
      <c r="L108" s="3">
        <f t="shared" si="3"/>
        <v>0</v>
      </c>
    </row>
    <row r="109" customHeight="1" spans="1:12">
      <c r="A109" s="47">
        <f>IFERROR(__xludf.DUMMYFUNCTION("""COMPUTED_VALUE"""),45898.6458333333)</f>
        <v>45898.6458333333</v>
      </c>
      <c r="B109" s="48">
        <f>IFERROR(__xludf.DUMMYFUNCTION("""COMPUTED_VALUE"""),1045.2)</f>
        <v>1045.2</v>
      </c>
      <c r="C109" s="47">
        <f>IFERROR(__xludf.DUMMYFUNCTION("""COMPUTED_VALUE"""),45898.6458333333)</f>
        <v>45898.6458333333</v>
      </c>
      <c r="D109" s="48">
        <f>IFERROR(__xludf.DUMMYFUNCTION("""COMPUTED_VALUE"""),1052.1)</f>
        <v>1052.1</v>
      </c>
      <c r="E109" s="47">
        <f>IFERROR(__xludf.DUMMYFUNCTION("""COMPUTED_VALUE"""),45898.6458333333)</f>
        <v>45898.6458333333</v>
      </c>
      <c r="F109" s="48">
        <f>IFERROR(__xludf.DUMMYFUNCTION("""COMPUTED_VALUE"""),4718016)</f>
        <v>4718016</v>
      </c>
      <c r="G109" s="47">
        <f>IFERROR(__xludf.DUMMYFUNCTION("""COMPUTED_VALUE"""),45898.6458333333)</f>
        <v>45898.6458333333</v>
      </c>
      <c r="H109" s="48">
        <f>IFERROR(__xludf.DUMMYFUNCTION("""COMPUTED_VALUE"""),1063)</f>
        <v>1063</v>
      </c>
      <c r="I109" s="47">
        <f>IFERROR(__xludf.DUMMYFUNCTION("""COMPUTED_VALUE"""),45898.6458333333)</f>
        <v>45898.6458333333</v>
      </c>
      <c r="J109" s="48">
        <f>IFERROR(__xludf.DUMMYFUNCTION("""COMPUTED_VALUE"""),1042.5)</f>
        <v>1042.5</v>
      </c>
      <c r="K109" s="3">
        <f t="shared" si="2"/>
        <v>0</v>
      </c>
      <c r="L109" s="3">
        <f t="shared" si="3"/>
        <v>1045.2</v>
      </c>
    </row>
    <row r="110" customHeight="1" spans="1:12">
      <c r="A110" s="47">
        <f>IFERROR(__xludf.DUMMYFUNCTION("""COMPUTED_VALUE"""),45901.6458333333)</f>
        <v>45901.6458333333</v>
      </c>
      <c r="B110" s="48">
        <f>IFERROR(__xludf.DUMMYFUNCTION("""COMPUTED_VALUE"""),1061.5)</f>
        <v>1061.5</v>
      </c>
      <c r="C110" s="47">
        <f>IFERROR(__xludf.DUMMYFUNCTION("""COMPUTED_VALUE"""),45901.6458333333)</f>
        <v>45901.6458333333</v>
      </c>
      <c r="D110" s="48">
        <f>IFERROR(__xludf.DUMMYFUNCTION("""COMPUTED_VALUE"""),1047.6)</f>
        <v>1047.6</v>
      </c>
      <c r="E110" s="47">
        <f>IFERROR(__xludf.DUMMYFUNCTION("""COMPUTED_VALUE"""),45901.6458333333)</f>
        <v>45901.6458333333</v>
      </c>
      <c r="F110" s="48">
        <f>IFERROR(__xludf.DUMMYFUNCTION("""COMPUTED_VALUE"""),3190426)</f>
        <v>3190426</v>
      </c>
      <c r="G110" s="47">
        <f>IFERROR(__xludf.DUMMYFUNCTION("""COMPUTED_VALUE"""),45901.6458333333)</f>
        <v>45901.6458333333</v>
      </c>
      <c r="H110" s="48">
        <f>IFERROR(__xludf.DUMMYFUNCTION("""COMPUTED_VALUE"""),1064)</f>
        <v>1064</v>
      </c>
      <c r="I110" s="47">
        <f>IFERROR(__xludf.DUMMYFUNCTION("""COMPUTED_VALUE"""),45901.6458333333)</f>
        <v>45901.6458333333</v>
      </c>
      <c r="J110" s="48">
        <f>IFERROR(__xludf.DUMMYFUNCTION("""COMPUTED_VALUE"""),1047.6)</f>
        <v>1047.6</v>
      </c>
      <c r="K110" s="3">
        <f t="shared" si="2"/>
        <v>0</v>
      </c>
      <c r="L110" s="3">
        <f t="shared" si="3"/>
        <v>0</v>
      </c>
    </row>
    <row r="111" customHeight="1" spans="1:12">
      <c r="A111" s="47">
        <f>IFERROR(__xludf.DUMMYFUNCTION("""COMPUTED_VALUE"""),45902.6458333333)</f>
        <v>45902.6458333333</v>
      </c>
      <c r="B111" s="48">
        <f>IFERROR(__xludf.DUMMYFUNCTION("""COMPUTED_VALUE"""),1056.2)</f>
        <v>1056.2</v>
      </c>
      <c r="C111" s="47">
        <f>IFERROR(__xludf.DUMMYFUNCTION("""COMPUTED_VALUE"""),45902.6458333333)</f>
        <v>45902.6458333333</v>
      </c>
      <c r="D111" s="48">
        <f>IFERROR(__xludf.DUMMYFUNCTION("""COMPUTED_VALUE"""),1061.5)</f>
        <v>1061.5</v>
      </c>
      <c r="E111" s="47">
        <f>IFERROR(__xludf.DUMMYFUNCTION("""COMPUTED_VALUE"""),45902.6458333333)</f>
        <v>45902.6458333333</v>
      </c>
      <c r="F111" s="48">
        <f>IFERROR(__xludf.DUMMYFUNCTION("""COMPUTED_VALUE"""),4933541)</f>
        <v>4933541</v>
      </c>
      <c r="G111" s="47">
        <f>IFERROR(__xludf.DUMMYFUNCTION("""COMPUTED_VALUE"""),45902.6458333333)</f>
        <v>45902.6458333333</v>
      </c>
      <c r="H111" s="48">
        <f>IFERROR(__xludf.DUMMYFUNCTION("""COMPUTED_VALUE"""),1064.9)</f>
        <v>1064.9</v>
      </c>
      <c r="I111" s="47">
        <f>IFERROR(__xludf.DUMMYFUNCTION("""COMPUTED_VALUE"""),45902.6458333333)</f>
        <v>45902.6458333333</v>
      </c>
      <c r="J111" s="48">
        <f>IFERROR(__xludf.DUMMYFUNCTION("""COMPUTED_VALUE"""),1049)</f>
        <v>1049</v>
      </c>
      <c r="K111" s="3">
        <f t="shared" si="2"/>
        <v>0</v>
      </c>
      <c r="L111" s="3">
        <f t="shared" si="3"/>
        <v>0</v>
      </c>
    </row>
    <row r="112" customHeight="1" spans="1:12">
      <c r="A112" s="47">
        <f>IFERROR(__xludf.DUMMYFUNCTION("""COMPUTED_VALUE"""),45903.6458333333)</f>
        <v>45903.6458333333</v>
      </c>
      <c r="B112" s="48">
        <f>IFERROR(__xludf.DUMMYFUNCTION("""COMPUTED_VALUE"""),1054.7)</f>
        <v>1054.7</v>
      </c>
      <c r="C112" s="47">
        <f>IFERROR(__xludf.DUMMYFUNCTION("""COMPUTED_VALUE"""),45903.6458333333)</f>
        <v>45903.6458333333</v>
      </c>
      <c r="D112" s="48">
        <f>IFERROR(__xludf.DUMMYFUNCTION("""COMPUTED_VALUE"""),1056.2)</f>
        <v>1056.2</v>
      </c>
      <c r="E112" s="47">
        <f>IFERROR(__xludf.DUMMYFUNCTION("""COMPUTED_VALUE"""),45903.6458333333)</f>
        <v>45903.6458333333</v>
      </c>
      <c r="F112" s="48">
        <f>IFERROR(__xludf.DUMMYFUNCTION("""COMPUTED_VALUE"""),8303296)</f>
        <v>8303296</v>
      </c>
      <c r="G112" s="47">
        <f>IFERROR(__xludf.DUMMYFUNCTION("""COMPUTED_VALUE"""),45903.6458333333)</f>
        <v>45903.6458333333</v>
      </c>
      <c r="H112" s="48">
        <f>IFERROR(__xludf.DUMMYFUNCTION("""COMPUTED_VALUE"""),1064.9)</f>
        <v>1064.9</v>
      </c>
      <c r="I112" s="47">
        <f>IFERROR(__xludf.DUMMYFUNCTION("""COMPUTED_VALUE"""),45903.6458333333)</f>
        <v>45903.6458333333</v>
      </c>
      <c r="J112" s="48">
        <f>IFERROR(__xludf.DUMMYFUNCTION("""COMPUTED_VALUE"""),1045)</f>
        <v>1045</v>
      </c>
      <c r="K112" s="3">
        <f t="shared" si="2"/>
        <v>0</v>
      </c>
      <c r="L112" s="3">
        <f t="shared" si="3"/>
        <v>0</v>
      </c>
    </row>
    <row r="113" customHeight="1" spans="1:12">
      <c r="A113" s="47">
        <f>IFERROR(__xludf.DUMMYFUNCTION("""COMPUTED_VALUE"""),45904.6458333333)</f>
        <v>45904.6458333333</v>
      </c>
      <c r="B113" s="48">
        <f>IFERROR(__xludf.DUMMYFUNCTION("""COMPUTED_VALUE"""),1050.4)</f>
        <v>1050.4</v>
      </c>
      <c r="C113" s="47">
        <f>IFERROR(__xludf.DUMMYFUNCTION("""COMPUTED_VALUE"""),45904.6458333333)</f>
        <v>45904.6458333333</v>
      </c>
      <c r="D113" s="48">
        <f>IFERROR(__xludf.DUMMYFUNCTION("""COMPUTED_VALUE"""),1058.2)</f>
        <v>1058.2</v>
      </c>
      <c r="E113" s="47">
        <f>IFERROR(__xludf.DUMMYFUNCTION("""COMPUTED_VALUE"""),45904.6458333333)</f>
        <v>45904.6458333333</v>
      </c>
      <c r="F113" s="48">
        <f>IFERROR(__xludf.DUMMYFUNCTION("""COMPUTED_VALUE"""),8088417)</f>
        <v>8088417</v>
      </c>
      <c r="G113" s="47">
        <f>IFERROR(__xludf.DUMMYFUNCTION("""COMPUTED_VALUE"""),45904.6458333333)</f>
        <v>45904.6458333333</v>
      </c>
      <c r="H113" s="48">
        <f>IFERROR(__xludf.DUMMYFUNCTION("""COMPUTED_VALUE"""),1062.2)</f>
        <v>1062.2</v>
      </c>
      <c r="I113" s="47">
        <f>IFERROR(__xludf.DUMMYFUNCTION("""COMPUTED_VALUE"""),45904.6458333333)</f>
        <v>45904.6458333333</v>
      </c>
      <c r="J113" s="48">
        <f>IFERROR(__xludf.DUMMYFUNCTION("""COMPUTED_VALUE"""),1047.3)</f>
        <v>1047.3</v>
      </c>
      <c r="K113" s="3">
        <f t="shared" si="2"/>
        <v>0</v>
      </c>
      <c r="L113" s="3">
        <f t="shared" si="3"/>
        <v>0</v>
      </c>
    </row>
    <row r="114" customHeight="1" spans="1:12">
      <c r="A114" s="47">
        <f>IFERROR(__xludf.DUMMYFUNCTION("""COMPUTED_VALUE"""),45905.6458333333)</f>
        <v>45905.6458333333</v>
      </c>
      <c r="B114" s="48">
        <f>IFERROR(__xludf.DUMMYFUNCTION("""COMPUTED_VALUE"""),1055.9)</f>
        <v>1055.9</v>
      </c>
      <c r="C114" s="47">
        <f>IFERROR(__xludf.DUMMYFUNCTION("""COMPUTED_VALUE"""),45905.6458333333)</f>
        <v>45905.6458333333</v>
      </c>
      <c r="D114" s="48">
        <f>IFERROR(__xludf.DUMMYFUNCTION("""COMPUTED_VALUE"""),1056.6)</f>
        <v>1056.6</v>
      </c>
      <c r="E114" s="47">
        <f>IFERROR(__xludf.DUMMYFUNCTION("""COMPUTED_VALUE"""),45905.6458333333)</f>
        <v>45905.6458333333</v>
      </c>
      <c r="F114" s="48">
        <f>IFERROR(__xludf.DUMMYFUNCTION("""COMPUTED_VALUE"""),2849589)</f>
        <v>2849589</v>
      </c>
      <c r="G114" s="47">
        <f>IFERROR(__xludf.DUMMYFUNCTION("""COMPUTED_VALUE"""),45905.6458333333)</f>
        <v>45905.6458333333</v>
      </c>
      <c r="H114" s="48">
        <f>IFERROR(__xludf.DUMMYFUNCTION("""COMPUTED_VALUE"""),1058)</f>
        <v>1058</v>
      </c>
      <c r="I114" s="47">
        <f>IFERROR(__xludf.DUMMYFUNCTION("""COMPUTED_VALUE"""),45905.6458333333)</f>
        <v>45905.6458333333</v>
      </c>
      <c r="J114" s="48">
        <f>IFERROR(__xludf.DUMMYFUNCTION("""COMPUTED_VALUE"""),1047.8)</f>
        <v>1047.8</v>
      </c>
      <c r="K114" s="3">
        <f t="shared" si="2"/>
        <v>0</v>
      </c>
      <c r="L114" s="3">
        <f t="shared" si="3"/>
        <v>0</v>
      </c>
    </row>
    <row r="115" customHeight="1" spans="1:12">
      <c r="A115" s="47">
        <f>IFERROR(__xludf.DUMMYFUNCTION("""COMPUTED_VALUE"""),45908.6458333333)</f>
        <v>45908.6458333333</v>
      </c>
      <c r="B115" s="48">
        <f>IFERROR(__xludf.DUMMYFUNCTION("""COMPUTED_VALUE"""),1055.5)</f>
        <v>1055.5</v>
      </c>
      <c r="C115" s="47">
        <f>IFERROR(__xludf.DUMMYFUNCTION("""COMPUTED_VALUE"""),45908.6458333333)</f>
        <v>45908.6458333333</v>
      </c>
      <c r="D115" s="48">
        <f>IFERROR(__xludf.DUMMYFUNCTION("""COMPUTED_VALUE"""),1055.9)</f>
        <v>1055.9</v>
      </c>
      <c r="E115" s="47">
        <f>IFERROR(__xludf.DUMMYFUNCTION("""COMPUTED_VALUE"""),45908.6458333333)</f>
        <v>45908.6458333333</v>
      </c>
      <c r="F115" s="48">
        <f>IFERROR(__xludf.DUMMYFUNCTION("""COMPUTED_VALUE"""),2260147)</f>
        <v>2260147</v>
      </c>
      <c r="G115" s="47">
        <f>IFERROR(__xludf.DUMMYFUNCTION("""COMPUTED_VALUE"""),45908.6458333333)</f>
        <v>45908.6458333333</v>
      </c>
      <c r="H115" s="48">
        <f>IFERROR(__xludf.DUMMYFUNCTION("""COMPUTED_VALUE"""),1063)</f>
        <v>1063</v>
      </c>
      <c r="I115" s="47">
        <f>IFERROR(__xludf.DUMMYFUNCTION("""COMPUTED_VALUE"""),45908.6458333333)</f>
        <v>45908.6458333333</v>
      </c>
      <c r="J115" s="48">
        <f>IFERROR(__xludf.DUMMYFUNCTION("""COMPUTED_VALUE"""),1054)</f>
        <v>1054</v>
      </c>
      <c r="K115" s="3">
        <f t="shared" si="2"/>
        <v>0</v>
      </c>
      <c r="L115" s="3">
        <f t="shared" si="3"/>
        <v>0</v>
      </c>
    </row>
    <row r="116" customHeight="1" spans="1:12">
      <c r="A116" s="47">
        <f>IFERROR(__xludf.DUMMYFUNCTION("""COMPUTED_VALUE"""),45909.6458333333)</f>
        <v>45909.6458333333</v>
      </c>
      <c r="B116" s="48">
        <f>IFERROR(__xludf.DUMMYFUNCTION("""COMPUTED_VALUE"""),1052.2)</f>
        <v>1052.2</v>
      </c>
      <c r="C116" s="47">
        <f>IFERROR(__xludf.DUMMYFUNCTION("""COMPUTED_VALUE"""),45909.6458333333)</f>
        <v>45909.6458333333</v>
      </c>
      <c r="D116" s="48">
        <f>IFERROR(__xludf.DUMMYFUNCTION("""COMPUTED_VALUE"""),1057.5)</f>
        <v>1057.5</v>
      </c>
      <c r="E116" s="47">
        <f>IFERROR(__xludf.DUMMYFUNCTION("""COMPUTED_VALUE"""),45909.6458333333)</f>
        <v>45909.6458333333</v>
      </c>
      <c r="F116" s="48">
        <f>IFERROR(__xludf.DUMMYFUNCTION("""COMPUTED_VALUE"""),4310419)</f>
        <v>4310419</v>
      </c>
      <c r="G116" s="47">
        <f>IFERROR(__xludf.DUMMYFUNCTION("""COMPUTED_VALUE"""),45909.6458333333)</f>
        <v>45909.6458333333</v>
      </c>
      <c r="H116" s="48">
        <f>IFERROR(__xludf.DUMMYFUNCTION("""COMPUTED_VALUE"""),1059)</f>
        <v>1059</v>
      </c>
      <c r="I116" s="47">
        <f>IFERROR(__xludf.DUMMYFUNCTION("""COMPUTED_VALUE"""),45909.6458333333)</f>
        <v>45909.6458333333</v>
      </c>
      <c r="J116" s="48">
        <f>IFERROR(__xludf.DUMMYFUNCTION("""COMPUTED_VALUE"""),1048.7)</f>
        <v>1048.7</v>
      </c>
      <c r="K116" s="3">
        <f t="shared" si="2"/>
        <v>0</v>
      </c>
      <c r="L116" s="3">
        <f t="shared" si="3"/>
        <v>0</v>
      </c>
    </row>
    <row r="117" customHeight="1" spans="1:12">
      <c r="A117" s="47">
        <f>IFERROR(__xludf.DUMMYFUNCTION("""COMPUTED_VALUE"""),45910.6458333333)</f>
        <v>45910.6458333333</v>
      </c>
      <c r="B117" s="48">
        <f>IFERROR(__xludf.DUMMYFUNCTION("""COMPUTED_VALUE"""),1070.1)</f>
        <v>1070.1</v>
      </c>
      <c r="C117" s="47">
        <f>IFERROR(__xludf.DUMMYFUNCTION("""COMPUTED_VALUE"""),45910.6458333333)</f>
        <v>45910.6458333333</v>
      </c>
      <c r="D117" s="48">
        <f>IFERROR(__xludf.DUMMYFUNCTION("""COMPUTED_VALUE"""),1058)</f>
        <v>1058</v>
      </c>
      <c r="E117" s="47">
        <f>IFERROR(__xludf.DUMMYFUNCTION("""COMPUTED_VALUE"""),45910.6458333333)</f>
        <v>45910.6458333333</v>
      </c>
      <c r="F117" s="48">
        <f>IFERROR(__xludf.DUMMYFUNCTION("""COMPUTED_VALUE"""),5241075)</f>
        <v>5241075</v>
      </c>
      <c r="G117" s="47">
        <f>IFERROR(__xludf.DUMMYFUNCTION("""COMPUTED_VALUE"""),45910.6458333333)</f>
        <v>45910.6458333333</v>
      </c>
      <c r="H117" s="48">
        <f>IFERROR(__xludf.DUMMYFUNCTION("""COMPUTED_VALUE"""),1074.1)</f>
        <v>1074.1</v>
      </c>
      <c r="I117" s="47">
        <f>IFERROR(__xludf.DUMMYFUNCTION("""COMPUTED_VALUE"""),45910.6458333333)</f>
        <v>45910.6458333333</v>
      </c>
      <c r="J117" s="48">
        <f>IFERROR(__xludf.DUMMYFUNCTION("""COMPUTED_VALUE"""),1055.1)</f>
        <v>1055.1</v>
      </c>
      <c r="K117" s="3">
        <f t="shared" si="2"/>
        <v>0</v>
      </c>
      <c r="L117" s="3">
        <f t="shared" si="3"/>
        <v>0</v>
      </c>
    </row>
    <row r="118" customHeight="1" spans="1:12">
      <c r="A118" s="47">
        <f>IFERROR(__xludf.DUMMYFUNCTION("""COMPUTED_VALUE"""),45911.6458333333)</f>
        <v>45911.6458333333</v>
      </c>
      <c r="B118" s="48">
        <f>IFERROR(__xludf.DUMMYFUNCTION("""COMPUTED_VALUE"""),1087.4)</f>
        <v>1087.4</v>
      </c>
      <c r="C118" s="47">
        <f>IFERROR(__xludf.DUMMYFUNCTION("""COMPUTED_VALUE"""),45911.6458333333)</f>
        <v>45911.6458333333</v>
      </c>
      <c r="D118" s="48">
        <f>IFERROR(__xludf.DUMMYFUNCTION("""COMPUTED_VALUE"""),1069)</f>
        <v>1069</v>
      </c>
      <c r="E118" s="47">
        <f>IFERROR(__xludf.DUMMYFUNCTION("""COMPUTED_VALUE"""),45911.6458333333)</f>
        <v>45911.6458333333</v>
      </c>
      <c r="F118" s="48">
        <f>IFERROR(__xludf.DUMMYFUNCTION("""COMPUTED_VALUE"""),5227539)</f>
        <v>5227539</v>
      </c>
      <c r="G118" s="47">
        <f>IFERROR(__xludf.DUMMYFUNCTION("""COMPUTED_VALUE"""),45911.6458333333)</f>
        <v>45911.6458333333</v>
      </c>
      <c r="H118" s="48">
        <f>IFERROR(__xludf.DUMMYFUNCTION("""COMPUTED_VALUE"""),1093)</f>
        <v>1093</v>
      </c>
      <c r="I118" s="47">
        <f>IFERROR(__xludf.DUMMYFUNCTION("""COMPUTED_VALUE"""),45911.6458333333)</f>
        <v>45911.6458333333</v>
      </c>
      <c r="J118" s="48">
        <f>IFERROR(__xludf.DUMMYFUNCTION("""COMPUTED_VALUE"""),1069)</f>
        <v>1069</v>
      </c>
      <c r="K118" s="3">
        <f t="shared" si="2"/>
        <v>0</v>
      </c>
      <c r="L118" s="3">
        <f t="shared" si="3"/>
        <v>0</v>
      </c>
    </row>
    <row r="119" customHeight="1" spans="1:12">
      <c r="A119" s="47">
        <f>IFERROR(__xludf.DUMMYFUNCTION("""COMPUTED_VALUE"""),45912.6458333333)</f>
        <v>45912.6458333333</v>
      </c>
      <c r="B119" s="48">
        <f>IFERROR(__xludf.DUMMYFUNCTION("""COMPUTED_VALUE"""),1105.3)</f>
        <v>1105.3</v>
      </c>
      <c r="C119" s="47">
        <f>IFERROR(__xludf.DUMMYFUNCTION("""COMPUTED_VALUE"""),45912.6458333333)</f>
        <v>45912.6458333333</v>
      </c>
      <c r="D119" s="48">
        <f>IFERROR(__xludf.DUMMYFUNCTION("""COMPUTED_VALUE"""),1088.4)</f>
        <v>1088.4</v>
      </c>
      <c r="E119" s="47">
        <f>IFERROR(__xludf.DUMMYFUNCTION("""COMPUTED_VALUE"""),45912.6458333333)</f>
        <v>45912.6458333333</v>
      </c>
      <c r="F119" s="48">
        <f>IFERROR(__xludf.DUMMYFUNCTION("""COMPUTED_VALUE"""),6014850)</f>
        <v>6014850</v>
      </c>
      <c r="G119" s="47">
        <f>IFERROR(__xludf.DUMMYFUNCTION("""COMPUTED_VALUE"""),45912.6458333333)</f>
        <v>45912.6458333333</v>
      </c>
      <c r="H119" s="48">
        <f>IFERROR(__xludf.DUMMYFUNCTION("""COMPUTED_VALUE"""),1108.7)</f>
        <v>1108.7</v>
      </c>
      <c r="I119" s="47">
        <f>IFERROR(__xludf.DUMMYFUNCTION("""COMPUTED_VALUE"""),45912.6458333333)</f>
        <v>45912.6458333333</v>
      </c>
      <c r="J119" s="48">
        <f>IFERROR(__xludf.DUMMYFUNCTION("""COMPUTED_VALUE"""),1088.4)</f>
        <v>1088.4</v>
      </c>
      <c r="K119" s="3">
        <f t="shared" si="2"/>
        <v>0</v>
      </c>
      <c r="L119" s="3">
        <f t="shared" si="3"/>
        <v>0</v>
      </c>
    </row>
    <row r="120" customHeight="1" spans="1:12">
      <c r="A120" s="47">
        <f>IFERROR(__xludf.DUMMYFUNCTION("""COMPUTED_VALUE"""),45915.6458333333)</f>
        <v>45915.6458333333</v>
      </c>
      <c r="B120" s="48">
        <f>IFERROR(__xludf.DUMMYFUNCTION("""COMPUTED_VALUE"""),1104.4)</f>
        <v>1104.4</v>
      </c>
      <c r="C120" s="47">
        <f>IFERROR(__xludf.DUMMYFUNCTION("""COMPUTED_VALUE"""),45915.6458333333)</f>
        <v>45915.6458333333</v>
      </c>
      <c r="D120" s="48">
        <f>IFERROR(__xludf.DUMMYFUNCTION("""COMPUTED_VALUE"""),1105)</f>
        <v>1105</v>
      </c>
      <c r="E120" s="47">
        <f>IFERROR(__xludf.DUMMYFUNCTION("""COMPUTED_VALUE"""),45915.6458333333)</f>
        <v>45915.6458333333</v>
      </c>
      <c r="F120" s="48">
        <f>IFERROR(__xludf.DUMMYFUNCTION("""COMPUTED_VALUE"""),3881807)</f>
        <v>3881807</v>
      </c>
      <c r="G120" s="47">
        <f>IFERROR(__xludf.DUMMYFUNCTION("""COMPUTED_VALUE"""),45915.6458333333)</f>
        <v>45915.6458333333</v>
      </c>
      <c r="H120" s="48">
        <f>IFERROR(__xludf.DUMMYFUNCTION("""COMPUTED_VALUE"""),1110)</f>
        <v>1110</v>
      </c>
      <c r="I120" s="47">
        <f>IFERROR(__xludf.DUMMYFUNCTION("""COMPUTED_VALUE"""),45915.6458333333)</f>
        <v>45915.6458333333</v>
      </c>
      <c r="J120" s="48">
        <f>IFERROR(__xludf.DUMMYFUNCTION("""COMPUTED_VALUE"""),1100)</f>
        <v>1100</v>
      </c>
      <c r="K120" s="3">
        <f t="shared" si="2"/>
        <v>0</v>
      </c>
      <c r="L120" s="3">
        <f t="shared" si="3"/>
        <v>0</v>
      </c>
    </row>
    <row r="121" customHeight="1" spans="1:12">
      <c r="A121" s="47">
        <f>IFERROR(__xludf.DUMMYFUNCTION("""COMPUTED_VALUE"""),45916.6458333333)</f>
        <v>45916.6458333333</v>
      </c>
      <c r="B121" s="48">
        <f>IFERROR(__xludf.DUMMYFUNCTION("""COMPUTED_VALUE"""),1121.2)</f>
        <v>1121.2</v>
      </c>
      <c r="C121" s="47">
        <f>IFERROR(__xludf.DUMMYFUNCTION("""COMPUTED_VALUE"""),45916.6458333333)</f>
        <v>45916.6458333333</v>
      </c>
      <c r="D121" s="48">
        <f>IFERROR(__xludf.DUMMYFUNCTION("""COMPUTED_VALUE"""),1105.7)</f>
        <v>1105.7</v>
      </c>
      <c r="E121" s="47">
        <f>IFERROR(__xludf.DUMMYFUNCTION("""COMPUTED_VALUE"""),45916.6458333333)</f>
        <v>45916.6458333333</v>
      </c>
      <c r="F121" s="48">
        <f>IFERROR(__xludf.DUMMYFUNCTION("""COMPUTED_VALUE"""),7965606)</f>
        <v>7965606</v>
      </c>
      <c r="G121" s="47">
        <f>IFERROR(__xludf.DUMMYFUNCTION("""COMPUTED_VALUE"""),45916.6458333333)</f>
        <v>45916.6458333333</v>
      </c>
      <c r="H121" s="48">
        <f>IFERROR(__xludf.DUMMYFUNCTION("""COMPUTED_VALUE"""),1127.1)</f>
        <v>1127.1</v>
      </c>
      <c r="I121" s="47">
        <f>IFERROR(__xludf.DUMMYFUNCTION("""COMPUTED_VALUE"""),45916.6458333333)</f>
        <v>45916.6458333333</v>
      </c>
      <c r="J121" s="48">
        <f>IFERROR(__xludf.DUMMYFUNCTION("""COMPUTED_VALUE"""),1104)</f>
        <v>1104</v>
      </c>
      <c r="K121" s="3">
        <f t="shared" si="2"/>
        <v>0</v>
      </c>
      <c r="L121" s="3">
        <f t="shared" si="3"/>
        <v>0</v>
      </c>
    </row>
    <row r="122" customHeight="1" spans="1:12">
      <c r="A122" s="47">
        <f>IFERROR(__xludf.DUMMYFUNCTION("""COMPUTED_VALUE"""),45917.6458333333)</f>
        <v>45917.6458333333</v>
      </c>
      <c r="B122" s="48">
        <f>IFERROR(__xludf.DUMMYFUNCTION("""COMPUTED_VALUE"""),1126)</f>
        <v>1126</v>
      </c>
      <c r="C122" s="47">
        <f>IFERROR(__xludf.DUMMYFUNCTION("""COMPUTED_VALUE"""),45917.6458333333)</f>
        <v>45917.6458333333</v>
      </c>
      <c r="D122" s="48">
        <f>IFERROR(__xludf.DUMMYFUNCTION("""COMPUTED_VALUE"""),1121.3)</f>
        <v>1121.3</v>
      </c>
      <c r="E122" s="47">
        <f>IFERROR(__xludf.DUMMYFUNCTION("""COMPUTED_VALUE"""),45917.6458333333)</f>
        <v>45917.6458333333</v>
      </c>
      <c r="F122" s="48">
        <f>IFERROR(__xludf.DUMMYFUNCTION("""COMPUTED_VALUE"""),5590739)</f>
        <v>5590739</v>
      </c>
      <c r="G122" s="47">
        <f>IFERROR(__xludf.DUMMYFUNCTION("""COMPUTED_VALUE"""),45917.6458333333)</f>
        <v>45917.6458333333</v>
      </c>
      <c r="H122" s="48">
        <f>IFERROR(__xludf.DUMMYFUNCTION("""COMPUTED_VALUE"""),1128.5)</f>
        <v>1128.5</v>
      </c>
      <c r="I122" s="47">
        <f>IFERROR(__xludf.DUMMYFUNCTION("""COMPUTED_VALUE"""),45917.6458333333)</f>
        <v>45917.6458333333</v>
      </c>
      <c r="J122" s="48">
        <f>IFERROR(__xludf.DUMMYFUNCTION("""COMPUTED_VALUE"""),1116.1)</f>
        <v>1116.1</v>
      </c>
      <c r="K122" s="3">
        <f t="shared" si="2"/>
        <v>0</v>
      </c>
      <c r="L122" s="3">
        <f t="shared" si="3"/>
        <v>0</v>
      </c>
    </row>
    <row r="123" customHeight="1" spans="1:12">
      <c r="A123" s="47">
        <f>IFERROR(__xludf.DUMMYFUNCTION("""COMPUTED_VALUE"""),45918.6458333333)</f>
        <v>45918.6458333333</v>
      </c>
      <c r="B123" s="48">
        <f>IFERROR(__xludf.DUMMYFUNCTION("""COMPUTED_VALUE"""),1133)</f>
        <v>1133</v>
      </c>
      <c r="C123" s="47">
        <f>IFERROR(__xludf.DUMMYFUNCTION("""COMPUTED_VALUE"""),45918.6458333333)</f>
        <v>45918.6458333333</v>
      </c>
      <c r="D123" s="48">
        <f>IFERROR(__xludf.DUMMYFUNCTION("""COMPUTED_VALUE"""),1129)</f>
        <v>1129</v>
      </c>
      <c r="E123" s="47">
        <f>IFERROR(__xludf.DUMMYFUNCTION("""COMPUTED_VALUE"""),45918.6458333333)</f>
        <v>45918.6458333333</v>
      </c>
      <c r="F123" s="48">
        <f>IFERROR(__xludf.DUMMYFUNCTION("""COMPUTED_VALUE"""),5713032)</f>
        <v>5713032</v>
      </c>
      <c r="G123" s="47">
        <f>IFERROR(__xludf.DUMMYFUNCTION("""COMPUTED_VALUE"""),45918.6458333333)</f>
        <v>45918.6458333333</v>
      </c>
      <c r="H123" s="48">
        <f>IFERROR(__xludf.DUMMYFUNCTION("""COMPUTED_VALUE"""),1134.4)</f>
        <v>1134.4</v>
      </c>
      <c r="I123" s="47">
        <f>IFERROR(__xludf.DUMMYFUNCTION("""COMPUTED_VALUE"""),45918.6458333333)</f>
        <v>45918.6458333333</v>
      </c>
      <c r="J123" s="48">
        <f>IFERROR(__xludf.DUMMYFUNCTION("""COMPUTED_VALUE"""),1121.2)</f>
        <v>1121.2</v>
      </c>
      <c r="K123" s="3">
        <f t="shared" si="2"/>
        <v>0</v>
      </c>
      <c r="L123" s="3">
        <f t="shared" si="3"/>
        <v>0</v>
      </c>
    </row>
    <row r="124" customHeight="1" spans="1:12">
      <c r="A124" s="47">
        <f>IFERROR(__xludf.DUMMYFUNCTION("""COMPUTED_VALUE"""),45919.6458333333)</f>
        <v>45919.6458333333</v>
      </c>
      <c r="B124" s="48">
        <f>IFERROR(__xludf.DUMMYFUNCTION("""COMPUTED_VALUE"""),1135.9)</f>
        <v>1135.9</v>
      </c>
      <c r="C124" s="47">
        <f>IFERROR(__xludf.DUMMYFUNCTION("""COMPUTED_VALUE"""),45919.6458333333)</f>
        <v>45919.6458333333</v>
      </c>
      <c r="D124" s="48">
        <f>IFERROR(__xludf.DUMMYFUNCTION("""COMPUTED_VALUE"""),1133)</f>
        <v>1133</v>
      </c>
      <c r="E124" s="47">
        <f>IFERROR(__xludf.DUMMYFUNCTION("""COMPUTED_VALUE"""),45919.6458333333)</f>
        <v>45919.6458333333</v>
      </c>
      <c r="F124" s="48">
        <f>IFERROR(__xludf.DUMMYFUNCTION("""COMPUTED_VALUE"""),8910732)</f>
        <v>8910732</v>
      </c>
      <c r="G124" s="47">
        <f>IFERROR(__xludf.DUMMYFUNCTION("""COMPUTED_VALUE"""),45919.6458333333)</f>
        <v>45919.6458333333</v>
      </c>
      <c r="H124" s="48">
        <f>IFERROR(__xludf.DUMMYFUNCTION("""COMPUTED_VALUE"""),1144.1)</f>
        <v>1144.1</v>
      </c>
      <c r="I124" s="47">
        <f>IFERROR(__xludf.DUMMYFUNCTION("""COMPUTED_VALUE"""),45919.6458333333)</f>
        <v>45919.6458333333</v>
      </c>
      <c r="J124" s="48">
        <f>IFERROR(__xludf.DUMMYFUNCTION("""COMPUTED_VALUE"""),1126.6)</f>
        <v>1126.6</v>
      </c>
      <c r="K124" s="3">
        <f t="shared" si="2"/>
        <v>0</v>
      </c>
      <c r="L124" s="3">
        <f t="shared" si="3"/>
        <v>0</v>
      </c>
    </row>
    <row r="125" customHeight="1" spans="1:12">
      <c r="A125" s="47">
        <f>IFERROR(__xludf.DUMMYFUNCTION("""COMPUTED_VALUE"""),45922.6458333333)</f>
        <v>45922.6458333333</v>
      </c>
      <c r="B125" s="48">
        <f>IFERROR(__xludf.DUMMYFUNCTION("""COMPUTED_VALUE"""),1144.4)</f>
        <v>1144.4</v>
      </c>
      <c r="C125" s="47">
        <f>IFERROR(__xludf.DUMMYFUNCTION("""COMPUTED_VALUE"""),45922.6458333333)</f>
        <v>45922.6458333333</v>
      </c>
      <c r="D125" s="48">
        <f>IFERROR(__xludf.DUMMYFUNCTION("""COMPUTED_VALUE"""),1136)</f>
        <v>1136</v>
      </c>
      <c r="E125" s="47">
        <f>IFERROR(__xludf.DUMMYFUNCTION("""COMPUTED_VALUE"""),45922.6458333333)</f>
        <v>45922.6458333333</v>
      </c>
      <c r="F125" s="48">
        <f>IFERROR(__xludf.DUMMYFUNCTION("""COMPUTED_VALUE"""),7689900)</f>
        <v>7689900</v>
      </c>
      <c r="G125" s="47">
        <f>IFERROR(__xludf.DUMMYFUNCTION("""COMPUTED_VALUE"""),45922.6458333333)</f>
        <v>45922.6458333333</v>
      </c>
      <c r="H125" s="48">
        <f>IFERROR(__xludf.DUMMYFUNCTION("""COMPUTED_VALUE"""),1147.6)</f>
        <v>1147.6</v>
      </c>
      <c r="I125" s="47">
        <f>IFERROR(__xludf.DUMMYFUNCTION("""COMPUTED_VALUE"""),45922.6458333333)</f>
        <v>45922.6458333333</v>
      </c>
      <c r="J125" s="48">
        <f>IFERROR(__xludf.DUMMYFUNCTION("""COMPUTED_VALUE"""),1131.2)</f>
        <v>1131.2</v>
      </c>
      <c r="K125" s="3">
        <f t="shared" si="2"/>
        <v>0</v>
      </c>
      <c r="L125" s="3">
        <f t="shared" si="3"/>
        <v>0</v>
      </c>
    </row>
    <row r="126" customHeight="1" spans="1:10">
      <c r="A126" s="47">
        <f>IFERROR(__xludf.DUMMYFUNCTION("""COMPUTED_VALUE"""),45923.6458333333)</f>
        <v>45923.6458333333</v>
      </c>
      <c r="B126" s="48">
        <f>IFERROR(__xludf.DUMMYFUNCTION("""COMPUTED_VALUE"""),1170.8)</f>
        <v>1170.8</v>
      </c>
      <c r="C126" s="47">
        <f>IFERROR(__xludf.DUMMYFUNCTION("""COMPUTED_VALUE"""),45923.6458333333)</f>
        <v>45923.6458333333</v>
      </c>
      <c r="D126" s="48">
        <f>IFERROR(__xludf.DUMMYFUNCTION("""COMPUTED_VALUE"""),1146)</f>
        <v>1146</v>
      </c>
      <c r="E126" s="47">
        <f>IFERROR(__xludf.DUMMYFUNCTION("""COMPUTED_VALUE"""),45923.6458333333)</f>
        <v>45923.6458333333</v>
      </c>
      <c r="F126" s="48">
        <f>IFERROR(__xludf.DUMMYFUNCTION("""COMPUTED_VALUE"""),16079093)</f>
        <v>16079093</v>
      </c>
      <c r="G126" s="47">
        <f>IFERROR(__xludf.DUMMYFUNCTION("""COMPUTED_VALUE"""),45923.6458333333)</f>
        <v>45923.6458333333</v>
      </c>
      <c r="H126" s="48">
        <f>IFERROR(__xludf.DUMMYFUNCTION("""COMPUTED_VALUE"""),1172.8)</f>
        <v>1172.8</v>
      </c>
      <c r="I126" s="47">
        <f>IFERROR(__xludf.DUMMYFUNCTION("""COMPUTED_VALUE"""),45923.6458333333)</f>
        <v>45923.6458333333</v>
      </c>
      <c r="J126" s="48">
        <f>IFERROR(__xludf.DUMMYFUNCTION("""COMPUTED_VALUE"""),1141.9)</f>
        <v>1141.9</v>
      </c>
    </row>
    <row r="127" customHeight="1" spans="1:10">
      <c r="A127" s="47">
        <f>IFERROR(__xludf.DUMMYFUNCTION("""COMPUTED_VALUE"""),45924.6458333333)</f>
        <v>45924.6458333333</v>
      </c>
      <c r="B127" s="48">
        <f>IFERROR(__xludf.DUMMYFUNCTION("""COMPUTED_VALUE"""),1158.9)</f>
        <v>1158.9</v>
      </c>
      <c r="C127" s="47">
        <f>IFERROR(__xludf.DUMMYFUNCTION("""COMPUTED_VALUE"""),45924.6458333333)</f>
        <v>45924.6458333333</v>
      </c>
      <c r="D127" s="48">
        <f>IFERROR(__xludf.DUMMYFUNCTION("""COMPUTED_VALUE"""),1168)</f>
        <v>1168</v>
      </c>
      <c r="E127" s="47">
        <f>IFERROR(__xludf.DUMMYFUNCTION("""COMPUTED_VALUE"""),45924.6458333333)</f>
        <v>45924.6458333333</v>
      </c>
      <c r="F127" s="48">
        <f>IFERROR(__xludf.DUMMYFUNCTION("""COMPUTED_VALUE"""),12812055)</f>
        <v>12812055</v>
      </c>
      <c r="G127" s="47">
        <f>IFERROR(__xludf.DUMMYFUNCTION("""COMPUTED_VALUE"""),45924.6458333333)</f>
        <v>45924.6458333333</v>
      </c>
      <c r="H127" s="48">
        <f>IFERROR(__xludf.DUMMYFUNCTION("""COMPUTED_VALUE"""),1172.8)</f>
        <v>1172.8</v>
      </c>
      <c r="I127" s="47">
        <f>IFERROR(__xludf.DUMMYFUNCTION("""COMPUTED_VALUE"""),45924.6458333333)</f>
        <v>45924.6458333333</v>
      </c>
      <c r="J127" s="48">
        <f>IFERROR(__xludf.DUMMYFUNCTION("""COMPUTED_VALUE"""),1154)</f>
        <v>1154</v>
      </c>
    </row>
    <row r="128" customHeight="1" spans="1:10">
      <c r="A128" s="47">
        <f>IFERROR(__xludf.DUMMYFUNCTION("""COMPUTED_VALUE"""),45925.6458333333)</f>
        <v>45925.6458333333</v>
      </c>
      <c r="B128" s="48">
        <f>IFERROR(__xludf.DUMMYFUNCTION("""COMPUTED_VALUE"""),1166.6)</f>
        <v>1166.6</v>
      </c>
      <c r="C128" s="47">
        <f>IFERROR(__xludf.DUMMYFUNCTION("""COMPUTED_VALUE"""),45925.6458333333)</f>
        <v>45925.6458333333</v>
      </c>
      <c r="D128" s="48">
        <f>IFERROR(__xludf.DUMMYFUNCTION("""COMPUTED_VALUE"""),1154.7)</f>
        <v>1154.7</v>
      </c>
      <c r="E128" s="47">
        <f>IFERROR(__xludf.DUMMYFUNCTION("""COMPUTED_VALUE"""),45925.6458333333)</f>
        <v>45925.6458333333</v>
      </c>
      <c r="F128" s="48">
        <f>IFERROR(__xludf.DUMMYFUNCTION("""COMPUTED_VALUE"""),11188302)</f>
        <v>11188302</v>
      </c>
      <c r="G128" s="47">
        <f>IFERROR(__xludf.DUMMYFUNCTION("""COMPUTED_VALUE"""),45925.6458333333)</f>
        <v>45925.6458333333</v>
      </c>
      <c r="H128" s="48">
        <f>IFERROR(__xludf.DUMMYFUNCTION("""COMPUTED_VALUE"""),1171.8)</f>
        <v>1171.8</v>
      </c>
      <c r="I128" s="47">
        <f>IFERROR(__xludf.DUMMYFUNCTION("""COMPUTED_VALUE"""),45925.6458333333)</f>
        <v>45925.6458333333</v>
      </c>
      <c r="J128" s="48">
        <f>IFERROR(__xludf.DUMMYFUNCTION("""COMPUTED_VALUE"""),1153.4)</f>
        <v>1153.4</v>
      </c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IFERROR(__xludf.DUMMYFUNCTION("""COMPUTED_VALUE"""),1154)</f>
        <v>1154</v>
      </c>
      <c r="C129" s="47">
        <f>IFERROR(__xludf.DUMMYFUNCTION("""COMPUTED_VALUE"""),45926.6458333333)</f>
        <v>45926.6458333333</v>
      </c>
      <c r="D129" s="48">
        <f>IFERROR(__xludf.DUMMYFUNCTION("""COMPUTED_VALUE"""),1161.6)</f>
        <v>1161.6</v>
      </c>
      <c r="E129" s="47">
        <f>IFERROR(__xludf.DUMMYFUNCTION("""COMPUTED_VALUE"""),45926.6458333333)</f>
        <v>45926.6458333333</v>
      </c>
      <c r="F129" s="48">
        <f>IFERROR(__xludf.DUMMYFUNCTION("""COMPUTED_VALUE"""),5618932)</f>
        <v>5618932</v>
      </c>
      <c r="G129" s="47">
        <f>IFERROR(__xludf.DUMMYFUNCTION("""COMPUTED_VALUE"""),45926.6458333333)</f>
        <v>45926.6458333333</v>
      </c>
      <c r="H129" s="48">
        <f>IFERROR(__xludf.DUMMYFUNCTION("""COMPUTED_VALUE"""),1169.7)</f>
        <v>1169.7</v>
      </c>
      <c r="I129" s="47">
        <f>IFERROR(__xludf.DUMMYFUNCTION("""COMPUTED_VALUE"""),45926.6458333333)</f>
        <v>45926.6458333333</v>
      </c>
      <c r="J129" s="48">
        <f>IFERROR(__xludf.DUMMYFUNCTION("""COMPUTED_VALUE"""),1148)</f>
        <v>1148</v>
      </c>
    </row>
  </sheetData>
  <mergeCells count="3">
    <mergeCell ref="M1:P1"/>
    <mergeCell ref="A3:F3"/>
    <mergeCell ref="AB4:AE4"/>
  </mergeCells>
  <conditionalFormatting sqref="A1:A2 A4">
    <cfRule type="notContainsBlanks" dxfId="0" priority="1">
      <formula>LEN(TRIM(A1))&gt;0</formula>
    </cfRule>
  </conditionalFormatting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294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""price"")"),8715)</f>
        <v>8715</v>
      </c>
      <c r="I3" s="22" t="s">
        <v>269</v>
      </c>
      <c r="J3" s="23">
        <f>IFERROR(__xludf.DUMMYFUNCTION("GOOGLEFINANCE(L3, ""volume"")"),335841)</f>
        <v>335841</v>
      </c>
      <c r="K3" s="24" t="s">
        <v>270</v>
      </c>
      <c r="L3" s="25" t="str">
        <f>Mastersheet!B7</f>
        <v>NSE:BAJAJ-AUTO</v>
      </c>
      <c r="M3" s="26">
        <f>IFERROR(__xludf.DUMMYFUNCTION("""COMPUTED_VALUE"""),45926.6458333333)</f>
        <v>45926.6458333333</v>
      </c>
      <c r="N3" s="27">
        <f>IFERROR(__xludf.DUMMYFUNCTION("""COMPUTED_VALUE"""),8702)</f>
        <v>8702</v>
      </c>
      <c r="O3" s="26">
        <f>IFERROR(__xludf.DUMMYFUNCTION("""COMPUTED_VALUE"""),45926.6458333333)</f>
        <v>45926.6458333333</v>
      </c>
      <c r="P3" s="27">
        <f>IFERROR(__xludf.DUMMYFUNCTION("""COMPUTED_VALUE"""),8830)</f>
        <v>8830</v>
      </c>
      <c r="Q3" s="16">
        <f>IFERROR(__xludf.DUMMYFUNCTION("""COMPUTED_VALUE"""),45926.6458333333)</f>
        <v>45926.6458333333</v>
      </c>
      <c r="R3" s="17">
        <f>IFERROR(__xludf.DUMMYFUNCTION("""COMPUTED_VALUE"""),8880)</f>
        <v>8880</v>
      </c>
      <c r="S3" s="16">
        <f>IFERROR(__xludf.DUMMYFUNCTION("""COMPUTED_VALUE"""),45926.6458333333)</f>
        <v>45926.6458333333</v>
      </c>
      <c r="T3" s="17">
        <f>IFERROR(__xludf.DUMMYFUNCTION("""COMPUTED_VALUE"""),8668)</f>
        <v>8668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IFERROR(__xludf.DUMMYFUNCTION("""COMPUTED_VALUE"""),7974.3)</f>
        <v>7974.3</v>
      </c>
      <c r="C5" s="14">
        <f>IFERROR(__xludf.DUMMYFUNCTION("""COMPUTED_VALUE"""),45743.6458333333)</f>
        <v>45743.6458333333</v>
      </c>
      <c r="D5" s="15">
        <f>IFERROR(__xludf.DUMMYFUNCTION("""COMPUTED_VALUE"""),7901)</f>
        <v>7901</v>
      </c>
      <c r="E5" s="14">
        <f>IFERROR(__xludf.DUMMYFUNCTION("""COMPUTED_VALUE"""),45743.6458333333)</f>
        <v>45743.6458333333</v>
      </c>
      <c r="F5" s="15">
        <f>IFERROR(__xludf.DUMMYFUNCTION("""COMPUTED_VALUE"""),651971)</f>
        <v>651971</v>
      </c>
      <c r="G5" s="14">
        <f>IFERROR(__xludf.DUMMYFUNCTION("""COMPUTED_VALUE"""),45743.6458333333)</f>
        <v>45743.6458333333</v>
      </c>
      <c r="H5" s="15">
        <f>IFERROR(__xludf.DUMMYFUNCTION("""COMPUTED_VALUE"""),8039.1)</f>
        <v>8039.1</v>
      </c>
      <c r="I5" s="30">
        <f>IFERROR(__xludf.DUMMYFUNCTION("""COMPUTED_VALUE"""),45743.6458333333)</f>
        <v>45743.6458333333</v>
      </c>
      <c r="J5" s="3">
        <f>IFERROR(__xludf.DUMMYFUNCTION("""COMPUTED_VALUE"""),7852.25)</f>
        <v>7852.25</v>
      </c>
      <c r="K5" s="5"/>
      <c r="L5" s="5"/>
      <c r="M5" s="3">
        <f t="array" ref="M5">INDEX(K11:K124,MATCH(SMALL(ABS(K11:K124-H3),1),ABS(K11:K124-H3),0))</f>
        <v>8719</v>
      </c>
      <c r="N5" s="3">
        <f t="array" ref="N5">INDEX(K11:K124,MATCH(SMALL(ABS(K11:K124-H3),2),ABS(K11:K124-H3),0))</f>
        <v>8827.5</v>
      </c>
      <c r="O5" s="3">
        <f t="array" ref="O5">INDEX(L11:L124,MATCH(SMALL(ABS(L11:L124-H3),1),ABS(L11:L124-H3),0))</f>
        <v>8631.5</v>
      </c>
      <c r="P5" s="3">
        <f t="array" ref="P5">INDEX(L11:L124,MATCH(SMALL(ABS(L11:L124-H3),2),ABS(L11:L124-H3),0))</f>
        <v>8513.5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0</v>
      </c>
      <c r="T5" s="17">
        <f ca="1">IF(AND(H3&gt;=Mastersheet!I3*S5,H3&lt;=Mastersheet!J3*S5),1,0)</f>
        <v>0</v>
      </c>
      <c r="U5" s="36">
        <f>(N3+P3)/2</f>
        <v>8766</v>
      </c>
      <c r="V5" s="17">
        <f>(N3+P3+R3+T3)/4</f>
        <v>8770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IFERROR(__xludf.DUMMYFUNCTION("""COMPUTED_VALUE"""),7878.85)</f>
        <v>7878.85</v>
      </c>
      <c r="C6" s="16">
        <f>IFERROR(__xludf.DUMMYFUNCTION("""COMPUTED_VALUE"""),45744.6458333333)</f>
        <v>45744.6458333333</v>
      </c>
      <c r="D6" s="17">
        <f>IFERROR(__xludf.DUMMYFUNCTION("""COMPUTED_VALUE"""),7970.4)</f>
        <v>7970.4</v>
      </c>
      <c r="E6" s="16">
        <f>IFERROR(__xludf.DUMMYFUNCTION("""COMPUTED_VALUE"""),45744.6458333333)</f>
        <v>45744.6458333333</v>
      </c>
      <c r="F6" s="17">
        <f>IFERROR(__xludf.DUMMYFUNCTION("""COMPUTED_VALUE"""),392400)</f>
        <v>392400</v>
      </c>
      <c r="G6" s="16">
        <f>IFERROR(__xludf.DUMMYFUNCTION("""COMPUTED_VALUE"""),45744.6458333333)</f>
        <v>45744.6458333333</v>
      </c>
      <c r="H6" s="17">
        <f>IFERROR(__xludf.DUMMYFUNCTION("""COMPUTED_VALUE"""),8024.9)</f>
        <v>8024.9</v>
      </c>
      <c r="I6" s="16">
        <f>IFERROR(__xludf.DUMMYFUNCTION("""COMPUTED_VALUE"""),45744.6458333333)</f>
        <v>45744.6458333333</v>
      </c>
      <c r="J6" s="17">
        <f>IFERROR(__xludf.DUMMYFUNCTION("""COMPUTED_VALUE"""),7810.75)</f>
        <v>7810.75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IFERROR(__xludf.DUMMYFUNCTION("""COMPUTED_VALUE"""),7993.05)</f>
        <v>7993.05</v>
      </c>
      <c r="C7" s="16">
        <f>IFERROR(__xludf.DUMMYFUNCTION("""COMPUTED_VALUE"""),45748.6458333333)</f>
        <v>45748.6458333333</v>
      </c>
      <c r="D7" s="17">
        <f>IFERROR(__xludf.DUMMYFUNCTION("""COMPUTED_VALUE"""),7631)</f>
        <v>7631</v>
      </c>
      <c r="E7" s="16">
        <f>IFERROR(__xludf.DUMMYFUNCTION("""COMPUTED_VALUE"""),45748.6458333333)</f>
        <v>45748.6458333333</v>
      </c>
      <c r="F7" s="17">
        <f>IFERROR(__xludf.DUMMYFUNCTION("""COMPUTED_VALUE"""),283618)</f>
        <v>283618</v>
      </c>
      <c r="G7" s="16">
        <f>IFERROR(__xludf.DUMMYFUNCTION("""COMPUTED_VALUE"""),45748.6458333333)</f>
        <v>45748.6458333333</v>
      </c>
      <c r="H7" s="17">
        <f>IFERROR(__xludf.DUMMYFUNCTION("""COMPUTED_VALUE"""),8048)</f>
        <v>8048</v>
      </c>
      <c r="I7" s="16">
        <f>IFERROR(__xludf.DUMMYFUNCTION("""COMPUTED_VALUE"""),45748.6458333333)</f>
        <v>45748.6458333333</v>
      </c>
      <c r="J7" s="17">
        <f>IFERROR(__xludf.DUMMYFUNCTION("""COMPUTED_VALUE"""),7631)</f>
        <v>7631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IFERROR(__xludf.DUMMYFUNCTION("""COMPUTED_VALUE"""),8072.95)</f>
        <v>8072.95</v>
      </c>
      <c r="C8" s="16">
        <f>IFERROR(__xludf.DUMMYFUNCTION("""COMPUTED_VALUE"""),45749.6458333333)</f>
        <v>45749.6458333333</v>
      </c>
      <c r="D8" s="17">
        <f>IFERROR(__xludf.DUMMYFUNCTION("""COMPUTED_VALUE"""),7962)</f>
        <v>7962</v>
      </c>
      <c r="E8" s="16">
        <f>IFERROR(__xludf.DUMMYFUNCTION("""COMPUTED_VALUE"""),45749.6458333333)</f>
        <v>45749.6458333333</v>
      </c>
      <c r="F8" s="17">
        <f>IFERROR(__xludf.DUMMYFUNCTION("""COMPUTED_VALUE"""),237191)</f>
        <v>237191</v>
      </c>
      <c r="G8" s="16">
        <f>IFERROR(__xludf.DUMMYFUNCTION("""COMPUTED_VALUE"""),45749.6458333333)</f>
        <v>45749.6458333333</v>
      </c>
      <c r="H8" s="17">
        <f>IFERROR(__xludf.DUMMYFUNCTION("""COMPUTED_VALUE"""),8083.8)</f>
        <v>8083.8</v>
      </c>
      <c r="I8" s="16">
        <f>IFERROR(__xludf.DUMMYFUNCTION("""COMPUTED_VALUE"""),45749.6458333333)</f>
        <v>45749.6458333333</v>
      </c>
      <c r="J8" s="17">
        <f>IFERROR(__xludf.DUMMYFUNCTION("""COMPUTED_VALUE"""),7945)</f>
        <v>7945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IFERROR(__xludf.DUMMYFUNCTION("""COMPUTED_VALUE"""),7912.2)</f>
        <v>7912.2</v>
      </c>
      <c r="C9" s="16">
        <f>IFERROR(__xludf.DUMMYFUNCTION("""COMPUTED_VALUE"""),45750.6458333333)</f>
        <v>45750.6458333333</v>
      </c>
      <c r="D9" s="17">
        <f>IFERROR(__xludf.DUMMYFUNCTION("""COMPUTED_VALUE"""),7940.05)</f>
        <v>7940.05</v>
      </c>
      <c r="E9" s="16">
        <f>IFERROR(__xludf.DUMMYFUNCTION("""COMPUTED_VALUE"""),45750.6458333333)</f>
        <v>45750.6458333333</v>
      </c>
      <c r="F9" s="17">
        <f>IFERROR(__xludf.DUMMYFUNCTION("""COMPUTED_VALUE"""),470005)</f>
        <v>470005</v>
      </c>
      <c r="G9" s="16">
        <f>IFERROR(__xludf.DUMMYFUNCTION("""COMPUTED_VALUE"""),45750.6458333333)</f>
        <v>45750.6458333333</v>
      </c>
      <c r="H9" s="17">
        <f>IFERROR(__xludf.DUMMYFUNCTION("""COMPUTED_VALUE"""),7940.05)</f>
        <v>7940.05</v>
      </c>
      <c r="I9" s="16">
        <f>IFERROR(__xludf.DUMMYFUNCTION("""COMPUTED_VALUE"""),45750.6458333333)</f>
        <v>45750.6458333333</v>
      </c>
      <c r="J9" s="17">
        <f>IFERROR(__xludf.DUMMYFUNCTION("""COMPUTED_VALUE"""),7840)</f>
        <v>7840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IFERROR(__xludf.DUMMYFUNCTION("""COMPUTED_VALUE"""),7685.1)</f>
        <v>7685.1</v>
      </c>
      <c r="C10" s="16">
        <f>IFERROR(__xludf.DUMMYFUNCTION("""COMPUTED_VALUE"""),45751.6458333333)</f>
        <v>45751.6458333333</v>
      </c>
      <c r="D10" s="17">
        <f>IFERROR(__xludf.DUMMYFUNCTION("""COMPUTED_VALUE"""),7880)</f>
        <v>7880</v>
      </c>
      <c r="E10" s="16">
        <f>IFERROR(__xludf.DUMMYFUNCTION("""COMPUTED_VALUE"""),45751.6458333333)</f>
        <v>45751.6458333333</v>
      </c>
      <c r="F10" s="17">
        <f>IFERROR(__xludf.DUMMYFUNCTION("""COMPUTED_VALUE"""),461228)</f>
        <v>461228</v>
      </c>
      <c r="G10" s="16">
        <f>IFERROR(__xludf.DUMMYFUNCTION("""COMPUTED_VALUE"""),45751.6458333333)</f>
        <v>45751.6458333333</v>
      </c>
      <c r="H10" s="17">
        <f>IFERROR(__xludf.DUMMYFUNCTION("""COMPUTED_VALUE"""),7889.85)</f>
        <v>7889.85</v>
      </c>
      <c r="I10" s="16">
        <f>IFERROR(__xludf.DUMMYFUNCTION("""COMPUTED_VALUE"""),45751.6458333333)</f>
        <v>45751.6458333333</v>
      </c>
      <c r="J10" s="17">
        <f>IFERROR(__xludf.DUMMYFUNCTION("""COMPUTED_VALUE"""),7652.25)</f>
        <v>7652.25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IFERROR(__xludf.DUMMYFUNCTION("""COMPUTED_VALUE"""),7306.8)</f>
        <v>7306.8</v>
      </c>
      <c r="C11" s="16">
        <f>IFERROR(__xludf.DUMMYFUNCTION("""COMPUTED_VALUE"""),45754.6458333333)</f>
        <v>45754.6458333333</v>
      </c>
      <c r="D11" s="17">
        <f>IFERROR(__xludf.DUMMYFUNCTION("""COMPUTED_VALUE"""),7300)</f>
        <v>7300</v>
      </c>
      <c r="E11" s="16">
        <f>IFERROR(__xludf.DUMMYFUNCTION("""COMPUTED_VALUE"""),45754.6458333333)</f>
        <v>45754.6458333333</v>
      </c>
      <c r="F11" s="17">
        <f>IFERROR(__xludf.DUMMYFUNCTION("""COMPUTED_VALUE"""),469629)</f>
        <v>469629</v>
      </c>
      <c r="G11" s="16">
        <f>IFERROR(__xludf.DUMMYFUNCTION("""COMPUTED_VALUE"""),45754.6458333333)</f>
        <v>45754.6458333333</v>
      </c>
      <c r="H11" s="17">
        <f>IFERROR(__xludf.DUMMYFUNCTION("""COMPUTED_VALUE"""),7357.55)</f>
        <v>7357.55</v>
      </c>
      <c r="I11" s="16">
        <f>IFERROR(__xludf.DUMMYFUNCTION("""COMPUTED_VALUE"""),45754.6458333333)</f>
        <v>45754.6458333333</v>
      </c>
      <c r="J11" s="17">
        <f>IFERROR(__xludf.DUMMYFUNCTION("""COMPUTED_VALUE"""),7089.35)</f>
        <v>7089.35</v>
      </c>
      <c r="K11" s="3">
        <f t="shared" ref="K11:K125" si="2">IF(B11=MAX(B5:B17),B11,0)</f>
        <v>0</v>
      </c>
      <c r="L11" s="3">
        <f t="shared" ref="L11:L125" si="3">IF(B11=MIN(B5:B17),B11,0)</f>
        <v>7306.8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IFERROR(__xludf.DUMMYFUNCTION("""COMPUTED_VALUE"""),7498.05)</f>
        <v>7498.05</v>
      </c>
      <c r="C12" s="16">
        <f>IFERROR(__xludf.DUMMYFUNCTION("""COMPUTED_VALUE"""),45755.6458333333)</f>
        <v>45755.6458333333</v>
      </c>
      <c r="D12" s="17">
        <f>IFERROR(__xludf.DUMMYFUNCTION("""COMPUTED_VALUE"""),7384.5)</f>
        <v>7384.5</v>
      </c>
      <c r="E12" s="16">
        <f>IFERROR(__xludf.DUMMYFUNCTION("""COMPUTED_VALUE"""),45755.6458333333)</f>
        <v>45755.6458333333</v>
      </c>
      <c r="F12" s="17">
        <f>IFERROR(__xludf.DUMMYFUNCTION("""COMPUTED_VALUE"""),259199)</f>
        <v>259199</v>
      </c>
      <c r="G12" s="16">
        <f>IFERROR(__xludf.DUMMYFUNCTION("""COMPUTED_VALUE"""),45755.6458333333)</f>
        <v>45755.6458333333</v>
      </c>
      <c r="H12" s="17">
        <f>IFERROR(__xludf.DUMMYFUNCTION("""COMPUTED_VALUE"""),7529.85)</f>
        <v>7529.85</v>
      </c>
      <c r="I12" s="16">
        <f>IFERROR(__xludf.DUMMYFUNCTION("""COMPUTED_VALUE"""),45755.6458333333)</f>
        <v>45755.6458333333</v>
      </c>
      <c r="J12" s="17">
        <f>IFERROR(__xludf.DUMMYFUNCTION("""COMPUTED_VALUE"""),7345.75)</f>
        <v>7345.75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IFERROR(__xludf.DUMMYFUNCTION("""COMPUTED_VALUE"""),7572.3)</f>
        <v>7572.3</v>
      </c>
      <c r="C13" s="16">
        <f>IFERROR(__xludf.DUMMYFUNCTION("""COMPUTED_VALUE"""),45756.6458333333)</f>
        <v>45756.6458333333</v>
      </c>
      <c r="D13" s="17">
        <f>IFERROR(__xludf.DUMMYFUNCTION("""COMPUTED_VALUE"""),7525.45)</f>
        <v>7525.45</v>
      </c>
      <c r="E13" s="16">
        <f>IFERROR(__xludf.DUMMYFUNCTION("""COMPUTED_VALUE"""),45756.6458333333)</f>
        <v>45756.6458333333</v>
      </c>
      <c r="F13" s="17">
        <f>IFERROR(__xludf.DUMMYFUNCTION("""COMPUTED_VALUE"""),261256)</f>
        <v>261256</v>
      </c>
      <c r="G13" s="16">
        <f>IFERROR(__xludf.DUMMYFUNCTION("""COMPUTED_VALUE"""),45756.6458333333)</f>
        <v>45756.6458333333</v>
      </c>
      <c r="H13" s="17">
        <f>IFERROR(__xludf.DUMMYFUNCTION("""COMPUTED_VALUE"""),7631.3)</f>
        <v>7631.3</v>
      </c>
      <c r="I13" s="16">
        <f>IFERROR(__xludf.DUMMYFUNCTION("""COMPUTED_VALUE"""),45756.6458333333)</f>
        <v>45756.6458333333</v>
      </c>
      <c r="J13" s="17">
        <f>IFERROR(__xludf.DUMMYFUNCTION("""COMPUTED_VALUE"""),7460.5)</f>
        <v>7460.5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IFERROR(__xludf.DUMMYFUNCTION("""COMPUTED_VALUE"""),7768.85)</f>
        <v>7768.85</v>
      </c>
      <c r="C14" s="16">
        <f>IFERROR(__xludf.DUMMYFUNCTION("""COMPUTED_VALUE"""),45758.6458333333)</f>
        <v>45758.6458333333</v>
      </c>
      <c r="D14" s="17">
        <f>IFERROR(__xludf.DUMMYFUNCTION("""COMPUTED_VALUE"""),7719.5)</f>
        <v>7719.5</v>
      </c>
      <c r="E14" s="16">
        <f>IFERROR(__xludf.DUMMYFUNCTION("""COMPUTED_VALUE"""),45758.6458333333)</f>
        <v>45758.6458333333</v>
      </c>
      <c r="F14" s="17">
        <f>IFERROR(__xludf.DUMMYFUNCTION("""COMPUTED_VALUE"""),290737)</f>
        <v>290737</v>
      </c>
      <c r="G14" s="16">
        <f>IFERROR(__xludf.DUMMYFUNCTION("""COMPUTED_VALUE"""),45758.6458333333)</f>
        <v>45758.6458333333</v>
      </c>
      <c r="H14" s="17">
        <f>IFERROR(__xludf.DUMMYFUNCTION("""COMPUTED_VALUE"""),7779.95)</f>
        <v>7779.95</v>
      </c>
      <c r="I14" s="16">
        <f>IFERROR(__xludf.DUMMYFUNCTION("""COMPUTED_VALUE"""),45758.6458333333)</f>
        <v>45758.6458333333</v>
      </c>
      <c r="J14" s="17">
        <f>IFERROR(__xludf.DUMMYFUNCTION("""COMPUTED_VALUE"""),7636.35)</f>
        <v>7636.35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IFERROR(__xludf.DUMMYFUNCTION("""COMPUTED_VALUE"""),7995.5)</f>
        <v>7995.5</v>
      </c>
      <c r="C15" s="16">
        <f>IFERROR(__xludf.DUMMYFUNCTION("""COMPUTED_VALUE"""),45762.6458333333)</f>
        <v>45762.6458333333</v>
      </c>
      <c r="D15" s="17">
        <f>IFERROR(__xludf.DUMMYFUNCTION("""COMPUTED_VALUE"""),8000)</f>
        <v>8000</v>
      </c>
      <c r="E15" s="16">
        <f>IFERROR(__xludf.DUMMYFUNCTION("""COMPUTED_VALUE"""),45762.6458333333)</f>
        <v>45762.6458333333</v>
      </c>
      <c r="F15" s="17">
        <f>IFERROR(__xludf.DUMMYFUNCTION("""COMPUTED_VALUE"""),387999)</f>
        <v>387999</v>
      </c>
      <c r="G15" s="16">
        <f>IFERROR(__xludf.DUMMYFUNCTION("""COMPUTED_VALUE"""),45762.6458333333)</f>
        <v>45762.6458333333</v>
      </c>
      <c r="H15" s="17">
        <f>IFERROR(__xludf.DUMMYFUNCTION("""COMPUTED_VALUE"""),8040)</f>
        <v>8040</v>
      </c>
      <c r="I15" s="16">
        <f>IFERROR(__xludf.DUMMYFUNCTION("""COMPUTED_VALUE"""),45762.6458333333)</f>
        <v>45762.6458333333</v>
      </c>
      <c r="J15" s="17">
        <f>IFERROR(__xludf.DUMMYFUNCTION("""COMPUTED_VALUE"""),7828.5)</f>
        <v>7828.5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IFERROR(__xludf.DUMMYFUNCTION("""COMPUTED_VALUE"""),7961.5)</f>
        <v>7961.5</v>
      </c>
      <c r="C16" s="16">
        <f>IFERROR(__xludf.DUMMYFUNCTION("""COMPUTED_VALUE"""),45763.6458333333)</f>
        <v>45763.6458333333</v>
      </c>
      <c r="D16" s="17">
        <f>IFERROR(__xludf.DUMMYFUNCTION("""COMPUTED_VALUE"""),7999)</f>
        <v>7999</v>
      </c>
      <c r="E16" s="16">
        <f>IFERROR(__xludf.DUMMYFUNCTION("""COMPUTED_VALUE"""),45763.6458333333)</f>
        <v>45763.6458333333</v>
      </c>
      <c r="F16" s="17">
        <f>IFERROR(__xludf.DUMMYFUNCTION("""COMPUTED_VALUE"""),294161)</f>
        <v>294161</v>
      </c>
      <c r="G16" s="16">
        <f>IFERROR(__xludf.DUMMYFUNCTION("""COMPUTED_VALUE"""),45763.6458333333)</f>
        <v>45763.6458333333</v>
      </c>
      <c r="H16" s="17">
        <f>IFERROR(__xludf.DUMMYFUNCTION("""COMPUTED_VALUE"""),7999.5)</f>
        <v>7999.5</v>
      </c>
      <c r="I16" s="16">
        <f>IFERROR(__xludf.DUMMYFUNCTION("""COMPUTED_VALUE"""),45763.6458333333)</f>
        <v>45763.6458333333</v>
      </c>
      <c r="J16" s="17">
        <f>IFERROR(__xludf.DUMMYFUNCTION("""COMPUTED_VALUE"""),7864.5)</f>
        <v>7864.5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IFERROR(__xludf.DUMMYFUNCTION("""COMPUTED_VALUE"""),8018)</f>
        <v>8018</v>
      </c>
      <c r="C17" s="16">
        <f>IFERROR(__xludf.DUMMYFUNCTION("""COMPUTED_VALUE"""),45764.6458333333)</f>
        <v>45764.6458333333</v>
      </c>
      <c r="D17" s="17">
        <f>IFERROR(__xludf.DUMMYFUNCTION("""COMPUTED_VALUE"""),7994)</f>
        <v>7994</v>
      </c>
      <c r="E17" s="16">
        <f>IFERROR(__xludf.DUMMYFUNCTION("""COMPUTED_VALUE"""),45764.6458333333)</f>
        <v>45764.6458333333</v>
      </c>
      <c r="F17" s="17">
        <f>IFERROR(__xludf.DUMMYFUNCTION("""COMPUTED_VALUE"""),274331)</f>
        <v>274331</v>
      </c>
      <c r="G17" s="16">
        <f>IFERROR(__xludf.DUMMYFUNCTION("""COMPUTED_VALUE"""),45764.6458333333)</f>
        <v>45764.6458333333</v>
      </c>
      <c r="H17" s="17">
        <f>IFERROR(__xludf.DUMMYFUNCTION("""COMPUTED_VALUE"""),8055)</f>
        <v>8055</v>
      </c>
      <c r="I17" s="16">
        <f>IFERROR(__xludf.DUMMYFUNCTION("""COMPUTED_VALUE"""),45764.6458333333)</f>
        <v>45764.6458333333</v>
      </c>
      <c r="J17" s="17">
        <f>IFERROR(__xludf.DUMMYFUNCTION("""COMPUTED_VALUE"""),7864.5)</f>
        <v>7864.5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IFERROR(__xludf.DUMMYFUNCTION("""COMPUTED_VALUE"""),8247.5)</f>
        <v>8247.5</v>
      </c>
      <c r="C18" s="16">
        <f>IFERROR(__xludf.DUMMYFUNCTION("""COMPUTED_VALUE"""),45768.6458333333)</f>
        <v>45768.6458333333</v>
      </c>
      <c r="D18" s="17">
        <f>IFERROR(__xludf.DUMMYFUNCTION("""COMPUTED_VALUE"""),8010)</f>
        <v>8010</v>
      </c>
      <c r="E18" s="16">
        <f>IFERROR(__xludf.DUMMYFUNCTION("""COMPUTED_VALUE"""),45768.6458333333)</f>
        <v>45768.6458333333</v>
      </c>
      <c r="F18" s="17">
        <f>IFERROR(__xludf.DUMMYFUNCTION("""COMPUTED_VALUE"""),285132)</f>
        <v>285132</v>
      </c>
      <c r="G18" s="16">
        <f>IFERROR(__xludf.DUMMYFUNCTION("""COMPUTED_VALUE"""),45768.6458333333)</f>
        <v>45768.6458333333</v>
      </c>
      <c r="H18" s="17">
        <f>IFERROR(__xludf.DUMMYFUNCTION("""COMPUTED_VALUE"""),8275)</f>
        <v>8275</v>
      </c>
      <c r="I18" s="16">
        <f>IFERROR(__xludf.DUMMYFUNCTION("""COMPUTED_VALUE"""),45768.6458333333)</f>
        <v>45768.6458333333</v>
      </c>
      <c r="J18" s="17">
        <f>IFERROR(__xludf.DUMMYFUNCTION("""COMPUTED_VALUE"""),7950)</f>
        <v>7950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IFERROR(__xludf.DUMMYFUNCTION("""COMPUTED_VALUE"""),8141)</f>
        <v>8141</v>
      </c>
      <c r="C19" s="16">
        <f>IFERROR(__xludf.DUMMYFUNCTION("""COMPUTED_VALUE"""),45769.6458333333)</f>
        <v>45769.6458333333</v>
      </c>
      <c r="D19" s="17">
        <f>IFERROR(__xludf.DUMMYFUNCTION("""COMPUTED_VALUE"""),8186)</f>
        <v>8186</v>
      </c>
      <c r="E19" s="16">
        <f>IFERROR(__xludf.DUMMYFUNCTION("""COMPUTED_VALUE"""),45769.6458333333)</f>
        <v>45769.6458333333</v>
      </c>
      <c r="F19" s="17">
        <f>IFERROR(__xludf.DUMMYFUNCTION("""COMPUTED_VALUE"""),394636)</f>
        <v>394636</v>
      </c>
      <c r="G19" s="16">
        <f>IFERROR(__xludf.DUMMYFUNCTION("""COMPUTED_VALUE"""),45769.6458333333)</f>
        <v>45769.6458333333</v>
      </c>
      <c r="H19" s="17">
        <f>IFERROR(__xludf.DUMMYFUNCTION("""COMPUTED_VALUE"""),8186.5)</f>
        <v>8186.5</v>
      </c>
      <c r="I19" s="16">
        <f>IFERROR(__xludf.DUMMYFUNCTION("""COMPUTED_VALUE"""),45769.6458333333)</f>
        <v>45769.6458333333</v>
      </c>
      <c r="J19" s="17">
        <f>IFERROR(__xludf.DUMMYFUNCTION("""COMPUTED_VALUE"""),8075)</f>
        <v>8075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IFERROR(__xludf.DUMMYFUNCTION("""COMPUTED_VALUE"""),8261.5)</f>
        <v>8261.5</v>
      </c>
      <c r="C20" s="16">
        <f>IFERROR(__xludf.DUMMYFUNCTION("""COMPUTED_VALUE"""),45770.6458333333)</f>
        <v>45770.6458333333</v>
      </c>
      <c r="D20" s="17">
        <f>IFERROR(__xludf.DUMMYFUNCTION("""COMPUTED_VALUE"""),8111)</f>
        <v>8111</v>
      </c>
      <c r="E20" s="16">
        <f>IFERROR(__xludf.DUMMYFUNCTION("""COMPUTED_VALUE"""),45770.6458333333)</f>
        <v>45770.6458333333</v>
      </c>
      <c r="F20" s="17">
        <f>IFERROR(__xludf.DUMMYFUNCTION("""COMPUTED_VALUE"""),598686)</f>
        <v>598686</v>
      </c>
      <c r="G20" s="16">
        <f>IFERROR(__xludf.DUMMYFUNCTION("""COMPUTED_VALUE"""),45770.6458333333)</f>
        <v>45770.6458333333</v>
      </c>
      <c r="H20" s="17">
        <f>IFERROR(__xludf.DUMMYFUNCTION("""COMPUTED_VALUE"""),8294.5)</f>
        <v>8294.5</v>
      </c>
      <c r="I20" s="16">
        <f>IFERROR(__xludf.DUMMYFUNCTION("""COMPUTED_VALUE"""),45770.6458333333)</f>
        <v>45770.6458333333</v>
      </c>
      <c r="J20" s="17">
        <f>IFERROR(__xludf.DUMMYFUNCTION("""COMPUTED_VALUE"""),8051)</f>
        <v>8051</v>
      </c>
      <c r="K20" s="3">
        <f t="shared" si="2"/>
        <v>8261.5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IFERROR(__xludf.DUMMYFUNCTION("""COMPUTED_VALUE"""),8201.5)</f>
        <v>8201.5</v>
      </c>
      <c r="C21" s="16">
        <f>IFERROR(__xludf.DUMMYFUNCTION("""COMPUTED_VALUE"""),45771.6458333333)</f>
        <v>45771.6458333333</v>
      </c>
      <c r="D21" s="17">
        <f>IFERROR(__xludf.DUMMYFUNCTION("""COMPUTED_VALUE"""),8260)</f>
        <v>8260</v>
      </c>
      <c r="E21" s="16">
        <f>IFERROR(__xludf.DUMMYFUNCTION("""COMPUTED_VALUE"""),45771.6458333333)</f>
        <v>45771.6458333333</v>
      </c>
      <c r="F21" s="17">
        <f>IFERROR(__xludf.DUMMYFUNCTION("""COMPUTED_VALUE"""),322100)</f>
        <v>322100</v>
      </c>
      <c r="G21" s="16">
        <f>IFERROR(__xludf.DUMMYFUNCTION("""COMPUTED_VALUE"""),45771.6458333333)</f>
        <v>45771.6458333333</v>
      </c>
      <c r="H21" s="17">
        <f>IFERROR(__xludf.DUMMYFUNCTION("""COMPUTED_VALUE"""),8328)</f>
        <v>8328</v>
      </c>
      <c r="I21" s="16">
        <f>IFERROR(__xludf.DUMMYFUNCTION("""COMPUTED_VALUE"""),45771.6458333333)</f>
        <v>45771.6458333333</v>
      </c>
      <c r="J21" s="17">
        <f>IFERROR(__xludf.DUMMYFUNCTION("""COMPUTED_VALUE"""),8169)</f>
        <v>8169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IFERROR(__xludf.DUMMYFUNCTION("""COMPUTED_VALUE"""),8034)</f>
        <v>8034</v>
      </c>
      <c r="C22" s="16">
        <f>IFERROR(__xludf.DUMMYFUNCTION("""COMPUTED_VALUE"""),45772.6458333333)</f>
        <v>45772.6458333333</v>
      </c>
      <c r="D22" s="17">
        <f>IFERROR(__xludf.DUMMYFUNCTION("""COMPUTED_VALUE"""),8225)</f>
        <v>8225</v>
      </c>
      <c r="E22" s="16">
        <f>IFERROR(__xludf.DUMMYFUNCTION("""COMPUTED_VALUE"""),45772.6458333333)</f>
        <v>45772.6458333333</v>
      </c>
      <c r="F22" s="17">
        <f>IFERROR(__xludf.DUMMYFUNCTION("""COMPUTED_VALUE"""),508224)</f>
        <v>508224</v>
      </c>
      <c r="G22" s="16">
        <f>IFERROR(__xludf.DUMMYFUNCTION("""COMPUTED_VALUE"""),45772.6458333333)</f>
        <v>45772.6458333333</v>
      </c>
      <c r="H22" s="17">
        <f>IFERROR(__xludf.DUMMYFUNCTION("""COMPUTED_VALUE"""),8259.5)</f>
        <v>8259.5</v>
      </c>
      <c r="I22" s="16">
        <f>IFERROR(__xludf.DUMMYFUNCTION("""COMPUTED_VALUE"""),45772.6458333333)</f>
        <v>45772.6458333333</v>
      </c>
      <c r="J22" s="17">
        <f>IFERROR(__xludf.DUMMYFUNCTION("""COMPUTED_VALUE"""),7965)</f>
        <v>7965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IFERROR(__xludf.DUMMYFUNCTION("""COMPUTED_VALUE"""),8096)</f>
        <v>8096</v>
      </c>
      <c r="C23" s="16">
        <f>IFERROR(__xludf.DUMMYFUNCTION("""COMPUTED_VALUE"""),45775.6458333333)</f>
        <v>45775.6458333333</v>
      </c>
      <c r="D23" s="17">
        <f>IFERROR(__xludf.DUMMYFUNCTION("""COMPUTED_VALUE"""),8034)</f>
        <v>8034</v>
      </c>
      <c r="E23" s="16">
        <f>IFERROR(__xludf.DUMMYFUNCTION("""COMPUTED_VALUE"""),45775.6458333333)</f>
        <v>45775.6458333333</v>
      </c>
      <c r="F23" s="17">
        <f>IFERROR(__xludf.DUMMYFUNCTION("""COMPUTED_VALUE"""),282481)</f>
        <v>282481</v>
      </c>
      <c r="G23" s="16">
        <f>IFERROR(__xludf.DUMMYFUNCTION("""COMPUTED_VALUE"""),45775.6458333333)</f>
        <v>45775.6458333333</v>
      </c>
      <c r="H23" s="17">
        <f>IFERROR(__xludf.DUMMYFUNCTION("""COMPUTED_VALUE"""),8134.5)</f>
        <v>8134.5</v>
      </c>
      <c r="I23" s="16">
        <f>IFERROR(__xludf.DUMMYFUNCTION("""COMPUTED_VALUE"""),45775.6458333333)</f>
        <v>45775.6458333333</v>
      </c>
      <c r="J23" s="17">
        <f>IFERROR(__xludf.DUMMYFUNCTION("""COMPUTED_VALUE"""),7971)</f>
        <v>7971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IFERROR(__xludf.DUMMYFUNCTION("""COMPUTED_VALUE"""),8078.5)</f>
        <v>8078.5</v>
      </c>
      <c r="C24" s="16">
        <f>IFERROR(__xludf.DUMMYFUNCTION("""COMPUTED_VALUE"""),45776.6458333333)</f>
        <v>45776.6458333333</v>
      </c>
      <c r="D24" s="17">
        <f>IFERROR(__xludf.DUMMYFUNCTION("""COMPUTED_VALUE"""),8136.5)</f>
        <v>8136.5</v>
      </c>
      <c r="E24" s="16">
        <f>IFERROR(__xludf.DUMMYFUNCTION("""COMPUTED_VALUE"""),45776.6458333333)</f>
        <v>45776.6458333333</v>
      </c>
      <c r="F24" s="17">
        <f>IFERROR(__xludf.DUMMYFUNCTION("""COMPUTED_VALUE"""),228383)</f>
        <v>228383</v>
      </c>
      <c r="G24" s="16">
        <f>IFERROR(__xludf.DUMMYFUNCTION("""COMPUTED_VALUE"""),45776.6458333333)</f>
        <v>45776.6458333333</v>
      </c>
      <c r="H24" s="17">
        <f>IFERROR(__xludf.DUMMYFUNCTION("""COMPUTED_VALUE"""),8169.5)</f>
        <v>8169.5</v>
      </c>
      <c r="I24" s="16">
        <f>IFERROR(__xludf.DUMMYFUNCTION("""COMPUTED_VALUE"""),45776.6458333333)</f>
        <v>45776.6458333333</v>
      </c>
      <c r="J24" s="17">
        <f>IFERROR(__xludf.DUMMYFUNCTION("""COMPUTED_VALUE"""),8020)</f>
        <v>8020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IFERROR(__xludf.DUMMYFUNCTION("""COMPUTED_VALUE"""),8030)</f>
        <v>8030</v>
      </c>
      <c r="C25" s="16">
        <f>IFERROR(__xludf.DUMMYFUNCTION("""COMPUTED_VALUE"""),45777.6458333333)</f>
        <v>45777.6458333333</v>
      </c>
      <c r="D25" s="17">
        <f>IFERROR(__xludf.DUMMYFUNCTION("""COMPUTED_VALUE"""),8060)</f>
        <v>8060</v>
      </c>
      <c r="E25" s="16">
        <f>IFERROR(__xludf.DUMMYFUNCTION("""COMPUTED_VALUE"""),45777.6458333333)</f>
        <v>45777.6458333333</v>
      </c>
      <c r="F25" s="17">
        <f>IFERROR(__xludf.DUMMYFUNCTION("""COMPUTED_VALUE"""),447067)</f>
        <v>447067</v>
      </c>
      <c r="G25" s="16">
        <f>IFERROR(__xludf.DUMMYFUNCTION("""COMPUTED_VALUE"""),45777.6458333333)</f>
        <v>45777.6458333333</v>
      </c>
      <c r="H25" s="17">
        <f>IFERROR(__xludf.DUMMYFUNCTION("""COMPUTED_VALUE"""),8077.5)</f>
        <v>8077.5</v>
      </c>
      <c r="I25" s="16">
        <f>IFERROR(__xludf.DUMMYFUNCTION("""COMPUTED_VALUE"""),45777.6458333333)</f>
        <v>45777.6458333333</v>
      </c>
      <c r="J25" s="17">
        <f>IFERROR(__xludf.DUMMYFUNCTION("""COMPUTED_VALUE"""),7977.5)</f>
        <v>7977.5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IFERROR(__xludf.DUMMYFUNCTION("""COMPUTED_VALUE"""),7836.5)</f>
        <v>7836.5</v>
      </c>
      <c r="C26" s="16">
        <f>IFERROR(__xludf.DUMMYFUNCTION("""COMPUTED_VALUE"""),45779.6458333333)</f>
        <v>45779.6458333333</v>
      </c>
      <c r="D26" s="17">
        <f>IFERROR(__xludf.DUMMYFUNCTION("""COMPUTED_VALUE"""),8000)</f>
        <v>8000</v>
      </c>
      <c r="E26" s="16">
        <f>IFERROR(__xludf.DUMMYFUNCTION("""COMPUTED_VALUE"""),45779.6458333333)</f>
        <v>45779.6458333333</v>
      </c>
      <c r="F26" s="17">
        <f>IFERROR(__xludf.DUMMYFUNCTION("""COMPUTED_VALUE"""),379515)</f>
        <v>379515</v>
      </c>
      <c r="G26" s="16">
        <f>IFERROR(__xludf.DUMMYFUNCTION("""COMPUTED_VALUE"""),45779.6458333333)</f>
        <v>45779.6458333333</v>
      </c>
      <c r="H26" s="17">
        <f>IFERROR(__xludf.DUMMYFUNCTION("""COMPUTED_VALUE"""),8086)</f>
        <v>8086</v>
      </c>
      <c r="I26" s="16">
        <f>IFERROR(__xludf.DUMMYFUNCTION("""COMPUTED_VALUE"""),45779.6458333333)</f>
        <v>45779.6458333333</v>
      </c>
      <c r="J26" s="17">
        <f>IFERROR(__xludf.DUMMYFUNCTION("""COMPUTED_VALUE"""),7803)</f>
        <v>7803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IFERROR(__xludf.DUMMYFUNCTION("""COMPUTED_VALUE"""),7920.5)</f>
        <v>7920.5</v>
      </c>
      <c r="C27" s="16">
        <f>IFERROR(__xludf.DUMMYFUNCTION("""COMPUTED_VALUE"""),45782.6458333333)</f>
        <v>45782.6458333333</v>
      </c>
      <c r="D27" s="17">
        <f>IFERROR(__xludf.DUMMYFUNCTION("""COMPUTED_VALUE"""),7869.5)</f>
        <v>7869.5</v>
      </c>
      <c r="E27" s="16">
        <f>IFERROR(__xludf.DUMMYFUNCTION("""COMPUTED_VALUE"""),45782.6458333333)</f>
        <v>45782.6458333333</v>
      </c>
      <c r="F27" s="17">
        <f>IFERROR(__xludf.DUMMYFUNCTION("""COMPUTED_VALUE"""),250175)</f>
        <v>250175</v>
      </c>
      <c r="G27" s="16">
        <f>IFERROR(__xludf.DUMMYFUNCTION("""COMPUTED_VALUE"""),45782.6458333333)</f>
        <v>45782.6458333333</v>
      </c>
      <c r="H27" s="17">
        <f>IFERROR(__xludf.DUMMYFUNCTION("""COMPUTED_VALUE"""),7964.5)</f>
        <v>7964.5</v>
      </c>
      <c r="I27" s="16">
        <f>IFERROR(__xludf.DUMMYFUNCTION("""COMPUTED_VALUE"""),45782.6458333333)</f>
        <v>45782.6458333333</v>
      </c>
      <c r="J27" s="17">
        <f>IFERROR(__xludf.DUMMYFUNCTION("""COMPUTED_VALUE"""),7850)</f>
        <v>7850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IFERROR(__xludf.DUMMYFUNCTION("""COMPUTED_VALUE"""),7945.5)</f>
        <v>7945.5</v>
      </c>
      <c r="C28" s="16">
        <f>IFERROR(__xludf.DUMMYFUNCTION("""COMPUTED_VALUE"""),45783.6458333333)</f>
        <v>45783.6458333333</v>
      </c>
      <c r="D28" s="17">
        <f>IFERROR(__xludf.DUMMYFUNCTION("""COMPUTED_VALUE"""),7930)</f>
        <v>7930</v>
      </c>
      <c r="E28" s="16">
        <f>IFERROR(__xludf.DUMMYFUNCTION("""COMPUTED_VALUE"""),45783.6458333333)</f>
        <v>45783.6458333333</v>
      </c>
      <c r="F28" s="17">
        <f>IFERROR(__xludf.DUMMYFUNCTION("""COMPUTED_VALUE"""),270568)</f>
        <v>270568</v>
      </c>
      <c r="G28" s="16">
        <f>IFERROR(__xludf.DUMMYFUNCTION("""COMPUTED_VALUE"""),45783.6458333333)</f>
        <v>45783.6458333333</v>
      </c>
      <c r="H28" s="17">
        <f>IFERROR(__xludf.DUMMYFUNCTION("""COMPUTED_VALUE"""),8044)</f>
        <v>8044</v>
      </c>
      <c r="I28" s="16">
        <f>IFERROR(__xludf.DUMMYFUNCTION("""COMPUTED_VALUE"""),45783.6458333333)</f>
        <v>45783.6458333333</v>
      </c>
      <c r="J28" s="17">
        <f>IFERROR(__xludf.DUMMYFUNCTION("""COMPUTED_VALUE"""),7910)</f>
        <v>7910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IFERROR(__xludf.DUMMYFUNCTION("""COMPUTED_VALUE"""),7849)</f>
        <v>7849</v>
      </c>
      <c r="C29" s="16">
        <f>IFERROR(__xludf.DUMMYFUNCTION("""COMPUTED_VALUE"""),45784.6458333333)</f>
        <v>45784.6458333333</v>
      </c>
      <c r="D29" s="17">
        <f>IFERROR(__xludf.DUMMYFUNCTION("""COMPUTED_VALUE"""),7915.5)</f>
        <v>7915.5</v>
      </c>
      <c r="E29" s="16">
        <f>IFERROR(__xludf.DUMMYFUNCTION("""COMPUTED_VALUE"""),45784.6458333333)</f>
        <v>45784.6458333333</v>
      </c>
      <c r="F29" s="17">
        <f>IFERROR(__xludf.DUMMYFUNCTION("""COMPUTED_VALUE"""),459640)</f>
        <v>459640</v>
      </c>
      <c r="G29" s="16">
        <f>IFERROR(__xludf.DUMMYFUNCTION("""COMPUTED_VALUE"""),45784.6458333333)</f>
        <v>45784.6458333333</v>
      </c>
      <c r="H29" s="17">
        <f>IFERROR(__xludf.DUMMYFUNCTION("""COMPUTED_VALUE"""),7978)</f>
        <v>7978</v>
      </c>
      <c r="I29" s="16">
        <f>IFERROR(__xludf.DUMMYFUNCTION("""COMPUTED_VALUE"""),45784.6458333333)</f>
        <v>45784.6458333333</v>
      </c>
      <c r="J29" s="17">
        <f>IFERROR(__xludf.DUMMYFUNCTION("""COMPUTED_VALUE"""),7811.5)</f>
        <v>7811.5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IFERROR(__xludf.DUMMYFUNCTION("""COMPUTED_VALUE"""),7724.5)</f>
        <v>7724.5</v>
      </c>
      <c r="C30" s="16">
        <f>IFERROR(__xludf.DUMMYFUNCTION("""COMPUTED_VALUE"""),45785.6458333333)</f>
        <v>45785.6458333333</v>
      </c>
      <c r="D30" s="17">
        <f>IFERROR(__xludf.DUMMYFUNCTION("""COMPUTED_VALUE"""),7850.5)</f>
        <v>7850.5</v>
      </c>
      <c r="E30" s="16">
        <f>IFERROR(__xludf.DUMMYFUNCTION("""COMPUTED_VALUE"""),45785.6458333333)</f>
        <v>45785.6458333333</v>
      </c>
      <c r="F30" s="17">
        <f>IFERROR(__xludf.DUMMYFUNCTION("""COMPUTED_VALUE"""),461725)</f>
        <v>461725</v>
      </c>
      <c r="G30" s="16">
        <f>IFERROR(__xludf.DUMMYFUNCTION("""COMPUTED_VALUE"""),45785.6458333333)</f>
        <v>45785.6458333333</v>
      </c>
      <c r="H30" s="17">
        <f>IFERROR(__xludf.DUMMYFUNCTION("""COMPUTED_VALUE"""),7869.5)</f>
        <v>7869.5</v>
      </c>
      <c r="I30" s="16">
        <f>IFERROR(__xludf.DUMMYFUNCTION("""COMPUTED_VALUE"""),45785.6458333333)</f>
        <v>45785.6458333333</v>
      </c>
      <c r="J30" s="17">
        <f>IFERROR(__xludf.DUMMYFUNCTION("""COMPUTED_VALUE"""),7670)</f>
        <v>7670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IFERROR(__xludf.DUMMYFUNCTION("""COMPUTED_VALUE"""),7682.5)</f>
        <v>7682.5</v>
      </c>
      <c r="C31" s="16">
        <f>IFERROR(__xludf.DUMMYFUNCTION("""COMPUTED_VALUE"""),45786.6458333333)</f>
        <v>45786.6458333333</v>
      </c>
      <c r="D31" s="17">
        <f>IFERROR(__xludf.DUMMYFUNCTION("""COMPUTED_VALUE"""),7620)</f>
        <v>7620</v>
      </c>
      <c r="E31" s="16">
        <f>IFERROR(__xludf.DUMMYFUNCTION("""COMPUTED_VALUE"""),45786.6458333333)</f>
        <v>45786.6458333333</v>
      </c>
      <c r="F31" s="17">
        <f>IFERROR(__xludf.DUMMYFUNCTION("""COMPUTED_VALUE"""),248982)</f>
        <v>248982</v>
      </c>
      <c r="G31" s="16">
        <f>IFERROR(__xludf.DUMMYFUNCTION("""COMPUTED_VALUE"""),45786.6458333333)</f>
        <v>45786.6458333333</v>
      </c>
      <c r="H31" s="17">
        <f>IFERROR(__xludf.DUMMYFUNCTION("""COMPUTED_VALUE"""),7743.5)</f>
        <v>7743.5</v>
      </c>
      <c r="I31" s="16">
        <f>IFERROR(__xludf.DUMMYFUNCTION("""COMPUTED_VALUE"""),45786.6458333333)</f>
        <v>45786.6458333333</v>
      </c>
      <c r="J31" s="17">
        <f>IFERROR(__xludf.DUMMYFUNCTION("""COMPUTED_VALUE"""),7612)</f>
        <v>7612</v>
      </c>
      <c r="K31" s="3">
        <f t="shared" si="2"/>
        <v>0</v>
      </c>
      <c r="L31" s="3">
        <f t="shared" si="3"/>
        <v>7682.5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IFERROR(__xludf.DUMMYFUNCTION("""COMPUTED_VALUE"""),8039.5)</f>
        <v>8039.5</v>
      </c>
      <c r="C32" s="16">
        <f>IFERROR(__xludf.DUMMYFUNCTION("""COMPUTED_VALUE"""),45789.6458333333)</f>
        <v>45789.6458333333</v>
      </c>
      <c r="D32" s="17">
        <f>IFERROR(__xludf.DUMMYFUNCTION("""COMPUTED_VALUE"""),7800)</f>
        <v>7800</v>
      </c>
      <c r="E32" s="16">
        <f>IFERROR(__xludf.DUMMYFUNCTION("""COMPUTED_VALUE"""),45789.6458333333)</f>
        <v>45789.6458333333</v>
      </c>
      <c r="F32" s="17">
        <f>IFERROR(__xludf.DUMMYFUNCTION("""COMPUTED_VALUE"""),296774)</f>
        <v>296774</v>
      </c>
      <c r="G32" s="16">
        <f>IFERROR(__xludf.DUMMYFUNCTION("""COMPUTED_VALUE"""),45789.6458333333)</f>
        <v>45789.6458333333</v>
      </c>
      <c r="H32" s="17">
        <f>IFERROR(__xludf.DUMMYFUNCTION("""COMPUTED_VALUE"""),8048.5)</f>
        <v>8048.5</v>
      </c>
      <c r="I32" s="16">
        <f>IFERROR(__xludf.DUMMYFUNCTION("""COMPUTED_VALUE"""),45789.6458333333)</f>
        <v>45789.6458333333</v>
      </c>
      <c r="J32" s="17">
        <f>IFERROR(__xludf.DUMMYFUNCTION("""COMPUTED_VALUE"""),7778)</f>
        <v>7778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IFERROR(__xludf.DUMMYFUNCTION("""COMPUTED_VALUE"""),8063)</f>
        <v>8063</v>
      </c>
      <c r="C33" s="16">
        <f>IFERROR(__xludf.DUMMYFUNCTION("""COMPUTED_VALUE"""),45790.6458333333)</f>
        <v>45790.6458333333</v>
      </c>
      <c r="D33" s="17">
        <f>IFERROR(__xludf.DUMMYFUNCTION("""COMPUTED_VALUE"""),8039.5)</f>
        <v>8039.5</v>
      </c>
      <c r="E33" s="16">
        <f>IFERROR(__xludf.DUMMYFUNCTION("""COMPUTED_VALUE"""),45790.6458333333)</f>
        <v>45790.6458333333</v>
      </c>
      <c r="F33" s="17">
        <f>IFERROR(__xludf.DUMMYFUNCTION("""COMPUTED_VALUE"""),407395)</f>
        <v>407395</v>
      </c>
      <c r="G33" s="16">
        <f>IFERROR(__xludf.DUMMYFUNCTION("""COMPUTED_VALUE"""),45790.6458333333)</f>
        <v>45790.6458333333</v>
      </c>
      <c r="H33" s="17">
        <f>IFERROR(__xludf.DUMMYFUNCTION("""COMPUTED_VALUE"""),8109)</f>
        <v>8109</v>
      </c>
      <c r="I33" s="16">
        <f>IFERROR(__xludf.DUMMYFUNCTION("""COMPUTED_VALUE"""),45790.6458333333)</f>
        <v>45790.6458333333</v>
      </c>
      <c r="J33" s="17">
        <f>IFERROR(__xludf.DUMMYFUNCTION("""COMPUTED_VALUE"""),7950)</f>
        <v>7950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IFERROR(__xludf.DUMMYFUNCTION("""COMPUTED_VALUE"""),8102.5)</f>
        <v>8102.5</v>
      </c>
      <c r="C34" s="16">
        <f>IFERROR(__xludf.DUMMYFUNCTION("""COMPUTED_VALUE"""),45791.6458333333)</f>
        <v>45791.6458333333</v>
      </c>
      <c r="D34" s="17">
        <f>IFERROR(__xludf.DUMMYFUNCTION("""COMPUTED_VALUE"""),8090)</f>
        <v>8090</v>
      </c>
      <c r="E34" s="16">
        <f>IFERROR(__xludf.DUMMYFUNCTION("""COMPUTED_VALUE"""),45791.6458333333)</f>
        <v>45791.6458333333</v>
      </c>
      <c r="F34" s="17">
        <f>IFERROR(__xludf.DUMMYFUNCTION("""COMPUTED_VALUE"""),225717)</f>
        <v>225717</v>
      </c>
      <c r="G34" s="16">
        <f>IFERROR(__xludf.DUMMYFUNCTION("""COMPUTED_VALUE"""),45791.6458333333)</f>
        <v>45791.6458333333</v>
      </c>
      <c r="H34" s="17">
        <f>IFERROR(__xludf.DUMMYFUNCTION("""COMPUTED_VALUE"""),8208)</f>
        <v>8208</v>
      </c>
      <c r="I34" s="16">
        <f>IFERROR(__xludf.DUMMYFUNCTION("""COMPUTED_VALUE"""),45791.6458333333)</f>
        <v>45791.6458333333</v>
      </c>
      <c r="J34" s="17">
        <f>IFERROR(__xludf.DUMMYFUNCTION("""COMPUTED_VALUE"""),8032)</f>
        <v>8032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IFERROR(__xludf.DUMMYFUNCTION("""COMPUTED_VALUE"""),8326)</f>
        <v>8326</v>
      </c>
      <c r="C35" s="16">
        <f>IFERROR(__xludf.DUMMYFUNCTION("""COMPUTED_VALUE"""),45792.6458333333)</f>
        <v>45792.6458333333</v>
      </c>
      <c r="D35" s="17">
        <f>IFERROR(__xludf.DUMMYFUNCTION("""COMPUTED_VALUE"""),8135)</f>
        <v>8135</v>
      </c>
      <c r="E35" s="16">
        <f>IFERROR(__xludf.DUMMYFUNCTION("""COMPUTED_VALUE"""),45792.6458333333)</f>
        <v>45792.6458333333</v>
      </c>
      <c r="F35" s="17">
        <f>IFERROR(__xludf.DUMMYFUNCTION("""COMPUTED_VALUE"""),497959)</f>
        <v>497959</v>
      </c>
      <c r="G35" s="16">
        <f>IFERROR(__xludf.DUMMYFUNCTION("""COMPUTED_VALUE"""),45792.6458333333)</f>
        <v>45792.6458333333</v>
      </c>
      <c r="H35" s="17">
        <f>IFERROR(__xludf.DUMMYFUNCTION("""COMPUTED_VALUE"""),8366)</f>
        <v>8366</v>
      </c>
      <c r="I35" s="16">
        <f>IFERROR(__xludf.DUMMYFUNCTION("""COMPUTED_VALUE"""),45792.6458333333)</f>
        <v>45792.6458333333</v>
      </c>
      <c r="J35" s="17">
        <f>IFERROR(__xludf.DUMMYFUNCTION("""COMPUTED_VALUE"""),8077)</f>
        <v>8077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IFERROR(__xludf.DUMMYFUNCTION("""COMPUTED_VALUE"""),8482.5)</f>
        <v>8482.5</v>
      </c>
      <c r="C36" s="16">
        <f>IFERROR(__xludf.DUMMYFUNCTION("""COMPUTED_VALUE"""),45793.6458333333)</f>
        <v>45793.6458333333</v>
      </c>
      <c r="D36" s="17">
        <f>IFERROR(__xludf.DUMMYFUNCTION("""COMPUTED_VALUE"""),8350)</f>
        <v>8350</v>
      </c>
      <c r="E36" s="16">
        <f>IFERROR(__xludf.DUMMYFUNCTION("""COMPUTED_VALUE"""),45793.6458333333)</f>
        <v>45793.6458333333</v>
      </c>
      <c r="F36" s="17">
        <f>IFERROR(__xludf.DUMMYFUNCTION("""COMPUTED_VALUE"""),483122)</f>
        <v>483122</v>
      </c>
      <c r="G36" s="16">
        <f>IFERROR(__xludf.DUMMYFUNCTION("""COMPUTED_VALUE"""),45793.6458333333)</f>
        <v>45793.6458333333</v>
      </c>
      <c r="H36" s="17">
        <f>IFERROR(__xludf.DUMMYFUNCTION("""COMPUTED_VALUE"""),8495)</f>
        <v>8495</v>
      </c>
      <c r="I36" s="16">
        <f>IFERROR(__xludf.DUMMYFUNCTION("""COMPUTED_VALUE"""),45793.6458333333)</f>
        <v>45793.6458333333</v>
      </c>
      <c r="J36" s="17">
        <f>IFERROR(__xludf.DUMMYFUNCTION("""COMPUTED_VALUE"""),8280)</f>
        <v>8280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IFERROR(__xludf.DUMMYFUNCTION("""COMPUTED_VALUE"""),8851)</f>
        <v>8851</v>
      </c>
      <c r="C37" s="16">
        <f>IFERROR(__xludf.DUMMYFUNCTION("""COMPUTED_VALUE"""),45796.6458333333)</f>
        <v>45796.6458333333</v>
      </c>
      <c r="D37" s="17">
        <f>IFERROR(__xludf.DUMMYFUNCTION("""COMPUTED_VALUE"""),8500)</f>
        <v>8500</v>
      </c>
      <c r="E37" s="16">
        <f>IFERROR(__xludf.DUMMYFUNCTION("""COMPUTED_VALUE"""),45796.6458333333)</f>
        <v>45796.6458333333</v>
      </c>
      <c r="F37" s="17">
        <f>IFERROR(__xludf.DUMMYFUNCTION("""COMPUTED_VALUE"""),858221)</f>
        <v>858221</v>
      </c>
      <c r="G37" s="16">
        <f>IFERROR(__xludf.DUMMYFUNCTION("""COMPUTED_VALUE"""),45796.6458333333)</f>
        <v>45796.6458333333</v>
      </c>
      <c r="H37" s="17">
        <f>IFERROR(__xludf.DUMMYFUNCTION("""COMPUTED_VALUE"""),8861.5)</f>
        <v>8861.5</v>
      </c>
      <c r="I37" s="16">
        <f>IFERROR(__xludf.DUMMYFUNCTION("""COMPUTED_VALUE"""),45796.6458333333)</f>
        <v>45796.6458333333</v>
      </c>
      <c r="J37" s="17">
        <f>IFERROR(__xludf.DUMMYFUNCTION("""COMPUTED_VALUE"""),8492)</f>
        <v>8492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IFERROR(__xludf.DUMMYFUNCTION("""COMPUTED_VALUE"""),8565)</f>
        <v>8565</v>
      </c>
      <c r="C38" s="16">
        <f>IFERROR(__xludf.DUMMYFUNCTION("""COMPUTED_VALUE"""),45797.6458333333)</f>
        <v>45797.6458333333</v>
      </c>
      <c r="D38" s="17">
        <f>IFERROR(__xludf.DUMMYFUNCTION("""COMPUTED_VALUE"""),8850)</f>
        <v>8850</v>
      </c>
      <c r="E38" s="16">
        <f>IFERROR(__xludf.DUMMYFUNCTION("""COMPUTED_VALUE"""),45797.6458333333)</f>
        <v>45797.6458333333</v>
      </c>
      <c r="F38" s="17">
        <f>IFERROR(__xludf.DUMMYFUNCTION("""COMPUTED_VALUE"""),449936)</f>
        <v>449936</v>
      </c>
      <c r="G38" s="16">
        <f>IFERROR(__xludf.DUMMYFUNCTION("""COMPUTED_VALUE"""),45797.6458333333)</f>
        <v>45797.6458333333</v>
      </c>
      <c r="H38" s="17">
        <f>IFERROR(__xludf.DUMMYFUNCTION("""COMPUTED_VALUE"""),8850)</f>
        <v>8850</v>
      </c>
      <c r="I38" s="16">
        <f>IFERROR(__xludf.DUMMYFUNCTION("""COMPUTED_VALUE"""),45797.6458333333)</f>
        <v>45797.6458333333</v>
      </c>
      <c r="J38" s="17">
        <f>IFERROR(__xludf.DUMMYFUNCTION("""COMPUTED_VALUE"""),8526.5)</f>
        <v>8526.5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IFERROR(__xludf.DUMMYFUNCTION("""COMPUTED_VALUE"""),8687.5)</f>
        <v>8687.5</v>
      </c>
      <c r="C39" s="16">
        <f>IFERROR(__xludf.DUMMYFUNCTION("""COMPUTED_VALUE"""),45798.6458333333)</f>
        <v>45798.6458333333</v>
      </c>
      <c r="D39" s="17">
        <f>IFERROR(__xludf.DUMMYFUNCTION("""COMPUTED_VALUE"""),8608)</f>
        <v>8608</v>
      </c>
      <c r="E39" s="16">
        <f>IFERROR(__xludf.DUMMYFUNCTION("""COMPUTED_VALUE"""),45798.6458333333)</f>
        <v>45798.6458333333</v>
      </c>
      <c r="F39" s="17">
        <f>IFERROR(__xludf.DUMMYFUNCTION("""COMPUTED_VALUE"""),572628)</f>
        <v>572628</v>
      </c>
      <c r="G39" s="16">
        <f>IFERROR(__xludf.DUMMYFUNCTION("""COMPUTED_VALUE"""),45798.6458333333)</f>
        <v>45798.6458333333</v>
      </c>
      <c r="H39" s="17">
        <f>IFERROR(__xludf.DUMMYFUNCTION("""COMPUTED_VALUE"""),8765)</f>
        <v>8765</v>
      </c>
      <c r="I39" s="16">
        <f>IFERROR(__xludf.DUMMYFUNCTION("""COMPUTED_VALUE"""),45798.6458333333)</f>
        <v>45798.6458333333</v>
      </c>
      <c r="J39" s="17">
        <f>IFERROR(__xludf.DUMMYFUNCTION("""COMPUTED_VALUE"""),8535.5)</f>
        <v>8535.5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IFERROR(__xludf.DUMMYFUNCTION("""COMPUTED_VALUE"""),8733.5)</f>
        <v>8733.5</v>
      </c>
      <c r="C40" s="16">
        <f>IFERROR(__xludf.DUMMYFUNCTION("""COMPUTED_VALUE"""),45799.6458333333)</f>
        <v>45799.6458333333</v>
      </c>
      <c r="D40" s="17">
        <f>IFERROR(__xludf.DUMMYFUNCTION("""COMPUTED_VALUE"""),8660)</f>
        <v>8660</v>
      </c>
      <c r="E40" s="16">
        <f>IFERROR(__xludf.DUMMYFUNCTION("""COMPUTED_VALUE"""),45799.6458333333)</f>
        <v>45799.6458333333</v>
      </c>
      <c r="F40" s="17">
        <f>IFERROR(__xludf.DUMMYFUNCTION("""COMPUTED_VALUE"""),916615)</f>
        <v>916615</v>
      </c>
      <c r="G40" s="16">
        <f>IFERROR(__xludf.DUMMYFUNCTION("""COMPUTED_VALUE"""),45799.6458333333)</f>
        <v>45799.6458333333</v>
      </c>
      <c r="H40" s="17">
        <f>IFERROR(__xludf.DUMMYFUNCTION("""COMPUTED_VALUE"""),8775.5)</f>
        <v>8775.5</v>
      </c>
      <c r="I40" s="16">
        <f>IFERROR(__xludf.DUMMYFUNCTION("""COMPUTED_VALUE"""),45799.6458333333)</f>
        <v>45799.6458333333</v>
      </c>
      <c r="J40" s="17">
        <f>IFERROR(__xludf.DUMMYFUNCTION("""COMPUTED_VALUE"""),8512.5)</f>
        <v>8512.5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IFERROR(__xludf.DUMMYFUNCTION("""COMPUTED_VALUE"""),8741)</f>
        <v>8741</v>
      </c>
      <c r="C41" s="16">
        <f>IFERROR(__xludf.DUMMYFUNCTION("""COMPUTED_VALUE"""),45800.6458333333)</f>
        <v>45800.6458333333</v>
      </c>
      <c r="D41" s="17">
        <f>IFERROR(__xludf.DUMMYFUNCTION("""COMPUTED_VALUE"""),8765)</f>
        <v>8765</v>
      </c>
      <c r="E41" s="16">
        <f>IFERROR(__xludf.DUMMYFUNCTION("""COMPUTED_VALUE"""),45800.6458333333)</f>
        <v>45800.6458333333</v>
      </c>
      <c r="F41" s="17">
        <f>IFERROR(__xludf.DUMMYFUNCTION("""COMPUTED_VALUE"""),321989)</f>
        <v>321989</v>
      </c>
      <c r="G41" s="16">
        <f>IFERROR(__xludf.DUMMYFUNCTION("""COMPUTED_VALUE"""),45800.6458333333)</f>
        <v>45800.6458333333</v>
      </c>
      <c r="H41" s="17">
        <f>IFERROR(__xludf.DUMMYFUNCTION("""COMPUTED_VALUE"""),8838)</f>
        <v>8838</v>
      </c>
      <c r="I41" s="16">
        <f>IFERROR(__xludf.DUMMYFUNCTION("""COMPUTED_VALUE"""),45800.6458333333)</f>
        <v>45800.6458333333</v>
      </c>
      <c r="J41" s="17">
        <f>IFERROR(__xludf.DUMMYFUNCTION("""COMPUTED_VALUE"""),8714)</f>
        <v>8714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IFERROR(__xludf.DUMMYFUNCTION("""COMPUTED_VALUE"""),8958.5)</f>
        <v>8958.5</v>
      </c>
      <c r="C42" s="16">
        <f>IFERROR(__xludf.DUMMYFUNCTION("""COMPUTED_VALUE"""),45803.6458333333)</f>
        <v>45803.6458333333</v>
      </c>
      <c r="D42" s="17">
        <f>IFERROR(__xludf.DUMMYFUNCTION("""COMPUTED_VALUE"""),8784.5)</f>
        <v>8784.5</v>
      </c>
      <c r="E42" s="16">
        <f>IFERROR(__xludf.DUMMYFUNCTION("""COMPUTED_VALUE"""),45803.6458333333)</f>
        <v>45803.6458333333</v>
      </c>
      <c r="F42" s="17">
        <f>IFERROR(__xludf.DUMMYFUNCTION("""COMPUTED_VALUE"""),440577)</f>
        <v>440577</v>
      </c>
      <c r="G42" s="16">
        <f>IFERROR(__xludf.DUMMYFUNCTION("""COMPUTED_VALUE"""),45803.6458333333)</f>
        <v>45803.6458333333</v>
      </c>
      <c r="H42" s="17">
        <f>IFERROR(__xludf.DUMMYFUNCTION("""COMPUTED_VALUE"""),8978.5)</f>
        <v>8978.5</v>
      </c>
      <c r="I42" s="16">
        <f>IFERROR(__xludf.DUMMYFUNCTION("""COMPUTED_VALUE"""),45803.6458333333)</f>
        <v>45803.6458333333</v>
      </c>
      <c r="J42" s="17">
        <f>IFERROR(__xludf.DUMMYFUNCTION("""COMPUTED_VALUE"""),8770)</f>
        <v>8770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IFERROR(__xludf.DUMMYFUNCTION("""COMPUTED_VALUE"""),8963)</f>
        <v>8963</v>
      </c>
      <c r="C43" s="16">
        <f>IFERROR(__xludf.DUMMYFUNCTION("""COMPUTED_VALUE"""),45804.6458333333)</f>
        <v>45804.6458333333</v>
      </c>
      <c r="D43" s="17">
        <f>IFERROR(__xludf.DUMMYFUNCTION("""COMPUTED_VALUE"""),8945)</f>
        <v>8945</v>
      </c>
      <c r="E43" s="16">
        <f>IFERROR(__xludf.DUMMYFUNCTION("""COMPUTED_VALUE"""),45804.6458333333)</f>
        <v>45804.6458333333</v>
      </c>
      <c r="F43" s="17">
        <f>IFERROR(__xludf.DUMMYFUNCTION("""COMPUTED_VALUE"""),401273)</f>
        <v>401273</v>
      </c>
      <c r="G43" s="16">
        <f>IFERROR(__xludf.DUMMYFUNCTION("""COMPUTED_VALUE"""),45804.6458333333)</f>
        <v>45804.6458333333</v>
      </c>
      <c r="H43" s="17">
        <f>IFERROR(__xludf.DUMMYFUNCTION("""COMPUTED_VALUE"""),9004.5)</f>
        <v>9004.5</v>
      </c>
      <c r="I43" s="16">
        <f>IFERROR(__xludf.DUMMYFUNCTION("""COMPUTED_VALUE"""),45804.6458333333)</f>
        <v>45804.6458333333</v>
      </c>
      <c r="J43" s="17">
        <f>IFERROR(__xludf.DUMMYFUNCTION("""COMPUTED_VALUE"""),8900.5)</f>
        <v>8900.5</v>
      </c>
      <c r="K43" s="3">
        <f t="shared" si="2"/>
        <v>8963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IFERROR(__xludf.DUMMYFUNCTION("""COMPUTED_VALUE"""),8849)</f>
        <v>8849</v>
      </c>
      <c r="C44" s="16">
        <f>IFERROR(__xludf.DUMMYFUNCTION("""COMPUTED_VALUE"""),45805.6458333333)</f>
        <v>45805.6458333333</v>
      </c>
      <c r="D44" s="17">
        <f>IFERROR(__xludf.DUMMYFUNCTION("""COMPUTED_VALUE"""),8990)</f>
        <v>8990</v>
      </c>
      <c r="E44" s="16">
        <f>IFERROR(__xludf.DUMMYFUNCTION("""COMPUTED_VALUE"""),45805.6458333333)</f>
        <v>45805.6458333333</v>
      </c>
      <c r="F44" s="17">
        <f>IFERROR(__xludf.DUMMYFUNCTION("""COMPUTED_VALUE"""),312080)</f>
        <v>312080</v>
      </c>
      <c r="G44" s="16">
        <f>IFERROR(__xludf.DUMMYFUNCTION("""COMPUTED_VALUE"""),45805.6458333333)</f>
        <v>45805.6458333333</v>
      </c>
      <c r="H44" s="17">
        <f>IFERROR(__xludf.DUMMYFUNCTION("""COMPUTED_VALUE"""),9007)</f>
        <v>9007</v>
      </c>
      <c r="I44" s="16">
        <f>IFERROR(__xludf.DUMMYFUNCTION("""COMPUTED_VALUE"""),45805.6458333333)</f>
        <v>45805.6458333333</v>
      </c>
      <c r="J44" s="17">
        <f>IFERROR(__xludf.DUMMYFUNCTION("""COMPUTED_VALUE"""),8775)</f>
        <v>8775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IFERROR(__xludf.DUMMYFUNCTION("""COMPUTED_VALUE"""),8874.5)</f>
        <v>8874.5</v>
      </c>
      <c r="C45" s="16">
        <f>IFERROR(__xludf.DUMMYFUNCTION("""COMPUTED_VALUE"""),45806.6458333333)</f>
        <v>45806.6458333333</v>
      </c>
      <c r="D45" s="17">
        <f>IFERROR(__xludf.DUMMYFUNCTION("""COMPUTED_VALUE"""),8907)</f>
        <v>8907</v>
      </c>
      <c r="E45" s="16">
        <f>IFERROR(__xludf.DUMMYFUNCTION("""COMPUTED_VALUE"""),45806.6458333333)</f>
        <v>45806.6458333333</v>
      </c>
      <c r="F45" s="17">
        <f>IFERROR(__xludf.DUMMYFUNCTION("""COMPUTED_VALUE"""),330341)</f>
        <v>330341</v>
      </c>
      <c r="G45" s="16">
        <f>IFERROR(__xludf.DUMMYFUNCTION("""COMPUTED_VALUE"""),45806.6458333333)</f>
        <v>45806.6458333333</v>
      </c>
      <c r="H45" s="17">
        <f>IFERROR(__xludf.DUMMYFUNCTION("""COMPUTED_VALUE"""),8940)</f>
        <v>8940</v>
      </c>
      <c r="I45" s="16">
        <f>IFERROR(__xludf.DUMMYFUNCTION("""COMPUTED_VALUE"""),45806.6458333333)</f>
        <v>45806.6458333333</v>
      </c>
      <c r="J45" s="17">
        <f>IFERROR(__xludf.DUMMYFUNCTION("""COMPUTED_VALUE"""),8802)</f>
        <v>8802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IFERROR(__xludf.DUMMYFUNCTION("""COMPUTED_VALUE"""),8607)</f>
        <v>8607</v>
      </c>
      <c r="C46" s="16">
        <f>IFERROR(__xludf.DUMMYFUNCTION("""COMPUTED_VALUE"""),45807.6458333333)</f>
        <v>45807.6458333333</v>
      </c>
      <c r="D46" s="17">
        <f>IFERROR(__xludf.DUMMYFUNCTION("""COMPUTED_VALUE"""),8787)</f>
        <v>8787</v>
      </c>
      <c r="E46" s="16">
        <f>IFERROR(__xludf.DUMMYFUNCTION("""COMPUTED_VALUE"""),45807.6458333333)</f>
        <v>45807.6458333333</v>
      </c>
      <c r="F46" s="17">
        <f>IFERROR(__xludf.DUMMYFUNCTION("""COMPUTED_VALUE"""),1434828)</f>
        <v>1434828</v>
      </c>
      <c r="G46" s="16">
        <f>IFERROR(__xludf.DUMMYFUNCTION("""COMPUTED_VALUE"""),45807.6458333333)</f>
        <v>45807.6458333333</v>
      </c>
      <c r="H46" s="17">
        <f>IFERROR(__xludf.DUMMYFUNCTION("""COMPUTED_VALUE"""),8865)</f>
        <v>8865</v>
      </c>
      <c r="I46" s="16">
        <f>IFERROR(__xludf.DUMMYFUNCTION("""COMPUTED_VALUE"""),45807.6458333333)</f>
        <v>45807.6458333333</v>
      </c>
      <c r="J46" s="17">
        <f>IFERROR(__xludf.DUMMYFUNCTION("""COMPUTED_VALUE"""),8585)</f>
        <v>8585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IFERROR(__xludf.DUMMYFUNCTION("""COMPUTED_VALUE"""),8513.5)</f>
        <v>8513.5</v>
      </c>
      <c r="C47" s="16">
        <f>IFERROR(__xludf.DUMMYFUNCTION("""COMPUTED_VALUE"""),45810.6458333333)</f>
        <v>45810.6458333333</v>
      </c>
      <c r="D47" s="17">
        <f>IFERROR(__xludf.DUMMYFUNCTION("""COMPUTED_VALUE"""),8621.5)</f>
        <v>8621.5</v>
      </c>
      <c r="E47" s="16">
        <f>IFERROR(__xludf.DUMMYFUNCTION("""COMPUTED_VALUE"""),45810.6458333333)</f>
        <v>45810.6458333333</v>
      </c>
      <c r="F47" s="17">
        <f>IFERROR(__xludf.DUMMYFUNCTION("""COMPUTED_VALUE"""),457251)</f>
        <v>457251</v>
      </c>
      <c r="G47" s="16">
        <f>IFERROR(__xludf.DUMMYFUNCTION("""COMPUTED_VALUE"""),45810.6458333333)</f>
        <v>45810.6458333333</v>
      </c>
      <c r="H47" s="17">
        <f>IFERROR(__xludf.DUMMYFUNCTION("""COMPUTED_VALUE"""),8621.5)</f>
        <v>8621.5</v>
      </c>
      <c r="I47" s="16">
        <f>IFERROR(__xludf.DUMMYFUNCTION("""COMPUTED_VALUE"""),45810.6458333333)</f>
        <v>45810.6458333333</v>
      </c>
      <c r="J47" s="17">
        <f>IFERROR(__xludf.DUMMYFUNCTION("""COMPUTED_VALUE"""),8415)</f>
        <v>8415</v>
      </c>
      <c r="K47" s="3">
        <f t="shared" si="2"/>
        <v>0</v>
      </c>
      <c r="L47" s="3">
        <f t="shared" si="3"/>
        <v>8513.5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IFERROR(__xludf.DUMMYFUNCTION("""COMPUTED_VALUE"""),8563)</f>
        <v>8563</v>
      </c>
      <c r="C48" s="16">
        <f>IFERROR(__xludf.DUMMYFUNCTION("""COMPUTED_VALUE"""),45811.6458333333)</f>
        <v>45811.6458333333</v>
      </c>
      <c r="D48" s="17">
        <f>IFERROR(__xludf.DUMMYFUNCTION("""COMPUTED_VALUE"""),8513)</f>
        <v>8513</v>
      </c>
      <c r="E48" s="16">
        <f>IFERROR(__xludf.DUMMYFUNCTION("""COMPUTED_VALUE"""),45811.6458333333)</f>
        <v>45811.6458333333</v>
      </c>
      <c r="F48" s="17">
        <f>IFERROR(__xludf.DUMMYFUNCTION("""COMPUTED_VALUE"""),566074)</f>
        <v>566074</v>
      </c>
      <c r="G48" s="16">
        <f>IFERROR(__xludf.DUMMYFUNCTION("""COMPUTED_VALUE"""),45811.6458333333)</f>
        <v>45811.6458333333</v>
      </c>
      <c r="H48" s="17">
        <f>IFERROR(__xludf.DUMMYFUNCTION("""COMPUTED_VALUE"""),8600)</f>
        <v>8600</v>
      </c>
      <c r="I48" s="16">
        <f>IFERROR(__xludf.DUMMYFUNCTION("""COMPUTED_VALUE"""),45811.6458333333)</f>
        <v>45811.6458333333</v>
      </c>
      <c r="J48" s="17">
        <f>IFERROR(__xludf.DUMMYFUNCTION("""COMPUTED_VALUE"""),8490)</f>
        <v>8490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IFERROR(__xludf.DUMMYFUNCTION("""COMPUTED_VALUE"""),8563.5)</f>
        <v>8563.5</v>
      </c>
      <c r="C49" s="16">
        <f>IFERROR(__xludf.DUMMYFUNCTION("""COMPUTED_VALUE"""),45812.6458333333)</f>
        <v>45812.6458333333</v>
      </c>
      <c r="D49" s="17">
        <f>IFERROR(__xludf.DUMMYFUNCTION("""COMPUTED_VALUE"""),8550.5)</f>
        <v>8550.5</v>
      </c>
      <c r="E49" s="16">
        <f>IFERROR(__xludf.DUMMYFUNCTION("""COMPUTED_VALUE"""),45812.6458333333)</f>
        <v>45812.6458333333</v>
      </c>
      <c r="F49" s="17">
        <f>IFERROR(__xludf.DUMMYFUNCTION("""COMPUTED_VALUE"""),431009)</f>
        <v>431009</v>
      </c>
      <c r="G49" s="16">
        <f>IFERROR(__xludf.DUMMYFUNCTION("""COMPUTED_VALUE"""),45812.6458333333)</f>
        <v>45812.6458333333</v>
      </c>
      <c r="H49" s="17">
        <f>IFERROR(__xludf.DUMMYFUNCTION("""COMPUTED_VALUE"""),8640.5)</f>
        <v>8640.5</v>
      </c>
      <c r="I49" s="16">
        <f>IFERROR(__xludf.DUMMYFUNCTION("""COMPUTED_VALUE"""),45812.6458333333)</f>
        <v>45812.6458333333</v>
      </c>
      <c r="J49" s="17">
        <f>IFERROR(__xludf.DUMMYFUNCTION("""COMPUTED_VALUE"""),8527)</f>
        <v>8527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IFERROR(__xludf.DUMMYFUNCTION("""COMPUTED_VALUE"""),8557.5)</f>
        <v>8557.5</v>
      </c>
      <c r="C50" s="16">
        <f>IFERROR(__xludf.DUMMYFUNCTION("""COMPUTED_VALUE"""),45813.6458333333)</f>
        <v>45813.6458333333</v>
      </c>
      <c r="D50" s="17">
        <f>IFERROR(__xludf.DUMMYFUNCTION("""COMPUTED_VALUE"""),8614)</f>
        <v>8614</v>
      </c>
      <c r="E50" s="16">
        <f>IFERROR(__xludf.DUMMYFUNCTION("""COMPUTED_VALUE"""),45813.6458333333)</f>
        <v>45813.6458333333</v>
      </c>
      <c r="F50" s="17">
        <f>IFERROR(__xludf.DUMMYFUNCTION("""COMPUTED_VALUE"""),381642)</f>
        <v>381642</v>
      </c>
      <c r="G50" s="16">
        <f>IFERROR(__xludf.DUMMYFUNCTION("""COMPUTED_VALUE"""),45813.6458333333)</f>
        <v>45813.6458333333</v>
      </c>
      <c r="H50" s="17">
        <f>IFERROR(__xludf.DUMMYFUNCTION("""COMPUTED_VALUE"""),8614)</f>
        <v>8614</v>
      </c>
      <c r="I50" s="16">
        <f>IFERROR(__xludf.DUMMYFUNCTION("""COMPUTED_VALUE"""),45813.6458333333)</f>
        <v>45813.6458333333</v>
      </c>
      <c r="J50" s="17">
        <f>IFERROR(__xludf.DUMMYFUNCTION("""COMPUTED_VALUE"""),8509.5)</f>
        <v>8509.5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IFERROR(__xludf.DUMMYFUNCTION("""COMPUTED_VALUE"""),8637)</f>
        <v>8637</v>
      </c>
      <c r="C51" s="16">
        <f>IFERROR(__xludf.DUMMYFUNCTION("""COMPUTED_VALUE"""),45814.6458333333)</f>
        <v>45814.6458333333</v>
      </c>
      <c r="D51" s="17">
        <f>IFERROR(__xludf.DUMMYFUNCTION("""COMPUTED_VALUE"""),8608)</f>
        <v>8608</v>
      </c>
      <c r="E51" s="16">
        <f>IFERROR(__xludf.DUMMYFUNCTION("""COMPUTED_VALUE"""),45814.6458333333)</f>
        <v>45814.6458333333</v>
      </c>
      <c r="F51" s="17">
        <f>IFERROR(__xludf.DUMMYFUNCTION("""COMPUTED_VALUE"""),435024)</f>
        <v>435024</v>
      </c>
      <c r="G51" s="16">
        <f>IFERROR(__xludf.DUMMYFUNCTION("""COMPUTED_VALUE"""),45814.6458333333)</f>
        <v>45814.6458333333</v>
      </c>
      <c r="H51" s="17">
        <f>IFERROR(__xludf.DUMMYFUNCTION("""COMPUTED_VALUE"""),8685)</f>
        <v>8685</v>
      </c>
      <c r="I51" s="16">
        <f>IFERROR(__xludf.DUMMYFUNCTION("""COMPUTED_VALUE"""),45814.6458333333)</f>
        <v>45814.6458333333</v>
      </c>
      <c r="J51" s="17">
        <f>IFERROR(__xludf.DUMMYFUNCTION("""COMPUTED_VALUE"""),8541)</f>
        <v>8541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IFERROR(__xludf.DUMMYFUNCTION("""COMPUTED_VALUE"""),8641)</f>
        <v>8641</v>
      </c>
      <c r="C52" s="16">
        <f>IFERROR(__xludf.DUMMYFUNCTION("""COMPUTED_VALUE"""),45817.6458333333)</f>
        <v>45817.6458333333</v>
      </c>
      <c r="D52" s="17">
        <f>IFERROR(__xludf.DUMMYFUNCTION("""COMPUTED_VALUE"""),8680)</f>
        <v>8680</v>
      </c>
      <c r="E52" s="16">
        <f>IFERROR(__xludf.DUMMYFUNCTION("""COMPUTED_VALUE"""),45817.6458333333)</f>
        <v>45817.6458333333</v>
      </c>
      <c r="F52" s="17">
        <f>IFERROR(__xludf.DUMMYFUNCTION("""COMPUTED_VALUE"""),443544)</f>
        <v>443544</v>
      </c>
      <c r="G52" s="16">
        <f>IFERROR(__xludf.DUMMYFUNCTION("""COMPUTED_VALUE"""),45817.6458333333)</f>
        <v>45817.6458333333</v>
      </c>
      <c r="H52" s="17">
        <f>IFERROR(__xludf.DUMMYFUNCTION("""COMPUTED_VALUE"""),8705)</f>
        <v>8705</v>
      </c>
      <c r="I52" s="16">
        <f>IFERROR(__xludf.DUMMYFUNCTION("""COMPUTED_VALUE"""),45817.6458333333)</f>
        <v>45817.6458333333</v>
      </c>
      <c r="J52" s="17">
        <f>IFERROR(__xludf.DUMMYFUNCTION("""COMPUTED_VALUE"""),8599.5)</f>
        <v>8599.5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IFERROR(__xludf.DUMMYFUNCTION("""COMPUTED_VALUE"""),8626)</f>
        <v>8626</v>
      </c>
      <c r="C53" s="16">
        <f>IFERROR(__xludf.DUMMYFUNCTION("""COMPUTED_VALUE"""),45818.6458333333)</f>
        <v>45818.6458333333</v>
      </c>
      <c r="D53" s="17">
        <f>IFERROR(__xludf.DUMMYFUNCTION("""COMPUTED_VALUE"""),8645)</f>
        <v>8645</v>
      </c>
      <c r="E53" s="16">
        <f>IFERROR(__xludf.DUMMYFUNCTION("""COMPUTED_VALUE"""),45818.6458333333)</f>
        <v>45818.6458333333</v>
      </c>
      <c r="F53" s="17">
        <f>IFERROR(__xludf.DUMMYFUNCTION("""COMPUTED_VALUE"""),350288)</f>
        <v>350288</v>
      </c>
      <c r="G53" s="16">
        <f>IFERROR(__xludf.DUMMYFUNCTION("""COMPUTED_VALUE"""),45818.6458333333)</f>
        <v>45818.6458333333</v>
      </c>
      <c r="H53" s="17">
        <f>IFERROR(__xludf.DUMMYFUNCTION("""COMPUTED_VALUE"""),8664)</f>
        <v>8664</v>
      </c>
      <c r="I53" s="16">
        <f>IFERROR(__xludf.DUMMYFUNCTION("""COMPUTED_VALUE"""),45818.6458333333)</f>
        <v>45818.6458333333</v>
      </c>
      <c r="J53" s="17">
        <f>IFERROR(__xludf.DUMMYFUNCTION("""COMPUTED_VALUE"""),8574)</f>
        <v>8574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IFERROR(__xludf.DUMMYFUNCTION("""COMPUTED_VALUE"""),8719)</f>
        <v>8719</v>
      </c>
      <c r="C54" s="16">
        <f>IFERROR(__xludf.DUMMYFUNCTION("""COMPUTED_VALUE"""),45819.6458333333)</f>
        <v>45819.6458333333</v>
      </c>
      <c r="D54" s="17">
        <f>IFERROR(__xludf.DUMMYFUNCTION("""COMPUTED_VALUE"""),8635.5)</f>
        <v>8635.5</v>
      </c>
      <c r="E54" s="16">
        <f>IFERROR(__xludf.DUMMYFUNCTION("""COMPUTED_VALUE"""),45819.6458333333)</f>
        <v>45819.6458333333</v>
      </c>
      <c r="F54" s="17">
        <f>IFERROR(__xludf.DUMMYFUNCTION("""COMPUTED_VALUE"""),462124)</f>
        <v>462124</v>
      </c>
      <c r="G54" s="16">
        <f>IFERROR(__xludf.DUMMYFUNCTION("""COMPUTED_VALUE"""),45819.6458333333)</f>
        <v>45819.6458333333</v>
      </c>
      <c r="H54" s="17">
        <f>IFERROR(__xludf.DUMMYFUNCTION("""COMPUTED_VALUE"""),8770)</f>
        <v>8770</v>
      </c>
      <c r="I54" s="16">
        <f>IFERROR(__xludf.DUMMYFUNCTION("""COMPUTED_VALUE"""),45819.6458333333)</f>
        <v>45819.6458333333</v>
      </c>
      <c r="J54" s="17">
        <f>IFERROR(__xludf.DUMMYFUNCTION("""COMPUTED_VALUE"""),8610)</f>
        <v>8610</v>
      </c>
      <c r="K54" s="3">
        <f t="shared" si="2"/>
        <v>8719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IFERROR(__xludf.DUMMYFUNCTION("""COMPUTED_VALUE"""),8567)</f>
        <v>8567</v>
      </c>
      <c r="C55" s="16">
        <f>IFERROR(__xludf.DUMMYFUNCTION("""COMPUTED_VALUE"""),45820.6458333333)</f>
        <v>45820.6458333333</v>
      </c>
      <c r="D55" s="17">
        <f>IFERROR(__xludf.DUMMYFUNCTION("""COMPUTED_VALUE"""),8732.5)</f>
        <v>8732.5</v>
      </c>
      <c r="E55" s="16">
        <f>IFERROR(__xludf.DUMMYFUNCTION("""COMPUTED_VALUE"""),45820.6458333333)</f>
        <v>45820.6458333333</v>
      </c>
      <c r="F55" s="17">
        <f>IFERROR(__xludf.DUMMYFUNCTION("""COMPUTED_VALUE"""),368162)</f>
        <v>368162</v>
      </c>
      <c r="G55" s="16">
        <f>IFERROR(__xludf.DUMMYFUNCTION("""COMPUTED_VALUE"""),45820.6458333333)</f>
        <v>45820.6458333333</v>
      </c>
      <c r="H55" s="17">
        <f>IFERROR(__xludf.DUMMYFUNCTION("""COMPUTED_VALUE"""),8756)</f>
        <v>8756</v>
      </c>
      <c r="I55" s="16">
        <f>IFERROR(__xludf.DUMMYFUNCTION("""COMPUTED_VALUE"""),45820.6458333333)</f>
        <v>45820.6458333333</v>
      </c>
      <c r="J55" s="17">
        <f>IFERROR(__xludf.DUMMYFUNCTION("""COMPUTED_VALUE"""),8540)</f>
        <v>8540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IFERROR(__xludf.DUMMYFUNCTION("""COMPUTED_VALUE"""),8463.5)</f>
        <v>8463.5</v>
      </c>
      <c r="C56" s="16">
        <f>IFERROR(__xludf.DUMMYFUNCTION("""COMPUTED_VALUE"""),45821.6458333333)</f>
        <v>45821.6458333333</v>
      </c>
      <c r="D56" s="17">
        <f>IFERROR(__xludf.DUMMYFUNCTION("""COMPUTED_VALUE"""),8460)</f>
        <v>8460</v>
      </c>
      <c r="E56" s="16">
        <f>IFERROR(__xludf.DUMMYFUNCTION("""COMPUTED_VALUE"""),45821.6458333333)</f>
        <v>45821.6458333333</v>
      </c>
      <c r="F56" s="17">
        <f>IFERROR(__xludf.DUMMYFUNCTION("""COMPUTED_VALUE"""),250910)</f>
        <v>250910</v>
      </c>
      <c r="G56" s="16">
        <f>IFERROR(__xludf.DUMMYFUNCTION("""COMPUTED_VALUE"""),45821.6458333333)</f>
        <v>45821.6458333333</v>
      </c>
      <c r="H56" s="17">
        <f>IFERROR(__xludf.DUMMYFUNCTION("""COMPUTED_VALUE"""),8485.5)</f>
        <v>8485.5</v>
      </c>
      <c r="I56" s="16">
        <f>IFERROR(__xludf.DUMMYFUNCTION("""COMPUTED_VALUE"""),45821.6458333333)</f>
        <v>45821.6458333333</v>
      </c>
      <c r="J56" s="17">
        <f>IFERROR(__xludf.DUMMYFUNCTION("""COMPUTED_VALUE"""),8350)</f>
        <v>8350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IFERROR(__xludf.DUMMYFUNCTION("""COMPUTED_VALUE"""),8529.5)</f>
        <v>8529.5</v>
      </c>
      <c r="C57" s="16">
        <f>IFERROR(__xludf.DUMMYFUNCTION("""COMPUTED_VALUE"""),45824.6458333333)</f>
        <v>45824.6458333333</v>
      </c>
      <c r="D57" s="17">
        <f>IFERROR(__xludf.DUMMYFUNCTION("""COMPUTED_VALUE"""),8486.5)</f>
        <v>8486.5</v>
      </c>
      <c r="E57" s="16">
        <f>IFERROR(__xludf.DUMMYFUNCTION("""COMPUTED_VALUE"""),45824.6458333333)</f>
        <v>45824.6458333333</v>
      </c>
      <c r="F57" s="17">
        <f>IFERROR(__xludf.DUMMYFUNCTION("""COMPUTED_VALUE"""),203598)</f>
        <v>203598</v>
      </c>
      <c r="G57" s="16">
        <f>IFERROR(__xludf.DUMMYFUNCTION("""COMPUTED_VALUE"""),45824.6458333333)</f>
        <v>45824.6458333333</v>
      </c>
      <c r="H57" s="17">
        <f>IFERROR(__xludf.DUMMYFUNCTION("""COMPUTED_VALUE"""),8595)</f>
        <v>8595</v>
      </c>
      <c r="I57" s="16">
        <f>IFERROR(__xludf.DUMMYFUNCTION("""COMPUTED_VALUE"""),45824.6458333333)</f>
        <v>45824.6458333333</v>
      </c>
      <c r="J57" s="17">
        <f>IFERROR(__xludf.DUMMYFUNCTION("""COMPUTED_VALUE"""),8451)</f>
        <v>8451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IFERROR(__xludf.DUMMYFUNCTION("""COMPUTED_VALUE"""),8494.5)</f>
        <v>8494.5</v>
      </c>
      <c r="C58" s="16">
        <f>IFERROR(__xludf.DUMMYFUNCTION("""COMPUTED_VALUE"""),45825.6458333333)</f>
        <v>45825.6458333333</v>
      </c>
      <c r="D58" s="17">
        <f>IFERROR(__xludf.DUMMYFUNCTION("""COMPUTED_VALUE"""),8490)</f>
        <v>8490</v>
      </c>
      <c r="E58" s="16">
        <f>IFERROR(__xludf.DUMMYFUNCTION("""COMPUTED_VALUE"""),45825.6458333333)</f>
        <v>45825.6458333333</v>
      </c>
      <c r="F58" s="17">
        <f>IFERROR(__xludf.DUMMYFUNCTION("""COMPUTED_VALUE"""),286217)</f>
        <v>286217</v>
      </c>
      <c r="G58" s="16">
        <f>IFERROR(__xludf.DUMMYFUNCTION("""COMPUTED_VALUE"""),45825.6458333333)</f>
        <v>45825.6458333333</v>
      </c>
      <c r="H58" s="17">
        <f>IFERROR(__xludf.DUMMYFUNCTION("""COMPUTED_VALUE"""),8554)</f>
        <v>8554</v>
      </c>
      <c r="I58" s="16">
        <f>IFERROR(__xludf.DUMMYFUNCTION("""COMPUTED_VALUE"""),45825.6458333333)</f>
        <v>45825.6458333333</v>
      </c>
      <c r="J58" s="17">
        <f>IFERROR(__xludf.DUMMYFUNCTION("""COMPUTED_VALUE"""),8455)</f>
        <v>8455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IFERROR(__xludf.DUMMYFUNCTION("""COMPUTED_VALUE"""),8468)</f>
        <v>8468</v>
      </c>
      <c r="C59" s="16">
        <f>IFERROR(__xludf.DUMMYFUNCTION("""COMPUTED_VALUE"""),45826.6458333333)</f>
        <v>45826.6458333333</v>
      </c>
      <c r="D59" s="17">
        <f>IFERROR(__xludf.DUMMYFUNCTION("""COMPUTED_VALUE"""),8505)</f>
        <v>8505</v>
      </c>
      <c r="E59" s="16">
        <f>IFERROR(__xludf.DUMMYFUNCTION("""COMPUTED_VALUE"""),45826.6458333333)</f>
        <v>45826.6458333333</v>
      </c>
      <c r="F59" s="17">
        <f>IFERROR(__xludf.DUMMYFUNCTION("""COMPUTED_VALUE"""),561114)</f>
        <v>561114</v>
      </c>
      <c r="G59" s="16">
        <f>IFERROR(__xludf.DUMMYFUNCTION("""COMPUTED_VALUE"""),45826.6458333333)</f>
        <v>45826.6458333333</v>
      </c>
      <c r="H59" s="17">
        <f>IFERROR(__xludf.DUMMYFUNCTION("""COMPUTED_VALUE"""),8657.5)</f>
        <v>8657.5</v>
      </c>
      <c r="I59" s="16">
        <f>IFERROR(__xludf.DUMMYFUNCTION("""COMPUTED_VALUE"""),45826.6458333333)</f>
        <v>45826.6458333333</v>
      </c>
      <c r="J59" s="17">
        <f>IFERROR(__xludf.DUMMYFUNCTION("""COMPUTED_VALUE"""),8440.5)</f>
        <v>8440.5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IFERROR(__xludf.DUMMYFUNCTION("""COMPUTED_VALUE"""),8496)</f>
        <v>8496</v>
      </c>
      <c r="C60" s="16">
        <f>IFERROR(__xludf.DUMMYFUNCTION("""COMPUTED_VALUE"""),45827.6458333333)</f>
        <v>45827.6458333333</v>
      </c>
      <c r="D60" s="17">
        <f>IFERROR(__xludf.DUMMYFUNCTION("""COMPUTED_VALUE"""),8480)</f>
        <v>8480</v>
      </c>
      <c r="E60" s="16">
        <f>IFERROR(__xludf.DUMMYFUNCTION("""COMPUTED_VALUE"""),45827.6458333333)</f>
        <v>45827.6458333333</v>
      </c>
      <c r="F60" s="17">
        <f>IFERROR(__xludf.DUMMYFUNCTION("""COMPUTED_VALUE"""),332303)</f>
        <v>332303</v>
      </c>
      <c r="G60" s="16">
        <f>IFERROR(__xludf.DUMMYFUNCTION("""COMPUTED_VALUE"""),45827.6458333333)</f>
        <v>45827.6458333333</v>
      </c>
      <c r="H60" s="17">
        <f>IFERROR(__xludf.DUMMYFUNCTION("""COMPUTED_VALUE"""),8555)</f>
        <v>8555</v>
      </c>
      <c r="I60" s="16">
        <f>IFERROR(__xludf.DUMMYFUNCTION("""COMPUTED_VALUE"""),45827.6458333333)</f>
        <v>45827.6458333333</v>
      </c>
      <c r="J60" s="17">
        <f>IFERROR(__xludf.DUMMYFUNCTION("""COMPUTED_VALUE"""),8451.5)</f>
        <v>8451.5</v>
      </c>
      <c r="K60" s="3">
        <f t="shared" si="2"/>
        <v>0</v>
      </c>
      <c r="L60" s="3">
        <f t="shared" si="3"/>
        <v>0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IFERROR(__xludf.DUMMYFUNCTION("""COMPUTED_VALUE"""),8371)</f>
        <v>8371</v>
      </c>
      <c r="C61" s="16">
        <f>IFERROR(__xludf.DUMMYFUNCTION("""COMPUTED_VALUE"""),45828.6458333333)</f>
        <v>45828.6458333333</v>
      </c>
      <c r="D61" s="17">
        <f>IFERROR(__xludf.DUMMYFUNCTION("""COMPUTED_VALUE"""),8315)</f>
        <v>8315</v>
      </c>
      <c r="E61" s="16">
        <f>IFERROR(__xludf.DUMMYFUNCTION("""COMPUTED_VALUE"""),45828.6458333333)</f>
        <v>45828.6458333333</v>
      </c>
      <c r="F61" s="17">
        <f>IFERROR(__xludf.DUMMYFUNCTION("""COMPUTED_VALUE"""),567646)</f>
        <v>567646</v>
      </c>
      <c r="G61" s="16">
        <f>IFERROR(__xludf.DUMMYFUNCTION("""COMPUTED_VALUE"""),45828.6458333333)</f>
        <v>45828.6458333333</v>
      </c>
      <c r="H61" s="17">
        <f>IFERROR(__xludf.DUMMYFUNCTION("""COMPUTED_VALUE"""),8403)</f>
        <v>8403</v>
      </c>
      <c r="I61" s="16">
        <f>IFERROR(__xludf.DUMMYFUNCTION("""COMPUTED_VALUE"""),45828.6458333333)</f>
        <v>45828.6458333333</v>
      </c>
      <c r="J61" s="17">
        <f>IFERROR(__xludf.DUMMYFUNCTION("""COMPUTED_VALUE"""),8250)</f>
        <v>8250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IFERROR(__xludf.DUMMYFUNCTION("""COMPUTED_VALUE"""),8286.5)</f>
        <v>8286.5</v>
      </c>
      <c r="C62" s="16">
        <f>IFERROR(__xludf.DUMMYFUNCTION("""COMPUTED_VALUE"""),45831.6458333333)</f>
        <v>45831.6458333333</v>
      </c>
      <c r="D62" s="17">
        <f>IFERROR(__xludf.DUMMYFUNCTION("""COMPUTED_VALUE"""),8275)</f>
        <v>8275</v>
      </c>
      <c r="E62" s="16">
        <f>IFERROR(__xludf.DUMMYFUNCTION("""COMPUTED_VALUE"""),45831.6458333333)</f>
        <v>45831.6458333333</v>
      </c>
      <c r="F62" s="17">
        <f>IFERROR(__xludf.DUMMYFUNCTION("""COMPUTED_VALUE"""),271619)</f>
        <v>271619</v>
      </c>
      <c r="G62" s="16">
        <f>IFERROR(__xludf.DUMMYFUNCTION("""COMPUTED_VALUE"""),45831.6458333333)</f>
        <v>45831.6458333333</v>
      </c>
      <c r="H62" s="17">
        <f>IFERROR(__xludf.DUMMYFUNCTION("""COMPUTED_VALUE"""),8328.5)</f>
        <v>8328.5</v>
      </c>
      <c r="I62" s="16">
        <f>IFERROR(__xludf.DUMMYFUNCTION("""COMPUTED_VALUE"""),45831.6458333333)</f>
        <v>45831.6458333333</v>
      </c>
      <c r="J62" s="17">
        <f>IFERROR(__xludf.DUMMYFUNCTION("""COMPUTED_VALUE"""),8255)</f>
        <v>8255</v>
      </c>
      <c r="K62" s="3">
        <f t="shared" si="2"/>
        <v>0</v>
      </c>
      <c r="L62" s="3">
        <f t="shared" si="3"/>
        <v>8286.5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IFERROR(__xludf.DUMMYFUNCTION("""COMPUTED_VALUE"""),8377)</f>
        <v>8377</v>
      </c>
      <c r="C63" s="16">
        <f>IFERROR(__xludf.DUMMYFUNCTION("""COMPUTED_VALUE"""),45832.6458333333)</f>
        <v>45832.6458333333</v>
      </c>
      <c r="D63" s="17">
        <f>IFERROR(__xludf.DUMMYFUNCTION("""COMPUTED_VALUE"""),8363)</f>
        <v>8363</v>
      </c>
      <c r="E63" s="16">
        <f>IFERROR(__xludf.DUMMYFUNCTION("""COMPUTED_VALUE"""),45832.6458333333)</f>
        <v>45832.6458333333</v>
      </c>
      <c r="F63" s="17">
        <f>IFERROR(__xludf.DUMMYFUNCTION("""COMPUTED_VALUE"""),214129)</f>
        <v>214129</v>
      </c>
      <c r="G63" s="16">
        <f>IFERROR(__xludf.DUMMYFUNCTION("""COMPUTED_VALUE"""),45832.6458333333)</f>
        <v>45832.6458333333</v>
      </c>
      <c r="H63" s="17">
        <f>IFERROR(__xludf.DUMMYFUNCTION("""COMPUTED_VALUE"""),8424.5)</f>
        <v>8424.5</v>
      </c>
      <c r="I63" s="16">
        <f>IFERROR(__xludf.DUMMYFUNCTION("""COMPUTED_VALUE"""),45832.6458333333)</f>
        <v>45832.6458333333</v>
      </c>
      <c r="J63" s="17">
        <f>IFERROR(__xludf.DUMMYFUNCTION("""COMPUTED_VALUE"""),8331.5)</f>
        <v>8331.5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IFERROR(__xludf.DUMMYFUNCTION("""COMPUTED_VALUE"""),8389.5)</f>
        <v>8389.5</v>
      </c>
      <c r="C64" s="16">
        <f>IFERROR(__xludf.DUMMYFUNCTION("""COMPUTED_VALUE"""),45833.6458333333)</f>
        <v>45833.6458333333</v>
      </c>
      <c r="D64" s="17">
        <f>IFERROR(__xludf.DUMMYFUNCTION("""COMPUTED_VALUE"""),8407)</f>
        <v>8407</v>
      </c>
      <c r="E64" s="16">
        <f>IFERROR(__xludf.DUMMYFUNCTION("""COMPUTED_VALUE"""),45833.6458333333)</f>
        <v>45833.6458333333</v>
      </c>
      <c r="F64" s="17">
        <f>IFERROR(__xludf.DUMMYFUNCTION("""COMPUTED_VALUE"""),276176)</f>
        <v>276176</v>
      </c>
      <c r="G64" s="16">
        <f>IFERROR(__xludf.DUMMYFUNCTION("""COMPUTED_VALUE"""),45833.6458333333)</f>
        <v>45833.6458333333</v>
      </c>
      <c r="H64" s="17">
        <f>IFERROR(__xludf.DUMMYFUNCTION("""COMPUTED_VALUE"""),8437)</f>
        <v>8437</v>
      </c>
      <c r="I64" s="16">
        <f>IFERROR(__xludf.DUMMYFUNCTION("""COMPUTED_VALUE"""),45833.6458333333)</f>
        <v>45833.6458333333</v>
      </c>
      <c r="J64" s="17">
        <f>IFERROR(__xludf.DUMMYFUNCTION("""COMPUTED_VALUE"""),8371)</f>
        <v>8371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IFERROR(__xludf.DUMMYFUNCTION("""COMPUTED_VALUE"""),8433)</f>
        <v>8433</v>
      </c>
      <c r="C65" s="16">
        <f>IFERROR(__xludf.DUMMYFUNCTION("""COMPUTED_VALUE"""),45834.6458333333)</f>
        <v>45834.6458333333</v>
      </c>
      <c r="D65" s="17">
        <f>IFERROR(__xludf.DUMMYFUNCTION("""COMPUTED_VALUE"""),8370)</f>
        <v>8370</v>
      </c>
      <c r="E65" s="16">
        <f>IFERROR(__xludf.DUMMYFUNCTION("""COMPUTED_VALUE"""),45834.6458333333)</f>
        <v>45834.6458333333</v>
      </c>
      <c r="F65" s="17">
        <f>IFERROR(__xludf.DUMMYFUNCTION("""COMPUTED_VALUE"""),371685)</f>
        <v>371685</v>
      </c>
      <c r="G65" s="16">
        <f>IFERROR(__xludf.DUMMYFUNCTION("""COMPUTED_VALUE"""),45834.6458333333)</f>
        <v>45834.6458333333</v>
      </c>
      <c r="H65" s="17">
        <f>IFERROR(__xludf.DUMMYFUNCTION("""COMPUTED_VALUE"""),8465)</f>
        <v>8465</v>
      </c>
      <c r="I65" s="16">
        <f>IFERROR(__xludf.DUMMYFUNCTION("""COMPUTED_VALUE"""),45834.6458333333)</f>
        <v>45834.6458333333</v>
      </c>
      <c r="J65" s="17">
        <f>IFERROR(__xludf.DUMMYFUNCTION("""COMPUTED_VALUE"""),8361)</f>
        <v>8361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IFERROR(__xludf.DUMMYFUNCTION("""COMPUTED_VALUE"""),8436)</f>
        <v>8436</v>
      </c>
      <c r="C66" s="16">
        <f>IFERROR(__xludf.DUMMYFUNCTION("""COMPUTED_VALUE"""),45835.6458333333)</f>
        <v>45835.6458333333</v>
      </c>
      <c r="D66" s="17">
        <f>IFERROR(__xludf.DUMMYFUNCTION("""COMPUTED_VALUE"""),8468)</f>
        <v>8468</v>
      </c>
      <c r="E66" s="16">
        <f>IFERROR(__xludf.DUMMYFUNCTION("""COMPUTED_VALUE"""),45835.6458333333)</f>
        <v>45835.6458333333</v>
      </c>
      <c r="F66" s="17">
        <f>IFERROR(__xludf.DUMMYFUNCTION("""COMPUTED_VALUE"""),504248)</f>
        <v>504248</v>
      </c>
      <c r="G66" s="16">
        <f>IFERROR(__xludf.DUMMYFUNCTION("""COMPUTED_VALUE"""),45835.6458333333)</f>
        <v>45835.6458333333</v>
      </c>
      <c r="H66" s="17">
        <f>IFERROR(__xludf.DUMMYFUNCTION("""COMPUTED_VALUE"""),8507)</f>
        <v>8507</v>
      </c>
      <c r="I66" s="16">
        <f>IFERROR(__xludf.DUMMYFUNCTION("""COMPUTED_VALUE"""),45835.6458333333)</f>
        <v>45835.6458333333</v>
      </c>
      <c r="J66" s="17">
        <f>IFERROR(__xludf.DUMMYFUNCTION("""COMPUTED_VALUE"""),8414)</f>
        <v>8414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IFERROR(__xludf.DUMMYFUNCTION("""COMPUTED_VALUE"""),8376)</f>
        <v>8376</v>
      </c>
      <c r="C67" s="16">
        <f>IFERROR(__xludf.DUMMYFUNCTION("""COMPUTED_VALUE"""),45838.6458333333)</f>
        <v>45838.6458333333</v>
      </c>
      <c r="D67" s="17">
        <f>IFERROR(__xludf.DUMMYFUNCTION("""COMPUTED_VALUE"""),8470)</f>
        <v>8470</v>
      </c>
      <c r="E67" s="16">
        <f>IFERROR(__xludf.DUMMYFUNCTION("""COMPUTED_VALUE"""),45838.6458333333)</f>
        <v>45838.6458333333</v>
      </c>
      <c r="F67" s="17">
        <f>IFERROR(__xludf.DUMMYFUNCTION("""COMPUTED_VALUE"""),303799)</f>
        <v>303799</v>
      </c>
      <c r="G67" s="16">
        <f>IFERROR(__xludf.DUMMYFUNCTION("""COMPUTED_VALUE"""),45838.6458333333)</f>
        <v>45838.6458333333</v>
      </c>
      <c r="H67" s="17">
        <f>IFERROR(__xludf.DUMMYFUNCTION("""COMPUTED_VALUE"""),8496)</f>
        <v>8496</v>
      </c>
      <c r="I67" s="16">
        <f>IFERROR(__xludf.DUMMYFUNCTION("""COMPUTED_VALUE"""),45838.6458333333)</f>
        <v>45838.6458333333</v>
      </c>
      <c r="J67" s="17">
        <f>IFERROR(__xludf.DUMMYFUNCTION("""COMPUTED_VALUE"""),8360)</f>
        <v>8360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IFERROR(__xludf.DUMMYFUNCTION("""COMPUTED_VALUE"""),8399)</f>
        <v>8399</v>
      </c>
      <c r="C68" s="16">
        <f>IFERROR(__xludf.DUMMYFUNCTION("""COMPUTED_VALUE"""),45839.6458333333)</f>
        <v>45839.6458333333</v>
      </c>
      <c r="D68" s="17">
        <f>IFERROR(__xludf.DUMMYFUNCTION("""COMPUTED_VALUE"""),8370)</f>
        <v>8370</v>
      </c>
      <c r="E68" s="16">
        <f>IFERROR(__xludf.DUMMYFUNCTION("""COMPUTED_VALUE"""),45839.6458333333)</f>
        <v>45839.6458333333</v>
      </c>
      <c r="F68" s="17">
        <f>IFERROR(__xludf.DUMMYFUNCTION("""COMPUTED_VALUE"""),363782)</f>
        <v>363782</v>
      </c>
      <c r="G68" s="16">
        <f>IFERROR(__xludf.DUMMYFUNCTION("""COMPUTED_VALUE"""),45839.6458333333)</f>
        <v>45839.6458333333</v>
      </c>
      <c r="H68" s="17">
        <f>IFERROR(__xludf.DUMMYFUNCTION("""COMPUTED_VALUE"""),8409)</f>
        <v>8409</v>
      </c>
      <c r="I68" s="16">
        <f>IFERROR(__xludf.DUMMYFUNCTION("""COMPUTED_VALUE"""),45839.6458333333)</f>
        <v>45839.6458333333</v>
      </c>
      <c r="J68" s="17">
        <f>IFERROR(__xludf.DUMMYFUNCTION("""COMPUTED_VALUE"""),8300)</f>
        <v>8300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IFERROR(__xludf.DUMMYFUNCTION("""COMPUTED_VALUE"""),8356.5)</f>
        <v>8356.5</v>
      </c>
      <c r="C69" s="16">
        <f>IFERROR(__xludf.DUMMYFUNCTION("""COMPUTED_VALUE"""),45840.6458333333)</f>
        <v>45840.6458333333</v>
      </c>
      <c r="D69" s="17">
        <f>IFERROR(__xludf.DUMMYFUNCTION("""COMPUTED_VALUE"""),8350)</f>
        <v>8350</v>
      </c>
      <c r="E69" s="16">
        <f>IFERROR(__xludf.DUMMYFUNCTION("""COMPUTED_VALUE"""),45840.6458333333)</f>
        <v>45840.6458333333</v>
      </c>
      <c r="F69" s="17">
        <f>IFERROR(__xludf.DUMMYFUNCTION("""COMPUTED_VALUE"""),267604)</f>
        <v>267604</v>
      </c>
      <c r="G69" s="16">
        <f>IFERROR(__xludf.DUMMYFUNCTION("""COMPUTED_VALUE"""),45840.6458333333)</f>
        <v>45840.6458333333</v>
      </c>
      <c r="H69" s="17">
        <f>IFERROR(__xludf.DUMMYFUNCTION("""COMPUTED_VALUE"""),8409.5)</f>
        <v>8409.5</v>
      </c>
      <c r="I69" s="16">
        <f>IFERROR(__xludf.DUMMYFUNCTION("""COMPUTED_VALUE"""),45840.6458333333)</f>
        <v>45840.6458333333</v>
      </c>
      <c r="J69" s="17">
        <f>IFERROR(__xludf.DUMMYFUNCTION("""COMPUTED_VALUE"""),8314.5)</f>
        <v>8314.5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IFERROR(__xludf.DUMMYFUNCTION("""COMPUTED_VALUE"""),8382.5)</f>
        <v>8382.5</v>
      </c>
      <c r="C70" s="16">
        <f>IFERROR(__xludf.DUMMYFUNCTION("""COMPUTED_VALUE"""),45841.6458333333)</f>
        <v>45841.6458333333</v>
      </c>
      <c r="D70" s="17">
        <f>IFERROR(__xludf.DUMMYFUNCTION("""COMPUTED_VALUE"""),8378)</f>
        <v>8378</v>
      </c>
      <c r="E70" s="16">
        <f>IFERROR(__xludf.DUMMYFUNCTION("""COMPUTED_VALUE"""),45841.6458333333)</f>
        <v>45841.6458333333</v>
      </c>
      <c r="F70" s="17">
        <f>IFERROR(__xludf.DUMMYFUNCTION("""COMPUTED_VALUE"""),175619)</f>
        <v>175619</v>
      </c>
      <c r="G70" s="16">
        <f>IFERROR(__xludf.DUMMYFUNCTION("""COMPUTED_VALUE"""),45841.6458333333)</f>
        <v>45841.6458333333</v>
      </c>
      <c r="H70" s="17">
        <f>IFERROR(__xludf.DUMMYFUNCTION("""COMPUTED_VALUE"""),8464.5)</f>
        <v>8464.5</v>
      </c>
      <c r="I70" s="16">
        <f>IFERROR(__xludf.DUMMYFUNCTION("""COMPUTED_VALUE"""),45841.6458333333)</f>
        <v>45841.6458333333</v>
      </c>
      <c r="J70" s="17">
        <f>IFERROR(__xludf.DUMMYFUNCTION("""COMPUTED_VALUE"""),8350)</f>
        <v>8350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IFERROR(__xludf.DUMMYFUNCTION("""COMPUTED_VALUE"""),8433)</f>
        <v>8433</v>
      </c>
      <c r="C71" s="16">
        <f>IFERROR(__xludf.DUMMYFUNCTION("""COMPUTED_VALUE"""),45842.6458333333)</f>
        <v>45842.6458333333</v>
      </c>
      <c r="D71" s="17">
        <f>IFERROR(__xludf.DUMMYFUNCTION("""COMPUTED_VALUE"""),8382)</f>
        <v>8382</v>
      </c>
      <c r="E71" s="16">
        <f>IFERROR(__xludf.DUMMYFUNCTION("""COMPUTED_VALUE"""),45842.6458333333)</f>
        <v>45842.6458333333</v>
      </c>
      <c r="F71" s="17">
        <f>IFERROR(__xludf.DUMMYFUNCTION("""COMPUTED_VALUE"""),183720)</f>
        <v>183720</v>
      </c>
      <c r="G71" s="16">
        <f>IFERROR(__xludf.DUMMYFUNCTION("""COMPUTED_VALUE"""),45842.6458333333)</f>
        <v>45842.6458333333</v>
      </c>
      <c r="H71" s="17">
        <f>IFERROR(__xludf.DUMMYFUNCTION("""COMPUTED_VALUE"""),8450)</f>
        <v>8450</v>
      </c>
      <c r="I71" s="16">
        <f>IFERROR(__xludf.DUMMYFUNCTION("""COMPUTED_VALUE"""),45842.6458333333)</f>
        <v>45842.6458333333</v>
      </c>
      <c r="J71" s="17">
        <f>IFERROR(__xludf.DUMMYFUNCTION("""COMPUTED_VALUE"""),8364.5)</f>
        <v>8364.5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IFERROR(__xludf.DUMMYFUNCTION("""COMPUTED_VALUE"""),8463.5)</f>
        <v>8463.5</v>
      </c>
      <c r="C72" s="16">
        <f>IFERROR(__xludf.DUMMYFUNCTION("""COMPUTED_VALUE"""),45845.6458333333)</f>
        <v>45845.6458333333</v>
      </c>
      <c r="D72" s="17">
        <f>IFERROR(__xludf.DUMMYFUNCTION("""COMPUTED_VALUE"""),8433)</f>
        <v>8433</v>
      </c>
      <c r="E72" s="16">
        <f>IFERROR(__xludf.DUMMYFUNCTION("""COMPUTED_VALUE"""),45845.6458333333)</f>
        <v>45845.6458333333</v>
      </c>
      <c r="F72" s="17">
        <f>IFERROR(__xludf.DUMMYFUNCTION("""COMPUTED_VALUE"""),123117)</f>
        <v>123117</v>
      </c>
      <c r="G72" s="16">
        <f>IFERROR(__xludf.DUMMYFUNCTION("""COMPUTED_VALUE"""),45845.6458333333)</f>
        <v>45845.6458333333</v>
      </c>
      <c r="H72" s="17">
        <f>IFERROR(__xludf.DUMMYFUNCTION("""COMPUTED_VALUE"""),8484)</f>
        <v>8484</v>
      </c>
      <c r="I72" s="16">
        <f>IFERROR(__xludf.DUMMYFUNCTION("""COMPUTED_VALUE"""),45845.6458333333)</f>
        <v>45845.6458333333</v>
      </c>
      <c r="J72" s="17">
        <f>IFERROR(__xludf.DUMMYFUNCTION("""COMPUTED_VALUE"""),8404)</f>
        <v>8404</v>
      </c>
      <c r="K72" s="3">
        <f t="shared" si="2"/>
        <v>8463.5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IFERROR(__xludf.DUMMYFUNCTION("""COMPUTED_VALUE"""),8339.5)</f>
        <v>8339.5</v>
      </c>
      <c r="C73" s="16">
        <f>IFERROR(__xludf.DUMMYFUNCTION("""COMPUTED_VALUE"""),45846.6458333333)</f>
        <v>45846.6458333333</v>
      </c>
      <c r="D73" s="17">
        <f>IFERROR(__xludf.DUMMYFUNCTION("""COMPUTED_VALUE"""),8463)</f>
        <v>8463</v>
      </c>
      <c r="E73" s="16">
        <f>IFERROR(__xludf.DUMMYFUNCTION("""COMPUTED_VALUE"""),45846.6458333333)</f>
        <v>45846.6458333333</v>
      </c>
      <c r="F73" s="17">
        <f>IFERROR(__xludf.DUMMYFUNCTION("""COMPUTED_VALUE"""),253579)</f>
        <v>253579</v>
      </c>
      <c r="G73" s="16">
        <f>IFERROR(__xludf.DUMMYFUNCTION("""COMPUTED_VALUE"""),45846.6458333333)</f>
        <v>45846.6458333333</v>
      </c>
      <c r="H73" s="17">
        <f>IFERROR(__xludf.DUMMYFUNCTION("""COMPUTED_VALUE"""),8474)</f>
        <v>8474</v>
      </c>
      <c r="I73" s="16">
        <f>IFERROR(__xludf.DUMMYFUNCTION("""COMPUTED_VALUE"""),45846.6458333333)</f>
        <v>45846.6458333333</v>
      </c>
      <c r="J73" s="17">
        <f>IFERROR(__xludf.DUMMYFUNCTION("""COMPUTED_VALUE"""),8291)</f>
        <v>8291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IFERROR(__xludf.DUMMYFUNCTION("""COMPUTED_VALUE"""),8361)</f>
        <v>8361</v>
      </c>
      <c r="C74" s="16">
        <f>IFERROR(__xludf.DUMMYFUNCTION("""COMPUTED_VALUE"""),45847.6458333333)</f>
        <v>45847.6458333333</v>
      </c>
      <c r="D74" s="17">
        <f>IFERROR(__xludf.DUMMYFUNCTION("""COMPUTED_VALUE"""),8350)</f>
        <v>8350</v>
      </c>
      <c r="E74" s="16">
        <f>IFERROR(__xludf.DUMMYFUNCTION("""COMPUTED_VALUE"""),45847.6458333333)</f>
        <v>45847.6458333333</v>
      </c>
      <c r="F74" s="17">
        <f>IFERROR(__xludf.DUMMYFUNCTION("""COMPUTED_VALUE"""),157280)</f>
        <v>157280</v>
      </c>
      <c r="G74" s="16">
        <f>IFERROR(__xludf.DUMMYFUNCTION("""COMPUTED_VALUE"""),45847.6458333333)</f>
        <v>45847.6458333333</v>
      </c>
      <c r="H74" s="17">
        <f>IFERROR(__xludf.DUMMYFUNCTION("""COMPUTED_VALUE"""),8376)</f>
        <v>8376</v>
      </c>
      <c r="I74" s="16">
        <f>IFERROR(__xludf.DUMMYFUNCTION("""COMPUTED_VALUE"""),45847.6458333333)</f>
        <v>45847.6458333333</v>
      </c>
      <c r="J74" s="17">
        <f>IFERROR(__xludf.DUMMYFUNCTION("""COMPUTED_VALUE"""),8310.5)</f>
        <v>8310.5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IFERROR(__xludf.DUMMYFUNCTION("""COMPUTED_VALUE"""),8285)</f>
        <v>8285</v>
      </c>
      <c r="C75" s="16">
        <f>IFERROR(__xludf.DUMMYFUNCTION("""COMPUTED_VALUE"""),45848.6458333333)</f>
        <v>45848.6458333333</v>
      </c>
      <c r="D75" s="17">
        <f>IFERROR(__xludf.DUMMYFUNCTION("""COMPUTED_VALUE"""),8394)</f>
        <v>8394</v>
      </c>
      <c r="E75" s="16">
        <f>IFERROR(__xludf.DUMMYFUNCTION("""COMPUTED_VALUE"""),45848.6458333333)</f>
        <v>45848.6458333333</v>
      </c>
      <c r="F75" s="17">
        <f>IFERROR(__xludf.DUMMYFUNCTION("""COMPUTED_VALUE"""),229552)</f>
        <v>229552</v>
      </c>
      <c r="G75" s="16">
        <f>IFERROR(__xludf.DUMMYFUNCTION("""COMPUTED_VALUE"""),45848.6458333333)</f>
        <v>45848.6458333333</v>
      </c>
      <c r="H75" s="17">
        <f>IFERROR(__xludf.DUMMYFUNCTION("""COMPUTED_VALUE"""),8394)</f>
        <v>8394</v>
      </c>
      <c r="I75" s="16">
        <f>IFERROR(__xludf.DUMMYFUNCTION("""COMPUTED_VALUE"""),45848.6458333333)</f>
        <v>45848.6458333333</v>
      </c>
      <c r="J75" s="17">
        <f>IFERROR(__xludf.DUMMYFUNCTION("""COMPUTED_VALUE"""),8268)</f>
        <v>8268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IFERROR(__xludf.DUMMYFUNCTION("""COMPUTED_VALUE"""),8067)</f>
        <v>8067</v>
      </c>
      <c r="C76" s="16">
        <f>IFERROR(__xludf.DUMMYFUNCTION("""COMPUTED_VALUE"""),45849.6458333333)</f>
        <v>45849.6458333333</v>
      </c>
      <c r="D76" s="17">
        <f>IFERROR(__xludf.DUMMYFUNCTION("""COMPUTED_VALUE"""),8285.5)</f>
        <v>8285.5</v>
      </c>
      <c r="E76" s="16">
        <f>IFERROR(__xludf.DUMMYFUNCTION("""COMPUTED_VALUE"""),45849.6458333333)</f>
        <v>45849.6458333333</v>
      </c>
      <c r="F76" s="17">
        <f>IFERROR(__xludf.DUMMYFUNCTION("""COMPUTED_VALUE"""),539579)</f>
        <v>539579</v>
      </c>
      <c r="G76" s="16">
        <f>IFERROR(__xludf.DUMMYFUNCTION("""COMPUTED_VALUE"""),45849.6458333333)</f>
        <v>45849.6458333333</v>
      </c>
      <c r="H76" s="17">
        <f>IFERROR(__xludf.DUMMYFUNCTION("""COMPUTED_VALUE"""),8300)</f>
        <v>8300</v>
      </c>
      <c r="I76" s="16">
        <f>IFERROR(__xludf.DUMMYFUNCTION("""COMPUTED_VALUE"""),45849.6458333333)</f>
        <v>45849.6458333333</v>
      </c>
      <c r="J76" s="17">
        <f>IFERROR(__xludf.DUMMYFUNCTION("""COMPUTED_VALUE"""),8045.5)</f>
        <v>8045.5</v>
      </c>
      <c r="K76" s="3">
        <f t="shared" si="2"/>
        <v>0</v>
      </c>
      <c r="L76" s="3">
        <f t="shared" si="3"/>
        <v>8067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IFERROR(__xludf.DUMMYFUNCTION("""COMPUTED_VALUE"""),8087.5)</f>
        <v>8087.5</v>
      </c>
      <c r="C77" s="16">
        <f>IFERROR(__xludf.DUMMYFUNCTION("""COMPUTED_VALUE"""),45852.6458333333)</f>
        <v>45852.6458333333</v>
      </c>
      <c r="D77" s="17">
        <f>IFERROR(__xludf.DUMMYFUNCTION("""COMPUTED_VALUE"""),8090)</f>
        <v>8090</v>
      </c>
      <c r="E77" s="16">
        <f>IFERROR(__xludf.DUMMYFUNCTION("""COMPUTED_VALUE"""),45852.6458333333)</f>
        <v>45852.6458333333</v>
      </c>
      <c r="F77" s="17">
        <f>IFERROR(__xludf.DUMMYFUNCTION("""COMPUTED_VALUE"""),248351)</f>
        <v>248351</v>
      </c>
      <c r="G77" s="16">
        <f>IFERROR(__xludf.DUMMYFUNCTION("""COMPUTED_VALUE"""),45852.6458333333)</f>
        <v>45852.6458333333</v>
      </c>
      <c r="H77" s="17">
        <f>IFERROR(__xludf.DUMMYFUNCTION("""COMPUTED_VALUE"""),8120)</f>
        <v>8120</v>
      </c>
      <c r="I77" s="16">
        <f>IFERROR(__xludf.DUMMYFUNCTION("""COMPUTED_VALUE"""),45852.6458333333)</f>
        <v>45852.6458333333</v>
      </c>
      <c r="J77" s="17">
        <f>IFERROR(__xludf.DUMMYFUNCTION("""COMPUTED_VALUE"""),8035.5)</f>
        <v>8035.5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IFERROR(__xludf.DUMMYFUNCTION("""COMPUTED_VALUE"""),8311)</f>
        <v>8311</v>
      </c>
      <c r="C78" s="16">
        <f>IFERROR(__xludf.DUMMYFUNCTION("""COMPUTED_VALUE"""),45853.6458333333)</f>
        <v>45853.6458333333</v>
      </c>
      <c r="D78" s="17">
        <f>IFERROR(__xludf.DUMMYFUNCTION("""COMPUTED_VALUE"""),8128)</f>
        <v>8128</v>
      </c>
      <c r="E78" s="16">
        <f>IFERROR(__xludf.DUMMYFUNCTION("""COMPUTED_VALUE"""),45853.6458333333)</f>
        <v>45853.6458333333</v>
      </c>
      <c r="F78" s="17">
        <f>IFERROR(__xludf.DUMMYFUNCTION("""COMPUTED_VALUE"""),366546)</f>
        <v>366546</v>
      </c>
      <c r="G78" s="16">
        <f>IFERROR(__xludf.DUMMYFUNCTION("""COMPUTED_VALUE"""),45853.6458333333)</f>
        <v>45853.6458333333</v>
      </c>
      <c r="H78" s="17">
        <f>IFERROR(__xludf.DUMMYFUNCTION("""COMPUTED_VALUE"""),8326)</f>
        <v>8326</v>
      </c>
      <c r="I78" s="16">
        <f>IFERROR(__xludf.DUMMYFUNCTION("""COMPUTED_VALUE"""),45853.6458333333)</f>
        <v>45853.6458333333</v>
      </c>
      <c r="J78" s="17">
        <f>IFERROR(__xludf.DUMMYFUNCTION("""COMPUTED_VALUE"""),8090)</f>
        <v>8090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IFERROR(__xludf.DUMMYFUNCTION("""COMPUTED_VALUE"""),8302.5)</f>
        <v>8302.5</v>
      </c>
      <c r="C79" s="16">
        <f>IFERROR(__xludf.DUMMYFUNCTION("""COMPUTED_VALUE"""),45854.6458333333)</f>
        <v>45854.6458333333</v>
      </c>
      <c r="D79" s="17">
        <f>IFERROR(__xludf.DUMMYFUNCTION("""COMPUTED_VALUE"""),8311)</f>
        <v>8311</v>
      </c>
      <c r="E79" s="16">
        <f>IFERROR(__xludf.DUMMYFUNCTION("""COMPUTED_VALUE"""),45854.6458333333)</f>
        <v>45854.6458333333</v>
      </c>
      <c r="F79" s="17">
        <f>IFERROR(__xludf.DUMMYFUNCTION("""COMPUTED_VALUE"""),275493)</f>
        <v>275493</v>
      </c>
      <c r="G79" s="16">
        <f>IFERROR(__xludf.DUMMYFUNCTION("""COMPUTED_VALUE"""),45854.6458333333)</f>
        <v>45854.6458333333</v>
      </c>
      <c r="H79" s="17">
        <f>IFERROR(__xludf.DUMMYFUNCTION("""COMPUTED_VALUE"""),8345)</f>
        <v>8345</v>
      </c>
      <c r="I79" s="16">
        <f>IFERROR(__xludf.DUMMYFUNCTION("""COMPUTED_VALUE"""),45854.6458333333)</f>
        <v>45854.6458333333</v>
      </c>
      <c r="J79" s="17">
        <f>IFERROR(__xludf.DUMMYFUNCTION("""COMPUTED_VALUE"""),8184.5)</f>
        <v>8184.5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IFERROR(__xludf.DUMMYFUNCTION("""COMPUTED_VALUE"""),8330)</f>
        <v>8330</v>
      </c>
      <c r="C80" s="16">
        <f>IFERROR(__xludf.DUMMYFUNCTION("""COMPUTED_VALUE"""),45855.6458333333)</f>
        <v>45855.6458333333</v>
      </c>
      <c r="D80" s="17">
        <f>IFERROR(__xludf.DUMMYFUNCTION("""COMPUTED_VALUE"""),8278.5)</f>
        <v>8278.5</v>
      </c>
      <c r="E80" s="16">
        <f>IFERROR(__xludf.DUMMYFUNCTION("""COMPUTED_VALUE"""),45855.6458333333)</f>
        <v>45855.6458333333</v>
      </c>
      <c r="F80" s="17">
        <f>IFERROR(__xludf.DUMMYFUNCTION("""COMPUTED_VALUE"""),249880)</f>
        <v>249880</v>
      </c>
      <c r="G80" s="16">
        <f>IFERROR(__xludf.DUMMYFUNCTION("""COMPUTED_VALUE"""),45855.6458333333)</f>
        <v>45855.6458333333</v>
      </c>
      <c r="H80" s="17">
        <f>IFERROR(__xludf.DUMMYFUNCTION("""COMPUTED_VALUE"""),8355)</f>
        <v>8355</v>
      </c>
      <c r="I80" s="16">
        <f>IFERROR(__xludf.DUMMYFUNCTION("""COMPUTED_VALUE"""),45855.6458333333)</f>
        <v>45855.6458333333</v>
      </c>
      <c r="J80" s="17">
        <f>IFERROR(__xludf.DUMMYFUNCTION("""COMPUTED_VALUE"""),8262.5)</f>
        <v>8262.5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IFERROR(__xludf.DUMMYFUNCTION("""COMPUTED_VALUE"""),8347.5)</f>
        <v>8347.5</v>
      </c>
      <c r="C81" s="16">
        <f>IFERROR(__xludf.DUMMYFUNCTION("""COMPUTED_VALUE"""),45856.6458333333)</f>
        <v>45856.6458333333</v>
      </c>
      <c r="D81" s="17">
        <f>IFERROR(__xludf.DUMMYFUNCTION("""COMPUTED_VALUE"""),8305)</f>
        <v>8305</v>
      </c>
      <c r="E81" s="16">
        <f>IFERROR(__xludf.DUMMYFUNCTION("""COMPUTED_VALUE"""),45856.6458333333)</f>
        <v>45856.6458333333</v>
      </c>
      <c r="F81" s="17">
        <f>IFERROR(__xludf.DUMMYFUNCTION("""COMPUTED_VALUE"""),268313)</f>
        <v>268313</v>
      </c>
      <c r="G81" s="16">
        <f>IFERROR(__xludf.DUMMYFUNCTION("""COMPUTED_VALUE"""),45856.6458333333)</f>
        <v>45856.6458333333</v>
      </c>
      <c r="H81" s="17">
        <f>IFERROR(__xludf.DUMMYFUNCTION("""COMPUTED_VALUE"""),8365)</f>
        <v>8365</v>
      </c>
      <c r="I81" s="16">
        <f>IFERROR(__xludf.DUMMYFUNCTION("""COMPUTED_VALUE"""),45856.6458333333)</f>
        <v>45856.6458333333</v>
      </c>
      <c r="J81" s="17">
        <f>IFERROR(__xludf.DUMMYFUNCTION("""COMPUTED_VALUE"""),8305)</f>
        <v>8305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IFERROR(__xludf.DUMMYFUNCTION("""COMPUTED_VALUE"""),8438.5)</f>
        <v>8438.5</v>
      </c>
      <c r="C82" s="16">
        <f>IFERROR(__xludf.DUMMYFUNCTION("""COMPUTED_VALUE"""),45859.6458333333)</f>
        <v>45859.6458333333</v>
      </c>
      <c r="D82" s="17">
        <f>IFERROR(__xludf.DUMMYFUNCTION("""COMPUTED_VALUE"""),8306)</f>
        <v>8306</v>
      </c>
      <c r="E82" s="16">
        <f>IFERROR(__xludf.DUMMYFUNCTION("""COMPUTED_VALUE"""),45859.6458333333)</f>
        <v>45859.6458333333</v>
      </c>
      <c r="F82" s="17">
        <f>IFERROR(__xludf.DUMMYFUNCTION("""COMPUTED_VALUE"""),253964)</f>
        <v>253964</v>
      </c>
      <c r="G82" s="16">
        <f>IFERROR(__xludf.DUMMYFUNCTION("""COMPUTED_VALUE"""),45859.6458333333)</f>
        <v>45859.6458333333</v>
      </c>
      <c r="H82" s="17">
        <f>IFERROR(__xludf.DUMMYFUNCTION("""COMPUTED_VALUE"""),8450)</f>
        <v>8450</v>
      </c>
      <c r="I82" s="16">
        <f>IFERROR(__xludf.DUMMYFUNCTION("""COMPUTED_VALUE"""),45859.6458333333)</f>
        <v>45859.6458333333</v>
      </c>
      <c r="J82" s="17">
        <f>IFERROR(__xludf.DUMMYFUNCTION("""COMPUTED_VALUE"""),8306)</f>
        <v>8306</v>
      </c>
      <c r="K82" s="3">
        <f t="shared" si="2"/>
        <v>8438.5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IFERROR(__xludf.DUMMYFUNCTION("""COMPUTED_VALUE"""),8295)</f>
        <v>8295</v>
      </c>
      <c r="C83" s="16">
        <f>IFERROR(__xludf.DUMMYFUNCTION("""COMPUTED_VALUE"""),45860.6458333333)</f>
        <v>45860.6458333333</v>
      </c>
      <c r="D83" s="17">
        <f>IFERROR(__xludf.DUMMYFUNCTION("""COMPUTED_VALUE"""),8470)</f>
        <v>8470</v>
      </c>
      <c r="E83" s="16">
        <f>IFERROR(__xludf.DUMMYFUNCTION("""COMPUTED_VALUE"""),45860.6458333333)</f>
        <v>45860.6458333333</v>
      </c>
      <c r="F83" s="17">
        <f>IFERROR(__xludf.DUMMYFUNCTION("""COMPUTED_VALUE"""),302466)</f>
        <v>302466</v>
      </c>
      <c r="G83" s="16">
        <f>IFERROR(__xludf.DUMMYFUNCTION("""COMPUTED_VALUE"""),45860.6458333333)</f>
        <v>45860.6458333333</v>
      </c>
      <c r="H83" s="17">
        <f>IFERROR(__xludf.DUMMYFUNCTION("""COMPUTED_VALUE"""),8470)</f>
        <v>8470</v>
      </c>
      <c r="I83" s="16">
        <f>IFERROR(__xludf.DUMMYFUNCTION("""COMPUTED_VALUE"""),45860.6458333333)</f>
        <v>45860.6458333333</v>
      </c>
      <c r="J83" s="17">
        <f>IFERROR(__xludf.DUMMYFUNCTION("""COMPUTED_VALUE"""),8277)</f>
        <v>8277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IFERROR(__xludf.DUMMYFUNCTION("""COMPUTED_VALUE"""),8397)</f>
        <v>8397</v>
      </c>
      <c r="C84" s="16">
        <f>IFERROR(__xludf.DUMMYFUNCTION("""COMPUTED_VALUE"""),45861.6458333333)</f>
        <v>45861.6458333333</v>
      </c>
      <c r="D84" s="17">
        <f>IFERROR(__xludf.DUMMYFUNCTION("""COMPUTED_VALUE"""),8313.5)</f>
        <v>8313.5</v>
      </c>
      <c r="E84" s="16">
        <f>IFERROR(__xludf.DUMMYFUNCTION("""COMPUTED_VALUE"""),45861.6458333333)</f>
        <v>45861.6458333333</v>
      </c>
      <c r="F84" s="17">
        <f>IFERROR(__xludf.DUMMYFUNCTION("""COMPUTED_VALUE"""),194644)</f>
        <v>194644</v>
      </c>
      <c r="G84" s="16">
        <f>IFERROR(__xludf.DUMMYFUNCTION("""COMPUTED_VALUE"""),45861.6458333333)</f>
        <v>45861.6458333333</v>
      </c>
      <c r="H84" s="17">
        <f>IFERROR(__xludf.DUMMYFUNCTION("""COMPUTED_VALUE"""),8405)</f>
        <v>8405</v>
      </c>
      <c r="I84" s="16">
        <f>IFERROR(__xludf.DUMMYFUNCTION("""COMPUTED_VALUE"""),45861.6458333333)</f>
        <v>45861.6458333333</v>
      </c>
      <c r="J84" s="17">
        <f>IFERROR(__xludf.DUMMYFUNCTION("""COMPUTED_VALUE"""),8290.5)</f>
        <v>8290.5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IFERROR(__xludf.DUMMYFUNCTION("""COMPUTED_VALUE"""),8288.5)</f>
        <v>8288.5</v>
      </c>
      <c r="C85" s="16">
        <f>IFERROR(__xludf.DUMMYFUNCTION("""COMPUTED_VALUE"""),45862.6458333333)</f>
        <v>45862.6458333333</v>
      </c>
      <c r="D85" s="17">
        <f>IFERROR(__xludf.DUMMYFUNCTION("""COMPUTED_VALUE"""),8409.5)</f>
        <v>8409.5</v>
      </c>
      <c r="E85" s="16">
        <f>IFERROR(__xludf.DUMMYFUNCTION("""COMPUTED_VALUE"""),45862.6458333333)</f>
        <v>45862.6458333333</v>
      </c>
      <c r="F85" s="17">
        <f>IFERROR(__xludf.DUMMYFUNCTION("""COMPUTED_VALUE"""),298692)</f>
        <v>298692</v>
      </c>
      <c r="G85" s="16">
        <f>IFERROR(__xludf.DUMMYFUNCTION("""COMPUTED_VALUE"""),45862.6458333333)</f>
        <v>45862.6458333333</v>
      </c>
      <c r="H85" s="17">
        <f>IFERROR(__xludf.DUMMYFUNCTION("""COMPUTED_VALUE"""),8435)</f>
        <v>8435</v>
      </c>
      <c r="I85" s="16">
        <f>IFERROR(__xludf.DUMMYFUNCTION("""COMPUTED_VALUE"""),45862.6458333333)</f>
        <v>45862.6458333333</v>
      </c>
      <c r="J85" s="17">
        <f>IFERROR(__xludf.DUMMYFUNCTION("""COMPUTED_VALUE"""),8276)</f>
        <v>8276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IFERROR(__xludf.DUMMYFUNCTION("""COMPUTED_VALUE"""),8075.5)</f>
        <v>8075.5</v>
      </c>
      <c r="C86" s="16">
        <f>IFERROR(__xludf.DUMMYFUNCTION("""COMPUTED_VALUE"""),45863.6458333333)</f>
        <v>45863.6458333333</v>
      </c>
      <c r="D86" s="17">
        <f>IFERROR(__xludf.DUMMYFUNCTION("""COMPUTED_VALUE"""),8275)</f>
        <v>8275</v>
      </c>
      <c r="E86" s="16">
        <f>IFERROR(__xludf.DUMMYFUNCTION("""COMPUTED_VALUE"""),45863.6458333333)</f>
        <v>45863.6458333333</v>
      </c>
      <c r="F86" s="17">
        <f>IFERROR(__xludf.DUMMYFUNCTION("""COMPUTED_VALUE"""),554118)</f>
        <v>554118</v>
      </c>
      <c r="G86" s="16">
        <f>IFERROR(__xludf.DUMMYFUNCTION("""COMPUTED_VALUE"""),45863.6458333333)</f>
        <v>45863.6458333333</v>
      </c>
      <c r="H86" s="17">
        <f>IFERROR(__xludf.DUMMYFUNCTION("""COMPUTED_VALUE"""),8280)</f>
        <v>8280</v>
      </c>
      <c r="I86" s="16">
        <f>IFERROR(__xludf.DUMMYFUNCTION("""COMPUTED_VALUE"""),45863.6458333333)</f>
        <v>45863.6458333333</v>
      </c>
      <c r="J86" s="17">
        <f>IFERROR(__xludf.DUMMYFUNCTION("""COMPUTED_VALUE"""),8044.5)</f>
        <v>8044.5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IFERROR(__xludf.DUMMYFUNCTION("""COMPUTED_VALUE"""),8089.5)</f>
        <v>8089.5</v>
      </c>
      <c r="C87" s="16">
        <f>IFERROR(__xludf.DUMMYFUNCTION("""COMPUTED_VALUE"""),45866.6458333333)</f>
        <v>45866.6458333333</v>
      </c>
      <c r="D87" s="17">
        <f>IFERROR(__xludf.DUMMYFUNCTION("""COMPUTED_VALUE"""),8075.5)</f>
        <v>8075.5</v>
      </c>
      <c r="E87" s="16">
        <f>IFERROR(__xludf.DUMMYFUNCTION("""COMPUTED_VALUE"""),45866.6458333333)</f>
        <v>45866.6458333333</v>
      </c>
      <c r="F87" s="17">
        <f>IFERROR(__xludf.DUMMYFUNCTION("""COMPUTED_VALUE"""),232171)</f>
        <v>232171</v>
      </c>
      <c r="G87" s="16">
        <f>IFERROR(__xludf.DUMMYFUNCTION("""COMPUTED_VALUE"""),45866.6458333333)</f>
        <v>45866.6458333333</v>
      </c>
      <c r="H87" s="17">
        <f>IFERROR(__xludf.DUMMYFUNCTION("""COMPUTED_VALUE"""),8158)</f>
        <v>8158</v>
      </c>
      <c r="I87" s="16">
        <f>IFERROR(__xludf.DUMMYFUNCTION("""COMPUTED_VALUE"""),45866.6458333333)</f>
        <v>45866.6458333333</v>
      </c>
      <c r="J87" s="17">
        <f>IFERROR(__xludf.DUMMYFUNCTION("""COMPUTED_VALUE"""),8075)</f>
        <v>8075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IFERROR(__xludf.DUMMYFUNCTION("""COMPUTED_VALUE"""),8127.5)</f>
        <v>8127.5</v>
      </c>
      <c r="C88" s="16">
        <f>IFERROR(__xludf.DUMMYFUNCTION("""COMPUTED_VALUE"""),45867.6458333333)</f>
        <v>45867.6458333333</v>
      </c>
      <c r="D88" s="17">
        <f>IFERROR(__xludf.DUMMYFUNCTION("""COMPUTED_VALUE"""),8089.5)</f>
        <v>8089.5</v>
      </c>
      <c r="E88" s="16">
        <f>IFERROR(__xludf.DUMMYFUNCTION("""COMPUTED_VALUE"""),45867.6458333333)</f>
        <v>45867.6458333333</v>
      </c>
      <c r="F88" s="17">
        <f>IFERROR(__xludf.DUMMYFUNCTION("""COMPUTED_VALUE"""),209998)</f>
        <v>209998</v>
      </c>
      <c r="G88" s="16">
        <f>IFERROR(__xludf.DUMMYFUNCTION("""COMPUTED_VALUE"""),45867.6458333333)</f>
        <v>45867.6458333333</v>
      </c>
      <c r="H88" s="17">
        <f>IFERROR(__xludf.DUMMYFUNCTION("""COMPUTED_VALUE"""),8146)</f>
        <v>8146</v>
      </c>
      <c r="I88" s="16">
        <f>IFERROR(__xludf.DUMMYFUNCTION("""COMPUTED_VALUE"""),45867.6458333333)</f>
        <v>45867.6458333333</v>
      </c>
      <c r="J88" s="17">
        <f>IFERROR(__xludf.DUMMYFUNCTION("""COMPUTED_VALUE"""),8056)</f>
        <v>8056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IFERROR(__xludf.DUMMYFUNCTION("""COMPUTED_VALUE"""),8043.5)</f>
        <v>8043.5</v>
      </c>
      <c r="C89" s="16">
        <f>IFERROR(__xludf.DUMMYFUNCTION("""COMPUTED_VALUE"""),45868.6458333333)</f>
        <v>45868.6458333333</v>
      </c>
      <c r="D89" s="17">
        <f>IFERROR(__xludf.DUMMYFUNCTION("""COMPUTED_VALUE"""),8090.5)</f>
        <v>8090.5</v>
      </c>
      <c r="E89" s="16">
        <f>IFERROR(__xludf.DUMMYFUNCTION("""COMPUTED_VALUE"""),45868.6458333333)</f>
        <v>45868.6458333333</v>
      </c>
      <c r="F89" s="17">
        <f>IFERROR(__xludf.DUMMYFUNCTION("""COMPUTED_VALUE"""),222804)</f>
        <v>222804</v>
      </c>
      <c r="G89" s="16">
        <f>IFERROR(__xludf.DUMMYFUNCTION("""COMPUTED_VALUE"""),45868.6458333333)</f>
        <v>45868.6458333333</v>
      </c>
      <c r="H89" s="17">
        <f>IFERROR(__xludf.DUMMYFUNCTION("""COMPUTED_VALUE"""),8132.5)</f>
        <v>8132.5</v>
      </c>
      <c r="I89" s="16">
        <f>IFERROR(__xludf.DUMMYFUNCTION("""COMPUTED_VALUE"""),45868.6458333333)</f>
        <v>45868.6458333333</v>
      </c>
      <c r="J89" s="17">
        <f>IFERROR(__xludf.DUMMYFUNCTION("""COMPUTED_VALUE"""),8025)</f>
        <v>8025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IFERROR(__xludf.DUMMYFUNCTION("""COMPUTED_VALUE"""),8008)</f>
        <v>8008</v>
      </c>
      <c r="C90" s="16">
        <f>IFERROR(__xludf.DUMMYFUNCTION("""COMPUTED_VALUE"""),45869.6458333333)</f>
        <v>45869.6458333333</v>
      </c>
      <c r="D90" s="17">
        <f>IFERROR(__xludf.DUMMYFUNCTION("""COMPUTED_VALUE"""),7990)</f>
        <v>7990</v>
      </c>
      <c r="E90" s="16">
        <f>IFERROR(__xludf.DUMMYFUNCTION("""COMPUTED_VALUE"""),45869.6458333333)</f>
        <v>45869.6458333333</v>
      </c>
      <c r="F90" s="17">
        <f>IFERROR(__xludf.DUMMYFUNCTION("""COMPUTED_VALUE"""),297025)</f>
        <v>297025</v>
      </c>
      <c r="G90" s="16">
        <f>IFERROR(__xludf.DUMMYFUNCTION("""COMPUTED_VALUE"""),45869.6458333333)</f>
        <v>45869.6458333333</v>
      </c>
      <c r="H90" s="17">
        <f>IFERROR(__xludf.DUMMYFUNCTION("""COMPUTED_VALUE"""),8094)</f>
        <v>8094</v>
      </c>
      <c r="I90" s="16">
        <f>IFERROR(__xludf.DUMMYFUNCTION("""COMPUTED_VALUE"""),45869.6458333333)</f>
        <v>45869.6458333333</v>
      </c>
      <c r="J90" s="17">
        <f>IFERROR(__xludf.DUMMYFUNCTION("""COMPUTED_VALUE"""),7930.5)</f>
        <v>7930.5</v>
      </c>
      <c r="K90" s="3">
        <f t="shared" si="2"/>
        <v>0</v>
      </c>
      <c r="L90" s="3">
        <f t="shared" si="3"/>
        <v>8008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IFERROR(__xludf.DUMMYFUNCTION("""COMPUTED_VALUE"""),8044.5)</f>
        <v>8044.5</v>
      </c>
      <c r="C91" s="16">
        <f>IFERROR(__xludf.DUMMYFUNCTION("""COMPUTED_VALUE"""),45870.6458333333)</f>
        <v>45870.6458333333</v>
      </c>
      <c r="D91" s="17">
        <f>IFERROR(__xludf.DUMMYFUNCTION("""COMPUTED_VALUE"""),8008)</f>
        <v>8008</v>
      </c>
      <c r="E91" s="16">
        <f>IFERROR(__xludf.DUMMYFUNCTION("""COMPUTED_VALUE"""),45870.6458333333)</f>
        <v>45870.6458333333</v>
      </c>
      <c r="F91" s="17">
        <f>IFERROR(__xludf.DUMMYFUNCTION("""COMPUTED_VALUE"""),329818)</f>
        <v>329818</v>
      </c>
      <c r="G91" s="16">
        <f>IFERROR(__xludf.DUMMYFUNCTION("""COMPUTED_VALUE"""),45870.6458333333)</f>
        <v>45870.6458333333</v>
      </c>
      <c r="H91" s="17">
        <f>IFERROR(__xludf.DUMMYFUNCTION("""COMPUTED_VALUE"""),8091)</f>
        <v>8091</v>
      </c>
      <c r="I91" s="16">
        <f>IFERROR(__xludf.DUMMYFUNCTION("""COMPUTED_VALUE"""),45870.6458333333)</f>
        <v>45870.6458333333</v>
      </c>
      <c r="J91" s="17">
        <f>IFERROR(__xludf.DUMMYFUNCTION("""COMPUTED_VALUE"""),7951.5)</f>
        <v>7951.5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IFERROR(__xludf.DUMMYFUNCTION("""COMPUTED_VALUE"""),8187.5)</f>
        <v>8187.5</v>
      </c>
      <c r="C92" s="16">
        <f>IFERROR(__xludf.DUMMYFUNCTION("""COMPUTED_VALUE"""),45873.6458333333)</f>
        <v>45873.6458333333</v>
      </c>
      <c r="D92" s="17">
        <f>IFERROR(__xludf.DUMMYFUNCTION("""COMPUTED_VALUE"""),8044.5)</f>
        <v>8044.5</v>
      </c>
      <c r="E92" s="16">
        <f>IFERROR(__xludf.DUMMYFUNCTION("""COMPUTED_VALUE"""),45873.6458333333)</f>
        <v>45873.6458333333</v>
      </c>
      <c r="F92" s="17">
        <f>IFERROR(__xludf.DUMMYFUNCTION("""COMPUTED_VALUE"""),221221)</f>
        <v>221221</v>
      </c>
      <c r="G92" s="16">
        <f>IFERROR(__xludf.DUMMYFUNCTION("""COMPUTED_VALUE"""),45873.6458333333)</f>
        <v>45873.6458333333</v>
      </c>
      <c r="H92" s="17">
        <f>IFERROR(__xludf.DUMMYFUNCTION("""COMPUTED_VALUE"""),8205)</f>
        <v>8205</v>
      </c>
      <c r="I92" s="16">
        <f>IFERROR(__xludf.DUMMYFUNCTION("""COMPUTED_VALUE"""),45873.6458333333)</f>
        <v>45873.6458333333</v>
      </c>
      <c r="J92" s="17">
        <f>IFERROR(__xludf.DUMMYFUNCTION("""COMPUTED_VALUE"""),8044.5)</f>
        <v>8044.5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IFERROR(__xludf.DUMMYFUNCTION("""COMPUTED_VALUE"""),8230.5)</f>
        <v>8230.5</v>
      </c>
      <c r="C93" s="16">
        <f>IFERROR(__xludf.DUMMYFUNCTION("""COMPUTED_VALUE"""),45874.6458333333)</f>
        <v>45874.6458333333</v>
      </c>
      <c r="D93" s="17">
        <f>IFERROR(__xludf.DUMMYFUNCTION("""COMPUTED_VALUE"""),8176)</f>
        <v>8176</v>
      </c>
      <c r="E93" s="16">
        <f>IFERROR(__xludf.DUMMYFUNCTION("""COMPUTED_VALUE"""),45874.6458333333)</f>
        <v>45874.6458333333</v>
      </c>
      <c r="F93" s="17">
        <f>IFERROR(__xludf.DUMMYFUNCTION("""COMPUTED_VALUE"""),194083)</f>
        <v>194083</v>
      </c>
      <c r="G93" s="16">
        <f>IFERROR(__xludf.DUMMYFUNCTION("""COMPUTED_VALUE"""),45874.6458333333)</f>
        <v>45874.6458333333</v>
      </c>
      <c r="H93" s="17">
        <f>IFERROR(__xludf.DUMMYFUNCTION("""COMPUTED_VALUE"""),8236.5)</f>
        <v>8236.5</v>
      </c>
      <c r="I93" s="16">
        <f>IFERROR(__xludf.DUMMYFUNCTION("""COMPUTED_VALUE"""),45874.6458333333)</f>
        <v>45874.6458333333</v>
      </c>
      <c r="J93" s="17">
        <f>IFERROR(__xludf.DUMMYFUNCTION("""COMPUTED_VALUE"""),8130)</f>
        <v>8130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IFERROR(__xludf.DUMMYFUNCTION("""COMPUTED_VALUE"""),8178.5)</f>
        <v>8178.5</v>
      </c>
      <c r="C94" s="16">
        <f>IFERROR(__xludf.DUMMYFUNCTION("""COMPUTED_VALUE"""),45875.6458333333)</f>
        <v>45875.6458333333</v>
      </c>
      <c r="D94" s="17">
        <f>IFERROR(__xludf.DUMMYFUNCTION("""COMPUTED_VALUE"""),8269)</f>
        <v>8269</v>
      </c>
      <c r="E94" s="16">
        <f>IFERROR(__xludf.DUMMYFUNCTION("""COMPUTED_VALUE"""),45875.6458333333)</f>
        <v>45875.6458333333</v>
      </c>
      <c r="F94" s="17">
        <f>IFERROR(__xludf.DUMMYFUNCTION("""COMPUTED_VALUE"""),515934)</f>
        <v>515934</v>
      </c>
      <c r="G94" s="16">
        <f>IFERROR(__xludf.DUMMYFUNCTION("""COMPUTED_VALUE"""),45875.6458333333)</f>
        <v>45875.6458333333</v>
      </c>
      <c r="H94" s="17">
        <f>IFERROR(__xludf.DUMMYFUNCTION("""COMPUTED_VALUE"""),8269)</f>
        <v>8269</v>
      </c>
      <c r="I94" s="16">
        <f>IFERROR(__xludf.DUMMYFUNCTION("""COMPUTED_VALUE"""),45875.6458333333)</f>
        <v>45875.6458333333</v>
      </c>
      <c r="J94" s="17">
        <f>IFERROR(__xludf.DUMMYFUNCTION("""COMPUTED_VALUE"""),8120)</f>
        <v>8120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IFERROR(__xludf.DUMMYFUNCTION("""COMPUTED_VALUE"""),8229)</f>
        <v>8229</v>
      </c>
      <c r="C95" s="16">
        <f>IFERROR(__xludf.DUMMYFUNCTION("""COMPUTED_VALUE"""),45876.6458333333)</f>
        <v>45876.6458333333</v>
      </c>
      <c r="D95" s="17">
        <f>IFERROR(__xludf.DUMMYFUNCTION("""COMPUTED_VALUE"""),8070)</f>
        <v>8070</v>
      </c>
      <c r="E95" s="16">
        <f>IFERROR(__xludf.DUMMYFUNCTION("""COMPUTED_VALUE"""),45876.6458333333)</f>
        <v>45876.6458333333</v>
      </c>
      <c r="F95" s="17">
        <f>IFERROR(__xludf.DUMMYFUNCTION("""COMPUTED_VALUE"""),456168)</f>
        <v>456168</v>
      </c>
      <c r="G95" s="16">
        <f>IFERROR(__xludf.DUMMYFUNCTION("""COMPUTED_VALUE"""),45876.6458333333)</f>
        <v>45876.6458333333</v>
      </c>
      <c r="H95" s="17">
        <f>IFERROR(__xludf.DUMMYFUNCTION("""COMPUTED_VALUE"""),8249)</f>
        <v>8249</v>
      </c>
      <c r="I95" s="16">
        <f>IFERROR(__xludf.DUMMYFUNCTION("""COMPUTED_VALUE"""),45876.6458333333)</f>
        <v>45876.6458333333</v>
      </c>
      <c r="J95" s="17">
        <f>IFERROR(__xludf.DUMMYFUNCTION("""COMPUTED_VALUE"""),7858.5)</f>
        <v>7858.5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IFERROR(__xludf.DUMMYFUNCTION("""COMPUTED_VALUE"""),8224)</f>
        <v>8224</v>
      </c>
      <c r="C96" s="16">
        <f>IFERROR(__xludf.DUMMYFUNCTION("""COMPUTED_VALUE"""),45877.6458333333)</f>
        <v>45877.6458333333</v>
      </c>
      <c r="D96" s="17">
        <f>IFERROR(__xludf.DUMMYFUNCTION("""COMPUTED_VALUE"""),8229)</f>
        <v>8229</v>
      </c>
      <c r="E96" s="16">
        <f>IFERROR(__xludf.DUMMYFUNCTION("""COMPUTED_VALUE"""),45877.6458333333)</f>
        <v>45877.6458333333</v>
      </c>
      <c r="F96" s="17">
        <f>IFERROR(__xludf.DUMMYFUNCTION("""COMPUTED_VALUE"""),282679)</f>
        <v>282679</v>
      </c>
      <c r="G96" s="16">
        <f>IFERROR(__xludf.DUMMYFUNCTION("""COMPUTED_VALUE"""),45877.6458333333)</f>
        <v>45877.6458333333</v>
      </c>
      <c r="H96" s="17">
        <f>IFERROR(__xludf.DUMMYFUNCTION("""COMPUTED_VALUE"""),8277)</f>
        <v>8277</v>
      </c>
      <c r="I96" s="16">
        <f>IFERROR(__xludf.DUMMYFUNCTION("""COMPUTED_VALUE"""),45877.6458333333)</f>
        <v>45877.6458333333</v>
      </c>
      <c r="J96" s="17">
        <f>IFERROR(__xludf.DUMMYFUNCTION("""COMPUTED_VALUE"""),8185)</f>
        <v>8185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IFERROR(__xludf.DUMMYFUNCTION("""COMPUTED_VALUE"""),8275)</f>
        <v>8275</v>
      </c>
      <c r="C97" s="16">
        <f>IFERROR(__xludf.DUMMYFUNCTION("""COMPUTED_VALUE"""),45880.6458333333)</f>
        <v>45880.6458333333</v>
      </c>
      <c r="D97" s="17">
        <f>IFERROR(__xludf.DUMMYFUNCTION("""COMPUTED_VALUE"""),8235)</f>
        <v>8235</v>
      </c>
      <c r="E97" s="16">
        <f>IFERROR(__xludf.DUMMYFUNCTION("""COMPUTED_VALUE"""),45880.6458333333)</f>
        <v>45880.6458333333</v>
      </c>
      <c r="F97" s="17">
        <f>IFERROR(__xludf.DUMMYFUNCTION("""COMPUTED_VALUE"""),180274)</f>
        <v>180274</v>
      </c>
      <c r="G97" s="16">
        <f>IFERROR(__xludf.DUMMYFUNCTION("""COMPUTED_VALUE"""),45880.6458333333)</f>
        <v>45880.6458333333</v>
      </c>
      <c r="H97" s="17">
        <f>IFERROR(__xludf.DUMMYFUNCTION("""COMPUTED_VALUE"""),8300)</f>
        <v>8300</v>
      </c>
      <c r="I97" s="16">
        <f>IFERROR(__xludf.DUMMYFUNCTION("""COMPUTED_VALUE"""),45880.6458333333)</f>
        <v>45880.6458333333</v>
      </c>
      <c r="J97" s="17">
        <f>IFERROR(__xludf.DUMMYFUNCTION("""COMPUTED_VALUE"""),8132.5)</f>
        <v>8132.5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IFERROR(__xludf.DUMMYFUNCTION("""COMPUTED_VALUE"""),8196.5)</f>
        <v>8196.5</v>
      </c>
      <c r="C98" s="16">
        <f>IFERROR(__xludf.DUMMYFUNCTION("""COMPUTED_VALUE"""),45881.6458333333)</f>
        <v>45881.6458333333</v>
      </c>
      <c r="D98" s="17">
        <f>IFERROR(__xludf.DUMMYFUNCTION("""COMPUTED_VALUE"""),8275.5)</f>
        <v>8275.5</v>
      </c>
      <c r="E98" s="16">
        <f>IFERROR(__xludf.DUMMYFUNCTION("""COMPUTED_VALUE"""),45881.6458333333)</f>
        <v>45881.6458333333</v>
      </c>
      <c r="F98" s="17">
        <f>IFERROR(__xludf.DUMMYFUNCTION("""COMPUTED_VALUE"""),184529)</f>
        <v>184529</v>
      </c>
      <c r="G98" s="16">
        <f>IFERROR(__xludf.DUMMYFUNCTION("""COMPUTED_VALUE"""),45881.6458333333)</f>
        <v>45881.6458333333</v>
      </c>
      <c r="H98" s="17">
        <f>IFERROR(__xludf.DUMMYFUNCTION("""COMPUTED_VALUE"""),8321.5)</f>
        <v>8321.5</v>
      </c>
      <c r="I98" s="16">
        <f>IFERROR(__xludf.DUMMYFUNCTION("""COMPUTED_VALUE"""),45881.6458333333)</f>
        <v>45881.6458333333</v>
      </c>
      <c r="J98" s="17">
        <f>IFERROR(__xludf.DUMMYFUNCTION("""COMPUTED_VALUE"""),8180)</f>
        <v>8180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IFERROR(__xludf.DUMMYFUNCTION("""COMPUTED_VALUE"""),8248.5)</f>
        <v>8248.5</v>
      </c>
      <c r="C99" s="16">
        <f>IFERROR(__xludf.DUMMYFUNCTION("""COMPUTED_VALUE"""),45882.6458333333)</f>
        <v>45882.6458333333</v>
      </c>
      <c r="D99" s="17">
        <f>IFERROR(__xludf.DUMMYFUNCTION("""COMPUTED_VALUE"""),8214.5)</f>
        <v>8214.5</v>
      </c>
      <c r="E99" s="16">
        <f>IFERROR(__xludf.DUMMYFUNCTION("""COMPUTED_VALUE"""),45882.6458333333)</f>
        <v>45882.6458333333</v>
      </c>
      <c r="F99" s="17">
        <f>IFERROR(__xludf.DUMMYFUNCTION("""COMPUTED_VALUE"""),367519)</f>
        <v>367519</v>
      </c>
      <c r="G99" s="16">
        <f>IFERROR(__xludf.DUMMYFUNCTION("""COMPUTED_VALUE"""),45882.6458333333)</f>
        <v>45882.6458333333</v>
      </c>
      <c r="H99" s="17">
        <f>IFERROR(__xludf.DUMMYFUNCTION("""COMPUTED_VALUE"""),8309.5)</f>
        <v>8309.5</v>
      </c>
      <c r="I99" s="16">
        <f>IFERROR(__xludf.DUMMYFUNCTION("""COMPUTED_VALUE"""),45882.6458333333)</f>
        <v>45882.6458333333</v>
      </c>
      <c r="J99" s="17">
        <f>IFERROR(__xludf.DUMMYFUNCTION("""COMPUTED_VALUE"""),8189)</f>
        <v>8189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IFERROR(__xludf.DUMMYFUNCTION("""COMPUTED_VALUE"""),8213.5)</f>
        <v>8213.5</v>
      </c>
      <c r="C100" s="16">
        <f>IFERROR(__xludf.DUMMYFUNCTION("""COMPUTED_VALUE"""),45883.6458333333)</f>
        <v>45883.6458333333</v>
      </c>
      <c r="D100" s="17">
        <f>IFERROR(__xludf.DUMMYFUNCTION("""COMPUTED_VALUE"""),8250)</f>
        <v>8250</v>
      </c>
      <c r="E100" s="16">
        <f>IFERROR(__xludf.DUMMYFUNCTION("""COMPUTED_VALUE"""),45883.6458333333)</f>
        <v>45883.6458333333</v>
      </c>
      <c r="F100" s="17">
        <f>IFERROR(__xludf.DUMMYFUNCTION("""COMPUTED_VALUE"""),364270)</f>
        <v>364270</v>
      </c>
      <c r="G100" s="16">
        <f>IFERROR(__xludf.DUMMYFUNCTION("""COMPUTED_VALUE"""),45883.6458333333)</f>
        <v>45883.6458333333</v>
      </c>
      <c r="H100" s="17">
        <f>IFERROR(__xludf.DUMMYFUNCTION("""COMPUTED_VALUE"""),8280)</f>
        <v>8280</v>
      </c>
      <c r="I100" s="16">
        <f>IFERROR(__xludf.DUMMYFUNCTION("""COMPUTED_VALUE"""),45883.6458333333)</f>
        <v>45883.6458333333</v>
      </c>
      <c r="J100" s="17">
        <f>IFERROR(__xludf.DUMMYFUNCTION("""COMPUTED_VALUE"""),8198)</f>
        <v>8198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IFERROR(__xludf.DUMMYFUNCTION("""COMPUTED_VALUE"""),8588.5)</f>
        <v>8588.5</v>
      </c>
      <c r="C101" s="16">
        <f>IFERROR(__xludf.DUMMYFUNCTION("""COMPUTED_VALUE"""),45887.6458333333)</f>
        <v>45887.6458333333</v>
      </c>
      <c r="D101" s="17">
        <f>IFERROR(__xludf.DUMMYFUNCTION("""COMPUTED_VALUE"""),8400)</f>
        <v>8400</v>
      </c>
      <c r="E101" s="16">
        <f>IFERROR(__xludf.DUMMYFUNCTION("""COMPUTED_VALUE"""),45887.6458333333)</f>
        <v>45887.6458333333</v>
      </c>
      <c r="F101" s="17">
        <f>IFERROR(__xludf.DUMMYFUNCTION("""COMPUTED_VALUE"""),995976)</f>
        <v>995976</v>
      </c>
      <c r="G101" s="16">
        <f>IFERROR(__xludf.DUMMYFUNCTION("""COMPUTED_VALUE"""),45887.6458333333)</f>
        <v>45887.6458333333</v>
      </c>
      <c r="H101" s="17">
        <f>IFERROR(__xludf.DUMMYFUNCTION("""COMPUTED_VALUE"""),8629.5)</f>
        <v>8629.5</v>
      </c>
      <c r="I101" s="16">
        <f>IFERROR(__xludf.DUMMYFUNCTION("""COMPUTED_VALUE"""),45887.6458333333)</f>
        <v>45887.6458333333</v>
      </c>
      <c r="J101" s="17">
        <f>IFERROR(__xludf.DUMMYFUNCTION("""COMPUTED_VALUE"""),8400)</f>
        <v>8400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IFERROR(__xludf.DUMMYFUNCTION("""COMPUTED_VALUE"""),8795.5)</f>
        <v>8795.5</v>
      </c>
      <c r="C102" s="16">
        <f>IFERROR(__xludf.DUMMYFUNCTION("""COMPUTED_VALUE"""),45888.6458333333)</f>
        <v>45888.6458333333</v>
      </c>
      <c r="D102" s="17">
        <f>IFERROR(__xludf.DUMMYFUNCTION("""COMPUTED_VALUE"""),8609)</f>
        <v>8609</v>
      </c>
      <c r="E102" s="16">
        <f>IFERROR(__xludf.DUMMYFUNCTION("""COMPUTED_VALUE"""),45888.6458333333)</f>
        <v>45888.6458333333</v>
      </c>
      <c r="F102" s="17">
        <f>IFERROR(__xludf.DUMMYFUNCTION("""COMPUTED_VALUE"""),1052384)</f>
        <v>1052384</v>
      </c>
      <c r="G102" s="16">
        <f>IFERROR(__xludf.DUMMYFUNCTION("""COMPUTED_VALUE"""),45888.6458333333)</f>
        <v>45888.6458333333</v>
      </c>
      <c r="H102" s="17">
        <f>IFERROR(__xludf.DUMMYFUNCTION("""COMPUTED_VALUE"""),8856)</f>
        <v>8856</v>
      </c>
      <c r="I102" s="16">
        <f>IFERROR(__xludf.DUMMYFUNCTION("""COMPUTED_VALUE"""),45888.6458333333)</f>
        <v>45888.6458333333</v>
      </c>
      <c r="J102" s="17">
        <f>IFERROR(__xludf.DUMMYFUNCTION("""COMPUTED_VALUE"""),8586)</f>
        <v>8586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IFERROR(__xludf.DUMMYFUNCTION("""COMPUTED_VALUE"""),8827.5)</f>
        <v>8827.5</v>
      </c>
      <c r="C103" s="16">
        <f>IFERROR(__xludf.DUMMYFUNCTION("""COMPUTED_VALUE"""),45889.6458333333)</f>
        <v>45889.6458333333</v>
      </c>
      <c r="D103" s="17">
        <f>IFERROR(__xludf.DUMMYFUNCTION("""COMPUTED_VALUE"""),8794.5)</f>
        <v>8794.5</v>
      </c>
      <c r="E103" s="16">
        <f>IFERROR(__xludf.DUMMYFUNCTION("""COMPUTED_VALUE"""),45889.6458333333)</f>
        <v>45889.6458333333</v>
      </c>
      <c r="F103" s="17">
        <f>IFERROR(__xludf.DUMMYFUNCTION("""COMPUTED_VALUE"""),490202)</f>
        <v>490202</v>
      </c>
      <c r="G103" s="16">
        <f>IFERROR(__xludf.DUMMYFUNCTION("""COMPUTED_VALUE"""),45889.6458333333)</f>
        <v>45889.6458333333</v>
      </c>
      <c r="H103" s="17">
        <f>IFERROR(__xludf.DUMMYFUNCTION("""COMPUTED_VALUE"""),8872.5)</f>
        <v>8872.5</v>
      </c>
      <c r="I103" s="16">
        <f>IFERROR(__xludf.DUMMYFUNCTION("""COMPUTED_VALUE"""),45889.6458333333)</f>
        <v>45889.6458333333</v>
      </c>
      <c r="J103" s="17">
        <f>IFERROR(__xludf.DUMMYFUNCTION("""COMPUTED_VALUE"""),8763.5)</f>
        <v>8763.5</v>
      </c>
      <c r="K103" s="3">
        <f t="shared" si="2"/>
        <v>8827.5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IFERROR(__xludf.DUMMYFUNCTION("""COMPUTED_VALUE"""),8684.5)</f>
        <v>8684.5</v>
      </c>
      <c r="C104" s="16">
        <f>IFERROR(__xludf.DUMMYFUNCTION("""COMPUTED_VALUE"""),45890.6458333333)</f>
        <v>45890.6458333333</v>
      </c>
      <c r="D104" s="17">
        <f>IFERROR(__xludf.DUMMYFUNCTION("""COMPUTED_VALUE"""),8835)</f>
        <v>8835</v>
      </c>
      <c r="E104" s="16">
        <f>IFERROR(__xludf.DUMMYFUNCTION("""COMPUTED_VALUE"""),45890.6458333333)</f>
        <v>45890.6458333333</v>
      </c>
      <c r="F104" s="17">
        <f>IFERROR(__xludf.DUMMYFUNCTION("""COMPUTED_VALUE"""),510564)</f>
        <v>510564</v>
      </c>
      <c r="G104" s="16">
        <f>IFERROR(__xludf.DUMMYFUNCTION("""COMPUTED_VALUE"""),45890.6458333333)</f>
        <v>45890.6458333333</v>
      </c>
      <c r="H104" s="17">
        <f>IFERROR(__xludf.DUMMYFUNCTION("""COMPUTED_VALUE"""),8869)</f>
        <v>8869</v>
      </c>
      <c r="I104" s="16">
        <f>IFERROR(__xludf.DUMMYFUNCTION("""COMPUTED_VALUE"""),45890.6458333333)</f>
        <v>45890.6458333333</v>
      </c>
      <c r="J104" s="17">
        <f>IFERROR(__xludf.DUMMYFUNCTION("""COMPUTED_VALUE"""),8630)</f>
        <v>8630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IFERROR(__xludf.DUMMYFUNCTION("""COMPUTED_VALUE"""),8679.5)</f>
        <v>8679.5</v>
      </c>
      <c r="C105" s="16">
        <f>IFERROR(__xludf.DUMMYFUNCTION("""COMPUTED_VALUE"""),45891.6458333333)</f>
        <v>45891.6458333333</v>
      </c>
      <c r="D105" s="17">
        <f>IFERROR(__xludf.DUMMYFUNCTION("""COMPUTED_VALUE"""),8684.5)</f>
        <v>8684.5</v>
      </c>
      <c r="E105" s="16">
        <f>IFERROR(__xludf.DUMMYFUNCTION("""COMPUTED_VALUE"""),45891.6458333333)</f>
        <v>45891.6458333333</v>
      </c>
      <c r="F105" s="17">
        <f>IFERROR(__xludf.DUMMYFUNCTION("""COMPUTED_VALUE"""),369875)</f>
        <v>369875</v>
      </c>
      <c r="G105" s="16">
        <f>IFERROR(__xludf.DUMMYFUNCTION("""COMPUTED_VALUE"""),45891.6458333333)</f>
        <v>45891.6458333333</v>
      </c>
      <c r="H105" s="17">
        <f>IFERROR(__xludf.DUMMYFUNCTION("""COMPUTED_VALUE"""),8715)</f>
        <v>8715</v>
      </c>
      <c r="I105" s="16">
        <f>IFERROR(__xludf.DUMMYFUNCTION("""COMPUTED_VALUE"""),45891.6458333333)</f>
        <v>45891.6458333333</v>
      </c>
      <c r="J105" s="17">
        <f>IFERROR(__xludf.DUMMYFUNCTION("""COMPUTED_VALUE"""),8581)</f>
        <v>8581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IFERROR(__xludf.DUMMYFUNCTION("""COMPUTED_VALUE"""),8750.5)</f>
        <v>8750.5</v>
      </c>
      <c r="C106" s="16">
        <f>IFERROR(__xludf.DUMMYFUNCTION("""COMPUTED_VALUE"""),45894.6458333333)</f>
        <v>45894.6458333333</v>
      </c>
      <c r="D106" s="17">
        <f>IFERROR(__xludf.DUMMYFUNCTION("""COMPUTED_VALUE"""),8750)</f>
        <v>8750</v>
      </c>
      <c r="E106" s="16">
        <f>IFERROR(__xludf.DUMMYFUNCTION("""COMPUTED_VALUE"""),45894.6458333333)</f>
        <v>45894.6458333333</v>
      </c>
      <c r="F106" s="17">
        <f>IFERROR(__xludf.DUMMYFUNCTION("""COMPUTED_VALUE"""),360880)</f>
        <v>360880</v>
      </c>
      <c r="G106" s="16">
        <f>IFERROR(__xludf.DUMMYFUNCTION("""COMPUTED_VALUE"""),45894.6458333333)</f>
        <v>45894.6458333333</v>
      </c>
      <c r="H106" s="17">
        <f>IFERROR(__xludf.DUMMYFUNCTION("""COMPUTED_VALUE"""),8764)</f>
        <v>8764</v>
      </c>
      <c r="I106" s="16">
        <f>IFERROR(__xludf.DUMMYFUNCTION("""COMPUTED_VALUE"""),45894.6458333333)</f>
        <v>45894.6458333333</v>
      </c>
      <c r="J106" s="17">
        <f>IFERROR(__xludf.DUMMYFUNCTION("""COMPUTED_VALUE"""),8633.5)</f>
        <v>8633.5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IFERROR(__xludf.DUMMYFUNCTION("""COMPUTED_VALUE"""),8691.5)</f>
        <v>8691.5</v>
      </c>
      <c r="C107" s="16">
        <f>IFERROR(__xludf.DUMMYFUNCTION("""COMPUTED_VALUE"""),45895.6458333333)</f>
        <v>45895.6458333333</v>
      </c>
      <c r="D107" s="17">
        <f>IFERROR(__xludf.DUMMYFUNCTION("""COMPUTED_VALUE"""),8730)</f>
        <v>8730</v>
      </c>
      <c r="E107" s="16">
        <f>IFERROR(__xludf.DUMMYFUNCTION("""COMPUTED_VALUE"""),45895.6458333333)</f>
        <v>45895.6458333333</v>
      </c>
      <c r="F107" s="17">
        <f>IFERROR(__xludf.DUMMYFUNCTION("""COMPUTED_VALUE"""),778390)</f>
        <v>778390</v>
      </c>
      <c r="G107" s="16">
        <f>IFERROR(__xludf.DUMMYFUNCTION("""COMPUTED_VALUE"""),45895.6458333333)</f>
        <v>45895.6458333333</v>
      </c>
      <c r="H107" s="17">
        <f>IFERROR(__xludf.DUMMYFUNCTION("""COMPUTED_VALUE"""),8825)</f>
        <v>8825</v>
      </c>
      <c r="I107" s="16">
        <f>IFERROR(__xludf.DUMMYFUNCTION("""COMPUTED_VALUE"""),45895.6458333333)</f>
        <v>45895.6458333333</v>
      </c>
      <c r="J107" s="17">
        <f>IFERROR(__xludf.DUMMYFUNCTION("""COMPUTED_VALUE"""),8646)</f>
        <v>8646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IFERROR(__xludf.DUMMYFUNCTION("""COMPUTED_VALUE"""),8689.5)</f>
        <v>8689.5</v>
      </c>
      <c r="C108" s="16">
        <f>IFERROR(__xludf.DUMMYFUNCTION("""COMPUTED_VALUE"""),45897.6458333333)</f>
        <v>45897.6458333333</v>
      </c>
      <c r="D108" s="17">
        <f>IFERROR(__xludf.DUMMYFUNCTION("""COMPUTED_VALUE"""),8798)</f>
        <v>8798</v>
      </c>
      <c r="E108" s="16">
        <f>IFERROR(__xludf.DUMMYFUNCTION("""COMPUTED_VALUE"""),45897.6458333333)</f>
        <v>45897.6458333333</v>
      </c>
      <c r="F108" s="17">
        <f>IFERROR(__xludf.DUMMYFUNCTION("""COMPUTED_VALUE"""),394657)</f>
        <v>394657</v>
      </c>
      <c r="G108" s="16">
        <f>IFERROR(__xludf.DUMMYFUNCTION("""COMPUTED_VALUE"""),45897.6458333333)</f>
        <v>45897.6458333333</v>
      </c>
      <c r="H108" s="17">
        <f>IFERROR(__xludf.DUMMYFUNCTION("""COMPUTED_VALUE"""),8798)</f>
        <v>8798</v>
      </c>
      <c r="I108" s="16">
        <f>IFERROR(__xludf.DUMMYFUNCTION("""COMPUTED_VALUE"""),45897.6458333333)</f>
        <v>45897.6458333333</v>
      </c>
      <c r="J108" s="17">
        <f>IFERROR(__xludf.DUMMYFUNCTION("""COMPUTED_VALUE"""),8661)</f>
        <v>8661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IFERROR(__xludf.DUMMYFUNCTION("""COMPUTED_VALUE"""),8631.5)</f>
        <v>8631.5</v>
      </c>
      <c r="C109" s="16">
        <f>IFERROR(__xludf.DUMMYFUNCTION("""COMPUTED_VALUE"""),45898.6458333333)</f>
        <v>45898.6458333333</v>
      </c>
      <c r="D109" s="17">
        <f>IFERROR(__xludf.DUMMYFUNCTION("""COMPUTED_VALUE"""),8714)</f>
        <v>8714</v>
      </c>
      <c r="E109" s="16">
        <f>IFERROR(__xludf.DUMMYFUNCTION("""COMPUTED_VALUE"""),45898.6458333333)</f>
        <v>45898.6458333333</v>
      </c>
      <c r="F109" s="17">
        <f>IFERROR(__xludf.DUMMYFUNCTION("""COMPUTED_VALUE"""),344340)</f>
        <v>344340</v>
      </c>
      <c r="G109" s="16">
        <f>IFERROR(__xludf.DUMMYFUNCTION("""COMPUTED_VALUE"""),45898.6458333333)</f>
        <v>45898.6458333333</v>
      </c>
      <c r="H109" s="17">
        <f>IFERROR(__xludf.DUMMYFUNCTION("""COMPUTED_VALUE"""),8730)</f>
        <v>8730</v>
      </c>
      <c r="I109" s="16">
        <f>IFERROR(__xludf.DUMMYFUNCTION("""COMPUTED_VALUE"""),45898.6458333333)</f>
        <v>45898.6458333333</v>
      </c>
      <c r="J109" s="17">
        <f>IFERROR(__xludf.DUMMYFUNCTION("""COMPUTED_VALUE"""),8571.5)</f>
        <v>8571.5</v>
      </c>
      <c r="K109" s="3">
        <f t="shared" si="2"/>
        <v>0</v>
      </c>
      <c r="L109" s="3">
        <f t="shared" si="3"/>
        <v>8631.5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IFERROR(__xludf.DUMMYFUNCTION("""COMPUTED_VALUE"""),8967)</f>
        <v>8967</v>
      </c>
      <c r="C110" s="16">
        <f>IFERROR(__xludf.DUMMYFUNCTION("""COMPUTED_VALUE"""),45901.6458333333)</f>
        <v>45901.6458333333</v>
      </c>
      <c r="D110" s="17">
        <f>IFERROR(__xludf.DUMMYFUNCTION("""COMPUTED_VALUE"""),8665)</f>
        <v>8665</v>
      </c>
      <c r="E110" s="16">
        <f>IFERROR(__xludf.DUMMYFUNCTION("""COMPUTED_VALUE"""),45901.6458333333)</f>
        <v>45901.6458333333</v>
      </c>
      <c r="F110" s="17">
        <f>IFERROR(__xludf.DUMMYFUNCTION("""COMPUTED_VALUE"""),658701)</f>
        <v>658701</v>
      </c>
      <c r="G110" s="16">
        <f>IFERROR(__xludf.DUMMYFUNCTION("""COMPUTED_VALUE"""),45901.6458333333)</f>
        <v>45901.6458333333</v>
      </c>
      <c r="H110" s="17">
        <f>IFERROR(__xludf.DUMMYFUNCTION("""COMPUTED_VALUE"""),9037.5)</f>
        <v>9037.5</v>
      </c>
      <c r="I110" s="16">
        <f>IFERROR(__xludf.DUMMYFUNCTION("""COMPUTED_VALUE"""),45901.6458333333)</f>
        <v>45901.6458333333</v>
      </c>
      <c r="J110" s="17">
        <f>IFERROR(__xludf.DUMMYFUNCTION("""COMPUTED_VALUE"""),8665)</f>
        <v>8665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IFERROR(__xludf.DUMMYFUNCTION("""COMPUTED_VALUE"""),9030.5)</f>
        <v>9030.5</v>
      </c>
      <c r="C111" s="16">
        <f>IFERROR(__xludf.DUMMYFUNCTION("""COMPUTED_VALUE"""),45902.6458333333)</f>
        <v>45902.6458333333</v>
      </c>
      <c r="D111" s="17">
        <f>IFERROR(__xludf.DUMMYFUNCTION("""COMPUTED_VALUE"""),8970)</f>
        <v>8970</v>
      </c>
      <c r="E111" s="16">
        <f>IFERROR(__xludf.DUMMYFUNCTION("""COMPUTED_VALUE"""),45902.6458333333)</f>
        <v>45902.6458333333</v>
      </c>
      <c r="F111" s="17">
        <f>IFERROR(__xludf.DUMMYFUNCTION("""COMPUTED_VALUE"""),548186)</f>
        <v>548186</v>
      </c>
      <c r="G111" s="16">
        <f>IFERROR(__xludf.DUMMYFUNCTION("""COMPUTED_VALUE"""),45902.6458333333)</f>
        <v>45902.6458333333</v>
      </c>
      <c r="H111" s="17">
        <f>IFERROR(__xludf.DUMMYFUNCTION("""COMPUTED_VALUE"""),9109.5)</f>
        <v>9109.5</v>
      </c>
      <c r="I111" s="16">
        <f>IFERROR(__xludf.DUMMYFUNCTION("""COMPUTED_VALUE"""),45902.6458333333)</f>
        <v>45902.6458333333</v>
      </c>
      <c r="J111" s="17">
        <f>IFERROR(__xludf.DUMMYFUNCTION("""COMPUTED_VALUE"""),8926)</f>
        <v>8926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IFERROR(__xludf.DUMMYFUNCTION("""COMPUTED_VALUE"""),9116)</f>
        <v>9116</v>
      </c>
      <c r="C112" s="16">
        <f>IFERROR(__xludf.DUMMYFUNCTION("""COMPUTED_VALUE"""),45903.6458333333)</f>
        <v>45903.6458333333</v>
      </c>
      <c r="D112" s="17">
        <f>IFERROR(__xludf.DUMMYFUNCTION("""COMPUTED_VALUE"""),9052)</f>
        <v>9052</v>
      </c>
      <c r="E112" s="16">
        <f>IFERROR(__xludf.DUMMYFUNCTION("""COMPUTED_VALUE"""),45903.6458333333)</f>
        <v>45903.6458333333</v>
      </c>
      <c r="F112" s="17">
        <f>IFERROR(__xludf.DUMMYFUNCTION("""COMPUTED_VALUE"""),322758)</f>
        <v>322758</v>
      </c>
      <c r="G112" s="16">
        <f>IFERROR(__xludf.DUMMYFUNCTION("""COMPUTED_VALUE"""),45903.6458333333)</f>
        <v>45903.6458333333</v>
      </c>
      <c r="H112" s="17">
        <f>IFERROR(__xludf.DUMMYFUNCTION("""COMPUTED_VALUE"""),9129.5)</f>
        <v>9129.5</v>
      </c>
      <c r="I112" s="16">
        <f>IFERROR(__xludf.DUMMYFUNCTION("""COMPUTED_VALUE"""),45903.6458333333)</f>
        <v>45903.6458333333</v>
      </c>
      <c r="J112" s="17">
        <f>IFERROR(__xludf.DUMMYFUNCTION("""COMPUTED_VALUE"""),8992)</f>
        <v>8992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IFERROR(__xludf.DUMMYFUNCTION("""COMPUTED_VALUE"""),9071)</f>
        <v>9071</v>
      </c>
      <c r="C113" s="16">
        <f>IFERROR(__xludf.DUMMYFUNCTION("""COMPUTED_VALUE"""),45904.6458333333)</f>
        <v>45904.6458333333</v>
      </c>
      <c r="D113" s="17">
        <f>IFERROR(__xludf.DUMMYFUNCTION("""COMPUTED_VALUE"""),9350)</f>
        <v>9350</v>
      </c>
      <c r="E113" s="16">
        <f>IFERROR(__xludf.DUMMYFUNCTION("""COMPUTED_VALUE"""),45904.6458333333)</f>
        <v>45904.6458333333</v>
      </c>
      <c r="F113" s="17">
        <f>IFERROR(__xludf.DUMMYFUNCTION("""COMPUTED_VALUE"""),652617)</f>
        <v>652617</v>
      </c>
      <c r="G113" s="16">
        <f>IFERROR(__xludf.DUMMYFUNCTION("""COMPUTED_VALUE"""),45904.6458333333)</f>
        <v>45904.6458333333</v>
      </c>
      <c r="H113" s="17">
        <f>IFERROR(__xludf.DUMMYFUNCTION("""COMPUTED_VALUE"""),9353.5)</f>
        <v>9353.5</v>
      </c>
      <c r="I113" s="16">
        <f>IFERROR(__xludf.DUMMYFUNCTION("""COMPUTED_VALUE"""),45904.6458333333)</f>
        <v>45904.6458333333</v>
      </c>
      <c r="J113" s="17">
        <f>IFERROR(__xludf.DUMMYFUNCTION("""COMPUTED_VALUE"""),9046.5)</f>
        <v>9046.5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IFERROR(__xludf.DUMMYFUNCTION("""COMPUTED_VALUE"""),9084.5)</f>
        <v>9084.5</v>
      </c>
      <c r="C114" s="16">
        <f>IFERROR(__xludf.DUMMYFUNCTION("""COMPUTED_VALUE"""),45905.6458333333)</f>
        <v>45905.6458333333</v>
      </c>
      <c r="D114" s="17">
        <f>IFERROR(__xludf.DUMMYFUNCTION("""COMPUTED_VALUE"""),9117)</f>
        <v>9117</v>
      </c>
      <c r="E114" s="16">
        <f>IFERROR(__xludf.DUMMYFUNCTION("""COMPUTED_VALUE"""),45905.6458333333)</f>
        <v>45905.6458333333</v>
      </c>
      <c r="F114" s="17">
        <f>IFERROR(__xludf.DUMMYFUNCTION("""COMPUTED_VALUE"""),231190)</f>
        <v>231190</v>
      </c>
      <c r="G114" s="16">
        <f>IFERROR(__xludf.DUMMYFUNCTION("""COMPUTED_VALUE"""),45905.6458333333)</f>
        <v>45905.6458333333</v>
      </c>
      <c r="H114" s="17">
        <f>IFERROR(__xludf.DUMMYFUNCTION("""COMPUTED_VALUE"""),9172)</f>
        <v>9172</v>
      </c>
      <c r="I114" s="16">
        <f>IFERROR(__xludf.DUMMYFUNCTION("""COMPUTED_VALUE"""),45905.6458333333)</f>
        <v>45905.6458333333</v>
      </c>
      <c r="J114" s="17">
        <f>IFERROR(__xludf.DUMMYFUNCTION("""COMPUTED_VALUE"""),9053)</f>
        <v>9053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IFERROR(__xludf.DUMMYFUNCTION("""COMPUTED_VALUE"""),9433.5)</f>
        <v>9433.5</v>
      </c>
      <c r="C115" s="16">
        <f>IFERROR(__xludf.DUMMYFUNCTION("""COMPUTED_VALUE"""),45908.6458333333)</f>
        <v>45908.6458333333</v>
      </c>
      <c r="D115" s="17">
        <f>IFERROR(__xludf.DUMMYFUNCTION("""COMPUTED_VALUE"""),9102)</f>
        <v>9102</v>
      </c>
      <c r="E115" s="16">
        <f>IFERROR(__xludf.DUMMYFUNCTION("""COMPUTED_VALUE"""),45908.6458333333)</f>
        <v>45908.6458333333</v>
      </c>
      <c r="F115" s="17">
        <f>IFERROR(__xludf.DUMMYFUNCTION("""COMPUTED_VALUE"""),713087)</f>
        <v>713087</v>
      </c>
      <c r="G115" s="16">
        <f>IFERROR(__xludf.DUMMYFUNCTION("""COMPUTED_VALUE"""),45908.6458333333)</f>
        <v>45908.6458333333</v>
      </c>
      <c r="H115" s="17">
        <f>IFERROR(__xludf.DUMMYFUNCTION("""COMPUTED_VALUE"""),9490)</f>
        <v>9490</v>
      </c>
      <c r="I115" s="16">
        <f>IFERROR(__xludf.DUMMYFUNCTION("""COMPUTED_VALUE"""),45908.6458333333)</f>
        <v>45908.6458333333</v>
      </c>
      <c r="J115" s="17">
        <f>IFERROR(__xludf.DUMMYFUNCTION("""COMPUTED_VALUE"""),9073)</f>
        <v>9073</v>
      </c>
      <c r="K115" s="3">
        <f t="shared" si="2"/>
        <v>9433.5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IFERROR(__xludf.DUMMYFUNCTION("""COMPUTED_VALUE"""),9383)</f>
        <v>9383</v>
      </c>
      <c r="C116" s="16">
        <f>IFERROR(__xludf.DUMMYFUNCTION("""COMPUTED_VALUE"""),45909.6458333333)</f>
        <v>45909.6458333333</v>
      </c>
      <c r="D116" s="17">
        <f>IFERROR(__xludf.DUMMYFUNCTION("""COMPUTED_VALUE"""),9390.5)</f>
        <v>9390.5</v>
      </c>
      <c r="E116" s="16">
        <f>IFERROR(__xludf.DUMMYFUNCTION("""COMPUTED_VALUE"""),45909.6458333333)</f>
        <v>45909.6458333333</v>
      </c>
      <c r="F116" s="17">
        <f>IFERROR(__xludf.DUMMYFUNCTION("""COMPUTED_VALUE"""),505482)</f>
        <v>505482</v>
      </c>
      <c r="G116" s="16">
        <f>IFERROR(__xludf.DUMMYFUNCTION("""COMPUTED_VALUE"""),45909.6458333333)</f>
        <v>45909.6458333333</v>
      </c>
      <c r="H116" s="17">
        <f>IFERROR(__xludf.DUMMYFUNCTION("""COMPUTED_VALUE"""),9428.5)</f>
        <v>9428.5</v>
      </c>
      <c r="I116" s="16">
        <f>IFERROR(__xludf.DUMMYFUNCTION("""COMPUTED_VALUE"""),45909.6458333333)</f>
        <v>45909.6458333333</v>
      </c>
      <c r="J116" s="17">
        <f>IFERROR(__xludf.DUMMYFUNCTION("""COMPUTED_VALUE"""),9236.5)</f>
        <v>9236.5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IFERROR(__xludf.DUMMYFUNCTION("""COMPUTED_VALUE"""),9244)</f>
        <v>9244</v>
      </c>
      <c r="C117" s="16">
        <f>IFERROR(__xludf.DUMMYFUNCTION("""COMPUTED_VALUE"""),45910.6458333333)</f>
        <v>45910.6458333333</v>
      </c>
      <c r="D117" s="17">
        <f>IFERROR(__xludf.DUMMYFUNCTION("""COMPUTED_VALUE"""),9425)</f>
        <v>9425</v>
      </c>
      <c r="E117" s="16">
        <f>IFERROR(__xludf.DUMMYFUNCTION("""COMPUTED_VALUE"""),45910.6458333333)</f>
        <v>45910.6458333333</v>
      </c>
      <c r="F117" s="17">
        <f>IFERROR(__xludf.DUMMYFUNCTION("""COMPUTED_VALUE"""),454231)</f>
        <v>454231</v>
      </c>
      <c r="G117" s="16">
        <f>IFERROR(__xludf.DUMMYFUNCTION("""COMPUTED_VALUE"""),45910.6458333333)</f>
        <v>45910.6458333333</v>
      </c>
      <c r="H117" s="17">
        <f>IFERROR(__xludf.DUMMYFUNCTION("""COMPUTED_VALUE"""),9440)</f>
        <v>9440</v>
      </c>
      <c r="I117" s="16">
        <f>IFERROR(__xludf.DUMMYFUNCTION("""COMPUTED_VALUE"""),45910.6458333333)</f>
        <v>45910.6458333333</v>
      </c>
      <c r="J117" s="17">
        <f>IFERROR(__xludf.DUMMYFUNCTION("""COMPUTED_VALUE"""),9180)</f>
        <v>9180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IFERROR(__xludf.DUMMYFUNCTION("""COMPUTED_VALUE"""),9113.5)</f>
        <v>9113.5</v>
      </c>
      <c r="C118" s="16">
        <f>IFERROR(__xludf.DUMMYFUNCTION("""COMPUTED_VALUE"""),45911.6458333333)</f>
        <v>45911.6458333333</v>
      </c>
      <c r="D118" s="17">
        <f>IFERROR(__xludf.DUMMYFUNCTION("""COMPUTED_VALUE"""),9243.5)</f>
        <v>9243.5</v>
      </c>
      <c r="E118" s="16">
        <f>IFERROR(__xludf.DUMMYFUNCTION("""COMPUTED_VALUE"""),45911.6458333333)</f>
        <v>45911.6458333333</v>
      </c>
      <c r="F118" s="17">
        <f>IFERROR(__xludf.DUMMYFUNCTION("""COMPUTED_VALUE"""),472941)</f>
        <v>472941</v>
      </c>
      <c r="G118" s="16">
        <f>IFERROR(__xludf.DUMMYFUNCTION("""COMPUTED_VALUE"""),45911.6458333333)</f>
        <v>45911.6458333333</v>
      </c>
      <c r="H118" s="17">
        <f>IFERROR(__xludf.DUMMYFUNCTION("""COMPUTED_VALUE"""),9243.5)</f>
        <v>9243.5</v>
      </c>
      <c r="I118" s="16">
        <f>IFERROR(__xludf.DUMMYFUNCTION("""COMPUTED_VALUE"""),45911.6458333333)</f>
        <v>45911.6458333333</v>
      </c>
      <c r="J118" s="17">
        <f>IFERROR(__xludf.DUMMYFUNCTION("""COMPUTED_VALUE"""),9075)</f>
        <v>9075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IFERROR(__xludf.DUMMYFUNCTION("""COMPUTED_VALUE"""),8999.5)</f>
        <v>8999.5</v>
      </c>
      <c r="C119" s="16">
        <f>IFERROR(__xludf.DUMMYFUNCTION("""COMPUTED_VALUE"""),45912.6458333333)</f>
        <v>45912.6458333333</v>
      </c>
      <c r="D119" s="17">
        <f>IFERROR(__xludf.DUMMYFUNCTION("""COMPUTED_VALUE"""),9115)</f>
        <v>9115</v>
      </c>
      <c r="E119" s="16">
        <f>IFERROR(__xludf.DUMMYFUNCTION("""COMPUTED_VALUE"""),45912.6458333333)</f>
        <v>45912.6458333333</v>
      </c>
      <c r="F119" s="17">
        <f>IFERROR(__xludf.DUMMYFUNCTION("""COMPUTED_VALUE"""),481492)</f>
        <v>481492</v>
      </c>
      <c r="G119" s="16">
        <f>IFERROR(__xludf.DUMMYFUNCTION("""COMPUTED_VALUE"""),45912.6458333333)</f>
        <v>45912.6458333333</v>
      </c>
      <c r="H119" s="17">
        <f>IFERROR(__xludf.DUMMYFUNCTION("""COMPUTED_VALUE"""),9205)</f>
        <v>9205</v>
      </c>
      <c r="I119" s="16">
        <f>IFERROR(__xludf.DUMMYFUNCTION("""COMPUTED_VALUE"""),45912.6458333333)</f>
        <v>45912.6458333333</v>
      </c>
      <c r="J119" s="17">
        <f>IFERROR(__xludf.DUMMYFUNCTION("""COMPUTED_VALUE"""),8979.5)</f>
        <v>8979.5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IFERROR(__xludf.DUMMYFUNCTION("""COMPUTED_VALUE"""),9025)</f>
        <v>9025</v>
      </c>
      <c r="C120" s="16">
        <f>IFERROR(__xludf.DUMMYFUNCTION("""COMPUTED_VALUE"""),45915.6458333333)</f>
        <v>45915.6458333333</v>
      </c>
      <c r="D120" s="17">
        <f>IFERROR(__xludf.DUMMYFUNCTION("""COMPUTED_VALUE"""),9026.5)</f>
        <v>9026.5</v>
      </c>
      <c r="E120" s="16">
        <f>IFERROR(__xludf.DUMMYFUNCTION("""COMPUTED_VALUE"""),45915.6458333333)</f>
        <v>45915.6458333333</v>
      </c>
      <c r="F120" s="17">
        <f>IFERROR(__xludf.DUMMYFUNCTION("""COMPUTED_VALUE"""),325549)</f>
        <v>325549</v>
      </c>
      <c r="G120" s="16">
        <f>IFERROR(__xludf.DUMMYFUNCTION("""COMPUTED_VALUE"""),45915.6458333333)</f>
        <v>45915.6458333333</v>
      </c>
      <c r="H120" s="17">
        <f>IFERROR(__xludf.DUMMYFUNCTION("""COMPUTED_VALUE"""),9091.5)</f>
        <v>9091.5</v>
      </c>
      <c r="I120" s="16">
        <f>IFERROR(__xludf.DUMMYFUNCTION("""COMPUTED_VALUE"""),45915.6458333333)</f>
        <v>45915.6458333333</v>
      </c>
      <c r="J120" s="17">
        <f>IFERROR(__xludf.DUMMYFUNCTION("""COMPUTED_VALUE"""),8964)</f>
        <v>8964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IFERROR(__xludf.DUMMYFUNCTION("""COMPUTED_VALUE"""),9072.5)</f>
        <v>9072.5</v>
      </c>
      <c r="C121" s="16">
        <f>IFERROR(__xludf.DUMMYFUNCTION("""COMPUTED_VALUE"""),45916.6458333333)</f>
        <v>45916.6458333333</v>
      </c>
      <c r="D121" s="17">
        <f>IFERROR(__xludf.DUMMYFUNCTION("""COMPUTED_VALUE"""),9032)</f>
        <v>9032</v>
      </c>
      <c r="E121" s="16">
        <f>IFERROR(__xludf.DUMMYFUNCTION("""COMPUTED_VALUE"""),45916.6458333333)</f>
        <v>45916.6458333333</v>
      </c>
      <c r="F121" s="17">
        <f>IFERROR(__xludf.DUMMYFUNCTION("""COMPUTED_VALUE"""),219134)</f>
        <v>219134</v>
      </c>
      <c r="G121" s="16">
        <f>IFERROR(__xludf.DUMMYFUNCTION("""COMPUTED_VALUE"""),45916.6458333333)</f>
        <v>45916.6458333333</v>
      </c>
      <c r="H121" s="17">
        <f>IFERROR(__xludf.DUMMYFUNCTION("""COMPUTED_VALUE"""),9099)</f>
        <v>9099</v>
      </c>
      <c r="I121" s="16">
        <f>IFERROR(__xludf.DUMMYFUNCTION("""COMPUTED_VALUE"""),45916.6458333333)</f>
        <v>45916.6458333333</v>
      </c>
      <c r="J121" s="17">
        <f>IFERROR(__xludf.DUMMYFUNCTION("""COMPUTED_VALUE"""),9020)</f>
        <v>9020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IFERROR(__xludf.DUMMYFUNCTION("""COMPUTED_VALUE"""),9084)</f>
        <v>9084</v>
      </c>
      <c r="C122" s="16">
        <f>IFERROR(__xludf.DUMMYFUNCTION("""COMPUTED_VALUE"""),45917.6458333333)</f>
        <v>45917.6458333333</v>
      </c>
      <c r="D122" s="17">
        <f>IFERROR(__xludf.DUMMYFUNCTION("""COMPUTED_VALUE"""),9076.5)</f>
        <v>9076.5</v>
      </c>
      <c r="E122" s="16">
        <f>IFERROR(__xludf.DUMMYFUNCTION("""COMPUTED_VALUE"""),45917.6458333333)</f>
        <v>45917.6458333333</v>
      </c>
      <c r="F122" s="17">
        <f>IFERROR(__xludf.DUMMYFUNCTION("""COMPUTED_VALUE"""),172732)</f>
        <v>172732</v>
      </c>
      <c r="G122" s="16">
        <f>IFERROR(__xludf.DUMMYFUNCTION("""COMPUTED_VALUE"""),45917.6458333333)</f>
        <v>45917.6458333333</v>
      </c>
      <c r="H122" s="17">
        <f>IFERROR(__xludf.DUMMYFUNCTION("""COMPUTED_VALUE"""),9136)</f>
        <v>9136</v>
      </c>
      <c r="I122" s="16">
        <f>IFERROR(__xludf.DUMMYFUNCTION("""COMPUTED_VALUE"""),45917.6458333333)</f>
        <v>45917.6458333333</v>
      </c>
      <c r="J122" s="17">
        <f>IFERROR(__xludf.DUMMYFUNCTION("""COMPUTED_VALUE"""),9070)</f>
        <v>9070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IFERROR(__xludf.DUMMYFUNCTION("""COMPUTED_VALUE"""),9075)</f>
        <v>9075</v>
      </c>
      <c r="C123" s="16">
        <f>IFERROR(__xludf.DUMMYFUNCTION("""COMPUTED_VALUE"""),45918.6458333333)</f>
        <v>45918.6458333333</v>
      </c>
      <c r="D123" s="17">
        <f>IFERROR(__xludf.DUMMYFUNCTION("""COMPUTED_VALUE"""),9099.5)</f>
        <v>9099.5</v>
      </c>
      <c r="E123" s="16">
        <f>IFERROR(__xludf.DUMMYFUNCTION("""COMPUTED_VALUE"""),45918.6458333333)</f>
        <v>45918.6458333333</v>
      </c>
      <c r="F123" s="17">
        <f>IFERROR(__xludf.DUMMYFUNCTION("""COMPUTED_VALUE"""),183574)</f>
        <v>183574</v>
      </c>
      <c r="G123" s="16">
        <f>IFERROR(__xludf.DUMMYFUNCTION("""COMPUTED_VALUE"""),45918.6458333333)</f>
        <v>45918.6458333333</v>
      </c>
      <c r="H123" s="17">
        <f>IFERROR(__xludf.DUMMYFUNCTION("""COMPUTED_VALUE"""),9115)</f>
        <v>9115</v>
      </c>
      <c r="I123" s="16">
        <f>IFERROR(__xludf.DUMMYFUNCTION("""COMPUTED_VALUE"""),45918.6458333333)</f>
        <v>45918.6458333333</v>
      </c>
      <c r="J123" s="17">
        <f>IFERROR(__xludf.DUMMYFUNCTION("""COMPUTED_VALUE"""),9025)</f>
        <v>9025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IFERROR(__xludf.DUMMYFUNCTION("""COMPUTED_VALUE"""),8971.5)</f>
        <v>8971.5</v>
      </c>
      <c r="C124" s="16">
        <f>IFERROR(__xludf.DUMMYFUNCTION("""COMPUTED_VALUE"""),45919.6458333333)</f>
        <v>45919.6458333333</v>
      </c>
      <c r="D124" s="17">
        <f>IFERROR(__xludf.DUMMYFUNCTION("""COMPUTED_VALUE"""),9050)</f>
        <v>9050</v>
      </c>
      <c r="E124" s="16">
        <f>IFERROR(__xludf.DUMMYFUNCTION("""COMPUTED_VALUE"""),45919.6458333333)</f>
        <v>45919.6458333333</v>
      </c>
      <c r="F124" s="17">
        <f>IFERROR(__xludf.DUMMYFUNCTION("""COMPUTED_VALUE"""),467648)</f>
        <v>467648</v>
      </c>
      <c r="G124" s="16">
        <f>IFERROR(__xludf.DUMMYFUNCTION("""COMPUTED_VALUE"""),45919.6458333333)</f>
        <v>45919.6458333333</v>
      </c>
      <c r="H124" s="17">
        <f>IFERROR(__xludf.DUMMYFUNCTION("""COMPUTED_VALUE"""),9063.5)</f>
        <v>9063.5</v>
      </c>
      <c r="I124" s="16">
        <f>IFERROR(__xludf.DUMMYFUNCTION("""COMPUTED_VALUE"""),45919.6458333333)</f>
        <v>45919.6458333333</v>
      </c>
      <c r="J124" s="17">
        <f>IFERROR(__xludf.DUMMYFUNCTION("""COMPUTED_VALUE"""),8950.5)</f>
        <v>8950.5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IFERROR(__xludf.DUMMYFUNCTION("""COMPUTED_VALUE"""),9054.5)</f>
        <v>9054.5</v>
      </c>
      <c r="C125" s="16">
        <f>IFERROR(__xludf.DUMMYFUNCTION("""COMPUTED_VALUE"""),45922.6458333333)</f>
        <v>45922.6458333333</v>
      </c>
      <c r="D125" s="17">
        <f>IFERROR(__xludf.DUMMYFUNCTION("""COMPUTED_VALUE"""),8971.5)</f>
        <v>8971.5</v>
      </c>
      <c r="E125" s="16">
        <f>IFERROR(__xludf.DUMMYFUNCTION("""COMPUTED_VALUE"""),45922.6458333333)</f>
        <v>45922.6458333333</v>
      </c>
      <c r="F125" s="17">
        <f>IFERROR(__xludf.DUMMYFUNCTION("""COMPUTED_VALUE"""),525239)</f>
        <v>525239</v>
      </c>
      <c r="G125" s="16">
        <f>IFERROR(__xludf.DUMMYFUNCTION("""COMPUTED_VALUE"""),45922.6458333333)</f>
        <v>45922.6458333333</v>
      </c>
      <c r="H125" s="17">
        <f>IFERROR(__xludf.DUMMYFUNCTION("""COMPUTED_VALUE"""),9195)</f>
        <v>9195</v>
      </c>
      <c r="I125" s="16">
        <f>IFERROR(__xludf.DUMMYFUNCTION("""COMPUTED_VALUE"""),45922.6458333333)</f>
        <v>45922.6458333333</v>
      </c>
      <c r="J125" s="17">
        <f>IFERROR(__xludf.DUMMYFUNCTION("""COMPUTED_VALUE"""),8959.5)</f>
        <v>8959.5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IFERROR(__xludf.DUMMYFUNCTION("""COMPUTED_VALUE"""),8984.5)</f>
        <v>8984.5</v>
      </c>
      <c r="C126" s="16">
        <f>IFERROR(__xludf.DUMMYFUNCTION("""COMPUTED_VALUE"""),45923.6458333333)</f>
        <v>45923.6458333333</v>
      </c>
      <c r="D126" s="17">
        <f>IFERROR(__xludf.DUMMYFUNCTION("""COMPUTED_VALUE"""),9079)</f>
        <v>9079</v>
      </c>
      <c r="E126" s="16">
        <f>IFERROR(__xludf.DUMMYFUNCTION("""COMPUTED_VALUE"""),45923.6458333333)</f>
        <v>45923.6458333333</v>
      </c>
      <c r="F126" s="17">
        <f>IFERROR(__xludf.DUMMYFUNCTION("""COMPUTED_VALUE"""),451186)</f>
        <v>451186</v>
      </c>
      <c r="G126" s="16">
        <f>IFERROR(__xludf.DUMMYFUNCTION("""COMPUTED_VALUE"""),45923.6458333333)</f>
        <v>45923.6458333333</v>
      </c>
      <c r="H126" s="17">
        <f>IFERROR(__xludf.DUMMYFUNCTION("""COMPUTED_VALUE"""),9225)</f>
        <v>9225</v>
      </c>
      <c r="I126" s="16">
        <f>IFERROR(__xludf.DUMMYFUNCTION("""COMPUTED_VALUE"""),45923.6458333333)</f>
        <v>45923.6458333333</v>
      </c>
      <c r="J126" s="17">
        <f>IFERROR(__xludf.DUMMYFUNCTION("""COMPUTED_VALUE"""),8950)</f>
        <v>8950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IFERROR(__xludf.DUMMYFUNCTION("""COMPUTED_VALUE"""),8839)</f>
        <v>8839</v>
      </c>
      <c r="C127" s="16">
        <f>IFERROR(__xludf.DUMMYFUNCTION("""COMPUTED_VALUE"""),45924.6458333333)</f>
        <v>45924.6458333333</v>
      </c>
      <c r="D127" s="17">
        <f>IFERROR(__xludf.DUMMYFUNCTION("""COMPUTED_VALUE"""),8990)</f>
        <v>8990</v>
      </c>
      <c r="E127" s="16">
        <f>IFERROR(__xludf.DUMMYFUNCTION("""COMPUTED_VALUE"""),45924.6458333333)</f>
        <v>45924.6458333333</v>
      </c>
      <c r="F127" s="17">
        <f>IFERROR(__xludf.DUMMYFUNCTION("""COMPUTED_VALUE"""),240914)</f>
        <v>240914</v>
      </c>
      <c r="G127" s="16">
        <f>IFERROR(__xludf.DUMMYFUNCTION("""COMPUTED_VALUE"""),45924.6458333333)</f>
        <v>45924.6458333333</v>
      </c>
      <c r="H127" s="17">
        <f>IFERROR(__xludf.DUMMYFUNCTION("""COMPUTED_VALUE"""),8999)</f>
        <v>8999</v>
      </c>
      <c r="I127" s="16">
        <f>IFERROR(__xludf.DUMMYFUNCTION("""COMPUTED_VALUE"""),45924.6458333333)</f>
        <v>45924.6458333333</v>
      </c>
      <c r="J127" s="17">
        <f>IFERROR(__xludf.DUMMYFUNCTION("""COMPUTED_VALUE"""),8804)</f>
        <v>8804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IFERROR(__xludf.DUMMYFUNCTION("""COMPUTED_VALUE"""),8842.5)</f>
        <v>8842.5</v>
      </c>
      <c r="C128" s="16">
        <f>IFERROR(__xludf.DUMMYFUNCTION("""COMPUTED_VALUE"""),45925.6458333333)</f>
        <v>45925.6458333333</v>
      </c>
      <c r="D128" s="17">
        <f>IFERROR(__xludf.DUMMYFUNCTION("""COMPUTED_VALUE"""),8821)</f>
        <v>8821</v>
      </c>
      <c r="E128" s="16">
        <f>IFERROR(__xludf.DUMMYFUNCTION("""COMPUTED_VALUE"""),45925.6458333333)</f>
        <v>45925.6458333333</v>
      </c>
      <c r="F128" s="17">
        <f>IFERROR(__xludf.DUMMYFUNCTION("""COMPUTED_VALUE"""),441002)</f>
        <v>441002</v>
      </c>
      <c r="G128" s="16">
        <f>IFERROR(__xludf.DUMMYFUNCTION("""COMPUTED_VALUE"""),45925.6458333333)</f>
        <v>45925.6458333333</v>
      </c>
      <c r="H128" s="17">
        <f>IFERROR(__xludf.DUMMYFUNCTION("""COMPUTED_VALUE"""),8910)</f>
        <v>8910</v>
      </c>
      <c r="I128" s="16">
        <f>IFERROR(__xludf.DUMMYFUNCTION("""COMPUTED_VALUE"""),45925.6458333333)</f>
        <v>45925.6458333333</v>
      </c>
      <c r="J128" s="17">
        <f>IFERROR(__xludf.DUMMYFUNCTION("""COMPUTED_VALUE"""),8758)</f>
        <v>8758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IFERROR(__xludf.DUMMYFUNCTION("""COMPUTED_VALUE"""),8702)</f>
        <v>8702</v>
      </c>
      <c r="C129" s="47">
        <f>IFERROR(__xludf.DUMMYFUNCTION("""COMPUTED_VALUE"""),45926.6458333333)</f>
        <v>45926.6458333333</v>
      </c>
      <c r="D129" s="48">
        <f>IFERROR(__xludf.DUMMYFUNCTION("""COMPUTED_VALUE"""),8830)</f>
        <v>8830</v>
      </c>
      <c r="E129" s="47">
        <f>IFERROR(__xludf.DUMMYFUNCTION("""COMPUTED_VALUE"""),45926.6458333333)</f>
        <v>45926.6458333333</v>
      </c>
      <c r="F129" s="48">
        <f>IFERROR(__xludf.DUMMYFUNCTION("""COMPUTED_VALUE"""),335841)</f>
        <v>335841</v>
      </c>
      <c r="G129" s="47">
        <f>IFERROR(__xludf.DUMMYFUNCTION("""COMPUTED_VALUE"""),45926.6458333333)</f>
        <v>45926.6458333333</v>
      </c>
      <c r="H129" s="48">
        <f>IFERROR(__xludf.DUMMYFUNCTION("""COMPUTED_VALUE"""),8880)</f>
        <v>8880</v>
      </c>
      <c r="I129" s="47">
        <f>IFERROR(__xludf.DUMMYFUNCTION("""COMPUTED_VALUE"""),45926.6458333333)</f>
        <v>45926.6458333333</v>
      </c>
      <c r="J129" s="48">
        <f>IFERROR(__xludf.DUMMYFUNCTION("""COMPUTED_VALUE"""),8668)</f>
        <v>8668</v>
      </c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24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""price"")"),985)</f>
        <v>985</v>
      </c>
      <c r="I3" s="22" t="s">
        <v>269</v>
      </c>
      <c r="J3" s="23">
        <f>IFERROR(__xludf.DUMMYFUNCTION("GOOGLEFINANCE(L3, ""volume"")"),9109737)</f>
        <v>9109737</v>
      </c>
      <c r="K3" s="24" t="s">
        <v>270</v>
      </c>
      <c r="L3" s="25" t="str">
        <f>Mastersheet!B8</f>
        <v>NSE:BAJFINANCE</v>
      </c>
      <c r="M3" s="26">
        <f>IFERROR(__xludf.DUMMYFUNCTION("""COMPUTED_VALUE"""),45926.6458333333)</f>
        <v>45926.6458333333</v>
      </c>
      <c r="N3" s="27">
        <f>IFERROR(__xludf.DUMMYFUNCTION("""COMPUTED_VALUE"""),985.1)</f>
        <v>985.1</v>
      </c>
      <c r="O3" s="26">
        <f>IFERROR(__xludf.DUMMYFUNCTION("""COMPUTED_VALUE"""),45926.6458333333)</f>
        <v>45926.6458333333</v>
      </c>
      <c r="P3" s="27">
        <f>IFERROR(__xludf.DUMMYFUNCTION("""COMPUTED_VALUE"""),1008.05)</f>
        <v>1008.05</v>
      </c>
      <c r="Q3" s="16">
        <f>IFERROR(__xludf.DUMMYFUNCTION("""COMPUTED_VALUE"""),45926.6458333333)</f>
        <v>45926.6458333333</v>
      </c>
      <c r="R3" s="17">
        <f>IFERROR(__xludf.DUMMYFUNCTION("""COMPUTED_VALUE"""),1010.5)</f>
        <v>1010.5</v>
      </c>
      <c r="S3" s="16">
        <f>IFERROR(__xludf.DUMMYFUNCTION("""COMPUTED_VALUE"""),45926.6458333333)</f>
        <v>45926.6458333333</v>
      </c>
      <c r="T3" s="17">
        <f>IFERROR(__xludf.DUMMYFUNCTION("""COMPUTED_VALUE"""),981.05)</f>
        <v>981.05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IFERROR(__xludf.DUMMYFUNCTION("""COMPUTED_VALUE"""),900.39)</f>
        <v>900.39</v>
      </c>
      <c r="C5" s="14">
        <f>IFERROR(__xludf.DUMMYFUNCTION("""COMPUTED_VALUE"""),45743.6458333333)</f>
        <v>45743.6458333333</v>
      </c>
      <c r="D5" s="15">
        <f>IFERROR(__xludf.DUMMYFUNCTION("""COMPUTED_VALUE"""),886.1)</f>
        <v>886.1</v>
      </c>
      <c r="E5" s="14">
        <f>IFERROR(__xludf.DUMMYFUNCTION("""COMPUTED_VALUE"""),45743.6458333333)</f>
        <v>45743.6458333333</v>
      </c>
      <c r="F5" s="15">
        <f>IFERROR(__xludf.DUMMYFUNCTION("""COMPUTED_VALUE"""),2092044)</f>
        <v>2092044</v>
      </c>
      <c r="G5" s="14">
        <f>IFERROR(__xludf.DUMMYFUNCTION("""COMPUTED_VALUE"""),45743.6458333333)</f>
        <v>45743.6458333333</v>
      </c>
      <c r="H5" s="15">
        <f>IFERROR(__xludf.DUMMYFUNCTION("""COMPUTED_VALUE"""),905.54)</f>
        <v>905.54</v>
      </c>
      <c r="I5" s="30">
        <f>IFERROR(__xludf.DUMMYFUNCTION("""COMPUTED_VALUE"""),45743.6458333333)</f>
        <v>45743.6458333333</v>
      </c>
      <c r="J5" s="3">
        <f>IFERROR(__xludf.DUMMYFUNCTION("""COMPUTED_VALUE"""),882.23)</f>
        <v>882.23</v>
      </c>
      <c r="K5" s="5"/>
      <c r="L5" s="5"/>
      <c r="M5" s="3">
        <f t="array" ref="M5">INDEX(K11:K124,MATCH(SMALL(ABS(K11:K124-H3),1),ABS(K11:K124-H3),0))</f>
        <v>968.3</v>
      </c>
      <c r="N5" s="3">
        <f t="array" ref="N5">INDEX(K11:K124,MATCH(SMALL(ABS(K11:K124-H3),2),ABS(K11:K124-H3),0))</f>
        <v>960.75</v>
      </c>
      <c r="O5" s="3">
        <f t="array" ref="O5">INDEX(L11:L124,MATCH(SMALL(ABS(L11:L124-H3),1),ABS(L11:L124-H3),0))</f>
        <v>918.85</v>
      </c>
      <c r="P5" s="3">
        <f t="array" ref="P5">INDEX(L11:L124,MATCH(SMALL(ABS(L11:L124-H3),2),ABS(L11:L124-H3),0))</f>
        <v>910.15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856.8</v>
      </c>
      <c r="T5" s="17">
        <f ca="1">IF(AND(H3&gt;=Mastersheet!I3*S5,H3&lt;=Mastersheet!J3*S5),1,0)</f>
        <v>0</v>
      </c>
      <c r="U5" s="36">
        <f>(N3+P3)/2</f>
        <v>996.575</v>
      </c>
      <c r="V5" s="17">
        <f>(N3+P3+R3+T3)/4</f>
        <v>996.175</v>
      </c>
      <c r="W5" s="17">
        <f>IF(V5&gt;U5,1,0)</f>
        <v>0</v>
      </c>
      <c r="X5" s="17">
        <f>IF(V5&gt;U5,0,1)</f>
        <v>1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IFERROR(__xludf.DUMMYFUNCTION("""COMPUTED_VALUE"""),894.56)</f>
        <v>894.56</v>
      </c>
      <c r="C6" s="16">
        <f>IFERROR(__xludf.DUMMYFUNCTION("""COMPUTED_VALUE"""),45744.6458333333)</f>
        <v>45744.6458333333</v>
      </c>
      <c r="D6" s="17">
        <f>IFERROR(__xludf.DUMMYFUNCTION("""COMPUTED_VALUE"""),899.76)</f>
        <v>899.76</v>
      </c>
      <c r="E6" s="16">
        <f>IFERROR(__xludf.DUMMYFUNCTION("""COMPUTED_VALUE"""),45744.6458333333)</f>
        <v>45744.6458333333</v>
      </c>
      <c r="F6" s="17">
        <f>IFERROR(__xludf.DUMMYFUNCTION("""COMPUTED_VALUE"""),977099)</f>
        <v>977099</v>
      </c>
      <c r="G6" s="16">
        <f>IFERROR(__xludf.DUMMYFUNCTION("""COMPUTED_VALUE"""),45744.6458333333)</f>
        <v>45744.6458333333</v>
      </c>
      <c r="H6" s="17">
        <f>IFERROR(__xludf.DUMMYFUNCTION("""COMPUTED_VALUE"""),902.89)</f>
        <v>902.89</v>
      </c>
      <c r="I6" s="16">
        <f>IFERROR(__xludf.DUMMYFUNCTION("""COMPUTED_VALUE"""),45744.6458333333)</f>
        <v>45744.6458333333</v>
      </c>
      <c r="J6" s="17">
        <f>IFERROR(__xludf.DUMMYFUNCTION("""COMPUTED_VALUE"""),886.1)</f>
        <v>886.1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1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IFERROR(__xludf.DUMMYFUNCTION("""COMPUTED_VALUE"""),869.82)</f>
        <v>869.82</v>
      </c>
      <c r="C7" s="16">
        <f>IFERROR(__xludf.DUMMYFUNCTION("""COMPUTED_VALUE"""),45748.6458333333)</f>
        <v>45748.6458333333</v>
      </c>
      <c r="D7" s="17">
        <f>IFERROR(__xludf.DUMMYFUNCTION("""COMPUTED_VALUE"""),878.33)</f>
        <v>878.33</v>
      </c>
      <c r="E7" s="16">
        <f>IFERROR(__xludf.DUMMYFUNCTION("""COMPUTED_VALUE"""),45748.6458333333)</f>
        <v>45748.6458333333</v>
      </c>
      <c r="F7" s="17">
        <f>IFERROR(__xludf.DUMMYFUNCTION("""COMPUTED_VALUE"""),1183424)</f>
        <v>1183424</v>
      </c>
      <c r="G7" s="16">
        <f>IFERROR(__xludf.DUMMYFUNCTION("""COMPUTED_VALUE"""),45748.6458333333)</f>
        <v>45748.6458333333</v>
      </c>
      <c r="H7" s="17">
        <f>IFERROR(__xludf.DUMMYFUNCTION("""COMPUTED_VALUE"""),892.5)</f>
        <v>892.5</v>
      </c>
      <c r="I7" s="16">
        <f>IFERROR(__xludf.DUMMYFUNCTION("""COMPUTED_VALUE"""),45748.6458333333)</f>
        <v>45748.6458333333</v>
      </c>
      <c r="J7" s="17">
        <f>IFERROR(__xludf.DUMMYFUNCTION("""COMPUTED_VALUE"""),867.1)</f>
        <v>867.1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IFERROR(__xludf.DUMMYFUNCTION("""COMPUTED_VALUE"""),866.93)</f>
        <v>866.93</v>
      </c>
      <c r="C8" s="16">
        <f>IFERROR(__xludf.DUMMYFUNCTION("""COMPUTED_VALUE"""),45749.6458333333)</f>
        <v>45749.6458333333</v>
      </c>
      <c r="D8" s="17">
        <f>IFERROR(__xludf.DUMMYFUNCTION("""COMPUTED_VALUE"""),873)</f>
        <v>873</v>
      </c>
      <c r="E8" s="16">
        <f>IFERROR(__xludf.DUMMYFUNCTION("""COMPUTED_VALUE"""),45749.6458333333)</f>
        <v>45749.6458333333</v>
      </c>
      <c r="F8" s="17">
        <f>IFERROR(__xludf.DUMMYFUNCTION("""COMPUTED_VALUE"""),646495)</f>
        <v>646495</v>
      </c>
      <c r="G8" s="16">
        <f>IFERROR(__xludf.DUMMYFUNCTION("""COMPUTED_VALUE"""),45749.6458333333)</f>
        <v>45749.6458333333</v>
      </c>
      <c r="H8" s="17">
        <f>IFERROR(__xludf.DUMMYFUNCTION("""COMPUTED_VALUE"""),875.99)</f>
        <v>875.99</v>
      </c>
      <c r="I8" s="16">
        <f>IFERROR(__xludf.DUMMYFUNCTION("""COMPUTED_VALUE"""),45749.6458333333)</f>
        <v>45749.6458333333</v>
      </c>
      <c r="J8" s="17">
        <f>IFERROR(__xludf.DUMMYFUNCTION("""COMPUTED_VALUE"""),861.2)</f>
        <v>861.2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IFERROR(__xludf.DUMMYFUNCTION("""COMPUTED_VALUE"""),859.46)</f>
        <v>859.46</v>
      </c>
      <c r="C9" s="16">
        <f>IFERROR(__xludf.DUMMYFUNCTION("""COMPUTED_VALUE"""),45750.6458333333)</f>
        <v>45750.6458333333</v>
      </c>
      <c r="D9" s="17">
        <f>IFERROR(__xludf.DUMMYFUNCTION("""COMPUTED_VALUE"""),865)</f>
        <v>865</v>
      </c>
      <c r="E9" s="16">
        <f>IFERROR(__xludf.DUMMYFUNCTION("""COMPUTED_VALUE"""),45750.6458333333)</f>
        <v>45750.6458333333</v>
      </c>
      <c r="F9" s="17">
        <f>IFERROR(__xludf.DUMMYFUNCTION("""COMPUTED_VALUE"""),1396633)</f>
        <v>1396633</v>
      </c>
      <c r="G9" s="16">
        <f>IFERROR(__xludf.DUMMYFUNCTION("""COMPUTED_VALUE"""),45750.6458333333)</f>
        <v>45750.6458333333</v>
      </c>
      <c r="H9" s="17">
        <f>IFERROR(__xludf.DUMMYFUNCTION("""COMPUTED_VALUE"""),876.5)</f>
        <v>876.5</v>
      </c>
      <c r="I9" s="16">
        <f>IFERROR(__xludf.DUMMYFUNCTION("""COMPUTED_VALUE"""),45750.6458333333)</f>
        <v>45750.6458333333</v>
      </c>
      <c r="J9" s="17">
        <f>IFERROR(__xludf.DUMMYFUNCTION("""COMPUTED_VALUE"""),846.02)</f>
        <v>846.02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IFERROR(__xludf.DUMMYFUNCTION("""COMPUTED_VALUE"""),871.89)</f>
        <v>871.89</v>
      </c>
      <c r="C10" s="16">
        <f>IFERROR(__xludf.DUMMYFUNCTION("""COMPUTED_VALUE"""),45751.6458333333)</f>
        <v>45751.6458333333</v>
      </c>
      <c r="D10" s="17">
        <f>IFERROR(__xludf.DUMMYFUNCTION("""COMPUTED_VALUE"""),865.6)</f>
        <v>865.6</v>
      </c>
      <c r="E10" s="16">
        <f>IFERROR(__xludf.DUMMYFUNCTION("""COMPUTED_VALUE"""),45751.6458333333)</f>
        <v>45751.6458333333</v>
      </c>
      <c r="F10" s="17">
        <f>IFERROR(__xludf.DUMMYFUNCTION("""COMPUTED_VALUE"""),1849658)</f>
        <v>1849658</v>
      </c>
      <c r="G10" s="16">
        <f>IFERROR(__xludf.DUMMYFUNCTION("""COMPUTED_VALUE"""),45751.6458333333)</f>
        <v>45751.6458333333</v>
      </c>
      <c r="H10" s="17">
        <f>IFERROR(__xludf.DUMMYFUNCTION("""COMPUTED_VALUE"""),879.7)</f>
        <v>879.7</v>
      </c>
      <c r="I10" s="16">
        <f>IFERROR(__xludf.DUMMYFUNCTION("""COMPUTED_VALUE"""),45751.6458333333)</f>
        <v>45751.6458333333</v>
      </c>
      <c r="J10" s="17">
        <f>IFERROR(__xludf.DUMMYFUNCTION("""COMPUTED_VALUE"""),858.38)</f>
        <v>858.38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IFERROR(__xludf.DUMMYFUNCTION("""COMPUTED_VALUE"""),856.8)</f>
        <v>856.8</v>
      </c>
      <c r="C11" s="16">
        <f>IFERROR(__xludf.DUMMYFUNCTION("""COMPUTED_VALUE"""),45754.6458333333)</f>
        <v>45754.6458333333</v>
      </c>
      <c r="D11" s="17">
        <f>IFERROR(__xludf.DUMMYFUNCTION("""COMPUTED_VALUE"""),834)</f>
        <v>834</v>
      </c>
      <c r="E11" s="16">
        <f>IFERROR(__xludf.DUMMYFUNCTION("""COMPUTED_VALUE"""),45754.6458333333)</f>
        <v>45754.6458333333</v>
      </c>
      <c r="F11" s="17">
        <f>IFERROR(__xludf.DUMMYFUNCTION("""COMPUTED_VALUE"""),1398124)</f>
        <v>1398124</v>
      </c>
      <c r="G11" s="16">
        <f>IFERROR(__xludf.DUMMYFUNCTION("""COMPUTED_VALUE"""),45754.6458333333)</f>
        <v>45754.6458333333</v>
      </c>
      <c r="H11" s="17">
        <f>IFERROR(__xludf.DUMMYFUNCTION("""COMPUTED_VALUE"""),860.05)</f>
        <v>860.05</v>
      </c>
      <c r="I11" s="16">
        <f>IFERROR(__xludf.DUMMYFUNCTION("""COMPUTED_VALUE"""),45754.6458333333)</f>
        <v>45754.6458333333</v>
      </c>
      <c r="J11" s="17">
        <f>IFERROR(__xludf.DUMMYFUNCTION("""COMPUTED_VALUE"""),830.72)</f>
        <v>830.72</v>
      </c>
      <c r="K11" s="3">
        <f t="shared" ref="K11:K125" si="2">IF(B11=MAX(B5:B17),B11,0)</f>
        <v>0</v>
      </c>
      <c r="L11" s="3">
        <f t="shared" ref="L11:L125" si="3">IF(B11=MIN(B5:B17),B11,0)</f>
        <v>856.8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IFERROR(__xludf.DUMMYFUNCTION("""COMPUTED_VALUE"""),882.23)</f>
        <v>882.23</v>
      </c>
      <c r="C12" s="16">
        <f>IFERROR(__xludf.DUMMYFUNCTION("""COMPUTED_VALUE"""),45755.6458333333)</f>
        <v>45755.6458333333</v>
      </c>
      <c r="D12" s="17">
        <f>IFERROR(__xludf.DUMMYFUNCTION("""COMPUTED_VALUE"""),865)</f>
        <v>865</v>
      </c>
      <c r="E12" s="16">
        <f>IFERROR(__xludf.DUMMYFUNCTION("""COMPUTED_VALUE"""),45755.6458333333)</f>
        <v>45755.6458333333</v>
      </c>
      <c r="F12" s="17">
        <f>IFERROR(__xludf.DUMMYFUNCTION("""COMPUTED_VALUE"""),1477563)</f>
        <v>1477563</v>
      </c>
      <c r="G12" s="16">
        <f>IFERROR(__xludf.DUMMYFUNCTION("""COMPUTED_VALUE"""),45755.6458333333)</f>
        <v>45755.6458333333</v>
      </c>
      <c r="H12" s="17">
        <f>IFERROR(__xludf.DUMMYFUNCTION("""COMPUTED_VALUE"""),887.3)</f>
        <v>887.3</v>
      </c>
      <c r="I12" s="16">
        <f>IFERROR(__xludf.DUMMYFUNCTION("""COMPUTED_VALUE"""),45755.6458333333)</f>
        <v>45755.6458333333</v>
      </c>
      <c r="J12" s="17">
        <f>IFERROR(__xludf.DUMMYFUNCTION("""COMPUTED_VALUE"""),865)</f>
        <v>865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IFERROR(__xludf.DUMMYFUNCTION("""COMPUTED_VALUE"""),873.58)</f>
        <v>873.58</v>
      </c>
      <c r="C13" s="16">
        <f>IFERROR(__xludf.DUMMYFUNCTION("""COMPUTED_VALUE"""),45756.6458333333)</f>
        <v>45756.6458333333</v>
      </c>
      <c r="D13" s="17">
        <f>IFERROR(__xludf.DUMMYFUNCTION("""COMPUTED_VALUE"""),881.5)</f>
        <v>881.5</v>
      </c>
      <c r="E13" s="16">
        <f>IFERROR(__xludf.DUMMYFUNCTION("""COMPUTED_VALUE"""),45756.6458333333)</f>
        <v>45756.6458333333</v>
      </c>
      <c r="F13" s="17">
        <f>IFERROR(__xludf.DUMMYFUNCTION("""COMPUTED_VALUE"""),1048774)</f>
        <v>1048774</v>
      </c>
      <c r="G13" s="16">
        <f>IFERROR(__xludf.DUMMYFUNCTION("""COMPUTED_VALUE"""),45756.6458333333)</f>
        <v>45756.6458333333</v>
      </c>
      <c r="H13" s="17">
        <f>IFERROR(__xludf.DUMMYFUNCTION("""COMPUTED_VALUE"""),884.2)</f>
        <v>884.2</v>
      </c>
      <c r="I13" s="16">
        <f>IFERROR(__xludf.DUMMYFUNCTION("""COMPUTED_VALUE"""),45756.6458333333)</f>
        <v>45756.6458333333</v>
      </c>
      <c r="J13" s="17">
        <f>IFERROR(__xludf.DUMMYFUNCTION("""COMPUTED_VALUE"""),862.5)</f>
        <v>862.5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IFERROR(__xludf.DUMMYFUNCTION("""COMPUTED_VALUE"""),892.11)</f>
        <v>892.11</v>
      </c>
      <c r="C14" s="16">
        <f>IFERROR(__xludf.DUMMYFUNCTION("""COMPUTED_VALUE"""),45758.6458333333)</f>
        <v>45758.6458333333</v>
      </c>
      <c r="D14" s="17">
        <f>IFERROR(__xludf.DUMMYFUNCTION("""COMPUTED_VALUE"""),882.51)</f>
        <v>882.51</v>
      </c>
      <c r="E14" s="16">
        <f>IFERROR(__xludf.DUMMYFUNCTION("""COMPUTED_VALUE"""),45758.6458333333)</f>
        <v>45758.6458333333</v>
      </c>
      <c r="F14" s="17">
        <f>IFERROR(__xludf.DUMMYFUNCTION("""COMPUTED_VALUE"""),1009722)</f>
        <v>1009722</v>
      </c>
      <c r="G14" s="16">
        <f>IFERROR(__xludf.DUMMYFUNCTION("""COMPUTED_VALUE"""),45758.6458333333)</f>
        <v>45758.6458333333</v>
      </c>
      <c r="H14" s="17">
        <f>IFERROR(__xludf.DUMMYFUNCTION("""COMPUTED_VALUE"""),897.35)</f>
        <v>897.35</v>
      </c>
      <c r="I14" s="16">
        <f>IFERROR(__xludf.DUMMYFUNCTION("""COMPUTED_VALUE"""),45758.6458333333)</f>
        <v>45758.6458333333</v>
      </c>
      <c r="J14" s="17">
        <f>IFERROR(__xludf.DUMMYFUNCTION("""COMPUTED_VALUE"""),881.07)</f>
        <v>881.07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IFERROR(__xludf.DUMMYFUNCTION("""COMPUTED_VALUE"""),914.1)</f>
        <v>914.1</v>
      </c>
      <c r="C15" s="16">
        <f>IFERROR(__xludf.DUMMYFUNCTION("""COMPUTED_VALUE"""),45762.6458333333)</f>
        <v>45762.6458333333</v>
      </c>
      <c r="D15" s="17">
        <f>IFERROR(__xludf.DUMMYFUNCTION("""COMPUTED_VALUE"""),925.55)</f>
        <v>925.55</v>
      </c>
      <c r="E15" s="16">
        <f>IFERROR(__xludf.DUMMYFUNCTION("""COMPUTED_VALUE"""),45762.6458333333)</f>
        <v>45762.6458333333</v>
      </c>
      <c r="F15" s="17">
        <f>IFERROR(__xludf.DUMMYFUNCTION("""COMPUTED_VALUE"""),1263361)</f>
        <v>1263361</v>
      </c>
      <c r="G15" s="16">
        <f>IFERROR(__xludf.DUMMYFUNCTION("""COMPUTED_VALUE"""),45762.6458333333)</f>
        <v>45762.6458333333</v>
      </c>
      <c r="H15" s="17">
        <f>IFERROR(__xludf.DUMMYFUNCTION("""COMPUTED_VALUE"""),929)</f>
        <v>929</v>
      </c>
      <c r="I15" s="16">
        <f>IFERROR(__xludf.DUMMYFUNCTION("""COMPUTED_VALUE"""),45762.6458333333)</f>
        <v>45762.6458333333</v>
      </c>
      <c r="J15" s="17">
        <f>IFERROR(__xludf.DUMMYFUNCTION("""COMPUTED_VALUE"""),907.55)</f>
        <v>907.55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IFERROR(__xludf.DUMMYFUNCTION("""COMPUTED_VALUE"""),905.65)</f>
        <v>905.65</v>
      </c>
      <c r="C16" s="16">
        <f>IFERROR(__xludf.DUMMYFUNCTION("""COMPUTED_VALUE"""),45763.6458333333)</f>
        <v>45763.6458333333</v>
      </c>
      <c r="D16" s="17">
        <f>IFERROR(__xludf.DUMMYFUNCTION("""COMPUTED_VALUE"""),914.95)</f>
        <v>914.95</v>
      </c>
      <c r="E16" s="16">
        <f>IFERROR(__xludf.DUMMYFUNCTION("""COMPUTED_VALUE"""),45763.6458333333)</f>
        <v>45763.6458333333</v>
      </c>
      <c r="F16" s="17">
        <f>IFERROR(__xludf.DUMMYFUNCTION("""COMPUTED_VALUE"""),719822)</f>
        <v>719822</v>
      </c>
      <c r="G16" s="16">
        <f>IFERROR(__xludf.DUMMYFUNCTION("""COMPUTED_VALUE"""),45763.6458333333)</f>
        <v>45763.6458333333</v>
      </c>
      <c r="H16" s="17">
        <f>IFERROR(__xludf.DUMMYFUNCTION("""COMPUTED_VALUE"""),917.15)</f>
        <v>917.15</v>
      </c>
      <c r="I16" s="16">
        <f>IFERROR(__xludf.DUMMYFUNCTION("""COMPUTED_VALUE"""),45763.6458333333)</f>
        <v>45763.6458333333</v>
      </c>
      <c r="J16" s="17">
        <f>IFERROR(__xludf.DUMMYFUNCTION("""COMPUTED_VALUE"""),896.4)</f>
        <v>896.4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IFERROR(__xludf.DUMMYFUNCTION("""COMPUTED_VALUE"""),916.25)</f>
        <v>916.25</v>
      </c>
      <c r="C17" s="16">
        <f>IFERROR(__xludf.DUMMYFUNCTION("""COMPUTED_VALUE"""),45764.6458333333)</f>
        <v>45764.6458333333</v>
      </c>
      <c r="D17" s="17">
        <f>IFERROR(__xludf.DUMMYFUNCTION("""COMPUTED_VALUE"""),904)</f>
        <v>904</v>
      </c>
      <c r="E17" s="16">
        <f>IFERROR(__xludf.DUMMYFUNCTION("""COMPUTED_VALUE"""),45764.6458333333)</f>
        <v>45764.6458333333</v>
      </c>
      <c r="F17" s="17">
        <f>IFERROR(__xludf.DUMMYFUNCTION("""COMPUTED_VALUE"""),1141513)</f>
        <v>1141513</v>
      </c>
      <c r="G17" s="16">
        <f>IFERROR(__xludf.DUMMYFUNCTION("""COMPUTED_VALUE"""),45764.6458333333)</f>
        <v>45764.6458333333</v>
      </c>
      <c r="H17" s="17">
        <f>IFERROR(__xludf.DUMMYFUNCTION("""COMPUTED_VALUE"""),919)</f>
        <v>919</v>
      </c>
      <c r="I17" s="16">
        <f>IFERROR(__xludf.DUMMYFUNCTION("""COMPUTED_VALUE"""),45764.6458333333)</f>
        <v>45764.6458333333</v>
      </c>
      <c r="J17" s="17">
        <f>IFERROR(__xludf.DUMMYFUNCTION("""COMPUTED_VALUE"""),895.2)</f>
        <v>895.2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IFERROR(__xludf.DUMMYFUNCTION("""COMPUTED_VALUE"""),927.35)</f>
        <v>927.35</v>
      </c>
      <c r="C18" s="16">
        <f>IFERROR(__xludf.DUMMYFUNCTION("""COMPUTED_VALUE"""),45768.6458333333)</f>
        <v>45768.6458333333</v>
      </c>
      <c r="D18" s="17">
        <f>IFERROR(__xludf.DUMMYFUNCTION("""COMPUTED_VALUE"""),917)</f>
        <v>917</v>
      </c>
      <c r="E18" s="16">
        <f>IFERROR(__xludf.DUMMYFUNCTION("""COMPUTED_VALUE"""),45768.6458333333)</f>
        <v>45768.6458333333</v>
      </c>
      <c r="F18" s="17">
        <f>IFERROR(__xludf.DUMMYFUNCTION("""COMPUTED_VALUE"""),782415)</f>
        <v>782415</v>
      </c>
      <c r="G18" s="16">
        <f>IFERROR(__xludf.DUMMYFUNCTION("""COMPUTED_VALUE"""),45768.6458333333)</f>
        <v>45768.6458333333</v>
      </c>
      <c r="H18" s="17">
        <f>IFERROR(__xludf.DUMMYFUNCTION("""COMPUTED_VALUE"""),931.5)</f>
        <v>931.5</v>
      </c>
      <c r="I18" s="16">
        <f>IFERROR(__xludf.DUMMYFUNCTION("""COMPUTED_VALUE"""),45768.6458333333)</f>
        <v>45768.6458333333</v>
      </c>
      <c r="J18" s="17">
        <f>IFERROR(__xludf.DUMMYFUNCTION("""COMPUTED_VALUE"""),914.15)</f>
        <v>914.15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IFERROR(__xludf.DUMMYFUNCTION("""COMPUTED_VALUE"""),926.05)</f>
        <v>926.05</v>
      </c>
      <c r="C19" s="16">
        <f>IFERROR(__xludf.DUMMYFUNCTION("""COMPUTED_VALUE"""),45769.6458333333)</f>
        <v>45769.6458333333</v>
      </c>
      <c r="D19" s="17">
        <f>IFERROR(__xludf.DUMMYFUNCTION("""COMPUTED_VALUE"""),929.5)</f>
        <v>929.5</v>
      </c>
      <c r="E19" s="16">
        <f>IFERROR(__xludf.DUMMYFUNCTION("""COMPUTED_VALUE"""),45769.6458333333)</f>
        <v>45769.6458333333</v>
      </c>
      <c r="F19" s="17">
        <f>IFERROR(__xludf.DUMMYFUNCTION("""COMPUTED_VALUE"""),1129358)</f>
        <v>1129358</v>
      </c>
      <c r="G19" s="16">
        <f>IFERROR(__xludf.DUMMYFUNCTION("""COMPUTED_VALUE"""),45769.6458333333)</f>
        <v>45769.6458333333</v>
      </c>
      <c r="H19" s="17">
        <f>IFERROR(__xludf.DUMMYFUNCTION("""COMPUTED_VALUE"""),939.3)</f>
        <v>939.3</v>
      </c>
      <c r="I19" s="16">
        <f>IFERROR(__xludf.DUMMYFUNCTION("""COMPUTED_VALUE"""),45769.6458333333)</f>
        <v>45769.6458333333</v>
      </c>
      <c r="J19" s="17">
        <f>IFERROR(__xludf.DUMMYFUNCTION("""COMPUTED_VALUE"""),923)</f>
        <v>923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IFERROR(__xludf.DUMMYFUNCTION("""COMPUTED_VALUE"""),932.3)</f>
        <v>932.3</v>
      </c>
      <c r="C20" s="16">
        <f>IFERROR(__xludf.DUMMYFUNCTION("""COMPUTED_VALUE"""),45770.6458333333)</f>
        <v>45770.6458333333</v>
      </c>
      <c r="D20" s="17">
        <f>IFERROR(__xludf.DUMMYFUNCTION("""COMPUTED_VALUE"""),928.2)</f>
        <v>928.2</v>
      </c>
      <c r="E20" s="16">
        <f>IFERROR(__xludf.DUMMYFUNCTION("""COMPUTED_VALUE"""),45770.6458333333)</f>
        <v>45770.6458333333</v>
      </c>
      <c r="F20" s="17">
        <f>IFERROR(__xludf.DUMMYFUNCTION("""COMPUTED_VALUE"""),1081871)</f>
        <v>1081871</v>
      </c>
      <c r="G20" s="16">
        <f>IFERROR(__xludf.DUMMYFUNCTION("""COMPUTED_VALUE"""),45770.6458333333)</f>
        <v>45770.6458333333</v>
      </c>
      <c r="H20" s="17">
        <f>IFERROR(__xludf.DUMMYFUNCTION("""COMPUTED_VALUE"""),934.85)</f>
        <v>934.85</v>
      </c>
      <c r="I20" s="16">
        <f>IFERROR(__xludf.DUMMYFUNCTION("""COMPUTED_VALUE"""),45770.6458333333)</f>
        <v>45770.6458333333</v>
      </c>
      <c r="J20" s="17">
        <f>IFERROR(__xludf.DUMMYFUNCTION("""COMPUTED_VALUE"""),915)</f>
        <v>915</v>
      </c>
      <c r="K20" s="3">
        <f t="shared" si="2"/>
        <v>932.3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IFERROR(__xludf.DUMMYFUNCTION("""COMPUTED_VALUE"""),930.1)</f>
        <v>930.1</v>
      </c>
      <c r="C21" s="16">
        <f>IFERROR(__xludf.DUMMYFUNCTION("""COMPUTED_VALUE"""),45771.6458333333)</f>
        <v>45771.6458333333</v>
      </c>
      <c r="D21" s="17">
        <f>IFERROR(__xludf.DUMMYFUNCTION("""COMPUTED_VALUE"""),962)</f>
        <v>962</v>
      </c>
      <c r="E21" s="16">
        <f>IFERROR(__xludf.DUMMYFUNCTION("""COMPUTED_VALUE"""),45771.6458333333)</f>
        <v>45771.6458333333</v>
      </c>
      <c r="F21" s="17">
        <f>IFERROR(__xludf.DUMMYFUNCTION("""COMPUTED_VALUE"""),1849671)</f>
        <v>1849671</v>
      </c>
      <c r="G21" s="16">
        <f>IFERROR(__xludf.DUMMYFUNCTION("""COMPUTED_VALUE"""),45771.6458333333)</f>
        <v>45771.6458333333</v>
      </c>
      <c r="H21" s="17">
        <f>IFERROR(__xludf.DUMMYFUNCTION("""COMPUTED_VALUE"""),966)</f>
        <v>966</v>
      </c>
      <c r="I21" s="16">
        <f>IFERROR(__xludf.DUMMYFUNCTION("""COMPUTED_VALUE"""),45771.6458333333)</f>
        <v>45771.6458333333</v>
      </c>
      <c r="J21" s="17">
        <f>IFERROR(__xludf.DUMMYFUNCTION("""COMPUTED_VALUE"""),927.3)</f>
        <v>927.3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IFERROR(__xludf.DUMMYFUNCTION("""COMPUTED_VALUE"""),911.2)</f>
        <v>911.2</v>
      </c>
      <c r="C22" s="16">
        <f>IFERROR(__xludf.DUMMYFUNCTION("""COMPUTED_VALUE"""),45772.6458333333)</f>
        <v>45772.6458333333</v>
      </c>
      <c r="D22" s="17">
        <f>IFERROR(__xludf.DUMMYFUNCTION("""COMPUTED_VALUE"""),931.05)</f>
        <v>931.05</v>
      </c>
      <c r="E22" s="16">
        <f>IFERROR(__xludf.DUMMYFUNCTION("""COMPUTED_VALUE"""),45772.6458333333)</f>
        <v>45772.6458333333</v>
      </c>
      <c r="F22" s="17">
        <f>IFERROR(__xludf.DUMMYFUNCTION("""COMPUTED_VALUE"""),1089354)</f>
        <v>1089354</v>
      </c>
      <c r="G22" s="16">
        <f>IFERROR(__xludf.DUMMYFUNCTION("""COMPUTED_VALUE"""),45772.6458333333)</f>
        <v>45772.6458333333</v>
      </c>
      <c r="H22" s="17">
        <f>IFERROR(__xludf.DUMMYFUNCTION("""COMPUTED_VALUE"""),934.45)</f>
        <v>934.45</v>
      </c>
      <c r="I22" s="16">
        <f>IFERROR(__xludf.DUMMYFUNCTION("""COMPUTED_VALUE"""),45772.6458333333)</f>
        <v>45772.6458333333</v>
      </c>
      <c r="J22" s="17">
        <f>IFERROR(__xludf.DUMMYFUNCTION("""COMPUTED_VALUE"""),899)</f>
        <v>899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IFERROR(__xludf.DUMMYFUNCTION("""COMPUTED_VALUE"""),909.3)</f>
        <v>909.3</v>
      </c>
      <c r="C23" s="16">
        <f>IFERROR(__xludf.DUMMYFUNCTION("""COMPUTED_VALUE"""),45775.6458333333)</f>
        <v>45775.6458333333</v>
      </c>
      <c r="D23" s="17">
        <f>IFERROR(__xludf.DUMMYFUNCTION("""COMPUTED_VALUE"""),908)</f>
        <v>908</v>
      </c>
      <c r="E23" s="16">
        <f>IFERROR(__xludf.DUMMYFUNCTION("""COMPUTED_VALUE"""),45775.6458333333)</f>
        <v>45775.6458333333</v>
      </c>
      <c r="F23" s="17">
        <f>IFERROR(__xludf.DUMMYFUNCTION("""COMPUTED_VALUE"""),994656)</f>
        <v>994656</v>
      </c>
      <c r="G23" s="16">
        <f>IFERROR(__xludf.DUMMYFUNCTION("""COMPUTED_VALUE"""),45775.6458333333)</f>
        <v>45775.6458333333</v>
      </c>
      <c r="H23" s="17">
        <f>IFERROR(__xludf.DUMMYFUNCTION("""COMPUTED_VALUE"""),912.5)</f>
        <v>912.5</v>
      </c>
      <c r="I23" s="16">
        <f>IFERROR(__xludf.DUMMYFUNCTION("""COMPUTED_VALUE"""),45775.6458333333)</f>
        <v>45775.6458333333</v>
      </c>
      <c r="J23" s="17">
        <f>IFERROR(__xludf.DUMMYFUNCTION("""COMPUTED_VALUE"""),900.05)</f>
        <v>900.05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IFERROR(__xludf.DUMMYFUNCTION("""COMPUTED_VALUE"""),909.3)</f>
        <v>909.3</v>
      </c>
      <c r="C24" s="16">
        <f>IFERROR(__xludf.DUMMYFUNCTION("""COMPUTED_VALUE"""),45776.6458333333)</f>
        <v>45776.6458333333</v>
      </c>
      <c r="D24" s="17">
        <f>IFERROR(__xludf.DUMMYFUNCTION("""COMPUTED_VALUE"""),913)</f>
        <v>913</v>
      </c>
      <c r="E24" s="16">
        <f>IFERROR(__xludf.DUMMYFUNCTION("""COMPUTED_VALUE"""),45776.6458333333)</f>
        <v>45776.6458333333</v>
      </c>
      <c r="F24" s="17">
        <f>IFERROR(__xludf.DUMMYFUNCTION("""COMPUTED_VALUE"""),1176818)</f>
        <v>1176818</v>
      </c>
      <c r="G24" s="16">
        <f>IFERROR(__xludf.DUMMYFUNCTION("""COMPUTED_VALUE"""),45776.6458333333)</f>
        <v>45776.6458333333</v>
      </c>
      <c r="H24" s="17">
        <f>IFERROR(__xludf.DUMMYFUNCTION("""COMPUTED_VALUE"""),914.6)</f>
        <v>914.6</v>
      </c>
      <c r="I24" s="16">
        <f>IFERROR(__xludf.DUMMYFUNCTION("""COMPUTED_VALUE"""),45776.6458333333)</f>
        <v>45776.6458333333</v>
      </c>
      <c r="J24" s="17">
        <f>IFERROR(__xludf.DUMMYFUNCTION("""COMPUTED_VALUE"""),896)</f>
        <v>896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IFERROR(__xludf.DUMMYFUNCTION("""COMPUTED_VALUE"""),863.45)</f>
        <v>863.45</v>
      </c>
      <c r="C25" s="16">
        <f>IFERROR(__xludf.DUMMYFUNCTION("""COMPUTED_VALUE"""),45777.6458333333)</f>
        <v>45777.6458333333</v>
      </c>
      <c r="D25" s="17">
        <f>IFERROR(__xludf.DUMMYFUNCTION("""COMPUTED_VALUE"""),884)</f>
        <v>884</v>
      </c>
      <c r="E25" s="16">
        <f>IFERROR(__xludf.DUMMYFUNCTION("""COMPUTED_VALUE"""),45777.6458333333)</f>
        <v>45777.6458333333</v>
      </c>
      <c r="F25" s="17">
        <f>IFERROR(__xludf.DUMMYFUNCTION("""COMPUTED_VALUE"""),3969057)</f>
        <v>3969057</v>
      </c>
      <c r="G25" s="16">
        <f>IFERROR(__xludf.DUMMYFUNCTION("""COMPUTED_VALUE"""),45777.6458333333)</f>
        <v>45777.6458333333</v>
      </c>
      <c r="H25" s="17">
        <f>IFERROR(__xludf.DUMMYFUNCTION("""COMPUTED_VALUE"""),888.8)</f>
        <v>888.8</v>
      </c>
      <c r="I25" s="16">
        <f>IFERROR(__xludf.DUMMYFUNCTION("""COMPUTED_VALUE"""),45777.6458333333)</f>
        <v>45777.6458333333</v>
      </c>
      <c r="J25" s="17">
        <f>IFERROR(__xludf.DUMMYFUNCTION("""COMPUTED_VALUE"""),855.6)</f>
        <v>855.6</v>
      </c>
      <c r="K25" s="3">
        <f t="shared" si="2"/>
        <v>0</v>
      </c>
      <c r="L25" s="3">
        <f t="shared" si="3"/>
        <v>863.45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IFERROR(__xludf.DUMMYFUNCTION("""COMPUTED_VALUE"""),886.25)</f>
        <v>886.25</v>
      </c>
      <c r="C26" s="16">
        <f>IFERROR(__xludf.DUMMYFUNCTION("""COMPUTED_VALUE"""),45779.6458333333)</f>
        <v>45779.6458333333</v>
      </c>
      <c r="D26" s="17">
        <f>IFERROR(__xludf.DUMMYFUNCTION("""COMPUTED_VALUE"""),857.55)</f>
        <v>857.55</v>
      </c>
      <c r="E26" s="16">
        <f>IFERROR(__xludf.DUMMYFUNCTION("""COMPUTED_VALUE"""),45779.6458333333)</f>
        <v>45779.6458333333</v>
      </c>
      <c r="F26" s="17">
        <f>IFERROR(__xludf.DUMMYFUNCTION("""COMPUTED_VALUE"""),1893303)</f>
        <v>1893303</v>
      </c>
      <c r="G26" s="16">
        <f>IFERROR(__xludf.DUMMYFUNCTION("""COMPUTED_VALUE"""),45779.6458333333)</f>
        <v>45779.6458333333</v>
      </c>
      <c r="H26" s="17">
        <f>IFERROR(__xludf.DUMMYFUNCTION("""COMPUTED_VALUE"""),891.5)</f>
        <v>891.5</v>
      </c>
      <c r="I26" s="16">
        <f>IFERROR(__xludf.DUMMYFUNCTION("""COMPUTED_VALUE"""),45779.6458333333)</f>
        <v>45779.6458333333</v>
      </c>
      <c r="J26" s="17">
        <f>IFERROR(__xludf.DUMMYFUNCTION("""COMPUTED_VALUE"""),856.6)</f>
        <v>856.6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IFERROR(__xludf.DUMMYFUNCTION("""COMPUTED_VALUE"""),893.2)</f>
        <v>893.2</v>
      </c>
      <c r="C27" s="16">
        <f>IFERROR(__xludf.DUMMYFUNCTION("""COMPUTED_VALUE"""),45782.6458333333)</f>
        <v>45782.6458333333</v>
      </c>
      <c r="D27" s="17">
        <f>IFERROR(__xludf.DUMMYFUNCTION("""COMPUTED_VALUE"""),887.75)</f>
        <v>887.75</v>
      </c>
      <c r="E27" s="16">
        <f>IFERROR(__xludf.DUMMYFUNCTION("""COMPUTED_VALUE"""),45782.6458333333)</f>
        <v>45782.6458333333</v>
      </c>
      <c r="F27" s="17">
        <f>IFERROR(__xludf.DUMMYFUNCTION("""COMPUTED_VALUE"""),893061)</f>
        <v>893061</v>
      </c>
      <c r="G27" s="16">
        <f>IFERROR(__xludf.DUMMYFUNCTION("""COMPUTED_VALUE"""),45782.6458333333)</f>
        <v>45782.6458333333</v>
      </c>
      <c r="H27" s="17">
        <f>IFERROR(__xludf.DUMMYFUNCTION("""COMPUTED_VALUE"""),903.3)</f>
        <v>903.3</v>
      </c>
      <c r="I27" s="16">
        <f>IFERROR(__xludf.DUMMYFUNCTION("""COMPUTED_VALUE"""),45782.6458333333)</f>
        <v>45782.6458333333</v>
      </c>
      <c r="J27" s="17">
        <f>IFERROR(__xludf.DUMMYFUNCTION("""COMPUTED_VALUE"""),886.6)</f>
        <v>886.6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IFERROR(__xludf.DUMMYFUNCTION("""COMPUTED_VALUE"""),879.75)</f>
        <v>879.75</v>
      </c>
      <c r="C28" s="16">
        <f>IFERROR(__xludf.DUMMYFUNCTION("""COMPUTED_VALUE"""),45783.6458333333)</f>
        <v>45783.6458333333</v>
      </c>
      <c r="D28" s="17">
        <f>IFERROR(__xludf.DUMMYFUNCTION("""COMPUTED_VALUE"""),891.1)</f>
        <v>891.1</v>
      </c>
      <c r="E28" s="16">
        <f>IFERROR(__xludf.DUMMYFUNCTION("""COMPUTED_VALUE"""),45783.6458333333)</f>
        <v>45783.6458333333</v>
      </c>
      <c r="F28" s="17">
        <f>IFERROR(__xludf.DUMMYFUNCTION("""COMPUTED_VALUE"""),1204087)</f>
        <v>1204087</v>
      </c>
      <c r="G28" s="16">
        <f>IFERROR(__xludf.DUMMYFUNCTION("""COMPUTED_VALUE"""),45783.6458333333)</f>
        <v>45783.6458333333</v>
      </c>
      <c r="H28" s="17">
        <f>IFERROR(__xludf.DUMMYFUNCTION("""COMPUTED_VALUE"""),897.4)</f>
        <v>897.4</v>
      </c>
      <c r="I28" s="16">
        <f>IFERROR(__xludf.DUMMYFUNCTION("""COMPUTED_VALUE"""),45783.6458333333)</f>
        <v>45783.6458333333</v>
      </c>
      <c r="J28" s="17">
        <f>IFERROR(__xludf.DUMMYFUNCTION("""COMPUTED_VALUE"""),875)</f>
        <v>875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IFERROR(__xludf.DUMMYFUNCTION("""COMPUTED_VALUE"""),898.65)</f>
        <v>898.65</v>
      </c>
      <c r="C29" s="16">
        <f>IFERROR(__xludf.DUMMYFUNCTION("""COMPUTED_VALUE"""),45784.6458333333)</f>
        <v>45784.6458333333</v>
      </c>
      <c r="D29" s="17">
        <f>IFERROR(__xludf.DUMMYFUNCTION("""COMPUTED_VALUE"""),875)</f>
        <v>875</v>
      </c>
      <c r="E29" s="16">
        <f>IFERROR(__xludf.DUMMYFUNCTION("""COMPUTED_VALUE"""),45784.6458333333)</f>
        <v>45784.6458333333</v>
      </c>
      <c r="F29" s="17">
        <f>IFERROR(__xludf.DUMMYFUNCTION("""COMPUTED_VALUE"""),1163557)</f>
        <v>1163557</v>
      </c>
      <c r="G29" s="16">
        <f>IFERROR(__xludf.DUMMYFUNCTION("""COMPUTED_VALUE"""),45784.6458333333)</f>
        <v>45784.6458333333</v>
      </c>
      <c r="H29" s="17">
        <f>IFERROR(__xludf.DUMMYFUNCTION("""COMPUTED_VALUE"""),899.75)</f>
        <v>899.75</v>
      </c>
      <c r="I29" s="16">
        <f>IFERROR(__xludf.DUMMYFUNCTION("""COMPUTED_VALUE"""),45784.6458333333)</f>
        <v>45784.6458333333</v>
      </c>
      <c r="J29" s="17">
        <f>IFERROR(__xludf.DUMMYFUNCTION("""COMPUTED_VALUE"""),872.3)</f>
        <v>872.3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IFERROR(__xludf.DUMMYFUNCTION("""COMPUTED_VALUE"""),883.25)</f>
        <v>883.25</v>
      </c>
      <c r="C30" s="16">
        <f>IFERROR(__xludf.DUMMYFUNCTION("""COMPUTED_VALUE"""),45785.6458333333)</f>
        <v>45785.6458333333</v>
      </c>
      <c r="D30" s="17">
        <f>IFERROR(__xludf.DUMMYFUNCTION("""COMPUTED_VALUE"""),897.7)</f>
        <v>897.7</v>
      </c>
      <c r="E30" s="16">
        <f>IFERROR(__xludf.DUMMYFUNCTION("""COMPUTED_VALUE"""),45785.6458333333)</f>
        <v>45785.6458333333</v>
      </c>
      <c r="F30" s="17">
        <f>IFERROR(__xludf.DUMMYFUNCTION("""COMPUTED_VALUE"""),1201809)</f>
        <v>1201809</v>
      </c>
      <c r="G30" s="16">
        <f>IFERROR(__xludf.DUMMYFUNCTION("""COMPUTED_VALUE"""),45785.6458333333)</f>
        <v>45785.6458333333</v>
      </c>
      <c r="H30" s="17">
        <f>IFERROR(__xludf.DUMMYFUNCTION("""COMPUTED_VALUE"""),907.45)</f>
        <v>907.45</v>
      </c>
      <c r="I30" s="16">
        <f>IFERROR(__xludf.DUMMYFUNCTION("""COMPUTED_VALUE"""),45785.6458333333)</f>
        <v>45785.6458333333</v>
      </c>
      <c r="J30" s="17">
        <f>IFERROR(__xludf.DUMMYFUNCTION("""COMPUTED_VALUE"""),877.5)</f>
        <v>877.5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IFERROR(__xludf.DUMMYFUNCTION("""COMPUTED_VALUE"""),864.1)</f>
        <v>864.1</v>
      </c>
      <c r="C31" s="16">
        <f>IFERROR(__xludf.DUMMYFUNCTION("""COMPUTED_VALUE"""),45786.6458333333)</f>
        <v>45786.6458333333</v>
      </c>
      <c r="D31" s="17">
        <f>IFERROR(__xludf.DUMMYFUNCTION("""COMPUTED_VALUE"""),865)</f>
        <v>865</v>
      </c>
      <c r="E31" s="16">
        <f>IFERROR(__xludf.DUMMYFUNCTION("""COMPUTED_VALUE"""),45786.6458333333)</f>
        <v>45786.6458333333</v>
      </c>
      <c r="F31" s="17">
        <f>IFERROR(__xludf.DUMMYFUNCTION("""COMPUTED_VALUE"""),1215134)</f>
        <v>1215134</v>
      </c>
      <c r="G31" s="16">
        <f>IFERROR(__xludf.DUMMYFUNCTION("""COMPUTED_VALUE"""),45786.6458333333)</f>
        <v>45786.6458333333</v>
      </c>
      <c r="H31" s="17">
        <f>IFERROR(__xludf.DUMMYFUNCTION("""COMPUTED_VALUE"""),878.1)</f>
        <v>878.1</v>
      </c>
      <c r="I31" s="16">
        <f>IFERROR(__xludf.DUMMYFUNCTION("""COMPUTED_VALUE"""),45786.6458333333)</f>
        <v>45786.6458333333</v>
      </c>
      <c r="J31" s="17">
        <f>IFERROR(__xludf.DUMMYFUNCTION("""COMPUTED_VALUE"""),860.5)</f>
        <v>860.5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IFERROR(__xludf.DUMMYFUNCTION("""COMPUTED_VALUE"""),901.85)</f>
        <v>901.85</v>
      </c>
      <c r="C32" s="16">
        <f>IFERROR(__xludf.DUMMYFUNCTION("""COMPUTED_VALUE"""),45789.6458333333)</f>
        <v>45789.6458333333</v>
      </c>
      <c r="D32" s="17">
        <f>IFERROR(__xludf.DUMMYFUNCTION("""COMPUTED_VALUE"""),884.9)</f>
        <v>884.9</v>
      </c>
      <c r="E32" s="16">
        <f>IFERROR(__xludf.DUMMYFUNCTION("""COMPUTED_VALUE"""),45789.6458333333)</f>
        <v>45789.6458333333</v>
      </c>
      <c r="F32" s="17">
        <f>IFERROR(__xludf.DUMMYFUNCTION("""COMPUTED_VALUE"""),1063822)</f>
        <v>1063822</v>
      </c>
      <c r="G32" s="16">
        <f>IFERROR(__xludf.DUMMYFUNCTION("""COMPUTED_VALUE"""),45789.6458333333)</f>
        <v>45789.6458333333</v>
      </c>
      <c r="H32" s="17">
        <f>IFERROR(__xludf.DUMMYFUNCTION("""COMPUTED_VALUE"""),903)</f>
        <v>903</v>
      </c>
      <c r="I32" s="16">
        <f>IFERROR(__xludf.DUMMYFUNCTION("""COMPUTED_VALUE"""),45789.6458333333)</f>
        <v>45789.6458333333</v>
      </c>
      <c r="J32" s="17">
        <f>IFERROR(__xludf.DUMMYFUNCTION("""COMPUTED_VALUE"""),882.55)</f>
        <v>882.55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IFERROR(__xludf.DUMMYFUNCTION("""COMPUTED_VALUE"""),904.2)</f>
        <v>904.2</v>
      </c>
      <c r="C33" s="16">
        <f>IFERROR(__xludf.DUMMYFUNCTION("""COMPUTED_VALUE"""),45790.6458333333)</f>
        <v>45790.6458333333</v>
      </c>
      <c r="D33" s="17">
        <f>IFERROR(__xludf.DUMMYFUNCTION("""COMPUTED_VALUE"""),900.4)</f>
        <v>900.4</v>
      </c>
      <c r="E33" s="16">
        <f>IFERROR(__xludf.DUMMYFUNCTION("""COMPUTED_VALUE"""),45790.6458333333)</f>
        <v>45790.6458333333</v>
      </c>
      <c r="F33" s="17">
        <f>IFERROR(__xludf.DUMMYFUNCTION("""COMPUTED_VALUE"""),1336300)</f>
        <v>1336300</v>
      </c>
      <c r="G33" s="16">
        <f>IFERROR(__xludf.DUMMYFUNCTION("""COMPUTED_VALUE"""),45790.6458333333)</f>
        <v>45790.6458333333</v>
      </c>
      <c r="H33" s="17">
        <f>IFERROR(__xludf.DUMMYFUNCTION("""COMPUTED_VALUE"""),916.35)</f>
        <v>916.35</v>
      </c>
      <c r="I33" s="16">
        <f>IFERROR(__xludf.DUMMYFUNCTION("""COMPUTED_VALUE"""),45790.6458333333)</f>
        <v>45790.6458333333</v>
      </c>
      <c r="J33" s="17">
        <f>IFERROR(__xludf.DUMMYFUNCTION("""COMPUTED_VALUE"""),899.1)</f>
        <v>899.1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IFERROR(__xludf.DUMMYFUNCTION("""COMPUTED_VALUE"""),908.1)</f>
        <v>908.1</v>
      </c>
      <c r="C34" s="16">
        <f>IFERROR(__xludf.DUMMYFUNCTION("""COMPUTED_VALUE"""),45791.6458333333)</f>
        <v>45791.6458333333</v>
      </c>
      <c r="D34" s="17">
        <f>IFERROR(__xludf.DUMMYFUNCTION("""COMPUTED_VALUE"""),904.5)</f>
        <v>904.5</v>
      </c>
      <c r="E34" s="16">
        <f>IFERROR(__xludf.DUMMYFUNCTION("""COMPUTED_VALUE"""),45791.6458333333)</f>
        <v>45791.6458333333</v>
      </c>
      <c r="F34" s="17">
        <f>IFERROR(__xludf.DUMMYFUNCTION("""COMPUTED_VALUE"""),759400)</f>
        <v>759400</v>
      </c>
      <c r="G34" s="16">
        <f>IFERROR(__xludf.DUMMYFUNCTION("""COMPUTED_VALUE"""),45791.6458333333)</f>
        <v>45791.6458333333</v>
      </c>
      <c r="H34" s="17">
        <f>IFERROR(__xludf.DUMMYFUNCTION("""COMPUTED_VALUE"""),911.05)</f>
        <v>911.05</v>
      </c>
      <c r="I34" s="16">
        <f>IFERROR(__xludf.DUMMYFUNCTION("""COMPUTED_VALUE"""),45791.6458333333)</f>
        <v>45791.6458333333</v>
      </c>
      <c r="J34" s="17">
        <f>IFERROR(__xludf.DUMMYFUNCTION("""COMPUTED_VALUE"""),901.2)</f>
        <v>901.2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IFERROR(__xludf.DUMMYFUNCTION("""COMPUTED_VALUE"""),918.85)</f>
        <v>918.85</v>
      </c>
      <c r="C35" s="16">
        <f>IFERROR(__xludf.DUMMYFUNCTION("""COMPUTED_VALUE"""),45792.6458333333)</f>
        <v>45792.6458333333</v>
      </c>
      <c r="D35" s="17">
        <f>IFERROR(__xludf.DUMMYFUNCTION("""COMPUTED_VALUE"""),909.95)</f>
        <v>909.95</v>
      </c>
      <c r="E35" s="16">
        <f>IFERROR(__xludf.DUMMYFUNCTION("""COMPUTED_VALUE"""),45792.6458333333)</f>
        <v>45792.6458333333</v>
      </c>
      <c r="F35" s="17">
        <f>IFERROR(__xludf.DUMMYFUNCTION("""COMPUTED_VALUE"""),1038500)</f>
        <v>1038500</v>
      </c>
      <c r="G35" s="16">
        <f>IFERROR(__xludf.DUMMYFUNCTION("""COMPUTED_VALUE"""),45792.6458333333)</f>
        <v>45792.6458333333</v>
      </c>
      <c r="H35" s="17">
        <f>IFERROR(__xludf.DUMMYFUNCTION("""COMPUTED_VALUE"""),921.5)</f>
        <v>921.5</v>
      </c>
      <c r="I35" s="16">
        <f>IFERROR(__xludf.DUMMYFUNCTION("""COMPUTED_VALUE"""),45792.6458333333)</f>
        <v>45792.6458333333</v>
      </c>
      <c r="J35" s="17">
        <f>IFERROR(__xludf.DUMMYFUNCTION("""COMPUTED_VALUE"""),902.8)</f>
        <v>902.8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IFERROR(__xludf.DUMMYFUNCTION("""COMPUTED_VALUE"""),916.7)</f>
        <v>916.7</v>
      </c>
      <c r="C36" s="16">
        <f>IFERROR(__xludf.DUMMYFUNCTION("""COMPUTED_VALUE"""),45793.6458333333)</f>
        <v>45793.6458333333</v>
      </c>
      <c r="D36" s="17">
        <f>IFERROR(__xludf.DUMMYFUNCTION("""COMPUTED_VALUE"""),918.85)</f>
        <v>918.85</v>
      </c>
      <c r="E36" s="16">
        <f>IFERROR(__xludf.DUMMYFUNCTION("""COMPUTED_VALUE"""),45793.6458333333)</f>
        <v>45793.6458333333</v>
      </c>
      <c r="F36" s="17">
        <f>IFERROR(__xludf.DUMMYFUNCTION("""COMPUTED_VALUE"""),625192)</f>
        <v>625192</v>
      </c>
      <c r="G36" s="16">
        <f>IFERROR(__xludf.DUMMYFUNCTION("""COMPUTED_VALUE"""),45793.6458333333)</f>
        <v>45793.6458333333</v>
      </c>
      <c r="H36" s="17">
        <f>IFERROR(__xludf.DUMMYFUNCTION("""COMPUTED_VALUE"""),928.6)</f>
        <v>928.6</v>
      </c>
      <c r="I36" s="16">
        <f>IFERROR(__xludf.DUMMYFUNCTION("""COMPUTED_VALUE"""),45793.6458333333)</f>
        <v>45793.6458333333</v>
      </c>
      <c r="J36" s="17">
        <f>IFERROR(__xludf.DUMMYFUNCTION("""COMPUTED_VALUE"""),913.35)</f>
        <v>913.35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IFERROR(__xludf.DUMMYFUNCTION("""COMPUTED_VALUE"""),925.55)</f>
        <v>925.55</v>
      </c>
      <c r="C37" s="16">
        <f>IFERROR(__xludf.DUMMYFUNCTION("""COMPUTED_VALUE"""),45796.6458333333)</f>
        <v>45796.6458333333</v>
      </c>
      <c r="D37" s="17">
        <f>IFERROR(__xludf.DUMMYFUNCTION("""COMPUTED_VALUE"""),916.7)</f>
        <v>916.7</v>
      </c>
      <c r="E37" s="16">
        <f>IFERROR(__xludf.DUMMYFUNCTION("""COMPUTED_VALUE"""),45796.6458333333)</f>
        <v>45796.6458333333</v>
      </c>
      <c r="F37" s="17">
        <f>IFERROR(__xludf.DUMMYFUNCTION("""COMPUTED_VALUE"""),716274)</f>
        <v>716274</v>
      </c>
      <c r="G37" s="16">
        <f>IFERROR(__xludf.DUMMYFUNCTION("""COMPUTED_VALUE"""),45796.6458333333)</f>
        <v>45796.6458333333</v>
      </c>
      <c r="H37" s="17">
        <f>IFERROR(__xludf.DUMMYFUNCTION("""COMPUTED_VALUE"""),928.95)</f>
        <v>928.95</v>
      </c>
      <c r="I37" s="16">
        <f>IFERROR(__xludf.DUMMYFUNCTION("""COMPUTED_VALUE"""),45796.6458333333)</f>
        <v>45796.6458333333</v>
      </c>
      <c r="J37" s="17">
        <f>IFERROR(__xludf.DUMMYFUNCTION("""COMPUTED_VALUE"""),916.7)</f>
        <v>916.7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IFERROR(__xludf.DUMMYFUNCTION("""COMPUTED_VALUE"""),907.9)</f>
        <v>907.9</v>
      </c>
      <c r="C38" s="16">
        <f>IFERROR(__xludf.DUMMYFUNCTION("""COMPUTED_VALUE"""),45797.6458333333)</f>
        <v>45797.6458333333</v>
      </c>
      <c r="D38" s="17">
        <f>IFERROR(__xludf.DUMMYFUNCTION("""COMPUTED_VALUE"""),929.8)</f>
        <v>929.8</v>
      </c>
      <c r="E38" s="16">
        <f>IFERROR(__xludf.DUMMYFUNCTION("""COMPUTED_VALUE"""),45797.6458333333)</f>
        <v>45797.6458333333</v>
      </c>
      <c r="F38" s="17">
        <f>IFERROR(__xludf.DUMMYFUNCTION("""COMPUTED_VALUE"""),810616)</f>
        <v>810616</v>
      </c>
      <c r="G38" s="16">
        <f>IFERROR(__xludf.DUMMYFUNCTION("""COMPUTED_VALUE"""),45797.6458333333)</f>
        <v>45797.6458333333</v>
      </c>
      <c r="H38" s="17">
        <f>IFERROR(__xludf.DUMMYFUNCTION("""COMPUTED_VALUE"""),931)</f>
        <v>931</v>
      </c>
      <c r="I38" s="16">
        <f>IFERROR(__xludf.DUMMYFUNCTION("""COMPUTED_VALUE"""),45797.6458333333)</f>
        <v>45797.6458333333</v>
      </c>
      <c r="J38" s="17">
        <f>IFERROR(__xludf.DUMMYFUNCTION("""COMPUTED_VALUE"""),906.9)</f>
        <v>906.9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IFERROR(__xludf.DUMMYFUNCTION("""COMPUTED_VALUE"""),919.75)</f>
        <v>919.75</v>
      </c>
      <c r="C39" s="16">
        <f>IFERROR(__xludf.DUMMYFUNCTION("""COMPUTED_VALUE"""),45798.6458333333)</f>
        <v>45798.6458333333</v>
      </c>
      <c r="D39" s="17">
        <f>IFERROR(__xludf.DUMMYFUNCTION("""COMPUTED_VALUE"""),910)</f>
        <v>910</v>
      </c>
      <c r="E39" s="16">
        <f>IFERROR(__xludf.DUMMYFUNCTION("""COMPUTED_VALUE"""),45798.6458333333)</f>
        <v>45798.6458333333</v>
      </c>
      <c r="F39" s="17">
        <f>IFERROR(__xludf.DUMMYFUNCTION("""COMPUTED_VALUE"""),732150)</f>
        <v>732150</v>
      </c>
      <c r="G39" s="16">
        <f>IFERROR(__xludf.DUMMYFUNCTION("""COMPUTED_VALUE"""),45798.6458333333)</f>
        <v>45798.6458333333</v>
      </c>
      <c r="H39" s="17">
        <f>IFERROR(__xludf.DUMMYFUNCTION("""COMPUTED_VALUE"""),928)</f>
        <v>928</v>
      </c>
      <c r="I39" s="16">
        <f>IFERROR(__xludf.DUMMYFUNCTION("""COMPUTED_VALUE"""),45798.6458333333)</f>
        <v>45798.6458333333</v>
      </c>
      <c r="J39" s="17">
        <f>IFERROR(__xludf.DUMMYFUNCTION("""COMPUTED_VALUE"""),902.85)</f>
        <v>902.85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IFERROR(__xludf.DUMMYFUNCTION("""COMPUTED_VALUE"""),913.9)</f>
        <v>913.9</v>
      </c>
      <c r="C40" s="16">
        <f>IFERROR(__xludf.DUMMYFUNCTION("""COMPUTED_VALUE"""),45799.6458333333)</f>
        <v>45799.6458333333</v>
      </c>
      <c r="D40" s="17">
        <f>IFERROR(__xludf.DUMMYFUNCTION("""COMPUTED_VALUE"""),919.75)</f>
        <v>919.75</v>
      </c>
      <c r="E40" s="16">
        <f>IFERROR(__xludf.DUMMYFUNCTION("""COMPUTED_VALUE"""),45799.6458333333)</f>
        <v>45799.6458333333</v>
      </c>
      <c r="F40" s="17">
        <f>IFERROR(__xludf.DUMMYFUNCTION("""COMPUTED_VALUE"""),615974)</f>
        <v>615974</v>
      </c>
      <c r="G40" s="16">
        <f>IFERROR(__xludf.DUMMYFUNCTION("""COMPUTED_VALUE"""),45799.6458333333)</f>
        <v>45799.6458333333</v>
      </c>
      <c r="H40" s="17">
        <f>IFERROR(__xludf.DUMMYFUNCTION("""COMPUTED_VALUE"""),919.9)</f>
        <v>919.9</v>
      </c>
      <c r="I40" s="16">
        <f>IFERROR(__xludf.DUMMYFUNCTION("""COMPUTED_VALUE"""),45799.6458333333)</f>
        <v>45799.6458333333</v>
      </c>
      <c r="J40" s="17">
        <f>IFERROR(__xludf.DUMMYFUNCTION("""COMPUTED_VALUE"""),907.05)</f>
        <v>907.05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IFERROR(__xludf.DUMMYFUNCTION("""COMPUTED_VALUE"""),924.35)</f>
        <v>924.35</v>
      </c>
      <c r="C41" s="16">
        <f>IFERROR(__xludf.DUMMYFUNCTION("""COMPUTED_VALUE"""),45800.6458333333)</f>
        <v>45800.6458333333</v>
      </c>
      <c r="D41" s="17">
        <f>IFERROR(__xludf.DUMMYFUNCTION("""COMPUTED_VALUE"""),913.9)</f>
        <v>913.9</v>
      </c>
      <c r="E41" s="16">
        <f>IFERROR(__xludf.DUMMYFUNCTION("""COMPUTED_VALUE"""),45800.6458333333)</f>
        <v>45800.6458333333</v>
      </c>
      <c r="F41" s="17">
        <f>IFERROR(__xludf.DUMMYFUNCTION("""COMPUTED_VALUE"""),425169)</f>
        <v>425169</v>
      </c>
      <c r="G41" s="16">
        <f>IFERROR(__xludf.DUMMYFUNCTION("""COMPUTED_VALUE"""),45800.6458333333)</f>
        <v>45800.6458333333</v>
      </c>
      <c r="H41" s="17">
        <f>IFERROR(__xludf.DUMMYFUNCTION("""COMPUTED_VALUE"""),928.65)</f>
        <v>928.65</v>
      </c>
      <c r="I41" s="16">
        <f>IFERROR(__xludf.DUMMYFUNCTION("""COMPUTED_VALUE"""),45800.6458333333)</f>
        <v>45800.6458333333</v>
      </c>
      <c r="J41" s="17">
        <f>IFERROR(__xludf.DUMMYFUNCTION("""COMPUTED_VALUE"""),911.1)</f>
        <v>911.1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IFERROR(__xludf.DUMMYFUNCTION("""COMPUTED_VALUE"""),926.95)</f>
        <v>926.95</v>
      </c>
      <c r="C42" s="16">
        <f>IFERROR(__xludf.DUMMYFUNCTION("""COMPUTED_VALUE"""),45803.6458333333)</f>
        <v>45803.6458333333</v>
      </c>
      <c r="D42" s="17">
        <f>IFERROR(__xludf.DUMMYFUNCTION("""COMPUTED_VALUE"""),925.5)</f>
        <v>925.5</v>
      </c>
      <c r="E42" s="16">
        <f>IFERROR(__xludf.DUMMYFUNCTION("""COMPUTED_VALUE"""),45803.6458333333)</f>
        <v>45803.6458333333</v>
      </c>
      <c r="F42" s="17">
        <f>IFERROR(__xludf.DUMMYFUNCTION("""COMPUTED_VALUE"""),547679)</f>
        <v>547679</v>
      </c>
      <c r="G42" s="16">
        <f>IFERROR(__xludf.DUMMYFUNCTION("""COMPUTED_VALUE"""),45803.6458333333)</f>
        <v>45803.6458333333</v>
      </c>
      <c r="H42" s="17">
        <f>IFERROR(__xludf.DUMMYFUNCTION("""COMPUTED_VALUE"""),933.65)</f>
        <v>933.65</v>
      </c>
      <c r="I42" s="16">
        <f>IFERROR(__xludf.DUMMYFUNCTION("""COMPUTED_VALUE"""),45803.6458333333)</f>
        <v>45803.6458333333</v>
      </c>
      <c r="J42" s="17">
        <f>IFERROR(__xludf.DUMMYFUNCTION("""COMPUTED_VALUE"""),925)</f>
        <v>925</v>
      </c>
      <c r="K42" s="3">
        <f t="shared" si="2"/>
        <v>926.95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IFERROR(__xludf.DUMMYFUNCTION("""COMPUTED_VALUE"""),917.1)</f>
        <v>917.1</v>
      </c>
      <c r="C43" s="16">
        <f>IFERROR(__xludf.DUMMYFUNCTION("""COMPUTED_VALUE"""),45804.6458333333)</f>
        <v>45804.6458333333</v>
      </c>
      <c r="D43" s="17">
        <f>IFERROR(__xludf.DUMMYFUNCTION("""COMPUTED_VALUE"""),927)</f>
        <v>927</v>
      </c>
      <c r="E43" s="16">
        <f>IFERROR(__xludf.DUMMYFUNCTION("""COMPUTED_VALUE"""),45804.6458333333)</f>
        <v>45804.6458333333</v>
      </c>
      <c r="F43" s="17">
        <f>IFERROR(__xludf.DUMMYFUNCTION("""COMPUTED_VALUE"""),715000)</f>
        <v>715000</v>
      </c>
      <c r="G43" s="16">
        <f>IFERROR(__xludf.DUMMYFUNCTION("""COMPUTED_VALUE"""),45804.6458333333)</f>
        <v>45804.6458333333</v>
      </c>
      <c r="H43" s="17">
        <f>IFERROR(__xludf.DUMMYFUNCTION("""COMPUTED_VALUE"""),929)</f>
        <v>929</v>
      </c>
      <c r="I43" s="16">
        <f>IFERROR(__xludf.DUMMYFUNCTION("""COMPUTED_VALUE"""),45804.6458333333)</f>
        <v>45804.6458333333</v>
      </c>
      <c r="J43" s="17">
        <f>IFERROR(__xludf.DUMMYFUNCTION("""COMPUTED_VALUE"""),914.3)</f>
        <v>914.3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IFERROR(__xludf.DUMMYFUNCTION("""COMPUTED_VALUE"""),926.75)</f>
        <v>926.75</v>
      </c>
      <c r="C44" s="16">
        <f>IFERROR(__xludf.DUMMYFUNCTION("""COMPUTED_VALUE"""),45805.6458333333)</f>
        <v>45805.6458333333</v>
      </c>
      <c r="D44" s="17">
        <f>IFERROR(__xludf.DUMMYFUNCTION("""COMPUTED_VALUE"""),924.5)</f>
        <v>924.5</v>
      </c>
      <c r="E44" s="16">
        <f>IFERROR(__xludf.DUMMYFUNCTION("""COMPUTED_VALUE"""),45805.6458333333)</f>
        <v>45805.6458333333</v>
      </c>
      <c r="F44" s="17">
        <f>IFERROR(__xludf.DUMMYFUNCTION("""COMPUTED_VALUE"""),650740)</f>
        <v>650740</v>
      </c>
      <c r="G44" s="16">
        <f>IFERROR(__xludf.DUMMYFUNCTION("""COMPUTED_VALUE"""),45805.6458333333)</f>
        <v>45805.6458333333</v>
      </c>
      <c r="H44" s="17">
        <f>IFERROR(__xludf.DUMMYFUNCTION("""COMPUTED_VALUE"""),929.45)</f>
        <v>929.45</v>
      </c>
      <c r="I44" s="16">
        <f>IFERROR(__xludf.DUMMYFUNCTION("""COMPUTED_VALUE"""),45805.6458333333)</f>
        <v>45805.6458333333</v>
      </c>
      <c r="J44" s="17">
        <f>IFERROR(__xludf.DUMMYFUNCTION("""COMPUTED_VALUE"""),914.1)</f>
        <v>914.1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IFERROR(__xludf.DUMMYFUNCTION("""COMPUTED_VALUE"""),920.4)</f>
        <v>920.4</v>
      </c>
      <c r="C45" s="16">
        <f>IFERROR(__xludf.DUMMYFUNCTION("""COMPUTED_VALUE"""),45806.6458333333)</f>
        <v>45806.6458333333</v>
      </c>
      <c r="D45" s="17">
        <f>IFERROR(__xludf.DUMMYFUNCTION("""COMPUTED_VALUE"""),925)</f>
        <v>925</v>
      </c>
      <c r="E45" s="16">
        <f>IFERROR(__xludf.DUMMYFUNCTION("""COMPUTED_VALUE"""),45806.6458333333)</f>
        <v>45806.6458333333</v>
      </c>
      <c r="F45" s="17">
        <f>IFERROR(__xludf.DUMMYFUNCTION("""COMPUTED_VALUE"""),708175)</f>
        <v>708175</v>
      </c>
      <c r="G45" s="16">
        <f>IFERROR(__xludf.DUMMYFUNCTION("""COMPUTED_VALUE"""),45806.6458333333)</f>
        <v>45806.6458333333</v>
      </c>
      <c r="H45" s="17">
        <f>IFERROR(__xludf.DUMMYFUNCTION("""COMPUTED_VALUE"""),927.95)</f>
        <v>927.95</v>
      </c>
      <c r="I45" s="16">
        <f>IFERROR(__xludf.DUMMYFUNCTION("""COMPUTED_VALUE"""),45806.6458333333)</f>
        <v>45806.6458333333</v>
      </c>
      <c r="J45" s="17">
        <f>IFERROR(__xludf.DUMMYFUNCTION("""COMPUTED_VALUE"""),916)</f>
        <v>916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IFERROR(__xludf.DUMMYFUNCTION("""COMPUTED_VALUE"""),918.05)</f>
        <v>918.05</v>
      </c>
      <c r="C46" s="16">
        <f>IFERROR(__xludf.DUMMYFUNCTION("""COMPUTED_VALUE"""),45807.6458333333)</f>
        <v>45807.6458333333</v>
      </c>
      <c r="D46" s="17">
        <f>IFERROR(__xludf.DUMMYFUNCTION("""COMPUTED_VALUE"""),917)</f>
        <v>917</v>
      </c>
      <c r="E46" s="16">
        <f>IFERROR(__xludf.DUMMYFUNCTION("""COMPUTED_VALUE"""),45807.6458333333)</f>
        <v>45807.6458333333</v>
      </c>
      <c r="F46" s="17">
        <f>IFERROR(__xludf.DUMMYFUNCTION("""COMPUTED_VALUE"""),1504174)</f>
        <v>1504174</v>
      </c>
      <c r="G46" s="16">
        <f>IFERROR(__xludf.DUMMYFUNCTION("""COMPUTED_VALUE"""),45807.6458333333)</f>
        <v>45807.6458333333</v>
      </c>
      <c r="H46" s="17">
        <f>IFERROR(__xludf.DUMMYFUNCTION("""COMPUTED_VALUE"""),920.35)</f>
        <v>920.35</v>
      </c>
      <c r="I46" s="16">
        <f>IFERROR(__xludf.DUMMYFUNCTION("""COMPUTED_VALUE"""),45807.6458333333)</f>
        <v>45807.6458333333</v>
      </c>
      <c r="J46" s="17">
        <f>IFERROR(__xludf.DUMMYFUNCTION("""COMPUTED_VALUE"""),912.1)</f>
        <v>912.1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IFERROR(__xludf.DUMMYFUNCTION("""COMPUTED_VALUE"""),911.85)</f>
        <v>911.85</v>
      </c>
      <c r="C47" s="16">
        <f>IFERROR(__xludf.DUMMYFUNCTION("""COMPUTED_VALUE"""),45810.6458333333)</f>
        <v>45810.6458333333</v>
      </c>
      <c r="D47" s="17">
        <f>IFERROR(__xludf.DUMMYFUNCTION("""COMPUTED_VALUE"""),913)</f>
        <v>913</v>
      </c>
      <c r="E47" s="16">
        <f>IFERROR(__xludf.DUMMYFUNCTION("""COMPUTED_VALUE"""),45810.6458333333)</f>
        <v>45810.6458333333</v>
      </c>
      <c r="F47" s="17">
        <f>IFERROR(__xludf.DUMMYFUNCTION("""COMPUTED_VALUE"""),661963)</f>
        <v>661963</v>
      </c>
      <c r="G47" s="16">
        <f>IFERROR(__xludf.DUMMYFUNCTION("""COMPUTED_VALUE"""),45810.6458333333)</f>
        <v>45810.6458333333</v>
      </c>
      <c r="H47" s="17">
        <f>IFERROR(__xludf.DUMMYFUNCTION("""COMPUTED_VALUE"""),916.5)</f>
        <v>916.5</v>
      </c>
      <c r="I47" s="16">
        <f>IFERROR(__xludf.DUMMYFUNCTION("""COMPUTED_VALUE"""),45810.6458333333)</f>
        <v>45810.6458333333</v>
      </c>
      <c r="J47" s="17">
        <f>IFERROR(__xludf.DUMMYFUNCTION("""COMPUTED_VALUE"""),904)</f>
        <v>904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IFERROR(__xludf.DUMMYFUNCTION("""COMPUTED_VALUE"""),897.9)</f>
        <v>897.9</v>
      </c>
      <c r="C48" s="16">
        <f>IFERROR(__xludf.DUMMYFUNCTION("""COMPUTED_VALUE"""),45811.6458333333)</f>
        <v>45811.6458333333</v>
      </c>
      <c r="D48" s="17">
        <f>IFERROR(__xludf.DUMMYFUNCTION("""COMPUTED_VALUE"""),910.6)</f>
        <v>910.6</v>
      </c>
      <c r="E48" s="16">
        <f>IFERROR(__xludf.DUMMYFUNCTION("""COMPUTED_VALUE"""),45811.6458333333)</f>
        <v>45811.6458333333</v>
      </c>
      <c r="F48" s="17">
        <f>IFERROR(__xludf.DUMMYFUNCTION("""COMPUTED_VALUE"""),908027)</f>
        <v>908027</v>
      </c>
      <c r="G48" s="16">
        <f>IFERROR(__xludf.DUMMYFUNCTION("""COMPUTED_VALUE"""),45811.6458333333)</f>
        <v>45811.6458333333</v>
      </c>
      <c r="H48" s="17">
        <f>IFERROR(__xludf.DUMMYFUNCTION("""COMPUTED_VALUE"""),912.8)</f>
        <v>912.8</v>
      </c>
      <c r="I48" s="16">
        <f>IFERROR(__xludf.DUMMYFUNCTION("""COMPUTED_VALUE"""),45811.6458333333)</f>
        <v>45811.6458333333</v>
      </c>
      <c r="J48" s="17">
        <f>IFERROR(__xludf.DUMMYFUNCTION("""COMPUTED_VALUE"""),897)</f>
        <v>897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IFERROR(__xludf.DUMMYFUNCTION("""COMPUTED_VALUE"""),898.7)</f>
        <v>898.7</v>
      </c>
      <c r="C49" s="16">
        <f>IFERROR(__xludf.DUMMYFUNCTION("""COMPUTED_VALUE"""),45812.6458333333)</f>
        <v>45812.6458333333</v>
      </c>
      <c r="D49" s="17">
        <f>IFERROR(__xludf.DUMMYFUNCTION("""COMPUTED_VALUE"""),897.5)</f>
        <v>897.5</v>
      </c>
      <c r="E49" s="16">
        <f>IFERROR(__xludf.DUMMYFUNCTION("""COMPUTED_VALUE"""),45812.6458333333)</f>
        <v>45812.6458333333</v>
      </c>
      <c r="F49" s="17">
        <f>IFERROR(__xludf.DUMMYFUNCTION("""COMPUTED_VALUE"""),554493)</f>
        <v>554493</v>
      </c>
      <c r="G49" s="16">
        <f>IFERROR(__xludf.DUMMYFUNCTION("""COMPUTED_VALUE"""),45812.6458333333)</f>
        <v>45812.6458333333</v>
      </c>
      <c r="H49" s="17">
        <f>IFERROR(__xludf.DUMMYFUNCTION("""COMPUTED_VALUE"""),903.95)</f>
        <v>903.95</v>
      </c>
      <c r="I49" s="16">
        <f>IFERROR(__xludf.DUMMYFUNCTION("""COMPUTED_VALUE"""),45812.6458333333)</f>
        <v>45812.6458333333</v>
      </c>
      <c r="J49" s="17">
        <f>IFERROR(__xludf.DUMMYFUNCTION("""COMPUTED_VALUE"""),896.45)</f>
        <v>896.45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IFERROR(__xludf.DUMMYFUNCTION("""COMPUTED_VALUE"""),893.4)</f>
        <v>893.4</v>
      </c>
      <c r="C50" s="16">
        <f>IFERROR(__xludf.DUMMYFUNCTION("""COMPUTED_VALUE"""),45813.6458333333)</f>
        <v>45813.6458333333</v>
      </c>
      <c r="D50" s="17">
        <f>IFERROR(__xludf.DUMMYFUNCTION("""COMPUTED_VALUE"""),898.7)</f>
        <v>898.7</v>
      </c>
      <c r="E50" s="16">
        <f>IFERROR(__xludf.DUMMYFUNCTION("""COMPUTED_VALUE"""),45813.6458333333)</f>
        <v>45813.6458333333</v>
      </c>
      <c r="F50" s="17">
        <f>IFERROR(__xludf.DUMMYFUNCTION("""COMPUTED_VALUE"""),785332)</f>
        <v>785332</v>
      </c>
      <c r="G50" s="16">
        <f>IFERROR(__xludf.DUMMYFUNCTION("""COMPUTED_VALUE"""),45813.6458333333)</f>
        <v>45813.6458333333</v>
      </c>
      <c r="H50" s="17">
        <f>IFERROR(__xludf.DUMMYFUNCTION("""COMPUTED_VALUE"""),898.7)</f>
        <v>898.7</v>
      </c>
      <c r="I50" s="16">
        <f>IFERROR(__xludf.DUMMYFUNCTION("""COMPUTED_VALUE"""),45813.6458333333)</f>
        <v>45813.6458333333</v>
      </c>
      <c r="J50" s="17">
        <f>IFERROR(__xludf.DUMMYFUNCTION("""COMPUTED_VALUE"""),886.95)</f>
        <v>886.95</v>
      </c>
      <c r="K50" s="3">
        <f t="shared" si="2"/>
        <v>0</v>
      </c>
      <c r="L50" s="3">
        <f t="shared" si="3"/>
        <v>893.4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IFERROR(__xludf.DUMMYFUNCTION("""COMPUTED_VALUE"""),937.15)</f>
        <v>937.15</v>
      </c>
      <c r="C51" s="16">
        <f>IFERROR(__xludf.DUMMYFUNCTION("""COMPUTED_VALUE"""),45814.6458333333)</f>
        <v>45814.6458333333</v>
      </c>
      <c r="D51" s="17">
        <f>IFERROR(__xludf.DUMMYFUNCTION("""COMPUTED_VALUE"""),894.5)</f>
        <v>894.5</v>
      </c>
      <c r="E51" s="16">
        <f>IFERROR(__xludf.DUMMYFUNCTION("""COMPUTED_VALUE"""),45814.6458333333)</f>
        <v>45814.6458333333</v>
      </c>
      <c r="F51" s="17">
        <f>IFERROR(__xludf.DUMMYFUNCTION("""COMPUTED_VALUE"""),1978386)</f>
        <v>1978386</v>
      </c>
      <c r="G51" s="16">
        <f>IFERROR(__xludf.DUMMYFUNCTION("""COMPUTED_VALUE"""),45814.6458333333)</f>
        <v>45814.6458333333</v>
      </c>
      <c r="H51" s="17">
        <f>IFERROR(__xludf.DUMMYFUNCTION("""COMPUTED_VALUE"""),943.4)</f>
        <v>943.4</v>
      </c>
      <c r="I51" s="16">
        <f>IFERROR(__xludf.DUMMYFUNCTION("""COMPUTED_VALUE"""),45814.6458333333)</f>
        <v>45814.6458333333</v>
      </c>
      <c r="J51" s="17">
        <f>IFERROR(__xludf.DUMMYFUNCTION("""COMPUTED_VALUE"""),887.6)</f>
        <v>887.6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IFERROR(__xludf.DUMMYFUNCTION("""COMPUTED_VALUE"""),960.75)</f>
        <v>960.75</v>
      </c>
      <c r="C52" s="16">
        <f>IFERROR(__xludf.DUMMYFUNCTION("""COMPUTED_VALUE"""),45817.6458333333)</f>
        <v>45817.6458333333</v>
      </c>
      <c r="D52" s="17">
        <f>IFERROR(__xludf.DUMMYFUNCTION("""COMPUTED_VALUE"""),955)</f>
        <v>955</v>
      </c>
      <c r="E52" s="16">
        <f>IFERROR(__xludf.DUMMYFUNCTION("""COMPUTED_VALUE"""),45817.6458333333)</f>
        <v>45817.6458333333</v>
      </c>
      <c r="F52" s="17">
        <f>IFERROR(__xludf.DUMMYFUNCTION("""COMPUTED_VALUE"""),2349601)</f>
        <v>2349601</v>
      </c>
      <c r="G52" s="16">
        <f>IFERROR(__xludf.DUMMYFUNCTION("""COMPUTED_VALUE"""),45817.6458333333)</f>
        <v>45817.6458333333</v>
      </c>
      <c r="H52" s="17">
        <f>IFERROR(__xludf.DUMMYFUNCTION("""COMPUTED_VALUE"""),978.8)</f>
        <v>978.8</v>
      </c>
      <c r="I52" s="16">
        <f>IFERROR(__xludf.DUMMYFUNCTION("""COMPUTED_VALUE"""),45817.6458333333)</f>
        <v>45817.6458333333</v>
      </c>
      <c r="J52" s="17">
        <f>IFERROR(__xludf.DUMMYFUNCTION("""COMPUTED_VALUE"""),940.3)</f>
        <v>940.3</v>
      </c>
      <c r="K52" s="3">
        <f t="shared" si="2"/>
        <v>960.75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IFERROR(__xludf.DUMMYFUNCTION("""COMPUTED_VALUE"""),949.75)</f>
        <v>949.75</v>
      </c>
      <c r="C53" s="16">
        <f>IFERROR(__xludf.DUMMYFUNCTION("""COMPUTED_VALUE"""),45818.6458333333)</f>
        <v>45818.6458333333</v>
      </c>
      <c r="D53" s="17">
        <f>IFERROR(__xludf.DUMMYFUNCTION("""COMPUTED_VALUE"""),970)</f>
        <v>970</v>
      </c>
      <c r="E53" s="16">
        <f>IFERROR(__xludf.DUMMYFUNCTION("""COMPUTED_VALUE"""),45818.6458333333)</f>
        <v>45818.6458333333</v>
      </c>
      <c r="F53" s="17">
        <f>IFERROR(__xludf.DUMMYFUNCTION("""COMPUTED_VALUE"""),904404)</f>
        <v>904404</v>
      </c>
      <c r="G53" s="16">
        <f>IFERROR(__xludf.DUMMYFUNCTION("""COMPUTED_VALUE"""),45818.6458333333)</f>
        <v>45818.6458333333</v>
      </c>
      <c r="H53" s="17">
        <f>IFERROR(__xludf.DUMMYFUNCTION("""COMPUTED_VALUE"""),970)</f>
        <v>970</v>
      </c>
      <c r="I53" s="16">
        <f>IFERROR(__xludf.DUMMYFUNCTION("""COMPUTED_VALUE"""),45818.6458333333)</f>
        <v>45818.6458333333</v>
      </c>
      <c r="J53" s="17">
        <f>IFERROR(__xludf.DUMMYFUNCTION("""COMPUTED_VALUE"""),948.55)</f>
        <v>948.55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IFERROR(__xludf.DUMMYFUNCTION("""COMPUTED_VALUE"""),942.5)</f>
        <v>942.5</v>
      </c>
      <c r="C54" s="16">
        <f>IFERROR(__xludf.DUMMYFUNCTION("""COMPUTED_VALUE"""),45819.6458333333)</f>
        <v>45819.6458333333</v>
      </c>
      <c r="D54" s="17">
        <f>IFERROR(__xludf.DUMMYFUNCTION("""COMPUTED_VALUE"""),949)</f>
        <v>949</v>
      </c>
      <c r="E54" s="16">
        <f>IFERROR(__xludf.DUMMYFUNCTION("""COMPUTED_VALUE"""),45819.6458333333)</f>
        <v>45819.6458333333</v>
      </c>
      <c r="F54" s="17">
        <f>IFERROR(__xludf.DUMMYFUNCTION("""COMPUTED_VALUE"""),1186081)</f>
        <v>1186081</v>
      </c>
      <c r="G54" s="16">
        <f>IFERROR(__xludf.DUMMYFUNCTION("""COMPUTED_VALUE"""),45819.6458333333)</f>
        <v>45819.6458333333</v>
      </c>
      <c r="H54" s="17">
        <f>IFERROR(__xludf.DUMMYFUNCTION("""COMPUTED_VALUE"""),957)</f>
        <v>957</v>
      </c>
      <c r="I54" s="16">
        <f>IFERROR(__xludf.DUMMYFUNCTION("""COMPUTED_VALUE"""),45819.6458333333)</f>
        <v>45819.6458333333</v>
      </c>
      <c r="J54" s="17">
        <f>IFERROR(__xludf.DUMMYFUNCTION("""COMPUTED_VALUE"""),940.4)</f>
        <v>940.4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IFERROR(__xludf.DUMMYFUNCTION("""COMPUTED_VALUE"""),936.85)</f>
        <v>936.85</v>
      </c>
      <c r="C55" s="16">
        <f>IFERROR(__xludf.DUMMYFUNCTION("""COMPUTED_VALUE"""),45820.6458333333)</f>
        <v>45820.6458333333</v>
      </c>
      <c r="D55" s="17">
        <f>IFERROR(__xludf.DUMMYFUNCTION("""COMPUTED_VALUE"""),944.9)</f>
        <v>944.9</v>
      </c>
      <c r="E55" s="16">
        <f>IFERROR(__xludf.DUMMYFUNCTION("""COMPUTED_VALUE"""),45820.6458333333)</f>
        <v>45820.6458333333</v>
      </c>
      <c r="F55" s="17">
        <f>IFERROR(__xludf.DUMMYFUNCTION("""COMPUTED_VALUE"""),1238833)</f>
        <v>1238833</v>
      </c>
      <c r="G55" s="16">
        <f>IFERROR(__xludf.DUMMYFUNCTION("""COMPUTED_VALUE"""),45820.6458333333)</f>
        <v>45820.6458333333</v>
      </c>
      <c r="H55" s="17">
        <f>IFERROR(__xludf.DUMMYFUNCTION("""COMPUTED_VALUE"""),953.3)</f>
        <v>953.3</v>
      </c>
      <c r="I55" s="16">
        <f>IFERROR(__xludf.DUMMYFUNCTION("""COMPUTED_VALUE"""),45820.6458333333)</f>
        <v>45820.6458333333</v>
      </c>
      <c r="J55" s="17">
        <f>IFERROR(__xludf.DUMMYFUNCTION("""COMPUTED_VALUE"""),935.5)</f>
        <v>935.5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IFERROR(__xludf.DUMMYFUNCTION("""COMPUTED_VALUE"""),933.1)</f>
        <v>933.1</v>
      </c>
      <c r="C56" s="16">
        <f>IFERROR(__xludf.DUMMYFUNCTION("""COMPUTED_VALUE"""),45821.6458333333)</f>
        <v>45821.6458333333</v>
      </c>
      <c r="D56" s="17">
        <f>IFERROR(__xludf.DUMMYFUNCTION("""COMPUTED_VALUE"""),915)</f>
        <v>915</v>
      </c>
      <c r="E56" s="16">
        <f>IFERROR(__xludf.DUMMYFUNCTION("""COMPUTED_VALUE"""),45821.6458333333)</f>
        <v>45821.6458333333</v>
      </c>
      <c r="F56" s="17">
        <f>IFERROR(__xludf.DUMMYFUNCTION("""COMPUTED_VALUE"""),1018202)</f>
        <v>1018202</v>
      </c>
      <c r="G56" s="16">
        <f>IFERROR(__xludf.DUMMYFUNCTION("""COMPUTED_VALUE"""),45821.6458333333)</f>
        <v>45821.6458333333</v>
      </c>
      <c r="H56" s="17">
        <f>IFERROR(__xludf.DUMMYFUNCTION("""COMPUTED_VALUE"""),936.55)</f>
        <v>936.55</v>
      </c>
      <c r="I56" s="16">
        <f>IFERROR(__xludf.DUMMYFUNCTION("""COMPUTED_VALUE"""),45821.6458333333)</f>
        <v>45821.6458333333</v>
      </c>
      <c r="J56" s="17">
        <f>IFERROR(__xludf.DUMMYFUNCTION("""COMPUTED_VALUE"""),914.7)</f>
        <v>914.7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IFERROR(__xludf.DUMMYFUNCTION("""COMPUTED_VALUE"""),938)</f>
        <v>938</v>
      </c>
      <c r="C57" s="16">
        <f>IFERROR(__xludf.DUMMYFUNCTION("""COMPUTED_VALUE"""),45824.6458333333)</f>
        <v>45824.6458333333</v>
      </c>
      <c r="D57" s="17">
        <f>IFERROR(__xludf.DUMMYFUNCTION("""COMPUTED_VALUE"""),956)</f>
        <v>956</v>
      </c>
      <c r="E57" s="16">
        <f>IFERROR(__xludf.DUMMYFUNCTION("""COMPUTED_VALUE"""),45824.6458333333)</f>
        <v>45824.6458333333</v>
      </c>
      <c r="F57" s="17">
        <f>IFERROR(__xludf.DUMMYFUNCTION("""COMPUTED_VALUE"""),7016290)</f>
        <v>7016290</v>
      </c>
      <c r="G57" s="16">
        <f>IFERROR(__xludf.DUMMYFUNCTION("""COMPUTED_VALUE"""),45824.6458333333)</f>
        <v>45824.6458333333</v>
      </c>
      <c r="H57" s="17">
        <f>IFERROR(__xludf.DUMMYFUNCTION("""COMPUTED_VALUE"""),956)</f>
        <v>956</v>
      </c>
      <c r="I57" s="16">
        <f>IFERROR(__xludf.DUMMYFUNCTION("""COMPUTED_VALUE"""),45824.6458333333)</f>
        <v>45824.6458333333</v>
      </c>
      <c r="J57" s="17">
        <f>IFERROR(__xludf.DUMMYFUNCTION("""COMPUTED_VALUE"""),925)</f>
        <v>925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IFERROR(__xludf.DUMMYFUNCTION("""COMPUTED_VALUE"""),923)</f>
        <v>923</v>
      </c>
      <c r="C58" s="16">
        <f>IFERROR(__xludf.DUMMYFUNCTION("""COMPUTED_VALUE"""),45825.6458333333)</f>
        <v>45825.6458333333</v>
      </c>
      <c r="D58" s="17">
        <f>IFERROR(__xludf.DUMMYFUNCTION("""COMPUTED_VALUE"""),941.5)</f>
        <v>941.5</v>
      </c>
      <c r="E58" s="16">
        <f>IFERROR(__xludf.DUMMYFUNCTION("""COMPUTED_VALUE"""),45825.6458333333)</f>
        <v>45825.6458333333</v>
      </c>
      <c r="F58" s="17">
        <f>IFERROR(__xludf.DUMMYFUNCTION("""COMPUTED_VALUE"""),6110175)</f>
        <v>6110175</v>
      </c>
      <c r="G58" s="16">
        <f>IFERROR(__xludf.DUMMYFUNCTION("""COMPUTED_VALUE"""),45825.6458333333)</f>
        <v>45825.6458333333</v>
      </c>
      <c r="H58" s="17">
        <f>IFERROR(__xludf.DUMMYFUNCTION("""COMPUTED_VALUE"""),943.5)</f>
        <v>943.5</v>
      </c>
      <c r="I58" s="16">
        <f>IFERROR(__xludf.DUMMYFUNCTION("""COMPUTED_VALUE"""),45825.6458333333)</f>
        <v>45825.6458333333</v>
      </c>
      <c r="J58" s="17">
        <f>IFERROR(__xludf.DUMMYFUNCTION("""COMPUTED_VALUE"""),917.5)</f>
        <v>917.5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IFERROR(__xludf.DUMMYFUNCTION("""COMPUTED_VALUE"""),919)</f>
        <v>919</v>
      </c>
      <c r="C59" s="16">
        <f>IFERROR(__xludf.DUMMYFUNCTION("""COMPUTED_VALUE"""),45826.6458333333)</f>
        <v>45826.6458333333</v>
      </c>
      <c r="D59" s="17">
        <f>IFERROR(__xludf.DUMMYFUNCTION("""COMPUTED_VALUE"""),927)</f>
        <v>927</v>
      </c>
      <c r="E59" s="16">
        <f>IFERROR(__xludf.DUMMYFUNCTION("""COMPUTED_VALUE"""),45826.6458333333)</f>
        <v>45826.6458333333</v>
      </c>
      <c r="F59" s="17">
        <f>IFERROR(__xludf.DUMMYFUNCTION("""COMPUTED_VALUE"""),5002923)</f>
        <v>5002923</v>
      </c>
      <c r="G59" s="16">
        <f>IFERROR(__xludf.DUMMYFUNCTION("""COMPUTED_VALUE"""),45826.6458333333)</f>
        <v>45826.6458333333</v>
      </c>
      <c r="H59" s="17">
        <f>IFERROR(__xludf.DUMMYFUNCTION("""COMPUTED_VALUE"""),932.5)</f>
        <v>932.5</v>
      </c>
      <c r="I59" s="16">
        <f>IFERROR(__xludf.DUMMYFUNCTION("""COMPUTED_VALUE"""),45826.6458333333)</f>
        <v>45826.6458333333</v>
      </c>
      <c r="J59" s="17">
        <f>IFERROR(__xludf.DUMMYFUNCTION("""COMPUTED_VALUE"""),915)</f>
        <v>915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IFERROR(__xludf.DUMMYFUNCTION("""COMPUTED_VALUE"""),900.5)</f>
        <v>900.5</v>
      </c>
      <c r="C60" s="16">
        <f>IFERROR(__xludf.DUMMYFUNCTION("""COMPUTED_VALUE"""),45827.6458333333)</f>
        <v>45827.6458333333</v>
      </c>
      <c r="D60" s="17">
        <f>IFERROR(__xludf.DUMMYFUNCTION("""COMPUTED_VALUE"""),919)</f>
        <v>919</v>
      </c>
      <c r="E60" s="16">
        <f>IFERROR(__xludf.DUMMYFUNCTION("""COMPUTED_VALUE"""),45827.6458333333)</f>
        <v>45827.6458333333</v>
      </c>
      <c r="F60" s="17">
        <f>IFERROR(__xludf.DUMMYFUNCTION("""COMPUTED_VALUE"""),6585940)</f>
        <v>6585940</v>
      </c>
      <c r="G60" s="16">
        <f>IFERROR(__xludf.DUMMYFUNCTION("""COMPUTED_VALUE"""),45827.6458333333)</f>
        <v>45827.6458333333</v>
      </c>
      <c r="H60" s="17">
        <f>IFERROR(__xludf.DUMMYFUNCTION("""COMPUTED_VALUE"""),922.5)</f>
        <v>922.5</v>
      </c>
      <c r="I60" s="16">
        <f>IFERROR(__xludf.DUMMYFUNCTION("""COMPUTED_VALUE"""),45827.6458333333)</f>
        <v>45827.6458333333</v>
      </c>
      <c r="J60" s="17">
        <f>IFERROR(__xludf.DUMMYFUNCTION("""COMPUTED_VALUE"""),894)</f>
        <v>894</v>
      </c>
      <c r="K60" s="3">
        <f t="shared" si="2"/>
        <v>0</v>
      </c>
      <c r="L60" s="3">
        <f t="shared" si="3"/>
        <v>900.5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IFERROR(__xludf.DUMMYFUNCTION("""COMPUTED_VALUE"""),905)</f>
        <v>905</v>
      </c>
      <c r="C61" s="16">
        <f>IFERROR(__xludf.DUMMYFUNCTION("""COMPUTED_VALUE"""),45828.6458333333)</f>
        <v>45828.6458333333</v>
      </c>
      <c r="D61" s="17">
        <f>IFERROR(__xludf.DUMMYFUNCTION("""COMPUTED_VALUE"""),897)</f>
        <v>897</v>
      </c>
      <c r="E61" s="16">
        <f>IFERROR(__xludf.DUMMYFUNCTION("""COMPUTED_VALUE"""),45828.6458333333)</f>
        <v>45828.6458333333</v>
      </c>
      <c r="F61" s="17">
        <f>IFERROR(__xludf.DUMMYFUNCTION("""COMPUTED_VALUE"""),14320241)</f>
        <v>14320241</v>
      </c>
      <c r="G61" s="16">
        <f>IFERROR(__xludf.DUMMYFUNCTION("""COMPUTED_VALUE"""),45828.6458333333)</f>
        <v>45828.6458333333</v>
      </c>
      <c r="H61" s="17">
        <f>IFERROR(__xludf.DUMMYFUNCTION("""COMPUTED_VALUE"""),907.5)</f>
        <v>907.5</v>
      </c>
      <c r="I61" s="16">
        <f>IFERROR(__xludf.DUMMYFUNCTION("""COMPUTED_VALUE"""),45828.6458333333)</f>
        <v>45828.6458333333</v>
      </c>
      <c r="J61" s="17">
        <f>IFERROR(__xludf.DUMMYFUNCTION("""COMPUTED_VALUE"""),886)</f>
        <v>886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IFERROR(__xludf.DUMMYFUNCTION("""COMPUTED_VALUE"""),915.5)</f>
        <v>915.5</v>
      </c>
      <c r="C62" s="16">
        <f>IFERROR(__xludf.DUMMYFUNCTION("""COMPUTED_VALUE"""),45831.6458333333)</f>
        <v>45831.6458333333</v>
      </c>
      <c r="D62" s="17">
        <f>IFERROR(__xludf.DUMMYFUNCTION("""COMPUTED_VALUE"""),899)</f>
        <v>899</v>
      </c>
      <c r="E62" s="16">
        <f>IFERROR(__xludf.DUMMYFUNCTION("""COMPUTED_VALUE"""),45831.6458333333)</f>
        <v>45831.6458333333</v>
      </c>
      <c r="F62" s="17">
        <f>IFERROR(__xludf.DUMMYFUNCTION("""COMPUTED_VALUE"""),5870597)</f>
        <v>5870597</v>
      </c>
      <c r="G62" s="16">
        <f>IFERROR(__xludf.DUMMYFUNCTION("""COMPUTED_VALUE"""),45831.6458333333)</f>
        <v>45831.6458333333</v>
      </c>
      <c r="H62" s="17">
        <f>IFERROR(__xludf.DUMMYFUNCTION("""COMPUTED_VALUE"""),918)</f>
        <v>918</v>
      </c>
      <c r="I62" s="16">
        <f>IFERROR(__xludf.DUMMYFUNCTION("""COMPUTED_VALUE"""),45831.6458333333)</f>
        <v>45831.6458333333</v>
      </c>
      <c r="J62" s="17">
        <f>IFERROR(__xludf.DUMMYFUNCTION("""COMPUTED_VALUE"""),890.5)</f>
        <v>890.5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IFERROR(__xludf.DUMMYFUNCTION("""COMPUTED_VALUE"""),916.5)</f>
        <v>916.5</v>
      </c>
      <c r="C63" s="16">
        <f>IFERROR(__xludf.DUMMYFUNCTION("""COMPUTED_VALUE"""),45832.6458333333)</f>
        <v>45832.6458333333</v>
      </c>
      <c r="D63" s="17">
        <f>IFERROR(__xludf.DUMMYFUNCTION("""COMPUTED_VALUE"""),920)</f>
        <v>920</v>
      </c>
      <c r="E63" s="16">
        <f>IFERROR(__xludf.DUMMYFUNCTION("""COMPUTED_VALUE"""),45832.6458333333)</f>
        <v>45832.6458333333</v>
      </c>
      <c r="F63" s="17">
        <f>IFERROR(__xludf.DUMMYFUNCTION("""COMPUTED_VALUE"""),11555634)</f>
        <v>11555634</v>
      </c>
      <c r="G63" s="16">
        <f>IFERROR(__xludf.DUMMYFUNCTION("""COMPUTED_VALUE"""),45832.6458333333)</f>
        <v>45832.6458333333</v>
      </c>
      <c r="H63" s="17">
        <f>IFERROR(__xludf.DUMMYFUNCTION("""COMPUTED_VALUE"""),936)</f>
        <v>936</v>
      </c>
      <c r="I63" s="16">
        <f>IFERROR(__xludf.DUMMYFUNCTION("""COMPUTED_VALUE"""),45832.6458333333)</f>
        <v>45832.6458333333</v>
      </c>
      <c r="J63" s="17">
        <f>IFERROR(__xludf.DUMMYFUNCTION("""COMPUTED_VALUE"""),914.5)</f>
        <v>914.5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IFERROR(__xludf.DUMMYFUNCTION("""COMPUTED_VALUE"""),928)</f>
        <v>928</v>
      </c>
      <c r="C64" s="16">
        <f>IFERROR(__xludf.DUMMYFUNCTION("""COMPUTED_VALUE"""),45833.6458333333)</f>
        <v>45833.6458333333</v>
      </c>
      <c r="D64" s="17">
        <f>IFERROR(__xludf.DUMMYFUNCTION("""COMPUTED_VALUE"""),918)</f>
        <v>918</v>
      </c>
      <c r="E64" s="16">
        <f>IFERROR(__xludf.DUMMYFUNCTION("""COMPUTED_VALUE"""),45833.6458333333)</f>
        <v>45833.6458333333</v>
      </c>
      <c r="F64" s="17">
        <f>IFERROR(__xludf.DUMMYFUNCTION("""COMPUTED_VALUE"""),6623799)</f>
        <v>6623799</v>
      </c>
      <c r="G64" s="16">
        <f>IFERROR(__xludf.DUMMYFUNCTION("""COMPUTED_VALUE"""),45833.6458333333)</f>
        <v>45833.6458333333</v>
      </c>
      <c r="H64" s="17">
        <f>IFERROR(__xludf.DUMMYFUNCTION("""COMPUTED_VALUE"""),930)</f>
        <v>930</v>
      </c>
      <c r="I64" s="16">
        <f>IFERROR(__xludf.DUMMYFUNCTION("""COMPUTED_VALUE"""),45833.6458333333)</f>
        <v>45833.6458333333</v>
      </c>
      <c r="J64" s="17">
        <f>IFERROR(__xludf.DUMMYFUNCTION("""COMPUTED_VALUE"""),916)</f>
        <v>916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IFERROR(__xludf.DUMMYFUNCTION("""COMPUTED_VALUE"""),951.5)</f>
        <v>951.5</v>
      </c>
      <c r="C65" s="16">
        <f>IFERROR(__xludf.DUMMYFUNCTION("""COMPUTED_VALUE"""),45834.6458333333)</f>
        <v>45834.6458333333</v>
      </c>
      <c r="D65" s="17">
        <f>IFERROR(__xludf.DUMMYFUNCTION("""COMPUTED_VALUE"""),930)</f>
        <v>930</v>
      </c>
      <c r="E65" s="16">
        <f>IFERROR(__xludf.DUMMYFUNCTION("""COMPUTED_VALUE"""),45834.6458333333)</f>
        <v>45834.6458333333</v>
      </c>
      <c r="F65" s="17">
        <f>IFERROR(__xludf.DUMMYFUNCTION("""COMPUTED_VALUE"""),11677790)</f>
        <v>11677790</v>
      </c>
      <c r="G65" s="16">
        <f>IFERROR(__xludf.DUMMYFUNCTION("""COMPUTED_VALUE"""),45834.6458333333)</f>
        <v>45834.6458333333</v>
      </c>
      <c r="H65" s="17">
        <f>IFERROR(__xludf.DUMMYFUNCTION("""COMPUTED_VALUE"""),953.5)</f>
        <v>953.5</v>
      </c>
      <c r="I65" s="16">
        <f>IFERROR(__xludf.DUMMYFUNCTION("""COMPUTED_VALUE"""),45834.6458333333)</f>
        <v>45834.6458333333</v>
      </c>
      <c r="J65" s="17">
        <f>IFERROR(__xludf.DUMMYFUNCTION("""COMPUTED_VALUE"""),928.5)</f>
        <v>928.5</v>
      </c>
      <c r="K65" s="3">
        <f t="shared" si="2"/>
        <v>951.5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IFERROR(__xludf.DUMMYFUNCTION("""COMPUTED_VALUE"""),947)</f>
        <v>947</v>
      </c>
      <c r="C66" s="16">
        <f>IFERROR(__xludf.DUMMYFUNCTION("""COMPUTED_VALUE"""),45835.6458333333)</f>
        <v>45835.6458333333</v>
      </c>
      <c r="D66" s="17">
        <f>IFERROR(__xludf.DUMMYFUNCTION("""COMPUTED_VALUE"""),950)</f>
        <v>950</v>
      </c>
      <c r="E66" s="16">
        <f>IFERROR(__xludf.DUMMYFUNCTION("""COMPUTED_VALUE"""),45835.6458333333)</f>
        <v>45835.6458333333</v>
      </c>
      <c r="F66" s="17">
        <f>IFERROR(__xludf.DUMMYFUNCTION("""COMPUTED_VALUE"""),21637194)</f>
        <v>21637194</v>
      </c>
      <c r="G66" s="16">
        <f>IFERROR(__xludf.DUMMYFUNCTION("""COMPUTED_VALUE"""),45835.6458333333)</f>
        <v>45835.6458333333</v>
      </c>
      <c r="H66" s="17">
        <f>IFERROR(__xludf.DUMMYFUNCTION("""COMPUTED_VALUE"""),959.5)</f>
        <v>959.5</v>
      </c>
      <c r="I66" s="16">
        <f>IFERROR(__xludf.DUMMYFUNCTION("""COMPUTED_VALUE"""),45835.6458333333)</f>
        <v>45835.6458333333</v>
      </c>
      <c r="J66" s="17">
        <f>IFERROR(__xludf.DUMMYFUNCTION("""COMPUTED_VALUE"""),936)</f>
        <v>936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IFERROR(__xludf.DUMMYFUNCTION("""COMPUTED_VALUE"""),936.5)</f>
        <v>936.5</v>
      </c>
      <c r="C67" s="16">
        <f>IFERROR(__xludf.DUMMYFUNCTION("""COMPUTED_VALUE"""),45838.6458333333)</f>
        <v>45838.6458333333</v>
      </c>
      <c r="D67" s="17">
        <f>IFERROR(__xludf.DUMMYFUNCTION("""COMPUTED_VALUE"""),956)</f>
        <v>956</v>
      </c>
      <c r="E67" s="16">
        <f>IFERROR(__xludf.DUMMYFUNCTION("""COMPUTED_VALUE"""),45838.6458333333)</f>
        <v>45838.6458333333</v>
      </c>
      <c r="F67" s="17">
        <f>IFERROR(__xludf.DUMMYFUNCTION("""COMPUTED_VALUE"""),6086081)</f>
        <v>6086081</v>
      </c>
      <c r="G67" s="16">
        <f>IFERROR(__xludf.DUMMYFUNCTION("""COMPUTED_VALUE"""),45838.6458333333)</f>
        <v>45838.6458333333</v>
      </c>
      <c r="H67" s="17">
        <f>IFERROR(__xludf.DUMMYFUNCTION("""COMPUTED_VALUE"""),956)</f>
        <v>956</v>
      </c>
      <c r="I67" s="16">
        <f>IFERROR(__xludf.DUMMYFUNCTION("""COMPUTED_VALUE"""),45838.6458333333)</f>
        <v>45838.6458333333</v>
      </c>
      <c r="J67" s="17">
        <f>IFERROR(__xludf.DUMMYFUNCTION("""COMPUTED_VALUE"""),934)</f>
        <v>934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IFERROR(__xludf.DUMMYFUNCTION("""COMPUTED_VALUE"""),936.65)</f>
        <v>936.65</v>
      </c>
      <c r="C68" s="16">
        <f>IFERROR(__xludf.DUMMYFUNCTION("""COMPUTED_VALUE"""),45839.6458333333)</f>
        <v>45839.6458333333</v>
      </c>
      <c r="D68" s="17">
        <f>IFERROR(__xludf.DUMMYFUNCTION("""COMPUTED_VALUE"""),932.5)</f>
        <v>932.5</v>
      </c>
      <c r="E68" s="16">
        <f>IFERROR(__xludf.DUMMYFUNCTION("""COMPUTED_VALUE"""),45839.6458333333)</f>
        <v>45839.6458333333</v>
      </c>
      <c r="F68" s="17">
        <f>IFERROR(__xludf.DUMMYFUNCTION("""COMPUTED_VALUE"""),5381327)</f>
        <v>5381327</v>
      </c>
      <c r="G68" s="16">
        <f>IFERROR(__xludf.DUMMYFUNCTION("""COMPUTED_VALUE"""),45839.6458333333)</f>
        <v>45839.6458333333</v>
      </c>
      <c r="H68" s="17">
        <f>IFERROR(__xludf.DUMMYFUNCTION("""COMPUTED_VALUE"""),941.8)</f>
        <v>941.8</v>
      </c>
      <c r="I68" s="16">
        <f>IFERROR(__xludf.DUMMYFUNCTION("""COMPUTED_VALUE"""),45839.6458333333)</f>
        <v>45839.6458333333</v>
      </c>
      <c r="J68" s="17">
        <f>IFERROR(__xludf.DUMMYFUNCTION("""COMPUTED_VALUE"""),928)</f>
        <v>928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IFERROR(__xludf.DUMMYFUNCTION("""COMPUTED_VALUE"""),923)</f>
        <v>923</v>
      </c>
      <c r="C69" s="16">
        <f>IFERROR(__xludf.DUMMYFUNCTION("""COMPUTED_VALUE"""),45840.6458333333)</f>
        <v>45840.6458333333</v>
      </c>
      <c r="D69" s="17">
        <f>IFERROR(__xludf.DUMMYFUNCTION("""COMPUTED_VALUE"""),933)</f>
        <v>933</v>
      </c>
      <c r="E69" s="16">
        <f>IFERROR(__xludf.DUMMYFUNCTION("""COMPUTED_VALUE"""),45840.6458333333)</f>
        <v>45840.6458333333</v>
      </c>
      <c r="F69" s="17">
        <f>IFERROR(__xludf.DUMMYFUNCTION("""COMPUTED_VALUE"""),9394493)</f>
        <v>9394493</v>
      </c>
      <c r="G69" s="16">
        <f>IFERROR(__xludf.DUMMYFUNCTION("""COMPUTED_VALUE"""),45840.6458333333)</f>
        <v>45840.6458333333</v>
      </c>
      <c r="H69" s="17">
        <f>IFERROR(__xludf.DUMMYFUNCTION("""COMPUTED_VALUE"""),939.85)</f>
        <v>939.85</v>
      </c>
      <c r="I69" s="16">
        <f>IFERROR(__xludf.DUMMYFUNCTION("""COMPUTED_VALUE"""),45840.6458333333)</f>
        <v>45840.6458333333</v>
      </c>
      <c r="J69" s="17">
        <f>IFERROR(__xludf.DUMMYFUNCTION("""COMPUTED_VALUE"""),914)</f>
        <v>914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IFERROR(__xludf.DUMMYFUNCTION("""COMPUTED_VALUE"""),910.15)</f>
        <v>910.15</v>
      </c>
      <c r="C70" s="16">
        <f>IFERROR(__xludf.DUMMYFUNCTION("""COMPUTED_VALUE"""),45841.6458333333)</f>
        <v>45841.6458333333</v>
      </c>
      <c r="D70" s="17">
        <f>IFERROR(__xludf.DUMMYFUNCTION("""COMPUTED_VALUE"""),922)</f>
        <v>922</v>
      </c>
      <c r="E70" s="16">
        <f>IFERROR(__xludf.DUMMYFUNCTION("""COMPUTED_VALUE"""),45841.6458333333)</f>
        <v>45841.6458333333</v>
      </c>
      <c r="F70" s="17">
        <f>IFERROR(__xludf.DUMMYFUNCTION("""COMPUTED_VALUE"""),7606558)</f>
        <v>7606558</v>
      </c>
      <c r="G70" s="16">
        <f>IFERROR(__xludf.DUMMYFUNCTION("""COMPUTED_VALUE"""),45841.6458333333)</f>
        <v>45841.6458333333</v>
      </c>
      <c r="H70" s="17">
        <f>IFERROR(__xludf.DUMMYFUNCTION("""COMPUTED_VALUE"""),924.5)</f>
        <v>924.5</v>
      </c>
      <c r="I70" s="16">
        <f>IFERROR(__xludf.DUMMYFUNCTION("""COMPUTED_VALUE"""),45841.6458333333)</f>
        <v>45841.6458333333</v>
      </c>
      <c r="J70" s="17">
        <f>IFERROR(__xludf.DUMMYFUNCTION("""COMPUTED_VALUE"""),905.2)</f>
        <v>905.2</v>
      </c>
      <c r="K70" s="3">
        <f t="shared" si="2"/>
        <v>0</v>
      </c>
      <c r="L70" s="3">
        <f t="shared" si="3"/>
        <v>910.15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IFERROR(__xludf.DUMMYFUNCTION("""COMPUTED_VALUE"""),925.3)</f>
        <v>925.3</v>
      </c>
      <c r="C71" s="16">
        <f>IFERROR(__xludf.DUMMYFUNCTION("""COMPUTED_VALUE"""),45842.6458333333)</f>
        <v>45842.6458333333</v>
      </c>
      <c r="D71" s="17">
        <f>IFERROR(__xludf.DUMMYFUNCTION("""COMPUTED_VALUE"""),922)</f>
        <v>922</v>
      </c>
      <c r="E71" s="16">
        <f>IFERROR(__xludf.DUMMYFUNCTION("""COMPUTED_VALUE"""),45842.6458333333)</f>
        <v>45842.6458333333</v>
      </c>
      <c r="F71" s="17">
        <f>IFERROR(__xludf.DUMMYFUNCTION("""COMPUTED_VALUE"""),10613046)</f>
        <v>10613046</v>
      </c>
      <c r="G71" s="16">
        <f>IFERROR(__xludf.DUMMYFUNCTION("""COMPUTED_VALUE"""),45842.6458333333)</f>
        <v>45842.6458333333</v>
      </c>
      <c r="H71" s="17">
        <f>IFERROR(__xludf.DUMMYFUNCTION("""COMPUTED_VALUE"""),940.7)</f>
        <v>940.7</v>
      </c>
      <c r="I71" s="16">
        <f>IFERROR(__xludf.DUMMYFUNCTION("""COMPUTED_VALUE"""),45842.6458333333)</f>
        <v>45842.6458333333</v>
      </c>
      <c r="J71" s="17">
        <f>IFERROR(__xludf.DUMMYFUNCTION("""COMPUTED_VALUE"""),919)</f>
        <v>919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IFERROR(__xludf.DUMMYFUNCTION("""COMPUTED_VALUE"""),924.65)</f>
        <v>924.65</v>
      </c>
      <c r="C72" s="16">
        <f>IFERROR(__xludf.DUMMYFUNCTION("""COMPUTED_VALUE"""),45845.6458333333)</f>
        <v>45845.6458333333</v>
      </c>
      <c r="D72" s="17">
        <f>IFERROR(__xludf.DUMMYFUNCTION("""COMPUTED_VALUE"""),925)</f>
        <v>925</v>
      </c>
      <c r="E72" s="16">
        <f>IFERROR(__xludf.DUMMYFUNCTION("""COMPUTED_VALUE"""),45845.6458333333)</f>
        <v>45845.6458333333</v>
      </c>
      <c r="F72" s="17">
        <f>IFERROR(__xludf.DUMMYFUNCTION("""COMPUTED_VALUE"""),3383973)</f>
        <v>3383973</v>
      </c>
      <c r="G72" s="16">
        <f>IFERROR(__xludf.DUMMYFUNCTION("""COMPUTED_VALUE"""),45845.6458333333)</f>
        <v>45845.6458333333</v>
      </c>
      <c r="H72" s="17">
        <f>IFERROR(__xludf.DUMMYFUNCTION("""COMPUTED_VALUE"""),929.3)</f>
        <v>929.3</v>
      </c>
      <c r="I72" s="16">
        <f>IFERROR(__xludf.DUMMYFUNCTION("""COMPUTED_VALUE"""),45845.6458333333)</f>
        <v>45845.6458333333</v>
      </c>
      <c r="J72" s="17">
        <f>IFERROR(__xludf.DUMMYFUNCTION("""COMPUTED_VALUE"""),918.1)</f>
        <v>918.1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IFERROR(__xludf.DUMMYFUNCTION("""COMPUTED_VALUE"""),927.65)</f>
        <v>927.65</v>
      </c>
      <c r="C73" s="16">
        <f>IFERROR(__xludf.DUMMYFUNCTION("""COMPUTED_VALUE"""),45846.6458333333)</f>
        <v>45846.6458333333</v>
      </c>
      <c r="D73" s="17">
        <f>IFERROR(__xludf.DUMMYFUNCTION("""COMPUTED_VALUE"""),918.8)</f>
        <v>918.8</v>
      </c>
      <c r="E73" s="16">
        <f>IFERROR(__xludf.DUMMYFUNCTION("""COMPUTED_VALUE"""),45846.6458333333)</f>
        <v>45846.6458333333</v>
      </c>
      <c r="F73" s="17">
        <f>IFERROR(__xludf.DUMMYFUNCTION("""COMPUTED_VALUE"""),3851432)</f>
        <v>3851432</v>
      </c>
      <c r="G73" s="16">
        <f>IFERROR(__xludf.DUMMYFUNCTION("""COMPUTED_VALUE"""),45846.6458333333)</f>
        <v>45846.6458333333</v>
      </c>
      <c r="H73" s="17">
        <f>IFERROR(__xludf.DUMMYFUNCTION("""COMPUTED_VALUE"""),929.5)</f>
        <v>929.5</v>
      </c>
      <c r="I73" s="16">
        <f>IFERROR(__xludf.DUMMYFUNCTION("""COMPUTED_VALUE"""),45846.6458333333)</f>
        <v>45846.6458333333</v>
      </c>
      <c r="J73" s="17">
        <f>IFERROR(__xludf.DUMMYFUNCTION("""COMPUTED_VALUE"""),918.8)</f>
        <v>918.8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IFERROR(__xludf.DUMMYFUNCTION("""COMPUTED_VALUE"""),940.6)</f>
        <v>940.6</v>
      </c>
      <c r="C74" s="16">
        <f>IFERROR(__xludf.DUMMYFUNCTION("""COMPUTED_VALUE"""),45847.6458333333)</f>
        <v>45847.6458333333</v>
      </c>
      <c r="D74" s="17">
        <f>IFERROR(__xludf.DUMMYFUNCTION("""COMPUTED_VALUE"""),926.5)</f>
        <v>926.5</v>
      </c>
      <c r="E74" s="16">
        <f>IFERROR(__xludf.DUMMYFUNCTION("""COMPUTED_VALUE"""),45847.6458333333)</f>
        <v>45847.6458333333</v>
      </c>
      <c r="F74" s="17">
        <f>IFERROR(__xludf.DUMMYFUNCTION("""COMPUTED_VALUE"""),5341529)</f>
        <v>5341529</v>
      </c>
      <c r="G74" s="16">
        <f>IFERROR(__xludf.DUMMYFUNCTION("""COMPUTED_VALUE"""),45847.6458333333)</f>
        <v>45847.6458333333</v>
      </c>
      <c r="H74" s="17">
        <f>IFERROR(__xludf.DUMMYFUNCTION("""COMPUTED_VALUE"""),946)</f>
        <v>946</v>
      </c>
      <c r="I74" s="16">
        <f>IFERROR(__xludf.DUMMYFUNCTION("""COMPUTED_VALUE"""),45847.6458333333)</f>
        <v>45847.6458333333</v>
      </c>
      <c r="J74" s="17">
        <f>IFERROR(__xludf.DUMMYFUNCTION("""COMPUTED_VALUE"""),924)</f>
        <v>924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IFERROR(__xludf.DUMMYFUNCTION("""COMPUTED_VALUE"""),947.65)</f>
        <v>947.65</v>
      </c>
      <c r="C75" s="16">
        <f>IFERROR(__xludf.DUMMYFUNCTION("""COMPUTED_VALUE"""),45848.6458333333)</f>
        <v>45848.6458333333</v>
      </c>
      <c r="D75" s="17">
        <f>IFERROR(__xludf.DUMMYFUNCTION("""COMPUTED_VALUE"""),943)</f>
        <v>943</v>
      </c>
      <c r="E75" s="16">
        <f>IFERROR(__xludf.DUMMYFUNCTION("""COMPUTED_VALUE"""),45848.6458333333)</f>
        <v>45848.6458333333</v>
      </c>
      <c r="F75" s="17">
        <f>IFERROR(__xludf.DUMMYFUNCTION("""COMPUTED_VALUE"""),5409906)</f>
        <v>5409906</v>
      </c>
      <c r="G75" s="16">
        <f>IFERROR(__xludf.DUMMYFUNCTION("""COMPUTED_VALUE"""),45848.6458333333)</f>
        <v>45848.6458333333</v>
      </c>
      <c r="H75" s="17">
        <f>IFERROR(__xludf.DUMMYFUNCTION("""COMPUTED_VALUE"""),951.7)</f>
        <v>951.7</v>
      </c>
      <c r="I75" s="16">
        <f>IFERROR(__xludf.DUMMYFUNCTION("""COMPUTED_VALUE"""),45848.6458333333)</f>
        <v>45848.6458333333</v>
      </c>
      <c r="J75" s="17">
        <f>IFERROR(__xludf.DUMMYFUNCTION("""COMPUTED_VALUE"""),942.25)</f>
        <v>942.25</v>
      </c>
      <c r="K75" s="3">
        <f t="shared" si="2"/>
        <v>947.65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IFERROR(__xludf.DUMMYFUNCTION("""COMPUTED_VALUE"""),933.5)</f>
        <v>933.5</v>
      </c>
      <c r="C76" s="16">
        <f>IFERROR(__xludf.DUMMYFUNCTION("""COMPUTED_VALUE"""),45849.6458333333)</f>
        <v>45849.6458333333</v>
      </c>
      <c r="D76" s="17">
        <f>IFERROR(__xludf.DUMMYFUNCTION("""COMPUTED_VALUE"""),938.7)</f>
        <v>938.7</v>
      </c>
      <c r="E76" s="16">
        <f>IFERROR(__xludf.DUMMYFUNCTION("""COMPUTED_VALUE"""),45849.6458333333)</f>
        <v>45849.6458333333</v>
      </c>
      <c r="F76" s="17">
        <f>IFERROR(__xludf.DUMMYFUNCTION("""COMPUTED_VALUE"""),4278038)</f>
        <v>4278038</v>
      </c>
      <c r="G76" s="16">
        <f>IFERROR(__xludf.DUMMYFUNCTION("""COMPUTED_VALUE"""),45849.6458333333)</f>
        <v>45849.6458333333</v>
      </c>
      <c r="H76" s="17">
        <f>IFERROR(__xludf.DUMMYFUNCTION("""COMPUTED_VALUE"""),947.15)</f>
        <v>947.15</v>
      </c>
      <c r="I76" s="16">
        <f>IFERROR(__xludf.DUMMYFUNCTION("""COMPUTED_VALUE"""),45849.6458333333)</f>
        <v>45849.6458333333</v>
      </c>
      <c r="J76" s="17">
        <f>IFERROR(__xludf.DUMMYFUNCTION("""COMPUTED_VALUE"""),931.55)</f>
        <v>931.55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IFERROR(__xludf.DUMMYFUNCTION("""COMPUTED_VALUE"""),918.85)</f>
        <v>918.85</v>
      </c>
      <c r="C77" s="16">
        <f>IFERROR(__xludf.DUMMYFUNCTION("""COMPUTED_VALUE"""),45852.6458333333)</f>
        <v>45852.6458333333</v>
      </c>
      <c r="D77" s="17">
        <f>IFERROR(__xludf.DUMMYFUNCTION("""COMPUTED_VALUE"""),932)</f>
        <v>932</v>
      </c>
      <c r="E77" s="16">
        <f>IFERROR(__xludf.DUMMYFUNCTION("""COMPUTED_VALUE"""),45852.6458333333)</f>
        <v>45852.6458333333</v>
      </c>
      <c r="F77" s="17">
        <f>IFERROR(__xludf.DUMMYFUNCTION("""COMPUTED_VALUE"""),6657978)</f>
        <v>6657978</v>
      </c>
      <c r="G77" s="16">
        <f>IFERROR(__xludf.DUMMYFUNCTION("""COMPUTED_VALUE"""),45852.6458333333)</f>
        <v>45852.6458333333</v>
      </c>
      <c r="H77" s="17">
        <f>IFERROR(__xludf.DUMMYFUNCTION("""COMPUTED_VALUE"""),932)</f>
        <v>932</v>
      </c>
      <c r="I77" s="16">
        <f>IFERROR(__xludf.DUMMYFUNCTION("""COMPUTED_VALUE"""),45852.6458333333)</f>
        <v>45852.6458333333</v>
      </c>
      <c r="J77" s="17">
        <f>IFERROR(__xludf.DUMMYFUNCTION("""COMPUTED_VALUE"""),911.3)</f>
        <v>911.3</v>
      </c>
      <c r="K77" s="3">
        <f t="shared" si="2"/>
        <v>0</v>
      </c>
      <c r="L77" s="3">
        <f t="shared" si="3"/>
        <v>918.85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IFERROR(__xludf.DUMMYFUNCTION("""COMPUTED_VALUE"""),928.4)</f>
        <v>928.4</v>
      </c>
      <c r="C78" s="16">
        <f>IFERROR(__xludf.DUMMYFUNCTION("""COMPUTED_VALUE"""),45853.6458333333)</f>
        <v>45853.6458333333</v>
      </c>
      <c r="D78" s="17">
        <f>IFERROR(__xludf.DUMMYFUNCTION("""COMPUTED_VALUE"""),919)</f>
        <v>919</v>
      </c>
      <c r="E78" s="16">
        <f>IFERROR(__xludf.DUMMYFUNCTION("""COMPUTED_VALUE"""),45853.6458333333)</f>
        <v>45853.6458333333</v>
      </c>
      <c r="F78" s="17">
        <f>IFERROR(__xludf.DUMMYFUNCTION("""COMPUTED_VALUE"""),3892075)</f>
        <v>3892075</v>
      </c>
      <c r="G78" s="16">
        <f>IFERROR(__xludf.DUMMYFUNCTION("""COMPUTED_VALUE"""),45853.6458333333)</f>
        <v>45853.6458333333</v>
      </c>
      <c r="H78" s="17">
        <f>IFERROR(__xludf.DUMMYFUNCTION("""COMPUTED_VALUE"""),930.6)</f>
        <v>930.6</v>
      </c>
      <c r="I78" s="16">
        <f>IFERROR(__xludf.DUMMYFUNCTION("""COMPUTED_VALUE"""),45853.6458333333)</f>
        <v>45853.6458333333</v>
      </c>
      <c r="J78" s="17">
        <f>IFERROR(__xludf.DUMMYFUNCTION("""COMPUTED_VALUE"""),918)</f>
        <v>918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IFERROR(__xludf.DUMMYFUNCTION("""COMPUTED_VALUE"""),921.75)</f>
        <v>921.75</v>
      </c>
      <c r="C79" s="16">
        <f>IFERROR(__xludf.DUMMYFUNCTION("""COMPUTED_VALUE"""),45854.6458333333)</f>
        <v>45854.6458333333</v>
      </c>
      <c r="D79" s="17">
        <f>IFERROR(__xludf.DUMMYFUNCTION("""COMPUTED_VALUE"""),924)</f>
        <v>924</v>
      </c>
      <c r="E79" s="16">
        <f>IFERROR(__xludf.DUMMYFUNCTION("""COMPUTED_VALUE"""),45854.6458333333)</f>
        <v>45854.6458333333</v>
      </c>
      <c r="F79" s="17">
        <f>IFERROR(__xludf.DUMMYFUNCTION("""COMPUTED_VALUE"""),3952491)</f>
        <v>3952491</v>
      </c>
      <c r="G79" s="16">
        <f>IFERROR(__xludf.DUMMYFUNCTION("""COMPUTED_VALUE"""),45854.6458333333)</f>
        <v>45854.6458333333</v>
      </c>
      <c r="H79" s="17">
        <f>IFERROR(__xludf.DUMMYFUNCTION("""COMPUTED_VALUE"""),927)</f>
        <v>927</v>
      </c>
      <c r="I79" s="16">
        <f>IFERROR(__xludf.DUMMYFUNCTION("""COMPUTED_VALUE"""),45854.6458333333)</f>
        <v>45854.6458333333</v>
      </c>
      <c r="J79" s="17">
        <f>IFERROR(__xludf.DUMMYFUNCTION("""COMPUTED_VALUE"""),919.4)</f>
        <v>919.4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IFERROR(__xludf.DUMMYFUNCTION("""COMPUTED_VALUE"""),923.3)</f>
        <v>923.3</v>
      </c>
      <c r="C80" s="16">
        <f>IFERROR(__xludf.DUMMYFUNCTION("""COMPUTED_VALUE"""),45855.6458333333)</f>
        <v>45855.6458333333</v>
      </c>
      <c r="D80" s="17">
        <f>IFERROR(__xludf.DUMMYFUNCTION("""COMPUTED_VALUE"""),925.95)</f>
        <v>925.95</v>
      </c>
      <c r="E80" s="16">
        <f>IFERROR(__xludf.DUMMYFUNCTION("""COMPUTED_VALUE"""),45855.6458333333)</f>
        <v>45855.6458333333</v>
      </c>
      <c r="F80" s="17">
        <f>IFERROR(__xludf.DUMMYFUNCTION("""COMPUTED_VALUE"""),4583882)</f>
        <v>4583882</v>
      </c>
      <c r="G80" s="16">
        <f>IFERROR(__xludf.DUMMYFUNCTION("""COMPUTED_VALUE"""),45855.6458333333)</f>
        <v>45855.6458333333</v>
      </c>
      <c r="H80" s="17">
        <f>IFERROR(__xludf.DUMMYFUNCTION("""COMPUTED_VALUE"""),926.25)</f>
        <v>926.25</v>
      </c>
      <c r="I80" s="16">
        <f>IFERROR(__xludf.DUMMYFUNCTION("""COMPUTED_VALUE"""),45855.6458333333)</f>
        <v>45855.6458333333</v>
      </c>
      <c r="J80" s="17">
        <f>IFERROR(__xludf.DUMMYFUNCTION("""COMPUTED_VALUE"""),916)</f>
        <v>916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IFERROR(__xludf.DUMMYFUNCTION("""COMPUTED_VALUE"""),942)</f>
        <v>942</v>
      </c>
      <c r="C81" s="16">
        <f>IFERROR(__xludf.DUMMYFUNCTION("""COMPUTED_VALUE"""),45856.6458333333)</f>
        <v>45856.6458333333</v>
      </c>
      <c r="D81" s="17">
        <f>IFERROR(__xludf.DUMMYFUNCTION("""COMPUTED_VALUE"""),920.5)</f>
        <v>920.5</v>
      </c>
      <c r="E81" s="16">
        <f>IFERROR(__xludf.DUMMYFUNCTION("""COMPUTED_VALUE"""),45856.6458333333)</f>
        <v>45856.6458333333</v>
      </c>
      <c r="F81" s="17">
        <f>IFERROR(__xludf.DUMMYFUNCTION("""COMPUTED_VALUE"""),7893820)</f>
        <v>7893820</v>
      </c>
      <c r="G81" s="16">
        <f>IFERROR(__xludf.DUMMYFUNCTION("""COMPUTED_VALUE"""),45856.6458333333)</f>
        <v>45856.6458333333</v>
      </c>
      <c r="H81" s="17">
        <f>IFERROR(__xludf.DUMMYFUNCTION("""COMPUTED_VALUE"""),944.9)</f>
        <v>944.9</v>
      </c>
      <c r="I81" s="16">
        <f>IFERROR(__xludf.DUMMYFUNCTION("""COMPUTED_VALUE"""),45856.6458333333)</f>
        <v>45856.6458333333</v>
      </c>
      <c r="J81" s="17">
        <f>IFERROR(__xludf.DUMMYFUNCTION("""COMPUTED_VALUE"""),920)</f>
        <v>920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IFERROR(__xludf.DUMMYFUNCTION("""COMPUTED_VALUE"""),948.45)</f>
        <v>948.45</v>
      </c>
      <c r="C82" s="16">
        <f>IFERROR(__xludf.DUMMYFUNCTION("""COMPUTED_VALUE"""),45859.6458333333)</f>
        <v>45859.6458333333</v>
      </c>
      <c r="D82" s="17">
        <f>IFERROR(__xludf.DUMMYFUNCTION("""COMPUTED_VALUE"""),938.9)</f>
        <v>938.9</v>
      </c>
      <c r="E82" s="16">
        <f>IFERROR(__xludf.DUMMYFUNCTION("""COMPUTED_VALUE"""),45859.6458333333)</f>
        <v>45859.6458333333</v>
      </c>
      <c r="F82" s="17">
        <f>IFERROR(__xludf.DUMMYFUNCTION("""COMPUTED_VALUE"""),4660232)</f>
        <v>4660232</v>
      </c>
      <c r="G82" s="16">
        <f>IFERROR(__xludf.DUMMYFUNCTION("""COMPUTED_VALUE"""),45859.6458333333)</f>
        <v>45859.6458333333</v>
      </c>
      <c r="H82" s="17">
        <f>IFERROR(__xludf.DUMMYFUNCTION("""COMPUTED_VALUE"""),951)</f>
        <v>951</v>
      </c>
      <c r="I82" s="16">
        <f>IFERROR(__xludf.DUMMYFUNCTION("""COMPUTED_VALUE"""),45859.6458333333)</f>
        <v>45859.6458333333</v>
      </c>
      <c r="J82" s="17">
        <f>IFERROR(__xludf.DUMMYFUNCTION("""COMPUTED_VALUE"""),937.35)</f>
        <v>937.35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IFERROR(__xludf.DUMMYFUNCTION("""COMPUTED_VALUE"""),952.55)</f>
        <v>952.55</v>
      </c>
      <c r="C83" s="16">
        <f>IFERROR(__xludf.DUMMYFUNCTION("""COMPUTED_VALUE"""),45860.6458333333)</f>
        <v>45860.6458333333</v>
      </c>
      <c r="D83" s="17">
        <f>IFERROR(__xludf.DUMMYFUNCTION("""COMPUTED_VALUE"""),955)</f>
        <v>955</v>
      </c>
      <c r="E83" s="16">
        <f>IFERROR(__xludf.DUMMYFUNCTION("""COMPUTED_VALUE"""),45860.6458333333)</f>
        <v>45860.6458333333</v>
      </c>
      <c r="F83" s="17">
        <f>IFERROR(__xludf.DUMMYFUNCTION("""COMPUTED_VALUE"""),6237382)</f>
        <v>6237382</v>
      </c>
      <c r="G83" s="16">
        <f>IFERROR(__xludf.DUMMYFUNCTION("""COMPUTED_VALUE"""),45860.6458333333)</f>
        <v>45860.6458333333</v>
      </c>
      <c r="H83" s="17">
        <f>IFERROR(__xludf.DUMMYFUNCTION("""COMPUTED_VALUE"""),962)</f>
        <v>962</v>
      </c>
      <c r="I83" s="16">
        <f>IFERROR(__xludf.DUMMYFUNCTION("""COMPUTED_VALUE"""),45860.6458333333)</f>
        <v>45860.6458333333</v>
      </c>
      <c r="J83" s="17">
        <f>IFERROR(__xludf.DUMMYFUNCTION("""COMPUTED_VALUE"""),940)</f>
        <v>940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IFERROR(__xludf.DUMMYFUNCTION("""COMPUTED_VALUE"""),968.3)</f>
        <v>968.3</v>
      </c>
      <c r="C84" s="16">
        <f>IFERROR(__xludf.DUMMYFUNCTION("""COMPUTED_VALUE"""),45861.6458333333)</f>
        <v>45861.6458333333</v>
      </c>
      <c r="D84" s="17">
        <f>IFERROR(__xludf.DUMMYFUNCTION("""COMPUTED_VALUE"""),954)</f>
        <v>954</v>
      </c>
      <c r="E84" s="16">
        <f>IFERROR(__xludf.DUMMYFUNCTION("""COMPUTED_VALUE"""),45861.6458333333)</f>
        <v>45861.6458333333</v>
      </c>
      <c r="F84" s="17">
        <f>IFERROR(__xludf.DUMMYFUNCTION("""COMPUTED_VALUE"""),9694991)</f>
        <v>9694991</v>
      </c>
      <c r="G84" s="16">
        <f>IFERROR(__xludf.DUMMYFUNCTION("""COMPUTED_VALUE"""),45861.6458333333)</f>
        <v>45861.6458333333</v>
      </c>
      <c r="H84" s="17">
        <f>IFERROR(__xludf.DUMMYFUNCTION("""COMPUTED_VALUE"""),970.95)</f>
        <v>970.95</v>
      </c>
      <c r="I84" s="16">
        <f>IFERROR(__xludf.DUMMYFUNCTION("""COMPUTED_VALUE"""),45861.6458333333)</f>
        <v>45861.6458333333</v>
      </c>
      <c r="J84" s="17">
        <f>IFERROR(__xludf.DUMMYFUNCTION("""COMPUTED_VALUE"""),953.65)</f>
        <v>953.65</v>
      </c>
      <c r="K84" s="3">
        <f t="shared" si="2"/>
        <v>968.3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IFERROR(__xludf.DUMMYFUNCTION("""COMPUTED_VALUE"""),958.95)</f>
        <v>958.95</v>
      </c>
      <c r="C85" s="16">
        <f>IFERROR(__xludf.DUMMYFUNCTION("""COMPUTED_VALUE"""),45862.6458333333)</f>
        <v>45862.6458333333</v>
      </c>
      <c r="D85" s="17">
        <f>IFERROR(__xludf.DUMMYFUNCTION("""COMPUTED_VALUE"""),970)</f>
        <v>970</v>
      </c>
      <c r="E85" s="16">
        <f>IFERROR(__xludf.DUMMYFUNCTION("""COMPUTED_VALUE"""),45862.6458333333)</f>
        <v>45862.6458333333</v>
      </c>
      <c r="F85" s="17">
        <f>IFERROR(__xludf.DUMMYFUNCTION("""COMPUTED_VALUE"""),5189112)</f>
        <v>5189112</v>
      </c>
      <c r="G85" s="16">
        <f>IFERROR(__xludf.DUMMYFUNCTION("""COMPUTED_VALUE"""),45862.6458333333)</f>
        <v>45862.6458333333</v>
      </c>
      <c r="H85" s="17">
        <f>IFERROR(__xludf.DUMMYFUNCTION("""COMPUTED_VALUE"""),970)</f>
        <v>970</v>
      </c>
      <c r="I85" s="16">
        <f>IFERROR(__xludf.DUMMYFUNCTION("""COMPUTED_VALUE"""),45862.6458333333)</f>
        <v>45862.6458333333</v>
      </c>
      <c r="J85" s="17">
        <f>IFERROR(__xludf.DUMMYFUNCTION("""COMPUTED_VALUE"""),954)</f>
        <v>954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IFERROR(__xludf.DUMMYFUNCTION("""COMPUTED_VALUE"""),913.75)</f>
        <v>913.75</v>
      </c>
      <c r="C86" s="16">
        <f>IFERROR(__xludf.DUMMYFUNCTION("""COMPUTED_VALUE"""),45863.6458333333)</f>
        <v>45863.6458333333</v>
      </c>
      <c r="D86" s="17">
        <f>IFERROR(__xludf.DUMMYFUNCTION("""COMPUTED_VALUE"""),906.4)</f>
        <v>906.4</v>
      </c>
      <c r="E86" s="16">
        <f>IFERROR(__xludf.DUMMYFUNCTION("""COMPUTED_VALUE"""),45863.6458333333)</f>
        <v>45863.6458333333</v>
      </c>
      <c r="F86" s="17">
        <f>IFERROR(__xludf.DUMMYFUNCTION("""COMPUTED_VALUE"""),24415481)</f>
        <v>24415481</v>
      </c>
      <c r="G86" s="16">
        <f>IFERROR(__xludf.DUMMYFUNCTION("""COMPUTED_VALUE"""),45863.6458333333)</f>
        <v>45863.6458333333</v>
      </c>
      <c r="H86" s="17">
        <f>IFERROR(__xludf.DUMMYFUNCTION("""COMPUTED_VALUE"""),924.9)</f>
        <v>924.9</v>
      </c>
      <c r="I86" s="16">
        <f>IFERROR(__xludf.DUMMYFUNCTION("""COMPUTED_VALUE"""),45863.6458333333)</f>
        <v>45863.6458333333</v>
      </c>
      <c r="J86" s="17">
        <f>IFERROR(__xludf.DUMMYFUNCTION("""COMPUTED_VALUE"""),898)</f>
        <v>898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IFERROR(__xludf.DUMMYFUNCTION("""COMPUTED_VALUE"""),880.5)</f>
        <v>880.5</v>
      </c>
      <c r="C87" s="16">
        <f>IFERROR(__xludf.DUMMYFUNCTION("""COMPUTED_VALUE"""),45866.6458333333)</f>
        <v>45866.6458333333</v>
      </c>
      <c r="D87" s="17">
        <f>IFERROR(__xludf.DUMMYFUNCTION("""COMPUTED_VALUE"""),909.25)</f>
        <v>909.25</v>
      </c>
      <c r="E87" s="16">
        <f>IFERROR(__xludf.DUMMYFUNCTION("""COMPUTED_VALUE"""),45866.6458333333)</f>
        <v>45866.6458333333</v>
      </c>
      <c r="F87" s="17">
        <f>IFERROR(__xludf.DUMMYFUNCTION("""COMPUTED_VALUE"""),14011284)</f>
        <v>14011284</v>
      </c>
      <c r="G87" s="16">
        <f>IFERROR(__xludf.DUMMYFUNCTION("""COMPUTED_VALUE"""),45866.6458333333)</f>
        <v>45866.6458333333</v>
      </c>
      <c r="H87" s="17">
        <f>IFERROR(__xludf.DUMMYFUNCTION("""COMPUTED_VALUE"""),913.75)</f>
        <v>913.75</v>
      </c>
      <c r="I87" s="16">
        <f>IFERROR(__xludf.DUMMYFUNCTION("""COMPUTED_VALUE"""),45866.6458333333)</f>
        <v>45866.6458333333</v>
      </c>
      <c r="J87" s="17">
        <f>IFERROR(__xludf.DUMMYFUNCTION("""COMPUTED_VALUE"""),879)</f>
        <v>879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IFERROR(__xludf.DUMMYFUNCTION("""COMPUTED_VALUE"""),886.55)</f>
        <v>886.55</v>
      </c>
      <c r="C88" s="16">
        <f>IFERROR(__xludf.DUMMYFUNCTION("""COMPUTED_VALUE"""),45867.6458333333)</f>
        <v>45867.6458333333</v>
      </c>
      <c r="D88" s="17">
        <f>IFERROR(__xludf.DUMMYFUNCTION("""COMPUTED_VALUE"""),875.05)</f>
        <v>875.05</v>
      </c>
      <c r="E88" s="16">
        <f>IFERROR(__xludf.DUMMYFUNCTION("""COMPUTED_VALUE"""),45867.6458333333)</f>
        <v>45867.6458333333</v>
      </c>
      <c r="F88" s="17">
        <f>IFERROR(__xludf.DUMMYFUNCTION("""COMPUTED_VALUE"""),11323854)</f>
        <v>11323854</v>
      </c>
      <c r="G88" s="16">
        <f>IFERROR(__xludf.DUMMYFUNCTION("""COMPUTED_VALUE"""),45867.6458333333)</f>
        <v>45867.6458333333</v>
      </c>
      <c r="H88" s="17">
        <f>IFERROR(__xludf.DUMMYFUNCTION("""COMPUTED_VALUE"""),894)</f>
        <v>894</v>
      </c>
      <c r="I88" s="16">
        <f>IFERROR(__xludf.DUMMYFUNCTION("""COMPUTED_VALUE"""),45867.6458333333)</f>
        <v>45867.6458333333</v>
      </c>
      <c r="J88" s="17">
        <f>IFERROR(__xludf.DUMMYFUNCTION("""COMPUTED_VALUE"""),873.5)</f>
        <v>873.5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IFERROR(__xludf.DUMMYFUNCTION("""COMPUTED_VALUE"""),884.85)</f>
        <v>884.85</v>
      </c>
      <c r="C89" s="16">
        <f>IFERROR(__xludf.DUMMYFUNCTION("""COMPUTED_VALUE"""),45868.6458333333)</f>
        <v>45868.6458333333</v>
      </c>
      <c r="D89" s="17">
        <f>IFERROR(__xludf.DUMMYFUNCTION("""COMPUTED_VALUE"""),890.95)</f>
        <v>890.95</v>
      </c>
      <c r="E89" s="16">
        <f>IFERROR(__xludf.DUMMYFUNCTION("""COMPUTED_VALUE"""),45868.6458333333)</f>
        <v>45868.6458333333</v>
      </c>
      <c r="F89" s="17">
        <f>IFERROR(__xludf.DUMMYFUNCTION("""COMPUTED_VALUE"""),5054496)</f>
        <v>5054496</v>
      </c>
      <c r="G89" s="16">
        <f>IFERROR(__xludf.DUMMYFUNCTION("""COMPUTED_VALUE"""),45868.6458333333)</f>
        <v>45868.6458333333</v>
      </c>
      <c r="H89" s="17">
        <f>IFERROR(__xludf.DUMMYFUNCTION("""COMPUTED_VALUE"""),892.6)</f>
        <v>892.6</v>
      </c>
      <c r="I89" s="16">
        <f>IFERROR(__xludf.DUMMYFUNCTION("""COMPUTED_VALUE"""),45868.6458333333)</f>
        <v>45868.6458333333</v>
      </c>
      <c r="J89" s="17">
        <f>IFERROR(__xludf.DUMMYFUNCTION("""COMPUTED_VALUE"""),875)</f>
        <v>875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IFERROR(__xludf.DUMMYFUNCTION("""COMPUTED_VALUE"""),881.2)</f>
        <v>881.2</v>
      </c>
      <c r="C90" s="16">
        <f>IFERROR(__xludf.DUMMYFUNCTION("""COMPUTED_VALUE"""),45869.6458333333)</f>
        <v>45869.6458333333</v>
      </c>
      <c r="D90" s="17">
        <f>IFERROR(__xludf.DUMMYFUNCTION("""COMPUTED_VALUE"""),872)</f>
        <v>872</v>
      </c>
      <c r="E90" s="16">
        <f>IFERROR(__xludf.DUMMYFUNCTION("""COMPUTED_VALUE"""),45869.6458333333)</f>
        <v>45869.6458333333</v>
      </c>
      <c r="F90" s="17">
        <f>IFERROR(__xludf.DUMMYFUNCTION("""COMPUTED_VALUE"""),6999179)</f>
        <v>6999179</v>
      </c>
      <c r="G90" s="16">
        <f>IFERROR(__xludf.DUMMYFUNCTION("""COMPUTED_VALUE"""),45869.6458333333)</f>
        <v>45869.6458333333</v>
      </c>
      <c r="H90" s="17">
        <f>IFERROR(__xludf.DUMMYFUNCTION("""COMPUTED_VALUE"""),887.85)</f>
        <v>887.85</v>
      </c>
      <c r="I90" s="16">
        <f>IFERROR(__xludf.DUMMYFUNCTION("""COMPUTED_VALUE"""),45869.6458333333)</f>
        <v>45869.6458333333</v>
      </c>
      <c r="J90" s="17">
        <f>IFERROR(__xludf.DUMMYFUNCTION("""COMPUTED_VALUE"""),868)</f>
        <v>868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IFERROR(__xludf.DUMMYFUNCTION("""COMPUTED_VALUE"""),875.6)</f>
        <v>875.6</v>
      </c>
      <c r="C91" s="16">
        <f>IFERROR(__xludf.DUMMYFUNCTION("""COMPUTED_VALUE"""),45870.6458333333)</f>
        <v>45870.6458333333</v>
      </c>
      <c r="D91" s="17">
        <f>IFERROR(__xludf.DUMMYFUNCTION("""COMPUTED_VALUE"""),884.8)</f>
        <v>884.8</v>
      </c>
      <c r="E91" s="16">
        <f>IFERROR(__xludf.DUMMYFUNCTION("""COMPUTED_VALUE"""),45870.6458333333)</f>
        <v>45870.6458333333</v>
      </c>
      <c r="F91" s="17">
        <f>IFERROR(__xludf.DUMMYFUNCTION("""COMPUTED_VALUE"""),5300299)</f>
        <v>5300299</v>
      </c>
      <c r="G91" s="16">
        <f>IFERROR(__xludf.DUMMYFUNCTION("""COMPUTED_VALUE"""),45870.6458333333)</f>
        <v>45870.6458333333</v>
      </c>
      <c r="H91" s="17">
        <f>IFERROR(__xludf.DUMMYFUNCTION("""COMPUTED_VALUE"""),895.85)</f>
        <v>895.85</v>
      </c>
      <c r="I91" s="16">
        <f>IFERROR(__xludf.DUMMYFUNCTION("""COMPUTED_VALUE"""),45870.6458333333)</f>
        <v>45870.6458333333</v>
      </c>
      <c r="J91" s="17">
        <f>IFERROR(__xludf.DUMMYFUNCTION("""COMPUTED_VALUE"""),873)</f>
        <v>873</v>
      </c>
      <c r="K91" s="3">
        <f t="shared" si="2"/>
        <v>0</v>
      </c>
      <c r="L91" s="3">
        <f t="shared" si="3"/>
        <v>875.6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IFERROR(__xludf.DUMMYFUNCTION("""COMPUTED_VALUE"""),885.3)</f>
        <v>885.3</v>
      </c>
      <c r="C92" s="16">
        <f>IFERROR(__xludf.DUMMYFUNCTION("""COMPUTED_VALUE"""),45873.6458333333)</f>
        <v>45873.6458333333</v>
      </c>
      <c r="D92" s="17">
        <f>IFERROR(__xludf.DUMMYFUNCTION("""COMPUTED_VALUE"""),874)</f>
        <v>874</v>
      </c>
      <c r="E92" s="16">
        <f>IFERROR(__xludf.DUMMYFUNCTION("""COMPUTED_VALUE"""),45873.6458333333)</f>
        <v>45873.6458333333</v>
      </c>
      <c r="F92" s="17">
        <f>IFERROR(__xludf.DUMMYFUNCTION("""COMPUTED_VALUE"""),3969985)</f>
        <v>3969985</v>
      </c>
      <c r="G92" s="16">
        <f>IFERROR(__xludf.DUMMYFUNCTION("""COMPUTED_VALUE"""),45873.6458333333)</f>
        <v>45873.6458333333</v>
      </c>
      <c r="H92" s="17">
        <f>IFERROR(__xludf.DUMMYFUNCTION("""COMPUTED_VALUE"""),886.75)</f>
        <v>886.75</v>
      </c>
      <c r="I92" s="16">
        <f>IFERROR(__xludf.DUMMYFUNCTION("""COMPUTED_VALUE"""),45873.6458333333)</f>
        <v>45873.6458333333</v>
      </c>
      <c r="J92" s="17">
        <f>IFERROR(__xludf.DUMMYFUNCTION("""COMPUTED_VALUE"""),873.7)</f>
        <v>873.7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IFERROR(__xludf.DUMMYFUNCTION("""COMPUTED_VALUE"""),891.9)</f>
        <v>891.9</v>
      </c>
      <c r="C93" s="16">
        <f>IFERROR(__xludf.DUMMYFUNCTION("""COMPUTED_VALUE"""),45874.6458333333)</f>
        <v>45874.6458333333</v>
      </c>
      <c r="D93" s="17">
        <f>IFERROR(__xludf.DUMMYFUNCTION("""COMPUTED_VALUE"""),889)</f>
        <v>889</v>
      </c>
      <c r="E93" s="16">
        <f>IFERROR(__xludf.DUMMYFUNCTION("""COMPUTED_VALUE"""),45874.6458333333)</f>
        <v>45874.6458333333</v>
      </c>
      <c r="F93" s="17">
        <f>IFERROR(__xludf.DUMMYFUNCTION("""COMPUTED_VALUE"""),4446791)</f>
        <v>4446791</v>
      </c>
      <c r="G93" s="16">
        <f>IFERROR(__xludf.DUMMYFUNCTION("""COMPUTED_VALUE"""),45874.6458333333)</f>
        <v>45874.6458333333</v>
      </c>
      <c r="H93" s="17">
        <f>IFERROR(__xludf.DUMMYFUNCTION("""COMPUTED_VALUE"""),893.6)</f>
        <v>893.6</v>
      </c>
      <c r="I93" s="16">
        <f>IFERROR(__xludf.DUMMYFUNCTION("""COMPUTED_VALUE"""),45874.6458333333)</f>
        <v>45874.6458333333</v>
      </c>
      <c r="J93" s="17">
        <f>IFERROR(__xludf.DUMMYFUNCTION("""COMPUTED_VALUE"""),882.4)</f>
        <v>882.4</v>
      </c>
      <c r="K93" s="3">
        <f t="shared" si="2"/>
        <v>891.9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IFERROR(__xludf.DUMMYFUNCTION("""COMPUTED_VALUE"""),876.65)</f>
        <v>876.65</v>
      </c>
      <c r="C94" s="16">
        <f>IFERROR(__xludf.DUMMYFUNCTION("""COMPUTED_VALUE"""),45875.6458333333)</f>
        <v>45875.6458333333</v>
      </c>
      <c r="D94" s="17">
        <f>IFERROR(__xludf.DUMMYFUNCTION("""COMPUTED_VALUE"""),888)</f>
        <v>888</v>
      </c>
      <c r="E94" s="16">
        <f>IFERROR(__xludf.DUMMYFUNCTION("""COMPUTED_VALUE"""),45875.6458333333)</f>
        <v>45875.6458333333</v>
      </c>
      <c r="F94" s="17">
        <f>IFERROR(__xludf.DUMMYFUNCTION("""COMPUTED_VALUE"""),4212648)</f>
        <v>4212648</v>
      </c>
      <c r="G94" s="16">
        <f>IFERROR(__xludf.DUMMYFUNCTION("""COMPUTED_VALUE"""),45875.6458333333)</f>
        <v>45875.6458333333</v>
      </c>
      <c r="H94" s="17">
        <f>IFERROR(__xludf.DUMMYFUNCTION("""COMPUTED_VALUE"""),895.5)</f>
        <v>895.5</v>
      </c>
      <c r="I94" s="16">
        <f>IFERROR(__xludf.DUMMYFUNCTION("""COMPUTED_VALUE"""),45875.6458333333)</f>
        <v>45875.6458333333</v>
      </c>
      <c r="J94" s="17">
        <f>IFERROR(__xludf.DUMMYFUNCTION("""COMPUTED_VALUE"""),874.6)</f>
        <v>874.6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IFERROR(__xludf.DUMMYFUNCTION("""COMPUTED_VALUE"""),879.1)</f>
        <v>879.1</v>
      </c>
      <c r="C95" s="16">
        <f>IFERROR(__xludf.DUMMYFUNCTION("""COMPUTED_VALUE"""),45876.6458333333)</f>
        <v>45876.6458333333</v>
      </c>
      <c r="D95" s="17">
        <f>IFERROR(__xludf.DUMMYFUNCTION("""COMPUTED_VALUE"""),871)</f>
        <v>871</v>
      </c>
      <c r="E95" s="16">
        <f>IFERROR(__xludf.DUMMYFUNCTION("""COMPUTED_VALUE"""),45876.6458333333)</f>
        <v>45876.6458333333</v>
      </c>
      <c r="F95" s="17">
        <f>IFERROR(__xludf.DUMMYFUNCTION("""COMPUTED_VALUE"""),5998002)</f>
        <v>5998002</v>
      </c>
      <c r="G95" s="16">
        <f>IFERROR(__xludf.DUMMYFUNCTION("""COMPUTED_VALUE"""),45876.6458333333)</f>
        <v>45876.6458333333</v>
      </c>
      <c r="H95" s="17">
        <f>IFERROR(__xludf.DUMMYFUNCTION("""COMPUTED_VALUE"""),882)</f>
        <v>882</v>
      </c>
      <c r="I95" s="16">
        <f>IFERROR(__xludf.DUMMYFUNCTION("""COMPUTED_VALUE"""),45876.6458333333)</f>
        <v>45876.6458333333</v>
      </c>
      <c r="J95" s="17">
        <f>IFERROR(__xludf.DUMMYFUNCTION("""COMPUTED_VALUE"""),867.25)</f>
        <v>867.25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IFERROR(__xludf.DUMMYFUNCTION("""COMPUTED_VALUE"""),877.15)</f>
        <v>877.15</v>
      </c>
      <c r="C96" s="16">
        <f>IFERROR(__xludf.DUMMYFUNCTION("""COMPUTED_VALUE"""),45877.6458333333)</f>
        <v>45877.6458333333</v>
      </c>
      <c r="D96" s="17">
        <f>IFERROR(__xludf.DUMMYFUNCTION("""COMPUTED_VALUE"""),877)</f>
        <v>877</v>
      </c>
      <c r="E96" s="16">
        <f>IFERROR(__xludf.DUMMYFUNCTION("""COMPUTED_VALUE"""),45877.6458333333)</f>
        <v>45877.6458333333</v>
      </c>
      <c r="F96" s="17">
        <f>IFERROR(__xludf.DUMMYFUNCTION("""COMPUTED_VALUE"""),3736916)</f>
        <v>3736916</v>
      </c>
      <c r="G96" s="16">
        <f>IFERROR(__xludf.DUMMYFUNCTION("""COMPUTED_VALUE"""),45877.6458333333)</f>
        <v>45877.6458333333</v>
      </c>
      <c r="H96" s="17">
        <f>IFERROR(__xludf.DUMMYFUNCTION("""COMPUTED_VALUE"""),888.3)</f>
        <v>888.3</v>
      </c>
      <c r="I96" s="16">
        <f>IFERROR(__xludf.DUMMYFUNCTION("""COMPUTED_VALUE"""),45877.6458333333)</f>
        <v>45877.6458333333</v>
      </c>
      <c r="J96" s="17">
        <f>IFERROR(__xludf.DUMMYFUNCTION("""COMPUTED_VALUE"""),876)</f>
        <v>876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IFERROR(__xludf.DUMMYFUNCTION("""COMPUTED_VALUE"""),877.8)</f>
        <v>877.8</v>
      </c>
      <c r="C97" s="16">
        <f>IFERROR(__xludf.DUMMYFUNCTION("""COMPUTED_VALUE"""),45880.6458333333)</f>
        <v>45880.6458333333</v>
      </c>
      <c r="D97" s="17">
        <f>IFERROR(__xludf.DUMMYFUNCTION("""COMPUTED_VALUE"""),877.15)</f>
        <v>877.15</v>
      </c>
      <c r="E97" s="16">
        <f>IFERROR(__xludf.DUMMYFUNCTION("""COMPUTED_VALUE"""),45880.6458333333)</f>
        <v>45880.6458333333</v>
      </c>
      <c r="F97" s="17">
        <f>IFERROR(__xludf.DUMMYFUNCTION("""COMPUTED_VALUE"""),5367926)</f>
        <v>5367926</v>
      </c>
      <c r="G97" s="16">
        <f>IFERROR(__xludf.DUMMYFUNCTION("""COMPUTED_VALUE"""),45880.6458333333)</f>
        <v>45880.6458333333</v>
      </c>
      <c r="H97" s="17">
        <f>IFERROR(__xludf.DUMMYFUNCTION("""COMPUTED_VALUE"""),888.3)</f>
        <v>888.3</v>
      </c>
      <c r="I97" s="16">
        <f>IFERROR(__xludf.DUMMYFUNCTION("""COMPUTED_VALUE"""),45880.6458333333)</f>
        <v>45880.6458333333</v>
      </c>
      <c r="J97" s="17">
        <f>IFERROR(__xludf.DUMMYFUNCTION("""COMPUTED_VALUE"""),872.75)</f>
        <v>872.75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IFERROR(__xludf.DUMMYFUNCTION("""COMPUTED_VALUE"""),853)</f>
        <v>853</v>
      </c>
      <c r="C98" s="16">
        <f>IFERROR(__xludf.DUMMYFUNCTION("""COMPUTED_VALUE"""),45881.6458333333)</f>
        <v>45881.6458333333</v>
      </c>
      <c r="D98" s="17">
        <f>IFERROR(__xludf.DUMMYFUNCTION("""COMPUTED_VALUE"""),877.2)</f>
        <v>877.2</v>
      </c>
      <c r="E98" s="16">
        <f>IFERROR(__xludf.DUMMYFUNCTION("""COMPUTED_VALUE"""),45881.6458333333)</f>
        <v>45881.6458333333</v>
      </c>
      <c r="F98" s="17">
        <f>IFERROR(__xludf.DUMMYFUNCTION("""COMPUTED_VALUE"""),8257312)</f>
        <v>8257312</v>
      </c>
      <c r="G98" s="16">
        <f>IFERROR(__xludf.DUMMYFUNCTION("""COMPUTED_VALUE"""),45881.6458333333)</f>
        <v>45881.6458333333</v>
      </c>
      <c r="H98" s="17">
        <f>IFERROR(__xludf.DUMMYFUNCTION("""COMPUTED_VALUE"""),884.9)</f>
        <v>884.9</v>
      </c>
      <c r="I98" s="16">
        <f>IFERROR(__xludf.DUMMYFUNCTION("""COMPUTED_VALUE"""),45881.6458333333)</f>
        <v>45881.6458333333</v>
      </c>
      <c r="J98" s="17">
        <f>IFERROR(__xludf.DUMMYFUNCTION("""COMPUTED_VALUE"""),851.5)</f>
        <v>851.5</v>
      </c>
      <c r="K98" s="3">
        <f t="shared" si="2"/>
        <v>0</v>
      </c>
      <c r="L98" s="3">
        <f t="shared" si="3"/>
        <v>853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IFERROR(__xludf.DUMMYFUNCTION("""COMPUTED_VALUE"""),860)</f>
        <v>860</v>
      </c>
      <c r="C99" s="16">
        <f>IFERROR(__xludf.DUMMYFUNCTION("""COMPUTED_VALUE"""),45882.6458333333)</f>
        <v>45882.6458333333</v>
      </c>
      <c r="D99" s="17">
        <f>IFERROR(__xludf.DUMMYFUNCTION("""COMPUTED_VALUE"""),854.55)</f>
        <v>854.55</v>
      </c>
      <c r="E99" s="16">
        <f>IFERROR(__xludf.DUMMYFUNCTION("""COMPUTED_VALUE"""),45882.6458333333)</f>
        <v>45882.6458333333</v>
      </c>
      <c r="F99" s="17">
        <f>IFERROR(__xludf.DUMMYFUNCTION("""COMPUTED_VALUE"""),10117225)</f>
        <v>10117225</v>
      </c>
      <c r="G99" s="16">
        <f>IFERROR(__xludf.DUMMYFUNCTION("""COMPUTED_VALUE"""),45882.6458333333)</f>
        <v>45882.6458333333</v>
      </c>
      <c r="H99" s="17">
        <f>IFERROR(__xludf.DUMMYFUNCTION("""COMPUTED_VALUE"""),864)</f>
        <v>864</v>
      </c>
      <c r="I99" s="16">
        <f>IFERROR(__xludf.DUMMYFUNCTION("""COMPUTED_VALUE"""),45882.6458333333)</f>
        <v>45882.6458333333</v>
      </c>
      <c r="J99" s="17">
        <f>IFERROR(__xludf.DUMMYFUNCTION("""COMPUTED_VALUE"""),849)</f>
        <v>849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IFERROR(__xludf.DUMMYFUNCTION("""COMPUTED_VALUE"""),861.45)</f>
        <v>861.45</v>
      </c>
      <c r="C100" s="16">
        <f>IFERROR(__xludf.DUMMYFUNCTION("""COMPUTED_VALUE"""),45883.6458333333)</f>
        <v>45883.6458333333</v>
      </c>
      <c r="D100" s="17">
        <f>IFERROR(__xludf.DUMMYFUNCTION("""COMPUTED_VALUE"""),860)</f>
        <v>860</v>
      </c>
      <c r="E100" s="16">
        <f>IFERROR(__xludf.DUMMYFUNCTION("""COMPUTED_VALUE"""),45883.6458333333)</f>
        <v>45883.6458333333</v>
      </c>
      <c r="F100" s="17">
        <f>IFERROR(__xludf.DUMMYFUNCTION("""COMPUTED_VALUE"""),5379250)</f>
        <v>5379250</v>
      </c>
      <c r="G100" s="16">
        <f>IFERROR(__xludf.DUMMYFUNCTION("""COMPUTED_VALUE"""),45883.6458333333)</f>
        <v>45883.6458333333</v>
      </c>
      <c r="H100" s="17">
        <f>IFERROR(__xludf.DUMMYFUNCTION("""COMPUTED_VALUE"""),866.9)</f>
        <v>866.9</v>
      </c>
      <c r="I100" s="16">
        <f>IFERROR(__xludf.DUMMYFUNCTION("""COMPUTED_VALUE"""),45883.6458333333)</f>
        <v>45883.6458333333</v>
      </c>
      <c r="J100" s="17">
        <f>IFERROR(__xludf.DUMMYFUNCTION("""COMPUTED_VALUE"""),855.45)</f>
        <v>855.45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IFERROR(__xludf.DUMMYFUNCTION("""COMPUTED_VALUE"""),905.2)</f>
        <v>905.2</v>
      </c>
      <c r="C101" s="16">
        <f>IFERROR(__xludf.DUMMYFUNCTION("""COMPUTED_VALUE"""),45887.6458333333)</f>
        <v>45887.6458333333</v>
      </c>
      <c r="D101" s="17">
        <f>IFERROR(__xludf.DUMMYFUNCTION("""COMPUTED_VALUE"""),875)</f>
        <v>875</v>
      </c>
      <c r="E101" s="16">
        <f>IFERROR(__xludf.DUMMYFUNCTION("""COMPUTED_VALUE"""),45887.6458333333)</f>
        <v>45887.6458333333</v>
      </c>
      <c r="F101" s="17">
        <f>IFERROR(__xludf.DUMMYFUNCTION("""COMPUTED_VALUE"""),16277779)</f>
        <v>16277779</v>
      </c>
      <c r="G101" s="16">
        <f>IFERROR(__xludf.DUMMYFUNCTION("""COMPUTED_VALUE"""),45887.6458333333)</f>
        <v>45887.6458333333</v>
      </c>
      <c r="H101" s="17">
        <f>IFERROR(__xludf.DUMMYFUNCTION("""COMPUTED_VALUE"""),919.65)</f>
        <v>919.65</v>
      </c>
      <c r="I101" s="16">
        <f>IFERROR(__xludf.DUMMYFUNCTION("""COMPUTED_VALUE"""),45887.6458333333)</f>
        <v>45887.6458333333</v>
      </c>
      <c r="J101" s="17">
        <f>IFERROR(__xludf.DUMMYFUNCTION("""COMPUTED_VALUE"""),875)</f>
        <v>875</v>
      </c>
      <c r="K101" s="3">
        <f t="shared" si="2"/>
        <v>905.2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IFERROR(__xludf.DUMMYFUNCTION("""COMPUTED_VALUE"""),902.3)</f>
        <v>902.3</v>
      </c>
      <c r="C102" s="16">
        <f>IFERROR(__xludf.DUMMYFUNCTION("""COMPUTED_VALUE"""),45888.6458333333)</f>
        <v>45888.6458333333</v>
      </c>
      <c r="D102" s="17">
        <f>IFERROR(__xludf.DUMMYFUNCTION("""COMPUTED_VALUE"""),905.95)</f>
        <v>905.95</v>
      </c>
      <c r="E102" s="16">
        <f>IFERROR(__xludf.DUMMYFUNCTION("""COMPUTED_VALUE"""),45888.6458333333)</f>
        <v>45888.6458333333</v>
      </c>
      <c r="F102" s="17">
        <f>IFERROR(__xludf.DUMMYFUNCTION("""COMPUTED_VALUE"""),5764382)</f>
        <v>5764382</v>
      </c>
      <c r="G102" s="16">
        <f>IFERROR(__xludf.DUMMYFUNCTION("""COMPUTED_VALUE"""),45888.6458333333)</f>
        <v>45888.6458333333</v>
      </c>
      <c r="H102" s="17">
        <f>IFERROR(__xludf.DUMMYFUNCTION("""COMPUTED_VALUE"""),909.9)</f>
        <v>909.9</v>
      </c>
      <c r="I102" s="16">
        <f>IFERROR(__xludf.DUMMYFUNCTION("""COMPUTED_VALUE"""),45888.6458333333)</f>
        <v>45888.6458333333</v>
      </c>
      <c r="J102" s="17">
        <f>IFERROR(__xludf.DUMMYFUNCTION("""COMPUTED_VALUE"""),890.5)</f>
        <v>890.5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IFERROR(__xludf.DUMMYFUNCTION("""COMPUTED_VALUE"""),887.8)</f>
        <v>887.8</v>
      </c>
      <c r="C103" s="16">
        <f>IFERROR(__xludf.DUMMYFUNCTION("""COMPUTED_VALUE"""),45889.6458333333)</f>
        <v>45889.6458333333</v>
      </c>
      <c r="D103" s="17">
        <f>IFERROR(__xludf.DUMMYFUNCTION("""COMPUTED_VALUE"""),900.55)</f>
        <v>900.55</v>
      </c>
      <c r="E103" s="16">
        <f>IFERROR(__xludf.DUMMYFUNCTION("""COMPUTED_VALUE"""),45889.6458333333)</f>
        <v>45889.6458333333</v>
      </c>
      <c r="F103" s="17">
        <f>IFERROR(__xludf.DUMMYFUNCTION("""COMPUTED_VALUE"""),5561646)</f>
        <v>5561646</v>
      </c>
      <c r="G103" s="16">
        <f>IFERROR(__xludf.DUMMYFUNCTION("""COMPUTED_VALUE"""),45889.6458333333)</f>
        <v>45889.6458333333</v>
      </c>
      <c r="H103" s="17">
        <f>IFERROR(__xludf.DUMMYFUNCTION("""COMPUTED_VALUE"""),902)</f>
        <v>902</v>
      </c>
      <c r="I103" s="16">
        <f>IFERROR(__xludf.DUMMYFUNCTION("""COMPUTED_VALUE"""),45889.6458333333)</f>
        <v>45889.6458333333</v>
      </c>
      <c r="J103" s="17">
        <f>IFERROR(__xludf.DUMMYFUNCTION("""COMPUTED_VALUE"""),886.05)</f>
        <v>886.05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IFERROR(__xludf.DUMMYFUNCTION("""COMPUTED_VALUE"""),895.6)</f>
        <v>895.6</v>
      </c>
      <c r="C104" s="16">
        <f>IFERROR(__xludf.DUMMYFUNCTION("""COMPUTED_VALUE"""),45890.6458333333)</f>
        <v>45890.6458333333</v>
      </c>
      <c r="D104" s="17">
        <f>IFERROR(__xludf.DUMMYFUNCTION("""COMPUTED_VALUE"""),888)</f>
        <v>888</v>
      </c>
      <c r="E104" s="16">
        <f>IFERROR(__xludf.DUMMYFUNCTION("""COMPUTED_VALUE"""),45890.6458333333)</f>
        <v>45890.6458333333</v>
      </c>
      <c r="F104" s="17">
        <f>IFERROR(__xludf.DUMMYFUNCTION("""COMPUTED_VALUE"""),6697533)</f>
        <v>6697533</v>
      </c>
      <c r="G104" s="16">
        <f>IFERROR(__xludf.DUMMYFUNCTION("""COMPUTED_VALUE"""),45890.6458333333)</f>
        <v>45890.6458333333</v>
      </c>
      <c r="H104" s="17">
        <f>IFERROR(__xludf.DUMMYFUNCTION("""COMPUTED_VALUE"""),901.3)</f>
        <v>901.3</v>
      </c>
      <c r="I104" s="16">
        <f>IFERROR(__xludf.DUMMYFUNCTION("""COMPUTED_VALUE"""),45890.6458333333)</f>
        <v>45890.6458333333</v>
      </c>
      <c r="J104" s="17">
        <f>IFERROR(__xludf.DUMMYFUNCTION("""COMPUTED_VALUE"""),884)</f>
        <v>884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IFERROR(__xludf.DUMMYFUNCTION("""COMPUTED_VALUE"""),894.5)</f>
        <v>894.5</v>
      </c>
      <c r="C105" s="16">
        <f>IFERROR(__xludf.DUMMYFUNCTION("""COMPUTED_VALUE"""),45891.6458333333)</f>
        <v>45891.6458333333</v>
      </c>
      <c r="D105" s="17">
        <f>IFERROR(__xludf.DUMMYFUNCTION("""COMPUTED_VALUE"""),895)</f>
        <v>895</v>
      </c>
      <c r="E105" s="16">
        <f>IFERROR(__xludf.DUMMYFUNCTION("""COMPUTED_VALUE"""),45891.6458333333)</f>
        <v>45891.6458333333</v>
      </c>
      <c r="F105" s="17">
        <f>IFERROR(__xludf.DUMMYFUNCTION("""COMPUTED_VALUE"""),6424895)</f>
        <v>6424895</v>
      </c>
      <c r="G105" s="16">
        <f>IFERROR(__xludf.DUMMYFUNCTION("""COMPUTED_VALUE"""),45891.6458333333)</f>
        <v>45891.6458333333</v>
      </c>
      <c r="H105" s="17">
        <f>IFERROR(__xludf.DUMMYFUNCTION("""COMPUTED_VALUE"""),903.9)</f>
        <v>903.9</v>
      </c>
      <c r="I105" s="16">
        <f>IFERROR(__xludf.DUMMYFUNCTION("""COMPUTED_VALUE"""),45891.6458333333)</f>
        <v>45891.6458333333</v>
      </c>
      <c r="J105" s="17">
        <f>IFERROR(__xludf.DUMMYFUNCTION("""COMPUTED_VALUE"""),892)</f>
        <v>892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IFERROR(__xludf.DUMMYFUNCTION("""COMPUTED_VALUE"""),900.8)</f>
        <v>900.8</v>
      </c>
      <c r="C106" s="16">
        <f>IFERROR(__xludf.DUMMYFUNCTION("""COMPUTED_VALUE"""),45894.6458333333)</f>
        <v>45894.6458333333</v>
      </c>
      <c r="D106" s="17">
        <f>IFERROR(__xludf.DUMMYFUNCTION("""COMPUTED_VALUE"""),902.1)</f>
        <v>902.1</v>
      </c>
      <c r="E106" s="16">
        <f>IFERROR(__xludf.DUMMYFUNCTION("""COMPUTED_VALUE"""),45894.6458333333)</f>
        <v>45894.6458333333</v>
      </c>
      <c r="F106" s="17">
        <f>IFERROR(__xludf.DUMMYFUNCTION("""COMPUTED_VALUE"""),5837876)</f>
        <v>5837876</v>
      </c>
      <c r="G106" s="16">
        <f>IFERROR(__xludf.DUMMYFUNCTION("""COMPUTED_VALUE"""),45894.6458333333)</f>
        <v>45894.6458333333</v>
      </c>
      <c r="H106" s="17">
        <f>IFERROR(__xludf.DUMMYFUNCTION("""COMPUTED_VALUE"""),908)</f>
        <v>908</v>
      </c>
      <c r="I106" s="16">
        <f>IFERROR(__xludf.DUMMYFUNCTION("""COMPUTED_VALUE"""),45894.6458333333)</f>
        <v>45894.6458333333</v>
      </c>
      <c r="J106" s="17">
        <f>IFERROR(__xludf.DUMMYFUNCTION("""COMPUTED_VALUE"""),898.15)</f>
        <v>898.15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IFERROR(__xludf.DUMMYFUNCTION("""COMPUTED_VALUE"""),876.25)</f>
        <v>876.25</v>
      </c>
      <c r="C107" s="16">
        <f>IFERROR(__xludf.DUMMYFUNCTION("""COMPUTED_VALUE"""),45895.6458333333)</f>
        <v>45895.6458333333</v>
      </c>
      <c r="D107" s="17">
        <f>IFERROR(__xludf.DUMMYFUNCTION("""COMPUTED_VALUE"""),899.95)</f>
        <v>899.95</v>
      </c>
      <c r="E107" s="16">
        <f>IFERROR(__xludf.DUMMYFUNCTION("""COMPUTED_VALUE"""),45895.6458333333)</f>
        <v>45895.6458333333</v>
      </c>
      <c r="F107" s="17">
        <f>IFERROR(__xludf.DUMMYFUNCTION("""COMPUTED_VALUE"""),6712926)</f>
        <v>6712926</v>
      </c>
      <c r="G107" s="16">
        <f>IFERROR(__xludf.DUMMYFUNCTION("""COMPUTED_VALUE"""),45895.6458333333)</f>
        <v>45895.6458333333</v>
      </c>
      <c r="H107" s="17">
        <f>IFERROR(__xludf.DUMMYFUNCTION("""COMPUTED_VALUE"""),901.9)</f>
        <v>901.9</v>
      </c>
      <c r="I107" s="16">
        <f>IFERROR(__xludf.DUMMYFUNCTION("""COMPUTED_VALUE"""),45895.6458333333)</f>
        <v>45895.6458333333</v>
      </c>
      <c r="J107" s="17">
        <f>IFERROR(__xludf.DUMMYFUNCTION("""COMPUTED_VALUE"""),873.5)</f>
        <v>873.5</v>
      </c>
      <c r="K107" s="3">
        <f t="shared" si="2"/>
        <v>0</v>
      </c>
      <c r="L107" s="3">
        <f t="shared" si="3"/>
        <v>876.25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IFERROR(__xludf.DUMMYFUNCTION("""COMPUTED_VALUE"""),876.85)</f>
        <v>876.85</v>
      </c>
      <c r="C108" s="16">
        <f>IFERROR(__xludf.DUMMYFUNCTION("""COMPUTED_VALUE"""),45897.6458333333)</f>
        <v>45897.6458333333</v>
      </c>
      <c r="D108" s="17">
        <f>IFERROR(__xludf.DUMMYFUNCTION("""COMPUTED_VALUE"""),870.2)</f>
        <v>870.2</v>
      </c>
      <c r="E108" s="16">
        <f>IFERROR(__xludf.DUMMYFUNCTION("""COMPUTED_VALUE"""),45897.6458333333)</f>
        <v>45897.6458333333</v>
      </c>
      <c r="F108" s="17">
        <f>IFERROR(__xludf.DUMMYFUNCTION("""COMPUTED_VALUE"""),8349342)</f>
        <v>8349342</v>
      </c>
      <c r="G108" s="16">
        <f>IFERROR(__xludf.DUMMYFUNCTION("""COMPUTED_VALUE"""),45897.6458333333)</f>
        <v>45897.6458333333</v>
      </c>
      <c r="H108" s="17">
        <f>IFERROR(__xludf.DUMMYFUNCTION("""COMPUTED_VALUE"""),884.5)</f>
        <v>884.5</v>
      </c>
      <c r="I108" s="16">
        <f>IFERROR(__xludf.DUMMYFUNCTION("""COMPUTED_VALUE"""),45897.6458333333)</f>
        <v>45897.6458333333</v>
      </c>
      <c r="J108" s="17">
        <f>IFERROR(__xludf.DUMMYFUNCTION("""COMPUTED_VALUE"""),869.7)</f>
        <v>869.7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IFERROR(__xludf.DUMMYFUNCTION("""COMPUTED_VALUE"""),877.85)</f>
        <v>877.85</v>
      </c>
      <c r="C109" s="16">
        <f>IFERROR(__xludf.DUMMYFUNCTION("""COMPUTED_VALUE"""),45898.6458333333)</f>
        <v>45898.6458333333</v>
      </c>
      <c r="D109" s="17">
        <f>IFERROR(__xludf.DUMMYFUNCTION("""COMPUTED_VALUE"""),870.85)</f>
        <v>870.85</v>
      </c>
      <c r="E109" s="16">
        <f>IFERROR(__xludf.DUMMYFUNCTION("""COMPUTED_VALUE"""),45898.6458333333)</f>
        <v>45898.6458333333</v>
      </c>
      <c r="F109" s="17">
        <f>IFERROR(__xludf.DUMMYFUNCTION("""COMPUTED_VALUE"""),5672446)</f>
        <v>5672446</v>
      </c>
      <c r="G109" s="16">
        <f>IFERROR(__xludf.DUMMYFUNCTION("""COMPUTED_VALUE"""),45898.6458333333)</f>
        <v>45898.6458333333</v>
      </c>
      <c r="H109" s="17">
        <f>IFERROR(__xludf.DUMMYFUNCTION("""COMPUTED_VALUE"""),888)</f>
        <v>888</v>
      </c>
      <c r="I109" s="16">
        <f>IFERROR(__xludf.DUMMYFUNCTION("""COMPUTED_VALUE"""),45898.6458333333)</f>
        <v>45898.6458333333</v>
      </c>
      <c r="J109" s="17">
        <f>IFERROR(__xludf.DUMMYFUNCTION("""COMPUTED_VALUE"""),870.85)</f>
        <v>870.85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IFERROR(__xludf.DUMMYFUNCTION("""COMPUTED_VALUE"""),889.35)</f>
        <v>889.35</v>
      </c>
      <c r="C110" s="16">
        <f>IFERROR(__xludf.DUMMYFUNCTION("""COMPUTED_VALUE"""),45901.6458333333)</f>
        <v>45901.6458333333</v>
      </c>
      <c r="D110" s="17">
        <f>IFERROR(__xludf.DUMMYFUNCTION("""COMPUTED_VALUE"""),877.85)</f>
        <v>877.85</v>
      </c>
      <c r="E110" s="16">
        <f>IFERROR(__xludf.DUMMYFUNCTION("""COMPUTED_VALUE"""),45901.6458333333)</f>
        <v>45901.6458333333</v>
      </c>
      <c r="F110" s="17">
        <f>IFERROR(__xludf.DUMMYFUNCTION("""COMPUTED_VALUE"""),4101526)</f>
        <v>4101526</v>
      </c>
      <c r="G110" s="16">
        <f>IFERROR(__xludf.DUMMYFUNCTION("""COMPUTED_VALUE"""),45901.6458333333)</f>
        <v>45901.6458333333</v>
      </c>
      <c r="H110" s="17">
        <f>IFERROR(__xludf.DUMMYFUNCTION("""COMPUTED_VALUE"""),894.8)</f>
        <v>894.8</v>
      </c>
      <c r="I110" s="16">
        <f>IFERROR(__xludf.DUMMYFUNCTION("""COMPUTED_VALUE"""),45901.6458333333)</f>
        <v>45901.6458333333</v>
      </c>
      <c r="J110" s="17">
        <f>IFERROR(__xludf.DUMMYFUNCTION("""COMPUTED_VALUE"""),877.85)</f>
        <v>877.85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IFERROR(__xludf.DUMMYFUNCTION("""COMPUTED_VALUE"""),890.1)</f>
        <v>890.1</v>
      </c>
      <c r="C111" s="16">
        <f>IFERROR(__xludf.DUMMYFUNCTION("""COMPUTED_VALUE"""),45902.6458333333)</f>
        <v>45902.6458333333</v>
      </c>
      <c r="D111" s="17">
        <f>IFERROR(__xludf.DUMMYFUNCTION("""COMPUTED_VALUE"""),895)</f>
        <v>895</v>
      </c>
      <c r="E111" s="16">
        <f>IFERROR(__xludf.DUMMYFUNCTION("""COMPUTED_VALUE"""),45902.6458333333)</f>
        <v>45902.6458333333</v>
      </c>
      <c r="F111" s="17">
        <f>IFERROR(__xludf.DUMMYFUNCTION("""COMPUTED_VALUE"""),6103185)</f>
        <v>6103185</v>
      </c>
      <c r="G111" s="16">
        <f>IFERROR(__xludf.DUMMYFUNCTION("""COMPUTED_VALUE"""),45902.6458333333)</f>
        <v>45902.6458333333</v>
      </c>
      <c r="H111" s="17">
        <f>IFERROR(__xludf.DUMMYFUNCTION("""COMPUTED_VALUE"""),899.55)</f>
        <v>899.55</v>
      </c>
      <c r="I111" s="16">
        <f>IFERROR(__xludf.DUMMYFUNCTION("""COMPUTED_VALUE"""),45902.6458333333)</f>
        <v>45902.6458333333</v>
      </c>
      <c r="J111" s="17">
        <f>IFERROR(__xludf.DUMMYFUNCTION("""COMPUTED_VALUE"""),886.15)</f>
        <v>886.15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IFERROR(__xludf.DUMMYFUNCTION("""COMPUTED_VALUE"""),896.3)</f>
        <v>896.3</v>
      </c>
      <c r="C112" s="16">
        <f>IFERROR(__xludf.DUMMYFUNCTION("""COMPUTED_VALUE"""),45903.6458333333)</f>
        <v>45903.6458333333</v>
      </c>
      <c r="D112" s="17">
        <f>IFERROR(__xludf.DUMMYFUNCTION("""COMPUTED_VALUE"""),892.7)</f>
        <v>892.7</v>
      </c>
      <c r="E112" s="16">
        <f>IFERROR(__xludf.DUMMYFUNCTION("""COMPUTED_VALUE"""),45903.6458333333)</f>
        <v>45903.6458333333</v>
      </c>
      <c r="F112" s="17">
        <f>IFERROR(__xludf.DUMMYFUNCTION("""COMPUTED_VALUE"""),5493809)</f>
        <v>5493809</v>
      </c>
      <c r="G112" s="16">
        <f>IFERROR(__xludf.DUMMYFUNCTION("""COMPUTED_VALUE"""),45903.6458333333)</f>
        <v>45903.6458333333</v>
      </c>
      <c r="H112" s="17">
        <f>IFERROR(__xludf.DUMMYFUNCTION("""COMPUTED_VALUE"""),898.85)</f>
        <v>898.85</v>
      </c>
      <c r="I112" s="16">
        <f>IFERROR(__xludf.DUMMYFUNCTION("""COMPUTED_VALUE"""),45903.6458333333)</f>
        <v>45903.6458333333</v>
      </c>
      <c r="J112" s="17">
        <f>IFERROR(__xludf.DUMMYFUNCTION("""COMPUTED_VALUE"""),880.05)</f>
        <v>880.05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IFERROR(__xludf.DUMMYFUNCTION("""COMPUTED_VALUE"""),934.75)</f>
        <v>934.75</v>
      </c>
      <c r="C113" s="16">
        <f>IFERROR(__xludf.DUMMYFUNCTION("""COMPUTED_VALUE"""),45904.6458333333)</f>
        <v>45904.6458333333</v>
      </c>
      <c r="D113" s="17">
        <f>IFERROR(__xludf.DUMMYFUNCTION("""COMPUTED_VALUE"""),915)</f>
        <v>915</v>
      </c>
      <c r="E113" s="16">
        <f>IFERROR(__xludf.DUMMYFUNCTION("""COMPUTED_VALUE"""),45904.6458333333)</f>
        <v>45904.6458333333</v>
      </c>
      <c r="F113" s="17">
        <f>IFERROR(__xludf.DUMMYFUNCTION("""COMPUTED_VALUE"""),21738706)</f>
        <v>21738706</v>
      </c>
      <c r="G113" s="16">
        <f>IFERROR(__xludf.DUMMYFUNCTION("""COMPUTED_VALUE"""),45904.6458333333)</f>
        <v>45904.6458333333</v>
      </c>
      <c r="H113" s="17">
        <f>IFERROR(__xludf.DUMMYFUNCTION("""COMPUTED_VALUE"""),948)</f>
        <v>948</v>
      </c>
      <c r="I113" s="16">
        <f>IFERROR(__xludf.DUMMYFUNCTION("""COMPUTED_VALUE"""),45904.6458333333)</f>
        <v>45904.6458333333</v>
      </c>
      <c r="J113" s="17">
        <f>IFERROR(__xludf.DUMMYFUNCTION("""COMPUTED_VALUE"""),912.25)</f>
        <v>912.25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IFERROR(__xludf.DUMMYFUNCTION("""COMPUTED_VALUE"""),937.6)</f>
        <v>937.6</v>
      </c>
      <c r="C114" s="16">
        <f>IFERROR(__xludf.DUMMYFUNCTION("""COMPUTED_VALUE"""),45905.6458333333)</f>
        <v>45905.6458333333</v>
      </c>
      <c r="D114" s="17">
        <f>IFERROR(__xludf.DUMMYFUNCTION("""COMPUTED_VALUE"""),942)</f>
        <v>942</v>
      </c>
      <c r="E114" s="16">
        <f>IFERROR(__xludf.DUMMYFUNCTION("""COMPUTED_VALUE"""),45905.6458333333)</f>
        <v>45905.6458333333</v>
      </c>
      <c r="F114" s="17">
        <f>IFERROR(__xludf.DUMMYFUNCTION("""COMPUTED_VALUE"""),5467260)</f>
        <v>5467260</v>
      </c>
      <c r="G114" s="16">
        <f>IFERROR(__xludf.DUMMYFUNCTION("""COMPUTED_VALUE"""),45905.6458333333)</f>
        <v>45905.6458333333</v>
      </c>
      <c r="H114" s="17">
        <f>IFERROR(__xludf.DUMMYFUNCTION("""COMPUTED_VALUE"""),942.35)</f>
        <v>942.35</v>
      </c>
      <c r="I114" s="16">
        <f>IFERROR(__xludf.DUMMYFUNCTION("""COMPUTED_VALUE"""),45905.6458333333)</f>
        <v>45905.6458333333</v>
      </c>
      <c r="J114" s="17">
        <f>IFERROR(__xludf.DUMMYFUNCTION("""COMPUTED_VALUE"""),932)</f>
        <v>932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IFERROR(__xludf.DUMMYFUNCTION("""COMPUTED_VALUE"""),944.3)</f>
        <v>944.3</v>
      </c>
      <c r="C115" s="16">
        <f>IFERROR(__xludf.DUMMYFUNCTION("""COMPUTED_VALUE"""),45908.6458333333)</f>
        <v>45908.6458333333</v>
      </c>
      <c r="D115" s="17">
        <f>IFERROR(__xludf.DUMMYFUNCTION("""COMPUTED_VALUE"""),937.6)</f>
        <v>937.6</v>
      </c>
      <c r="E115" s="16">
        <f>IFERROR(__xludf.DUMMYFUNCTION("""COMPUTED_VALUE"""),45908.6458333333)</f>
        <v>45908.6458333333</v>
      </c>
      <c r="F115" s="17">
        <f>IFERROR(__xludf.DUMMYFUNCTION("""COMPUTED_VALUE"""),5657331)</f>
        <v>5657331</v>
      </c>
      <c r="G115" s="16">
        <f>IFERROR(__xludf.DUMMYFUNCTION("""COMPUTED_VALUE"""),45908.6458333333)</f>
        <v>45908.6458333333</v>
      </c>
      <c r="H115" s="17">
        <f>IFERROR(__xludf.DUMMYFUNCTION("""COMPUTED_VALUE"""),949.65)</f>
        <v>949.65</v>
      </c>
      <c r="I115" s="16">
        <f>IFERROR(__xludf.DUMMYFUNCTION("""COMPUTED_VALUE"""),45908.6458333333)</f>
        <v>45908.6458333333</v>
      </c>
      <c r="J115" s="17">
        <f>IFERROR(__xludf.DUMMYFUNCTION("""COMPUTED_VALUE"""),935.65)</f>
        <v>935.65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IFERROR(__xludf.DUMMYFUNCTION("""COMPUTED_VALUE"""),948.4)</f>
        <v>948.4</v>
      </c>
      <c r="C116" s="16">
        <f>IFERROR(__xludf.DUMMYFUNCTION("""COMPUTED_VALUE"""),45909.6458333333)</f>
        <v>45909.6458333333</v>
      </c>
      <c r="D116" s="17">
        <f>IFERROR(__xludf.DUMMYFUNCTION("""COMPUTED_VALUE"""),944)</f>
        <v>944</v>
      </c>
      <c r="E116" s="16">
        <f>IFERROR(__xludf.DUMMYFUNCTION("""COMPUTED_VALUE"""),45909.6458333333)</f>
        <v>45909.6458333333</v>
      </c>
      <c r="F116" s="17">
        <f>IFERROR(__xludf.DUMMYFUNCTION("""COMPUTED_VALUE"""),5417393)</f>
        <v>5417393</v>
      </c>
      <c r="G116" s="16">
        <f>IFERROR(__xludf.DUMMYFUNCTION("""COMPUTED_VALUE"""),45909.6458333333)</f>
        <v>45909.6458333333</v>
      </c>
      <c r="H116" s="17">
        <f>IFERROR(__xludf.DUMMYFUNCTION("""COMPUTED_VALUE"""),949.4)</f>
        <v>949.4</v>
      </c>
      <c r="I116" s="16">
        <f>IFERROR(__xludf.DUMMYFUNCTION("""COMPUTED_VALUE"""),45909.6458333333)</f>
        <v>45909.6458333333</v>
      </c>
      <c r="J116" s="17">
        <f>IFERROR(__xludf.DUMMYFUNCTION("""COMPUTED_VALUE"""),940)</f>
        <v>940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IFERROR(__xludf.DUMMYFUNCTION("""COMPUTED_VALUE"""),967.95)</f>
        <v>967.95</v>
      </c>
      <c r="C117" s="16">
        <f>IFERROR(__xludf.DUMMYFUNCTION("""COMPUTED_VALUE"""),45910.6458333333)</f>
        <v>45910.6458333333</v>
      </c>
      <c r="D117" s="17">
        <f>IFERROR(__xludf.DUMMYFUNCTION("""COMPUTED_VALUE"""),951.05)</f>
        <v>951.05</v>
      </c>
      <c r="E117" s="16">
        <f>IFERROR(__xludf.DUMMYFUNCTION("""COMPUTED_VALUE"""),45910.6458333333)</f>
        <v>45910.6458333333</v>
      </c>
      <c r="F117" s="17">
        <f>IFERROR(__xludf.DUMMYFUNCTION("""COMPUTED_VALUE"""),6836239)</f>
        <v>6836239</v>
      </c>
      <c r="G117" s="16">
        <f>IFERROR(__xludf.DUMMYFUNCTION("""COMPUTED_VALUE"""),45910.6458333333)</f>
        <v>45910.6458333333</v>
      </c>
      <c r="H117" s="17">
        <f>IFERROR(__xludf.DUMMYFUNCTION("""COMPUTED_VALUE"""),969.65)</f>
        <v>969.65</v>
      </c>
      <c r="I117" s="16">
        <f>IFERROR(__xludf.DUMMYFUNCTION("""COMPUTED_VALUE"""),45910.6458333333)</f>
        <v>45910.6458333333</v>
      </c>
      <c r="J117" s="17">
        <f>IFERROR(__xludf.DUMMYFUNCTION("""COMPUTED_VALUE"""),947.7)</f>
        <v>947.7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IFERROR(__xludf.DUMMYFUNCTION("""COMPUTED_VALUE"""),970.25)</f>
        <v>970.25</v>
      </c>
      <c r="C118" s="16">
        <f>IFERROR(__xludf.DUMMYFUNCTION("""COMPUTED_VALUE"""),45911.6458333333)</f>
        <v>45911.6458333333</v>
      </c>
      <c r="D118" s="17">
        <f>IFERROR(__xludf.DUMMYFUNCTION("""COMPUTED_VALUE"""),968)</f>
        <v>968</v>
      </c>
      <c r="E118" s="16">
        <f>IFERROR(__xludf.DUMMYFUNCTION("""COMPUTED_VALUE"""),45911.6458333333)</f>
        <v>45911.6458333333</v>
      </c>
      <c r="F118" s="17">
        <f>IFERROR(__xludf.DUMMYFUNCTION("""COMPUTED_VALUE"""),5982627)</f>
        <v>5982627</v>
      </c>
      <c r="G118" s="16">
        <f>IFERROR(__xludf.DUMMYFUNCTION("""COMPUTED_VALUE"""),45911.6458333333)</f>
        <v>45911.6458333333</v>
      </c>
      <c r="H118" s="17">
        <f>IFERROR(__xludf.DUMMYFUNCTION("""COMPUTED_VALUE"""),975.9)</f>
        <v>975.9</v>
      </c>
      <c r="I118" s="16">
        <f>IFERROR(__xludf.DUMMYFUNCTION("""COMPUTED_VALUE"""),45911.6458333333)</f>
        <v>45911.6458333333</v>
      </c>
      <c r="J118" s="17">
        <f>IFERROR(__xludf.DUMMYFUNCTION("""COMPUTED_VALUE"""),965.6)</f>
        <v>965.6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IFERROR(__xludf.DUMMYFUNCTION("""COMPUTED_VALUE"""),1003.25)</f>
        <v>1003.25</v>
      </c>
      <c r="C119" s="16">
        <f>IFERROR(__xludf.DUMMYFUNCTION("""COMPUTED_VALUE"""),45912.6458333333)</f>
        <v>45912.6458333333</v>
      </c>
      <c r="D119" s="17">
        <f>IFERROR(__xludf.DUMMYFUNCTION("""COMPUTED_VALUE"""),972.25)</f>
        <v>972.25</v>
      </c>
      <c r="E119" s="16">
        <f>IFERROR(__xludf.DUMMYFUNCTION("""COMPUTED_VALUE"""),45912.6458333333)</f>
        <v>45912.6458333333</v>
      </c>
      <c r="F119" s="17">
        <f>IFERROR(__xludf.DUMMYFUNCTION("""COMPUTED_VALUE"""),11412561)</f>
        <v>11412561</v>
      </c>
      <c r="G119" s="16">
        <f>IFERROR(__xludf.DUMMYFUNCTION("""COMPUTED_VALUE"""),45912.6458333333)</f>
        <v>45912.6458333333</v>
      </c>
      <c r="H119" s="17">
        <f>IFERROR(__xludf.DUMMYFUNCTION("""COMPUTED_VALUE"""),1004.6)</f>
        <v>1004.6</v>
      </c>
      <c r="I119" s="16">
        <f>IFERROR(__xludf.DUMMYFUNCTION("""COMPUTED_VALUE"""),45912.6458333333)</f>
        <v>45912.6458333333</v>
      </c>
      <c r="J119" s="17">
        <f>IFERROR(__xludf.DUMMYFUNCTION("""COMPUTED_VALUE"""),970.85)</f>
        <v>970.85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IFERROR(__xludf.DUMMYFUNCTION("""COMPUTED_VALUE"""),1009.85)</f>
        <v>1009.85</v>
      </c>
      <c r="C120" s="16">
        <f>IFERROR(__xludf.DUMMYFUNCTION("""COMPUTED_VALUE"""),45915.6458333333)</f>
        <v>45915.6458333333</v>
      </c>
      <c r="D120" s="17">
        <f>IFERROR(__xludf.DUMMYFUNCTION("""COMPUTED_VALUE"""),999)</f>
        <v>999</v>
      </c>
      <c r="E120" s="16">
        <f>IFERROR(__xludf.DUMMYFUNCTION("""COMPUTED_VALUE"""),45915.6458333333)</f>
        <v>45915.6458333333</v>
      </c>
      <c r="F120" s="17">
        <f>IFERROR(__xludf.DUMMYFUNCTION("""COMPUTED_VALUE"""),9989753)</f>
        <v>9989753</v>
      </c>
      <c r="G120" s="16">
        <f>IFERROR(__xludf.DUMMYFUNCTION("""COMPUTED_VALUE"""),45915.6458333333)</f>
        <v>45915.6458333333</v>
      </c>
      <c r="H120" s="17">
        <f>IFERROR(__xludf.DUMMYFUNCTION("""COMPUTED_VALUE"""),1025.7)</f>
        <v>1025.7</v>
      </c>
      <c r="I120" s="16">
        <f>IFERROR(__xludf.DUMMYFUNCTION("""COMPUTED_VALUE"""),45915.6458333333)</f>
        <v>45915.6458333333</v>
      </c>
      <c r="J120" s="17">
        <f>IFERROR(__xludf.DUMMYFUNCTION("""COMPUTED_VALUE"""),998.1)</f>
        <v>998.1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IFERROR(__xludf.DUMMYFUNCTION("""COMPUTED_VALUE"""),1003.25)</f>
        <v>1003.25</v>
      </c>
      <c r="C121" s="16">
        <f>IFERROR(__xludf.DUMMYFUNCTION("""COMPUTED_VALUE"""),45916.6458333333)</f>
        <v>45916.6458333333</v>
      </c>
      <c r="D121" s="17">
        <f>IFERROR(__xludf.DUMMYFUNCTION("""COMPUTED_VALUE"""),1005.85)</f>
        <v>1005.85</v>
      </c>
      <c r="E121" s="16">
        <f>IFERROR(__xludf.DUMMYFUNCTION("""COMPUTED_VALUE"""),45916.6458333333)</f>
        <v>45916.6458333333</v>
      </c>
      <c r="F121" s="17">
        <f>IFERROR(__xludf.DUMMYFUNCTION("""COMPUTED_VALUE"""),7602155)</f>
        <v>7602155</v>
      </c>
      <c r="G121" s="16">
        <f>IFERROR(__xludf.DUMMYFUNCTION("""COMPUTED_VALUE"""),45916.6458333333)</f>
        <v>45916.6458333333</v>
      </c>
      <c r="H121" s="17">
        <f>IFERROR(__xludf.DUMMYFUNCTION("""COMPUTED_VALUE"""),1015.3)</f>
        <v>1015.3</v>
      </c>
      <c r="I121" s="16">
        <f>IFERROR(__xludf.DUMMYFUNCTION("""COMPUTED_VALUE"""),45916.6458333333)</f>
        <v>45916.6458333333</v>
      </c>
      <c r="J121" s="17">
        <f>IFERROR(__xludf.DUMMYFUNCTION("""COMPUTED_VALUE"""),1000)</f>
        <v>1000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IFERROR(__xludf.DUMMYFUNCTION("""COMPUTED_VALUE"""),1007.5)</f>
        <v>1007.5</v>
      </c>
      <c r="C122" s="16">
        <f>IFERROR(__xludf.DUMMYFUNCTION("""COMPUTED_VALUE"""),45917.6458333333)</f>
        <v>45917.6458333333</v>
      </c>
      <c r="D122" s="17">
        <f>IFERROR(__xludf.DUMMYFUNCTION("""COMPUTED_VALUE"""),1010)</f>
        <v>1010</v>
      </c>
      <c r="E122" s="16">
        <f>IFERROR(__xludf.DUMMYFUNCTION("""COMPUTED_VALUE"""),45917.6458333333)</f>
        <v>45917.6458333333</v>
      </c>
      <c r="F122" s="17">
        <f>IFERROR(__xludf.DUMMYFUNCTION("""COMPUTED_VALUE"""),6995023)</f>
        <v>6995023</v>
      </c>
      <c r="G122" s="16">
        <f>IFERROR(__xludf.DUMMYFUNCTION("""COMPUTED_VALUE"""),45917.6458333333)</f>
        <v>45917.6458333333</v>
      </c>
      <c r="H122" s="17">
        <f>IFERROR(__xludf.DUMMYFUNCTION("""COMPUTED_VALUE"""),1011.8)</f>
        <v>1011.8</v>
      </c>
      <c r="I122" s="16">
        <f>IFERROR(__xludf.DUMMYFUNCTION("""COMPUTED_VALUE"""),45917.6458333333)</f>
        <v>45917.6458333333</v>
      </c>
      <c r="J122" s="17">
        <f>IFERROR(__xludf.DUMMYFUNCTION("""COMPUTED_VALUE"""),1000.35)</f>
        <v>1000.35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IFERROR(__xludf.DUMMYFUNCTION("""COMPUTED_VALUE"""),996.5)</f>
        <v>996.5</v>
      </c>
      <c r="C123" s="16">
        <f>IFERROR(__xludf.DUMMYFUNCTION("""COMPUTED_VALUE"""),45918.6458333333)</f>
        <v>45918.6458333333</v>
      </c>
      <c r="D123" s="17">
        <f>IFERROR(__xludf.DUMMYFUNCTION("""COMPUTED_VALUE"""),1007)</f>
        <v>1007</v>
      </c>
      <c r="E123" s="16">
        <f>IFERROR(__xludf.DUMMYFUNCTION("""COMPUTED_VALUE"""),45918.6458333333)</f>
        <v>45918.6458333333</v>
      </c>
      <c r="F123" s="17">
        <f>IFERROR(__xludf.DUMMYFUNCTION("""COMPUTED_VALUE"""),9738376)</f>
        <v>9738376</v>
      </c>
      <c r="G123" s="16">
        <f>IFERROR(__xludf.DUMMYFUNCTION("""COMPUTED_VALUE"""),45918.6458333333)</f>
        <v>45918.6458333333</v>
      </c>
      <c r="H123" s="17">
        <f>IFERROR(__xludf.DUMMYFUNCTION("""COMPUTED_VALUE"""),1009.8)</f>
        <v>1009.8</v>
      </c>
      <c r="I123" s="16">
        <f>IFERROR(__xludf.DUMMYFUNCTION("""COMPUTED_VALUE"""),45918.6458333333)</f>
        <v>45918.6458333333</v>
      </c>
      <c r="J123" s="17">
        <f>IFERROR(__xludf.DUMMYFUNCTION("""COMPUTED_VALUE"""),990)</f>
        <v>990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IFERROR(__xludf.DUMMYFUNCTION("""COMPUTED_VALUE"""),992.45)</f>
        <v>992.45</v>
      </c>
      <c r="C124" s="16">
        <f>IFERROR(__xludf.DUMMYFUNCTION("""COMPUTED_VALUE"""),45919.6458333333)</f>
        <v>45919.6458333333</v>
      </c>
      <c r="D124" s="17">
        <f>IFERROR(__xludf.DUMMYFUNCTION("""COMPUTED_VALUE"""),991)</f>
        <v>991</v>
      </c>
      <c r="E124" s="16">
        <f>IFERROR(__xludf.DUMMYFUNCTION("""COMPUTED_VALUE"""),45919.6458333333)</f>
        <v>45919.6458333333</v>
      </c>
      <c r="F124" s="17">
        <f>IFERROR(__xludf.DUMMYFUNCTION("""COMPUTED_VALUE"""),6736440)</f>
        <v>6736440</v>
      </c>
      <c r="G124" s="16">
        <f>IFERROR(__xludf.DUMMYFUNCTION("""COMPUTED_VALUE"""),45919.6458333333)</f>
        <v>45919.6458333333</v>
      </c>
      <c r="H124" s="17">
        <f>IFERROR(__xludf.DUMMYFUNCTION("""COMPUTED_VALUE"""),996)</f>
        <v>996</v>
      </c>
      <c r="I124" s="16">
        <f>IFERROR(__xludf.DUMMYFUNCTION("""COMPUTED_VALUE"""),45919.6458333333)</f>
        <v>45919.6458333333</v>
      </c>
      <c r="J124" s="17">
        <f>IFERROR(__xludf.DUMMYFUNCTION("""COMPUTED_VALUE"""),988.6)</f>
        <v>988.6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IFERROR(__xludf.DUMMYFUNCTION("""COMPUTED_VALUE"""),1006.5)</f>
        <v>1006.5</v>
      </c>
      <c r="C125" s="16">
        <f>IFERROR(__xludf.DUMMYFUNCTION("""COMPUTED_VALUE"""),45922.6458333333)</f>
        <v>45922.6458333333</v>
      </c>
      <c r="D125" s="17">
        <f>IFERROR(__xludf.DUMMYFUNCTION("""COMPUTED_VALUE"""),989.95)</f>
        <v>989.95</v>
      </c>
      <c r="E125" s="16">
        <f>IFERROR(__xludf.DUMMYFUNCTION("""COMPUTED_VALUE"""),45922.6458333333)</f>
        <v>45922.6458333333</v>
      </c>
      <c r="F125" s="17">
        <f>IFERROR(__xludf.DUMMYFUNCTION("""COMPUTED_VALUE"""),4250045)</f>
        <v>4250045</v>
      </c>
      <c r="G125" s="16">
        <f>IFERROR(__xludf.DUMMYFUNCTION("""COMPUTED_VALUE"""),45922.6458333333)</f>
        <v>45922.6458333333</v>
      </c>
      <c r="H125" s="17">
        <f>IFERROR(__xludf.DUMMYFUNCTION("""COMPUTED_VALUE"""),1010.9)</f>
        <v>1010.9</v>
      </c>
      <c r="I125" s="16">
        <f>IFERROR(__xludf.DUMMYFUNCTION("""COMPUTED_VALUE"""),45922.6458333333)</f>
        <v>45922.6458333333</v>
      </c>
      <c r="J125" s="17">
        <f>IFERROR(__xludf.DUMMYFUNCTION("""COMPUTED_VALUE"""),989)</f>
        <v>989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IFERROR(__xludf.DUMMYFUNCTION("""COMPUTED_VALUE"""),1025.5)</f>
        <v>1025.5</v>
      </c>
      <c r="C126" s="16">
        <f>IFERROR(__xludf.DUMMYFUNCTION("""COMPUTED_VALUE"""),45923.6458333333)</f>
        <v>45923.6458333333</v>
      </c>
      <c r="D126" s="17">
        <f>IFERROR(__xludf.DUMMYFUNCTION("""COMPUTED_VALUE"""),999)</f>
        <v>999</v>
      </c>
      <c r="E126" s="16">
        <f>IFERROR(__xludf.DUMMYFUNCTION("""COMPUTED_VALUE"""),45923.6458333333)</f>
        <v>45923.6458333333</v>
      </c>
      <c r="F126" s="17">
        <f>IFERROR(__xludf.DUMMYFUNCTION("""COMPUTED_VALUE"""),10230040)</f>
        <v>10230040</v>
      </c>
      <c r="G126" s="16">
        <f>IFERROR(__xludf.DUMMYFUNCTION("""COMPUTED_VALUE"""),45923.6458333333)</f>
        <v>45923.6458333333</v>
      </c>
      <c r="H126" s="17">
        <f>IFERROR(__xludf.DUMMYFUNCTION("""COMPUTED_VALUE"""),1028.8)</f>
        <v>1028.8</v>
      </c>
      <c r="I126" s="16">
        <f>IFERROR(__xludf.DUMMYFUNCTION("""COMPUTED_VALUE"""),45923.6458333333)</f>
        <v>45923.6458333333</v>
      </c>
      <c r="J126" s="17">
        <f>IFERROR(__xludf.DUMMYFUNCTION("""COMPUTED_VALUE"""),999)</f>
        <v>999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IFERROR(__xludf.DUMMYFUNCTION("""COMPUTED_VALUE"""),1029.75)</f>
        <v>1029.75</v>
      </c>
      <c r="C127" s="16">
        <f>IFERROR(__xludf.DUMMYFUNCTION("""COMPUTED_VALUE"""),45924.6458333333)</f>
        <v>45924.6458333333</v>
      </c>
      <c r="D127" s="17">
        <f>IFERROR(__xludf.DUMMYFUNCTION("""COMPUTED_VALUE"""),1021.5)</f>
        <v>1021.5</v>
      </c>
      <c r="E127" s="16">
        <f>IFERROR(__xludf.DUMMYFUNCTION("""COMPUTED_VALUE"""),45924.6458333333)</f>
        <v>45924.6458333333</v>
      </c>
      <c r="F127" s="17">
        <f>IFERROR(__xludf.DUMMYFUNCTION("""COMPUTED_VALUE"""),6433184)</f>
        <v>6433184</v>
      </c>
      <c r="G127" s="16">
        <f>IFERROR(__xludf.DUMMYFUNCTION("""COMPUTED_VALUE"""),45924.6458333333)</f>
        <v>45924.6458333333</v>
      </c>
      <c r="H127" s="17">
        <f>IFERROR(__xludf.DUMMYFUNCTION("""COMPUTED_VALUE"""),1036)</f>
        <v>1036</v>
      </c>
      <c r="I127" s="16">
        <f>IFERROR(__xludf.DUMMYFUNCTION("""COMPUTED_VALUE"""),45924.6458333333)</f>
        <v>45924.6458333333</v>
      </c>
      <c r="J127" s="17">
        <f>IFERROR(__xludf.DUMMYFUNCTION("""COMPUTED_VALUE"""),1020.4)</f>
        <v>1020.4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IFERROR(__xludf.DUMMYFUNCTION("""COMPUTED_VALUE"""),1012.75)</f>
        <v>1012.75</v>
      </c>
      <c r="C128" s="16">
        <f>IFERROR(__xludf.DUMMYFUNCTION("""COMPUTED_VALUE"""),45925.6458333333)</f>
        <v>45925.6458333333</v>
      </c>
      <c r="D128" s="17">
        <f>IFERROR(__xludf.DUMMYFUNCTION("""COMPUTED_VALUE"""),1020)</f>
        <v>1020</v>
      </c>
      <c r="E128" s="16">
        <f>IFERROR(__xludf.DUMMYFUNCTION("""COMPUTED_VALUE"""),45925.6458333333)</f>
        <v>45925.6458333333</v>
      </c>
      <c r="F128" s="17">
        <f>IFERROR(__xludf.DUMMYFUNCTION("""COMPUTED_VALUE"""),16731453)</f>
        <v>16731453</v>
      </c>
      <c r="G128" s="16">
        <f>IFERROR(__xludf.DUMMYFUNCTION("""COMPUTED_VALUE"""),45925.6458333333)</f>
        <v>45925.6458333333</v>
      </c>
      <c r="H128" s="17">
        <f>IFERROR(__xludf.DUMMYFUNCTION("""COMPUTED_VALUE"""),1031.1)</f>
        <v>1031.1</v>
      </c>
      <c r="I128" s="16">
        <f>IFERROR(__xludf.DUMMYFUNCTION("""COMPUTED_VALUE"""),45925.6458333333)</f>
        <v>45925.6458333333</v>
      </c>
      <c r="J128" s="17">
        <f>IFERROR(__xludf.DUMMYFUNCTION("""COMPUTED_VALUE"""),1008)</f>
        <v>1008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IFERROR(__xludf.DUMMYFUNCTION("""COMPUTED_VALUE"""),985.1)</f>
        <v>985.1</v>
      </c>
      <c r="C129" s="47">
        <f>IFERROR(__xludf.DUMMYFUNCTION("""COMPUTED_VALUE"""),45926.6458333333)</f>
        <v>45926.6458333333</v>
      </c>
      <c r="D129" s="48">
        <f>IFERROR(__xludf.DUMMYFUNCTION("""COMPUTED_VALUE"""),1008.05)</f>
        <v>1008.05</v>
      </c>
      <c r="E129" s="47">
        <f>IFERROR(__xludf.DUMMYFUNCTION("""COMPUTED_VALUE"""),45926.6458333333)</f>
        <v>45926.6458333333</v>
      </c>
      <c r="F129" s="48">
        <f>IFERROR(__xludf.DUMMYFUNCTION("""COMPUTED_VALUE"""),9109737)</f>
        <v>9109737</v>
      </c>
      <c r="G129" s="47">
        <f>IFERROR(__xludf.DUMMYFUNCTION("""COMPUTED_VALUE"""),45926.6458333333)</f>
        <v>45926.6458333333</v>
      </c>
      <c r="H129" s="48">
        <f>IFERROR(__xludf.DUMMYFUNCTION("""COMPUTED_VALUE"""),1010.5)</f>
        <v>1010.5</v>
      </c>
      <c r="I129" s="47">
        <f>IFERROR(__xludf.DUMMYFUNCTION("""COMPUTED_VALUE"""),45926.6458333333)</f>
        <v>45926.6458333333</v>
      </c>
      <c r="J129" s="48">
        <f>IFERROR(__xludf.DUMMYFUNCTION("""COMPUTED_VALUE"""),981.05)</f>
        <v>981.05</v>
      </c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cols>
    <col min="12" max="12" width="13.6272727272727" customWidth="1"/>
  </cols>
  <sheetData>
    <row r="1" customHeight="1" spans="1:16">
      <c r="A1" s="49" t="s">
        <v>264</v>
      </c>
      <c r="B1" s="50">
        <f ca="1">TODAY()</f>
        <v>45927</v>
      </c>
      <c r="C1" s="51">
        <f ca="1">DAY(B1)</f>
        <v>27</v>
      </c>
      <c r="D1" s="51">
        <f ca="1" t="shared" ref="D1:D2" si="0">MONTH(B1)</f>
        <v>9</v>
      </c>
      <c r="E1" s="51">
        <f ca="1" t="shared" ref="E1:E2" si="1">YEAR(B1)</f>
        <v>2025</v>
      </c>
      <c r="F1" s="52"/>
      <c r="G1" s="53"/>
      <c r="H1" s="51"/>
      <c r="I1" s="51"/>
      <c r="J1" s="51"/>
      <c r="K1" s="51"/>
      <c r="L1" s="51"/>
      <c r="M1" s="62" t="s">
        <v>265</v>
      </c>
      <c r="N1" s="19"/>
      <c r="O1" s="19"/>
      <c r="P1" s="19"/>
    </row>
    <row r="2" customHeight="1" spans="1:20">
      <c r="A2" s="49" t="s">
        <v>266</v>
      </c>
      <c r="B2" s="50">
        <f ca="1">EDATE(TODAY(),-6)</f>
        <v>45743</v>
      </c>
      <c r="C2" s="51">
        <f ca="1">DAY(B2)</f>
        <v>27</v>
      </c>
      <c r="D2" s="51">
        <f ca="1" t="shared" si="0"/>
        <v>3</v>
      </c>
      <c r="E2" s="51">
        <f ca="1" t="shared" si="1"/>
        <v>2025</v>
      </c>
      <c r="F2" s="52"/>
      <c r="G2" s="53"/>
      <c r="H2" s="51"/>
      <c r="I2" s="51"/>
      <c r="J2" s="51"/>
      <c r="K2" s="51"/>
      <c r="L2" s="51"/>
      <c r="M2" s="63" t="str">
        <f>IFERROR(__xludf.DUMMYFUNCTION("GOOGLEFINANCE(L3, ""close"", WORKDAY(TODAY(), -1), WORKDAY(TODAY(), -1))"),"Date")</f>
        <v>Date</v>
      </c>
      <c r="N2" s="64" t="str">
        <f>IFERROR(__xludf.DUMMYFUNCTION("""COMPUTED_VALUE"""),"Close")</f>
        <v>Close</v>
      </c>
      <c r="O2" s="63" t="str">
        <f>IFERROR(__xludf.DUMMYFUNCTION("GOOGLEFINANCE(L3, ""open"", WORKDAY(TODAY(), -1), WORKDAY(TODAY(), -1))"),"Date")</f>
        <v>Date</v>
      </c>
      <c r="P2" s="64" t="str">
        <f>IFERROR(__xludf.DUMMYFUNCTION("""COMPUTED_VALUE"""),"Open")</f>
        <v>Open</v>
      </c>
      <c r="Q2" s="72" t="str">
        <f>IFERROR(__xludf.DUMMYFUNCTION("GOOGLEFINANCE(L3, ""hIGH"", WORKDAY(TODAY(), -1), WORKDAY(TODAY(), -1))"),"Date")</f>
        <v>Date</v>
      </c>
      <c r="R2" s="48" t="str">
        <f>IFERROR(__xludf.DUMMYFUNCTION("""COMPUTED_VALUE"""),"High")</f>
        <v>High</v>
      </c>
      <c r="S2" s="72" t="str">
        <f>IFERROR(__xludf.DUMMYFUNCTION("GOOGLEFINANCE(L3, ""LOW"", WORKDAY(TODAY(), -1), WORKDAY(TODAY(), -1))"),"Date")</f>
        <v>Date</v>
      </c>
      <c r="T2" s="48" t="str">
        <f>IFERROR(__xludf.DUMMYFUNCTION("""COMPUTED_VALUE"""),"Low")</f>
        <v>Low</v>
      </c>
    </row>
    <row r="3" customHeight="1" spans="1:20">
      <c r="A3" s="54" t="s">
        <v>26</v>
      </c>
      <c r="B3" s="7"/>
      <c r="C3" s="7"/>
      <c r="D3" s="7"/>
      <c r="E3" s="7"/>
      <c r="F3" s="8"/>
      <c r="G3" s="55" t="s">
        <v>268</v>
      </c>
      <c r="H3" s="56">
        <f>IFERROR(__xludf.DUMMYFUNCTION("GOOGLEFINANCE(L3, ""price"")"),1915.4)</f>
        <v>1915.4</v>
      </c>
      <c r="I3" s="65" t="s">
        <v>269</v>
      </c>
      <c r="J3" s="56">
        <f>IFERROR(__xludf.DUMMYFUNCTION("GOOGLEFINANCE(L3, ""volume"")"),3239306)</f>
        <v>3239306</v>
      </c>
      <c r="K3" s="66" t="s">
        <v>270</v>
      </c>
      <c r="L3" s="48" t="str">
        <f>Mastersheet!B9</f>
        <v>NSE:BHARTIARTL</v>
      </c>
      <c r="M3" s="68">
        <f>IFERROR(__xludf.DUMMYFUNCTION("""COMPUTED_VALUE"""),45926.6458333333)</f>
        <v>45926.6458333333</v>
      </c>
      <c r="N3" s="67">
        <f>IFERROR(__xludf.DUMMYFUNCTION("""COMPUTED_VALUE"""),1916.6)</f>
        <v>1916.6</v>
      </c>
      <c r="O3" s="68">
        <f>IFERROR(__xludf.DUMMYFUNCTION("""COMPUTED_VALUE"""),45926.6458333333)</f>
        <v>45926.6458333333</v>
      </c>
      <c r="P3" s="67">
        <f>IFERROR(__xludf.DUMMYFUNCTION("""COMPUTED_VALUE"""),1931.1)</f>
        <v>1931.1</v>
      </c>
      <c r="Q3" s="47">
        <f>IFERROR(__xludf.DUMMYFUNCTION("""COMPUTED_VALUE"""),45926.6458333333)</f>
        <v>45926.6458333333</v>
      </c>
      <c r="R3" s="48">
        <f>IFERROR(__xludf.DUMMYFUNCTION("""COMPUTED_VALUE"""),1944.7)</f>
        <v>1944.7</v>
      </c>
      <c r="S3" s="47">
        <f>IFERROR(__xludf.DUMMYFUNCTION("""COMPUTED_VALUE"""),45926.6458333333)</f>
        <v>45926.6458333333</v>
      </c>
      <c r="T3" s="48">
        <f>IFERROR(__xludf.DUMMYFUNCTION("""COMPUTED_VALUE"""),1911.9)</f>
        <v>1911.9</v>
      </c>
    </row>
    <row r="4" customHeight="1" spans="1:31">
      <c r="A4" s="57" t="str">
        <f>IFERROR(__xludf.DUMMYFUNCTION("GOOGLEFINANCE(L3, ""CLOSE"",DATE(E2,D2,C2), DATE(E1,D1,C1), ""DAILY"")"),"Date")</f>
        <v>Date</v>
      </c>
      <c r="B4" s="58" t="str">
        <f>IFERROR(__xludf.DUMMYFUNCTION("""COMPUTED_VALUE"""),"Close")</f>
        <v>Close</v>
      </c>
      <c r="C4" s="58" t="str">
        <f>IFERROR(__xludf.DUMMYFUNCTION("GOOGLEFINANCE(L3, ""open"", DATE(E2,D2,C2), DATE(E1,D1,C1), ""DAILY"")"),"Date")</f>
        <v>Date</v>
      </c>
      <c r="D4" s="58" t="str">
        <f>IFERROR(__xludf.DUMMYFUNCTION("""COMPUTED_VALUE"""),"Open")</f>
        <v>Open</v>
      </c>
      <c r="E4" s="59" t="str">
        <f>IFERROR(__xludf.DUMMYFUNCTION("GOOGLEFINANCE(L3, ""VOLUME"", DATE(E2,D2,C2), DATE(E1,D1,C1), ""DAILY"")"),"Date")</f>
        <v>Date</v>
      </c>
      <c r="F4" s="58" t="str">
        <f>IFERROR(__xludf.DUMMYFUNCTION("""COMPUTED_VALUE"""),"Volume")</f>
        <v>Volume</v>
      </c>
      <c r="G4" s="59" t="str">
        <f>IFERROR(__xludf.DUMMYFUNCTION("GOOGLEFINANCE(L3, ""HIGH"", DATE(E2,D2,C2), DATE(E1,D1,C1), ""DAILY"")"),"Date")</f>
        <v>Date</v>
      </c>
      <c r="H4" s="59" t="str">
        <f>IFERROR(__xludf.DUMMYFUNCTION("""COMPUTED_VALUE"""),"High")</f>
        <v>High</v>
      </c>
      <c r="I4" s="59" t="str">
        <f>IFERROR(__xludf.DUMMYFUNCTION("GOOGLEFINANCE(L3, ""LOW"", DATE(E2,D2,C2), DATE(E1,D1,C1), ""DAILY"")"),"Date")</f>
        <v>Date</v>
      </c>
      <c r="J4" s="69" t="str">
        <f>IFERROR(__xludf.DUMMYFUNCTION("""COMPUTED_VALUE"""),"Low")</f>
        <v>Low</v>
      </c>
      <c r="K4" s="70" t="s">
        <v>271</v>
      </c>
      <c r="L4" s="70" t="s">
        <v>272</v>
      </c>
      <c r="M4" s="70" t="s">
        <v>273</v>
      </c>
      <c r="N4" s="70" t="s">
        <v>274</v>
      </c>
      <c r="O4" s="70" t="s">
        <v>275</v>
      </c>
      <c r="P4" s="70" t="s">
        <v>276</v>
      </c>
      <c r="Q4" s="73" t="s">
        <v>277</v>
      </c>
      <c r="R4" s="73" t="s">
        <v>278</v>
      </c>
      <c r="S4" s="73" t="s">
        <v>279</v>
      </c>
      <c r="T4" s="73" t="s">
        <v>280</v>
      </c>
      <c r="U4" s="73" t="s">
        <v>281</v>
      </c>
      <c r="V4" s="73" t="s">
        <v>282</v>
      </c>
      <c r="W4" s="70" t="s">
        <v>283</v>
      </c>
      <c r="X4" s="74" t="s">
        <v>284</v>
      </c>
      <c r="Y4" s="37" t="s">
        <v>285</v>
      </c>
      <c r="Z4" s="77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60">
        <f>IFERROR(__xludf.DUMMYFUNCTION("""COMPUTED_VALUE"""),45743.6458333333)</f>
        <v>45743.6458333333</v>
      </c>
      <c r="B5" s="61">
        <f>IFERROR(__xludf.DUMMYFUNCTION("""COMPUTED_VALUE"""),1724.7)</f>
        <v>1724.7</v>
      </c>
      <c r="C5" s="60">
        <f>IFERROR(__xludf.DUMMYFUNCTION("""COMPUTED_VALUE"""),45743.6458333333)</f>
        <v>45743.6458333333</v>
      </c>
      <c r="D5" s="61">
        <f>IFERROR(__xludf.DUMMYFUNCTION("""COMPUTED_VALUE"""),1739.95)</f>
        <v>1739.95</v>
      </c>
      <c r="E5" s="60">
        <f>IFERROR(__xludf.DUMMYFUNCTION("""COMPUTED_VALUE"""),45743.6458333333)</f>
        <v>45743.6458333333</v>
      </c>
      <c r="F5" s="61">
        <f>IFERROR(__xludf.DUMMYFUNCTION("""COMPUTED_VALUE"""),6222339)</f>
        <v>6222339</v>
      </c>
      <c r="G5" s="60">
        <f>IFERROR(__xludf.DUMMYFUNCTION("""COMPUTED_VALUE"""),45743.6458333333)</f>
        <v>45743.6458333333</v>
      </c>
      <c r="H5" s="61">
        <f>IFERROR(__xludf.DUMMYFUNCTION("""COMPUTED_VALUE"""),1746.4)</f>
        <v>1746.4</v>
      </c>
      <c r="I5" s="71">
        <f>IFERROR(__xludf.DUMMYFUNCTION("""COMPUTED_VALUE"""),45743.6458333333)</f>
        <v>45743.6458333333</v>
      </c>
      <c r="J5" s="51">
        <f>IFERROR(__xludf.DUMMYFUNCTION("""COMPUTED_VALUE"""),1713.25)</f>
        <v>1713.25</v>
      </c>
      <c r="K5" s="51"/>
      <c r="L5" s="51"/>
      <c r="M5" s="51">
        <f t="array" ref="M5">INDEX(K11:K124,MATCH(SMALL(ABS(K11:K124-H3),1),ABS(K11:K124-H3),0))</f>
        <v>1901</v>
      </c>
      <c r="N5" s="51">
        <f t="array" ref="N5">INDEX(K11:K124,MATCH(SMALL(ABS(K11:K124-H3),2),ABS(K11:K124-H3),0))</f>
        <v>1933.3</v>
      </c>
      <c r="O5" s="51">
        <f t="array" ref="O5">INDEX(L11:L124,MATCH(SMALL(ABS(L11:L124-H3),1),ABS(L11:L124-H3),0))</f>
        <v>1880.4</v>
      </c>
      <c r="P5" s="51">
        <f t="array" ref="P5">INDEX(L11:L124,MATCH(SMALL(ABS(L11:L124-H3),2),ABS(L11:L124-H3),0))</f>
        <v>1850.3</v>
      </c>
      <c r="Q5" s="48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S5" s="75">
        <f ca="1">IF(Q5&gt;0,Q5,S5)</f>
        <v>1933.3</v>
      </c>
      <c r="T5" s="48">
        <f ca="1">IF(AND(H3&gt;=Mastersheet!I3*S5,H3&lt;=Mastersheet!J3*S5),1,0)</f>
        <v>0</v>
      </c>
      <c r="U5" s="76">
        <f>(N3+P3)/2</f>
        <v>1923.85</v>
      </c>
      <c r="V5" s="48">
        <f>(N3+P3+R3+T3)/4</f>
        <v>1926.075</v>
      </c>
      <c r="W5" s="48">
        <f>IF(V5&gt;U5,1,0)</f>
        <v>1</v>
      </c>
      <c r="X5" s="48">
        <f>IF(V5&gt;U5,0,1)</f>
        <v>0</v>
      </c>
      <c r="Y5" s="48">
        <f>IF(COUNTIF(Mastersheet!E:E,L3)&gt;0,0,1)</f>
        <v>1</v>
      </c>
      <c r="Z5" s="78">
        <f ca="1">IF(T5*W5*Y5=1,1,0)</f>
        <v>0</v>
      </c>
      <c r="AA5" s="79"/>
      <c r="AB5" s="44" t="s">
        <v>289</v>
      </c>
      <c r="AC5" s="80" t="s">
        <v>290</v>
      </c>
      <c r="AD5" s="81" t="s">
        <v>291</v>
      </c>
      <c r="AE5" s="81" t="s">
        <v>292</v>
      </c>
    </row>
    <row r="6" customHeight="1" spans="1:31">
      <c r="A6" s="47">
        <f>IFERROR(__xludf.DUMMYFUNCTION("""COMPUTED_VALUE"""),45744.6458333333)</f>
        <v>45744.6458333333</v>
      </c>
      <c r="B6" s="48">
        <f>IFERROR(__xludf.DUMMYFUNCTION("""COMPUTED_VALUE"""),1733.4)</f>
        <v>1733.4</v>
      </c>
      <c r="C6" s="47">
        <f>IFERROR(__xludf.DUMMYFUNCTION("""COMPUTED_VALUE"""),45744.6458333333)</f>
        <v>45744.6458333333</v>
      </c>
      <c r="D6" s="48">
        <f>IFERROR(__xludf.DUMMYFUNCTION("""COMPUTED_VALUE"""),1733.3)</f>
        <v>1733.3</v>
      </c>
      <c r="E6" s="47">
        <f>IFERROR(__xludf.DUMMYFUNCTION("""COMPUTED_VALUE"""),45744.6458333333)</f>
        <v>45744.6458333333</v>
      </c>
      <c r="F6" s="48">
        <f>IFERROR(__xludf.DUMMYFUNCTION("""COMPUTED_VALUE"""),4133264)</f>
        <v>4133264</v>
      </c>
      <c r="G6" s="47">
        <f>IFERROR(__xludf.DUMMYFUNCTION("""COMPUTED_VALUE"""),45744.6458333333)</f>
        <v>45744.6458333333</v>
      </c>
      <c r="H6" s="48">
        <f>IFERROR(__xludf.DUMMYFUNCTION("""COMPUTED_VALUE"""),1745.75)</f>
        <v>1745.75</v>
      </c>
      <c r="I6" s="47">
        <f>IFERROR(__xludf.DUMMYFUNCTION("""COMPUTED_VALUE"""),45744.6458333333)</f>
        <v>45744.6458333333</v>
      </c>
      <c r="J6" s="48">
        <f>IFERROR(__xludf.DUMMYFUNCTION("""COMPUTED_VALUE"""),1660)</f>
        <v>1660</v>
      </c>
      <c r="AB6" s="48">
        <f>IF(COUNTIF(Mastersheet!E:E,L3)&gt;0,1,0)</f>
        <v>0</v>
      </c>
      <c r="AC6" s="48">
        <f>IF(AND(H3&gt;Mastersheet!L3*Mastersheet!F3,X5),1,0)</f>
        <v>0</v>
      </c>
      <c r="AD6" s="76">
        <f>IF(H3&lt;Mastersheet!M3*Mastersheet!F3,1,0)</f>
        <v>0</v>
      </c>
      <c r="AE6" s="48">
        <f>IF(OR(AC6*AB6=1,AD6*AB6=1),1,0)</f>
        <v>0</v>
      </c>
    </row>
    <row r="7" customHeight="1" spans="1:10">
      <c r="A7" s="47">
        <f>IFERROR(__xludf.DUMMYFUNCTION("""COMPUTED_VALUE"""),45748.6458333333)</f>
        <v>45748.6458333333</v>
      </c>
      <c r="B7" s="48">
        <f>IFERROR(__xludf.DUMMYFUNCTION("""COMPUTED_VALUE"""),1724.15)</f>
        <v>1724.15</v>
      </c>
      <c r="C7" s="47">
        <f>IFERROR(__xludf.DUMMYFUNCTION("""COMPUTED_VALUE"""),45748.6458333333)</f>
        <v>45748.6458333333</v>
      </c>
      <c r="D7" s="48">
        <f>IFERROR(__xludf.DUMMYFUNCTION("""COMPUTED_VALUE"""),1715)</f>
        <v>1715</v>
      </c>
      <c r="E7" s="47">
        <f>IFERROR(__xludf.DUMMYFUNCTION("""COMPUTED_VALUE"""),45748.6458333333)</f>
        <v>45748.6458333333</v>
      </c>
      <c r="F7" s="48">
        <f>IFERROR(__xludf.DUMMYFUNCTION("""COMPUTED_VALUE"""),6773056)</f>
        <v>6773056</v>
      </c>
      <c r="G7" s="47">
        <f>IFERROR(__xludf.DUMMYFUNCTION("""COMPUTED_VALUE"""),45748.6458333333)</f>
        <v>45748.6458333333</v>
      </c>
      <c r="H7" s="48">
        <f>IFERROR(__xludf.DUMMYFUNCTION("""COMPUTED_VALUE"""),1765)</f>
        <v>1765</v>
      </c>
      <c r="I7" s="47">
        <f>IFERROR(__xludf.DUMMYFUNCTION("""COMPUTED_VALUE"""),45748.6458333333)</f>
        <v>45748.6458333333</v>
      </c>
      <c r="J7" s="48">
        <f>IFERROR(__xludf.DUMMYFUNCTION("""COMPUTED_VALUE"""),1708.45)</f>
        <v>1708.45</v>
      </c>
    </row>
    <row r="8" customHeight="1" spans="1:10">
      <c r="A8" s="47">
        <f>IFERROR(__xludf.DUMMYFUNCTION("""COMPUTED_VALUE"""),45749.6458333333)</f>
        <v>45749.6458333333</v>
      </c>
      <c r="B8" s="48">
        <f>IFERROR(__xludf.DUMMYFUNCTION("""COMPUTED_VALUE"""),1754.6)</f>
        <v>1754.6</v>
      </c>
      <c r="C8" s="47">
        <f>IFERROR(__xludf.DUMMYFUNCTION("""COMPUTED_VALUE"""),45749.6458333333)</f>
        <v>45749.6458333333</v>
      </c>
      <c r="D8" s="48">
        <f>IFERROR(__xludf.DUMMYFUNCTION("""COMPUTED_VALUE"""),1720)</f>
        <v>1720</v>
      </c>
      <c r="E8" s="47">
        <f>IFERROR(__xludf.DUMMYFUNCTION("""COMPUTED_VALUE"""),45749.6458333333)</f>
        <v>45749.6458333333</v>
      </c>
      <c r="F8" s="48">
        <f>IFERROR(__xludf.DUMMYFUNCTION("""COMPUTED_VALUE"""),6431226)</f>
        <v>6431226</v>
      </c>
      <c r="G8" s="47">
        <f>IFERROR(__xludf.DUMMYFUNCTION("""COMPUTED_VALUE"""),45749.6458333333)</f>
        <v>45749.6458333333</v>
      </c>
      <c r="H8" s="48">
        <f>IFERROR(__xludf.DUMMYFUNCTION("""COMPUTED_VALUE"""),1760.4)</f>
        <v>1760.4</v>
      </c>
      <c r="I8" s="47">
        <f>IFERROR(__xludf.DUMMYFUNCTION("""COMPUTED_VALUE"""),45749.6458333333)</f>
        <v>45749.6458333333</v>
      </c>
      <c r="J8" s="48">
        <f>IFERROR(__xludf.DUMMYFUNCTION("""COMPUTED_VALUE"""),1716.95)</f>
        <v>1716.95</v>
      </c>
    </row>
    <row r="9" customHeight="1" spans="1:10">
      <c r="A9" s="47">
        <f>IFERROR(__xludf.DUMMYFUNCTION("""COMPUTED_VALUE"""),45750.6458333333)</f>
        <v>45750.6458333333</v>
      </c>
      <c r="B9" s="48">
        <f>IFERROR(__xludf.DUMMYFUNCTION("""COMPUTED_VALUE"""),1746)</f>
        <v>1746</v>
      </c>
      <c r="C9" s="47">
        <f>IFERROR(__xludf.DUMMYFUNCTION("""COMPUTED_VALUE"""),45750.6458333333)</f>
        <v>45750.6458333333</v>
      </c>
      <c r="D9" s="48">
        <f>IFERROR(__xludf.DUMMYFUNCTION("""COMPUTED_VALUE"""),1748)</f>
        <v>1748</v>
      </c>
      <c r="E9" s="47">
        <f>IFERROR(__xludf.DUMMYFUNCTION("""COMPUTED_VALUE"""),45750.6458333333)</f>
        <v>45750.6458333333</v>
      </c>
      <c r="F9" s="48">
        <f>IFERROR(__xludf.DUMMYFUNCTION("""COMPUTED_VALUE"""),2341989)</f>
        <v>2341989</v>
      </c>
      <c r="G9" s="47">
        <f>IFERROR(__xludf.DUMMYFUNCTION("""COMPUTED_VALUE"""),45750.6458333333)</f>
        <v>45750.6458333333</v>
      </c>
      <c r="H9" s="48">
        <f>IFERROR(__xludf.DUMMYFUNCTION("""COMPUTED_VALUE"""),1754.95)</f>
        <v>1754.95</v>
      </c>
      <c r="I9" s="47">
        <f>IFERROR(__xludf.DUMMYFUNCTION("""COMPUTED_VALUE"""),45750.6458333333)</f>
        <v>45750.6458333333</v>
      </c>
      <c r="J9" s="48">
        <f>IFERROR(__xludf.DUMMYFUNCTION("""COMPUTED_VALUE"""),1735.45)</f>
        <v>1735.45</v>
      </c>
    </row>
    <row r="10" customHeight="1" spans="1:10">
      <c r="A10" s="47">
        <f>IFERROR(__xludf.DUMMYFUNCTION("""COMPUTED_VALUE"""),45751.6458333333)</f>
        <v>45751.6458333333</v>
      </c>
      <c r="B10" s="48">
        <f>IFERROR(__xludf.DUMMYFUNCTION("""COMPUTED_VALUE"""),1743.45)</f>
        <v>1743.45</v>
      </c>
      <c r="C10" s="47">
        <f>IFERROR(__xludf.DUMMYFUNCTION("""COMPUTED_VALUE"""),45751.6458333333)</f>
        <v>45751.6458333333</v>
      </c>
      <c r="D10" s="48">
        <f>IFERROR(__xludf.DUMMYFUNCTION("""COMPUTED_VALUE"""),1754.5)</f>
        <v>1754.5</v>
      </c>
      <c r="E10" s="47">
        <f>IFERROR(__xludf.DUMMYFUNCTION("""COMPUTED_VALUE"""),45751.6458333333)</f>
        <v>45751.6458333333</v>
      </c>
      <c r="F10" s="48">
        <f>IFERROR(__xludf.DUMMYFUNCTION("""COMPUTED_VALUE"""),7817334)</f>
        <v>7817334</v>
      </c>
      <c r="G10" s="47">
        <f>IFERROR(__xludf.DUMMYFUNCTION("""COMPUTED_VALUE"""),45751.6458333333)</f>
        <v>45751.6458333333</v>
      </c>
      <c r="H10" s="48">
        <f>IFERROR(__xludf.DUMMYFUNCTION("""COMPUTED_VALUE"""),1770.8)</f>
        <v>1770.8</v>
      </c>
      <c r="I10" s="47">
        <f>IFERROR(__xludf.DUMMYFUNCTION("""COMPUTED_VALUE"""),45751.6458333333)</f>
        <v>45751.6458333333</v>
      </c>
      <c r="J10" s="48">
        <f>IFERROR(__xludf.DUMMYFUNCTION("""COMPUTED_VALUE"""),1740)</f>
        <v>1740</v>
      </c>
    </row>
    <row r="11" customHeight="1" spans="1:12">
      <c r="A11" s="47">
        <f>IFERROR(__xludf.DUMMYFUNCTION("""COMPUTED_VALUE"""),45754.6458333333)</f>
        <v>45754.6458333333</v>
      </c>
      <c r="B11" s="48">
        <f>IFERROR(__xludf.DUMMYFUNCTION("""COMPUTED_VALUE"""),1686.65)</f>
        <v>1686.65</v>
      </c>
      <c r="C11" s="47">
        <f>IFERROR(__xludf.DUMMYFUNCTION("""COMPUTED_VALUE"""),45754.6458333333)</f>
        <v>45754.6458333333</v>
      </c>
      <c r="D11" s="48">
        <f>IFERROR(__xludf.DUMMYFUNCTION("""COMPUTED_VALUE"""),1730)</f>
        <v>1730</v>
      </c>
      <c r="E11" s="47">
        <f>IFERROR(__xludf.DUMMYFUNCTION("""COMPUTED_VALUE"""),45754.6458333333)</f>
        <v>45754.6458333333</v>
      </c>
      <c r="F11" s="48">
        <f>IFERROR(__xludf.DUMMYFUNCTION("""COMPUTED_VALUE"""),14870388)</f>
        <v>14870388</v>
      </c>
      <c r="G11" s="47">
        <f>IFERROR(__xludf.DUMMYFUNCTION("""COMPUTED_VALUE"""),45754.6458333333)</f>
        <v>45754.6458333333</v>
      </c>
      <c r="H11" s="48">
        <f>IFERROR(__xludf.DUMMYFUNCTION("""COMPUTED_VALUE"""),1774.75)</f>
        <v>1774.75</v>
      </c>
      <c r="I11" s="47">
        <f>IFERROR(__xludf.DUMMYFUNCTION("""COMPUTED_VALUE"""),45754.6458333333)</f>
        <v>45754.6458333333</v>
      </c>
      <c r="J11" s="48">
        <f>IFERROR(__xludf.DUMMYFUNCTION("""COMPUTED_VALUE"""),1669.4)</f>
        <v>1669.4</v>
      </c>
      <c r="K11" s="3">
        <f t="shared" ref="K11:K125" si="2">IF(B11=MAX(B5:B17),B11,0)</f>
        <v>0</v>
      </c>
      <c r="L11" s="3">
        <f t="shared" ref="L11:L125" si="3">IF(B11=MIN(B5:B17),B11,0)</f>
        <v>1686.65</v>
      </c>
    </row>
    <row r="12" customHeight="1" spans="1:12">
      <c r="A12" s="47">
        <f>IFERROR(__xludf.DUMMYFUNCTION("""COMPUTED_VALUE"""),45755.6458333333)</f>
        <v>45755.6458333333</v>
      </c>
      <c r="B12" s="48">
        <f>IFERROR(__xludf.DUMMYFUNCTION("""COMPUTED_VALUE"""),1720.4)</f>
        <v>1720.4</v>
      </c>
      <c r="C12" s="47">
        <f>IFERROR(__xludf.DUMMYFUNCTION("""COMPUTED_VALUE"""),45755.6458333333)</f>
        <v>45755.6458333333</v>
      </c>
      <c r="D12" s="48">
        <f>IFERROR(__xludf.DUMMYFUNCTION("""COMPUTED_VALUE"""),1720.7)</f>
        <v>1720.7</v>
      </c>
      <c r="E12" s="47">
        <f>IFERROR(__xludf.DUMMYFUNCTION("""COMPUTED_VALUE"""),45755.6458333333)</f>
        <v>45755.6458333333</v>
      </c>
      <c r="F12" s="48">
        <f>IFERROR(__xludf.DUMMYFUNCTION("""COMPUTED_VALUE"""),7206935)</f>
        <v>7206935</v>
      </c>
      <c r="G12" s="47">
        <f>IFERROR(__xludf.DUMMYFUNCTION("""COMPUTED_VALUE"""),45755.6458333333)</f>
        <v>45755.6458333333</v>
      </c>
      <c r="H12" s="48">
        <f>IFERROR(__xludf.DUMMYFUNCTION("""COMPUTED_VALUE"""),1742.3)</f>
        <v>1742.3</v>
      </c>
      <c r="I12" s="47">
        <f>IFERROR(__xludf.DUMMYFUNCTION("""COMPUTED_VALUE"""),45755.6458333333)</f>
        <v>45755.6458333333</v>
      </c>
      <c r="J12" s="48">
        <f>IFERROR(__xludf.DUMMYFUNCTION("""COMPUTED_VALUE"""),1706.8)</f>
        <v>1706.8</v>
      </c>
      <c r="K12" s="3">
        <f t="shared" si="2"/>
        <v>0</v>
      </c>
      <c r="L12" s="3">
        <f t="shared" si="3"/>
        <v>0</v>
      </c>
    </row>
    <row r="13" customHeight="1" spans="1:12">
      <c r="A13" s="47">
        <f>IFERROR(__xludf.DUMMYFUNCTION("""COMPUTED_VALUE"""),45756.6458333333)</f>
        <v>45756.6458333333</v>
      </c>
      <c r="B13" s="48">
        <f>IFERROR(__xludf.DUMMYFUNCTION("""COMPUTED_VALUE"""),1715.55)</f>
        <v>1715.55</v>
      </c>
      <c r="C13" s="47">
        <f>IFERROR(__xludf.DUMMYFUNCTION("""COMPUTED_VALUE"""),45756.6458333333)</f>
        <v>45756.6458333333</v>
      </c>
      <c r="D13" s="48">
        <f>IFERROR(__xludf.DUMMYFUNCTION("""COMPUTED_VALUE"""),1719.65)</f>
        <v>1719.65</v>
      </c>
      <c r="E13" s="47">
        <f>IFERROR(__xludf.DUMMYFUNCTION("""COMPUTED_VALUE"""),45756.6458333333)</f>
        <v>45756.6458333333</v>
      </c>
      <c r="F13" s="48">
        <f>IFERROR(__xludf.DUMMYFUNCTION("""COMPUTED_VALUE"""),5600666)</f>
        <v>5600666</v>
      </c>
      <c r="G13" s="47">
        <f>IFERROR(__xludf.DUMMYFUNCTION("""COMPUTED_VALUE"""),45756.6458333333)</f>
        <v>45756.6458333333</v>
      </c>
      <c r="H13" s="48">
        <f>IFERROR(__xludf.DUMMYFUNCTION("""COMPUTED_VALUE"""),1726.85)</f>
        <v>1726.85</v>
      </c>
      <c r="I13" s="47">
        <f>IFERROR(__xludf.DUMMYFUNCTION("""COMPUTED_VALUE"""),45756.6458333333)</f>
        <v>45756.6458333333</v>
      </c>
      <c r="J13" s="48">
        <f>IFERROR(__xludf.DUMMYFUNCTION("""COMPUTED_VALUE"""),1711.6)</f>
        <v>1711.6</v>
      </c>
      <c r="K13" s="3">
        <f t="shared" si="2"/>
        <v>0</v>
      </c>
      <c r="L13" s="3">
        <f t="shared" si="3"/>
        <v>0</v>
      </c>
    </row>
    <row r="14" customHeight="1" spans="1:12">
      <c r="A14" s="47">
        <f>IFERROR(__xludf.DUMMYFUNCTION("""COMPUTED_VALUE"""),45758.6458333333)</f>
        <v>45758.6458333333</v>
      </c>
      <c r="B14" s="48">
        <f>IFERROR(__xludf.DUMMYFUNCTION("""COMPUTED_VALUE"""),1756.6)</f>
        <v>1756.6</v>
      </c>
      <c r="C14" s="47">
        <f>IFERROR(__xludf.DUMMYFUNCTION("""COMPUTED_VALUE"""),45758.6458333333)</f>
        <v>45758.6458333333</v>
      </c>
      <c r="D14" s="48">
        <f>IFERROR(__xludf.DUMMYFUNCTION("""COMPUTED_VALUE"""),1760)</f>
        <v>1760</v>
      </c>
      <c r="E14" s="47">
        <f>IFERROR(__xludf.DUMMYFUNCTION("""COMPUTED_VALUE"""),45758.6458333333)</f>
        <v>45758.6458333333</v>
      </c>
      <c r="F14" s="48">
        <f>IFERROR(__xludf.DUMMYFUNCTION("""COMPUTED_VALUE"""),8340002)</f>
        <v>8340002</v>
      </c>
      <c r="G14" s="47">
        <f>IFERROR(__xludf.DUMMYFUNCTION("""COMPUTED_VALUE"""),45758.6458333333)</f>
        <v>45758.6458333333</v>
      </c>
      <c r="H14" s="48">
        <f>IFERROR(__xludf.DUMMYFUNCTION("""COMPUTED_VALUE"""),1767)</f>
        <v>1767</v>
      </c>
      <c r="I14" s="47">
        <f>IFERROR(__xludf.DUMMYFUNCTION("""COMPUTED_VALUE"""),45758.6458333333)</f>
        <v>45758.6458333333</v>
      </c>
      <c r="J14" s="48">
        <f>IFERROR(__xludf.DUMMYFUNCTION("""COMPUTED_VALUE"""),1732.35)</f>
        <v>1732.35</v>
      </c>
      <c r="K14" s="3">
        <f t="shared" si="2"/>
        <v>0</v>
      </c>
      <c r="L14" s="3">
        <f t="shared" si="3"/>
        <v>0</v>
      </c>
    </row>
    <row r="15" customHeight="1" spans="1:12">
      <c r="A15" s="47">
        <f>IFERROR(__xludf.DUMMYFUNCTION("""COMPUTED_VALUE"""),45762.6458333333)</f>
        <v>45762.6458333333</v>
      </c>
      <c r="B15" s="48">
        <f>IFERROR(__xludf.DUMMYFUNCTION("""COMPUTED_VALUE"""),1798.8)</f>
        <v>1798.8</v>
      </c>
      <c r="C15" s="47">
        <f>IFERROR(__xludf.DUMMYFUNCTION("""COMPUTED_VALUE"""),45762.6458333333)</f>
        <v>45762.6458333333</v>
      </c>
      <c r="D15" s="48">
        <f>IFERROR(__xludf.DUMMYFUNCTION("""COMPUTED_VALUE"""),1808.2)</f>
        <v>1808.2</v>
      </c>
      <c r="E15" s="47">
        <f>IFERROR(__xludf.DUMMYFUNCTION("""COMPUTED_VALUE"""),45762.6458333333)</f>
        <v>45762.6458333333</v>
      </c>
      <c r="F15" s="48">
        <f>IFERROR(__xludf.DUMMYFUNCTION("""COMPUTED_VALUE"""),10313411)</f>
        <v>10313411</v>
      </c>
      <c r="G15" s="47">
        <f>IFERROR(__xludf.DUMMYFUNCTION("""COMPUTED_VALUE"""),45762.6458333333)</f>
        <v>45762.6458333333</v>
      </c>
      <c r="H15" s="48">
        <f>IFERROR(__xludf.DUMMYFUNCTION("""COMPUTED_VALUE"""),1820)</f>
        <v>1820</v>
      </c>
      <c r="I15" s="47">
        <f>IFERROR(__xludf.DUMMYFUNCTION("""COMPUTED_VALUE"""),45762.6458333333)</f>
        <v>45762.6458333333</v>
      </c>
      <c r="J15" s="48">
        <f>IFERROR(__xludf.DUMMYFUNCTION("""COMPUTED_VALUE"""),1781.1)</f>
        <v>1781.1</v>
      </c>
      <c r="K15" s="3">
        <f t="shared" si="2"/>
        <v>0</v>
      </c>
      <c r="L15" s="3">
        <f t="shared" si="3"/>
        <v>0</v>
      </c>
    </row>
    <row r="16" customHeight="1" spans="1:12">
      <c r="A16" s="47">
        <f>IFERROR(__xludf.DUMMYFUNCTION("""COMPUTED_VALUE"""),45763.6458333333)</f>
        <v>45763.6458333333</v>
      </c>
      <c r="B16" s="48">
        <f>IFERROR(__xludf.DUMMYFUNCTION("""COMPUTED_VALUE"""),1822.6)</f>
        <v>1822.6</v>
      </c>
      <c r="C16" s="47">
        <f>IFERROR(__xludf.DUMMYFUNCTION("""COMPUTED_VALUE"""),45763.6458333333)</f>
        <v>45763.6458333333</v>
      </c>
      <c r="D16" s="48">
        <f>IFERROR(__xludf.DUMMYFUNCTION("""COMPUTED_VALUE"""),1802.4)</f>
        <v>1802.4</v>
      </c>
      <c r="E16" s="47">
        <f>IFERROR(__xludf.DUMMYFUNCTION("""COMPUTED_VALUE"""),45763.6458333333)</f>
        <v>45763.6458333333</v>
      </c>
      <c r="F16" s="48">
        <f>IFERROR(__xludf.DUMMYFUNCTION("""COMPUTED_VALUE"""),6180958)</f>
        <v>6180958</v>
      </c>
      <c r="G16" s="47">
        <f>IFERROR(__xludf.DUMMYFUNCTION("""COMPUTED_VALUE"""),45763.6458333333)</f>
        <v>45763.6458333333</v>
      </c>
      <c r="H16" s="48">
        <f>IFERROR(__xludf.DUMMYFUNCTION("""COMPUTED_VALUE"""),1826.5)</f>
        <v>1826.5</v>
      </c>
      <c r="I16" s="47">
        <f>IFERROR(__xludf.DUMMYFUNCTION("""COMPUTED_VALUE"""),45763.6458333333)</f>
        <v>45763.6458333333</v>
      </c>
      <c r="J16" s="48">
        <f>IFERROR(__xludf.DUMMYFUNCTION("""COMPUTED_VALUE"""),1794.1)</f>
        <v>1794.1</v>
      </c>
      <c r="K16" s="3">
        <f t="shared" si="2"/>
        <v>0</v>
      </c>
      <c r="L16" s="3">
        <f t="shared" si="3"/>
        <v>0</v>
      </c>
    </row>
    <row r="17" customHeight="1" spans="1:12">
      <c r="A17" s="47">
        <f>IFERROR(__xludf.DUMMYFUNCTION("""COMPUTED_VALUE"""),45764.6458333333)</f>
        <v>45764.6458333333</v>
      </c>
      <c r="B17" s="48">
        <f>IFERROR(__xludf.DUMMYFUNCTION("""COMPUTED_VALUE"""),1889.1)</f>
        <v>1889.1</v>
      </c>
      <c r="C17" s="47">
        <f>IFERROR(__xludf.DUMMYFUNCTION("""COMPUTED_VALUE"""),45764.6458333333)</f>
        <v>45764.6458333333</v>
      </c>
      <c r="D17" s="48">
        <f>IFERROR(__xludf.DUMMYFUNCTION("""COMPUTED_VALUE"""),1834)</f>
        <v>1834</v>
      </c>
      <c r="E17" s="47">
        <f>IFERROR(__xludf.DUMMYFUNCTION("""COMPUTED_VALUE"""),45764.6458333333)</f>
        <v>45764.6458333333</v>
      </c>
      <c r="F17" s="48">
        <f>IFERROR(__xludf.DUMMYFUNCTION("""COMPUTED_VALUE"""),10894325)</f>
        <v>10894325</v>
      </c>
      <c r="G17" s="47">
        <f>IFERROR(__xludf.DUMMYFUNCTION("""COMPUTED_VALUE"""),45764.6458333333)</f>
        <v>45764.6458333333</v>
      </c>
      <c r="H17" s="48">
        <f>IFERROR(__xludf.DUMMYFUNCTION("""COMPUTED_VALUE"""),1897.7)</f>
        <v>1897.7</v>
      </c>
      <c r="I17" s="47">
        <f>IFERROR(__xludf.DUMMYFUNCTION("""COMPUTED_VALUE"""),45764.6458333333)</f>
        <v>45764.6458333333</v>
      </c>
      <c r="J17" s="48">
        <f>IFERROR(__xludf.DUMMYFUNCTION("""COMPUTED_VALUE"""),1825.7)</f>
        <v>1825.7</v>
      </c>
      <c r="K17" s="3">
        <f t="shared" si="2"/>
        <v>1889.1</v>
      </c>
      <c r="L17" s="3">
        <f t="shared" si="3"/>
        <v>0</v>
      </c>
    </row>
    <row r="18" customHeight="1" spans="1:12">
      <c r="A18" s="47">
        <f>IFERROR(__xludf.DUMMYFUNCTION("""COMPUTED_VALUE"""),45768.6458333333)</f>
        <v>45768.6458333333</v>
      </c>
      <c r="B18" s="48">
        <f>IFERROR(__xludf.DUMMYFUNCTION("""COMPUTED_VALUE"""),1883.4)</f>
        <v>1883.4</v>
      </c>
      <c r="C18" s="47">
        <f>IFERROR(__xludf.DUMMYFUNCTION("""COMPUTED_VALUE"""),45768.6458333333)</f>
        <v>45768.6458333333</v>
      </c>
      <c r="D18" s="48">
        <f>IFERROR(__xludf.DUMMYFUNCTION("""COMPUTED_VALUE"""),1898.4)</f>
        <v>1898.4</v>
      </c>
      <c r="E18" s="47">
        <f>IFERROR(__xludf.DUMMYFUNCTION("""COMPUTED_VALUE"""),45768.6458333333)</f>
        <v>45768.6458333333</v>
      </c>
      <c r="F18" s="48">
        <f>IFERROR(__xludf.DUMMYFUNCTION("""COMPUTED_VALUE"""),3501123)</f>
        <v>3501123</v>
      </c>
      <c r="G18" s="47">
        <f>IFERROR(__xludf.DUMMYFUNCTION("""COMPUTED_VALUE"""),45768.6458333333)</f>
        <v>45768.6458333333</v>
      </c>
      <c r="H18" s="48">
        <f>IFERROR(__xludf.DUMMYFUNCTION("""COMPUTED_VALUE"""),1904.3)</f>
        <v>1904.3</v>
      </c>
      <c r="I18" s="47">
        <f>IFERROR(__xludf.DUMMYFUNCTION("""COMPUTED_VALUE"""),45768.6458333333)</f>
        <v>45768.6458333333</v>
      </c>
      <c r="J18" s="48">
        <f>IFERROR(__xludf.DUMMYFUNCTION("""COMPUTED_VALUE"""),1868.6)</f>
        <v>1868.6</v>
      </c>
      <c r="K18" s="3">
        <f t="shared" si="2"/>
        <v>0</v>
      </c>
      <c r="L18" s="3">
        <f t="shared" si="3"/>
        <v>0</v>
      </c>
    </row>
    <row r="19" customHeight="1" spans="1:12">
      <c r="A19" s="47">
        <f>IFERROR(__xludf.DUMMYFUNCTION("""COMPUTED_VALUE"""),45769.6458333333)</f>
        <v>45769.6458333333</v>
      </c>
      <c r="B19" s="48">
        <f>IFERROR(__xludf.DUMMYFUNCTION("""COMPUTED_VALUE"""),1852.2)</f>
        <v>1852.2</v>
      </c>
      <c r="C19" s="47">
        <f>IFERROR(__xludf.DUMMYFUNCTION("""COMPUTED_VALUE"""),45769.6458333333)</f>
        <v>45769.6458333333</v>
      </c>
      <c r="D19" s="48">
        <f>IFERROR(__xludf.DUMMYFUNCTION("""COMPUTED_VALUE"""),1888)</f>
        <v>1888</v>
      </c>
      <c r="E19" s="47">
        <f>IFERROR(__xludf.DUMMYFUNCTION("""COMPUTED_VALUE"""),45769.6458333333)</f>
        <v>45769.6458333333</v>
      </c>
      <c r="F19" s="48">
        <f>IFERROR(__xludf.DUMMYFUNCTION("""COMPUTED_VALUE"""),6155127)</f>
        <v>6155127</v>
      </c>
      <c r="G19" s="47">
        <f>IFERROR(__xludf.DUMMYFUNCTION("""COMPUTED_VALUE"""),45769.6458333333)</f>
        <v>45769.6458333333</v>
      </c>
      <c r="H19" s="48">
        <f>IFERROR(__xludf.DUMMYFUNCTION("""COMPUTED_VALUE"""),1888)</f>
        <v>1888</v>
      </c>
      <c r="I19" s="47">
        <f>IFERROR(__xludf.DUMMYFUNCTION("""COMPUTED_VALUE"""),45769.6458333333)</f>
        <v>45769.6458333333</v>
      </c>
      <c r="J19" s="48">
        <f>IFERROR(__xludf.DUMMYFUNCTION("""COMPUTED_VALUE"""),1836.8)</f>
        <v>1836.8</v>
      </c>
      <c r="K19" s="3">
        <f t="shared" si="2"/>
        <v>0</v>
      </c>
      <c r="L19" s="3">
        <f t="shared" si="3"/>
        <v>0</v>
      </c>
    </row>
    <row r="20" customHeight="1" spans="1:12">
      <c r="A20" s="47">
        <f>IFERROR(__xludf.DUMMYFUNCTION("""COMPUTED_VALUE"""),45770.6458333333)</f>
        <v>45770.6458333333</v>
      </c>
      <c r="B20" s="48">
        <f>IFERROR(__xludf.DUMMYFUNCTION("""COMPUTED_VALUE"""),1881.6)</f>
        <v>1881.6</v>
      </c>
      <c r="C20" s="47">
        <f>IFERROR(__xludf.DUMMYFUNCTION("""COMPUTED_VALUE"""),45770.6458333333)</f>
        <v>45770.6458333333</v>
      </c>
      <c r="D20" s="48">
        <f>IFERROR(__xludf.DUMMYFUNCTION("""COMPUTED_VALUE"""),1867)</f>
        <v>1867</v>
      </c>
      <c r="E20" s="47">
        <f>IFERROR(__xludf.DUMMYFUNCTION("""COMPUTED_VALUE"""),45770.6458333333)</f>
        <v>45770.6458333333</v>
      </c>
      <c r="F20" s="48">
        <f>IFERROR(__xludf.DUMMYFUNCTION("""COMPUTED_VALUE"""),6855027)</f>
        <v>6855027</v>
      </c>
      <c r="G20" s="47">
        <f>IFERROR(__xludf.DUMMYFUNCTION("""COMPUTED_VALUE"""),45770.6458333333)</f>
        <v>45770.6458333333</v>
      </c>
      <c r="H20" s="48">
        <f>IFERROR(__xludf.DUMMYFUNCTION("""COMPUTED_VALUE"""),1885.9)</f>
        <v>1885.9</v>
      </c>
      <c r="I20" s="47">
        <f>IFERROR(__xludf.DUMMYFUNCTION("""COMPUTED_VALUE"""),45770.6458333333)</f>
        <v>45770.6458333333</v>
      </c>
      <c r="J20" s="48">
        <f>IFERROR(__xludf.DUMMYFUNCTION("""COMPUTED_VALUE"""),1836.1)</f>
        <v>1836.1</v>
      </c>
      <c r="K20" s="3">
        <f t="shared" si="2"/>
        <v>0</v>
      </c>
      <c r="L20" s="3">
        <f t="shared" si="3"/>
        <v>0</v>
      </c>
    </row>
    <row r="21" customHeight="1" spans="1:12">
      <c r="A21" s="47">
        <f>IFERROR(__xludf.DUMMYFUNCTION("""COMPUTED_VALUE"""),45771.6458333333)</f>
        <v>45771.6458333333</v>
      </c>
      <c r="B21" s="48">
        <f>IFERROR(__xludf.DUMMYFUNCTION("""COMPUTED_VALUE"""),1845.6)</f>
        <v>1845.6</v>
      </c>
      <c r="C21" s="47">
        <f>IFERROR(__xludf.DUMMYFUNCTION("""COMPUTED_VALUE"""),45771.6458333333)</f>
        <v>45771.6458333333</v>
      </c>
      <c r="D21" s="48">
        <f>IFERROR(__xludf.DUMMYFUNCTION("""COMPUTED_VALUE"""),1874.5)</f>
        <v>1874.5</v>
      </c>
      <c r="E21" s="47">
        <f>IFERROR(__xludf.DUMMYFUNCTION("""COMPUTED_VALUE"""),45771.6458333333)</f>
        <v>45771.6458333333</v>
      </c>
      <c r="F21" s="48">
        <f>IFERROR(__xludf.DUMMYFUNCTION("""COMPUTED_VALUE"""),5180688)</f>
        <v>5180688</v>
      </c>
      <c r="G21" s="47">
        <f>IFERROR(__xludf.DUMMYFUNCTION("""COMPUTED_VALUE"""),45771.6458333333)</f>
        <v>45771.6458333333</v>
      </c>
      <c r="H21" s="48">
        <f>IFERROR(__xludf.DUMMYFUNCTION("""COMPUTED_VALUE"""),1877.8)</f>
        <v>1877.8</v>
      </c>
      <c r="I21" s="47">
        <f>IFERROR(__xludf.DUMMYFUNCTION("""COMPUTED_VALUE"""),45771.6458333333)</f>
        <v>45771.6458333333</v>
      </c>
      <c r="J21" s="48">
        <f>IFERROR(__xludf.DUMMYFUNCTION("""COMPUTED_VALUE"""),1839.5)</f>
        <v>1839.5</v>
      </c>
      <c r="K21" s="3">
        <f t="shared" si="2"/>
        <v>0</v>
      </c>
      <c r="L21" s="3">
        <f t="shared" si="3"/>
        <v>0</v>
      </c>
    </row>
    <row r="22" customHeight="1" spans="1:12">
      <c r="A22" s="47">
        <f>IFERROR(__xludf.DUMMYFUNCTION("""COMPUTED_VALUE"""),45772.6458333333)</f>
        <v>45772.6458333333</v>
      </c>
      <c r="B22" s="48">
        <f>IFERROR(__xludf.DUMMYFUNCTION("""COMPUTED_VALUE"""),1817.2)</f>
        <v>1817.2</v>
      </c>
      <c r="C22" s="47">
        <f>IFERROR(__xludf.DUMMYFUNCTION("""COMPUTED_VALUE"""),45772.6458333333)</f>
        <v>45772.6458333333</v>
      </c>
      <c r="D22" s="48">
        <f>IFERROR(__xludf.DUMMYFUNCTION("""COMPUTED_VALUE"""),1846.7)</f>
        <v>1846.7</v>
      </c>
      <c r="E22" s="47">
        <f>IFERROR(__xludf.DUMMYFUNCTION("""COMPUTED_VALUE"""),45772.6458333333)</f>
        <v>45772.6458333333</v>
      </c>
      <c r="F22" s="48">
        <f>IFERROR(__xludf.DUMMYFUNCTION("""COMPUTED_VALUE"""),4570083)</f>
        <v>4570083</v>
      </c>
      <c r="G22" s="47">
        <f>IFERROR(__xludf.DUMMYFUNCTION("""COMPUTED_VALUE"""),45772.6458333333)</f>
        <v>45772.6458333333</v>
      </c>
      <c r="H22" s="48">
        <f>IFERROR(__xludf.DUMMYFUNCTION("""COMPUTED_VALUE"""),1861.7)</f>
        <v>1861.7</v>
      </c>
      <c r="I22" s="47">
        <f>IFERROR(__xludf.DUMMYFUNCTION("""COMPUTED_VALUE"""),45772.6458333333)</f>
        <v>45772.6458333333</v>
      </c>
      <c r="J22" s="48">
        <f>IFERROR(__xludf.DUMMYFUNCTION("""COMPUTED_VALUE"""),1806)</f>
        <v>1806</v>
      </c>
      <c r="K22" s="3">
        <f t="shared" si="2"/>
        <v>0</v>
      </c>
      <c r="L22" s="3">
        <f t="shared" si="3"/>
        <v>1817.2</v>
      </c>
    </row>
    <row r="23" customHeight="1" spans="1:12">
      <c r="A23" s="47">
        <f>IFERROR(__xludf.DUMMYFUNCTION("""COMPUTED_VALUE"""),45775.6458333333)</f>
        <v>45775.6458333333</v>
      </c>
      <c r="B23" s="48">
        <f>IFERROR(__xludf.DUMMYFUNCTION("""COMPUTED_VALUE"""),1821.8)</f>
        <v>1821.8</v>
      </c>
      <c r="C23" s="47">
        <f>IFERROR(__xludf.DUMMYFUNCTION("""COMPUTED_VALUE"""),45775.6458333333)</f>
        <v>45775.6458333333</v>
      </c>
      <c r="D23" s="48">
        <f>IFERROR(__xludf.DUMMYFUNCTION("""COMPUTED_VALUE"""),1836)</f>
        <v>1836</v>
      </c>
      <c r="E23" s="47">
        <f>IFERROR(__xludf.DUMMYFUNCTION("""COMPUTED_VALUE"""),45775.6458333333)</f>
        <v>45775.6458333333</v>
      </c>
      <c r="F23" s="48">
        <f>IFERROR(__xludf.DUMMYFUNCTION("""COMPUTED_VALUE"""),3301891)</f>
        <v>3301891</v>
      </c>
      <c r="G23" s="47">
        <f>IFERROR(__xludf.DUMMYFUNCTION("""COMPUTED_VALUE"""),45775.6458333333)</f>
        <v>45775.6458333333</v>
      </c>
      <c r="H23" s="48">
        <f>IFERROR(__xludf.DUMMYFUNCTION("""COMPUTED_VALUE"""),1838.9)</f>
        <v>1838.9</v>
      </c>
      <c r="I23" s="47">
        <f>IFERROR(__xludf.DUMMYFUNCTION("""COMPUTED_VALUE"""),45775.6458333333)</f>
        <v>45775.6458333333</v>
      </c>
      <c r="J23" s="48">
        <f>IFERROR(__xludf.DUMMYFUNCTION("""COMPUTED_VALUE"""),1813.4)</f>
        <v>1813.4</v>
      </c>
      <c r="K23" s="3">
        <f t="shared" si="2"/>
        <v>0</v>
      </c>
      <c r="L23" s="3">
        <f t="shared" si="3"/>
        <v>0</v>
      </c>
    </row>
    <row r="24" customHeight="1" spans="1:12">
      <c r="A24" s="47">
        <f>IFERROR(__xludf.DUMMYFUNCTION("""COMPUTED_VALUE"""),45776.6458333333)</f>
        <v>45776.6458333333</v>
      </c>
      <c r="B24" s="48">
        <f>IFERROR(__xludf.DUMMYFUNCTION("""COMPUTED_VALUE"""),1823.8)</f>
        <v>1823.8</v>
      </c>
      <c r="C24" s="47">
        <f>IFERROR(__xludf.DUMMYFUNCTION("""COMPUTED_VALUE"""),45776.6458333333)</f>
        <v>45776.6458333333</v>
      </c>
      <c r="D24" s="48">
        <f>IFERROR(__xludf.DUMMYFUNCTION("""COMPUTED_VALUE"""),1823.7)</f>
        <v>1823.7</v>
      </c>
      <c r="E24" s="47">
        <f>IFERROR(__xludf.DUMMYFUNCTION("""COMPUTED_VALUE"""),45776.6458333333)</f>
        <v>45776.6458333333</v>
      </c>
      <c r="F24" s="48">
        <f>IFERROR(__xludf.DUMMYFUNCTION("""COMPUTED_VALUE"""),4684155)</f>
        <v>4684155</v>
      </c>
      <c r="G24" s="47">
        <f>IFERROR(__xludf.DUMMYFUNCTION("""COMPUTED_VALUE"""),45776.6458333333)</f>
        <v>45776.6458333333</v>
      </c>
      <c r="H24" s="48">
        <f>IFERROR(__xludf.DUMMYFUNCTION("""COMPUTED_VALUE"""),1847.8)</f>
        <v>1847.8</v>
      </c>
      <c r="I24" s="47">
        <f>IFERROR(__xludf.DUMMYFUNCTION("""COMPUTED_VALUE"""),45776.6458333333)</f>
        <v>45776.6458333333</v>
      </c>
      <c r="J24" s="48">
        <f>IFERROR(__xludf.DUMMYFUNCTION("""COMPUTED_VALUE"""),1817.6)</f>
        <v>1817.6</v>
      </c>
      <c r="K24" s="3">
        <f t="shared" si="2"/>
        <v>0</v>
      </c>
      <c r="L24" s="3">
        <f t="shared" si="3"/>
        <v>0</v>
      </c>
    </row>
    <row r="25" customHeight="1" spans="1:12">
      <c r="A25" s="47">
        <f>IFERROR(__xludf.DUMMYFUNCTION("""COMPUTED_VALUE"""),45777.6458333333)</f>
        <v>45777.6458333333</v>
      </c>
      <c r="B25" s="48">
        <f>IFERROR(__xludf.DUMMYFUNCTION("""COMPUTED_VALUE"""),1864.5)</f>
        <v>1864.5</v>
      </c>
      <c r="C25" s="47">
        <f>IFERROR(__xludf.DUMMYFUNCTION("""COMPUTED_VALUE"""),45777.6458333333)</f>
        <v>45777.6458333333</v>
      </c>
      <c r="D25" s="48">
        <f>IFERROR(__xludf.DUMMYFUNCTION("""COMPUTED_VALUE"""),1837)</f>
        <v>1837</v>
      </c>
      <c r="E25" s="47">
        <f>IFERROR(__xludf.DUMMYFUNCTION("""COMPUTED_VALUE"""),45777.6458333333)</f>
        <v>45777.6458333333</v>
      </c>
      <c r="F25" s="48">
        <f>IFERROR(__xludf.DUMMYFUNCTION("""COMPUTED_VALUE"""),9139821)</f>
        <v>9139821</v>
      </c>
      <c r="G25" s="47">
        <f>IFERROR(__xludf.DUMMYFUNCTION("""COMPUTED_VALUE"""),45777.6458333333)</f>
        <v>45777.6458333333</v>
      </c>
      <c r="H25" s="48">
        <f>IFERROR(__xludf.DUMMYFUNCTION("""COMPUTED_VALUE"""),1876.9)</f>
        <v>1876.9</v>
      </c>
      <c r="I25" s="47">
        <f>IFERROR(__xludf.DUMMYFUNCTION("""COMPUTED_VALUE"""),45777.6458333333)</f>
        <v>45777.6458333333</v>
      </c>
      <c r="J25" s="48">
        <f>IFERROR(__xludf.DUMMYFUNCTION("""COMPUTED_VALUE"""),1827)</f>
        <v>1827</v>
      </c>
      <c r="K25" s="3">
        <f t="shared" si="2"/>
        <v>0</v>
      </c>
      <c r="L25" s="3">
        <f t="shared" si="3"/>
        <v>0</v>
      </c>
    </row>
    <row r="26" customHeight="1" spans="1:12">
      <c r="A26" s="47">
        <f>IFERROR(__xludf.DUMMYFUNCTION("""COMPUTED_VALUE"""),45779.6458333333)</f>
        <v>45779.6458333333</v>
      </c>
      <c r="B26" s="48">
        <f>IFERROR(__xludf.DUMMYFUNCTION("""COMPUTED_VALUE"""),1851.9)</f>
        <v>1851.9</v>
      </c>
      <c r="C26" s="47">
        <f>IFERROR(__xludf.DUMMYFUNCTION("""COMPUTED_VALUE"""),45779.6458333333)</f>
        <v>45779.6458333333</v>
      </c>
      <c r="D26" s="48">
        <f>IFERROR(__xludf.DUMMYFUNCTION("""COMPUTED_VALUE"""),1852)</f>
        <v>1852</v>
      </c>
      <c r="E26" s="47">
        <f>IFERROR(__xludf.DUMMYFUNCTION("""COMPUTED_VALUE"""),45779.6458333333)</f>
        <v>45779.6458333333</v>
      </c>
      <c r="F26" s="48">
        <f>IFERROR(__xludf.DUMMYFUNCTION("""COMPUTED_VALUE"""),3866806)</f>
        <v>3866806</v>
      </c>
      <c r="G26" s="47">
        <f>IFERROR(__xludf.DUMMYFUNCTION("""COMPUTED_VALUE"""),45779.6458333333)</f>
        <v>45779.6458333333</v>
      </c>
      <c r="H26" s="48">
        <f>IFERROR(__xludf.DUMMYFUNCTION("""COMPUTED_VALUE"""),1883.6)</f>
        <v>1883.6</v>
      </c>
      <c r="I26" s="47">
        <f>IFERROR(__xludf.DUMMYFUNCTION("""COMPUTED_VALUE"""),45779.6458333333)</f>
        <v>45779.6458333333</v>
      </c>
      <c r="J26" s="48">
        <f>IFERROR(__xludf.DUMMYFUNCTION("""COMPUTED_VALUE"""),1832.1)</f>
        <v>1832.1</v>
      </c>
      <c r="K26" s="3">
        <f t="shared" si="2"/>
        <v>0</v>
      </c>
      <c r="L26" s="3">
        <f t="shared" si="3"/>
        <v>0</v>
      </c>
    </row>
    <row r="27" customHeight="1" spans="1:12">
      <c r="A27" s="47">
        <f>IFERROR(__xludf.DUMMYFUNCTION("""COMPUTED_VALUE"""),45782.6458333333)</f>
        <v>45782.6458333333</v>
      </c>
      <c r="B27" s="48">
        <f>IFERROR(__xludf.DUMMYFUNCTION("""COMPUTED_VALUE"""),1866)</f>
        <v>1866</v>
      </c>
      <c r="C27" s="47">
        <f>IFERROR(__xludf.DUMMYFUNCTION("""COMPUTED_VALUE"""),45782.6458333333)</f>
        <v>45782.6458333333</v>
      </c>
      <c r="D27" s="48">
        <f>IFERROR(__xludf.DUMMYFUNCTION("""COMPUTED_VALUE"""),1868)</f>
        <v>1868</v>
      </c>
      <c r="E27" s="47">
        <f>IFERROR(__xludf.DUMMYFUNCTION("""COMPUTED_VALUE"""),45782.6458333333)</f>
        <v>45782.6458333333</v>
      </c>
      <c r="F27" s="48">
        <f>IFERROR(__xludf.DUMMYFUNCTION("""COMPUTED_VALUE"""),3548839)</f>
        <v>3548839</v>
      </c>
      <c r="G27" s="47">
        <f>IFERROR(__xludf.DUMMYFUNCTION("""COMPUTED_VALUE"""),45782.6458333333)</f>
        <v>45782.6458333333</v>
      </c>
      <c r="H27" s="48">
        <f>IFERROR(__xludf.DUMMYFUNCTION("""COMPUTED_VALUE"""),1873.5)</f>
        <v>1873.5</v>
      </c>
      <c r="I27" s="47">
        <f>IFERROR(__xludf.DUMMYFUNCTION("""COMPUTED_VALUE"""),45782.6458333333)</f>
        <v>45782.6458333333</v>
      </c>
      <c r="J27" s="48">
        <f>IFERROR(__xludf.DUMMYFUNCTION("""COMPUTED_VALUE"""),1849.2)</f>
        <v>1849.2</v>
      </c>
      <c r="K27" s="3">
        <f t="shared" si="2"/>
        <v>0</v>
      </c>
      <c r="L27" s="3">
        <f t="shared" si="3"/>
        <v>0</v>
      </c>
    </row>
    <row r="28" customHeight="1" spans="1:12">
      <c r="A28" s="47">
        <f>IFERROR(__xludf.DUMMYFUNCTION("""COMPUTED_VALUE"""),45783.6458333333)</f>
        <v>45783.6458333333</v>
      </c>
      <c r="B28" s="48">
        <f>IFERROR(__xludf.DUMMYFUNCTION("""COMPUTED_VALUE"""),1901)</f>
        <v>1901</v>
      </c>
      <c r="C28" s="47">
        <f>IFERROR(__xludf.DUMMYFUNCTION("""COMPUTED_VALUE"""),45783.6458333333)</f>
        <v>45783.6458333333</v>
      </c>
      <c r="D28" s="48">
        <f>IFERROR(__xludf.DUMMYFUNCTION("""COMPUTED_VALUE"""),1888.3)</f>
        <v>1888.3</v>
      </c>
      <c r="E28" s="47">
        <f>IFERROR(__xludf.DUMMYFUNCTION("""COMPUTED_VALUE"""),45783.6458333333)</f>
        <v>45783.6458333333</v>
      </c>
      <c r="F28" s="48">
        <f>IFERROR(__xludf.DUMMYFUNCTION("""COMPUTED_VALUE"""),8597920)</f>
        <v>8597920</v>
      </c>
      <c r="G28" s="47">
        <f>IFERROR(__xludf.DUMMYFUNCTION("""COMPUTED_VALUE"""),45783.6458333333)</f>
        <v>45783.6458333333</v>
      </c>
      <c r="H28" s="48">
        <f>IFERROR(__xludf.DUMMYFUNCTION("""COMPUTED_VALUE"""),1912)</f>
        <v>1912</v>
      </c>
      <c r="I28" s="47">
        <f>IFERROR(__xludf.DUMMYFUNCTION("""COMPUTED_VALUE"""),45783.6458333333)</f>
        <v>45783.6458333333</v>
      </c>
      <c r="J28" s="48">
        <f>IFERROR(__xludf.DUMMYFUNCTION("""COMPUTED_VALUE"""),1882.6)</f>
        <v>1882.6</v>
      </c>
      <c r="K28" s="3">
        <f t="shared" si="2"/>
        <v>1901</v>
      </c>
      <c r="L28" s="3">
        <f t="shared" si="3"/>
        <v>0</v>
      </c>
    </row>
    <row r="29" customHeight="1" spans="1:12">
      <c r="A29" s="47">
        <f>IFERROR(__xludf.DUMMYFUNCTION("""COMPUTED_VALUE"""),45784.6458333333)</f>
        <v>45784.6458333333</v>
      </c>
      <c r="B29" s="48">
        <f>IFERROR(__xludf.DUMMYFUNCTION("""COMPUTED_VALUE"""),1896.8)</f>
        <v>1896.8</v>
      </c>
      <c r="C29" s="47">
        <f>IFERROR(__xludf.DUMMYFUNCTION("""COMPUTED_VALUE"""),45784.6458333333)</f>
        <v>45784.6458333333</v>
      </c>
      <c r="D29" s="48">
        <f>IFERROR(__xludf.DUMMYFUNCTION("""COMPUTED_VALUE"""),1901)</f>
        <v>1901</v>
      </c>
      <c r="E29" s="47">
        <f>IFERROR(__xludf.DUMMYFUNCTION("""COMPUTED_VALUE"""),45784.6458333333)</f>
        <v>45784.6458333333</v>
      </c>
      <c r="F29" s="48">
        <f>IFERROR(__xludf.DUMMYFUNCTION("""COMPUTED_VALUE"""),5554616)</f>
        <v>5554616</v>
      </c>
      <c r="G29" s="47">
        <f>IFERROR(__xludf.DUMMYFUNCTION("""COMPUTED_VALUE"""),45784.6458333333)</f>
        <v>45784.6458333333</v>
      </c>
      <c r="H29" s="48">
        <f>IFERROR(__xludf.DUMMYFUNCTION("""COMPUTED_VALUE"""),1917)</f>
        <v>1917</v>
      </c>
      <c r="I29" s="47">
        <f>IFERROR(__xludf.DUMMYFUNCTION("""COMPUTED_VALUE"""),45784.6458333333)</f>
        <v>45784.6458333333</v>
      </c>
      <c r="J29" s="48">
        <f>IFERROR(__xludf.DUMMYFUNCTION("""COMPUTED_VALUE"""),1885.5)</f>
        <v>1885.5</v>
      </c>
      <c r="K29" s="3">
        <f t="shared" si="2"/>
        <v>0</v>
      </c>
      <c r="L29" s="3">
        <f t="shared" si="3"/>
        <v>0</v>
      </c>
    </row>
    <row r="30" customHeight="1" spans="1:12">
      <c r="A30" s="47">
        <f>IFERROR(__xludf.DUMMYFUNCTION("""COMPUTED_VALUE"""),45785.6458333333)</f>
        <v>45785.6458333333</v>
      </c>
      <c r="B30" s="48">
        <f>IFERROR(__xludf.DUMMYFUNCTION("""COMPUTED_VALUE"""),1874.9)</f>
        <v>1874.9</v>
      </c>
      <c r="C30" s="47">
        <f>IFERROR(__xludf.DUMMYFUNCTION("""COMPUTED_VALUE"""),45785.6458333333)</f>
        <v>45785.6458333333</v>
      </c>
      <c r="D30" s="48">
        <f>IFERROR(__xludf.DUMMYFUNCTION("""COMPUTED_VALUE"""),1897)</f>
        <v>1897</v>
      </c>
      <c r="E30" s="47">
        <f>IFERROR(__xludf.DUMMYFUNCTION("""COMPUTED_VALUE"""),45785.6458333333)</f>
        <v>45785.6458333333</v>
      </c>
      <c r="F30" s="48">
        <f>IFERROR(__xludf.DUMMYFUNCTION("""COMPUTED_VALUE"""),5500724)</f>
        <v>5500724</v>
      </c>
      <c r="G30" s="47">
        <f>IFERROR(__xludf.DUMMYFUNCTION("""COMPUTED_VALUE"""),45785.6458333333)</f>
        <v>45785.6458333333</v>
      </c>
      <c r="H30" s="48">
        <f>IFERROR(__xludf.DUMMYFUNCTION("""COMPUTED_VALUE"""),1905.8)</f>
        <v>1905.8</v>
      </c>
      <c r="I30" s="47">
        <f>IFERROR(__xludf.DUMMYFUNCTION("""COMPUTED_VALUE"""),45785.6458333333)</f>
        <v>45785.6458333333</v>
      </c>
      <c r="J30" s="48">
        <f>IFERROR(__xludf.DUMMYFUNCTION("""COMPUTED_VALUE"""),1862.4)</f>
        <v>1862.4</v>
      </c>
      <c r="K30" s="3">
        <f t="shared" si="2"/>
        <v>0</v>
      </c>
      <c r="L30" s="3">
        <f t="shared" si="3"/>
        <v>0</v>
      </c>
    </row>
    <row r="31" customHeight="1" spans="1:12">
      <c r="A31" s="47">
        <f>IFERROR(__xludf.DUMMYFUNCTION("""COMPUTED_VALUE"""),45786.6458333333)</f>
        <v>45786.6458333333</v>
      </c>
      <c r="B31" s="48">
        <f>IFERROR(__xludf.DUMMYFUNCTION("""COMPUTED_VALUE"""),1848.4)</f>
        <v>1848.4</v>
      </c>
      <c r="C31" s="47">
        <f>IFERROR(__xludf.DUMMYFUNCTION("""COMPUTED_VALUE"""),45786.6458333333)</f>
        <v>45786.6458333333</v>
      </c>
      <c r="D31" s="48">
        <f>IFERROR(__xludf.DUMMYFUNCTION("""COMPUTED_VALUE"""),1855)</f>
        <v>1855</v>
      </c>
      <c r="E31" s="47">
        <f>IFERROR(__xludf.DUMMYFUNCTION("""COMPUTED_VALUE"""),45786.6458333333)</f>
        <v>45786.6458333333</v>
      </c>
      <c r="F31" s="48">
        <f>IFERROR(__xludf.DUMMYFUNCTION("""COMPUTED_VALUE"""),3686209)</f>
        <v>3686209</v>
      </c>
      <c r="G31" s="47">
        <f>IFERROR(__xludf.DUMMYFUNCTION("""COMPUTED_VALUE"""),45786.6458333333)</f>
        <v>45786.6458333333</v>
      </c>
      <c r="H31" s="48">
        <f>IFERROR(__xludf.DUMMYFUNCTION("""COMPUTED_VALUE"""),1871.1)</f>
        <v>1871.1</v>
      </c>
      <c r="I31" s="47">
        <f>IFERROR(__xludf.DUMMYFUNCTION("""COMPUTED_VALUE"""),45786.6458333333)</f>
        <v>45786.6458333333</v>
      </c>
      <c r="J31" s="48">
        <f>IFERROR(__xludf.DUMMYFUNCTION("""COMPUTED_VALUE"""),1836.5)</f>
        <v>1836.5</v>
      </c>
      <c r="K31" s="3">
        <f t="shared" si="2"/>
        <v>0</v>
      </c>
      <c r="L31" s="3">
        <f t="shared" si="3"/>
        <v>0</v>
      </c>
    </row>
    <row r="32" customHeight="1" spans="1:12">
      <c r="A32" s="47">
        <f>IFERROR(__xludf.DUMMYFUNCTION("""COMPUTED_VALUE"""),45789.6458333333)</f>
        <v>45789.6458333333</v>
      </c>
      <c r="B32" s="48">
        <f>IFERROR(__xludf.DUMMYFUNCTION("""COMPUTED_VALUE"""),1870.8)</f>
        <v>1870.8</v>
      </c>
      <c r="C32" s="47">
        <f>IFERROR(__xludf.DUMMYFUNCTION("""COMPUTED_VALUE"""),45789.6458333333)</f>
        <v>45789.6458333333</v>
      </c>
      <c r="D32" s="48">
        <f>IFERROR(__xludf.DUMMYFUNCTION("""COMPUTED_VALUE"""),1868.9)</f>
        <v>1868.9</v>
      </c>
      <c r="E32" s="47">
        <f>IFERROR(__xludf.DUMMYFUNCTION("""COMPUTED_VALUE"""),45789.6458333333)</f>
        <v>45789.6458333333</v>
      </c>
      <c r="F32" s="48">
        <f>IFERROR(__xludf.DUMMYFUNCTION("""COMPUTED_VALUE"""),3936019)</f>
        <v>3936019</v>
      </c>
      <c r="G32" s="47">
        <f>IFERROR(__xludf.DUMMYFUNCTION("""COMPUTED_VALUE"""),45789.6458333333)</f>
        <v>45789.6458333333</v>
      </c>
      <c r="H32" s="48">
        <f>IFERROR(__xludf.DUMMYFUNCTION("""COMPUTED_VALUE"""),1883.4)</f>
        <v>1883.4</v>
      </c>
      <c r="I32" s="47">
        <f>IFERROR(__xludf.DUMMYFUNCTION("""COMPUTED_VALUE"""),45789.6458333333)</f>
        <v>45789.6458333333</v>
      </c>
      <c r="J32" s="48">
        <f>IFERROR(__xludf.DUMMYFUNCTION("""COMPUTED_VALUE"""),1854)</f>
        <v>1854</v>
      </c>
      <c r="K32" s="3">
        <f t="shared" si="2"/>
        <v>0</v>
      </c>
      <c r="L32" s="3">
        <f t="shared" si="3"/>
        <v>0</v>
      </c>
    </row>
    <row r="33" customHeight="1" spans="1:12">
      <c r="A33" s="47">
        <f>IFERROR(__xludf.DUMMYFUNCTION("""COMPUTED_VALUE"""),45790.6458333333)</f>
        <v>45790.6458333333</v>
      </c>
      <c r="B33" s="48">
        <f>IFERROR(__xludf.DUMMYFUNCTION("""COMPUTED_VALUE"""),1820.6)</f>
        <v>1820.6</v>
      </c>
      <c r="C33" s="47">
        <f>IFERROR(__xludf.DUMMYFUNCTION("""COMPUTED_VALUE"""),45790.6458333333)</f>
        <v>45790.6458333333</v>
      </c>
      <c r="D33" s="48">
        <f>IFERROR(__xludf.DUMMYFUNCTION("""COMPUTED_VALUE"""),1870)</f>
        <v>1870</v>
      </c>
      <c r="E33" s="47">
        <f>IFERROR(__xludf.DUMMYFUNCTION("""COMPUTED_VALUE"""),45790.6458333333)</f>
        <v>45790.6458333333</v>
      </c>
      <c r="F33" s="48">
        <f>IFERROR(__xludf.DUMMYFUNCTION("""COMPUTED_VALUE"""),8817763)</f>
        <v>8817763</v>
      </c>
      <c r="G33" s="47">
        <f>IFERROR(__xludf.DUMMYFUNCTION("""COMPUTED_VALUE"""),45790.6458333333)</f>
        <v>45790.6458333333</v>
      </c>
      <c r="H33" s="48">
        <f>IFERROR(__xludf.DUMMYFUNCTION("""COMPUTED_VALUE"""),1883.7)</f>
        <v>1883.7</v>
      </c>
      <c r="I33" s="47">
        <f>IFERROR(__xludf.DUMMYFUNCTION("""COMPUTED_VALUE"""),45790.6458333333)</f>
        <v>45790.6458333333</v>
      </c>
      <c r="J33" s="48">
        <f>IFERROR(__xludf.DUMMYFUNCTION("""COMPUTED_VALUE"""),1816.6)</f>
        <v>1816.6</v>
      </c>
      <c r="K33" s="3">
        <f t="shared" si="2"/>
        <v>0</v>
      </c>
      <c r="L33" s="3">
        <f t="shared" si="3"/>
        <v>0</v>
      </c>
    </row>
    <row r="34" customHeight="1" spans="1:12">
      <c r="A34" s="47">
        <f>IFERROR(__xludf.DUMMYFUNCTION("""COMPUTED_VALUE"""),45791.6458333333)</f>
        <v>45791.6458333333</v>
      </c>
      <c r="B34" s="48">
        <f>IFERROR(__xludf.DUMMYFUNCTION("""COMPUTED_VALUE"""),1834.2)</f>
        <v>1834.2</v>
      </c>
      <c r="C34" s="47">
        <f>IFERROR(__xludf.DUMMYFUNCTION("""COMPUTED_VALUE"""),45791.6458333333)</f>
        <v>45791.6458333333</v>
      </c>
      <c r="D34" s="48">
        <f>IFERROR(__xludf.DUMMYFUNCTION("""COMPUTED_VALUE"""),1830)</f>
        <v>1830</v>
      </c>
      <c r="E34" s="47">
        <f>IFERROR(__xludf.DUMMYFUNCTION("""COMPUTED_VALUE"""),45791.6458333333)</f>
        <v>45791.6458333333</v>
      </c>
      <c r="F34" s="48">
        <f>IFERROR(__xludf.DUMMYFUNCTION("""COMPUTED_VALUE"""),7401614)</f>
        <v>7401614</v>
      </c>
      <c r="G34" s="47">
        <f>IFERROR(__xludf.DUMMYFUNCTION("""COMPUTED_VALUE"""),45791.6458333333)</f>
        <v>45791.6458333333</v>
      </c>
      <c r="H34" s="48">
        <f>IFERROR(__xludf.DUMMYFUNCTION("""COMPUTED_VALUE"""),1870.7)</f>
        <v>1870.7</v>
      </c>
      <c r="I34" s="47">
        <f>IFERROR(__xludf.DUMMYFUNCTION("""COMPUTED_VALUE"""),45791.6458333333)</f>
        <v>45791.6458333333</v>
      </c>
      <c r="J34" s="48">
        <f>IFERROR(__xludf.DUMMYFUNCTION("""COMPUTED_VALUE"""),1820.2)</f>
        <v>1820.2</v>
      </c>
      <c r="K34" s="3">
        <f t="shared" si="2"/>
        <v>0</v>
      </c>
      <c r="L34" s="3">
        <f t="shared" si="3"/>
        <v>0</v>
      </c>
    </row>
    <row r="35" customHeight="1" spans="1:12">
      <c r="A35" s="47">
        <f>IFERROR(__xludf.DUMMYFUNCTION("""COMPUTED_VALUE"""),45792.6458333333)</f>
        <v>45792.6458333333</v>
      </c>
      <c r="B35" s="48">
        <f>IFERROR(__xludf.DUMMYFUNCTION("""COMPUTED_VALUE"""),1867.2)</f>
        <v>1867.2</v>
      </c>
      <c r="C35" s="47">
        <f>IFERROR(__xludf.DUMMYFUNCTION("""COMPUTED_VALUE"""),45792.6458333333)</f>
        <v>45792.6458333333</v>
      </c>
      <c r="D35" s="48">
        <f>IFERROR(__xludf.DUMMYFUNCTION("""COMPUTED_VALUE"""),1849.9)</f>
        <v>1849.9</v>
      </c>
      <c r="E35" s="47">
        <f>IFERROR(__xludf.DUMMYFUNCTION("""COMPUTED_VALUE"""),45792.6458333333)</f>
        <v>45792.6458333333</v>
      </c>
      <c r="F35" s="48">
        <f>IFERROR(__xludf.DUMMYFUNCTION("""COMPUTED_VALUE"""),8788351)</f>
        <v>8788351</v>
      </c>
      <c r="G35" s="47">
        <f>IFERROR(__xludf.DUMMYFUNCTION("""COMPUTED_VALUE"""),45792.6458333333)</f>
        <v>45792.6458333333</v>
      </c>
      <c r="H35" s="48">
        <f>IFERROR(__xludf.DUMMYFUNCTION("""COMPUTED_VALUE"""),1869.9)</f>
        <v>1869.9</v>
      </c>
      <c r="I35" s="47">
        <f>IFERROR(__xludf.DUMMYFUNCTION("""COMPUTED_VALUE"""),45792.6458333333)</f>
        <v>45792.6458333333</v>
      </c>
      <c r="J35" s="48">
        <f>IFERROR(__xludf.DUMMYFUNCTION("""COMPUTED_VALUE"""),1825)</f>
        <v>1825</v>
      </c>
      <c r="K35" s="3">
        <f t="shared" si="2"/>
        <v>0</v>
      </c>
      <c r="L35" s="3">
        <f t="shared" si="3"/>
        <v>0</v>
      </c>
    </row>
    <row r="36" customHeight="1" spans="1:12">
      <c r="A36" s="47">
        <f>IFERROR(__xludf.DUMMYFUNCTION("""COMPUTED_VALUE"""),45793.6458333333)</f>
        <v>45793.6458333333</v>
      </c>
      <c r="B36" s="48">
        <f>IFERROR(__xludf.DUMMYFUNCTION("""COMPUTED_VALUE"""),1814)</f>
        <v>1814</v>
      </c>
      <c r="C36" s="47">
        <f>IFERROR(__xludf.DUMMYFUNCTION("""COMPUTED_VALUE"""),45793.6458333333)</f>
        <v>45793.6458333333</v>
      </c>
      <c r="D36" s="48">
        <f>IFERROR(__xludf.DUMMYFUNCTION("""COMPUTED_VALUE"""),1834)</f>
        <v>1834</v>
      </c>
      <c r="E36" s="47">
        <f>IFERROR(__xludf.DUMMYFUNCTION("""COMPUTED_VALUE"""),45793.6458333333)</f>
        <v>45793.6458333333</v>
      </c>
      <c r="F36" s="48">
        <f>IFERROR(__xludf.DUMMYFUNCTION("""COMPUTED_VALUE"""),100662047)</f>
        <v>100662047</v>
      </c>
      <c r="G36" s="47">
        <f>IFERROR(__xludf.DUMMYFUNCTION("""COMPUTED_VALUE"""),45793.6458333333)</f>
        <v>45793.6458333333</v>
      </c>
      <c r="H36" s="48">
        <f>IFERROR(__xludf.DUMMYFUNCTION("""COMPUTED_VALUE"""),1834)</f>
        <v>1834</v>
      </c>
      <c r="I36" s="47">
        <f>IFERROR(__xludf.DUMMYFUNCTION("""COMPUTED_VALUE"""),45793.6458333333)</f>
        <v>45793.6458333333</v>
      </c>
      <c r="J36" s="48">
        <f>IFERROR(__xludf.DUMMYFUNCTION("""COMPUTED_VALUE"""),1810.1)</f>
        <v>1810.1</v>
      </c>
      <c r="K36" s="3">
        <f t="shared" si="2"/>
        <v>0</v>
      </c>
      <c r="L36" s="3">
        <f t="shared" si="3"/>
        <v>0</v>
      </c>
    </row>
    <row r="37" customHeight="1" spans="1:12">
      <c r="A37" s="47">
        <f>IFERROR(__xludf.DUMMYFUNCTION("""COMPUTED_VALUE"""),45796.6458333333)</f>
        <v>45796.6458333333</v>
      </c>
      <c r="B37" s="48">
        <f>IFERROR(__xludf.DUMMYFUNCTION("""COMPUTED_VALUE"""),1818.3)</f>
        <v>1818.3</v>
      </c>
      <c r="C37" s="47">
        <f>IFERROR(__xludf.DUMMYFUNCTION("""COMPUTED_VALUE"""),45796.6458333333)</f>
        <v>45796.6458333333</v>
      </c>
      <c r="D37" s="48">
        <f>IFERROR(__xludf.DUMMYFUNCTION("""COMPUTED_VALUE"""),1822)</f>
        <v>1822</v>
      </c>
      <c r="E37" s="47">
        <f>IFERROR(__xludf.DUMMYFUNCTION("""COMPUTED_VALUE"""),45796.6458333333)</f>
        <v>45796.6458333333</v>
      </c>
      <c r="F37" s="48">
        <f>IFERROR(__xludf.DUMMYFUNCTION("""COMPUTED_VALUE"""),5799804)</f>
        <v>5799804</v>
      </c>
      <c r="G37" s="47">
        <f>IFERROR(__xludf.DUMMYFUNCTION("""COMPUTED_VALUE"""),45796.6458333333)</f>
        <v>45796.6458333333</v>
      </c>
      <c r="H37" s="48">
        <f>IFERROR(__xludf.DUMMYFUNCTION("""COMPUTED_VALUE"""),1828.7)</f>
        <v>1828.7</v>
      </c>
      <c r="I37" s="47">
        <f>IFERROR(__xludf.DUMMYFUNCTION("""COMPUTED_VALUE"""),45796.6458333333)</f>
        <v>45796.6458333333</v>
      </c>
      <c r="J37" s="48">
        <f>IFERROR(__xludf.DUMMYFUNCTION("""COMPUTED_VALUE"""),1809)</f>
        <v>1809</v>
      </c>
      <c r="K37" s="3">
        <f t="shared" si="2"/>
        <v>0</v>
      </c>
      <c r="L37" s="3">
        <f t="shared" si="3"/>
        <v>0</v>
      </c>
    </row>
    <row r="38" customHeight="1" spans="1:12">
      <c r="A38" s="47">
        <f>IFERROR(__xludf.DUMMYFUNCTION("""COMPUTED_VALUE"""),45797.6458333333)</f>
        <v>45797.6458333333</v>
      </c>
      <c r="B38" s="48">
        <f>IFERROR(__xludf.DUMMYFUNCTION("""COMPUTED_VALUE"""),1808.9)</f>
        <v>1808.9</v>
      </c>
      <c r="C38" s="47">
        <f>IFERROR(__xludf.DUMMYFUNCTION("""COMPUTED_VALUE"""),45797.6458333333)</f>
        <v>45797.6458333333</v>
      </c>
      <c r="D38" s="48">
        <f>IFERROR(__xludf.DUMMYFUNCTION("""COMPUTED_VALUE"""),1809.8)</f>
        <v>1809.8</v>
      </c>
      <c r="E38" s="47">
        <f>IFERROR(__xludf.DUMMYFUNCTION("""COMPUTED_VALUE"""),45797.6458333333)</f>
        <v>45797.6458333333</v>
      </c>
      <c r="F38" s="48">
        <f>IFERROR(__xludf.DUMMYFUNCTION("""COMPUTED_VALUE"""),12512596)</f>
        <v>12512596</v>
      </c>
      <c r="G38" s="47">
        <f>IFERROR(__xludf.DUMMYFUNCTION("""COMPUTED_VALUE"""),45797.6458333333)</f>
        <v>45797.6458333333</v>
      </c>
      <c r="H38" s="48">
        <f>IFERROR(__xludf.DUMMYFUNCTION("""COMPUTED_VALUE"""),1824.9)</f>
        <v>1824.9</v>
      </c>
      <c r="I38" s="47">
        <f>IFERROR(__xludf.DUMMYFUNCTION("""COMPUTED_VALUE"""),45797.6458333333)</f>
        <v>45797.6458333333</v>
      </c>
      <c r="J38" s="48">
        <f>IFERROR(__xludf.DUMMYFUNCTION("""COMPUTED_VALUE"""),1799.5)</f>
        <v>1799.5</v>
      </c>
      <c r="K38" s="3">
        <f t="shared" si="2"/>
        <v>0</v>
      </c>
      <c r="L38" s="3">
        <f t="shared" si="3"/>
        <v>1808.9</v>
      </c>
    </row>
    <row r="39" customHeight="1" spans="1:12">
      <c r="A39" s="47">
        <f>IFERROR(__xludf.DUMMYFUNCTION("""COMPUTED_VALUE"""),45798.6458333333)</f>
        <v>45798.6458333333</v>
      </c>
      <c r="B39" s="48">
        <f>IFERROR(__xludf.DUMMYFUNCTION("""COMPUTED_VALUE"""),1822.5)</f>
        <v>1822.5</v>
      </c>
      <c r="C39" s="47">
        <f>IFERROR(__xludf.DUMMYFUNCTION("""COMPUTED_VALUE"""),45798.6458333333)</f>
        <v>45798.6458333333</v>
      </c>
      <c r="D39" s="48">
        <f>IFERROR(__xludf.DUMMYFUNCTION("""COMPUTED_VALUE"""),1813)</f>
        <v>1813</v>
      </c>
      <c r="E39" s="47">
        <f>IFERROR(__xludf.DUMMYFUNCTION("""COMPUTED_VALUE"""),45798.6458333333)</f>
        <v>45798.6458333333</v>
      </c>
      <c r="F39" s="48">
        <f>IFERROR(__xludf.DUMMYFUNCTION("""COMPUTED_VALUE"""),6849562)</f>
        <v>6849562</v>
      </c>
      <c r="G39" s="47">
        <f>IFERROR(__xludf.DUMMYFUNCTION("""COMPUTED_VALUE"""),45798.6458333333)</f>
        <v>45798.6458333333</v>
      </c>
      <c r="H39" s="48">
        <f>IFERROR(__xludf.DUMMYFUNCTION("""COMPUTED_VALUE"""),1826.5)</f>
        <v>1826.5</v>
      </c>
      <c r="I39" s="47">
        <f>IFERROR(__xludf.DUMMYFUNCTION("""COMPUTED_VALUE"""),45798.6458333333)</f>
        <v>45798.6458333333</v>
      </c>
      <c r="J39" s="48">
        <f>IFERROR(__xludf.DUMMYFUNCTION("""COMPUTED_VALUE"""),1805.3)</f>
        <v>1805.3</v>
      </c>
      <c r="K39" s="3">
        <f t="shared" si="2"/>
        <v>0</v>
      </c>
      <c r="L39" s="3">
        <f t="shared" si="3"/>
        <v>0</v>
      </c>
    </row>
    <row r="40" customHeight="1" spans="1:12">
      <c r="A40" s="47">
        <f>IFERROR(__xludf.DUMMYFUNCTION("""COMPUTED_VALUE"""),45799.6458333333)</f>
        <v>45799.6458333333</v>
      </c>
      <c r="B40" s="48">
        <f>IFERROR(__xludf.DUMMYFUNCTION("""COMPUTED_VALUE"""),1831.4)</f>
        <v>1831.4</v>
      </c>
      <c r="C40" s="47">
        <f>IFERROR(__xludf.DUMMYFUNCTION("""COMPUTED_VALUE"""),45799.6458333333)</f>
        <v>45799.6458333333</v>
      </c>
      <c r="D40" s="48">
        <f>IFERROR(__xludf.DUMMYFUNCTION("""COMPUTED_VALUE"""),1819.9)</f>
        <v>1819.9</v>
      </c>
      <c r="E40" s="47">
        <f>IFERROR(__xludf.DUMMYFUNCTION("""COMPUTED_VALUE"""),45799.6458333333)</f>
        <v>45799.6458333333</v>
      </c>
      <c r="F40" s="48">
        <f>IFERROR(__xludf.DUMMYFUNCTION("""COMPUTED_VALUE"""),6496923)</f>
        <v>6496923</v>
      </c>
      <c r="G40" s="47">
        <f>IFERROR(__xludf.DUMMYFUNCTION("""COMPUTED_VALUE"""),45799.6458333333)</f>
        <v>45799.6458333333</v>
      </c>
      <c r="H40" s="48">
        <f>IFERROR(__xludf.DUMMYFUNCTION("""COMPUTED_VALUE"""),1836.7)</f>
        <v>1836.7</v>
      </c>
      <c r="I40" s="47">
        <f>IFERROR(__xludf.DUMMYFUNCTION("""COMPUTED_VALUE"""),45799.6458333333)</f>
        <v>45799.6458333333</v>
      </c>
      <c r="J40" s="48">
        <f>IFERROR(__xludf.DUMMYFUNCTION("""COMPUTED_VALUE"""),1816.3)</f>
        <v>1816.3</v>
      </c>
      <c r="K40" s="3">
        <f t="shared" si="2"/>
        <v>0</v>
      </c>
      <c r="L40" s="3">
        <f t="shared" si="3"/>
        <v>0</v>
      </c>
    </row>
    <row r="41" customHeight="1" spans="1:12">
      <c r="A41" s="47">
        <f>IFERROR(__xludf.DUMMYFUNCTION("""COMPUTED_VALUE"""),45800.6458333333)</f>
        <v>45800.6458333333</v>
      </c>
      <c r="B41" s="48">
        <f>IFERROR(__xludf.DUMMYFUNCTION("""COMPUTED_VALUE"""),1831.7)</f>
        <v>1831.7</v>
      </c>
      <c r="C41" s="47">
        <f>IFERROR(__xludf.DUMMYFUNCTION("""COMPUTED_VALUE"""),45800.6458333333)</f>
        <v>45800.6458333333</v>
      </c>
      <c r="D41" s="48">
        <f>IFERROR(__xludf.DUMMYFUNCTION("""COMPUTED_VALUE"""),1825)</f>
        <v>1825</v>
      </c>
      <c r="E41" s="47">
        <f>IFERROR(__xludf.DUMMYFUNCTION("""COMPUTED_VALUE"""),45800.6458333333)</f>
        <v>45800.6458333333</v>
      </c>
      <c r="F41" s="48">
        <f>IFERROR(__xludf.DUMMYFUNCTION("""COMPUTED_VALUE"""),3460945)</f>
        <v>3460945</v>
      </c>
      <c r="G41" s="47">
        <f>IFERROR(__xludf.DUMMYFUNCTION("""COMPUTED_VALUE"""),45800.6458333333)</f>
        <v>45800.6458333333</v>
      </c>
      <c r="H41" s="48">
        <f>IFERROR(__xludf.DUMMYFUNCTION("""COMPUTED_VALUE"""),1841.8)</f>
        <v>1841.8</v>
      </c>
      <c r="I41" s="47">
        <f>IFERROR(__xludf.DUMMYFUNCTION("""COMPUTED_VALUE"""),45800.6458333333)</f>
        <v>45800.6458333333</v>
      </c>
      <c r="J41" s="48">
        <f>IFERROR(__xludf.DUMMYFUNCTION("""COMPUTED_VALUE"""),1821.5)</f>
        <v>1821.5</v>
      </c>
      <c r="K41" s="3">
        <f t="shared" si="2"/>
        <v>0</v>
      </c>
      <c r="L41" s="3">
        <f t="shared" si="3"/>
        <v>0</v>
      </c>
    </row>
    <row r="42" customHeight="1" spans="1:12">
      <c r="A42" s="47">
        <f>IFERROR(__xludf.DUMMYFUNCTION("""COMPUTED_VALUE"""),45803.6458333333)</f>
        <v>45803.6458333333</v>
      </c>
      <c r="B42" s="48">
        <f>IFERROR(__xludf.DUMMYFUNCTION("""COMPUTED_VALUE"""),1847.4)</f>
        <v>1847.4</v>
      </c>
      <c r="C42" s="47">
        <f>IFERROR(__xludf.DUMMYFUNCTION("""COMPUTED_VALUE"""),45803.6458333333)</f>
        <v>45803.6458333333</v>
      </c>
      <c r="D42" s="48">
        <f>IFERROR(__xludf.DUMMYFUNCTION("""COMPUTED_VALUE"""),1834)</f>
        <v>1834</v>
      </c>
      <c r="E42" s="47">
        <f>IFERROR(__xludf.DUMMYFUNCTION("""COMPUTED_VALUE"""),45803.6458333333)</f>
        <v>45803.6458333333</v>
      </c>
      <c r="F42" s="48">
        <f>IFERROR(__xludf.DUMMYFUNCTION("""COMPUTED_VALUE"""),3254715)</f>
        <v>3254715</v>
      </c>
      <c r="G42" s="47">
        <f>IFERROR(__xludf.DUMMYFUNCTION("""COMPUTED_VALUE"""),45803.6458333333)</f>
        <v>45803.6458333333</v>
      </c>
      <c r="H42" s="48">
        <f>IFERROR(__xludf.DUMMYFUNCTION("""COMPUTED_VALUE"""),1850)</f>
        <v>1850</v>
      </c>
      <c r="I42" s="47">
        <f>IFERROR(__xludf.DUMMYFUNCTION("""COMPUTED_VALUE"""),45803.6458333333)</f>
        <v>45803.6458333333</v>
      </c>
      <c r="J42" s="48">
        <f>IFERROR(__xludf.DUMMYFUNCTION("""COMPUTED_VALUE"""),1830.9)</f>
        <v>1830.9</v>
      </c>
      <c r="K42" s="3">
        <f t="shared" si="2"/>
        <v>0</v>
      </c>
      <c r="L42" s="3">
        <f t="shared" si="3"/>
        <v>0</v>
      </c>
    </row>
    <row r="43" customHeight="1" spans="1:12">
      <c r="A43" s="47">
        <f>IFERROR(__xludf.DUMMYFUNCTION("""COMPUTED_VALUE"""),45804.6458333333)</f>
        <v>45804.6458333333</v>
      </c>
      <c r="B43" s="48">
        <f>IFERROR(__xludf.DUMMYFUNCTION("""COMPUTED_VALUE"""),1843.8)</f>
        <v>1843.8</v>
      </c>
      <c r="C43" s="47">
        <f>IFERROR(__xludf.DUMMYFUNCTION("""COMPUTED_VALUE"""),45804.6458333333)</f>
        <v>45804.6458333333</v>
      </c>
      <c r="D43" s="48">
        <f>IFERROR(__xludf.DUMMYFUNCTION("""COMPUTED_VALUE"""),1844)</f>
        <v>1844</v>
      </c>
      <c r="E43" s="47">
        <f>IFERROR(__xludf.DUMMYFUNCTION("""COMPUTED_VALUE"""),45804.6458333333)</f>
        <v>45804.6458333333</v>
      </c>
      <c r="F43" s="48">
        <f>IFERROR(__xludf.DUMMYFUNCTION("""COMPUTED_VALUE"""),5847725)</f>
        <v>5847725</v>
      </c>
      <c r="G43" s="47">
        <f>IFERROR(__xludf.DUMMYFUNCTION("""COMPUTED_VALUE"""),45804.6458333333)</f>
        <v>45804.6458333333</v>
      </c>
      <c r="H43" s="48">
        <f>IFERROR(__xludf.DUMMYFUNCTION("""COMPUTED_VALUE"""),1857.6)</f>
        <v>1857.6</v>
      </c>
      <c r="I43" s="47">
        <f>IFERROR(__xludf.DUMMYFUNCTION("""COMPUTED_VALUE"""),45804.6458333333)</f>
        <v>45804.6458333333</v>
      </c>
      <c r="J43" s="48">
        <f>IFERROR(__xludf.DUMMYFUNCTION("""COMPUTED_VALUE"""),1833.7)</f>
        <v>1833.7</v>
      </c>
      <c r="K43" s="3">
        <f t="shared" si="2"/>
        <v>0</v>
      </c>
      <c r="L43" s="3">
        <f t="shared" si="3"/>
        <v>0</v>
      </c>
    </row>
    <row r="44" customHeight="1" spans="1:12">
      <c r="A44" s="47">
        <f>IFERROR(__xludf.DUMMYFUNCTION("""COMPUTED_VALUE"""),45805.6458333333)</f>
        <v>45805.6458333333</v>
      </c>
      <c r="B44" s="48">
        <f>IFERROR(__xludf.DUMMYFUNCTION("""COMPUTED_VALUE"""),1856.1)</f>
        <v>1856.1</v>
      </c>
      <c r="C44" s="47">
        <f>IFERROR(__xludf.DUMMYFUNCTION("""COMPUTED_VALUE"""),45805.6458333333)</f>
        <v>45805.6458333333</v>
      </c>
      <c r="D44" s="48">
        <f>IFERROR(__xludf.DUMMYFUNCTION("""COMPUTED_VALUE"""),1848)</f>
        <v>1848</v>
      </c>
      <c r="E44" s="47">
        <f>IFERROR(__xludf.DUMMYFUNCTION("""COMPUTED_VALUE"""),45805.6458333333)</f>
        <v>45805.6458333333</v>
      </c>
      <c r="F44" s="48">
        <f>IFERROR(__xludf.DUMMYFUNCTION("""COMPUTED_VALUE"""),3713699)</f>
        <v>3713699</v>
      </c>
      <c r="G44" s="47">
        <f>IFERROR(__xludf.DUMMYFUNCTION("""COMPUTED_VALUE"""),45805.6458333333)</f>
        <v>45805.6458333333</v>
      </c>
      <c r="H44" s="48">
        <f>IFERROR(__xludf.DUMMYFUNCTION("""COMPUTED_VALUE"""),1867)</f>
        <v>1867</v>
      </c>
      <c r="I44" s="47">
        <f>IFERROR(__xludf.DUMMYFUNCTION("""COMPUTED_VALUE"""),45805.6458333333)</f>
        <v>45805.6458333333</v>
      </c>
      <c r="J44" s="48">
        <f>IFERROR(__xludf.DUMMYFUNCTION("""COMPUTED_VALUE"""),1845.1)</f>
        <v>1845.1</v>
      </c>
      <c r="K44" s="3">
        <f t="shared" si="2"/>
        <v>0</v>
      </c>
      <c r="L44" s="3">
        <f t="shared" si="3"/>
        <v>0</v>
      </c>
    </row>
    <row r="45" customHeight="1" spans="1:12">
      <c r="A45" s="47">
        <f>IFERROR(__xludf.DUMMYFUNCTION("""COMPUTED_VALUE"""),45806.6458333333)</f>
        <v>45806.6458333333</v>
      </c>
      <c r="B45" s="48">
        <f>IFERROR(__xludf.DUMMYFUNCTION("""COMPUTED_VALUE"""),1863.6)</f>
        <v>1863.6</v>
      </c>
      <c r="C45" s="47">
        <f>IFERROR(__xludf.DUMMYFUNCTION("""COMPUTED_VALUE"""),45806.6458333333)</f>
        <v>45806.6458333333</v>
      </c>
      <c r="D45" s="48">
        <f>IFERROR(__xludf.DUMMYFUNCTION("""COMPUTED_VALUE"""),1858)</f>
        <v>1858</v>
      </c>
      <c r="E45" s="47">
        <f>IFERROR(__xludf.DUMMYFUNCTION("""COMPUTED_VALUE"""),45806.6458333333)</f>
        <v>45806.6458333333</v>
      </c>
      <c r="F45" s="48">
        <f>IFERROR(__xludf.DUMMYFUNCTION("""COMPUTED_VALUE"""),5786774)</f>
        <v>5786774</v>
      </c>
      <c r="G45" s="47">
        <f>IFERROR(__xludf.DUMMYFUNCTION("""COMPUTED_VALUE"""),45806.6458333333)</f>
        <v>45806.6458333333</v>
      </c>
      <c r="H45" s="48">
        <f>IFERROR(__xludf.DUMMYFUNCTION("""COMPUTED_VALUE"""),1867)</f>
        <v>1867</v>
      </c>
      <c r="I45" s="47">
        <f>IFERROR(__xludf.DUMMYFUNCTION("""COMPUTED_VALUE"""),45806.6458333333)</f>
        <v>45806.6458333333</v>
      </c>
      <c r="J45" s="48">
        <f>IFERROR(__xludf.DUMMYFUNCTION("""COMPUTED_VALUE"""),1850.5)</f>
        <v>1850.5</v>
      </c>
      <c r="K45" s="3">
        <f t="shared" si="2"/>
        <v>0</v>
      </c>
      <c r="L45" s="3">
        <f t="shared" si="3"/>
        <v>0</v>
      </c>
    </row>
    <row r="46" customHeight="1" spans="1:12">
      <c r="A46" s="47">
        <f>IFERROR(__xludf.DUMMYFUNCTION("""COMPUTED_VALUE"""),45807.6458333333)</f>
        <v>45807.6458333333</v>
      </c>
      <c r="B46" s="48">
        <f>IFERROR(__xludf.DUMMYFUNCTION("""COMPUTED_VALUE"""),1856.2)</f>
        <v>1856.2</v>
      </c>
      <c r="C46" s="47">
        <f>IFERROR(__xludf.DUMMYFUNCTION("""COMPUTED_VALUE"""),45807.6458333333)</f>
        <v>45807.6458333333</v>
      </c>
      <c r="D46" s="48">
        <f>IFERROR(__xludf.DUMMYFUNCTION("""COMPUTED_VALUE"""),1854)</f>
        <v>1854</v>
      </c>
      <c r="E46" s="47">
        <f>IFERROR(__xludf.DUMMYFUNCTION("""COMPUTED_VALUE"""),45807.6458333333)</f>
        <v>45807.6458333333</v>
      </c>
      <c r="F46" s="48">
        <f>IFERROR(__xludf.DUMMYFUNCTION("""COMPUTED_VALUE"""),16712960)</f>
        <v>16712960</v>
      </c>
      <c r="G46" s="47">
        <f>IFERROR(__xludf.DUMMYFUNCTION("""COMPUTED_VALUE"""),45807.6458333333)</f>
        <v>45807.6458333333</v>
      </c>
      <c r="H46" s="48">
        <f>IFERROR(__xludf.DUMMYFUNCTION("""COMPUTED_VALUE"""),1867)</f>
        <v>1867</v>
      </c>
      <c r="I46" s="47">
        <f>IFERROR(__xludf.DUMMYFUNCTION("""COMPUTED_VALUE"""),45807.6458333333)</f>
        <v>45807.6458333333</v>
      </c>
      <c r="J46" s="48">
        <f>IFERROR(__xludf.DUMMYFUNCTION("""COMPUTED_VALUE"""),1843)</f>
        <v>1843</v>
      </c>
      <c r="K46" s="3">
        <f t="shared" si="2"/>
        <v>0</v>
      </c>
      <c r="L46" s="3">
        <f t="shared" si="3"/>
        <v>0</v>
      </c>
    </row>
    <row r="47" customHeight="1" spans="1:12">
      <c r="A47" s="47">
        <f>IFERROR(__xludf.DUMMYFUNCTION("""COMPUTED_VALUE"""),45810.6458333333)</f>
        <v>45810.6458333333</v>
      </c>
      <c r="B47" s="48">
        <f>IFERROR(__xludf.DUMMYFUNCTION("""COMPUTED_VALUE"""),1854.1)</f>
        <v>1854.1</v>
      </c>
      <c r="C47" s="47">
        <f>IFERROR(__xludf.DUMMYFUNCTION("""COMPUTED_VALUE"""),45810.6458333333)</f>
        <v>45810.6458333333</v>
      </c>
      <c r="D47" s="48">
        <f>IFERROR(__xludf.DUMMYFUNCTION("""COMPUTED_VALUE"""),1844)</f>
        <v>1844</v>
      </c>
      <c r="E47" s="47">
        <f>IFERROR(__xludf.DUMMYFUNCTION("""COMPUTED_VALUE"""),45810.6458333333)</f>
        <v>45810.6458333333</v>
      </c>
      <c r="F47" s="48">
        <f>IFERROR(__xludf.DUMMYFUNCTION("""COMPUTED_VALUE"""),3199499)</f>
        <v>3199499</v>
      </c>
      <c r="G47" s="47">
        <f>IFERROR(__xludf.DUMMYFUNCTION("""COMPUTED_VALUE"""),45810.6458333333)</f>
        <v>45810.6458333333</v>
      </c>
      <c r="H47" s="48">
        <f>IFERROR(__xludf.DUMMYFUNCTION("""COMPUTED_VALUE"""),1859)</f>
        <v>1859</v>
      </c>
      <c r="I47" s="47">
        <f>IFERROR(__xludf.DUMMYFUNCTION("""COMPUTED_VALUE"""),45810.6458333333)</f>
        <v>45810.6458333333</v>
      </c>
      <c r="J47" s="48">
        <f>IFERROR(__xludf.DUMMYFUNCTION("""COMPUTED_VALUE"""),1831.5)</f>
        <v>1831.5</v>
      </c>
      <c r="K47" s="3">
        <f t="shared" si="2"/>
        <v>0</v>
      </c>
      <c r="L47" s="3">
        <f t="shared" si="3"/>
        <v>0</v>
      </c>
    </row>
    <row r="48" customHeight="1" spans="1:12">
      <c r="A48" s="47">
        <f>IFERROR(__xludf.DUMMYFUNCTION("""COMPUTED_VALUE"""),45811.6458333333)</f>
        <v>45811.6458333333</v>
      </c>
      <c r="B48" s="48">
        <f>IFERROR(__xludf.DUMMYFUNCTION("""COMPUTED_VALUE"""),1841.3)</f>
        <v>1841.3</v>
      </c>
      <c r="C48" s="47">
        <f>IFERROR(__xludf.DUMMYFUNCTION("""COMPUTED_VALUE"""),45811.6458333333)</f>
        <v>45811.6458333333</v>
      </c>
      <c r="D48" s="48">
        <f>IFERROR(__xludf.DUMMYFUNCTION("""COMPUTED_VALUE"""),1867)</f>
        <v>1867</v>
      </c>
      <c r="E48" s="47">
        <f>IFERROR(__xludf.DUMMYFUNCTION("""COMPUTED_VALUE"""),45811.6458333333)</f>
        <v>45811.6458333333</v>
      </c>
      <c r="F48" s="48">
        <f>IFERROR(__xludf.DUMMYFUNCTION("""COMPUTED_VALUE"""),5596977)</f>
        <v>5596977</v>
      </c>
      <c r="G48" s="47">
        <f>IFERROR(__xludf.DUMMYFUNCTION("""COMPUTED_VALUE"""),45811.6458333333)</f>
        <v>45811.6458333333</v>
      </c>
      <c r="H48" s="48">
        <f>IFERROR(__xludf.DUMMYFUNCTION("""COMPUTED_VALUE"""),1869.5)</f>
        <v>1869.5</v>
      </c>
      <c r="I48" s="47">
        <f>IFERROR(__xludf.DUMMYFUNCTION("""COMPUTED_VALUE"""),45811.6458333333)</f>
        <v>45811.6458333333</v>
      </c>
      <c r="J48" s="48">
        <f>IFERROR(__xludf.DUMMYFUNCTION("""COMPUTED_VALUE"""),1832)</f>
        <v>1832</v>
      </c>
      <c r="K48" s="3">
        <f t="shared" si="2"/>
        <v>0</v>
      </c>
      <c r="L48" s="3">
        <f t="shared" si="3"/>
        <v>1841.3</v>
      </c>
    </row>
    <row r="49" customHeight="1" spans="1:12">
      <c r="A49" s="47">
        <f>IFERROR(__xludf.DUMMYFUNCTION("""COMPUTED_VALUE"""),45812.6458333333)</f>
        <v>45812.6458333333</v>
      </c>
      <c r="B49" s="48">
        <f>IFERROR(__xludf.DUMMYFUNCTION("""COMPUTED_VALUE"""),1875.4)</f>
        <v>1875.4</v>
      </c>
      <c r="C49" s="47">
        <f>IFERROR(__xludf.DUMMYFUNCTION("""COMPUTED_VALUE"""),45812.6458333333)</f>
        <v>45812.6458333333</v>
      </c>
      <c r="D49" s="48">
        <f>IFERROR(__xludf.DUMMYFUNCTION("""COMPUTED_VALUE"""),1855)</f>
        <v>1855</v>
      </c>
      <c r="E49" s="47">
        <f>IFERROR(__xludf.DUMMYFUNCTION("""COMPUTED_VALUE"""),45812.6458333333)</f>
        <v>45812.6458333333</v>
      </c>
      <c r="F49" s="48">
        <f>IFERROR(__xludf.DUMMYFUNCTION("""COMPUTED_VALUE"""),5892170)</f>
        <v>5892170</v>
      </c>
      <c r="G49" s="47">
        <f>IFERROR(__xludf.DUMMYFUNCTION("""COMPUTED_VALUE"""),45812.6458333333)</f>
        <v>45812.6458333333</v>
      </c>
      <c r="H49" s="48">
        <f>IFERROR(__xludf.DUMMYFUNCTION("""COMPUTED_VALUE"""),1884.6)</f>
        <v>1884.6</v>
      </c>
      <c r="I49" s="47">
        <f>IFERROR(__xludf.DUMMYFUNCTION("""COMPUTED_VALUE"""),45812.6458333333)</f>
        <v>45812.6458333333</v>
      </c>
      <c r="J49" s="48">
        <f>IFERROR(__xludf.DUMMYFUNCTION("""COMPUTED_VALUE"""),1850)</f>
        <v>1850</v>
      </c>
      <c r="K49" s="3">
        <f t="shared" si="2"/>
        <v>0</v>
      </c>
      <c r="L49" s="3">
        <f t="shared" si="3"/>
        <v>0</v>
      </c>
    </row>
    <row r="50" customHeight="1" spans="1:12">
      <c r="A50" s="47">
        <f>IFERROR(__xludf.DUMMYFUNCTION("""COMPUTED_VALUE"""),45813.6458333333)</f>
        <v>45813.6458333333</v>
      </c>
      <c r="B50" s="48">
        <f>IFERROR(__xludf.DUMMYFUNCTION("""COMPUTED_VALUE"""),1878.8)</f>
        <v>1878.8</v>
      </c>
      <c r="C50" s="47">
        <f>IFERROR(__xludf.DUMMYFUNCTION("""COMPUTED_VALUE"""),45813.6458333333)</f>
        <v>45813.6458333333</v>
      </c>
      <c r="D50" s="48">
        <f>IFERROR(__xludf.DUMMYFUNCTION("""COMPUTED_VALUE"""),1884)</f>
        <v>1884</v>
      </c>
      <c r="E50" s="47">
        <f>IFERROR(__xludf.DUMMYFUNCTION("""COMPUTED_VALUE"""),45813.6458333333)</f>
        <v>45813.6458333333</v>
      </c>
      <c r="F50" s="48">
        <f>IFERROR(__xludf.DUMMYFUNCTION("""COMPUTED_VALUE"""),8999675)</f>
        <v>8999675</v>
      </c>
      <c r="G50" s="47">
        <f>IFERROR(__xludf.DUMMYFUNCTION("""COMPUTED_VALUE"""),45813.6458333333)</f>
        <v>45813.6458333333</v>
      </c>
      <c r="H50" s="48">
        <f>IFERROR(__xludf.DUMMYFUNCTION("""COMPUTED_VALUE"""),1889)</f>
        <v>1889</v>
      </c>
      <c r="I50" s="47">
        <f>IFERROR(__xludf.DUMMYFUNCTION("""COMPUTED_VALUE"""),45813.6458333333)</f>
        <v>45813.6458333333</v>
      </c>
      <c r="J50" s="48">
        <f>IFERROR(__xludf.DUMMYFUNCTION("""COMPUTED_VALUE"""),1868.6)</f>
        <v>1868.6</v>
      </c>
      <c r="K50" s="3">
        <f t="shared" si="2"/>
        <v>1878.8</v>
      </c>
      <c r="L50" s="3">
        <f t="shared" si="3"/>
        <v>0</v>
      </c>
    </row>
    <row r="51" customHeight="1" spans="1:12">
      <c r="A51" s="47">
        <f>IFERROR(__xludf.DUMMYFUNCTION("""COMPUTED_VALUE"""),45814.6458333333)</f>
        <v>45814.6458333333</v>
      </c>
      <c r="B51" s="48">
        <f>IFERROR(__xludf.DUMMYFUNCTION("""COMPUTED_VALUE"""),1870.2)</f>
        <v>1870.2</v>
      </c>
      <c r="C51" s="47">
        <f>IFERROR(__xludf.DUMMYFUNCTION("""COMPUTED_VALUE"""),45814.6458333333)</f>
        <v>45814.6458333333</v>
      </c>
      <c r="D51" s="48">
        <f>IFERROR(__xludf.DUMMYFUNCTION("""COMPUTED_VALUE"""),1872.1)</f>
        <v>1872.1</v>
      </c>
      <c r="E51" s="47">
        <f>IFERROR(__xludf.DUMMYFUNCTION("""COMPUTED_VALUE"""),45814.6458333333)</f>
        <v>45814.6458333333</v>
      </c>
      <c r="F51" s="48">
        <f>IFERROR(__xludf.DUMMYFUNCTION("""COMPUTED_VALUE"""),4644174)</f>
        <v>4644174</v>
      </c>
      <c r="G51" s="47">
        <f>IFERROR(__xludf.DUMMYFUNCTION("""COMPUTED_VALUE"""),45814.6458333333)</f>
        <v>45814.6458333333</v>
      </c>
      <c r="H51" s="48">
        <f>IFERROR(__xludf.DUMMYFUNCTION("""COMPUTED_VALUE"""),1881.9)</f>
        <v>1881.9</v>
      </c>
      <c r="I51" s="47">
        <f>IFERROR(__xludf.DUMMYFUNCTION("""COMPUTED_VALUE"""),45814.6458333333)</f>
        <v>45814.6458333333</v>
      </c>
      <c r="J51" s="48">
        <f>IFERROR(__xludf.DUMMYFUNCTION("""COMPUTED_VALUE"""),1867.3)</f>
        <v>1867.3</v>
      </c>
      <c r="K51" s="3">
        <f t="shared" si="2"/>
        <v>0</v>
      </c>
      <c r="L51" s="3">
        <f t="shared" si="3"/>
        <v>0</v>
      </c>
    </row>
    <row r="52" customHeight="1" spans="1:12">
      <c r="A52" s="47">
        <f>IFERROR(__xludf.DUMMYFUNCTION("""COMPUTED_VALUE"""),45817.6458333333)</f>
        <v>45817.6458333333</v>
      </c>
      <c r="B52" s="48">
        <f>IFERROR(__xludf.DUMMYFUNCTION("""COMPUTED_VALUE"""),1865.1)</f>
        <v>1865.1</v>
      </c>
      <c r="C52" s="47">
        <f>IFERROR(__xludf.DUMMYFUNCTION("""COMPUTED_VALUE"""),45817.6458333333)</f>
        <v>45817.6458333333</v>
      </c>
      <c r="D52" s="48">
        <f>IFERROR(__xludf.DUMMYFUNCTION("""COMPUTED_VALUE"""),1874)</f>
        <v>1874</v>
      </c>
      <c r="E52" s="47">
        <f>IFERROR(__xludf.DUMMYFUNCTION("""COMPUTED_VALUE"""),45817.6458333333)</f>
        <v>45817.6458333333</v>
      </c>
      <c r="F52" s="48">
        <f>IFERROR(__xludf.DUMMYFUNCTION("""COMPUTED_VALUE"""),3649505)</f>
        <v>3649505</v>
      </c>
      <c r="G52" s="47">
        <f>IFERROR(__xludf.DUMMYFUNCTION("""COMPUTED_VALUE"""),45817.6458333333)</f>
        <v>45817.6458333333</v>
      </c>
      <c r="H52" s="48">
        <f>IFERROR(__xludf.DUMMYFUNCTION("""COMPUTED_VALUE"""),1875)</f>
        <v>1875</v>
      </c>
      <c r="I52" s="47">
        <f>IFERROR(__xludf.DUMMYFUNCTION("""COMPUTED_VALUE"""),45817.6458333333)</f>
        <v>45817.6458333333</v>
      </c>
      <c r="J52" s="48">
        <f>IFERROR(__xludf.DUMMYFUNCTION("""COMPUTED_VALUE"""),1848.7)</f>
        <v>1848.7</v>
      </c>
      <c r="K52" s="3">
        <f t="shared" si="2"/>
        <v>0</v>
      </c>
      <c r="L52" s="3">
        <f t="shared" si="3"/>
        <v>0</v>
      </c>
    </row>
    <row r="53" customHeight="1" spans="1:12">
      <c r="A53" s="47">
        <f>IFERROR(__xludf.DUMMYFUNCTION("""COMPUTED_VALUE"""),45818.6458333333)</f>
        <v>45818.6458333333</v>
      </c>
      <c r="B53" s="48">
        <f>IFERROR(__xludf.DUMMYFUNCTION("""COMPUTED_VALUE"""),1857.1)</f>
        <v>1857.1</v>
      </c>
      <c r="C53" s="47">
        <f>IFERROR(__xludf.DUMMYFUNCTION("""COMPUTED_VALUE"""),45818.6458333333)</f>
        <v>45818.6458333333</v>
      </c>
      <c r="D53" s="48">
        <f>IFERROR(__xludf.DUMMYFUNCTION("""COMPUTED_VALUE"""),1866.6)</f>
        <v>1866.6</v>
      </c>
      <c r="E53" s="47">
        <f>IFERROR(__xludf.DUMMYFUNCTION("""COMPUTED_VALUE"""),45818.6458333333)</f>
        <v>45818.6458333333</v>
      </c>
      <c r="F53" s="48">
        <f>IFERROR(__xludf.DUMMYFUNCTION("""COMPUTED_VALUE"""),7925901)</f>
        <v>7925901</v>
      </c>
      <c r="G53" s="47">
        <f>IFERROR(__xludf.DUMMYFUNCTION("""COMPUTED_VALUE"""),45818.6458333333)</f>
        <v>45818.6458333333</v>
      </c>
      <c r="H53" s="48">
        <f>IFERROR(__xludf.DUMMYFUNCTION("""COMPUTED_VALUE"""),1875.6)</f>
        <v>1875.6</v>
      </c>
      <c r="I53" s="47">
        <f>IFERROR(__xludf.DUMMYFUNCTION("""COMPUTED_VALUE"""),45818.6458333333)</f>
        <v>45818.6458333333</v>
      </c>
      <c r="J53" s="48">
        <f>IFERROR(__xludf.DUMMYFUNCTION("""COMPUTED_VALUE"""),1850.3)</f>
        <v>1850.3</v>
      </c>
      <c r="K53" s="3">
        <f t="shared" si="2"/>
        <v>0</v>
      </c>
      <c r="L53" s="3">
        <f t="shared" si="3"/>
        <v>0</v>
      </c>
    </row>
    <row r="54" customHeight="1" spans="1:12">
      <c r="A54" s="47">
        <f>IFERROR(__xludf.DUMMYFUNCTION("""COMPUTED_VALUE"""),45819.6458333333)</f>
        <v>45819.6458333333</v>
      </c>
      <c r="B54" s="48">
        <f>IFERROR(__xludf.DUMMYFUNCTION("""COMPUTED_VALUE"""),1860.2)</f>
        <v>1860.2</v>
      </c>
      <c r="C54" s="47">
        <f>IFERROR(__xludf.DUMMYFUNCTION("""COMPUTED_VALUE"""),45819.6458333333)</f>
        <v>45819.6458333333</v>
      </c>
      <c r="D54" s="48">
        <f>IFERROR(__xludf.DUMMYFUNCTION("""COMPUTED_VALUE"""),1857.9)</f>
        <v>1857.9</v>
      </c>
      <c r="E54" s="47">
        <f>IFERROR(__xludf.DUMMYFUNCTION("""COMPUTED_VALUE"""),45819.6458333333)</f>
        <v>45819.6458333333</v>
      </c>
      <c r="F54" s="48">
        <f>IFERROR(__xludf.DUMMYFUNCTION("""COMPUTED_VALUE"""),8907265)</f>
        <v>8907265</v>
      </c>
      <c r="G54" s="47">
        <f>IFERROR(__xludf.DUMMYFUNCTION("""COMPUTED_VALUE"""),45819.6458333333)</f>
        <v>45819.6458333333</v>
      </c>
      <c r="H54" s="48">
        <f>IFERROR(__xludf.DUMMYFUNCTION("""COMPUTED_VALUE"""),1866.5)</f>
        <v>1866.5</v>
      </c>
      <c r="I54" s="47">
        <f>IFERROR(__xludf.DUMMYFUNCTION("""COMPUTED_VALUE"""),45819.6458333333)</f>
        <v>45819.6458333333</v>
      </c>
      <c r="J54" s="48">
        <f>IFERROR(__xludf.DUMMYFUNCTION("""COMPUTED_VALUE"""),1847.8)</f>
        <v>1847.8</v>
      </c>
      <c r="K54" s="3">
        <f t="shared" si="2"/>
        <v>0</v>
      </c>
      <c r="L54" s="3">
        <f t="shared" si="3"/>
        <v>0</v>
      </c>
    </row>
    <row r="55" customHeight="1" spans="1:12">
      <c r="A55" s="47">
        <f>IFERROR(__xludf.DUMMYFUNCTION("""COMPUTED_VALUE"""),45820.6458333333)</f>
        <v>45820.6458333333</v>
      </c>
      <c r="B55" s="48">
        <f>IFERROR(__xludf.DUMMYFUNCTION("""COMPUTED_VALUE"""),1844.2)</f>
        <v>1844.2</v>
      </c>
      <c r="C55" s="47">
        <f>IFERROR(__xludf.DUMMYFUNCTION("""COMPUTED_VALUE"""),45820.6458333333)</f>
        <v>45820.6458333333</v>
      </c>
      <c r="D55" s="48">
        <f>IFERROR(__xludf.DUMMYFUNCTION("""COMPUTED_VALUE"""),1871.9)</f>
        <v>1871.9</v>
      </c>
      <c r="E55" s="47">
        <f>IFERROR(__xludf.DUMMYFUNCTION("""COMPUTED_VALUE"""),45820.6458333333)</f>
        <v>45820.6458333333</v>
      </c>
      <c r="F55" s="48">
        <f>IFERROR(__xludf.DUMMYFUNCTION("""COMPUTED_VALUE"""),7346031)</f>
        <v>7346031</v>
      </c>
      <c r="G55" s="47">
        <f>IFERROR(__xludf.DUMMYFUNCTION("""COMPUTED_VALUE"""),45820.6458333333)</f>
        <v>45820.6458333333</v>
      </c>
      <c r="H55" s="48">
        <f>IFERROR(__xludf.DUMMYFUNCTION("""COMPUTED_VALUE"""),1883)</f>
        <v>1883</v>
      </c>
      <c r="I55" s="47">
        <f>IFERROR(__xludf.DUMMYFUNCTION("""COMPUTED_VALUE"""),45820.6458333333)</f>
        <v>45820.6458333333</v>
      </c>
      <c r="J55" s="48">
        <f>IFERROR(__xludf.DUMMYFUNCTION("""COMPUTED_VALUE"""),1831.6)</f>
        <v>1831.6</v>
      </c>
      <c r="K55" s="3">
        <f t="shared" si="2"/>
        <v>0</v>
      </c>
      <c r="L55" s="3">
        <f t="shared" si="3"/>
        <v>0</v>
      </c>
    </row>
    <row r="56" customHeight="1" spans="1:12">
      <c r="A56" s="47">
        <f>IFERROR(__xludf.DUMMYFUNCTION("""COMPUTED_VALUE"""),45821.6458333333)</f>
        <v>45821.6458333333</v>
      </c>
      <c r="B56" s="48">
        <f>IFERROR(__xludf.DUMMYFUNCTION("""COMPUTED_VALUE"""),1840.4)</f>
        <v>1840.4</v>
      </c>
      <c r="C56" s="47">
        <f>IFERROR(__xludf.DUMMYFUNCTION("""COMPUTED_VALUE"""),45821.6458333333)</f>
        <v>45821.6458333333</v>
      </c>
      <c r="D56" s="48">
        <f>IFERROR(__xludf.DUMMYFUNCTION("""COMPUTED_VALUE"""),1815)</f>
        <v>1815</v>
      </c>
      <c r="E56" s="47">
        <f>IFERROR(__xludf.DUMMYFUNCTION("""COMPUTED_VALUE"""),45821.6458333333)</f>
        <v>45821.6458333333</v>
      </c>
      <c r="F56" s="48">
        <f>IFERROR(__xludf.DUMMYFUNCTION("""COMPUTED_VALUE"""),4613000)</f>
        <v>4613000</v>
      </c>
      <c r="G56" s="47">
        <f>IFERROR(__xludf.DUMMYFUNCTION("""COMPUTED_VALUE"""),45821.6458333333)</f>
        <v>45821.6458333333</v>
      </c>
      <c r="H56" s="48">
        <f>IFERROR(__xludf.DUMMYFUNCTION("""COMPUTED_VALUE"""),1844.6)</f>
        <v>1844.6</v>
      </c>
      <c r="I56" s="47">
        <f>IFERROR(__xludf.DUMMYFUNCTION("""COMPUTED_VALUE"""),45821.6458333333)</f>
        <v>45821.6458333333</v>
      </c>
      <c r="J56" s="48">
        <f>IFERROR(__xludf.DUMMYFUNCTION("""COMPUTED_VALUE"""),1815)</f>
        <v>1815</v>
      </c>
      <c r="K56" s="3">
        <f t="shared" si="2"/>
        <v>0</v>
      </c>
      <c r="L56" s="3">
        <f t="shared" si="3"/>
        <v>1840.4</v>
      </c>
    </row>
    <row r="57" customHeight="1" spans="1:12">
      <c r="A57" s="47">
        <f>IFERROR(__xludf.DUMMYFUNCTION("""COMPUTED_VALUE"""),45824.6458333333)</f>
        <v>45824.6458333333</v>
      </c>
      <c r="B57" s="48">
        <f>IFERROR(__xludf.DUMMYFUNCTION("""COMPUTED_VALUE"""),1861.3)</f>
        <v>1861.3</v>
      </c>
      <c r="C57" s="47">
        <f>IFERROR(__xludf.DUMMYFUNCTION("""COMPUTED_VALUE"""),45824.6458333333)</f>
        <v>45824.6458333333</v>
      </c>
      <c r="D57" s="48">
        <f>IFERROR(__xludf.DUMMYFUNCTION("""COMPUTED_VALUE"""),1842.1)</f>
        <v>1842.1</v>
      </c>
      <c r="E57" s="47">
        <f>IFERROR(__xludf.DUMMYFUNCTION("""COMPUTED_VALUE"""),45824.6458333333)</f>
        <v>45824.6458333333</v>
      </c>
      <c r="F57" s="48">
        <f>IFERROR(__xludf.DUMMYFUNCTION("""COMPUTED_VALUE"""),5722187)</f>
        <v>5722187</v>
      </c>
      <c r="G57" s="47">
        <f>IFERROR(__xludf.DUMMYFUNCTION("""COMPUTED_VALUE"""),45824.6458333333)</f>
        <v>45824.6458333333</v>
      </c>
      <c r="H57" s="48">
        <f>IFERROR(__xludf.DUMMYFUNCTION("""COMPUTED_VALUE"""),1870)</f>
        <v>1870</v>
      </c>
      <c r="I57" s="47">
        <f>IFERROR(__xludf.DUMMYFUNCTION("""COMPUTED_VALUE"""),45824.6458333333)</f>
        <v>45824.6458333333</v>
      </c>
      <c r="J57" s="48">
        <f>IFERROR(__xludf.DUMMYFUNCTION("""COMPUTED_VALUE"""),1838.8)</f>
        <v>1838.8</v>
      </c>
      <c r="K57" s="3">
        <f t="shared" si="2"/>
        <v>0</v>
      </c>
      <c r="L57" s="3">
        <f t="shared" si="3"/>
        <v>0</v>
      </c>
    </row>
    <row r="58" customHeight="1" spans="1:12">
      <c r="A58" s="47">
        <f>IFERROR(__xludf.DUMMYFUNCTION("""COMPUTED_VALUE"""),45825.6458333333)</f>
        <v>45825.6458333333</v>
      </c>
      <c r="B58" s="48">
        <f>IFERROR(__xludf.DUMMYFUNCTION("""COMPUTED_VALUE"""),1854.8)</f>
        <v>1854.8</v>
      </c>
      <c r="C58" s="47">
        <f>IFERROR(__xludf.DUMMYFUNCTION("""COMPUTED_VALUE"""),45825.6458333333)</f>
        <v>45825.6458333333</v>
      </c>
      <c r="D58" s="48">
        <f>IFERROR(__xludf.DUMMYFUNCTION("""COMPUTED_VALUE"""),1879)</f>
        <v>1879</v>
      </c>
      <c r="E58" s="47">
        <f>IFERROR(__xludf.DUMMYFUNCTION("""COMPUTED_VALUE"""),45825.6458333333)</f>
        <v>45825.6458333333</v>
      </c>
      <c r="F58" s="48">
        <f>IFERROR(__xludf.DUMMYFUNCTION("""COMPUTED_VALUE"""),6561555)</f>
        <v>6561555</v>
      </c>
      <c r="G58" s="47">
        <f>IFERROR(__xludf.DUMMYFUNCTION("""COMPUTED_VALUE"""),45825.6458333333)</f>
        <v>45825.6458333333</v>
      </c>
      <c r="H58" s="48">
        <f>IFERROR(__xludf.DUMMYFUNCTION("""COMPUTED_VALUE"""),1879)</f>
        <v>1879</v>
      </c>
      <c r="I58" s="47">
        <f>IFERROR(__xludf.DUMMYFUNCTION("""COMPUTED_VALUE"""),45825.6458333333)</f>
        <v>45825.6458333333</v>
      </c>
      <c r="J58" s="48">
        <f>IFERROR(__xludf.DUMMYFUNCTION("""COMPUTED_VALUE"""),1847.6)</f>
        <v>1847.6</v>
      </c>
      <c r="K58" s="3">
        <f t="shared" si="2"/>
        <v>0</v>
      </c>
      <c r="L58" s="3">
        <f t="shared" si="3"/>
        <v>0</v>
      </c>
    </row>
    <row r="59" customHeight="1" spans="1:12">
      <c r="A59" s="47">
        <f>IFERROR(__xludf.DUMMYFUNCTION("""COMPUTED_VALUE"""),45826.6458333333)</f>
        <v>45826.6458333333</v>
      </c>
      <c r="B59" s="48">
        <f>IFERROR(__xludf.DUMMYFUNCTION("""COMPUTED_VALUE"""),1865.9)</f>
        <v>1865.9</v>
      </c>
      <c r="C59" s="47">
        <f>IFERROR(__xludf.DUMMYFUNCTION("""COMPUTED_VALUE"""),45826.6458333333)</f>
        <v>45826.6458333333</v>
      </c>
      <c r="D59" s="48">
        <f>IFERROR(__xludf.DUMMYFUNCTION("""COMPUTED_VALUE"""),1847.6)</f>
        <v>1847.6</v>
      </c>
      <c r="E59" s="47">
        <f>IFERROR(__xludf.DUMMYFUNCTION("""COMPUTED_VALUE"""),45826.6458333333)</f>
        <v>45826.6458333333</v>
      </c>
      <c r="F59" s="48">
        <f>IFERROR(__xludf.DUMMYFUNCTION("""COMPUTED_VALUE"""),5069427)</f>
        <v>5069427</v>
      </c>
      <c r="G59" s="47">
        <f>IFERROR(__xludf.DUMMYFUNCTION("""COMPUTED_VALUE"""),45826.6458333333)</f>
        <v>45826.6458333333</v>
      </c>
      <c r="H59" s="48">
        <f>IFERROR(__xludf.DUMMYFUNCTION("""COMPUTED_VALUE"""),1871)</f>
        <v>1871</v>
      </c>
      <c r="I59" s="47">
        <f>IFERROR(__xludf.DUMMYFUNCTION("""COMPUTED_VALUE"""),45826.6458333333)</f>
        <v>45826.6458333333</v>
      </c>
      <c r="J59" s="48">
        <f>IFERROR(__xludf.DUMMYFUNCTION("""COMPUTED_VALUE"""),1843.1)</f>
        <v>1843.1</v>
      </c>
      <c r="K59" s="3">
        <f t="shared" si="2"/>
        <v>0</v>
      </c>
      <c r="L59" s="3">
        <f t="shared" si="3"/>
        <v>0</v>
      </c>
    </row>
    <row r="60" customHeight="1" spans="1:12">
      <c r="A60" s="47">
        <f>IFERROR(__xludf.DUMMYFUNCTION("""COMPUTED_VALUE"""),45827.6458333333)</f>
        <v>45827.6458333333</v>
      </c>
      <c r="B60" s="48">
        <f>IFERROR(__xludf.DUMMYFUNCTION("""COMPUTED_VALUE"""),1877)</f>
        <v>1877</v>
      </c>
      <c r="C60" s="47">
        <f>IFERROR(__xludf.DUMMYFUNCTION("""COMPUTED_VALUE"""),45827.6458333333)</f>
        <v>45827.6458333333</v>
      </c>
      <c r="D60" s="48">
        <f>IFERROR(__xludf.DUMMYFUNCTION("""COMPUTED_VALUE"""),1872)</f>
        <v>1872</v>
      </c>
      <c r="E60" s="47">
        <f>IFERROR(__xludf.DUMMYFUNCTION("""COMPUTED_VALUE"""),45827.6458333333)</f>
        <v>45827.6458333333</v>
      </c>
      <c r="F60" s="48">
        <f>IFERROR(__xludf.DUMMYFUNCTION("""COMPUTED_VALUE"""),4712312)</f>
        <v>4712312</v>
      </c>
      <c r="G60" s="47">
        <f>IFERROR(__xludf.DUMMYFUNCTION("""COMPUTED_VALUE"""),45827.6458333333)</f>
        <v>45827.6458333333</v>
      </c>
      <c r="H60" s="48">
        <f>IFERROR(__xludf.DUMMYFUNCTION("""COMPUTED_VALUE"""),1879)</f>
        <v>1879</v>
      </c>
      <c r="I60" s="47">
        <f>IFERROR(__xludf.DUMMYFUNCTION("""COMPUTED_VALUE"""),45827.6458333333)</f>
        <v>45827.6458333333</v>
      </c>
      <c r="J60" s="48">
        <f>IFERROR(__xludf.DUMMYFUNCTION("""COMPUTED_VALUE"""),1864.1)</f>
        <v>1864.1</v>
      </c>
      <c r="K60" s="3">
        <f t="shared" si="2"/>
        <v>0</v>
      </c>
      <c r="L60" s="3">
        <f t="shared" si="3"/>
        <v>0</v>
      </c>
    </row>
    <row r="61" customHeight="1" spans="1:12">
      <c r="A61" s="47">
        <f>IFERROR(__xludf.DUMMYFUNCTION("""COMPUTED_VALUE"""),45828.6458333333)</f>
        <v>45828.6458333333</v>
      </c>
      <c r="B61" s="48">
        <f>IFERROR(__xludf.DUMMYFUNCTION("""COMPUTED_VALUE"""),1936.7)</f>
        <v>1936.7</v>
      </c>
      <c r="C61" s="47">
        <f>IFERROR(__xludf.DUMMYFUNCTION("""COMPUTED_VALUE"""),45828.6458333333)</f>
        <v>45828.6458333333</v>
      </c>
      <c r="D61" s="48">
        <f>IFERROR(__xludf.DUMMYFUNCTION("""COMPUTED_VALUE"""),1880)</f>
        <v>1880</v>
      </c>
      <c r="E61" s="47">
        <f>IFERROR(__xludf.DUMMYFUNCTION("""COMPUTED_VALUE"""),45828.6458333333)</f>
        <v>45828.6458333333</v>
      </c>
      <c r="F61" s="48">
        <f>IFERROR(__xludf.DUMMYFUNCTION("""COMPUTED_VALUE"""),16228526)</f>
        <v>16228526</v>
      </c>
      <c r="G61" s="47">
        <f>IFERROR(__xludf.DUMMYFUNCTION("""COMPUTED_VALUE"""),45828.6458333333)</f>
        <v>45828.6458333333</v>
      </c>
      <c r="H61" s="48">
        <f>IFERROR(__xludf.DUMMYFUNCTION("""COMPUTED_VALUE"""),1949)</f>
        <v>1949</v>
      </c>
      <c r="I61" s="47">
        <f>IFERROR(__xludf.DUMMYFUNCTION("""COMPUTED_VALUE"""),45828.6458333333)</f>
        <v>45828.6458333333</v>
      </c>
      <c r="J61" s="48">
        <f>IFERROR(__xludf.DUMMYFUNCTION("""COMPUTED_VALUE"""),1874)</f>
        <v>1874</v>
      </c>
      <c r="K61" s="3">
        <f t="shared" si="2"/>
        <v>0</v>
      </c>
      <c r="L61" s="3">
        <f t="shared" si="3"/>
        <v>0</v>
      </c>
    </row>
    <row r="62" customHeight="1" spans="1:12">
      <c r="A62" s="47">
        <f>IFERROR(__xludf.DUMMYFUNCTION("""COMPUTED_VALUE"""),45831.6458333333)</f>
        <v>45831.6458333333</v>
      </c>
      <c r="B62" s="48">
        <f>IFERROR(__xludf.DUMMYFUNCTION("""COMPUTED_VALUE"""),1936.3)</f>
        <v>1936.3</v>
      </c>
      <c r="C62" s="47">
        <f>IFERROR(__xludf.DUMMYFUNCTION("""COMPUTED_VALUE"""),45831.6458333333)</f>
        <v>45831.6458333333</v>
      </c>
      <c r="D62" s="48">
        <f>IFERROR(__xludf.DUMMYFUNCTION("""COMPUTED_VALUE"""),1930)</f>
        <v>1930</v>
      </c>
      <c r="E62" s="47">
        <f>IFERROR(__xludf.DUMMYFUNCTION("""COMPUTED_VALUE"""),45831.6458333333)</f>
        <v>45831.6458333333</v>
      </c>
      <c r="F62" s="48">
        <f>IFERROR(__xludf.DUMMYFUNCTION("""COMPUTED_VALUE"""),2946463)</f>
        <v>2946463</v>
      </c>
      <c r="G62" s="47">
        <f>IFERROR(__xludf.DUMMYFUNCTION("""COMPUTED_VALUE"""),45831.6458333333)</f>
        <v>45831.6458333333</v>
      </c>
      <c r="H62" s="48">
        <f>IFERROR(__xludf.DUMMYFUNCTION("""COMPUTED_VALUE"""),1949)</f>
        <v>1949</v>
      </c>
      <c r="I62" s="47">
        <f>IFERROR(__xludf.DUMMYFUNCTION("""COMPUTED_VALUE"""),45831.6458333333)</f>
        <v>45831.6458333333</v>
      </c>
      <c r="J62" s="48">
        <f>IFERROR(__xludf.DUMMYFUNCTION("""COMPUTED_VALUE"""),1927.1)</f>
        <v>1927.1</v>
      </c>
      <c r="K62" s="3">
        <f t="shared" si="2"/>
        <v>0</v>
      </c>
      <c r="L62" s="3">
        <f t="shared" si="3"/>
        <v>0</v>
      </c>
    </row>
    <row r="63" customHeight="1" spans="1:12">
      <c r="A63" s="47">
        <f>IFERROR(__xludf.DUMMYFUNCTION("""COMPUTED_VALUE"""),45832.6458333333)</f>
        <v>45832.6458333333</v>
      </c>
      <c r="B63" s="48">
        <f>IFERROR(__xludf.DUMMYFUNCTION("""COMPUTED_VALUE"""),1933.6)</f>
        <v>1933.6</v>
      </c>
      <c r="C63" s="47">
        <f>IFERROR(__xludf.DUMMYFUNCTION("""COMPUTED_VALUE"""),45832.6458333333)</f>
        <v>45832.6458333333</v>
      </c>
      <c r="D63" s="48">
        <f>IFERROR(__xludf.DUMMYFUNCTION("""COMPUTED_VALUE"""),1950.9)</f>
        <v>1950.9</v>
      </c>
      <c r="E63" s="47">
        <f>IFERROR(__xludf.DUMMYFUNCTION("""COMPUTED_VALUE"""),45832.6458333333)</f>
        <v>45832.6458333333</v>
      </c>
      <c r="F63" s="48">
        <f>IFERROR(__xludf.DUMMYFUNCTION("""COMPUTED_VALUE"""),6837210)</f>
        <v>6837210</v>
      </c>
      <c r="G63" s="47">
        <f>IFERROR(__xludf.DUMMYFUNCTION("""COMPUTED_VALUE"""),45832.6458333333)</f>
        <v>45832.6458333333</v>
      </c>
      <c r="H63" s="48">
        <f>IFERROR(__xludf.DUMMYFUNCTION("""COMPUTED_VALUE"""),1963)</f>
        <v>1963</v>
      </c>
      <c r="I63" s="47">
        <f>IFERROR(__xludf.DUMMYFUNCTION("""COMPUTED_VALUE"""),45832.6458333333)</f>
        <v>45832.6458333333</v>
      </c>
      <c r="J63" s="48">
        <f>IFERROR(__xludf.DUMMYFUNCTION("""COMPUTED_VALUE"""),1929.1)</f>
        <v>1929.1</v>
      </c>
      <c r="K63" s="3">
        <f t="shared" si="2"/>
        <v>0</v>
      </c>
      <c r="L63" s="3">
        <f t="shared" si="3"/>
        <v>0</v>
      </c>
    </row>
    <row r="64" customHeight="1" spans="1:12">
      <c r="A64" s="47">
        <f>IFERROR(__xludf.DUMMYFUNCTION("""COMPUTED_VALUE"""),45833.6458333333)</f>
        <v>45833.6458333333</v>
      </c>
      <c r="B64" s="48">
        <f>IFERROR(__xludf.DUMMYFUNCTION("""COMPUTED_VALUE"""),1965.6)</f>
        <v>1965.6</v>
      </c>
      <c r="C64" s="47">
        <f>IFERROR(__xludf.DUMMYFUNCTION("""COMPUTED_VALUE"""),45833.6458333333)</f>
        <v>45833.6458333333</v>
      </c>
      <c r="D64" s="48">
        <f>IFERROR(__xludf.DUMMYFUNCTION("""COMPUTED_VALUE"""),1942)</f>
        <v>1942</v>
      </c>
      <c r="E64" s="47">
        <f>IFERROR(__xludf.DUMMYFUNCTION("""COMPUTED_VALUE"""),45833.6458333333)</f>
        <v>45833.6458333333</v>
      </c>
      <c r="F64" s="48">
        <f>IFERROR(__xludf.DUMMYFUNCTION("""COMPUTED_VALUE"""),4152765)</f>
        <v>4152765</v>
      </c>
      <c r="G64" s="47">
        <f>IFERROR(__xludf.DUMMYFUNCTION("""COMPUTED_VALUE"""),45833.6458333333)</f>
        <v>45833.6458333333</v>
      </c>
      <c r="H64" s="48">
        <f>IFERROR(__xludf.DUMMYFUNCTION("""COMPUTED_VALUE"""),1970)</f>
        <v>1970</v>
      </c>
      <c r="I64" s="47">
        <f>IFERROR(__xludf.DUMMYFUNCTION("""COMPUTED_VALUE"""),45833.6458333333)</f>
        <v>45833.6458333333</v>
      </c>
      <c r="J64" s="48">
        <f>IFERROR(__xludf.DUMMYFUNCTION("""COMPUTED_VALUE"""),1938)</f>
        <v>1938</v>
      </c>
      <c r="K64" s="3">
        <f t="shared" si="2"/>
        <v>0</v>
      </c>
      <c r="L64" s="3">
        <f t="shared" si="3"/>
        <v>0</v>
      </c>
    </row>
    <row r="65" customHeight="1" spans="1:12">
      <c r="A65" s="47">
        <f>IFERROR(__xludf.DUMMYFUNCTION("""COMPUTED_VALUE"""),45834.6458333333)</f>
        <v>45834.6458333333</v>
      </c>
      <c r="B65" s="48">
        <f>IFERROR(__xludf.DUMMYFUNCTION("""COMPUTED_VALUE"""),2014.3)</f>
        <v>2014.3</v>
      </c>
      <c r="C65" s="47">
        <f>IFERROR(__xludf.DUMMYFUNCTION("""COMPUTED_VALUE"""),45834.6458333333)</f>
        <v>45834.6458333333</v>
      </c>
      <c r="D65" s="48">
        <f>IFERROR(__xludf.DUMMYFUNCTION("""COMPUTED_VALUE"""),1970)</f>
        <v>1970</v>
      </c>
      <c r="E65" s="47">
        <f>IFERROR(__xludf.DUMMYFUNCTION("""COMPUTED_VALUE"""),45834.6458333333)</f>
        <v>45834.6458333333</v>
      </c>
      <c r="F65" s="48">
        <f>IFERROR(__xludf.DUMMYFUNCTION("""COMPUTED_VALUE"""),9413241)</f>
        <v>9413241</v>
      </c>
      <c r="G65" s="47">
        <f>IFERROR(__xludf.DUMMYFUNCTION("""COMPUTED_VALUE"""),45834.6458333333)</f>
        <v>45834.6458333333</v>
      </c>
      <c r="H65" s="48">
        <f>IFERROR(__xludf.DUMMYFUNCTION("""COMPUTED_VALUE"""),2018.4)</f>
        <v>2018.4</v>
      </c>
      <c r="I65" s="47">
        <f>IFERROR(__xludf.DUMMYFUNCTION("""COMPUTED_VALUE"""),45834.6458333333)</f>
        <v>45834.6458333333</v>
      </c>
      <c r="J65" s="48">
        <f>IFERROR(__xludf.DUMMYFUNCTION("""COMPUTED_VALUE"""),1966.3)</f>
        <v>1966.3</v>
      </c>
      <c r="K65" s="3">
        <f t="shared" si="2"/>
        <v>0</v>
      </c>
      <c r="L65" s="3">
        <f t="shared" si="3"/>
        <v>0</v>
      </c>
    </row>
    <row r="66" customHeight="1" spans="1:12">
      <c r="A66" s="47">
        <f>IFERROR(__xludf.DUMMYFUNCTION("""COMPUTED_VALUE"""),45835.6458333333)</f>
        <v>45835.6458333333</v>
      </c>
      <c r="B66" s="48">
        <f>IFERROR(__xludf.DUMMYFUNCTION("""COMPUTED_VALUE"""),2027.1)</f>
        <v>2027.1</v>
      </c>
      <c r="C66" s="47">
        <f>IFERROR(__xludf.DUMMYFUNCTION("""COMPUTED_VALUE"""),45835.6458333333)</f>
        <v>45835.6458333333</v>
      </c>
      <c r="D66" s="48">
        <f>IFERROR(__xludf.DUMMYFUNCTION("""COMPUTED_VALUE"""),2010)</f>
        <v>2010</v>
      </c>
      <c r="E66" s="47">
        <f>IFERROR(__xludf.DUMMYFUNCTION("""COMPUTED_VALUE"""),45835.6458333333)</f>
        <v>45835.6458333333</v>
      </c>
      <c r="F66" s="48">
        <f>IFERROR(__xludf.DUMMYFUNCTION("""COMPUTED_VALUE"""),6405854)</f>
        <v>6405854</v>
      </c>
      <c r="G66" s="47">
        <f>IFERROR(__xludf.DUMMYFUNCTION("""COMPUTED_VALUE"""),45835.6458333333)</f>
        <v>45835.6458333333</v>
      </c>
      <c r="H66" s="48">
        <f>IFERROR(__xludf.DUMMYFUNCTION("""COMPUTED_VALUE"""),2039)</f>
        <v>2039</v>
      </c>
      <c r="I66" s="47">
        <f>IFERROR(__xludf.DUMMYFUNCTION("""COMPUTED_VALUE"""),45835.6458333333)</f>
        <v>45835.6458333333</v>
      </c>
      <c r="J66" s="48">
        <f>IFERROR(__xludf.DUMMYFUNCTION("""COMPUTED_VALUE"""),2008.6)</f>
        <v>2008.6</v>
      </c>
      <c r="K66" s="3">
        <f t="shared" si="2"/>
        <v>0</v>
      </c>
      <c r="L66" s="3">
        <f t="shared" si="3"/>
        <v>0</v>
      </c>
    </row>
    <row r="67" customHeight="1" spans="1:12">
      <c r="A67" s="47">
        <f>IFERROR(__xludf.DUMMYFUNCTION("""COMPUTED_VALUE"""),45838.6458333333)</f>
        <v>45838.6458333333</v>
      </c>
      <c r="B67" s="48">
        <f>IFERROR(__xludf.DUMMYFUNCTION("""COMPUTED_VALUE"""),2009.6)</f>
        <v>2009.6</v>
      </c>
      <c r="C67" s="47">
        <f>IFERROR(__xludf.DUMMYFUNCTION("""COMPUTED_VALUE"""),45838.6458333333)</f>
        <v>45838.6458333333</v>
      </c>
      <c r="D67" s="48">
        <f>IFERROR(__xludf.DUMMYFUNCTION("""COMPUTED_VALUE"""),2018)</f>
        <v>2018</v>
      </c>
      <c r="E67" s="47">
        <f>IFERROR(__xludf.DUMMYFUNCTION("""COMPUTED_VALUE"""),45838.6458333333)</f>
        <v>45838.6458333333</v>
      </c>
      <c r="F67" s="48">
        <f>IFERROR(__xludf.DUMMYFUNCTION("""COMPUTED_VALUE"""),5597484)</f>
        <v>5597484</v>
      </c>
      <c r="G67" s="47">
        <f>IFERROR(__xludf.DUMMYFUNCTION("""COMPUTED_VALUE"""),45838.6458333333)</f>
        <v>45838.6458333333</v>
      </c>
      <c r="H67" s="48">
        <f>IFERROR(__xludf.DUMMYFUNCTION("""COMPUTED_VALUE"""),2023.9)</f>
        <v>2023.9</v>
      </c>
      <c r="I67" s="47">
        <f>IFERROR(__xludf.DUMMYFUNCTION("""COMPUTED_VALUE"""),45838.6458333333)</f>
        <v>45838.6458333333</v>
      </c>
      <c r="J67" s="48">
        <f>IFERROR(__xludf.DUMMYFUNCTION("""COMPUTED_VALUE"""),2000.2)</f>
        <v>2000.2</v>
      </c>
      <c r="K67" s="3">
        <f t="shared" si="2"/>
        <v>0</v>
      </c>
      <c r="L67" s="3">
        <f t="shared" si="3"/>
        <v>0</v>
      </c>
    </row>
    <row r="68" customHeight="1" spans="1:12">
      <c r="A68" s="47">
        <f>IFERROR(__xludf.DUMMYFUNCTION("""COMPUTED_VALUE"""),45839.6458333333)</f>
        <v>45839.6458333333</v>
      </c>
      <c r="B68" s="48">
        <f>IFERROR(__xludf.DUMMYFUNCTION("""COMPUTED_VALUE"""),2019.4)</f>
        <v>2019.4</v>
      </c>
      <c r="C68" s="47">
        <f>IFERROR(__xludf.DUMMYFUNCTION("""COMPUTED_VALUE"""),45839.6458333333)</f>
        <v>45839.6458333333</v>
      </c>
      <c r="D68" s="48">
        <f>IFERROR(__xludf.DUMMYFUNCTION("""COMPUTED_VALUE"""),2009)</f>
        <v>2009</v>
      </c>
      <c r="E68" s="47">
        <f>IFERROR(__xludf.DUMMYFUNCTION("""COMPUTED_VALUE"""),45839.6458333333)</f>
        <v>45839.6458333333</v>
      </c>
      <c r="F68" s="48">
        <f>IFERROR(__xludf.DUMMYFUNCTION("""COMPUTED_VALUE"""),3769165)</f>
        <v>3769165</v>
      </c>
      <c r="G68" s="47">
        <f>IFERROR(__xludf.DUMMYFUNCTION("""COMPUTED_VALUE"""),45839.6458333333)</f>
        <v>45839.6458333333</v>
      </c>
      <c r="H68" s="48">
        <f>IFERROR(__xludf.DUMMYFUNCTION("""COMPUTED_VALUE"""),2030.8)</f>
        <v>2030.8</v>
      </c>
      <c r="I68" s="47">
        <f>IFERROR(__xludf.DUMMYFUNCTION("""COMPUTED_VALUE"""),45839.6458333333)</f>
        <v>45839.6458333333</v>
      </c>
      <c r="J68" s="48">
        <f>IFERROR(__xludf.DUMMYFUNCTION("""COMPUTED_VALUE"""),2006.9)</f>
        <v>2006.9</v>
      </c>
      <c r="K68" s="3">
        <f t="shared" si="2"/>
        <v>0</v>
      </c>
      <c r="L68" s="3">
        <f t="shared" si="3"/>
        <v>0</v>
      </c>
    </row>
    <row r="69" customHeight="1" spans="1:12">
      <c r="A69" s="47">
        <f>IFERROR(__xludf.DUMMYFUNCTION("""COMPUTED_VALUE"""),45840.6458333333)</f>
        <v>45840.6458333333</v>
      </c>
      <c r="B69" s="48">
        <f>IFERROR(__xludf.DUMMYFUNCTION("""COMPUTED_VALUE"""),2033.3)</f>
        <v>2033.3</v>
      </c>
      <c r="C69" s="47">
        <f>IFERROR(__xludf.DUMMYFUNCTION("""COMPUTED_VALUE"""),45840.6458333333)</f>
        <v>45840.6458333333</v>
      </c>
      <c r="D69" s="48">
        <f>IFERROR(__xludf.DUMMYFUNCTION("""COMPUTED_VALUE"""),2037)</f>
        <v>2037</v>
      </c>
      <c r="E69" s="47">
        <f>IFERROR(__xludf.DUMMYFUNCTION("""COMPUTED_VALUE"""),45840.6458333333)</f>
        <v>45840.6458333333</v>
      </c>
      <c r="F69" s="48">
        <f>IFERROR(__xludf.DUMMYFUNCTION("""COMPUTED_VALUE"""),6513288)</f>
        <v>6513288</v>
      </c>
      <c r="G69" s="47">
        <f>IFERROR(__xludf.DUMMYFUNCTION("""COMPUTED_VALUE"""),45840.6458333333)</f>
        <v>45840.6458333333</v>
      </c>
      <c r="H69" s="48">
        <f>IFERROR(__xludf.DUMMYFUNCTION("""COMPUTED_VALUE"""),2045.8)</f>
        <v>2045.8</v>
      </c>
      <c r="I69" s="47">
        <f>IFERROR(__xludf.DUMMYFUNCTION("""COMPUTED_VALUE"""),45840.6458333333)</f>
        <v>45840.6458333333</v>
      </c>
      <c r="J69" s="48">
        <f>IFERROR(__xludf.DUMMYFUNCTION("""COMPUTED_VALUE"""),2018.3)</f>
        <v>2018.3</v>
      </c>
      <c r="K69" s="3">
        <f t="shared" si="2"/>
        <v>0</v>
      </c>
      <c r="L69" s="3">
        <f t="shared" si="3"/>
        <v>0</v>
      </c>
    </row>
    <row r="70" customHeight="1" spans="1:12">
      <c r="A70" s="47">
        <f>IFERROR(__xludf.DUMMYFUNCTION("""COMPUTED_VALUE"""),45841.6458333333)</f>
        <v>45841.6458333333</v>
      </c>
      <c r="B70" s="48">
        <f>IFERROR(__xludf.DUMMYFUNCTION("""COMPUTED_VALUE"""),2019.3)</f>
        <v>2019.3</v>
      </c>
      <c r="C70" s="47">
        <f>IFERROR(__xludf.DUMMYFUNCTION("""COMPUTED_VALUE"""),45841.6458333333)</f>
        <v>45841.6458333333</v>
      </c>
      <c r="D70" s="48">
        <f>IFERROR(__xludf.DUMMYFUNCTION("""COMPUTED_VALUE"""),2041.8)</f>
        <v>2041.8</v>
      </c>
      <c r="E70" s="47">
        <f>IFERROR(__xludf.DUMMYFUNCTION("""COMPUTED_VALUE"""),45841.6458333333)</f>
        <v>45841.6458333333</v>
      </c>
      <c r="F70" s="48">
        <f>IFERROR(__xludf.DUMMYFUNCTION("""COMPUTED_VALUE"""),5558647)</f>
        <v>5558647</v>
      </c>
      <c r="G70" s="47">
        <f>IFERROR(__xludf.DUMMYFUNCTION("""COMPUTED_VALUE"""),45841.6458333333)</f>
        <v>45841.6458333333</v>
      </c>
      <c r="H70" s="48">
        <f>IFERROR(__xludf.DUMMYFUNCTION("""COMPUTED_VALUE"""),2044.9)</f>
        <v>2044.9</v>
      </c>
      <c r="I70" s="47">
        <f>IFERROR(__xludf.DUMMYFUNCTION("""COMPUTED_VALUE"""),45841.6458333333)</f>
        <v>45841.6458333333</v>
      </c>
      <c r="J70" s="48">
        <f>IFERROR(__xludf.DUMMYFUNCTION("""COMPUTED_VALUE"""),2012.9)</f>
        <v>2012.9</v>
      </c>
      <c r="K70" s="3">
        <f t="shared" si="2"/>
        <v>0</v>
      </c>
      <c r="L70" s="3">
        <f t="shared" si="3"/>
        <v>0</v>
      </c>
    </row>
    <row r="71" customHeight="1" spans="1:12">
      <c r="A71" s="47">
        <f>IFERROR(__xludf.DUMMYFUNCTION("""COMPUTED_VALUE"""),45842.6458333333)</f>
        <v>45842.6458333333</v>
      </c>
      <c r="B71" s="48">
        <f>IFERROR(__xludf.DUMMYFUNCTION("""COMPUTED_VALUE"""),2017.2)</f>
        <v>2017.2</v>
      </c>
      <c r="C71" s="47">
        <f>IFERROR(__xludf.DUMMYFUNCTION("""COMPUTED_VALUE"""),45842.6458333333)</f>
        <v>45842.6458333333</v>
      </c>
      <c r="D71" s="48">
        <f>IFERROR(__xludf.DUMMYFUNCTION("""COMPUTED_VALUE"""),2027)</f>
        <v>2027</v>
      </c>
      <c r="E71" s="47">
        <f>IFERROR(__xludf.DUMMYFUNCTION("""COMPUTED_VALUE"""),45842.6458333333)</f>
        <v>45842.6458333333</v>
      </c>
      <c r="F71" s="48">
        <f>IFERROR(__xludf.DUMMYFUNCTION("""COMPUTED_VALUE"""),2178315)</f>
        <v>2178315</v>
      </c>
      <c r="G71" s="47">
        <f>IFERROR(__xludf.DUMMYFUNCTION("""COMPUTED_VALUE"""),45842.6458333333)</f>
        <v>45842.6458333333</v>
      </c>
      <c r="H71" s="48">
        <f>IFERROR(__xludf.DUMMYFUNCTION("""COMPUTED_VALUE"""),2036.5)</f>
        <v>2036.5</v>
      </c>
      <c r="I71" s="47">
        <f>IFERROR(__xludf.DUMMYFUNCTION("""COMPUTED_VALUE"""),45842.6458333333)</f>
        <v>45842.6458333333</v>
      </c>
      <c r="J71" s="48">
        <f>IFERROR(__xludf.DUMMYFUNCTION("""COMPUTED_VALUE"""),2005.1)</f>
        <v>2005.1</v>
      </c>
      <c r="K71" s="3">
        <f t="shared" si="2"/>
        <v>0</v>
      </c>
      <c r="L71" s="3">
        <f t="shared" si="3"/>
        <v>0</v>
      </c>
    </row>
    <row r="72" customHeight="1" spans="1:12">
      <c r="A72" s="47">
        <f>IFERROR(__xludf.DUMMYFUNCTION("""COMPUTED_VALUE"""),45845.6458333333)</f>
        <v>45845.6458333333</v>
      </c>
      <c r="B72" s="48">
        <f>IFERROR(__xludf.DUMMYFUNCTION("""COMPUTED_VALUE"""),2033.9)</f>
        <v>2033.9</v>
      </c>
      <c r="C72" s="47">
        <f>IFERROR(__xludf.DUMMYFUNCTION("""COMPUTED_VALUE"""),45845.6458333333)</f>
        <v>45845.6458333333</v>
      </c>
      <c r="D72" s="48">
        <f>IFERROR(__xludf.DUMMYFUNCTION("""COMPUTED_VALUE"""),2018)</f>
        <v>2018</v>
      </c>
      <c r="E72" s="47">
        <f>IFERROR(__xludf.DUMMYFUNCTION("""COMPUTED_VALUE"""),45845.6458333333)</f>
        <v>45845.6458333333</v>
      </c>
      <c r="F72" s="48">
        <f>IFERROR(__xludf.DUMMYFUNCTION("""COMPUTED_VALUE"""),4165432)</f>
        <v>4165432</v>
      </c>
      <c r="G72" s="47">
        <f>IFERROR(__xludf.DUMMYFUNCTION("""COMPUTED_VALUE"""),45845.6458333333)</f>
        <v>45845.6458333333</v>
      </c>
      <c r="H72" s="48">
        <f>IFERROR(__xludf.DUMMYFUNCTION("""COMPUTED_VALUE"""),2036)</f>
        <v>2036</v>
      </c>
      <c r="I72" s="47">
        <f>IFERROR(__xludf.DUMMYFUNCTION("""COMPUTED_VALUE"""),45845.6458333333)</f>
        <v>45845.6458333333</v>
      </c>
      <c r="J72" s="48">
        <f>IFERROR(__xludf.DUMMYFUNCTION("""COMPUTED_VALUE"""),2010.6)</f>
        <v>2010.6</v>
      </c>
      <c r="K72" s="3">
        <f t="shared" si="2"/>
        <v>2033.9</v>
      </c>
      <c r="L72" s="3">
        <f t="shared" si="3"/>
        <v>0</v>
      </c>
    </row>
    <row r="73" customHeight="1" spans="1:12">
      <c r="A73" s="47">
        <f>IFERROR(__xludf.DUMMYFUNCTION("""COMPUTED_VALUE"""),45846.6458333333)</f>
        <v>45846.6458333333</v>
      </c>
      <c r="B73" s="48">
        <f>IFERROR(__xludf.DUMMYFUNCTION("""COMPUTED_VALUE"""),2030)</f>
        <v>2030</v>
      </c>
      <c r="C73" s="47">
        <f>IFERROR(__xludf.DUMMYFUNCTION("""COMPUTED_VALUE"""),45846.6458333333)</f>
        <v>45846.6458333333</v>
      </c>
      <c r="D73" s="48">
        <f>IFERROR(__xludf.DUMMYFUNCTION("""COMPUTED_VALUE"""),2026)</f>
        <v>2026</v>
      </c>
      <c r="E73" s="47">
        <f>IFERROR(__xludf.DUMMYFUNCTION("""COMPUTED_VALUE"""),45846.6458333333)</f>
        <v>45846.6458333333</v>
      </c>
      <c r="F73" s="48">
        <f>IFERROR(__xludf.DUMMYFUNCTION("""COMPUTED_VALUE"""),3624619)</f>
        <v>3624619</v>
      </c>
      <c r="G73" s="47">
        <f>IFERROR(__xludf.DUMMYFUNCTION("""COMPUTED_VALUE"""),45846.6458333333)</f>
        <v>45846.6458333333</v>
      </c>
      <c r="H73" s="48">
        <f>IFERROR(__xludf.DUMMYFUNCTION("""COMPUTED_VALUE"""),2035)</f>
        <v>2035</v>
      </c>
      <c r="I73" s="47">
        <f>IFERROR(__xludf.DUMMYFUNCTION("""COMPUTED_VALUE"""),45846.6458333333)</f>
        <v>45846.6458333333</v>
      </c>
      <c r="J73" s="48">
        <f>IFERROR(__xludf.DUMMYFUNCTION("""COMPUTED_VALUE"""),2014.8)</f>
        <v>2014.8</v>
      </c>
      <c r="K73" s="3">
        <f t="shared" si="2"/>
        <v>0</v>
      </c>
      <c r="L73" s="3">
        <f t="shared" si="3"/>
        <v>0</v>
      </c>
    </row>
    <row r="74" customHeight="1" spans="1:12">
      <c r="A74" s="47">
        <f>IFERROR(__xludf.DUMMYFUNCTION("""COMPUTED_VALUE"""),45847.6458333333)</f>
        <v>45847.6458333333</v>
      </c>
      <c r="B74" s="48">
        <f>IFERROR(__xludf.DUMMYFUNCTION("""COMPUTED_VALUE"""),2019.7)</f>
        <v>2019.7</v>
      </c>
      <c r="C74" s="47">
        <f>IFERROR(__xludf.DUMMYFUNCTION("""COMPUTED_VALUE"""),45847.6458333333)</f>
        <v>45847.6458333333</v>
      </c>
      <c r="D74" s="48">
        <f>IFERROR(__xludf.DUMMYFUNCTION("""COMPUTED_VALUE"""),2035)</f>
        <v>2035</v>
      </c>
      <c r="E74" s="47">
        <f>IFERROR(__xludf.DUMMYFUNCTION("""COMPUTED_VALUE"""),45847.6458333333)</f>
        <v>45847.6458333333</v>
      </c>
      <c r="F74" s="48">
        <f>IFERROR(__xludf.DUMMYFUNCTION("""COMPUTED_VALUE"""),2937734)</f>
        <v>2937734</v>
      </c>
      <c r="G74" s="47">
        <f>IFERROR(__xludf.DUMMYFUNCTION("""COMPUTED_VALUE"""),45847.6458333333)</f>
        <v>45847.6458333333</v>
      </c>
      <c r="H74" s="48">
        <f>IFERROR(__xludf.DUMMYFUNCTION("""COMPUTED_VALUE"""),2040.7)</f>
        <v>2040.7</v>
      </c>
      <c r="I74" s="47">
        <f>IFERROR(__xludf.DUMMYFUNCTION("""COMPUTED_VALUE"""),45847.6458333333)</f>
        <v>45847.6458333333</v>
      </c>
      <c r="J74" s="48">
        <f>IFERROR(__xludf.DUMMYFUNCTION("""COMPUTED_VALUE"""),1998.5)</f>
        <v>1998.5</v>
      </c>
      <c r="K74" s="3">
        <f t="shared" si="2"/>
        <v>0</v>
      </c>
      <c r="L74" s="3">
        <f t="shared" si="3"/>
        <v>0</v>
      </c>
    </row>
    <row r="75" customHeight="1" spans="1:12">
      <c r="A75" s="47">
        <f>IFERROR(__xludf.DUMMYFUNCTION("""COMPUTED_VALUE"""),45848.6458333333)</f>
        <v>45848.6458333333</v>
      </c>
      <c r="B75" s="48">
        <f>IFERROR(__xludf.DUMMYFUNCTION("""COMPUTED_VALUE"""),1964.5)</f>
        <v>1964.5</v>
      </c>
      <c r="C75" s="47">
        <f>IFERROR(__xludf.DUMMYFUNCTION("""COMPUTED_VALUE"""),45848.6458333333)</f>
        <v>45848.6458333333</v>
      </c>
      <c r="D75" s="48">
        <f>IFERROR(__xludf.DUMMYFUNCTION("""COMPUTED_VALUE"""),2028.6)</f>
        <v>2028.6</v>
      </c>
      <c r="E75" s="47">
        <f>IFERROR(__xludf.DUMMYFUNCTION("""COMPUTED_VALUE"""),45848.6458333333)</f>
        <v>45848.6458333333</v>
      </c>
      <c r="F75" s="48">
        <f>IFERROR(__xludf.DUMMYFUNCTION("""COMPUTED_VALUE"""),5695845)</f>
        <v>5695845</v>
      </c>
      <c r="G75" s="47">
        <f>IFERROR(__xludf.DUMMYFUNCTION("""COMPUTED_VALUE"""),45848.6458333333)</f>
        <v>45848.6458333333</v>
      </c>
      <c r="H75" s="48">
        <f>IFERROR(__xludf.DUMMYFUNCTION("""COMPUTED_VALUE"""),2028.6)</f>
        <v>2028.6</v>
      </c>
      <c r="I75" s="47">
        <f>IFERROR(__xludf.DUMMYFUNCTION("""COMPUTED_VALUE"""),45848.6458333333)</f>
        <v>45848.6458333333</v>
      </c>
      <c r="J75" s="48">
        <f>IFERROR(__xludf.DUMMYFUNCTION("""COMPUTED_VALUE"""),1962.3)</f>
        <v>1962.3</v>
      </c>
      <c r="K75" s="3">
        <f t="shared" si="2"/>
        <v>0</v>
      </c>
      <c r="L75" s="3">
        <f t="shared" si="3"/>
        <v>0</v>
      </c>
    </row>
    <row r="76" customHeight="1" spans="1:12">
      <c r="A76" s="47">
        <f>IFERROR(__xludf.DUMMYFUNCTION("""COMPUTED_VALUE"""),45849.6458333333)</f>
        <v>45849.6458333333</v>
      </c>
      <c r="B76" s="48">
        <f>IFERROR(__xludf.DUMMYFUNCTION("""COMPUTED_VALUE"""),1921.9)</f>
        <v>1921.9</v>
      </c>
      <c r="C76" s="47">
        <f>IFERROR(__xludf.DUMMYFUNCTION("""COMPUTED_VALUE"""),45849.6458333333)</f>
        <v>45849.6458333333</v>
      </c>
      <c r="D76" s="48">
        <f>IFERROR(__xludf.DUMMYFUNCTION("""COMPUTED_VALUE"""),1942)</f>
        <v>1942</v>
      </c>
      <c r="E76" s="47">
        <f>IFERROR(__xludf.DUMMYFUNCTION("""COMPUTED_VALUE"""),45849.6458333333)</f>
        <v>45849.6458333333</v>
      </c>
      <c r="F76" s="48">
        <f>IFERROR(__xludf.DUMMYFUNCTION("""COMPUTED_VALUE"""),13103980)</f>
        <v>13103980</v>
      </c>
      <c r="G76" s="47">
        <f>IFERROR(__xludf.DUMMYFUNCTION("""COMPUTED_VALUE"""),45849.6458333333)</f>
        <v>45849.6458333333</v>
      </c>
      <c r="H76" s="48">
        <f>IFERROR(__xludf.DUMMYFUNCTION("""COMPUTED_VALUE"""),1959.1)</f>
        <v>1959.1</v>
      </c>
      <c r="I76" s="47">
        <f>IFERROR(__xludf.DUMMYFUNCTION("""COMPUTED_VALUE"""),45849.6458333333)</f>
        <v>45849.6458333333</v>
      </c>
      <c r="J76" s="48">
        <f>IFERROR(__xludf.DUMMYFUNCTION("""COMPUTED_VALUE"""),1914.2)</f>
        <v>1914.2</v>
      </c>
      <c r="K76" s="3">
        <f t="shared" si="2"/>
        <v>0</v>
      </c>
      <c r="L76" s="3">
        <f t="shared" si="3"/>
        <v>0</v>
      </c>
    </row>
    <row r="77" customHeight="1" spans="1:12">
      <c r="A77" s="47">
        <f>IFERROR(__xludf.DUMMYFUNCTION("""COMPUTED_VALUE"""),45852.6458333333)</f>
        <v>45852.6458333333</v>
      </c>
      <c r="B77" s="48">
        <f>IFERROR(__xludf.DUMMYFUNCTION("""COMPUTED_VALUE"""),1920.9)</f>
        <v>1920.9</v>
      </c>
      <c r="C77" s="47">
        <f>IFERROR(__xludf.DUMMYFUNCTION("""COMPUTED_VALUE"""),45852.6458333333)</f>
        <v>45852.6458333333</v>
      </c>
      <c r="D77" s="48">
        <f>IFERROR(__xludf.DUMMYFUNCTION("""COMPUTED_VALUE"""),1915)</f>
        <v>1915</v>
      </c>
      <c r="E77" s="47">
        <f>IFERROR(__xludf.DUMMYFUNCTION("""COMPUTED_VALUE"""),45852.6458333333)</f>
        <v>45852.6458333333</v>
      </c>
      <c r="F77" s="48">
        <f>IFERROR(__xludf.DUMMYFUNCTION("""COMPUTED_VALUE"""),5269381)</f>
        <v>5269381</v>
      </c>
      <c r="G77" s="47">
        <f>IFERROR(__xludf.DUMMYFUNCTION("""COMPUTED_VALUE"""),45852.6458333333)</f>
        <v>45852.6458333333</v>
      </c>
      <c r="H77" s="48">
        <f>IFERROR(__xludf.DUMMYFUNCTION("""COMPUTED_VALUE"""),1927.5)</f>
        <v>1927.5</v>
      </c>
      <c r="I77" s="47">
        <f>IFERROR(__xludf.DUMMYFUNCTION("""COMPUTED_VALUE"""),45852.6458333333)</f>
        <v>45852.6458333333</v>
      </c>
      <c r="J77" s="48">
        <f>IFERROR(__xludf.DUMMYFUNCTION("""COMPUTED_VALUE"""),1900.2)</f>
        <v>1900.2</v>
      </c>
      <c r="K77" s="3">
        <f t="shared" si="2"/>
        <v>0</v>
      </c>
      <c r="L77" s="3">
        <f t="shared" si="3"/>
        <v>0</v>
      </c>
    </row>
    <row r="78" customHeight="1" spans="1:12">
      <c r="A78" s="47">
        <f>IFERROR(__xludf.DUMMYFUNCTION("""COMPUTED_VALUE"""),45853.6458333333)</f>
        <v>45853.6458333333</v>
      </c>
      <c r="B78" s="48">
        <f>IFERROR(__xludf.DUMMYFUNCTION("""COMPUTED_VALUE"""),1934.2)</f>
        <v>1934.2</v>
      </c>
      <c r="C78" s="47">
        <f>IFERROR(__xludf.DUMMYFUNCTION("""COMPUTED_VALUE"""),45853.6458333333)</f>
        <v>45853.6458333333</v>
      </c>
      <c r="D78" s="48">
        <f>IFERROR(__xludf.DUMMYFUNCTION("""COMPUTED_VALUE"""),1924.8)</f>
        <v>1924.8</v>
      </c>
      <c r="E78" s="47">
        <f>IFERROR(__xludf.DUMMYFUNCTION("""COMPUTED_VALUE"""),45853.6458333333)</f>
        <v>45853.6458333333</v>
      </c>
      <c r="F78" s="48">
        <f>IFERROR(__xludf.DUMMYFUNCTION("""COMPUTED_VALUE"""),4163140)</f>
        <v>4163140</v>
      </c>
      <c r="G78" s="47">
        <f>IFERROR(__xludf.DUMMYFUNCTION("""COMPUTED_VALUE"""),45853.6458333333)</f>
        <v>45853.6458333333</v>
      </c>
      <c r="H78" s="48">
        <f>IFERROR(__xludf.DUMMYFUNCTION("""COMPUTED_VALUE"""),1943)</f>
        <v>1943</v>
      </c>
      <c r="I78" s="47">
        <f>IFERROR(__xludf.DUMMYFUNCTION("""COMPUTED_VALUE"""),45853.6458333333)</f>
        <v>45853.6458333333</v>
      </c>
      <c r="J78" s="48">
        <f>IFERROR(__xludf.DUMMYFUNCTION("""COMPUTED_VALUE"""),1923.2)</f>
        <v>1923.2</v>
      </c>
      <c r="K78" s="3">
        <f t="shared" si="2"/>
        <v>0</v>
      </c>
      <c r="L78" s="3">
        <f t="shared" si="3"/>
        <v>0</v>
      </c>
    </row>
    <row r="79" customHeight="1" spans="1:12">
      <c r="A79" s="47">
        <f>IFERROR(__xludf.DUMMYFUNCTION("""COMPUTED_VALUE"""),45854.6458333333)</f>
        <v>45854.6458333333</v>
      </c>
      <c r="B79" s="48">
        <f>IFERROR(__xludf.DUMMYFUNCTION("""COMPUTED_VALUE"""),1936.6)</f>
        <v>1936.6</v>
      </c>
      <c r="C79" s="47">
        <f>IFERROR(__xludf.DUMMYFUNCTION("""COMPUTED_VALUE"""),45854.6458333333)</f>
        <v>45854.6458333333</v>
      </c>
      <c r="D79" s="48">
        <f>IFERROR(__xludf.DUMMYFUNCTION("""COMPUTED_VALUE"""),1944)</f>
        <v>1944</v>
      </c>
      <c r="E79" s="47">
        <f>IFERROR(__xludf.DUMMYFUNCTION("""COMPUTED_VALUE"""),45854.6458333333)</f>
        <v>45854.6458333333</v>
      </c>
      <c r="F79" s="48">
        <f>IFERROR(__xludf.DUMMYFUNCTION("""COMPUTED_VALUE"""),4211258)</f>
        <v>4211258</v>
      </c>
      <c r="G79" s="47">
        <f>IFERROR(__xludf.DUMMYFUNCTION("""COMPUTED_VALUE"""),45854.6458333333)</f>
        <v>45854.6458333333</v>
      </c>
      <c r="H79" s="48">
        <f>IFERROR(__xludf.DUMMYFUNCTION("""COMPUTED_VALUE"""),1944)</f>
        <v>1944</v>
      </c>
      <c r="I79" s="47">
        <f>IFERROR(__xludf.DUMMYFUNCTION("""COMPUTED_VALUE"""),45854.6458333333)</f>
        <v>45854.6458333333</v>
      </c>
      <c r="J79" s="48">
        <f>IFERROR(__xludf.DUMMYFUNCTION("""COMPUTED_VALUE"""),1928.8)</f>
        <v>1928.8</v>
      </c>
      <c r="K79" s="3">
        <f t="shared" si="2"/>
        <v>0</v>
      </c>
      <c r="L79" s="3">
        <f t="shared" si="3"/>
        <v>0</v>
      </c>
    </row>
    <row r="80" customHeight="1" spans="1:12">
      <c r="A80" s="47">
        <f>IFERROR(__xludf.DUMMYFUNCTION("""COMPUTED_VALUE"""),45855.6458333333)</f>
        <v>45855.6458333333</v>
      </c>
      <c r="B80" s="48">
        <f>IFERROR(__xludf.DUMMYFUNCTION("""COMPUTED_VALUE"""),1929.9)</f>
        <v>1929.9</v>
      </c>
      <c r="C80" s="47">
        <f>IFERROR(__xludf.DUMMYFUNCTION("""COMPUTED_VALUE"""),45855.6458333333)</f>
        <v>45855.6458333333</v>
      </c>
      <c r="D80" s="48">
        <f>IFERROR(__xludf.DUMMYFUNCTION("""COMPUTED_VALUE"""),1943.7)</f>
        <v>1943.7</v>
      </c>
      <c r="E80" s="47">
        <f>IFERROR(__xludf.DUMMYFUNCTION("""COMPUTED_VALUE"""),45855.6458333333)</f>
        <v>45855.6458333333</v>
      </c>
      <c r="F80" s="48">
        <f>IFERROR(__xludf.DUMMYFUNCTION("""COMPUTED_VALUE"""),6256455)</f>
        <v>6256455</v>
      </c>
      <c r="G80" s="47">
        <f>IFERROR(__xludf.DUMMYFUNCTION("""COMPUTED_VALUE"""),45855.6458333333)</f>
        <v>45855.6458333333</v>
      </c>
      <c r="H80" s="48">
        <f>IFERROR(__xludf.DUMMYFUNCTION("""COMPUTED_VALUE"""),1944.9)</f>
        <v>1944.9</v>
      </c>
      <c r="I80" s="47">
        <f>IFERROR(__xludf.DUMMYFUNCTION("""COMPUTED_VALUE"""),45855.6458333333)</f>
        <v>45855.6458333333</v>
      </c>
      <c r="J80" s="48">
        <f>IFERROR(__xludf.DUMMYFUNCTION("""COMPUTED_VALUE"""),1927.6)</f>
        <v>1927.6</v>
      </c>
      <c r="K80" s="3">
        <f t="shared" si="2"/>
        <v>0</v>
      </c>
      <c r="L80" s="3">
        <f t="shared" si="3"/>
        <v>0</v>
      </c>
    </row>
    <row r="81" customHeight="1" spans="1:12">
      <c r="A81" s="47">
        <f>IFERROR(__xludf.DUMMYFUNCTION("""COMPUTED_VALUE"""),45856.6458333333)</f>
        <v>45856.6458333333</v>
      </c>
      <c r="B81" s="48">
        <f>IFERROR(__xludf.DUMMYFUNCTION("""COMPUTED_VALUE"""),1901)</f>
        <v>1901</v>
      </c>
      <c r="C81" s="47">
        <f>IFERROR(__xludf.DUMMYFUNCTION("""COMPUTED_VALUE"""),45856.6458333333)</f>
        <v>45856.6458333333</v>
      </c>
      <c r="D81" s="48">
        <f>IFERROR(__xludf.DUMMYFUNCTION("""COMPUTED_VALUE"""),1915.1)</f>
        <v>1915.1</v>
      </c>
      <c r="E81" s="47">
        <f>IFERROR(__xludf.DUMMYFUNCTION("""COMPUTED_VALUE"""),45856.6458333333)</f>
        <v>45856.6458333333</v>
      </c>
      <c r="F81" s="48">
        <f>IFERROR(__xludf.DUMMYFUNCTION("""COMPUTED_VALUE"""),4643961)</f>
        <v>4643961</v>
      </c>
      <c r="G81" s="47">
        <f>IFERROR(__xludf.DUMMYFUNCTION("""COMPUTED_VALUE"""),45856.6458333333)</f>
        <v>45856.6458333333</v>
      </c>
      <c r="H81" s="48">
        <f>IFERROR(__xludf.DUMMYFUNCTION("""COMPUTED_VALUE"""),1916)</f>
        <v>1916</v>
      </c>
      <c r="I81" s="47">
        <f>IFERROR(__xludf.DUMMYFUNCTION("""COMPUTED_VALUE"""),45856.6458333333)</f>
        <v>45856.6458333333</v>
      </c>
      <c r="J81" s="48">
        <f>IFERROR(__xludf.DUMMYFUNCTION("""COMPUTED_VALUE"""),1891.8)</f>
        <v>1891.8</v>
      </c>
      <c r="K81" s="3">
        <f t="shared" si="2"/>
        <v>0</v>
      </c>
      <c r="L81" s="3">
        <f t="shared" si="3"/>
        <v>0</v>
      </c>
    </row>
    <row r="82" customHeight="1" spans="1:12">
      <c r="A82" s="47">
        <f>IFERROR(__xludf.DUMMYFUNCTION("""COMPUTED_VALUE"""),45859.6458333333)</f>
        <v>45859.6458333333</v>
      </c>
      <c r="B82" s="48">
        <f>IFERROR(__xludf.DUMMYFUNCTION("""COMPUTED_VALUE"""),1909.2)</f>
        <v>1909.2</v>
      </c>
      <c r="C82" s="47">
        <f>IFERROR(__xludf.DUMMYFUNCTION("""COMPUTED_VALUE"""),45859.6458333333)</f>
        <v>45859.6458333333</v>
      </c>
      <c r="D82" s="48">
        <f>IFERROR(__xludf.DUMMYFUNCTION("""COMPUTED_VALUE"""),1894.8)</f>
        <v>1894.8</v>
      </c>
      <c r="E82" s="47">
        <f>IFERROR(__xludf.DUMMYFUNCTION("""COMPUTED_VALUE"""),45859.6458333333)</f>
        <v>45859.6458333333</v>
      </c>
      <c r="F82" s="48">
        <f>IFERROR(__xludf.DUMMYFUNCTION("""COMPUTED_VALUE"""),5109654)</f>
        <v>5109654</v>
      </c>
      <c r="G82" s="47">
        <f>IFERROR(__xludf.DUMMYFUNCTION("""COMPUTED_VALUE"""),45859.6458333333)</f>
        <v>45859.6458333333</v>
      </c>
      <c r="H82" s="48">
        <f>IFERROR(__xludf.DUMMYFUNCTION("""COMPUTED_VALUE"""),1919.9)</f>
        <v>1919.9</v>
      </c>
      <c r="I82" s="47">
        <f>IFERROR(__xludf.DUMMYFUNCTION("""COMPUTED_VALUE"""),45859.6458333333)</f>
        <v>45859.6458333333</v>
      </c>
      <c r="J82" s="48">
        <f>IFERROR(__xludf.DUMMYFUNCTION("""COMPUTED_VALUE"""),1892.6)</f>
        <v>1892.6</v>
      </c>
      <c r="K82" s="3">
        <f t="shared" si="2"/>
        <v>0</v>
      </c>
      <c r="L82" s="3">
        <f t="shared" si="3"/>
        <v>0</v>
      </c>
    </row>
    <row r="83" customHeight="1" spans="1:12">
      <c r="A83" s="47">
        <f>IFERROR(__xludf.DUMMYFUNCTION("""COMPUTED_VALUE"""),45860.6458333333)</f>
        <v>45860.6458333333</v>
      </c>
      <c r="B83" s="48">
        <f>IFERROR(__xludf.DUMMYFUNCTION("""COMPUTED_VALUE"""),1906.8)</f>
        <v>1906.8</v>
      </c>
      <c r="C83" s="47">
        <f>IFERROR(__xludf.DUMMYFUNCTION("""COMPUTED_VALUE"""),45860.6458333333)</f>
        <v>45860.6458333333</v>
      </c>
      <c r="D83" s="48">
        <f>IFERROR(__xludf.DUMMYFUNCTION("""COMPUTED_VALUE"""),1909.2)</f>
        <v>1909.2</v>
      </c>
      <c r="E83" s="47">
        <f>IFERROR(__xludf.DUMMYFUNCTION("""COMPUTED_VALUE"""),45860.6458333333)</f>
        <v>45860.6458333333</v>
      </c>
      <c r="F83" s="48">
        <f>IFERROR(__xludf.DUMMYFUNCTION("""COMPUTED_VALUE"""),4513541)</f>
        <v>4513541</v>
      </c>
      <c r="G83" s="47">
        <f>IFERROR(__xludf.DUMMYFUNCTION("""COMPUTED_VALUE"""),45860.6458333333)</f>
        <v>45860.6458333333</v>
      </c>
      <c r="H83" s="48">
        <f>IFERROR(__xludf.DUMMYFUNCTION("""COMPUTED_VALUE"""),1911.3)</f>
        <v>1911.3</v>
      </c>
      <c r="I83" s="47">
        <f>IFERROR(__xludf.DUMMYFUNCTION("""COMPUTED_VALUE"""),45860.6458333333)</f>
        <v>45860.6458333333</v>
      </c>
      <c r="J83" s="48">
        <f>IFERROR(__xludf.DUMMYFUNCTION("""COMPUTED_VALUE"""),1883)</f>
        <v>1883</v>
      </c>
      <c r="K83" s="3">
        <f t="shared" si="2"/>
        <v>0</v>
      </c>
      <c r="L83" s="3">
        <f t="shared" si="3"/>
        <v>0</v>
      </c>
    </row>
    <row r="84" customHeight="1" spans="1:12">
      <c r="A84" s="47">
        <f>IFERROR(__xludf.DUMMYFUNCTION("""COMPUTED_VALUE"""),45861.6458333333)</f>
        <v>45861.6458333333</v>
      </c>
      <c r="B84" s="48">
        <f>IFERROR(__xludf.DUMMYFUNCTION("""COMPUTED_VALUE"""),1943.8)</f>
        <v>1943.8</v>
      </c>
      <c r="C84" s="47">
        <f>IFERROR(__xludf.DUMMYFUNCTION("""COMPUTED_VALUE"""),45861.6458333333)</f>
        <v>45861.6458333333</v>
      </c>
      <c r="D84" s="48">
        <f>IFERROR(__xludf.DUMMYFUNCTION("""COMPUTED_VALUE"""),1920)</f>
        <v>1920</v>
      </c>
      <c r="E84" s="47">
        <f>IFERROR(__xludf.DUMMYFUNCTION("""COMPUTED_VALUE"""),45861.6458333333)</f>
        <v>45861.6458333333</v>
      </c>
      <c r="F84" s="48">
        <f>IFERROR(__xludf.DUMMYFUNCTION("""COMPUTED_VALUE"""),5194282)</f>
        <v>5194282</v>
      </c>
      <c r="G84" s="47">
        <f>IFERROR(__xludf.DUMMYFUNCTION("""COMPUTED_VALUE"""),45861.6458333333)</f>
        <v>45861.6458333333</v>
      </c>
      <c r="H84" s="48">
        <f>IFERROR(__xludf.DUMMYFUNCTION("""COMPUTED_VALUE"""),1949)</f>
        <v>1949</v>
      </c>
      <c r="I84" s="47">
        <f>IFERROR(__xludf.DUMMYFUNCTION("""COMPUTED_VALUE"""),45861.6458333333)</f>
        <v>45861.6458333333</v>
      </c>
      <c r="J84" s="48">
        <f>IFERROR(__xludf.DUMMYFUNCTION("""COMPUTED_VALUE"""),1907.3)</f>
        <v>1907.3</v>
      </c>
      <c r="K84" s="3">
        <f t="shared" si="2"/>
        <v>1943.8</v>
      </c>
      <c r="L84" s="3">
        <f t="shared" si="3"/>
        <v>0</v>
      </c>
    </row>
    <row r="85" customHeight="1" spans="1:12">
      <c r="A85" s="47">
        <f>IFERROR(__xludf.DUMMYFUNCTION("""COMPUTED_VALUE"""),45862.6458333333)</f>
        <v>45862.6458333333</v>
      </c>
      <c r="B85" s="48">
        <f>IFERROR(__xludf.DUMMYFUNCTION("""COMPUTED_VALUE"""),1936.1)</f>
        <v>1936.1</v>
      </c>
      <c r="C85" s="47">
        <f>IFERROR(__xludf.DUMMYFUNCTION("""COMPUTED_VALUE"""),45862.6458333333)</f>
        <v>45862.6458333333</v>
      </c>
      <c r="D85" s="48">
        <f>IFERROR(__xludf.DUMMYFUNCTION("""COMPUTED_VALUE"""),1943.8)</f>
        <v>1943.8</v>
      </c>
      <c r="E85" s="47">
        <f>IFERROR(__xludf.DUMMYFUNCTION("""COMPUTED_VALUE"""),45862.6458333333)</f>
        <v>45862.6458333333</v>
      </c>
      <c r="F85" s="48">
        <f>IFERROR(__xludf.DUMMYFUNCTION("""COMPUTED_VALUE"""),4150685)</f>
        <v>4150685</v>
      </c>
      <c r="G85" s="47">
        <f>IFERROR(__xludf.DUMMYFUNCTION("""COMPUTED_VALUE"""),45862.6458333333)</f>
        <v>45862.6458333333</v>
      </c>
      <c r="H85" s="48">
        <f>IFERROR(__xludf.DUMMYFUNCTION("""COMPUTED_VALUE"""),1970.4)</f>
        <v>1970.4</v>
      </c>
      <c r="I85" s="47">
        <f>IFERROR(__xludf.DUMMYFUNCTION("""COMPUTED_VALUE"""),45862.6458333333)</f>
        <v>45862.6458333333</v>
      </c>
      <c r="J85" s="48">
        <f>IFERROR(__xludf.DUMMYFUNCTION("""COMPUTED_VALUE"""),1933.7)</f>
        <v>1933.7</v>
      </c>
      <c r="K85" s="3">
        <f t="shared" si="2"/>
        <v>0</v>
      </c>
      <c r="L85" s="3">
        <f t="shared" si="3"/>
        <v>0</v>
      </c>
    </row>
    <row r="86" customHeight="1" spans="1:12">
      <c r="A86" s="47">
        <f>IFERROR(__xludf.DUMMYFUNCTION("""COMPUTED_VALUE"""),45863.6458333333)</f>
        <v>45863.6458333333</v>
      </c>
      <c r="B86" s="48">
        <f>IFERROR(__xludf.DUMMYFUNCTION("""COMPUTED_VALUE"""),1937.9)</f>
        <v>1937.9</v>
      </c>
      <c r="C86" s="47">
        <f>IFERROR(__xludf.DUMMYFUNCTION("""COMPUTED_VALUE"""),45863.6458333333)</f>
        <v>45863.6458333333</v>
      </c>
      <c r="D86" s="48">
        <f>IFERROR(__xludf.DUMMYFUNCTION("""COMPUTED_VALUE"""),1936.1)</f>
        <v>1936.1</v>
      </c>
      <c r="E86" s="47">
        <f>IFERROR(__xludf.DUMMYFUNCTION("""COMPUTED_VALUE"""),45863.6458333333)</f>
        <v>45863.6458333333</v>
      </c>
      <c r="F86" s="48">
        <f>IFERROR(__xludf.DUMMYFUNCTION("""COMPUTED_VALUE"""),3896884)</f>
        <v>3896884</v>
      </c>
      <c r="G86" s="47">
        <f>IFERROR(__xludf.DUMMYFUNCTION("""COMPUTED_VALUE"""),45863.6458333333)</f>
        <v>45863.6458333333</v>
      </c>
      <c r="H86" s="48">
        <f>IFERROR(__xludf.DUMMYFUNCTION("""COMPUTED_VALUE"""),1952.7)</f>
        <v>1952.7</v>
      </c>
      <c r="I86" s="47">
        <f>IFERROR(__xludf.DUMMYFUNCTION("""COMPUTED_VALUE"""),45863.6458333333)</f>
        <v>45863.6458333333</v>
      </c>
      <c r="J86" s="48">
        <f>IFERROR(__xludf.DUMMYFUNCTION("""COMPUTED_VALUE"""),1925)</f>
        <v>1925</v>
      </c>
      <c r="K86" s="3">
        <f t="shared" si="2"/>
        <v>0</v>
      </c>
      <c r="L86" s="3">
        <f t="shared" si="3"/>
        <v>0</v>
      </c>
    </row>
    <row r="87" customHeight="1" spans="1:12">
      <c r="A87" s="47">
        <f>IFERROR(__xludf.DUMMYFUNCTION("""COMPUTED_VALUE"""),45866.6458333333)</f>
        <v>45866.6458333333</v>
      </c>
      <c r="B87" s="48">
        <f>IFERROR(__xludf.DUMMYFUNCTION("""COMPUTED_VALUE"""),1890.3)</f>
        <v>1890.3</v>
      </c>
      <c r="C87" s="47">
        <f>IFERROR(__xludf.DUMMYFUNCTION("""COMPUTED_VALUE"""),45866.6458333333)</f>
        <v>45866.6458333333</v>
      </c>
      <c r="D87" s="48">
        <f>IFERROR(__xludf.DUMMYFUNCTION("""COMPUTED_VALUE"""),1930)</f>
        <v>1930</v>
      </c>
      <c r="E87" s="47">
        <f>IFERROR(__xludf.DUMMYFUNCTION("""COMPUTED_VALUE"""),45866.6458333333)</f>
        <v>45866.6458333333</v>
      </c>
      <c r="F87" s="48">
        <f>IFERROR(__xludf.DUMMYFUNCTION("""COMPUTED_VALUE"""),3575044)</f>
        <v>3575044</v>
      </c>
      <c r="G87" s="47">
        <f>IFERROR(__xludf.DUMMYFUNCTION("""COMPUTED_VALUE"""),45866.6458333333)</f>
        <v>45866.6458333333</v>
      </c>
      <c r="H87" s="48">
        <f>IFERROR(__xludf.DUMMYFUNCTION("""COMPUTED_VALUE"""),1930)</f>
        <v>1930</v>
      </c>
      <c r="I87" s="47">
        <f>IFERROR(__xludf.DUMMYFUNCTION("""COMPUTED_VALUE"""),45866.6458333333)</f>
        <v>45866.6458333333</v>
      </c>
      <c r="J87" s="48">
        <f>IFERROR(__xludf.DUMMYFUNCTION("""COMPUTED_VALUE"""),1885)</f>
        <v>1885</v>
      </c>
      <c r="K87" s="3">
        <f t="shared" si="2"/>
        <v>0</v>
      </c>
      <c r="L87" s="3">
        <f t="shared" si="3"/>
        <v>0</v>
      </c>
    </row>
    <row r="88" customHeight="1" spans="1:12">
      <c r="A88" s="47">
        <f>IFERROR(__xludf.DUMMYFUNCTION("""COMPUTED_VALUE"""),45867.6458333333)</f>
        <v>45867.6458333333</v>
      </c>
      <c r="B88" s="48">
        <f>IFERROR(__xludf.DUMMYFUNCTION("""COMPUTED_VALUE"""),1918.3)</f>
        <v>1918.3</v>
      </c>
      <c r="C88" s="47">
        <f>IFERROR(__xludf.DUMMYFUNCTION("""COMPUTED_VALUE"""),45867.6458333333)</f>
        <v>45867.6458333333</v>
      </c>
      <c r="D88" s="48">
        <f>IFERROR(__xludf.DUMMYFUNCTION("""COMPUTED_VALUE"""),1880)</f>
        <v>1880</v>
      </c>
      <c r="E88" s="47">
        <f>IFERROR(__xludf.DUMMYFUNCTION("""COMPUTED_VALUE"""),45867.6458333333)</f>
        <v>45867.6458333333</v>
      </c>
      <c r="F88" s="48">
        <f>IFERROR(__xludf.DUMMYFUNCTION("""COMPUTED_VALUE"""),3748040)</f>
        <v>3748040</v>
      </c>
      <c r="G88" s="47">
        <f>IFERROR(__xludf.DUMMYFUNCTION("""COMPUTED_VALUE"""),45867.6458333333)</f>
        <v>45867.6458333333</v>
      </c>
      <c r="H88" s="48">
        <f>IFERROR(__xludf.DUMMYFUNCTION("""COMPUTED_VALUE"""),1923.6)</f>
        <v>1923.6</v>
      </c>
      <c r="I88" s="47">
        <f>IFERROR(__xludf.DUMMYFUNCTION("""COMPUTED_VALUE"""),45867.6458333333)</f>
        <v>45867.6458333333</v>
      </c>
      <c r="J88" s="48">
        <f>IFERROR(__xludf.DUMMYFUNCTION("""COMPUTED_VALUE"""),1880)</f>
        <v>1880</v>
      </c>
      <c r="K88" s="3">
        <f t="shared" si="2"/>
        <v>0</v>
      </c>
      <c r="L88" s="3">
        <f t="shared" si="3"/>
        <v>0</v>
      </c>
    </row>
    <row r="89" customHeight="1" spans="1:12">
      <c r="A89" s="47">
        <f>IFERROR(__xludf.DUMMYFUNCTION("""COMPUTED_VALUE"""),45868.6458333333)</f>
        <v>45868.6458333333</v>
      </c>
      <c r="B89" s="48">
        <f>IFERROR(__xludf.DUMMYFUNCTION("""COMPUTED_VALUE"""),1932.6)</f>
        <v>1932.6</v>
      </c>
      <c r="C89" s="47">
        <f>IFERROR(__xludf.DUMMYFUNCTION("""COMPUTED_VALUE"""),45868.6458333333)</f>
        <v>45868.6458333333</v>
      </c>
      <c r="D89" s="48">
        <f>IFERROR(__xludf.DUMMYFUNCTION("""COMPUTED_VALUE"""),1934)</f>
        <v>1934</v>
      </c>
      <c r="E89" s="47">
        <f>IFERROR(__xludf.DUMMYFUNCTION("""COMPUTED_VALUE"""),45868.6458333333)</f>
        <v>45868.6458333333</v>
      </c>
      <c r="F89" s="48">
        <f>IFERROR(__xludf.DUMMYFUNCTION("""COMPUTED_VALUE"""),5044683)</f>
        <v>5044683</v>
      </c>
      <c r="G89" s="47">
        <f>IFERROR(__xludf.DUMMYFUNCTION("""COMPUTED_VALUE"""),45868.6458333333)</f>
        <v>45868.6458333333</v>
      </c>
      <c r="H89" s="48">
        <f>IFERROR(__xludf.DUMMYFUNCTION("""COMPUTED_VALUE"""),1939.2)</f>
        <v>1939.2</v>
      </c>
      <c r="I89" s="47">
        <f>IFERROR(__xludf.DUMMYFUNCTION("""COMPUTED_VALUE"""),45868.6458333333)</f>
        <v>45868.6458333333</v>
      </c>
      <c r="J89" s="48">
        <f>IFERROR(__xludf.DUMMYFUNCTION("""COMPUTED_VALUE"""),1922.1)</f>
        <v>1922.1</v>
      </c>
      <c r="K89" s="3">
        <f t="shared" si="2"/>
        <v>0</v>
      </c>
      <c r="L89" s="3">
        <f t="shared" si="3"/>
        <v>0</v>
      </c>
    </row>
    <row r="90" customHeight="1" spans="1:12">
      <c r="A90" s="47">
        <f>IFERROR(__xludf.DUMMYFUNCTION("""COMPUTED_VALUE"""),45869.6458333333)</f>
        <v>45869.6458333333</v>
      </c>
      <c r="B90" s="48">
        <f>IFERROR(__xludf.DUMMYFUNCTION("""COMPUTED_VALUE"""),1914.3)</f>
        <v>1914.3</v>
      </c>
      <c r="C90" s="47">
        <f>IFERROR(__xludf.DUMMYFUNCTION("""COMPUTED_VALUE"""),45869.6458333333)</f>
        <v>45869.6458333333</v>
      </c>
      <c r="D90" s="48">
        <f>IFERROR(__xludf.DUMMYFUNCTION("""COMPUTED_VALUE"""),1913)</f>
        <v>1913</v>
      </c>
      <c r="E90" s="47">
        <f>IFERROR(__xludf.DUMMYFUNCTION("""COMPUTED_VALUE"""),45869.6458333333)</f>
        <v>45869.6458333333</v>
      </c>
      <c r="F90" s="48">
        <f>IFERROR(__xludf.DUMMYFUNCTION("""COMPUTED_VALUE"""),4674966)</f>
        <v>4674966</v>
      </c>
      <c r="G90" s="47">
        <f>IFERROR(__xludf.DUMMYFUNCTION("""COMPUTED_VALUE"""),45869.6458333333)</f>
        <v>45869.6458333333</v>
      </c>
      <c r="H90" s="48">
        <f>IFERROR(__xludf.DUMMYFUNCTION("""COMPUTED_VALUE"""),1926.5)</f>
        <v>1926.5</v>
      </c>
      <c r="I90" s="47">
        <f>IFERROR(__xludf.DUMMYFUNCTION("""COMPUTED_VALUE"""),45869.6458333333)</f>
        <v>45869.6458333333</v>
      </c>
      <c r="J90" s="48">
        <f>IFERROR(__xludf.DUMMYFUNCTION("""COMPUTED_VALUE"""),1895.6)</f>
        <v>1895.6</v>
      </c>
      <c r="K90" s="3">
        <f t="shared" si="2"/>
        <v>0</v>
      </c>
      <c r="L90" s="3">
        <f t="shared" si="3"/>
        <v>0</v>
      </c>
    </row>
    <row r="91" customHeight="1" spans="1:12">
      <c r="A91" s="47">
        <f>IFERROR(__xludf.DUMMYFUNCTION("""COMPUTED_VALUE"""),45870.6458333333)</f>
        <v>45870.6458333333</v>
      </c>
      <c r="B91" s="48">
        <f>IFERROR(__xludf.DUMMYFUNCTION("""COMPUTED_VALUE"""),1884.4)</f>
        <v>1884.4</v>
      </c>
      <c r="C91" s="47">
        <f>IFERROR(__xludf.DUMMYFUNCTION("""COMPUTED_VALUE"""),45870.6458333333)</f>
        <v>45870.6458333333</v>
      </c>
      <c r="D91" s="48">
        <f>IFERROR(__xludf.DUMMYFUNCTION("""COMPUTED_VALUE"""),1914)</f>
        <v>1914</v>
      </c>
      <c r="E91" s="47">
        <f>IFERROR(__xludf.DUMMYFUNCTION("""COMPUTED_VALUE"""),45870.6458333333)</f>
        <v>45870.6458333333</v>
      </c>
      <c r="F91" s="48">
        <f>IFERROR(__xludf.DUMMYFUNCTION("""COMPUTED_VALUE"""),5192594)</f>
        <v>5192594</v>
      </c>
      <c r="G91" s="47">
        <f>IFERROR(__xludf.DUMMYFUNCTION("""COMPUTED_VALUE"""),45870.6458333333)</f>
        <v>45870.6458333333</v>
      </c>
      <c r="H91" s="48">
        <f>IFERROR(__xludf.DUMMYFUNCTION("""COMPUTED_VALUE"""),1919.7)</f>
        <v>1919.7</v>
      </c>
      <c r="I91" s="47">
        <f>IFERROR(__xludf.DUMMYFUNCTION("""COMPUTED_VALUE"""),45870.6458333333)</f>
        <v>45870.6458333333</v>
      </c>
      <c r="J91" s="48">
        <f>IFERROR(__xludf.DUMMYFUNCTION("""COMPUTED_VALUE"""),1878)</f>
        <v>1878</v>
      </c>
      <c r="K91" s="3">
        <f t="shared" si="2"/>
        <v>0</v>
      </c>
      <c r="L91" s="3">
        <f t="shared" si="3"/>
        <v>0</v>
      </c>
    </row>
    <row r="92" customHeight="1" spans="1:12">
      <c r="A92" s="47">
        <f>IFERROR(__xludf.DUMMYFUNCTION("""COMPUTED_VALUE"""),45873.6458333333)</f>
        <v>45873.6458333333</v>
      </c>
      <c r="B92" s="48">
        <f>IFERROR(__xludf.DUMMYFUNCTION("""COMPUTED_VALUE"""),1914.6)</f>
        <v>1914.6</v>
      </c>
      <c r="C92" s="47">
        <f>IFERROR(__xludf.DUMMYFUNCTION("""COMPUTED_VALUE"""),45873.6458333333)</f>
        <v>45873.6458333333</v>
      </c>
      <c r="D92" s="48">
        <f>IFERROR(__xludf.DUMMYFUNCTION("""COMPUTED_VALUE"""),1892)</f>
        <v>1892</v>
      </c>
      <c r="E92" s="47">
        <f>IFERROR(__xludf.DUMMYFUNCTION("""COMPUTED_VALUE"""),45873.6458333333)</f>
        <v>45873.6458333333</v>
      </c>
      <c r="F92" s="48">
        <f>IFERROR(__xludf.DUMMYFUNCTION("""COMPUTED_VALUE"""),3074380)</f>
        <v>3074380</v>
      </c>
      <c r="G92" s="47">
        <f>IFERROR(__xludf.DUMMYFUNCTION("""COMPUTED_VALUE"""),45873.6458333333)</f>
        <v>45873.6458333333</v>
      </c>
      <c r="H92" s="48">
        <f>IFERROR(__xludf.DUMMYFUNCTION("""COMPUTED_VALUE"""),1919.9)</f>
        <v>1919.9</v>
      </c>
      <c r="I92" s="47">
        <f>IFERROR(__xludf.DUMMYFUNCTION("""COMPUTED_VALUE"""),45873.6458333333)</f>
        <v>45873.6458333333</v>
      </c>
      <c r="J92" s="48">
        <f>IFERROR(__xludf.DUMMYFUNCTION("""COMPUTED_VALUE"""),1878.5)</f>
        <v>1878.5</v>
      </c>
      <c r="K92" s="3">
        <f t="shared" si="2"/>
        <v>0</v>
      </c>
      <c r="L92" s="3">
        <f t="shared" si="3"/>
        <v>0</v>
      </c>
    </row>
    <row r="93" customHeight="1" spans="1:12">
      <c r="A93" s="47">
        <f>IFERROR(__xludf.DUMMYFUNCTION("""COMPUTED_VALUE"""),45874.6458333333)</f>
        <v>45874.6458333333</v>
      </c>
      <c r="B93" s="48">
        <f>IFERROR(__xludf.DUMMYFUNCTION("""COMPUTED_VALUE"""),1931.8)</f>
        <v>1931.8</v>
      </c>
      <c r="C93" s="47">
        <f>IFERROR(__xludf.DUMMYFUNCTION("""COMPUTED_VALUE"""),45874.6458333333)</f>
        <v>45874.6458333333</v>
      </c>
      <c r="D93" s="48">
        <f>IFERROR(__xludf.DUMMYFUNCTION("""COMPUTED_VALUE"""),1920)</f>
        <v>1920</v>
      </c>
      <c r="E93" s="47">
        <f>IFERROR(__xludf.DUMMYFUNCTION("""COMPUTED_VALUE"""),45874.6458333333)</f>
        <v>45874.6458333333</v>
      </c>
      <c r="F93" s="48">
        <f>IFERROR(__xludf.DUMMYFUNCTION("""COMPUTED_VALUE"""),5167672)</f>
        <v>5167672</v>
      </c>
      <c r="G93" s="47">
        <f>IFERROR(__xludf.DUMMYFUNCTION("""COMPUTED_VALUE"""),45874.6458333333)</f>
        <v>45874.6458333333</v>
      </c>
      <c r="H93" s="48">
        <f>IFERROR(__xludf.DUMMYFUNCTION("""COMPUTED_VALUE"""),1937.6)</f>
        <v>1937.6</v>
      </c>
      <c r="I93" s="47">
        <f>IFERROR(__xludf.DUMMYFUNCTION("""COMPUTED_VALUE"""),45874.6458333333)</f>
        <v>45874.6458333333</v>
      </c>
      <c r="J93" s="48">
        <f>IFERROR(__xludf.DUMMYFUNCTION("""COMPUTED_VALUE"""),1912.1)</f>
        <v>1912.1</v>
      </c>
      <c r="K93" s="3">
        <f t="shared" si="2"/>
        <v>0</v>
      </c>
      <c r="L93" s="3">
        <f t="shared" si="3"/>
        <v>0</v>
      </c>
    </row>
    <row r="94" customHeight="1" spans="1:12">
      <c r="A94" s="47">
        <f>IFERROR(__xludf.DUMMYFUNCTION("""COMPUTED_VALUE"""),45875.6458333333)</f>
        <v>45875.6458333333</v>
      </c>
      <c r="B94" s="48">
        <f>IFERROR(__xludf.DUMMYFUNCTION("""COMPUTED_VALUE"""),1929.7)</f>
        <v>1929.7</v>
      </c>
      <c r="C94" s="47">
        <f>IFERROR(__xludf.DUMMYFUNCTION("""COMPUTED_VALUE"""),45875.6458333333)</f>
        <v>45875.6458333333</v>
      </c>
      <c r="D94" s="48">
        <f>IFERROR(__xludf.DUMMYFUNCTION("""COMPUTED_VALUE"""),1930)</f>
        <v>1930</v>
      </c>
      <c r="E94" s="47">
        <f>IFERROR(__xludf.DUMMYFUNCTION("""COMPUTED_VALUE"""),45875.6458333333)</f>
        <v>45875.6458333333</v>
      </c>
      <c r="F94" s="48">
        <f>IFERROR(__xludf.DUMMYFUNCTION("""COMPUTED_VALUE"""),5461349)</f>
        <v>5461349</v>
      </c>
      <c r="G94" s="47">
        <f>IFERROR(__xludf.DUMMYFUNCTION("""COMPUTED_VALUE"""),45875.6458333333)</f>
        <v>45875.6458333333</v>
      </c>
      <c r="H94" s="48">
        <f>IFERROR(__xludf.DUMMYFUNCTION("""COMPUTED_VALUE"""),1964.8)</f>
        <v>1964.8</v>
      </c>
      <c r="I94" s="47">
        <f>IFERROR(__xludf.DUMMYFUNCTION("""COMPUTED_VALUE"""),45875.6458333333)</f>
        <v>45875.6458333333</v>
      </c>
      <c r="J94" s="48">
        <f>IFERROR(__xludf.DUMMYFUNCTION("""COMPUTED_VALUE"""),1921.6)</f>
        <v>1921.6</v>
      </c>
      <c r="K94" s="3">
        <f t="shared" si="2"/>
        <v>0</v>
      </c>
      <c r="L94" s="3">
        <f t="shared" si="3"/>
        <v>0</v>
      </c>
    </row>
    <row r="95" customHeight="1" spans="1:12">
      <c r="A95" s="47">
        <f>IFERROR(__xludf.DUMMYFUNCTION("""COMPUTED_VALUE"""),45876.6458333333)</f>
        <v>45876.6458333333</v>
      </c>
      <c r="B95" s="48">
        <f>IFERROR(__xludf.DUMMYFUNCTION("""COMPUTED_VALUE"""),1922.6)</f>
        <v>1922.6</v>
      </c>
      <c r="C95" s="47">
        <f>IFERROR(__xludf.DUMMYFUNCTION("""COMPUTED_VALUE"""),45876.6458333333)</f>
        <v>45876.6458333333</v>
      </c>
      <c r="D95" s="48">
        <f>IFERROR(__xludf.DUMMYFUNCTION("""COMPUTED_VALUE"""),1928.1)</f>
        <v>1928.1</v>
      </c>
      <c r="E95" s="47">
        <f>IFERROR(__xludf.DUMMYFUNCTION("""COMPUTED_VALUE"""),45876.6458333333)</f>
        <v>45876.6458333333</v>
      </c>
      <c r="F95" s="48">
        <f>IFERROR(__xludf.DUMMYFUNCTION("""COMPUTED_VALUE"""),4268534)</f>
        <v>4268534</v>
      </c>
      <c r="G95" s="47">
        <f>IFERROR(__xludf.DUMMYFUNCTION("""COMPUTED_VALUE"""),45876.6458333333)</f>
        <v>45876.6458333333</v>
      </c>
      <c r="H95" s="48">
        <f>IFERROR(__xludf.DUMMYFUNCTION("""COMPUTED_VALUE"""),1933.3)</f>
        <v>1933.3</v>
      </c>
      <c r="I95" s="47">
        <f>IFERROR(__xludf.DUMMYFUNCTION("""COMPUTED_VALUE"""),45876.6458333333)</f>
        <v>45876.6458333333</v>
      </c>
      <c r="J95" s="48">
        <f>IFERROR(__xludf.DUMMYFUNCTION("""COMPUTED_VALUE"""),1909.1)</f>
        <v>1909.1</v>
      </c>
      <c r="K95" s="3">
        <f t="shared" si="2"/>
        <v>0</v>
      </c>
      <c r="L95" s="3">
        <f t="shared" si="3"/>
        <v>0</v>
      </c>
    </row>
    <row r="96" customHeight="1" spans="1:12">
      <c r="A96" s="47">
        <f>IFERROR(__xludf.DUMMYFUNCTION("""COMPUTED_VALUE"""),45877.6458333333)</f>
        <v>45877.6458333333</v>
      </c>
      <c r="B96" s="48">
        <f>IFERROR(__xludf.DUMMYFUNCTION("""COMPUTED_VALUE"""),1858.6)</f>
        <v>1858.6</v>
      </c>
      <c r="C96" s="47">
        <f>IFERROR(__xludf.DUMMYFUNCTION("""COMPUTED_VALUE"""),45877.6458333333)</f>
        <v>45877.6458333333</v>
      </c>
      <c r="D96" s="48">
        <f>IFERROR(__xludf.DUMMYFUNCTION("""COMPUTED_VALUE"""),1886.3)</f>
        <v>1886.3</v>
      </c>
      <c r="E96" s="47">
        <f>IFERROR(__xludf.DUMMYFUNCTION("""COMPUTED_VALUE"""),45877.6458333333)</f>
        <v>45877.6458333333</v>
      </c>
      <c r="F96" s="48">
        <f>IFERROR(__xludf.DUMMYFUNCTION("""COMPUTED_VALUE"""),93801105)</f>
        <v>93801105</v>
      </c>
      <c r="G96" s="47">
        <f>IFERROR(__xludf.DUMMYFUNCTION("""COMPUTED_VALUE"""),45877.6458333333)</f>
        <v>45877.6458333333</v>
      </c>
      <c r="H96" s="48">
        <f>IFERROR(__xludf.DUMMYFUNCTION("""COMPUTED_VALUE"""),1893.8)</f>
        <v>1893.8</v>
      </c>
      <c r="I96" s="47">
        <f>IFERROR(__xludf.DUMMYFUNCTION("""COMPUTED_VALUE"""),45877.6458333333)</f>
        <v>45877.6458333333</v>
      </c>
      <c r="J96" s="48">
        <f>IFERROR(__xludf.DUMMYFUNCTION("""COMPUTED_VALUE"""),1856)</f>
        <v>1856</v>
      </c>
      <c r="K96" s="3">
        <f t="shared" si="2"/>
        <v>0</v>
      </c>
      <c r="L96" s="3">
        <f t="shared" si="3"/>
        <v>0</v>
      </c>
    </row>
    <row r="97" customHeight="1" spans="1:12">
      <c r="A97" s="47">
        <f>IFERROR(__xludf.DUMMYFUNCTION("""COMPUTED_VALUE"""),45880.6458333333)</f>
        <v>45880.6458333333</v>
      </c>
      <c r="B97" s="48">
        <f>IFERROR(__xludf.DUMMYFUNCTION("""COMPUTED_VALUE"""),1857.4)</f>
        <v>1857.4</v>
      </c>
      <c r="C97" s="47">
        <f>IFERROR(__xludf.DUMMYFUNCTION("""COMPUTED_VALUE"""),45880.6458333333)</f>
        <v>45880.6458333333</v>
      </c>
      <c r="D97" s="48">
        <f>IFERROR(__xludf.DUMMYFUNCTION("""COMPUTED_VALUE"""),1863)</f>
        <v>1863</v>
      </c>
      <c r="E97" s="47">
        <f>IFERROR(__xludf.DUMMYFUNCTION("""COMPUTED_VALUE"""),45880.6458333333)</f>
        <v>45880.6458333333</v>
      </c>
      <c r="F97" s="48">
        <f>IFERROR(__xludf.DUMMYFUNCTION("""COMPUTED_VALUE"""),5266532)</f>
        <v>5266532</v>
      </c>
      <c r="G97" s="47">
        <f>IFERROR(__xludf.DUMMYFUNCTION("""COMPUTED_VALUE"""),45880.6458333333)</f>
        <v>45880.6458333333</v>
      </c>
      <c r="H97" s="48">
        <f>IFERROR(__xludf.DUMMYFUNCTION("""COMPUTED_VALUE"""),1866)</f>
        <v>1866</v>
      </c>
      <c r="I97" s="47">
        <f>IFERROR(__xludf.DUMMYFUNCTION("""COMPUTED_VALUE"""),45880.6458333333)</f>
        <v>45880.6458333333</v>
      </c>
      <c r="J97" s="48">
        <f>IFERROR(__xludf.DUMMYFUNCTION("""COMPUTED_VALUE"""),1845.7)</f>
        <v>1845.7</v>
      </c>
      <c r="K97" s="3">
        <f t="shared" si="2"/>
        <v>0</v>
      </c>
      <c r="L97" s="3">
        <f t="shared" si="3"/>
        <v>0</v>
      </c>
    </row>
    <row r="98" customHeight="1" spans="1:12">
      <c r="A98" s="47">
        <f>IFERROR(__xludf.DUMMYFUNCTION("""COMPUTED_VALUE"""),45881.6458333333)</f>
        <v>45881.6458333333</v>
      </c>
      <c r="B98" s="48">
        <f>IFERROR(__xludf.DUMMYFUNCTION("""COMPUTED_VALUE"""),1850.3)</f>
        <v>1850.3</v>
      </c>
      <c r="C98" s="47">
        <f>IFERROR(__xludf.DUMMYFUNCTION("""COMPUTED_VALUE"""),45881.6458333333)</f>
        <v>45881.6458333333</v>
      </c>
      <c r="D98" s="48">
        <f>IFERROR(__xludf.DUMMYFUNCTION("""COMPUTED_VALUE"""),1857.4)</f>
        <v>1857.4</v>
      </c>
      <c r="E98" s="47">
        <f>IFERROR(__xludf.DUMMYFUNCTION("""COMPUTED_VALUE"""),45881.6458333333)</f>
        <v>45881.6458333333</v>
      </c>
      <c r="F98" s="48">
        <f>IFERROR(__xludf.DUMMYFUNCTION("""COMPUTED_VALUE"""),4645011)</f>
        <v>4645011</v>
      </c>
      <c r="G98" s="47">
        <f>IFERROR(__xludf.DUMMYFUNCTION("""COMPUTED_VALUE"""),45881.6458333333)</f>
        <v>45881.6458333333</v>
      </c>
      <c r="H98" s="48">
        <f>IFERROR(__xludf.DUMMYFUNCTION("""COMPUTED_VALUE"""),1865)</f>
        <v>1865</v>
      </c>
      <c r="I98" s="47">
        <f>IFERROR(__xludf.DUMMYFUNCTION("""COMPUTED_VALUE"""),45881.6458333333)</f>
        <v>45881.6458333333</v>
      </c>
      <c r="J98" s="48">
        <f>IFERROR(__xludf.DUMMYFUNCTION("""COMPUTED_VALUE"""),1847.1)</f>
        <v>1847.1</v>
      </c>
      <c r="K98" s="3">
        <f t="shared" si="2"/>
        <v>0</v>
      </c>
      <c r="L98" s="3">
        <f t="shared" si="3"/>
        <v>1850.3</v>
      </c>
    </row>
    <row r="99" customHeight="1" spans="1:12">
      <c r="A99" s="47">
        <f>IFERROR(__xludf.DUMMYFUNCTION("""COMPUTED_VALUE"""),45882.6458333333)</f>
        <v>45882.6458333333</v>
      </c>
      <c r="B99" s="48">
        <f>IFERROR(__xludf.DUMMYFUNCTION("""COMPUTED_VALUE"""),1867.4)</f>
        <v>1867.4</v>
      </c>
      <c r="C99" s="47">
        <f>IFERROR(__xludf.DUMMYFUNCTION("""COMPUTED_VALUE"""),45882.6458333333)</f>
        <v>45882.6458333333</v>
      </c>
      <c r="D99" s="48">
        <f>IFERROR(__xludf.DUMMYFUNCTION("""COMPUTED_VALUE"""),1853)</f>
        <v>1853</v>
      </c>
      <c r="E99" s="47">
        <f>IFERROR(__xludf.DUMMYFUNCTION("""COMPUTED_VALUE"""),45882.6458333333)</f>
        <v>45882.6458333333</v>
      </c>
      <c r="F99" s="48">
        <f>IFERROR(__xludf.DUMMYFUNCTION("""COMPUTED_VALUE"""),6697206)</f>
        <v>6697206</v>
      </c>
      <c r="G99" s="47">
        <f>IFERROR(__xludf.DUMMYFUNCTION("""COMPUTED_VALUE"""),45882.6458333333)</f>
        <v>45882.6458333333</v>
      </c>
      <c r="H99" s="48">
        <f>IFERROR(__xludf.DUMMYFUNCTION("""COMPUTED_VALUE"""),1872.5)</f>
        <v>1872.5</v>
      </c>
      <c r="I99" s="47">
        <f>IFERROR(__xludf.DUMMYFUNCTION("""COMPUTED_VALUE"""),45882.6458333333)</f>
        <v>45882.6458333333</v>
      </c>
      <c r="J99" s="48">
        <f>IFERROR(__xludf.DUMMYFUNCTION("""COMPUTED_VALUE"""),1851.8)</f>
        <v>1851.8</v>
      </c>
      <c r="K99" s="3">
        <f t="shared" si="2"/>
        <v>0</v>
      </c>
      <c r="L99" s="3">
        <f t="shared" si="3"/>
        <v>0</v>
      </c>
    </row>
    <row r="100" customHeight="1" spans="1:12">
      <c r="A100" s="47">
        <f>IFERROR(__xludf.DUMMYFUNCTION("""COMPUTED_VALUE"""),45883.6458333333)</f>
        <v>45883.6458333333</v>
      </c>
      <c r="B100" s="48">
        <f>IFERROR(__xludf.DUMMYFUNCTION("""COMPUTED_VALUE"""),1873.8)</f>
        <v>1873.8</v>
      </c>
      <c r="C100" s="47">
        <f>IFERROR(__xludf.DUMMYFUNCTION("""COMPUTED_VALUE"""),45883.6458333333)</f>
        <v>45883.6458333333</v>
      </c>
      <c r="D100" s="48">
        <f>IFERROR(__xludf.DUMMYFUNCTION("""COMPUTED_VALUE"""),1873)</f>
        <v>1873</v>
      </c>
      <c r="E100" s="47">
        <f>IFERROR(__xludf.DUMMYFUNCTION("""COMPUTED_VALUE"""),45883.6458333333)</f>
        <v>45883.6458333333</v>
      </c>
      <c r="F100" s="48">
        <f>IFERROR(__xludf.DUMMYFUNCTION("""COMPUTED_VALUE"""),3958631)</f>
        <v>3958631</v>
      </c>
      <c r="G100" s="47">
        <f>IFERROR(__xludf.DUMMYFUNCTION("""COMPUTED_VALUE"""),45883.6458333333)</f>
        <v>45883.6458333333</v>
      </c>
      <c r="H100" s="48">
        <f>IFERROR(__xludf.DUMMYFUNCTION("""COMPUTED_VALUE"""),1883)</f>
        <v>1883</v>
      </c>
      <c r="I100" s="47">
        <f>IFERROR(__xludf.DUMMYFUNCTION("""COMPUTED_VALUE"""),45883.6458333333)</f>
        <v>45883.6458333333</v>
      </c>
      <c r="J100" s="48">
        <f>IFERROR(__xludf.DUMMYFUNCTION("""COMPUTED_VALUE"""),1866.8)</f>
        <v>1866.8</v>
      </c>
      <c r="K100" s="3">
        <f t="shared" si="2"/>
        <v>0</v>
      </c>
      <c r="L100" s="3">
        <f t="shared" si="3"/>
        <v>0</v>
      </c>
    </row>
    <row r="101" customHeight="1" spans="1:12">
      <c r="A101" s="47">
        <f>IFERROR(__xludf.DUMMYFUNCTION("""COMPUTED_VALUE"""),45887.6458333333)</f>
        <v>45887.6458333333</v>
      </c>
      <c r="B101" s="48">
        <f>IFERROR(__xludf.DUMMYFUNCTION("""COMPUTED_VALUE"""),1892.3)</f>
        <v>1892.3</v>
      </c>
      <c r="C101" s="47">
        <f>IFERROR(__xludf.DUMMYFUNCTION("""COMPUTED_VALUE"""),45887.6458333333)</f>
        <v>45887.6458333333</v>
      </c>
      <c r="D101" s="48">
        <f>IFERROR(__xludf.DUMMYFUNCTION("""COMPUTED_VALUE"""),1892.5)</f>
        <v>1892.5</v>
      </c>
      <c r="E101" s="47">
        <f>IFERROR(__xludf.DUMMYFUNCTION("""COMPUTED_VALUE"""),45887.6458333333)</f>
        <v>45887.6458333333</v>
      </c>
      <c r="F101" s="48">
        <f>IFERROR(__xludf.DUMMYFUNCTION("""COMPUTED_VALUE"""),7146376)</f>
        <v>7146376</v>
      </c>
      <c r="G101" s="47">
        <f>IFERROR(__xludf.DUMMYFUNCTION("""COMPUTED_VALUE"""),45887.6458333333)</f>
        <v>45887.6458333333</v>
      </c>
      <c r="H101" s="48">
        <f>IFERROR(__xludf.DUMMYFUNCTION("""COMPUTED_VALUE"""),1912.6)</f>
        <v>1912.6</v>
      </c>
      <c r="I101" s="47">
        <f>IFERROR(__xludf.DUMMYFUNCTION("""COMPUTED_VALUE"""),45887.6458333333)</f>
        <v>45887.6458333333</v>
      </c>
      <c r="J101" s="48">
        <f>IFERROR(__xludf.DUMMYFUNCTION("""COMPUTED_VALUE"""),1870.3)</f>
        <v>1870.3</v>
      </c>
      <c r="K101" s="3">
        <f t="shared" si="2"/>
        <v>0</v>
      </c>
      <c r="L101" s="3">
        <f t="shared" si="3"/>
        <v>0</v>
      </c>
    </row>
    <row r="102" customHeight="1" spans="1:12">
      <c r="A102" s="47">
        <f>IFERROR(__xludf.DUMMYFUNCTION("""COMPUTED_VALUE"""),45888.6458333333)</f>
        <v>45888.6458333333</v>
      </c>
      <c r="B102" s="48">
        <f>IFERROR(__xludf.DUMMYFUNCTION("""COMPUTED_VALUE"""),1909.7)</f>
        <v>1909.7</v>
      </c>
      <c r="C102" s="47">
        <f>IFERROR(__xludf.DUMMYFUNCTION("""COMPUTED_VALUE"""),45888.6458333333)</f>
        <v>45888.6458333333</v>
      </c>
      <c r="D102" s="48">
        <f>IFERROR(__xludf.DUMMYFUNCTION("""COMPUTED_VALUE"""),1901.1)</f>
        <v>1901.1</v>
      </c>
      <c r="E102" s="47">
        <f>IFERROR(__xludf.DUMMYFUNCTION("""COMPUTED_VALUE"""),45888.6458333333)</f>
        <v>45888.6458333333</v>
      </c>
      <c r="F102" s="48">
        <f>IFERROR(__xludf.DUMMYFUNCTION("""COMPUTED_VALUE"""),5706265)</f>
        <v>5706265</v>
      </c>
      <c r="G102" s="47">
        <f>IFERROR(__xludf.DUMMYFUNCTION("""COMPUTED_VALUE"""),45888.6458333333)</f>
        <v>45888.6458333333</v>
      </c>
      <c r="H102" s="48">
        <f>IFERROR(__xludf.DUMMYFUNCTION("""COMPUTED_VALUE"""),1931.8)</f>
        <v>1931.8</v>
      </c>
      <c r="I102" s="47">
        <f>IFERROR(__xludf.DUMMYFUNCTION("""COMPUTED_VALUE"""),45888.6458333333)</f>
        <v>45888.6458333333</v>
      </c>
      <c r="J102" s="48">
        <f>IFERROR(__xludf.DUMMYFUNCTION("""COMPUTED_VALUE"""),1900)</f>
        <v>1900</v>
      </c>
      <c r="K102" s="3">
        <f t="shared" si="2"/>
        <v>0</v>
      </c>
      <c r="L102" s="3">
        <f t="shared" si="3"/>
        <v>0</v>
      </c>
    </row>
    <row r="103" customHeight="1" spans="1:12">
      <c r="A103" s="47">
        <f>IFERROR(__xludf.DUMMYFUNCTION("""COMPUTED_VALUE"""),45889.6458333333)</f>
        <v>45889.6458333333</v>
      </c>
      <c r="B103" s="48">
        <f>IFERROR(__xludf.DUMMYFUNCTION("""COMPUTED_VALUE"""),1928.4)</f>
        <v>1928.4</v>
      </c>
      <c r="C103" s="47">
        <f>IFERROR(__xludf.DUMMYFUNCTION("""COMPUTED_VALUE"""),45889.6458333333)</f>
        <v>45889.6458333333</v>
      </c>
      <c r="D103" s="48">
        <f>IFERROR(__xludf.DUMMYFUNCTION("""COMPUTED_VALUE"""),1937)</f>
        <v>1937</v>
      </c>
      <c r="E103" s="47">
        <f>IFERROR(__xludf.DUMMYFUNCTION("""COMPUTED_VALUE"""),45889.6458333333)</f>
        <v>45889.6458333333</v>
      </c>
      <c r="F103" s="48">
        <f>IFERROR(__xludf.DUMMYFUNCTION("""COMPUTED_VALUE"""),6962619)</f>
        <v>6962619</v>
      </c>
      <c r="G103" s="47">
        <f>IFERROR(__xludf.DUMMYFUNCTION("""COMPUTED_VALUE"""),45889.6458333333)</f>
        <v>45889.6458333333</v>
      </c>
      <c r="H103" s="48">
        <f>IFERROR(__xludf.DUMMYFUNCTION("""COMPUTED_VALUE"""),1952)</f>
        <v>1952</v>
      </c>
      <c r="I103" s="47">
        <f>IFERROR(__xludf.DUMMYFUNCTION("""COMPUTED_VALUE"""),45889.6458333333)</f>
        <v>45889.6458333333</v>
      </c>
      <c r="J103" s="48">
        <f>IFERROR(__xludf.DUMMYFUNCTION("""COMPUTED_VALUE"""),1926)</f>
        <v>1926</v>
      </c>
      <c r="K103" s="3">
        <f t="shared" si="2"/>
        <v>0</v>
      </c>
      <c r="L103" s="3">
        <f t="shared" si="3"/>
        <v>0</v>
      </c>
    </row>
    <row r="104" customHeight="1" spans="1:12">
      <c r="A104" s="47">
        <f>IFERROR(__xludf.DUMMYFUNCTION("""COMPUTED_VALUE"""),45890.6458333333)</f>
        <v>45890.6458333333</v>
      </c>
      <c r="B104" s="48">
        <f>IFERROR(__xludf.DUMMYFUNCTION("""COMPUTED_VALUE"""),1929.9)</f>
        <v>1929.9</v>
      </c>
      <c r="C104" s="47">
        <f>IFERROR(__xludf.DUMMYFUNCTION("""COMPUTED_VALUE"""),45890.6458333333)</f>
        <v>45890.6458333333</v>
      </c>
      <c r="D104" s="48">
        <f>IFERROR(__xludf.DUMMYFUNCTION("""COMPUTED_VALUE"""),1930)</f>
        <v>1930</v>
      </c>
      <c r="E104" s="47">
        <f>IFERROR(__xludf.DUMMYFUNCTION("""COMPUTED_VALUE"""),45890.6458333333)</f>
        <v>45890.6458333333</v>
      </c>
      <c r="F104" s="48">
        <f>IFERROR(__xludf.DUMMYFUNCTION("""COMPUTED_VALUE"""),3376913)</f>
        <v>3376913</v>
      </c>
      <c r="G104" s="47">
        <f>IFERROR(__xludf.DUMMYFUNCTION("""COMPUTED_VALUE"""),45890.6458333333)</f>
        <v>45890.6458333333</v>
      </c>
      <c r="H104" s="48">
        <f>IFERROR(__xludf.DUMMYFUNCTION("""COMPUTED_VALUE"""),1940.9)</f>
        <v>1940.9</v>
      </c>
      <c r="I104" s="47">
        <f>IFERROR(__xludf.DUMMYFUNCTION("""COMPUTED_VALUE"""),45890.6458333333)</f>
        <v>45890.6458333333</v>
      </c>
      <c r="J104" s="48">
        <f>IFERROR(__xludf.DUMMYFUNCTION("""COMPUTED_VALUE"""),1927.7)</f>
        <v>1927.7</v>
      </c>
      <c r="K104" s="3">
        <f t="shared" si="2"/>
        <v>0</v>
      </c>
      <c r="L104" s="3">
        <f t="shared" si="3"/>
        <v>0</v>
      </c>
    </row>
    <row r="105" customHeight="1" spans="1:12">
      <c r="A105" s="47">
        <f>IFERROR(__xludf.DUMMYFUNCTION("""COMPUTED_VALUE"""),45891.6458333333)</f>
        <v>45891.6458333333</v>
      </c>
      <c r="B105" s="48">
        <f>IFERROR(__xludf.DUMMYFUNCTION("""COMPUTED_VALUE"""),1933.3)</f>
        <v>1933.3</v>
      </c>
      <c r="C105" s="47">
        <f>IFERROR(__xludf.DUMMYFUNCTION("""COMPUTED_VALUE"""),45891.6458333333)</f>
        <v>45891.6458333333</v>
      </c>
      <c r="D105" s="48">
        <f>IFERROR(__xludf.DUMMYFUNCTION("""COMPUTED_VALUE"""),1934)</f>
        <v>1934</v>
      </c>
      <c r="E105" s="47">
        <f>IFERROR(__xludf.DUMMYFUNCTION("""COMPUTED_VALUE"""),45891.6458333333)</f>
        <v>45891.6458333333</v>
      </c>
      <c r="F105" s="48">
        <f>IFERROR(__xludf.DUMMYFUNCTION("""COMPUTED_VALUE"""),3271920)</f>
        <v>3271920</v>
      </c>
      <c r="G105" s="47">
        <f>IFERROR(__xludf.DUMMYFUNCTION("""COMPUTED_VALUE"""),45891.6458333333)</f>
        <v>45891.6458333333</v>
      </c>
      <c r="H105" s="48">
        <f>IFERROR(__xludf.DUMMYFUNCTION("""COMPUTED_VALUE"""),1947.7)</f>
        <v>1947.7</v>
      </c>
      <c r="I105" s="47">
        <f>IFERROR(__xludf.DUMMYFUNCTION("""COMPUTED_VALUE"""),45891.6458333333)</f>
        <v>45891.6458333333</v>
      </c>
      <c r="J105" s="48">
        <f>IFERROR(__xludf.DUMMYFUNCTION("""COMPUTED_VALUE"""),1917.4)</f>
        <v>1917.4</v>
      </c>
      <c r="K105" s="3">
        <f t="shared" si="2"/>
        <v>1933.3</v>
      </c>
      <c r="L105" s="3">
        <f t="shared" si="3"/>
        <v>0</v>
      </c>
    </row>
    <row r="106" customHeight="1" spans="1:12">
      <c r="A106" s="47">
        <f>IFERROR(__xludf.DUMMYFUNCTION("""COMPUTED_VALUE"""),45894.6458333333)</f>
        <v>45894.6458333333</v>
      </c>
      <c r="B106" s="48">
        <f>IFERROR(__xludf.DUMMYFUNCTION("""COMPUTED_VALUE"""),1930.7)</f>
        <v>1930.7</v>
      </c>
      <c r="C106" s="47">
        <f>IFERROR(__xludf.DUMMYFUNCTION("""COMPUTED_VALUE"""),45894.6458333333)</f>
        <v>45894.6458333333</v>
      </c>
      <c r="D106" s="48">
        <f>IFERROR(__xludf.DUMMYFUNCTION("""COMPUTED_VALUE"""),1940)</f>
        <v>1940</v>
      </c>
      <c r="E106" s="47">
        <f>IFERROR(__xludf.DUMMYFUNCTION("""COMPUTED_VALUE"""),45894.6458333333)</f>
        <v>45894.6458333333</v>
      </c>
      <c r="F106" s="48">
        <f>IFERROR(__xludf.DUMMYFUNCTION("""COMPUTED_VALUE"""),2451388)</f>
        <v>2451388</v>
      </c>
      <c r="G106" s="47">
        <f>IFERROR(__xludf.DUMMYFUNCTION("""COMPUTED_VALUE"""),45894.6458333333)</f>
        <v>45894.6458333333</v>
      </c>
      <c r="H106" s="48">
        <f>IFERROR(__xludf.DUMMYFUNCTION("""COMPUTED_VALUE"""),1940.1)</f>
        <v>1940.1</v>
      </c>
      <c r="I106" s="47">
        <f>IFERROR(__xludf.DUMMYFUNCTION("""COMPUTED_VALUE"""),45894.6458333333)</f>
        <v>45894.6458333333</v>
      </c>
      <c r="J106" s="48">
        <f>IFERROR(__xludf.DUMMYFUNCTION("""COMPUTED_VALUE"""),1913.2)</f>
        <v>1913.2</v>
      </c>
      <c r="K106" s="3">
        <f t="shared" si="2"/>
        <v>0</v>
      </c>
      <c r="L106" s="3">
        <f t="shared" si="3"/>
        <v>0</v>
      </c>
    </row>
    <row r="107" customHeight="1" spans="1:12">
      <c r="A107" s="47">
        <f>IFERROR(__xludf.DUMMYFUNCTION("""COMPUTED_VALUE"""),45895.6458333333)</f>
        <v>45895.6458333333</v>
      </c>
      <c r="B107" s="48">
        <f>IFERROR(__xludf.DUMMYFUNCTION("""COMPUTED_VALUE"""),1904.7)</f>
        <v>1904.7</v>
      </c>
      <c r="C107" s="47">
        <f>IFERROR(__xludf.DUMMYFUNCTION("""COMPUTED_VALUE"""),45895.6458333333)</f>
        <v>45895.6458333333</v>
      </c>
      <c r="D107" s="48">
        <f>IFERROR(__xludf.DUMMYFUNCTION("""COMPUTED_VALUE"""),1922.1)</f>
        <v>1922.1</v>
      </c>
      <c r="E107" s="47">
        <f>IFERROR(__xludf.DUMMYFUNCTION("""COMPUTED_VALUE"""),45895.6458333333)</f>
        <v>45895.6458333333</v>
      </c>
      <c r="F107" s="48">
        <f>IFERROR(__xludf.DUMMYFUNCTION("""COMPUTED_VALUE"""),5984656)</f>
        <v>5984656</v>
      </c>
      <c r="G107" s="47">
        <f>IFERROR(__xludf.DUMMYFUNCTION("""COMPUTED_VALUE"""),45895.6458333333)</f>
        <v>45895.6458333333</v>
      </c>
      <c r="H107" s="48">
        <f>IFERROR(__xludf.DUMMYFUNCTION("""COMPUTED_VALUE"""),1925.8)</f>
        <v>1925.8</v>
      </c>
      <c r="I107" s="47">
        <f>IFERROR(__xludf.DUMMYFUNCTION("""COMPUTED_VALUE"""),45895.6458333333)</f>
        <v>45895.6458333333</v>
      </c>
      <c r="J107" s="48">
        <f>IFERROR(__xludf.DUMMYFUNCTION("""COMPUTED_VALUE"""),1896.2)</f>
        <v>1896.2</v>
      </c>
      <c r="K107" s="3">
        <f t="shared" si="2"/>
        <v>0</v>
      </c>
      <c r="L107" s="3">
        <f t="shared" si="3"/>
        <v>0</v>
      </c>
    </row>
    <row r="108" customHeight="1" spans="1:12">
      <c r="A108" s="47">
        <f>IFERROR(__xludf.DUMMYFUNCTION("""COMPUTED_VALUE"""),45897.6458333333)</f>
        <v>45897.6458333333</v>
      </c>
      <c r="B108" s="48">
        <f>IFERROR(__xludf.DUMMYFUNCTION("""COMPUTED_VALUE"""),1881.1)</f>
        <v>1881.1</v>
      </c>
      <c r="C108" s="47">
        <f>IFERROR(__xludf.DUMMYFUNCTION("""COMPUTED_VALUE"""),45897.6458333333)</f>
        <v>45897.6458333333</v>
      </c>
      <c r="D108" s="48">
        <f>IFERROR(__xludf.DUMMYFUNCTION("""COMPUTED_VALUE"""),1893)</f>
        <v>1893</v>
      </c>
      <c r="E108" s="47">
        <f>IFERROR(__xludf.DUMMYFUNCTION("""COMPUTED_VALUE"""),45897.6458333333)</f>
        <v>45897.6458333333</v>
      </c>
      <c r="F108" s="48">
        <f>IFERROR(__xludf.DUMMYFUNCTION("""COMPUTED_VALUE"""),5494113)</f>
        <v>5494113</v>
      </c>
      <c r="G108" s="47">
        <f>IFERROR(__xludf.DUMMYFUNCTION("""COMPUTED_VALUE"""),45897.6458333333)</f>
        <v>45897.6458333333</v>
      </c>
      <c r="H108" s="48">
        <f>IFERROR(__xludf.DUMMYFUNCTION("""COMPUTED_VALUE"""),1899.8)</f>
        <v>1899.8</v>
      </c>
      <c r="I108" s="47">
        <f>IFERROR(__xludf.DUMMYFUNCTION("""COMPUTED_VALUE"""),45897.6458333333)</f>
        <v>45897.6458333333</v>
      </c>
      <c r="J108" s="48">
        <f>IFERROR(__xludf.DUMMYFUNCTION("""COMPUTED_VALUE"""),1878.2)</f>
        <v>1878.2</v>
      </c>
      <c r="K108" s="3">
        <f t="shared" si="2"/>
        <v>0</v>
      </c>
      <c r="L108" s="3">
        <f t="shared" si="3"/>
        <v>0</v>
      </c>
    </row>
    <row r="109" customHeight="1" spans="1:12">
      <c r="A109" s="47">
        <f>IFERROR(__xludf.DUMMYFUNCTION("""COMPUTED_VALUE"""),45898.6458333333)</f>
        <v>45898.6458333333</v>
      </c>
      <c r="B109" s="48">
        <f>IFERROR(__xludf.DUMMYFUNCTION("""COMPUTED_VALUE"""),1888.8)</f>
        <v>1888.8</v>
      </c>
      <c r="C109" s="47">
        <f>IFERROR(__xludf.DUMMYFUNCTION("""COMPUTED_VALUE"""),45898.6458333333)</f>
        <v>45898.6458333333</v>
      </c>
      <c r="D109" s="48">
        <f>IFERROR(__xludf.DUMMYFUNCTION("""COMPUTED_VALUE"""),1872.5)</f>
        <v>1872.5</v>
      </c>
      <c r="E109" s="47">
        <f>IFERROR(__xludf.DUMMYFUNCTION("""COMPUTED_VALUE"""),45898.6458333333)</f>
        <v>45898.6458333333</v>
      </c>
      <c r="F109" s="48">
        <f>IFERROR(__xludf.DUMMYFUNCTION("""COMPUTED_VALUE"""),4339042)</f>
        <v>4339042</v>
      </c>
      <c r="G109" s="47">
        <f>IFERROR(__xludf.DUMMYFUNCTION("""COMPUTED_VALUE"""),45898.6458333333)</f>
        <v>45898.6458333333</v>
      </c>
      <c r="H109" s="48">
        <f>IFERROR(__xludf.DUMMYFUNCTION("""COMPUTED_VALUE"""),1900.1)</f>
        <v>1900.1</v>
      </c>
      <c r="I109" s="47">
        <f>IFERROR(__xludf.DUMMYFUNCTION("""COMPUTED_VALUE"""),45898.6458333333)</f>
        <v>45898.6458333333</v>
      </c>
      <c r="J109" s="48">
        <f>IFERROR(__xludf.DUMMYFUNCTION("""COMPUTED_VALUE"""),1872.5)</f>
        <v>1872.5</v>
      </c>
      <c r="K109" s="3">
        <f t="shared" si="2"/>
        <v>0</v>
      </c>
      <c r="L109" s="3">
        <f t="shared" si="3"/>
        <v>0</v>
      </c>
    </row>
    <row r="110" customHeight="1" spans="1:12">
      <c r="A110" s="47">
        <f>IFERROR(__xludf.DUMMYFUNCTION("""COMPUTED_VALUE"""),45901.6458333333)</f>
        <v>45901.6458333333</v>
      </c>
      <c r="B110" s="48">
        <f>IFERROR(__xludf.DUMMYFUNCTION("""COMPUTED_VALUE"""),1900.6)</f>
        <v>1900.6</v>
      </c>
      <c r="C110" s="47">
        <f>IFERROR(__xludf.DUMMYFUNCTION("""COMPUTED_VALUE"""),45901.6458333333)</f>
        <v>45901.6458333333</v>
      </c>
      <c r="D110" s="48">
        <f>IFERROR(__xludf.DUMMYFUNCTION("""COMPUTED_VALUE"""),1889)</f>
        <v>1889</v>
      </c>
      <c r="E110" s="47">
        <f>IFERROR(__xludf.DUMMYFUNCTION("""COMPUTED_VALUE"""),45901.6458333333)</f>
        <v>45901.6458333333</v>
      </c>
      <c r="F110" s="48">
        <f>IFERROR(__xludf.DUMMYFUNCTION("""COMPUTED_VALUE"""),3421488)</f>
        <v>3421488</v>
      </c>
      <c r="G110" s="47">
        <f>IFERROR(__xludf.DUMMYFUNCTION("""COMPUTED_VALUE"""),45901.6458333333)</f>
        <v>45901.6458333333</v>
      </c>
      <c r="H110" s="48">
        <f>IFERROR(__xludf.DUMMYFUNCTION("""COMPUTED_VALUE"""),1904.8)</f>
        <v>1904.8</v>
      </c>
      <c r="I110" s="47">
        <f>IFERROR(__xludf.DUMMYFUNCTION("""COMPUTED_VALUE"""),45901.6458333333)</f>
        <v>45901.6458333333</v>
      </c>
      <c r="J110" s="48">
        <f>IFERROR(__xludf.DUMMYFUNCTION("""COMPUTED_VALUE"""),1884.2)</f>
        <v>1884.2</v>
      </c>
      <c r="K110" s="3">
        <f t="shared" si="2"/>
        <v>0</v>
      </c>
      <c r="L110" s="3">
        <f t="shared" si="3"/>
        <v>0</v>
      </c>
    </row>
    <row r="111" customHeight="1" spans="1:12">
      <c r="A111" s="47">
        <f>IFERROR(__xludf.DUMMYFUNCTION("""COMPUTED_VALUE"""),45902.6458333333)</f>
        <v>45902.6458333333</v>
      </c>
      <c r="B111" s="48">
        <f>IFERROR(__xludf.DUMMYFUNCTION("""COMPUTED_VALUE"""),1887.2)</f>
        <v>1887.2</v>
      </c>
      <c r="C111" s="47">
        <f>IFERROR(__xludf.DUMMYFUNCTION("""COMPUTED_VALUE"""),45902.6458333333)</f>
        <v>45902.6458333333</v>
      </c>
      <c r="D111" s="48">
        <f>IFERROR(__xludf.DUMMYFUNCTION("""COMPUTED_VALUE"""),1904.5)</f>
        <v>1904.5</v>
      </c>
      <c r="E111" s="47">
        <f>IFERROR(__xludf.DUMMYFUNCTION("""COMPUTED_VALUE"""),45902.6458333333)</f>
        <v>45902.6458333333</v>
      </c>
      <c r="F111" s="48">
        <f>IFERROR(__xludf.DUMMYFUNCTION("""COMPUTED_VALUE"""),4423049)</f>
        <v>4423049</v>
      </c>
      <c r="G111" s="47">
        <f>IFERROR(__xludf.DUMMYFUNCTION("""COMPUTED_VALUE"""),45902.6458333333)</f>
        <v>45902.6458333333</v>
      </c>
      <c r="H111" s="48">
        <f>IFERROR(__xludf.DUMMYFUNCTION("""COMPUTED_VALUE"""),1917.5)</f>
        <v>1917.5</v>
      </c>
      <c r="I111" s="47">
        <f>IFERROR(__xludf.DUMMYFUNCTION("""COMPUTED_VALUE"""),45902.6458333333)</f>
        <v>45902.6458333333</v>
      </c>
      <c r="J111" s="48">
        <f>IFERROR(__xludf.DUMMYFUNCTION("""COMPUTED_VALUE"""),1878)</f>
        <v>1878</v>
      </c>
      <c r="K111" s="3">
        <f t="shared" si="2"/>
        <v>0</v>
      </c>
      <c r="L111" s="3">
        <f t="shared" si="3"/>
        <v>0</v>
      </c>
    </row>
    <row r="112" customHeight="1" spans="1:12">
      <c r="A112" s="47">
        <f>IFERROR(__xludf.DUMMYFUNCTION("""COMPUTED_VALUE"""),45903.6458333333)</f>
        <v>45903.6458333333</v>
      </c>
      <c r="B112" s="48">
        <f>IFERROR(__xludf.DUMMYFUNCTION("""COMPUTED_VALUE"""),1883.9)</f>
        <v>1883.9</v>
      </c>
      <c r="C112" s="47">
        <f>IFERROR(__xludf.DUMMYFUNCTION("""COMPUTED_VALUE"""),45903.6458333333)</f>
        <v>45903.6458333333</v>
      </c>
      <c r="D112" s="48">
        <f>IFERROR(__xludf.DUMMYFUNCTION("""COMPUTED_VALUE"""),1891)</f>
        <v>1891</v>
      </c>
      <c r="E112" s="47">
        <f>IFERROR(__xludf.DUMMYFUNCTION("""COMPUTED_VALUE"""),45903.6458333333)</f>
        <v>45903.6458333333</v>
      </c>
      <c r="F112" s="48">
        <f>IFERROR(__xludf.DUMMYFUNCTION("""COMPUTED_VALUE"""),3803044)</f>
        <v>3803044</v>
      </c>
      <c r="G112" s="47">
        <f>IFERROR(__xludf.DUMMYFUNCTION("""COMPUTED_VALUE"""),45903.6458333333)</f>
        <v>45903.6458333333</v>
      </c>
      <c r="H112" s="48">
        <f>IFERROR(__xludf.DUMMYFUNCTION("""COMPUTED_VALUE"""),1892.1)</f>
        <v>1892.1</v>
      </c>
      <c r="I112" s="47">
        <f>IFERROR(__xludf.DUMMYFUNCTION("""COMPUTED_VALUE"""),45903.6458333333)</f>
        <v>45903.6458333333</v>
      </c>
      <c r="J112" s="48">
        <f>IFERROR(__xludf.DUMMYFUNCTION("""COMPUTED_VALUE"""),1870)</f>
        <v>1870</v>
      </c>
      <c r="K112" s="3">
        <f t="shared" si="2"/>
        <v>0</v>
      </c>
      <c r="L112" s="3">
        <f t="shared" si="3"/>
        <v>0</v>
      </c>
    </row>
    <row r="113" customHeight="1" spans="1:12">
      <c r="A113" s="47">
        <f>IFERROR(__xludf.DUMMYFUNCTION("""COMPUTED_VALUE"""),45904.6458333333)</f>
        <v>45904.6458333333</v>
      </c>
      <c r="B113" s="48">
        <f>IFERROR(__xludf.DUMMYFUNCTION("""COMPUTED_VALUE"""),1880.4)</f>
        <v>1880.4</v>
      </c>
      <c r="C113" s="47">
        <f>IFERROR(__xludf.DUMMYFUNCTION("""COMPUTED_VALUE"""),45904.6458333333)</f>
        <v>45904.6458333333</v>
      </c>
      <c r="D113" s="48">
        <f>IFERROR(__xludf.DUMMYFUNCTION("""COMPUTED_VALUE"""),1899)</f>
        <v>1899</v>
      </c>
      <c r="E113" s="47">
        <f>IFERROR(__xludf.DUMMYFUNCTION("""COMPUTED_VALUE"""),45904.6458333333)</f>
        <v>45904.6458333333</v>
      </c>
      <c r="F113" s="48">
        <f>IFERROR(__xludf.DUMMYFUNCTION("""COMPUTED_VALUE"""),5205333)</f>
        <v>5205333</v>
      </c>
      <c r="G113" s="47">
        <f>IFERROR(__xludf.DUMMYFUNCTION("""COMPUTED_VALUE"""),45904.6458333333)</f>
        <v>45904.6458333333</v>
      </c>
      <c r="H113" s="48">
        <f>IFERROR(__xludf.DUMMYFUNCTION("""COMPUTED_VALUE"""),1903.5)</f>
        <v>1903.5</v>
      </c>
      <c r="I113" s="47">
        <f>IFERROR(__xludf.DUMMYFUNCTION("""COMPUTED_VALUE"""),45904.6458333333)</f>
        <v>45904.6458333333</v>
      </c>
      <c r="J113" s="48">
        <f>IFERROR(__xludf.DUMMYFUNCTION("""COMPUTED_VALUE"""),1876.6)</f>
        <v>1876.6</v>
      </c>
      <c r="K113" s="3">
        <f t="shared" si="2"/>
        <v>0</v>
      </c>
      <c r="L113" s="3">
        <f t="shared" si="3"/>
        <v>1880.4</v>
      </c>
    </row>
    <row r="114" customHeight="1" spans="1:12">
      <c r="A114" s="47">
        <f>IFERROR(__xludf.DUMMYFUNCTION("""COMPUTED_VALUE"""),45905.6458333333)</f>
        <v>45905.6458333333</v>
      </c>
      <c r="B114" s="48">
        <f>IFERROR(__xludf.DUMMYFUNCTION("""COMPUTED_VALUE"""),1895.3)</f>
        <v>1895.3</v>
      </c>
      <c r="C114" s="47">
        <f>IFERROR(__xludf.DUMMYFUNCTION("""COMPUTED_VALUE"""),45905.6458333333)</f>
        <v>45905.6458333333</v>
      </c>
      <c r="D114" s="48">
        <f>IFERROR(__xludf.DUMMYFUNCTION("""COMPUTED_VALUE"""),1887)</f>
        <v>1887</v>
      </c>
      <c r="E114" s="47">
        <f>IFERROR(__xludf.DUMMYFUNCTION("""COMPUTED_VALUE"""),45905.6458333333)</f>
        <v>45905.6458333333</v>
      </c>
      <c r="F114" s="48">
        <f>IFERROR(__xludf.DUMMYFUNCTION("""COMPUTED_VALUE"""),2620140)</f>
        <v>2620140</v>
      </c>
      <c r="G114" s="47">
        <f>IFERROR(__xludf.DUMMYFUNCTION("""COMPUTED_VALUE"""),45905.6458333333)</f>
        <v>45905.6458333333</v>
      </c>
      <c r="H114" s="48">
        <f>IFERROR(__xludf.DUMMYFUNCTION("""COMPUTED_VALUE"""),1910.7)</f>
        <v>1910.7</v>
      </c>
      <c r="I114" s="47">
        <f>IFERROR(__xludf.DUMMYFUNCTION("""COMPUTED_VALUE"""),45905.6458333333)</f>
        <v>45905.6458333333</v>
      </c>
      <c r="J114" s="48">
        <f>IFERROR(__xludf.DUMMYFUNCTION("""COMPUTED_VALUE"""),1875.7)</f>
        <v>1875.7</v>
      </c>
      <c r="K114" s="3">
        <f t="shared" si="2"/>
        <v>0</v>
      </c>
      <c r="L114" s="3">
        <f t="shared" si="3"/>
        <v>0</v>
      </c>
    </row>
    <row r="115" customHeight="1" spans="1:12">
      <c r="A115" s="47">
        <f>IFERROR(__xludf.DUMMYFUNCTION("""COMPUTED_VALUE"""),45908.6458333333)</f>
        <v>45908.6458333333</v>
      </c>
      <c r="B115" s="48">
        <f>IFERROR(__xludf.DUMMYFUNCTION("""COMPUTED_VALUE"""),1887.7)</f>
        <v>1887.7</v>
      </c>
      <c r="C115" s="47">
        <f>IFERROR(__xludf.DUMMYFUNCTION("""COMPUTED_VALUE"""),45908.6458333333)</f>
        <v>45908.6458333333</v>
      </c>
      <c r="D115" s="48">
        <f>IFERROR(__xludf.DUMMYFUNCTION("""COMPUTED_VALUE"""),1898)</f>
        <v>1898</v>
      </c>
      <c r="E115" s="47">
        <f>IFERROR(__xludf.DUMMYFUNCTION("""COMPUTED_VALUE"""),45908.6458333333)</f>
        <v>45908.6458333333</v>
      </c>
      <c r="F115" s="48">
        <f>IFERROR(__xludf.DUMMYFUNCTION("""COMPUTED_VALUE"""),2547552)</f>
        <v>2547552</v>
      </c>
      <c r="G115" s="47">
        <f>IFERROR(__xludf.DUMMYFUNCTION("""COMPUTED_VALUE"""),45908.6458333333)</f>
        <v>45908.6458333333</v>
      </c>
      <c r="H115" s="48">
        <f>IFERROR(__xludf.DUMMYFUNCTION("""COMPUTED_VALUE"""),1899)</f>
        <v>1899</v>
      </c>
      <c r="I115" s="47">
        <f>IFERROR(__xludf.DUMMYFUNCTION("""COMPUTED_VALUE"""),45908.6458333333)</f>
        <v>45908.6458333333</v>
      </c>
      <c r="J115" s="48">
        <f>IFERROR(__xludf.DUMMYFUNCTION("""COMPUTED_VALUE"""),1884.1)</f>
        <v>1884.1</v>
      </c>
      <c r="K115" s="3">
        <f t="shared" si="2"/>
        <v>0</v>
      </c>
      <c r="L115" s="3">
        <f t="shared" si="3"/>
        <v>0</v>
      </c>
    </row>
    <row r="116" customHeight="1" spans="1:12">
      <c r="A116" s="47">
        <f>IFERROR(__xludf.DUMMYFUNCTION("""COMPUTED_VALUE"""),45909.6458333333)</f>
        <v>45909.6458333333</v>
      </c>
      <c r="B116" s="48">
        <f>IFERROR(__xludf.DUMMYFUNCTION("""COMPUTED_VALUE"""),1893.7)</f>
        <v>1893.7</v>
      </c>
      <c r="C116" s="47">
        <f>IFERROR(__xludf.DUMMYFUNCTION("""COMPUTED_VALUE"""),45909.6458333333)</f>
        <v>45909.6458333333</v>
      </c>
      <c r="D116" s="48">
        <f>IFERROR(__xludf.DUMMYFUNCTION("""COMPUTED_VALUE"""),1892)</f>
        <v>1892</v>
      </c>
      <c r="E116" s="47">
        <f>IFERROR(__xludf.DUMMYFUNCTION("""COMPUTED_VALUE"""),45909.6458333333)</f>
        <v>45909.6458333333</v>
      </c>
      <c r="F116" s="48">
        <f>IFERROR(__xludf.DUMMYFUNCTION("""COMPUTED_VALUE"""),4517793)</f>
        <v>4517793</v>
      </c>
      <c r="G116" s="47">
        <f>IFERROR(__xludf.DUMMYFUNCTION("""COMPUTED_VALUE"""),45909.6458333333)</f>
        <v>45909.6458333333</v>
      </c>
      <c r="H116" s="48">
        <f>IFERROR(__xludf.DUMMYFUNCTION("""COMPUTED_VALUE"""),1904)</f>
        <v>1904</v>
      </c>
      <c r="I116" s="47">
        <f>IFERROR(__xludf.DUMMYFUNCTION("""COMPUTED_VALUE"""),45909.6458333333)</f>
        <v>45909.6458333333</v>
      </c>
      <c r="J116" s="48">
        <f>IFERROR(__xludf.DUMMYFUNCTION("""COMPUTED_VALUE"""),1883)</f>
        <v>1883</v>
      </c>
      <c r="K116" s="3">
        <f t="shared" si="2"/>
        <v>0</v>
      </c>
      <c r="L116" s="3">
        <f t="shared" si="3"/>
        <v>0</v>
      </c>
    </row>
    <row r="117" customHeight="1" spans="1:12">
      <c r="A117" s="47">
        <f>IFERROR(__xludf.DUMMYFUNCTION("""COMPUTED_VALUE"""),45910.6458333333)</f>
        <v>45910.6458333333</v>
      </c>
      <c r="B117" s="48">
        <f>IFERROR(__xludf.DUMMYFUNCTION("""COMPUTED_VALUE"""),1891.4)</f>
        <v>1891.4</v>
      </c>
      <c r="C117" s="47">
        <f>IFERROR(__xludf.DUMMYFUNCTION("""COMPUTED_VALUE"""),45910.6458333333)</f>
        <v>45910.6458333333</v>
      </c>
      <c r="D117" s="48">
        <f>IFERROR(__xludf.DUMMYFUNCTION("""COMPUTED_VALUE"""),1904)</f>
        <v>1904</v>
      </c>
      <c r="E117" s="47">
        <f>IFERROR(__xludf.DUMMYFUNCTION("""COMPUTED_VALUE"""),45910.6458333333)</f>
        <v>45910.6458333333</v>
      </c>
      <c r="F117" s="48">
        <f>IFERROR(__xludf.DUMMYFUNCTION("""COMPUTED_VALUE"""),3566139)</f>
        <v>3566139</v>
      </c>
      <c r="G117" s="47">
        <f>IFERROR(__xludf.DUMMYFUNCTION("""COMPUTED_VALUE"""),45910.6458333333)</f>
        <v>45910.6458333333</v>
      </c>
      <c r="H117" s="48">
        <f>IFERROR(__xludf.DUMMYFUNCTION("""COMPUTED_VALUE"""),1905)</f>
        <v>1905</v>
      </c>
      <c r="I117" s="47">
        <f>IFERROR(__xludf.DUMMYFUNCTION("""COMPUTED_VALUE"""),45910.6458333333)</f>
        <v>45910.6458333333</v>
      </c>
      <c r="J117" s="48">
        <f>IFERROR(__xludf.DUMMYFUNCTION("""COMPUTED_VALUE"""),1883)</f>
        <v>1883</v>
      </c>
      <c r="K117" s="3">
        <f t="shared" si="2"/>
        <v>0</v>
      </c>
      <c r="L117" s="3">
        <f t="shared" si="3"/>
        <v>0</v>
      </c>
    </row>
    <row r="118" customHeight="1" spans="1:12">
      <c r="A118" s="47">
        <f>IFERROR(__xludf.DUMMYFUNCTION("""COMPUTED_VALUE"""),45911.6458333333)</f>
        <v>45911.6458333333</v>
      </c>
      <c r="B118" s="48">
        <f>IFERROR(__xludf.DUMMYFUNCTION("""COMPUTED_VALUE"""),1913)</f>
        <v>1913</v>
      </c>
      <c r="C118" s="47">
        <f>IFERROR(__xludf.DUMMYFUNCTION("""COMPUTED_VALUE"""),45911.6458333333)</f>
        <v>45911.6458333333</v>
      </c>
      <c r="D118" s="48">
        <f>IFERROR(__xludf.DUMMYFUNCTION("""COMPUTED_VALUE"""),1884)</f>
        <v>1884</v>
      </c>
      <c r="E118" s="47">
        <f>IFERROR(__xludf.DUMMYFUNCTION("""COMPUTED_VALUE"""),45911.6458333333)</f>
        <v>45911.6458333333</v>
      </c>
      <c r="F118" s="48">
        <f>IFERROR(__xludf.DUMMYFUNCTION("""COMPUTED_VALUE"""),4718266)</f>
        <v>4718266</v>
      </c>
      <c r="G118" s="47">
        <f>IFERROR(__xludf.DUMMYFUNCTION("""COMPUTED_VALUE"""),45911.6458333333)</f>
        <v>45911.6458333333</v>
      </c>
      <c r="H118" s="48">
        <f>IFERROR(__xludf.DUMMYFUNCTION("""COMPUTED_VALUE"""),1916)</f>
        <v>1916</v>
      </c>
      <c r="I118" s="47">
        <f>IFERROR(__xludf.DUMMYFUNCTION("""COMPUTED_VALUE"""),45911.6458333333)</f>
        <v>45911.6458333333</v>
      </c>
      <c r="J118" s="48">
        <f>IFERROR(__xludf.DUMMYFUNCTION("""COMPUTED_VALUE"""),1882.1)</f>
        <v>1882.1</v>
      </c>
      <c r="K118" s="3">
        <f t="shared" si="2"/>
        <v>0</v>
      </c>
      <c r="L118" s="3">
        <f t="shared" si="3"/>
        <v>0</v>
      </c>
    </row>
    <row r="119" customHeight="1" spans="1:12">
      <c r="A119" s="47">
        <f>IFERROR(__xludf.DUMMYFUNCTION("""COMPUTED_VALUE"""),45912.6458333333)</f>
        <v>45912.6458333333</v>
      </c>
      <c r="B119" s="48">
        <f>IFERROR(__xludf.DUMMYFUNCTION("""COMPUTED_VALUE"""),1902.6)</f>
        <v>1902.6</v>
      </c>
      <c r="C119" s="47">
        <f>IFERROR(__xludf.DUMMYFUNCTION("""COMPUTED_VALUE"""),45912.6458333333)</f>
        <v>45912.6458333333</v>
      </c>
      <c r="D119" s="48">
        <f>IFERROR(__xludf.DUMMYFUNCTION("""COMPUTED_VALUE"""),1925)</f>
        <v>1925</v>
      </c>
      <c r="E119" s="47">
        <f>IFERROR(__xludf.DUMMYFUNCTION("""COMPUTED_VALUE"""),45912.6458333333)</f>
        <v>45912.6458333333</v>
      </c>
      <c r="F119" s="48">
        <f>IFERROR(__xludf.DUMMYFUNCTION("""COMPUTED_VALUE"""),3192824)</f>
        <v>3192824</v>
      </c>
      <c r="G119" s="47">
        <f>IFERROR(__xludf.DUMMYFUNCTION("""COMPUTED_VALUE"""),45912.6458333333)</f>
        <v>45912.6458333333</v>
      </c>
      <c r="H119" s="48">
        <f>IFERROR(__xludf.DUMMYFUNCTION("""COMPUTED_VALUE"""),1925)</f>
        <v>1925</v>
      </c>
      <c r="I119" s="47">
        <f>IFERROR(__xludf.DUMMYFUNCTION("""COMPUTED_VALUE"""),45912.6458333333)</f>
        <v>45912.6458333333</v>
      </c>
      <c r="J119" s="48">
        <f>IFERROR(__xludf.DUMMYFUNCTION("""COMPUTED_VALUE"""),1901.6)</f>
        <v>1901.6</v>
      </c>
      <c r="K119" s="3">
        <f t="shared" si="2"/>
        <v>0</v>
      </c>
      <c r="L119" s="3">
        <f t="shared" si="3"/>
        <v>0</v>
      </c>
    </row>
    <row r="120" customHeight="1" spans="1:12">
      <c r="A120" s="47">
        <f>IFERROR(__xludf.DUMMYFUNCTION("""COMPUTED_VALUE"""),45915.6458333333)</f>
        <v>45915.6458333333</v>
      </c>
      <c r="B120" s="48">
        <f>IFERROR(__xludf.DUMMYFUNCTION("""COMPUTED_VALUE"""),1904.5)</f>
        <v>1904.5</v>
      </c>
      <c r="C120" s="47">
        <f>IFERROR(__xludf.DUMMYFUNCTION("""COMPUTED_VALUE"""),45915.6458333333)</f>
        <v>45915.6458333333</v>
      </c>
      <c r="D120" s="48">
        <f>IFERROR(__xludf.DUMMYFUNCTION("""COMPUTED_VALUE"""),1904)</f>
        <v>1904</v>
      </c>
      <c r="E120" s="47">
        <f>IFERROR(__xludf.DUMMYFUNCTION("""COMPUTED_VALUE"""),45915.6458333333)</f>
        <v>45915.6458333333</v>
      </c>
      <c r="F120" s="48">
        <f>IFERROR(__xludf.DUMMYFUNCTION("""COMPUTED_VALUE"""),3553258)</f>
        <v>3553258</v>
      </c>
      <c r="G120" s="47">
        <f>IFERROR(__xludf.DUMMYFUNCTION("""COMPUTED_VALUE"""),45915.6458333333)</f>
        <v>45915.6458333333</v>
      </c>
      <c r="H120" s="48">
        <f>IFERROR(__xludf.DUMMYFUNCTION("""COMPUTED_VALUE"""),1913)</f>
        <v>1913</v>
      </c>
      <c r="I120" s="47">
        <f>IFERROR(__xludf.DUMMYFUNCTION("""COMPUTED_VALUE"""),45915.6458333333)</f>
        <v>45915.6458333333</v>
      </c>
      <c r="J120" s="48">
        <f>IFERROR(__xludf.DUMMYFUNCTION("""COMPUTED_VALUE"""),1898.4)</f>
        <v>1898.4</v>
      </c>
      <c r="K120" s="3">
        <f t="shared" si="2"/>
        <v>0</v>
      </c>
      <c r="L120" s="3">
        <f t="shared" si="3"/>
        <v>0</v>
      </c>
    </row>
    <row r="121" customHeight="1" spans="1:12">
      <c r="A121" s="47">
        <f>IFERROR(__xludf.DUMMYFUNCTION("""COMPUTED_VALUE"""),45916.6458333333)</f>
        <v>45916.6458333333</v>
      </c>
      <c r="B121" s="48">
        <f>IFERROR(__xludf.DUMMYFUNCTION("""COMPUTED_VALUE"""),1939.5)</f>
        <v>1939.5</v>
      </c>
      <c r="C121" s="47">
        <f>IFERROR(__xludf.DUMMYFUNCTION("""COMPUTED_VALUE"""),45916.6458333333)</f>
        <v>45916.6458333333</v>
      </c>
      <c r="D121" s="48">
        <f>IFERROR(__xludf.DUMMYFUNCTION("""COMPUTED_VALUE"""),1903.3)</f>
        <v>1903.3</v>
      </c>
      <c r="E121" s="47">
        <f>IFERROR(__xludf.DUMMYFUNCTION("""COMPUTED_VALUE"""),45916.6458333333)</f>
        <v>45916.6458333333</v>
      </c>
      <c r="F121" s="48">
        <f>IFERROR(__xludf.DUMMYFUNCTION("""COMPUTED_VALUE"""),5427586)</f>
        <v>5427586</v>
      </c>
      <c r="G121" s="47">
        <f>IFERROR(__xludf.DUMMYFUNCTION("""COMPUTED_VALUE"""),45916.6458333333)</f>
        <v>45916.6458333333</v>
      </c>
      <c r="H121" s="48">
        <f>IFERROR(__xludf.DUMMYFUNCTION("""COMPUTED_VALUE"""),1942)</f>
        <v>1942</v>
      </c>
      <c r="I121" s="47">
        <f>IFERROR(__xludf.DUMMYFUNCTION("""COMPUTED_VALUE"""),45916.6458333333)</f>
        <v>45916.6458333333</v>
      </c>
      <c r="J121" s="48">
        <f>IFERROR(__xludf.DUMMYFUNCTION("""COMPUTED_VALUE"""),1902.5)</f>
        <v>1902.5</v>
      </c>
      <c r="K121" s="3">
        <f t="shared" si="2"/>
        <v>0</v>
      </c>
      <c r="L121" s="3">
        <f t="shared" si="3"/>
        <v>0</v>
      </c>
    </row>
    <row r="122" customHeight="1" spans="1:12">
      <c r="A122" s="47">
        <f>IFERROR(__xludf.DUMMYFUNCTION("""COMPUTED_VALUE"""),45917.6458333333)</f>
        <v>45917.6458333333</v>
      </c>
      <c r="B122" s="48">
        <f>IFERROR(__xludf.DUMMYFUNCTION("""COMPUTED_VALUE"""),1941.3)</f>
        <v>1941.3</v>
      </c>
      <c r="C122" s="47">
        <f>IFERROR(__xludf.DUMMYFUNCTION("""COMPUTED_VALUE"""),45917.6458333333)</f>
        <v>45917.6458333333</v>
      </c>
      <c r="D122" s="48">
        <f>IFERROR(__xludf.DUMMYFUNCTION("""COMPUTED_VALUE"""),1938.1)</f>
        <v>1938.1</v>
      </c>
      <c r="E122" s="47">
        <f>IFERROR(__xludf.DUMMYFUNCTION("""COMPUTED_VALUE"""),45917.6458333333)</f>
        <v>45917.6458333333</v>
      </c>
      <c r="F122" s="48">
        <f>IFERROR(__xludf.DUMMYFUNCTION("""COMPUTED_VALUE"""),4234637)</f>
        <v>4234637</v>
      </c>
      <c r="G122" s="47">
        <f>IFERROR(__xludf.DUMMYFUNCTION("""COMPUTED_VALUE"""),45917.6458333333)</f>
        <v>45917.6458333333</v>
      </c>
      <c r="H122" s="48">
        <f>IFERROR(__xludf.DUMMYFUNCTION("""COMPUTED_VALUE"""),1950.1)</f>
        <v>1950.1</v>
      </c>
      <c r="I122" s="47">
        <f>IFERROR(__xludf.DUMMYFUNCTION("""COMPUTED_VALUE"""),45917.6458333333)</f>
        <v>45917.6458333333</v>
      </c>
      <c r="J122" s="48">
        <f>IFERROR(__xludf.DUMMYFUNCTION("""COMPUTED_VALUE"""),1932.6)</f>
        <v>1932.6</v>
      </c>
      <c r="K122" s="3">
        <f t="shared" si="2"/>
        <v>0</v>
      </c>
      <c r="L122" s="3">
        <f t="shared" si="3"/>
        <v>0</v>
      </c>
    </row>
    <row r="123" customHeight="1" spans="1:12">
      <c r="A123" s="47">
        <f>IFERROR(__xludf.DUMMYFUNCTION("""COMPUTED_VALUE"""),45918.6458333333)</f>
        <v>45918.6458333333</v>
      </c>
      <c r="B123" s="48">
        <f>IFERROR(__xludf.DUMMYFUNCTION("""COMPUTED_VALUE"""),1941.1)</f>
        <v>1941.1</v>
      </c>
      <c r="C123" s="47">
        <f>IFERROR(__xludf.DUMMYFUNCTION("""COMPUTED_VALUE"""),45918.6458333333)</f>
        <v>45918.6458333333</v>
      </c>
      <c r="D123" s="48">
        <f>IFERROR(__xludf.DUMMYFUNCTION("""COMPUTED_VALUE"""),1944.5)</f>
        <v>1944.5</v>
      </c>
      <c r="E123" s="47">
        <f>IFERROR(__xludf.DUMMYFUNCTION("""COMPUTED_VALUE"""),45918.6458333333)</f>
        <v>45918.6458333333</v>
      </c>
      <c r="F123" s="48">
        <f>IFERROR(__xludf.DUMMYFUNCTION("""COMPUTED_VALUE"""),5080814)</f>
        <v>5080814</v>
      </c>
      <c r="G123" s="47">
        <f>IFERROR(__xludf.DUMMYFUNCTION("""COMPUTED_VALUE"""),45918.6458333333)</f>
        <v>45918.6458333333</v>
      </c>
      <c r="H123" s="48">
        <f>IFERROR(__xludf.DUMMYFUNCTION("""COMPUTED_VALUE"""),1949.8)</f>
        <v>1949.8</v>
      </c>
      <c r="I123" s="47">
        <f>IFERROR(__xludf.DUMMYFUNCTION("""COMPUTED_VALUE"""),45918.6458333333)</f>
        <v>45918.6458333333</v>
      </c>
      <c r="J123" s="48">
        <f>IFERROR(__xludf.DUMMYFUNCTION("""COMPUTED_VALUE"""),1920.5)</f>
        <v>1920.5</v>
      </c>
      <c r="K123" s="3">
        <f t="shared" si="2"/>
        <v>0</v>
      </c>
      <c r="L123" s="3">
        <f t="shared" si="3"/>
        <v>0</v>
      </c>
    </row>
    <row r="124" customHeight="1" spans="1:12">
      <c r="A124" s="47">
        <f>IFERROR(__xludf.DUMMYFUNCTION("""COMPUTED_VALUE"""),45919.6458333333)</f>
        <v>45919.6458333333</v>
      </c>
      <c r="B124" s="48">
        <f>IFERROR(__xludf.DUMMYFUNCTION("""COMPUTED_VALUE"""),1962.4)</f>
        <v>1962.4</v>
      </c>
      <c r="C124" s="47">
        <f>IFERROR(__xludf.DUMMYFUNCTION("""COMPUTED_VALUE"""),45919.6458333333)</f>
        <v>45919.6458333333</v>
      </c>
      <c r="D124" s="48">
        <f>IFERROR(__xludf.DUMMYFUNCTION("""COMPUTED_VALUE"""),1930.2)</f>
        <v>1930.2</v>
      </c>
      <c r="E124" s="47">
        <f>IFERROR(__xludf.DUMMYFUNCTION("""COMPUTED_VALUE"""),45919.6458333333)</f>
        <v>45919.6458333333</v>
      </c>
      <c r="F124" s="48">
        <f>IFERROR(__xludf.DUMMYFUNCTION("""COMPUTED_VALUE"""),11287603)</f>
        <v>11287603</v>
      </c>
      <c r="G124" s="47">
        <f>IFERROR(__xludf.DUMMYFUNCTION("""COMPUTED_VALUE"""),45919.6458333333)</f>
        <v>45919.6458333333</v>
      </c>
      <c r="H124" s="48">
        <f>IFERROR(__xludf.DUMMYFUNCTION("""COMPUTED_VALUE"""),1976.8)</f>
        <v>1976.8</v>
      </c>
      <c r="I124" s="47">
        <f>IFERROR(__xludf.DUMMYFUNCTION("""COMPUTED_VALUE"""),45919.6458333333)</f>
        <v>45919.6458333333</v>
      </c>
      <c r="J124" s="48">
        <f>IFERROR(__xludf.DUMMYFUNCTION("""COMPUTED_VALUE"""),1927.8)</f>
        <v>1927.8</v>
      </c>
      <c r="K124" s="3">
        <f t="shared" si="2"/>
        <v>1962.4</v>
      </c>
      <c r="L124" s="3">
        <f t="shared" si="3"/>
        <v>0</v>
      </c>
    </row>
    <row r="125" customHeight="1" spans="1:12">
      <c r="A125" s="47">
        <f>IFERROR(__xludf.DUMMYFUNCTION("""COMPUTED_VALUE"""),45922.6458333333)</f>
        <v>45922.6458333333</v>
      </c>
      <c r="B125" s="48">
        <f>IFERROR(__xludf.DUMMYFUNCTION("""COMPUTED_VALUE"""),1956.2)</f>
        <v>1956.2</v>
      </c>
      <c r="C125" s="47">
        <f>IFERROR(__xludf.DUMMYFUNCTION("""COMPUTED_VALUE"""),45922.6458333333)</f>
        <v>45922.6458333333</v>
      </c>
      <c r="D125" s="48">
        <f>IFERROR(__xludf.DUMMYFUNCTION("""COMPUTED_VALUE"""),1954)</f>
        <v>1954</v>
      </c>
      <c r="E125" s="47">
        <f>IFERROR(__xludf.DUMMYFUNCTION("""COMPUTED_VALUE"""),45922.6458333333)</f>
        <v>45922.6458333333</v>
      </c>
      <c r="F125" s="48">
        <f>IFERROR(__xludf.DUMMYFUNCTION("""COMPUTED_VALUE"""),4469137)</f>
        <v>4469137</v>
      </c>
      <c r="G125" s="47">
        <f>IFERROR(__xludf.DUMMYFUNCTION("""COMPUTED_VALUE"""),45922.6458333333)</f>
        <v>45922.6458333333</v>
      </c>
      <c r="H125" s="48">
        <f>IFERROR(__xludf.DUMMYFUNCTION("""COMPUTED_VALUE"""),1966)</f>
        <v>1966</v>
      </c>
      <c r="I125" s="47">
        <f>IFERROR(__xludf.DUMMYFUNCTION("""COMPUTED_VALUE"""),45922.6458333333)</f>
        <v>45922.6458333333</v>
      </c>
      <c r="J125" s="48">
        <f>IFERROR(__xludf.DUMMYFUNCTION("""COMPUTED_VALUE"""),1944)</f>
        <v>1944</v>
      </c>
      <c r="K125" s="3">
        <f t="shared" si="2"/>
        <v>0</v>
      </c>
      <c r="L125" s="3">
        <f t="shared" si="3"/>
        <v>0</v>
      </c>
    </row>
    <row r="126" customHeight="1" spans="1:10">
      <c r="A126" s="47">
        <f>IFERROR(__xludf.DUMMYFUNCTION("""COMPUTED_VALUE"""),45923.6458333333)</f>
        <v>45923.6458333333</v>
      </c>
      <c r="B126" s="48">
        <f>IFERROR(__xludf.DUMMYFUNCTION("""COMPUTED_VALUE"""),1938.7)</f>
        <v>1938.7</v>
      </c>
      <c r="C126" s="47">
        <f>IFERROR(__xludf.DUMMYFUNCTION("""COMPUTED_VALUE"""),45923.6458333333)</f>
        <v>45923.6458333333</v>
      </c>
      <c r="D126" s="48">
        <f>IFERROR(__xludf.DUMMYFUNCTION("""COMPUTED_VALUE"""),1950)</f>
        <v>1950</v>
      </c>
      <c r="E126" s="47">
        <f>IFERROR(__xludf.DUMMYFUNCTION("""COMPUTED_VALUE"""),45923.6458333333)</f>
        <v>45923.6458333333</v>
      </c>
      <c r="F126" s="48">
        <f>IFERROR(__xludf.DUMMYFUNCTION("""COMPUTED_VALUE"""),4348633)</f>
        <v>4348633</v>
      </c>
      <c r="G126" s="47">
        <f>IFERROR(__xludf.DUMMYFUNCTION("""COMPUTED_VALUE"""),45923.6458333333)</f>
        <v>45923.6458333333</v>
      </c>
      <c r="H126" s="48">
        <f>IFERROR(__xludf.DUMMYFUNCTION("""COMPUTED_VALUE"""),1955)</f>
        <v>1955</v>
      </c>
      <c r="I126" s="47">
        <f>IFERROR(__xludf.DUMMYFUNCTION("""COMPUTED_VALUE"""),45923.6458333333)</f>
        <v>45923.6458333333</v>
      </c>
      <c r="J126" s="48">
        <f>IFERROR(__xludf.DUMMYFUNCTION("""COMPUTED_VALUE"""),1930.1)</f>
        <v>1930.1</v>
      </c>
    </row>
    <row r="127" customHeight="1" spans="1:10">
      <c r="A127" s="47">
        <f>IFERROR(__xludf.DUMMYFUNCTION("""COMPUTED_VALUE"""),45924.6458333333)</f>
        <v>45924.6458333333</v>
      </c>
      <c r="B127" s="48">
        <f>IFERROR(__xludf.DUMMYFUNCTION("""COMPUTED_VALUE"""),1931.1)</f>
        <v>1931.1</v>
      </c>
      <c r="C127" s="47">
        <f>IFERROR(__xludf.DUMMYFUNCTION("""COMPUTED_VALUE"""),45924.6458333333)</f>
        <v>45924.6458333333</v>
      </c>
      <c r="D127" s="48">
        <f>IFERROR(__xludf.DUMMYFUNCTION("""COMPUTED_VALUE"""),1926)</f>
        <v>1926</v>
      </c>
      <c r="E127" s="47">
        <f>IFERROR(__xludf.DUMMYFUNCTION("""COMPUTED_VALUE"""),45924.6458333333)</f>
        <v>45924.6458333333</v>
      </c>
      <c r="F127" s="48">
        <f>IFERROR(__xludf.DUMMYFUNCTION("""COMPUTED_VALUE"""),5237977)</f>
        <v>5237977</v>
      </c>
      <c r="G127" s="47">
        <f>IFERROR(__xludf.DUMMYFUNCTION("""COMPUTED_VALUE"""),45924.6458333333)</f>
        <v>45924.6458333333</v>
      </c>
      <c r="H127" s="48">
        <f>IFERROR(__xludf.DUMMYFUNCTION("""COMPUTED_VALUE"""),1937.3)</f>
        <v>1937.3</v>
      </c>
      <c r="I127" s="47">
        <f>IFERROR(__xludf.DUMMYFUNCTION("""COMPUTED_VALUE"""),45924.6458333333)</f>
        <v>45924.6458333333</v>
      </c>
      <c r="J127" s="48">
        <f>IFERROR(__xludf.DUMMYFUNCTION("""COMPUTED_VALUE"""),1918.8)</f>
        <v>1918.8</v>
      </c>
    </row>
    <row r="128" customHeight="1" spans="1:10">
      <c r="A128" s="47">
        <f>IFERROR(__xludf.DUMMYFUNCTION("""COMPUTED_VALUE"""),45925.6458333333)</f>
        <v>45925.6458333333</v>
      </c>
      <c r="B128" s="48">
        <f>IFERROR(__xludf.DUMMYFUNCTION("""COMPUTED_VALUE"""),1935.6)</f>
        <v>1935.6</v>
      </c>
      <c r="C128" s="47">
        <f>IFERROR(__xludf.DUMMYFUNCTION("""COMPUTED_VALUE"""),45925.6458333333)</f>
        <v>45925.6458333333</v>
      </c>
      <c r="D128" s="48">
        <f>IFERROR(__xludf.DUMMYFUNCTION("""COMPUTED_VALUE"""),1930)</f>
        <v>1930</v>
      </c>
      <c r="E128" s="47">
        <f>IFERROR(__xludf.DUMMYFUNCTION("""COMPUTED_VALUE"""),45925.6458333333)</f>
        <v>45925.6458333333</v>
      </c>
      <c r="F128" s="48">
        <f>IFERROR(__xludf.DUMMYFUNCTION("""COMPUTED_VALUE"""),7133365)</f>
        <v>7133365</v>
      </c>
      <c r="G128" s="47">
        <f>IFERROR(__xludf.DUMMYFUNCTION("""COMPUTED_VALUE"""),45925.6458333333)</f>
        <v>45925.6458333333</v>
      </c>
      <c r="H128" s="48">
        <f>IFERROR(__xludf.DUMMYFUNCTION("""COMPUTED_VALUE"""),1950)</f>
        <v>1950</v>
      </c>
      <c r="I128" s="47">
        <f>IFERROR(__xludf.DUMMYFUNCTION("""COMPUTED_VALUE"""),45925.6458333333)</f>
        <v>45925.6458333333</v>
      </c>
      <c r="J128" s="48">
        <f>IFERROR(__xludf.DUMMYFUNCTION("""COMPUTED_VALUE"""),1928.8)</f>
        <v>1928.8</v>
      </c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IFERROR(__xludf.DUMMYFUNCTION("""COMPUTED_VALUE"""),1916.6)</f>
        <v>1916.6</v>
      </c>
      <c r="C129" s="47">
        <f>IFERROR(__xludf.DUMMYFUNCTION("""COMPUTED_VALUE"""),45926.6458333333)</f>
        <v>45926.6458333333</v>
      </c>
      <c r="D129" s="48">
        <f>IFERROR(__xludf.DUMMYFUNCTION("""COMPUTED_VALUE"""),1931.1)</f>
        <v>1931.1</v>
      </c>
      <c r="E129" s="47">
        <f>IFERROR(__xludf.DUMMYFUNCTION("""COMPUTED_VALUE"""),45926.6458333333)</f>
        <v>45926.6458333333</v>
      </c>
      <c r="F129" s="48">
        <f>IFERROR(__xludf.DUMMYFUNCTION("""COMPUTED_VALUE"""),3239306)</f>
        <v>3239306</v>
      </c>
      <c r="G129" s="47">
        <f>IFERROR(__xludf.DUMMYFUNCTION("""COMPUTED_VALUE"""),45926.6458333333)</f>
        <v>45926.6458333333</v>
      </c>
      <c r="H129" s="48">
        <f>IFERROR(__xludf.DUMMYFUNCTION("""COMPUTED_VALUE"""),1944.7)</f>
        <v>1944.7</v>
      </c>
      <c r="I129" s="47">
        <f>IFERROR(__xludf.DUMMYFUNCTION("""COMPUTED_VALUE"""),45926.6458333333)</f>
        <v>45926.6458333333</v>
      </c>
      <c r="J129" s="48">
        <f>IFERROR(__xludf.DUMMYFUNCTION("""COMPUTED_VALUE"""),1911.9)</f>
        <v>1911.9</v>
      </c>
    </row>
  </sheetData>
  <mergeCells count="3">
    <mergeCell ref="M1:P1"/>
    <mergeCell ref="A3:F3"/>
    <mergeCell ref="AB4:AE4"/>
  </mergeCells>
  <conditionalFormatting sqref="A1:A2 A4">
    <cfRule type="notContainsBlanks" dxfId="0" priority="1">
      <formula>LEN(TRIM(A1))&gt;0</formula>
    </cfRule>
  </conditionalFormatting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28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""price"")"),324.5)</f>
        <v>324.5</v>
      </c>
      <c r="I3" s="22" t="s">
        <v>269</v>
      </c>
      <c r="J3" s="23">
        <f>IFERROR(__xludf.DUMMYFUNCTION("GOOGLEFINANCE(L3, ""volume"")"),5692665)</f>
        <v>5692665</v>
      </c>
      <c r="K3" s="24" t="s">
        <v>270</v>
      </c>
      <c r="L3" s="25" t="str">
        <f>Mastersheet!B10</f>
        <v>NSE:BPCL</v>
      </c>
      <c r="M3" s="26">
        <f>IFERROR(__xludf.DUMMYFUNCTION("""COMPUTED_VALUE"""),45926.6458333333)</f>
        <v>45926.6458333333</v>
      </c>
      <c r="N3" s="27">
        <f>IFERROR(__xludf.DUMMYFUNCTION("""COMPUTED_VALUE"""),324.35)</f>
        <v>324.35</v>
      </c>
      <c r="O3" s="26">
        <f>IFERROR(__xludf.DUMMYFUNCTION("""COMPUTED_VALUE"""),45926.6458333333)</f>
        <v>45926.6458333333</v>
      </c>
      <c r="P3" s="27">
        <f>IFERROR(__xludf.DUMMYFUNCTION("""COMPUTED_VALUE"""),329.8)</f>
        <v>329.8</v>
      </c>
      <c r="Q3" s="16">
        <f>IFERROR(__xludf.DUMMYFUNCTION("""COMPUTED_VALUE"""),45926.6458333333)</f>
        <v>45926.6458333333</v>
      </c>
      <c r="R3" s="17">
        <f>IFERROR(__xludf.DUMMYFUNCTION("""COMPUTED_VALUE"""),330)</f>
        <v>330</v>
      </c>
      <c r="S3" s="16">
        <f>IFERROR(__xludf.DUMMYFUNCTION("""COMPUTED_VALUE"""),45926.6458333333)</f>
        <v>45926.6458333333</v>
      </c>
      <c r="T3" s="17">
        <f>IFERROR(__xludf.DUMMYFUNCTION("""COMPUTED_VALUE"""),322.95)</f>
        <v>322.95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IFERROR(__xludf.DUMMYFUNCTION("""COMPUTED_VALUE"""),276.06)</f>
        <v>276.06</v>
      </c>
      <c r="C5" s="14">
        <f>IFERROR(__xludf.DUMMYFUNCTION("""COMPUTED_VALUE"""),45743.6458333333)</f>
        <v>45743.6458333333</v>
      </c>
      <c r="D5" s="15">
        <f>IFERROR(__xludf.DUMMYFUNCTION("""COMPUTED_VALUE"""),273.39)</f>
        <v>273.39</v>
      </c>
      <c r="E5" s="14">
        <f>IFERROR(__xludf.DUMMYFUNCTION("""COMPUTED_VALUE"""),45743.6458333333)</f>
        <v>45743.6458333333</v>
      </c>
      <c r="F5" s="15">
        <f>IFERROR(__xludf.DUMMYFUNCTION("""COMPUTED_VALUE"""),107524873)</f>
        <v>107524873</v>
      </c>
      <c r="G5" s="14">
        <f>IFERROR(__xludf.DUMMYFUNCTION("""COMPUTED_VALUE"""),45743.6458333333)</f>
        <v>45743.6458333333</v>
      </c>
      <c r="H5" s="15">
        <f>IFERROR(__xludf.DUMMYFUNCTION("""COMPUTED_VALUE"""),279.85)</f>
        <v>279.85</v>
      </c>
      <c r="I5" s="30">
        <f>IFERROR(__xludf.DUMMYFUNCTION("""COMPUTED_VALUE"""),45743.6458333333)</f>
        <v>45743.6458333333</v>
      </c>
      <c r="J5" s="3">
        <f>IFERROR(__xludf.DUMMYFUNCTION("""COMPUTED_VALUE"""),272.18)</f>
        <v>272.18</v>
      </c>
      <c r="K5" s="5"/>
      <c r="L5" s="5"/>
      <c r="M5" s="3">
        <f t="array" ref="M5">INDEX(K11:K124,MATCH(SMALL(ABS(K11:K124-H3),1),ABS(K11:K124-H3),0))</f>
        <v>323.7</v>
      </c>
      <c r="N5" s="3">
        <f t="array" ref="N5">INDEX(K11:K124,MATCH(SMALL(ABS(K11:K124-H3),2),ABS(K11:K124-H3),0))</f>
        <v>322.95</v>
      </c>
      <c r="O5" s="3">
        <f t="array" ref="O5">INDEX(L11:L124,MATCH(SMALL(ABS(L11:L124-H3),1),ABS(L11:L124-H3),0))</f>
        <v>310.35</v>
      </c>
      <c r="P5" s="3">
        <f t="array" ref="P5">INDEX(L11:L124,MATCH(SMALL(ABS(L11:L124-H3),2),ABS(L11:L124-H3),0))</f>
        <v>309.75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322.95</v>
      </c>
      <c r="T5" s="17">
        <f ca="1">IF(AND(H3&gt;=Mastersheet!I3*S5,H3&lt;=Mastersheet!J3*S5),1,0)</f>
        <v>0</v>
      </c>
      <c r="U5" s="36">
        <f>(N3+P3)/2</f>
        <v>327.075</v>
      </c>
      <c r="V5" s="17">
        <f>(N3+P3+R3+T3)/4</f>
        <v>326.775</v>
      </c>
      <c r="W5" s="17">
        <f>IF(V5&gt;U5,1,0)</f>
        <v>0</v>
      </c>
      <c r="X5" s="17">
        <f>IF(V5&gt;U5,0,1)</f>
        <v>1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IFERROR(__xludf.DUMMYFUNCTION("""COMPUTED_VALUE"""),278.47)</f>
        <v>278.47</v>
      </c>
      <c r="C6" s="16">
        <f>IFERROR(__xludf.DUMMYFUNCTION("""COMPUTED_VALUE"""),45744.6458333333)</f>
        <v>45744.6458333333</v>
      </c>
      <c r="D6" s="17">
        <f>IFERROR(__xludf.DUMMYFUNCTION("""COMPUTED_VALUE"""),276.99)</f>
        <v>276.99</v>
      </c>
      <c r="E6" s="16">
        <f>IFERROR(__xludf.DUMMYFUNCTION("""COMPUTED_VALUE"""),45744.6458333333)</f>
        <v>45744.6458333333</v>
      </c>
      <c r="F6" s="17">
        <f>IFERROR(__xludf.DUMMYFUNCTION("""COMPUTED_VALUE"""),12687883)</f>
        <v>12687883</v>
      </c>
      <c r="G6" s="16">
        <f>IFERROR(__xludf.DUMMYFUNCTION("""COMPUTED_VALUE"""),45744.6458333333)</f>
        <v>45744.6458333333</v>
      </c>
      <c r="H6" s="17">
        <f>IFERROR(__xludf.DUMMYFUNCTION("""COMPUTED_VALUE"""),284.33)</f>
        <v>284.33</v>
      </c>
      <c r="I6" s="16">
        <f>IFERROR(__xludf.DUMMYFUNCTION("""COMPUTED_VALUE"""),45744.6458333333)</f>
        <v>45744.6458333333</v>
      </c>
      <c r="J6" s="17">
        <f>IFERROR(__xludf.DUMMYFUNCTION("""COMPUTED_VALUE"""),276.3)</f>
        <v>276.3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1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IFERROR(__xludf.DUMMYFUNCTION("""COMPUTED_VALUE"""),284.6)</f>
        <v>284.6</v>
      </c>
      <c r="C7" s="16">
        <f>IFERROR(__xludf.DUMMYFUNCTION("""COMPUTED_VALUE"""),45748.6458333333)</f>
        <v>45748.6458333333</v>
      </c>
      <c r="D7" s="17">
        <f>IFERROR(__xludf.DUMMYFUNCTION("""COMPUTED_VALUE"""),275)</f>
        <v>275</v>
      </c>
      <c r="E7" s="16">
        <f>IFERROR(__xludf.DUMMYFUNCTION("""COMPUTED_VALUE"""),45748.6458333333)</f>
        <v>45748.6458333333</v>
      </c>
      <c r="F7" s="17">
        <f>IFERROR(__xludf.DUMMYFUNCTION("""COMPUTED_VALUE"""),20780255)</f>
        <v>20780255</v>
      </c>
      <c r="G7" s="16">
        <f>IFERROR(__xludf.DUMMYFUNCTION("""COMPUTED_VALUE"""),45748.6458333333)</f>
        <v>45748.6458333333</v>
      </c>
      <c r="H7" s="17">
        <f>IFERROR(__xludf.DUMMYFUNCTION("""COMPUTED_VALUE"""),287)</f>
        <v>287</v>
      </c>
      <c r="I7" s="16">
        <f>IFERROR(__xludf.DUMMYFUNCTION("""COMPUTED_VALUE"""),45748.6458333333)</f>
        <v>45748.6458333333</v>
      </c>
      <c r="J7" s="17">
        <f>IFERROR(__xludf.DUMMYFUNCTION("""COMPUTED_VALUE"""),275)</f>
        <v>275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IFERROR(__xludf.DUMMYFUNCTION("""COMPUTED_VALUE"""),286.8)</f>
        <v>286.8</v>
      </c>
      <c r="C8" s="16">
        <f>IFERROR(__xludf.DUMMYFUNCTION("""COMPUTED_VALUE"""),45749.6458333333)</f>
        <v>45749.6458333333</v>
      </c>
      <c r="D8" s="17">
        <f>IFERROR(__xludf.DUMMYFUNCTION("""COMPUTED_VALUE"""),283.05)</f>
        <v>283.05</v>
      </c>
      <c r="E8" s="16">
        <f>IFERROR(__xludf.DUMMYFUNCTION("""COMPUTED_VALUE"""),45749.6458333333)</f>
        <v>45749.6458333333</v>
      </c>
      <c r="F8" s="17">
        <f>IFERROR(__xludf.DUMMYFUNCTION("""COMPUTED_VALUE"""),12058406)</f>
        <v>12058406</v>
      </c>
      <c r="G8" s="16">
        <f>IFERROR(__xludf.DUMMYFUNCTION("""COMPUTED_VALUE"""),45749.6458333333)</f>
        <v>45749.6458333333</v>
      </c>
      <c r="H8" s="17">
        <f>IFERROR(__xludf.DUMMYFUNCTION("""COMPUTED_VALUE"""),288.05)</f>
        <v>288.05</v>
      </c>
      <c r="I8" s="16">
        <f>IFERROR(__xludf.DUMMYFUNCTION("""COMPUTED_VALUE"""),45749.6458333333)</f>
        <v>45749.6458333333</v>
      </c>
      <c r="J8" s="17">
        <f>IFERROR(__xludf.DUMMYFUNCTION("""COMPUTED_VALUE"""),277.7)</f>
        <v>277.7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IFERROR(__xludf.DUMMYFUNCTION("""COMPUTED_VALUE"""),286.8)</f>
        <v>286.8</v>
      </c>
      <c r="C9" s="16">
        <f>IFERROR(__xludf.DUMMYFUNCTION("""COMPUTED_VALUE"""),45750.6458333333)</f>
        <v>45750.6458333333</v>
      </c>
      <c r="D9" s="17">
        <f>IFERROR(__xludf.DUMMYFUNCTION("""COMPUTED_VALUE"""),283)</f>
        <v>283</v>
      </c>
      <c r="E9" s="16">
        <f>IFERROR(__xludf.DUMMYFUNCTION("""COMPUTED_VALUE"""),45750.6458333333)</f>
        <v>45750.6458333333</v>
      </c>
      <c r="F9" s="17">
        <f>IFERROR(__xludf.DUMMYFUNCTION("""COMPUTED_VALUE"""),6663148)</f>
        <v>6663148</v>
      </c>
      <c r="G9" s="16">
        <f>IFERROR(__xludf.DUMMYFUNCTION("""COMPUTED_VALUE"""),45750.6458333333)</f>
        <v>45750.6458333333</v>
      </c>
      <c r="H9" s="17">
        <f>IFERROR(__xludf.DUMMYFUNCTION("""COMPUTED_VALUE"""),291.4)</f>
        <v>291.4</v>
      </c>
      <c r="I9" s="16">
        <f>IFERROR(__xludf.DUMMYFUNCTION("""COMPUTED_VALUE"""),45750.6458333333)</f>
        <v>45750.6458333333</v>
      </c>
      <c r="J9" s="17">
        <f>IFERROR(__xludf.DUMMYFUNCTION("""COMPUTED_VALUE"""),283)</f>
        <v>283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IFERROR(__xludf.DUMMYFUNCTION("""COMPUTED_VALUE"""),279.45)</f>
        <v>279.45</v>
      </c>
      <c r="C10" s="16">
        <f>IFERROR(__xludf.DUMMYFUNCTION("""COMPUTED_VALUE"""),45751.6458333333)</f>
        <v>45751.6458333333</v>
      </c>
      <c r="D10" s="17">
        <f>IFERROR(__xludf.DUMMYFUNCTION("""COMPUTED_VALUE"""),292.15)</f>
        <v>292.15</v>
      </c>
      <c r="E10" s="16">
        <f>IFERROR(__xludf.DUMMYFUNCTION("""COMPUTED_VALUE"""),45751.6458333333)</f>
        <v>45751.6458333333</v>
      </c>
      <c r="F10" s="17">
        <f>IFERROR(__xludf.DUMMYFUNCTION("""COMPUTED_VALUE"""),18852567)</f>
        <v>18852567</v>
      </c>
      <c r="G10" s="16">
        <f>IFERROR(__xludf.DUMMYFUNCTION("""COMPUTED_VALUE"""),45751.6458333333)</f>
        <v>45751.6458333333</v>
      </c>
      <c r="H10" s="17">
        <f>IFERROR(__xludf.DUMMYFUNCTION("""COMPUTED_VALUE"""),295.7)</f>
        <v>295.7</v>
      </c>
      <c r="I10" s="16">
        <f>IFERROR(__xludf.DUMMYFUNCTION("""COMPUTED_VALUE"""),45751.6458333333)</f>
        <v>45751.6458333333</v>
      </c>
      <c r="J10" s="17">
        <f>IFERROR(__xludf.DUMMYFUNCTION("""COMPUTED_VALUE"""),277.05)</f>
        <v>277.05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IFERROR(__xludf.DUMMYFUNCTION("""COMPUTED_VALUE"""),273.7)</f>
        <v>273.7</v>
      </c>
      <c r="C11" s="16">
        <f>IFERROR(__xludf.DUMMYFUNCTION("""COMPUTED_VALUE"""),45754.6458333333)</f>
        <v>45754.6458333333</v>
      </c>
      <c r="D11" s="17">
        <f>IFERROR(__xludf.DUMMYFUNCTION("""COMPUTED_VALUE"""),262)</f>
        <v>262</v>
      </c>
      <c r="E11" s="16">
        <f>IFERROR(__xludf.DUMMYFUNCTION("""COMPUTED_VALUE"""),45754.6458333333)</f>
        <v>45754.6458333333</v>
      </c>
      <c r="F11" s="17">
        <f>IFERROR(__xludf.DUMMYFUNCTION("""COMPUTED_VALUE"""),15010047)</f>
        <v>15010047</v>
      </c>
      <c r="G11" s="16">
        <f>IFERROR(__xludf.DUMMYFUNCTION("""COMPUTED_VALUE"""),45754.6458333333)</f>
        <v>45754.6458333333</v>
      </c>
      <c r="H11" s="17">
        <f>IFERROR(__xludf.DUMMYFUNCTION("""COMPUTED_VALUE"""),279.1)</f>
        <v>279.1</v>
      </c>
      <c r="I11" s="16">
        <f>IFERROR(__xludf.DUMMYFUNCTION("""COMPUTED_VALUE"""),45754.6458333333)</f>
        <v>45754.6458333333</v>
      </c>
      <c r="J11" s="17">
        <f>IFERROR(__xludf.DUMMYFUNCTION("""COMPUTED_VALUE"""),262)</f>
        <v>262</v>
      </c>
      <c r="K11" s="3">
        <f t="shared" ref="K11:K125" si="2">IF(B11=MAX(B5:B17),B11,0)</f>
        <v>0</v>
      </c>
      <c r="L11" s="3">
        <f t="shared" ref="L11:L125" si="3">IF(B11=MIN(B5:B17),B11,0)</f>
        <v>273.7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IFERROR(__xludf.DUMMYFUNCTION("""COMPUTED_VALUE"""),285.9)</f>
        <v>285.9</v>
      </c>
      <c r="C12" s="16">
        <f>IFERROR(__xludf.DUMMYFUNCTION("""COMPUTED_VALUE"""),45755.6458333333)</f>
        <v>45755.6458333333</v>
      </c>
      <c r="D12" s="17">
        <f>IFERROR(__xludf.DUMMYFUNCTION("""COMPUTED_VALUE"""),279.5)</f>
        <v>279.5</v>
      </c>
      <c r="E12" s="16">
        <f>IFERROR(__xludf.DUMMYFUNCTION("""COMPUTED_VALUE"""),45755.6458333333)</f>
        <v>45755.6458333333</v>
      </c>
      <c r="F12" s="17">
        <f>IFERROR(__xludf.DUMMYFUNCTION("""COMPUTED_VALUE"""),18994276)</f>
        <v>18994276</v>
      </c>
      <c r="G12" s="16">
        <f>IFERROR(__xludf.DUMMYFUNCTION("""COMPUTED_VALUE"""),45755.6458333333)</f>
        <v>45755.6458333333</v>
      </c>
      <c r="H12" s="17">
        <f>IFERROR(__xludf.DUMMYFUNCTION("""COMPUTED_VALUE"""),287.5)</f>
        <v>287.5</v>
      </c>
      <c r="I12" s="16">
        <f>IFERROR(__xludf.DUMMYFUNCTION("""COMPUTED_VALUE"""),45755.6458333333)</f>
        <v>45755.6458333333</v>
      </c>
      <c r="J12" s="17">
        <f>IFERROR(__xludf.DUMMYFUNCTION("""COMPUTED_VALUE"""),275.1)</f>
        <v>275.1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IFERROR(__xludf.DUMMYFUNCTION("""COMPUTED_VALUE"""),287.95)</f>
        <v>287.95</v>
      </c>
      <c r="C13" s="16">
        <f>IFERROR(__xludf.DUMMYFUNCTION("""COMPUTED_VALUE"""),45756.6458333333)</f>
        <v>45756.6458333333</v>
      </c>
      <c r="D13" s="17">
        <f>IFERROR(__xludf.DUMMYFUNCTION("""COMPUTED_VALUE"""),288.7)</f>
        <v>288.7</v>
      </c>
      <c r="E13" s="16">
        <f>IFERROR(__xludf.DUMMYFUNCTION("""COMPUTED_VALUE"""),45756.6458333333)</f>
        <v>45756.6458333333</v>
      </c>
      <c r="F13" s="17">
        <f>IFERROR(__xludf.DUMMYFUNCTION("""COMPUTED_VALUE"""),14519066)</f>
        <v>14519066</v>
      </c>
      <c r="G13" s="16">
        <f>IFERROR(__xludf.DUMMYFUNCTION("""COMPUTED_VALUE"""),45756.6458333333)</f>
        <v>45756.6458333333</v>
      </c>
      <c r="H13" s="17">
        <f>IFERROR(__xludf.DUMMYFUNCTION("""COMPUTED_VALUE"""),290.65)</f>
        <v>290.65</v>
      </c>
      <c r="I13" s="16">
        <f>IFERROR(__xludf.DUMMYFUNCTION("""COMPUTED_VALUE"""),45756.6458333333)</f>
        <v>45756.6458333333</v>
      </c>
      <c r="J13" s="17">
        <f>IFERROR(__xludf.DUMMYFUNCTION("""COMPUTED_VALUE"""),279.6)</f>
        <v>279.6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IFERROR(__xludf.DUMMYFUNCTION("""COMPUTED_VALUE"""),293.2)</f>
        <v>293.2</v>
      </c>
      <c r="C14" s="16">
        <f>IFERROR(__xludf.DUMMYFUNCTION("""COMPUTED_VALUE"""),45758.6458333333)</f>
        <v>45758.6458333333</v>
      </c>
      <c r="D14" s="17">
        <f>IFERROR(__xludf.DUMMYFUNCTION("""COMPUTED_VALUE"""),296.45)</f>
        <v>296.45</v>
      </c>
      <c r="E14" s="16">
        <f>IFERROR(__xludf.DUMMYFUNCTION("""COMPUTED_VALUE"""),45758.6458333333)</f>
        <v>45758.6458333333</v>
      </c>
      <c r="F14" s="17">
        <f>IFERROR(__xludf.DUMMYFUNCTION("""COMPUTED_VALUE"""),14955235)</f>
        <v>14955235</v>
      </c>
      <c r="G14" s="16">
        <f>IFERROR(__xludf.DUMMYFUNCTION("""COMPUTED_VALUE"""),45758.6458333333)</f>
        <v>45758.6458333333</v>
      </c>
      <c r="H14" s="17">
        <f>IFERROR(__xludf.DUMMYFUNCTION("""COMPUTED_VALUE"""),296.45)</f>
        <v>296.45</v>
      </c>
      <c r="I14" s="16">
        <f>IFERROR(__xludf.DUMMYFUNCTION("""COMPUTED_VALUE"""),45758.6458333333)</f>
        <v>45758.6458333333</v>
      </c>
      <c r="J14" s="17">
        <f>IFERROR(__xludf.DUMMYFUNCTION("""COMPUTED_VALUE"""),286.5)</f>
        <v>286.5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IFERROR(__xludf.DUMMYFUNCTION("""COMPUTED_VALUE"""),294.4)</f>
        <v>294.4</v>
      </c>
      <c r="C15" s="16">
        <f>IFERROR(__xludf.DUMMYFUNCTION("""COMPUTED_VALUE"""),45762.6458333333)</f>
        <v>45762.6458333333</v>
      </c>
      <c r="D15" s="17">
        <f>IFERROR(__xludf.DUMMYFUNCTION("""COMPUTED_VALUE"""),296.8)</f>
        <v>296.8</v>
      </c>
      <c r="E15" s="16">
        <f>IFERROR(__xludf.DUMMYFUNCTION("""COMPUTED_VALUE"""),45762.6458333333)</f>
        <v>45762.6458333333</v>
      </c>
      <c r="F15" s="17">
        <f>IFERROR(__xludf.DUMMYFUNCTION("""COMPUTED_VALUE"""),8516322)</f>
        <v>8516322</v>
      </c>
      <c r="G15" s="16">
        <f>IFERROR(__xludf.DUMMYFUNCTION("""COMPUTED_VALUE"""),45762.6458333333)</f>
        <v>45762.6458333333</v>
      </c>
      <c r="H15" s="17">
        <f>IFERROR(__xludf.DUMMYFUNCTION("""COMPUTED_VALUE"""),296.8)</f>
        <v>296.8</v>
      </c>
      <c r="I15" s="16">
        <f>IFERROR(__xludf.DUMMYFUNCTION("""COMPUTED_VALUE"""),45762.6458333333)</f>
        <v>45762.6458333333</v>
      </c>
      <c r="J15" s="17">
        <f>IFERROR(__xludf.DUMMYFUNCTION("""COMPUTED_VALUE"""),291.1)</f>
        <v>291.1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IFERROR(__xludf.DUMMYFUNCTION("""COMPUTED_VALUE"""),298.75)</f>
        <v>298.75</v>
      </c>
      <c r="C16" s="16">
        <f>IFERROR(__xludf.DUMMYFUNCTION("""COMPUTED_VALUE"""),45763.6458333333)</f>
        <v>45763.6458333333</v>
      </c>
      <c r="D16" s="17">
        <f>IFERROR(__xludf.DUMMYFUNCTION("""COMPUTED_VALUE"""),294)</f>
        <v>294</v>
      </c>
      <c r="E16" s="16">
        <f>IFERROR(__xludf.DUMMYFUNCTION("""COMPUTED_VALUE"""),45763.6458333333)</f>
        <v>45763.6458333333</v>
      </c>
      <c r="F16" s="17">
        <f>IFERROR(__xludf.DUMMYFUNCTION("""COMPUTED_VALUE"""),9064723)</f>
        <v>9064723</v>
      </c>
      <c r="G16" s="16">
        <f>IFERROR(__xludf.DUMMYFUNCTION("""COMPUTED_VALUE"""),45763.6458333333)</f>
        <v>45763.6458333333</v>
      </c>
      <c r="H16" s="17">
        <f>IFERROR(__xludf.DUMMYFUNCTION("""COMPUTED_VALUE"""),300.55)</f>
        <v>300.55</v>
      </c>
      <c r="I16" s="16">
        <f>IFERROR(__xludf.DUMMYFUNCTION("""COMPUTED_VALUE"""),45763.6458333333)</f>
        <v>45763.6458333333</v>
      </c>
      <c r="J16" s="17">
        <f>IFERROR(__xludf.DUMMYFUNCTION("""COMPUTED_VALUE"""),292.55)</f>
        <v>292.55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IFERROR(__xludf.DUMMYFUNCTION("""COMPUTED_VALUE"""),298.35)</f>
        <v>298.35</v>
      </c>
      <c r="C17" s="16">
        <f>IFERROR(__xludf.DUMMYFUNCTION("""COMPUTED_VALUE"""),45764.6458333333)</f>
        <v>45764.6458333333</v>
      </c>
      <c r="D17" s="17">
        <f>IFERROR(__xludf.DUMMYFUNCTION("""COMPUTED_VALUE"""),298)</f>
        <v>298</v>
      </c>
      <c r="E17" s="16">
        <f>IFERROR(__xludf.DUMMYFUNCTION("""COMPUTED_VALUE"""),45764.6458333333)</f>
        <v>45764.6458333333</v>
      </c>
      <c r="F17" s="17">
        <f>IFERROR(__xludf.DUMMYFUNCTION("""COMPUTED_VALUE"""),7510897)</f>
        <v>7510897</v>
      </c>
      <c r="G17" s="16">
        <f>IFERROR(__xludf.DUMMYFUNCTION("""COMPUTED_VALUE"""),45764.6458333333)</f>
        <v>45764.6458333333</v>
      </c>
      <c r="H17" s="17">
        <f>IFERROR(__xludf.DUMMYFUNCTION("""COMPUTED_VALUE"""),301.75)</f>
        <v>301.75</v>
      </c>
      <c r="I17" s="16">
        <f>IFERROR(__xludf.DUMMYFUNCTION("""COMPUTED_VALUE"""),45764.6458333333)</f>
        <v>45764.6458333333</v>
      </c>
      <c r="J17" s="17">
        <f>IFERROR(__xludf.DUMMYFUNCTION("""COMPUTED_VALUE"""),295.45)</f>
        <v>295.45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IFERROR(__xludf.DUMMYFUNCTION("""COMPUTED_VALUE"""),304.05)</f>
        <v>304.05</v>
      </c>
      <c r="C18" s="16">
        <f>IFERROR(__xludf.DUMMYFUNCTION("""COMPUTED_VALUE"""),45768.6458333333)</f>
        <v>45768.6458333333</v>
      </c>
      <c r="D18" s="17">
        <f>IFERROR(__xludf.DUMMYFUNCTION("""COMPUTED_VALUE"""),299.85)</f>
        <v>299.85</v>
      </c>
      <c r="E18" s="16">
        <f>IFERROR(__xludf.DUMMYFUNCTION("""COMPUTED_VALUE"""),45768.6458333333)</f>
        <v>45768.6458333333</v>
      </c>
      <c r="F18" s="17">
        <f>IFERROR(__xludf.DUMMYFUNCTION("""COMPUTED_VALUE"""),6455955)</f>
        <v>6455955</v>
      </c>
      <c r="G18" s="16">
        <f>IFERROR(__xludf.DUMMYFUNCTION("""COMPUTED_VALUE"""),45768.6458333333)</f>
        <v>45768.6458333333</v>
      </c>
      <c r="H18" s="17">
        <f>IFERROR(__xludf.DUMMYFUNCTION("""COMPUTED_VALUE"""),305.55)</f>
        <v>305.55</v>
      </c>
      <c r="I18" s="16">
        <f>IFERROR(__xludf.DUMMYFUNCTION("""COMPUTED_VALUE"""),45768.6458333333)</f>
        <v>45768.6458333333</v>
      </c>
      <c r="J18" s="17">
        <f>IFERROR(__xludf.DUMMYFUNCTION("""COMPUTED_VALUE"""),298)</f>
        <v>298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IFERROR(__xludf.DUMMYFUNCTION("""COMPUTED_VALUE"""),306.1)</f>
        <v>306.1</v>
      </c>
      <c r="C19" s="16">
        <f>IFERROR(__xludf.DUMMYFUNCTION("""COMPUTED_VALUE"""),45769.6458333333)</f>
        <v>45769.6458333333</v>
      </c>
      <c r="D19" s="17">
        <f>IFERROR(__xludf.DUMMYFUNCTION("""COMPUTED_VALUE"""),305)</f>
        <v>305</v>
      </c>
      <c r="E19" s="16">
        <f>IFERROR(__xludf.DUMMYFUNCTION("""COMPUTED_VALUE"""),45769.6458333333)</f>
        <v>45769.6458333333</v>
      </c>
      <c r="F19" s="17">
        <f>IFERROR(__xludf.DUMMYFUNCTION("""COMPUTED_VALUE"""),7096150)</f>
        <v>7096150</v>
      </c>
      <c r="G19" s="16">
        <f>IFERROR(__xludf.DUMMYFUNCTION("""COMPUTED_VALUE"""),45769.6458333333)</f>
        <v>45769.6458333333</v>
      </c>
      <c r="H19" s="17">
        <f>IFERROR(__xludf.DUMMYFUNCTION("""COMPUTED_VALUE"""),308.5)</f>
        <v>308.5</v>
      </c>
      <c r="I19" s="16">
        <f>IFERROR(__xludf.DUMMYFUNCTION("""COMPUTED_VALUE"""),45769.6458333333)</f>
        <v>45769.6458333333</v>
      </c>
      <c r="J19" s="17">
        <f>IFERROR(__xludf.DUMMYFUNCTION("""COMPUTED_VALUE"""),302.65)</f>
        <v>302.65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IFERROR(__xludf.DUMMYFUNCTION("""COMPUTED_VALUE"""),300.45)</f>
        <v>300.45</v>
      </c>
      <c r="C20" s="16">
        <f>IFERROR(__xludf.DUMMYFUNCTION("""COMPUTED_VALUE"""),45770.6458333333)</f>
        <v>45770.6458333333</v>
      </c>
      <c r="D20" s="17">
        <f>IFERROR(__xludf.DUMMYFUNCTION("""COMPUTED_VALUE"""),306.1)</f>
        <v>306.1</v>
      </c>
      <c r="E20" s="16">
        <f>IFERROR(__xludf.DUMMYFUNCTION("""COMPUTED_VALUE"""),45770.6458333333)</f>
        <v>45770.6458333333</v>
      </c>
      <c r="F20" s="17">
        <f>IFERROR(__xludf.DUMMYFUNCTION("""COMPUTED_VALUE"""),7400827)</f>
        <v>7400827</v>
      </c>
      <c r="G20" s="16">
        <f>IFERROR(__xludf.DUMMYFUNCTION("""COMPUTED_VALUE"""),45770.6458333333)</f>
        <v>45770.6458333333</v>
      </c>
      <c r="H20" s="17">
        <f>IFERROR(__xludf.DUMMYFUNCTION("""COMPUTED_VALUE"""),306.65)</f>
        <v>306.65</v>
      </c>
      <c r="I20" s="16">
        <f>IFERROR(__xludf.DUMMYFUNCTION("""COMPUTED_VALUE"""),45770.6458333333)</f>
        <v>45770.6458333333</v>
      </c>
      <c r="J20" s="17">
        <f>IFERROR(__xludf.DUMMYFUNCTION("""COMPUTED_VALUE"""),298.3)</f>
        <v>298.3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IFERROR(__xludf.DUMMYFUNCTION("""COMPUTED_VALUE"""),302)</f>
        <v>302</v>
      </c>
      <c r="C21" s="16">
        <f>IFERROR(__xludf.DUMMYFUNCTION("""COMPUTED_VALUE"""),45771.6458333333)</f>
        <v>45771.6458333333</v>
      </c>
      <c r="D21" s="17">
        <f>IFERROR(__xludf.DUMMYFUNCTION("""COMPUTED_VALUE"""),302.95)</f>
        <v>302.95</v>
      </c>
      <c r="E21" s="16">
        <f>IFERROR(__xludf.DUMMYFUNCTION("""COMPUTED_VALUE"""),45771.6458333333)</f>
        <v>45771.6458333333</v>
      </c>
      <c r="F21" s="17">
        <f>IFERROR(__xludf.DUMMYFUNCTION("""COMPUTED_VALUE"""),5773985)</f>
        <v>5773985</v>
      </c>
      <c r="G21" s="16">
        <f>IFERROR(__xludf.DUMMYFUNCTION("""COMPUTED_VALUE"""),45771.6458333333)</f>
        <v>45771.6458333333</v>
      </c>
      <c r="H21" s="17">
        <f>IFERROR(__xludf.DUMMYFUNCTION("""COMPUTED_VALUE"""),305.5)</f>
        <v>305.5</v>
      </c>
      <c r="I21" s="16">
        <f>IFERROR(__xludf.DUMMYFUNCTION("""COMPUTED_VALUE"""),45771.6458333333)</f>
        <v>45771.6458333333</v>
      </c>
      <c r="J21" s="17">
        <f>IFERROR(__xludf.DUMMYFUNCTION("""COMPUTED_VALUE"""),300.3)</f>
        <v>300.3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IFERROR(__xludf.DUMMYFUNCTION("""COMPUTED_VALUE"""),295.7)</f>
        <v>295.7</v>
      </c>
      <c r="C22" s="16">
        <f>IFERROR(__xludf.DUMMYFUNCTION("""COMPUTED_VALUE"""),45772.6458333333)</f>
        <v>45772.6458333333</v>
      </c>
      <c r="D22" s="17">
        <f>IFERROR(__xludf.DUMMYFUNCTION("""COMPUTED_VALUE"""),302.35)</f>
        <v>302.35</v>
      </c>
      <c r="E22" s="16">
        <f>IFERROR(__xludf.DUMMYFUNCTION("""COMPUTED_VALUE"""),45772.6458333333)</f>
        <v>45772.6458333333</v>
      </c>
      <c r="F22" s="17">
        <f>IFERROR(__xludf.DUMMYFUNCTION("""COMPUTED_VALUE"""),7773037)</f>
        <v>7773037</v>
      </c>
      <c r="G22" s="16">
        <f>IFERROR(__xludf.DUMMYFUNCTION("""COMPUTED_VALUE"""),45772.6458333333)</f>
        <v>45772.6458333333</v>
      </c>
      <c r="H22" s="17">
        <f>IFERROR(__xludf.DUMMYFUNCTION("""COMPUTED_VALUE"""),304.95)</f>
        <v>304.95</v>
      </c>
      <c r="I22" s="16">
        <f>IFERROR(__xludf.DUMMYFUNCTION("""COMPUTED_VALUE"""),45772.6458333333)</f>
        <v>45772.6458333333</v>
      </c>
      <c r="J22" s="17">
        <f>IFERROR(__xludf.DUMMYFUNCTION("""COMPUTED_VALUE"""),293.3)</f>
        <v>293.3</v>
      </c>
      <c r="K22" s="3">
        <f t="shared" si="2"/>
        <v>0</v>
      </c>
      <c r="L22" s="3">
        <f t="shared" si="3"/>
        <v>295.7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IFERROR(__xludf.DUMMYFUNCTION("""COMPUTED_VALUE"""),310)</f>
        <v>310</v>
      </c>
      <c r="C23" s="16">
        <f>IFERROR(__xludf.DUMMYFUNCTION("""COMPUTED_VALUE"""),45775.6458333333)</f>
        <v>45775.6458333333</v>
      </c>
      <c r="D23" s="17">
        <f>IFERROR(__xludf.DUMMYFUNCTION("""COMPUTED_VALUE"""),293.1)</f>
        <v>293.1</v>
      </c>
      <c r="E23" s="16">
        <f>IFERROR(__xludf.DUMMYFUNCTION("""COMPUTED_VALUE"""),45775.6458333333)</f>
        <v>45775.6458333333</v>
      </c>
      <c r="F23" s="17">
        <f>IFERROR(__xludf.DUMMYFUNCTION("""COMPUTED_VALUE"""),14414879)</f>
        <v>14414879</v>
      </c>
      <c r="G23" s="16">
        <f>IFERROR(__xludf.DUMMYFUNCTION("""COMPUTED_VALUE"""),45775.6458333333)</f>
        <v>45775.6458333333</v>
      </c>
      <c r="H23" s="17">
        <f>IFERROR(__xludf.DUMMYFUNCTION("""COMPUTED_VALUE"""),310.95)</f>
        <v>310.95</v>
      </c>
      <c r="I23" s="16">
        <f>IFERROR(__xludf.DUMMYFUNCTION("""COMPUTED_VALUE"""),45775.6458333333)</f>
        <v>45775.6458333333</v>
      </c>
      <c r="J23" s="17">
        <f>IFERROR(__xludf.DUMMYFUNCTION("""COMPUTED_VALUE"""),293.1)</f>
        <v>293.1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IFERROR(__xludf.DUMMYFUNCTION("""COMPUTED_VALUE"""),311.7)</f>
        <v>311.7</v>
      </c>
      <c r="C24" s="16">
        <f>IFERROR(__xludf.DUMMYFUNCTION("""COMPUTED_VALUE"""),45776.6458333333)</f>
        <v>45776.6458333333</v>
      </c>
      <c r="D24" s="17">
        <f>IFERROR(__xludf.DUMMYFUNCTION("""COMPUTED_VALUE"""),311.55)</f>
        <v>311.55</v>
      </c>
      <c r="E24" s="16">
        <f>IFERROR(__xludf.DUMMYFUNCTION("""COMPUTED_VALUE"""),45776.6458333333)</f>
        <v>45776.6458333333</v>
      </c>
      <c r="F24" s="17">
        <f>IFERROR(__xludf.DUMMYFUNCTION("""COMPUTED_VALUE"""),9522966)</f>
        <v>9522966</v>
      </c>
      <c r="G24" s="16">
        <f>IFERROR(__xludf.DUMMYFUNCTION("""COMPUTED_VALUE"""),45776.6458333333)</f>
        <v>45776.6458333333</v>
      </c>
      <c r="H24" s="17">
        <f>IFERROR(__xludf.DUMMYFUNCTION("""COMPUTED_VALUE"""),315.6)</f>
        <v>315.6</v>
      </c>
      <c r="I24" s="16">
        <f>IFERROR(__xludf.DUMMYFUNCTION("""COMPUTED_VALUE"""),45776.6458333333)</f>
        <v>45776.6458333333</v>
      </c>
      <c r="J24" s="17">
        <f>IFERROR(__xludf.DUMMYFUNCTION("""COMPUTED_VALUE"""),309.8)</f>
        <v>309.8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IFERROR(__xludf.DUMMYFUNCTION("""COMPUTED_VALUE"""),310.05)</f>
        <v>310.05</v>
      </c>
      <c r="C25" s="16">
        <f>IFERROR(__xludf.DUMMYFUNCTION("""COMPUTED_VALUE"""),45777.6458333333)</f>
        <v>45777.6458333333</v>
      </c>
      <c r="D25" s="17">
        <f>IFERROR(__xludf.DUMMYFUNCTION("""COMPUTED_VALUE"""),319)</f>
        <v>319</v>
      </c>
      <c r="E25" s="16">
        <f>IFERROR(__xludf.DUMMYFUNCTION("""COMPUTED_VALUE"""),45777.6458333333)</f>
        <v>45777.6458333333</v>
      </c>
      <c r="F25" s="17">
        <f>IFERROR(__xludf.DUMMYFUNCTION("""COMPUTED_VALUE"""),21424437)</f>
        <v>21424437</v>
      </c>
      <c r="G25" s="16">
        <f>IFERROR(__xludf.DUMMYFUNCTION("""COMPUTED_VALUE"""),45777.6458333333)</f>
        <v>45777.6458333333</v>
      </c>
      <c r="H25" s="17">
        <f>IFERROR(__xludf.DUMMYFUNCTION("""COMPUTED_VALUE"""),322.45)</f>
        <v>322.45</v>
      </c>
      <c r="I25" s="16">
        <f>IFERROR(__xludf.DUMMYFUNCTION("""COMPUTED_VALUE"""),45777.6458333333)</f>
        <v>45777.6458333333</v>
      </c>
      <c r="J25" s="17">
        <f>IFERROR(__xludf.DUMMYFUNCTION("""COMPUTED_VALUE"""),309)</f>
        <v>309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IFERROR(__xludf.DUMMYFUNCTION("""COMPUTED_VALUE"""),311.15)</f>
        <v>311.15</v>
      </c>
      <c r="C26" s="16">
        <f>IFERROR(__xludf.DUMMYFUNCTION("""COMPUTED_VALUE"""),45779.6458333333)</f>
        <v>45779.6458333333</v>
      </c>
      <c r="D26" s="17">
        <f>IFERROR(__xludf.DUMMYFUNCTION("""COMPUTED_VALUE"""),310.55)</f>
        <v>310.55</v>
      </c>
      <c r="E26" s="16">
        <f>IFERROR(__xludf.DUMMYFUNCTION("""COMPUTED_VALUE"""),45779.6458333333)</f>
        <v>45779.6458333333</v>
      </c>
      <c r="F26" s="17">
        <f>IFERROR(__xludf.DUMMYFUNCTION("""COMPUTED_VALUE"""),6850147)</f>
        <v>6850147</v>
      </c>
      <c r="G26" s="16">
        <f>IFERROR(__xludf.DUMMYFUNCTION("""COMPUTED_VALUE"""),45779.6458333333)</f>
        <v>45779.6458333333</v>
      </c>
      <c r="H26" s="17">
        <f>IFERROR(__xludf.DUMMYFUNCTION("""COMPUTED_VALUE"""),317.5)</f>
        <v>317.5</v>
      </c>
      <c r="I26" s="16">
        <f>IFERROR(__xludf.DUMMYFUNCTION("""COMPUTED_VALUE"""),45779.6458333333)</f>
        <v>45779.6458333333</v>
      </c>
      <c r="J26" s="17">
        <f>IFERROR(__xludf.DUMMYFUNCTION("""COMPUTED_VALUE"""),309.9)</f>
        <v>309.9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IFERROR(__xludf.DUMMYFUNCTION("""COMPUTED_VALUE"""),321.05)</f>
        <v>321.05</v>
      </c>
      <c r="C27" s="16">
        <f>IFERROR(__xludf.DUMMYFUNCTION("""COMPUTED_VALUE"""),45782.6458333333)</f>
        <v>45782.6458333333</v>
      </c>
      <c r="D27" s="17">
        <f>IFERROR(__xludf.DUMMYFUNCTION("""COMPUTED_VALUE"""),317)</f>
        <v>317</v>
      </c>
      <c r="E27" s="16">
        <f>IFERROR(__xludf.DUMMYFUNCTION("""COMPUTED_VALUE"""),45782.6458333333)</f>
        <v>45782.6458333333</v>
      </c>
      <c r="F27" s="17">
        <f>IFERROR(__xludf.DUMMYFUNCTION("""COMPUTED_VALUE"""),16037327)</f>
        <v>16037327</v>
      </c>
      <c r="G27" s="16">
        <f>IFERROR(__xludf.DUMMYFUNCTION("""COMPUTED_VALUE"""),45782.6458333333)</f>
        <v>45782.6458333333</v>
      </c>
      <c r="H27" s="17">
        <f>IFERROR(__xludf.DUMMYFUNCTION("""COMPUTED_VALUE"""),325.85)</f>
        <v>325.85</v>
      </c>
      <c r="I27" s="16">
        <f>IFERROR(__xludf.DUMMYFUNCTION("""COMPUTED_VALUE"""),45782.6458333333)</f>
        <v>45782.6458333333</v>
      </c>
      <c r="J27" s="17">
        <f>IFERROR(__xludf.DUMMYFUNCTION("""COMPUTED_VALUE"""),316)</f>
        <v>316</v>
      </c>
      <c r="K27" s="3">
        <f t="shared" si="2"/>
        <v>321.05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IFERROR(__xludf.DUMMYFUNCTION("""COMPUTED_VALUE"""),311.45)</f>
        <v>311.45</v>
      </c>
      <c r="C28" s="16">
        <f>IFERROR(__xludf.DUMMYFUNCTION("""COMPUTED_VALUE"""),45783.6458333333)</f>
        <v>45783.6458333333</v>
      </c>
      <c r="D28" s="17">
        <f>IFERROR(__xludf.DUMMYFUNCTION("""COMPUTED_VALUE"""),321.1)</f>
        <v>321.1</v>
      </c>
      <c r="E28" s="16">
        <f>IFERROR(__xludf.DUMMYFUNCTION("""COMPUTED_VALUE"""),45783.6458333333)</f>
        <v>45783.6458333333</v>
      </c>
      <c r="F28" s="17">
        <f>IFERROR(__xludf.DUMMYFUNCTION("""COMPUTED_VALUE"""),5444873)</f>
        <v>5444873</v>
      </c>
      <c r="G28" s="16">
        <f>IFERROR(__xludf.DUMMYFUNCTION("""COMPUTED_VALUE"""),45783.6458333333)</f>
        <v>45783.6458333333</v>
      </c>
      <c r="H28" s="17">
        <f>IFERROR(__xludf.DUMMYFUNCTION("""COMPUTED_VALUE"""),322.2)</f>
        <v>322.2</v>
      </c>
      <c r="I28" s="16">
        <f>IFERROR(__xludf.DUMMYFUNCTION("""COMPUTED_VALUE"""),45783.6458333333)</f>
        <v>45783.6458333333</v>
      </c>
      <c r="J28" s="17">
        <f>IFERROR(__xludf.DUMMYFUNCTION("""COMPUTED_VALUE"""),310.55)</f>
        <v>310.55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IFERROR(__xludf.DUMMYFUNCTION("""COMPUTED_VALUE"""),316.9)</f>
        <v>316.9</v>
      </c>
      <c r="C29" s="16">
        <f>IFERROR(__xludf.DUMMYFUNCTION("""COMPUTED_VALUE"""),45784.6458333333)</f>
        <v>45784.6458333333</v>
      </c>
      <c r="D29" s="17">
        <f>IFERROR(__xludf.DUMMYFUNCTION("""COMPUTED_VALUE"""),307)</f>
        <v>307</v>
      </c>
      <c r="E29" s="16">
        <f>IFERROR(__xludf.DUMMYFUNCTION("""COMPUTED_VALUE"""),45784.6458333333)</f>
        <v>45784.6458333333</v>
      </c>
      <c r="F29" s="17">
        <f>IFERROR(__xludf.DUMMYFUNCTION("""COMPUTED_VALUE"""),7970668)</f>
        <v>7970668</v>
      </c>
      <c r="G29" s="16">
        <f>IFERROR(__xludf.DUMMYFUNCTION("""COMPUTED_VALUE"""),45784.6458333333)</f>
        <v>45784.6458333333</v>
      </c>
      <c r="H29" s="17">
        <f>IFERROR(__xludf.DUMMYFUNCTION("""COMPUTED_VALUE"""),317.5)</f>
        <v>317.5</v>
      </c>
      <c r="I29" s="16">
        <f>IFERROR(__xludf.DUMMYFUNCTION("""COMPUTED_VALUE"""),45784.6458333333)</f>
        <v>45784.6458333333</v>
      </c>
      <c r="J29" s="17">
        <f>IFERROR(__xludf.DUMMYFUNCTION("""COMPUTED_VALUE"""),307)</f>
        <v>307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IFERROR(__xludf.DUMMYFUNCTION("""COMPUTED_VALUE"""),307.95)</f>
        <v>307.95</v>
      </c>
      <c r="C30" s="16">
        <f>IFERROR(__xludf.DUMMYFUNCTION("""COMPUTED_VALUE"""),45785.6458333333)</f>
        <v>45785.6458333333</v>
      </c>
      <c r="D30" s="17">
        <f>IFERROR(__xludf.DUMMYFUNCTION("""COMPUTED_VALUE"""),315.5)</f>
        <v>315.5</v>
      </c>
      <c r="E30" s="16">
        <f>IFERROR(__xludf.DUMMYFUNCTION("""COMPUTED_VALUE"""),45785.6458333333)</f>
        <v>45785.6458333333</v>
      </c>
      <c r="F30" s="17">
        <f>IFERROR(__xludf.DUMMYFUNCTION("""COMPUTED_VALUE"""),5918739)</f>
        <v>5918739</v>
      </c>
      <c r="G30" s="16">
        <f>IFERROR(__xludf.DUMMYFUNCTION("""COMPUTED_VALUE"""),45785.6458333333)</f>
        <v>45785.6458333333</v>
      </c>
      <c r="H30" s="17">
        <f>IFERROR(__xludf.DUMMYFUNCTION("""COMPUTED_VALUE"""),320.2)</f>
        <v>320.2</v>
      </c>
      <c r="I30" s="16">
        <f>IFERROR(__xludf.DUMMYFUNCTION("""COMPUTED_VALUE"""),45785.6458333333)</f>
        <v>45785.6458333333</v>
      </c>
      <c r="J30" s="17">
        <f>IFERROR(__xludf.DUMMYFUNCTION("""COMPUTED_VALUE"""),305.7)</f>
        <v>305.7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IFERROR(__xludf.DUMMYFUNCTION("""COMPUTED_VALUE"""),306.85)</f>
        <v>306.85</v>
      </c>
      <c r="C31" s="16">
        <f>IFERROR(__xludf.DUMMYFUNCTION("""COMPUTED_VALUE"""),45786.6458333333)</f>
        <v>45786.6458333333</v>
      </c>
      <c r="D31" s="17">
        <f>IFERROR(__xludf.DUMMYFUNCTION("""COMPUTED_VALUE"""),302.55)</f>
        <v>302.55</v>
      </c>
      <c r="E31" s="16">
        <f>IFERROR(__xludf.DUMMYFUNCTION("""COMPUTED_VALUE"""),45786.6458333333)</f>
        <v>45786.6458333333</v>
      </c>
      <c r="F31" s="17">
        <f>IFERROR(__xludf.DUMMYFUNCTION("""COMPUTED_VALUE"""),4955934)</f>
        <v>4955934</v>
      </c>
      <c r="G31" s="16">
        <f>IFERROR(__xludf.DUMMYFUNCTION("""COMPUTED_VALUE"""),45786.6458333333)</f>
        <v>45786.6458333333</v>
      </c>
      <c r="H31" s="17">
        <f>IFERROR(__xludf.DUMMYFUNCTION("""COMPUTED_VALUE"""),307.35)</f>
        <v>307.35</v>
      </c>
      <c r="I31" s="16">
        <f>IFERROR(__xludf.DUMMYFUNCTION("""COMPUTED_VALUE"""),45786.6458333333)</f>
        <v>45786.6458333333</v>
      </c>
      <c r="J31" s="17">
        <f>IFERROR(__xludf.DUMMYFUNCTION("""COMPUTED_VALUE"""),301.35)</f>
        <v>301.35</v>
      </c>
      <c r="K31" s="3">
        <f t="shared" si="2"/>
        <v>0</v>
      </c>
      <c r="L31" s="3">
        <f t="shared" si="3"/>
        <v>306.85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IFERROR(__xludf.DUMMYFUNCTION("""COMPUTED_VALUE"""),309.05)</f>
        <v>309.05</v>
      </c>
      <c r="C32" s="16">
        <f>IFERROR(__xludf.DUMMYFUNCTION("""COMPUTED_VALUE"""),45789.6458333333)</f>
        <v>45789.6458333333</v>
      </c>
      <c r="D32" s="17">
        <f>IFERROR(__xludf.DUMMYFUNCTION("""COMPUTED_VALUE"""),315)</f>
        <v>315</v>
      </c>
      <c r="E32" s="16">
        <f>IFERROR(__xludf.DUMMYFUNCTION("""COMPUTED_VALUE"""),45789.6458333333)</f>
        <v>45789.6458333333</v>
      </c>
      <c r="F32" s="17">
        <f>IFERROR(__xludf.DUMMYFUNCTION("""COMPUTED_VALUE"""),6844271)</f>
        <v>6844271</v>
      </c>
      <c r="G32" s="16">
        <f>IFERROR(__xludf.DUMMYFUNCTION("""COMPUTED_VALUE"""),45789.6458333333)</f>
        <v>45789.6458333333</v>
      </c>
      <c r="H32" s="17">
        <f>IFERROR(__xludf.DUMMYFUNCTION("""COMPUTED_VALUE"""),315.95)</f>
        <v>315.95</v>
      </c>
      <c r="I32" s="16">
        <f>IFERROR(__xludf.DUMMYFUNCTION("""COMPUTED_VALUE"""),45789.6458333333)</f>
        <v>45789.6458333333</v>
      </c>
      <c r="J32" s="17">
        <f>IFERROR(__xludf.DUMMYFUNCTION("""COMPUTED_VALUE"""),307.15)</f>
        <v>307.15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IFERROR(__xludf.DUMMYFUNCTION("""COMPUTED_VALUE"""),306.9)</f>
        <v>306.9</v>
      </c>
      <c r="C33" s="16">
        <f>IFERROR(__xludf.DUMMYFUNCTION("""COMPUTED_VALUE"""),45790.6458333333)</f>
        <v>45790.6458333333</v>
      </c>
      <c r="D33" s="17">
        <f>IFERROR(__xludf.DUMMYFUNCTION("""COMPUTED_VALUE"""),309.05)</f>
        <v>309.05</v>
      </c>
      <c r="E33" s="16">
        <f>IFERROR(__xludf.DUMMYFUNCTION("""COMPUTED_VALUE"""),45790.6458333333)</f>
        <v>45790.6458333333</v>
      </c>
      <c r="F33" s="17">
        <f>IFERROR(__xludf.DUMMYFUNCTION("""COMPUTED_VALUE"""),7241358)</f>
        <v>7241358</v>
      </c>
      <c r="G33" s="16">
        <f>IFERROR(__xludf.DUMMYFUNCTION("""COMPUTED_VALUE"""),45790.6458333333)</f>
        <v>45790.6458333333</v>
      </c>
      <c r="H33" s="17">
        <f>IFERROR(__xludf.DUMMYFUNCTION("""COMPUTED_VALUE"""),310.6)</f>
        <v>310.6</v>
      </c>
      <c r="I33" s="16">
        <f>IFERROR(__xludf.DUMMYFUNCTION("""COMPUTED_VALUE"""),45790.6458333333)</f>
        <v>45790.6458333333</v>
      </c>
      <c r="J33" s="17">
        <f>IFERROR(__xludf.DUMMYFUNCTION("""COMPUTED_VALUE"""),304.5)</f>
        <v>304.5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IFERROR(__xludf.DUMMYFUNCTION("""COMPUTED_VALUE"""),312.5)</f>
        <v>312.5</v>
      </c>
      <c r="C34" s="16">
        <f>IFERROR(__xludf.DUMMYFUNCTION("""COMPUTED_VALUE"""),45791.6458333333)</f>
        <v>45791.6458333333</v>
      </c>
      <c r="D34" s="17">
        <f>IFERROR(__xludf.DUMMYFUNCTION("""COMPUTED_VALUE"""),308.7)</f>
        <v>308.7</v>
      </c>
      <c r="E34" s="16">
        <f>IFERROR(__xludf.DUMMYFUNCTION("""COMPUTED_VALUE"""),45791.6458333333)</f>
        <v>45791.6458333333</v>
      </c>
      <c r="F34" s="17">
        <f>IFERROR(__xludf.DUMMYFUNCTION("""COMPUTED_VALUE"""),7733320)</f>
        <v>7733320</v>
      </c>
      <c r="G34" s="16">
        <f>IFERROR(__xludf.DUMMYFUNCTION("""COMPUTED_VALUE"""),45791.6458333333)</f>
        <v>45791.6458333333</v>
      </c>
      <c r="H34" s="17">
        <f>IFERROR(__xludf.DUMMYFUNCTION("""COMPUTED_VALUE"""),313.55)</f>
        <v>313.55</v>
      </c>
      <c r="I34" s="16">
        <f>IFERROR(__xludf.DUMMYFUNCTION("""COMPUTED_VALUE"""),45791.6458333333)</f>
        <v>45791.6458333333</v>
      </c>
      <c r="J34" s="17">
        <f>IFERROR(__xludf.DUMMYFUNCTION("""COMPUTED_VALUE"""),308.4)</f>
        <v>308.4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IFERROR(__xludf.DUMMYFUNCTION("""COMPUTED_VALUE"""),317)</f>
        <v>317</v>
      </c>
      <c r="C35" s="16">
        <f>IFERROR(__xludf.DUMMYFUNCTION("""COMPUTED_VALUE"""),45792.6458333333)</f>
        <v>45792.6458333333</v>
      </c>
      <c r="D35" s="17">
        <f>IFERROR(__xludf.DUMMYFUNCTION("""COMPUTED_VALUE"""),314)</f>
        <v>314</v>
      </c>
      <c r="E35" s="16">
        <f>IFERROR(__xludf.DUMMYFUNCTION("""COMPUTED_VALUE"""),45792.6458333333)</f>
        <v>45792.6458333333</v>
      </c>
      <c r="F35" s="17">
        <f>IFERROR(__xludf.DUMMYFUNCTION("""COMPUTED_VALUE"""),7055032)</f>
        <v>7055032</v>
      </c>
      <c r="G35" s="16">
        <f>IFERROR(__xludf.DUMMYFUNCTION("""COMPUTED_VALUE"""),45792.6458333333)</f>
        <v>45792.6458333333</v>
      </c>
      <c r="H35" s="17">
        <f>IFERROR(__xludf.DUMMYFUNCTION("""COMPUTED_VALUE"""),320.2)</f>
        <v>320.2</v>
      </c>
      <c r="I35" s="16">
        <f>IFERROR(__xludf.DUMMYFUNCTION("""COMPUTED_VALUE"""),45792.6458333333)</f>
        <v>45792.6458333333</v>
      </c>
      <c r="J35" s="17">
        <f>IFERROR(__xludf.DUMMYFUNCTION("""COMPUTED_VALUE"""),313.5)</f>
        <v>313.5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IFERROR(__xludf.DUMMYFUNCTION("""COMPUTED_VALUE"""),320.1)</f>
        <v>320.1</v>
      </c>
      <c r="C36" s="16">
        <f>IFERROR(__xludf.DUMMYFUNCTION("""COMPUTED_VALUE"""),45793.6458333333)</f>
        <v>45793.6458333333</v>
      </c>
      <c r="D36" s="17">
        <f>IFERROR(__xludf.DUMMYFUNCTION("""COMPUTED_VALUE"""),316)</f>
        <v>316</v>
      </c>
      <c r="E36" s="16">
        <f>IFERROR(__xludf.DUMMYFUNCTION("""COMPUTED_VALUE"""),45793.6458333333)</f>
        <v>45793.6458333333</v>
      </c>
      <c r="F36" s="17">
        <f>IFERROR(__xludf.DUMMYFUNCTION("""COMPUTED_VALUE"""),6861786)</f>
        <v>6861786</v>
      </c>
      <c r="G36" s="16">
        <f>IFERROR(__xludf.DUMMYFUNCTION("""COMPUTED_VALUE"""),45793.6458333333)</f>
        <v>45793.6458333333</v>
      </c>
      <c r="H36" s="17">
        <f>IFERROR(__xludf.DUMMYFUNCTION("""COMPUTED_VALUE"""),321)</f>
        <v>321</v>
      </c>
      <c r="I36" s="16">
        <f>IFERROR(__xludf.DUMMYFUNCTION("""COMPUTED_VALUE"""),45793.6458333333)</f>
        <v>45793.6458333333</v>
      </c>
      <c r="J36" s="17">
        <f>IFERROR(__xludf.DUMMYFUNCTION("""COMPUTED_VALUE"""),315.8)</f>
        <v>315.8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IFERROR(__xludf.DUMMYFUNCTION("""COMPUTED_VALUE"""),317.2)</f>
        <v>317.2</v>
      </c>
      <c r="C37" s="16">
        <f>IFERROR(__xludf.DUMMYFUNCTION("""COMPUTED_VALUE"""),45796.6458333333)</f>
        <v>45796.6458333333</v>
      </c>
      <c r="D37" s="17">
        <f>IFERROR(__xludf.DUMMYFUNCTION("""COMPUTED_VALUE"""),318.55)</f>
        <v>318.55</v>
      </c>
      <c r="E37" s="16">
        <f>IFERROR(__xludf.DUMMYFUNCTION("""COMPUTED_VALUE"""),45796.6458333333)</f>
        <v>45796.6458333333</v>
      </c>
      <c r="F37" s="17">
        <f>IFERROR(__xludf.DUMMYFUNCTION("""COMPUTED_VALUE"""),2956007)</f>
        <v>2956007</v>
      </c>
      <c r="G37" s="16">
        <f>IFERROR(__xludf.DUMMYFUNCTION("""COMPUTED_VALUE"""),45796.6458333333)</f>
        <v>45796.6458333333</v>
      </c>
      <c r="H37" s="17">
        <f>IFERROR(__xludf.DUMMYFUNCTION("""COMPUTED_VALUE"""),319.55)</f>
        <v>319.55</v>
      </c>
      <c r="I37" s="16">
        <f>IFERROR(__xludf.DUMMYFUNCTION("""COMPUTED_VALUE"""),45796.6458333333)</f>
        <v>45796.6458333333</v>
      </c>
      <c r="J37" s="17">
        <f>IFERROR(__xludf.DUMMYFUNCTION("""COMPUTED_VALUE"""),316.15)</f>
        <v>316.15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IFERROR(__xludf.DUMMYFUNCTION("""COMPUTED_VALUE"""),312.9)</f>
        <v>312.9</v>
      </c>
      <c r="C38" s="16">
        <f>IFERROR(__xludf.DUMMYFUNCTION("""COMPUTED_VALUE"""),45797.6458333333)</f>
        <v>45797.6458333333</v>
      </c>
      <c r="D38" s="17">
        <f>IFERROR(__xludf.DUMMYFUNCTION("""COMPUTED_VALUE"""),317)</f>
        <v>317</v>
      </c>
      <c r="E38" s="16">
        <f>IFERROR(__xludf.DUMMYFUNCTION("""COMPUTED_VALUE"""),45797.6458333333)</f>
        <v>45797.6458333333</v>
      </c>
      <c r="F38" s="17">
        <f>IFERROR(__xludf.DUMMYFUNCTION("""COMPUTED_VALUE"""),5016433)</f>
        <v>5016433</v>
      </c>
      <c r="G38" s="16">
        <f>IFERROR(__xludf.DUMMYFUNCTION("""COMPUTED_VALUE"""),45797.6458333333)</f>
        <v>45797.6458333333</v>
      </c>
      <c r="H38" s="17">
        <f>IFERROR(__xludf.DUMMYFUNCTION("""COMPUTED_VALUE"""),319.65)</f>
        <v>319.65</v>
      </c>
      <c r="I38" s="16">
        <f>IFERROR(__xludf.DUMMYFUNCTION("""COMPUTED_VALUE"""),45797.6458333333)</f>
        <v>45797.6458333333</v>
      </c>
      <c r="J38" s="17">
        <f>IFERROR(__xludf.DUMMYFUNCTION("""COMPUTED_VALUE"""),311.75)</f>
        <v>311.75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IFERROR(__xludf.DUMMYFUNCTION("""COMPUTED_VALUE"""),315.85)</f>
        <v>315.85</v>
      </c>
      <c r="C39" s="16">
        <f>IFERROR(__xludf.DUMMYFUNCTION("""COMPUTED_VALUE"""),45798.6458333333)</f>
        <v>45798.6458333333</v>
      </c>
      <c r="D39" s="17">
        <f>IFERROR(__xludf.DUMMYFUNCTION("""COMPUTED_VALUE"""),312.3)</f>
        <v>312.3</v>
      </c>
      <c r="E39" s="16">
        <f>IFERROR(__xludf.DUMMYFUNCTION("""COMPUTED_VALUE"""),45798.6458333333)</f>
        <v>45798.6458333333</v>
      </c>
      <c r="F39" s="17">
        <f>IFERROR(__xludf.DUMMYFUNCTION("""COMPUTED_VALUE"""),5232094)</f>
        <v>5232094</v>
      </c>
      <c r="G39" s="16">
        <f>IFERROR(__xludf.DUMMYFUNCTION("""COMPUTED_VALUE"""),45798.6458333333)</f>
        <v>45798.6458333333</v>
      </c>
      <c r="H39" s="17">
        <f>IFERROR(__xludf.DUMMYFUNCTION("""COMPUTED_VALUE"""),316.75)</f>
        <v>316.75</v>
      </c>
      <c r="I39" s="16">
        <f>IFERROR(__xludf.DUMMYFUNCTION("""COMPUTED_VALUE"""),45798.6458333333)</f>
        <v>45798.6458333333</v>
      </c>
      <c r="J39" s="17">
        <f>IFERROR(__xludf.DUMMYFUNCTION("""COMPUTED_VALUE"""),309.35)</f>
        <v>309.35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IFERROR(__xludf.DUMMYFUNCTION("""COMPUTED_VALUE"""),313.05)</f>
        <v>313.05</v>
      </c>
      <c r="C40" s="16">
        <f>IFERROR(__xludf.DUMMYFUNCTION("""COMPUTED_VALUE"""),45799.6458333333)</f>
        <v>45799.6458333333</v>
      </c>
      <c r="D40" s="17">
        <f>IFERROR(__xludf.DUMMYFUNCTION("""COMPUTED_VALUE"""),314.9)</f>
        <v>314.9</v>
      </c>
      <c r="E40" s="16">
        <f>IFERROR(__xludf.DUMMYFUNCTION("""COMPUTED_VALUE"""),45799.6458333333)</f>
        <v>45799.6458333333</v>
      </c>
      <c r="F40" s="17">
        <f>IFERROR(__xludf.DUMMYFUNCTION("""COMPUTED_VALUE"""),4876801)</f>
        <v>4876801</v>
      </c>
      <c r="G40" s="16">
        <f>IFERROR(__xludf.DUMMYFUNCTION("""COMPUTED_VALUE"""),45799.6458333333)</f>
        <v>45799.6458333333</v>
      </c>
      <c r="H40" s="17">
        <f>IFERROR(__xludf.DUMMYFUNCTION("""COMPUTED_VALUE"""),318.9)</f>
        <v>318.9</v>
      </c>
      <c r="I40" s="16">
        <f>IFERROR(__xludf.DUMMYFUNCTION("""COMPUTED_VALUE"""),45799.6458333333)</f>
        <v>45799.6458333333</v>
      </c>
      <c r="J40" s="17">
        <f>IFERROR(__xludf.DUMMYFUNCTION("""COMPUTED_VALUE"""),308.7)</f>
        <v>308.7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IFERROR(__xludf.DUMMYFUNCTION("""COMPUTED_VALUE"""),318.9)</f>
        <v>318.9</v>
      </c>
      <c r="C41" s="16">
        <f>IFERROR(__xludf.DUMMYFUNCTION("""COMPUTED_VALUE"""),45800.6458333333)</f>
        <v>45800.6458333333</v>
      </c>
      <c r="D41" s="17">
        <f>IFERROR(__xludf.DUMMYFUNCTION("""COMPUTED_VALUE"""),312)</f>
        <v>312</v>
      </c>
      <c r="E41" s="16">
        <f>IFERROR(__xludf.DUMMYFUNCTION("""COMPUTED_VALUE"""),45800.6458333333)</f>
        <v>45800.6458333333</v>
      </c>
      <c r="F41" s="17">
        <f>IFERROR(__xludf.DUMMYFUNCTION("""COMPUTED_VALUE"""),4257721)</f>
        <v>4257721</v>
      </c>
      <c r="G41" s="16">
        <f>IFERROR(__xludf.DUMMYFUNCTION("""COMPUTED_VALUE"""),45800.6458333333)</f>
        <v>45800.6458333333</v>
      </c>
      <c r="H41" s="17">
        <f>IFERROR(__xludf.DUMMYFUNCTION("""COMPUTED_VALUE"""),320)</f>
        <v>320</v>
      </c>
      <c r="I41" s="16">
        <f>IFERROR(__xludf.DUMMYFUNCTION("""COMPUTED_VALUE"""),45800.6458333333)</f>
        <v>45800.6458333333</v>
      </c>
      <c r="J41" s="17">
        <f>IFERROR(__xludf.DUMMYFUNCTION("""COMPUTED_VALUE"""),312)</f>
        <v>312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IFERROR(__xludf.DUMMYFUNCTION("""COMPUTED_VALUE"""),322.95)</f>
        <v>322.95</v>
      </c>
      <c r="C42" s="16">
        <f>IFERROR(__xludf.DUMMYFUNCTION("""COMPUTED_VALUE"""),45803.6458333333)</f>
        <v>45803.6458333333</v>
      </c>
      <c r="D42" s="17">
        <f>IFERROR(__xludf.DUMMYFUNCTION("""COMPUTED_VALUE"""),319)</f>
        <v>319</v>
      </c>
      <c r="E42" s="16">
        <f>IFERROR(__xludf.DUMMYFUNCTION("""COMPUTED_VALUE"""),45803.6458333333)</f>
        <v>45803.6458333333</v>
      </c>
      <c r="F42" s="17">
        <f>IFERROR(__xludf.DUMMYFUNCTION("""COMPUTED_VALUE"""),5050848)</f>
        <v>5050848</v>
      </c>
      <c r="G42" s="16">
        <f>IFERROR(__xludf.DUMMYFUNCTION("""COMPUTED_VALUE"""),45803.6458333333)</f>
        <v>45803.6458333333</v>
      </c>
      <c r="H42" s="17">
        <f>IFERROR(__xludf.DUMMYFUNCTION("""COMPUTED_VALUE"""),323.95)</f>
        <v>323.95</v>
      </c>
      <c r="I42" s="16">
        <f>IFERROR(__xludf.DUMMYFUNCTION("""COMPUTED_VALUE"""),45803.6458333333)</f>
        <v>45803.6458333333</v>
      </c>
      <c r="J42" s="17">
        <f>IFERROR(__xludf.DUMMYFUNCTION("""COMPUTED_VALUE"""),319)</f>
        <v>319</v>
      </c>
      <c r="K42" s="3">
        <f t="shared" si="2"/>
        <v>322.95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IFERROR(__xludf.DUMMYFUNCTION("""COMPUTED_VALUE"""),317)</f>
        <v>317</v>
      </c>
      <c r="C43" s="16">
        <f>IFERROR(__xludf.DUMMYFUNCTION("""COMPUTED_VALUE"""),45804.6458333333)</f>
        <v>45804.6458333333</v>
      </c>
      <c r="D43" s="17">
        <f>IFERROR(__xludf.DUMMYFUNCTION("""COMPUTED_VALUE"""),322.9)</f>
        <v>322.9</v>
      </c>
      <c r="E43" s="16">
        <f>IFERROR(__xludf.DUMMYFUNCTION("""COMPUTED_VALUE"""),45804.6458333333)</f>
        <v>45804.6458333333</v>
      </c>
      <c r="F43" s="17">
        <f>IFERROR(__xludf.DUMMYFUNCTION("""COMPUTED_VALUE"""),4716473)</f>
        <v>4716473</v>
      </c>
      <c r="G43" s="16">
        <f>IFERROR(__xludf.DUMMYFUNCTION("""COMPUTED_VALUE"""),45804.6458333333)</f>
        <v>45804.6458333333</v>
      </c>
      <c r="H43" s="17">
        <f>IFERROR(__xludf.DUMMYFUNCTION("""COMPUTED_VALUE"""),322.9)</f>
        <v>322.9</v>
      </c>
      <c r="I43" s="16">
        <f>IFERROR(__xludf.DUMMYFUNCTION("""COMPUTED_VALUE"""),45804.6458333333)</f>
        <v>45804.6458333333</v>
      </c>
      <c r="J43" s="17">
        <f>IFERROR(__xludf.DUMMYFUNCTION("""COMPUTED_VALUE"""),315.5)</f>
        <v>315.5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IFERROR(__xludf.DUMMYFUNCTION("""COMPUTED_VALUE"""),321.7)</f>
        <v>321.7</v>
      </c>
      <c r="C44" s="16">
        <f>IFERROR(__xludf.DUMMYFUNCTION("""COMPUTED_VALUE"""),45805.6458333333)</f>
        <v>45805.6458333333</v>
      </c>
      <c r="D44" s="17">
        <f>IFERROR(__xludf.DUMMYFUNCTION("""COMPUTED_VALUE"""),317)</f>
        <v>317</v>
      </c>
      <c r="E44" s="16">
        <f>IFERROR(__xludf.DUMMYFUNCTION("""COMPUTED_VALUE"""),45805.6458333333)</f>
        <v>45805.6458333333</v>
      </c>
      <c r="F44" s="17">
        <f>IFERROR(__xludf.DUMMYFUNCTION("""COMPUTED_VALUE"""),7112876)</f>
        <v>7112876</v>
      </c>
      <c r="G44" s="16">
        <f>IFERROR(__xludf.DUMMYFUNCTION("""COMPUTED_VALUE"""),45805.6458333333)</f>
        <v>45805.6458333333</v>
      </c>
      <c r="H44" s="17">
        <f>IFERROR(__xludf.DUMMYFUNCTION("""COMPUTED_VALUE"""),322.6)</f>
        <v>322.6</v>
      </c>
      <c r="I44" s="16">
        <f>IFERROR(__xludf.DUMMYFUNCTION("""COMPUTED_VALUE"""),45805.6458333333)</f>
        <v>45805.6458333333</v>
      </c>
      <c r="J44" s="17">
        <f>IFERROR(__xludf.DUMMYFUNCTION("""COMPUTED_VALUE"""),313.75)</f>
        <v>313.75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IFERROR(__xludf.DUMMYFUNCTION("""COMPUTED_VALUE"""),319.15)</f>
        <v>319.15</v>
      </c>
      <c r="C45" s="16">
        <f>IFERROR(__xludf.DUMMYFUNCTION("""COMPUTED_VALUE"""),45806.6458333333)</f>
        <v>45806.6458333333</v>
      </c>
      <c r="D45" s="17">
        <f>IFERROR(__xludf.DUMMYFUNCTION("""COMPUTED_VALUE"""),321.2)</f>
        <v>321.2</v>
      </c>
      <c r="E45" s="16">
        <f>IFERROR(__xludf.DUMMYFUNCTION("""COMPUTED_VALUE"""),45806.6458333333)</f>
        <v>45806.6458333333</v>
      </c>
      <c r="F45" s="17">
        <f>IFERROR(__xludf.DUMMYFUNCTION("""COMPUTED_VALUE"""),4000772)</f>
        <v>4000772</v>
      </c>
      <c r="G45" s="16">
        <f>IFERROR(__xludf.DUMMYFUNCTION("""COMPUTED_VALUE"""),45806.6458333333)</f>
        <v>45806.6458333333</v>
      </c>
      <c r="H45" s="17">
        <f>IFERROR(__xludf.DUMMYFUNCTION("""COMPUTED_VALUE"""),322.55)</f>
        <v>322.55</v>
      </c>
      <c r="I45" s="16">
        <f>IFERROR(__xludf.DUMMYFUNCTION("""COMPUTED_VALUE"""),45806.6458333333)</f>
        <v>45806.6458333333</v>
      </c>
      <c r="J45" s="17">
        <f>IFERROR(__xludf.DUMMYFUNCTION("""COMPUTED_VALUE"""),317.6)</f>
        <v>317.6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IFERROR(__xludf.DUMMYFUNCTION("""COMPUTED_VALUE"""),318.4)</f>
        <v>318.4</v>
      </c>
      <c r="C46" s="16">
        <f>IFERROR(__xludf.DUMMYFUNCTION("""COMPUTED_VALUE"""),45807.6458333333)</f>
        <v>45807.6458333333</v>
      </c>
      <c r="D46" s="17">
        <f>IFERROR(__xludf.DUMMYFUNCTION("""COMPUTED_VALUE"""),317.55)</f>
        <v>317.55</v>
      </c>
      <c r="E46" s="16">
        <f>IFERROR(__xludf.DUMMYFUNCTION("""COMPUTED_VALUE"""),45807.6458333333)</f>
        <v>45807.6458333333</v>
      </c>
      <c r="F46" s="17">
        <f>IFERROR(__xludf.DUMMYFUNCTION("""COMPUTED_VALUE"""),9148638)</f>
        <v>9148638</v>
      </c>
      <c r="G46" s="16">
        <f>IFERROR(__xludf.DUMMYFUNCTION("""COMPUTED_VALUE"""),45807.6458333333)</f>
        <v>45807.6458333333</v>
      </c>
      <c r="H46" s="17">
        <f>IFERROR(__xludf.DUMMYFUNCTION("""COMPUTED_VALUE"""),322.4)</f>
        <v>322.4</v>
      </c>
      <c r="I46" s="16">
        <f>IFERROR(__xludf.DUMMYFUNCTION("""COMPUTED_VALUE"""),45807.6458333333)</f>
        <v>45807.6458333333</v>
      </c>
      <c r="J46" s="17">
        <f>IFERROR(__xludf.DUMMYFUNCTION("""COMPUTED_VALUE"""),317)</f>
        <v>317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IFERROR(__xludf.DUMMYFUNCTION("""COMPUTED_VALUE"""),316.6)</f>
        <v>316.6</v>
      </c>
      <c r="C47" s="16">
        <f>IFERROR(__xludf.DUMMYFUNCTION("""COMPUTED_VALUE"""),45810.6458333333)</f>
        <v>45810.6458333333</v>
      </c>
      <c r="D47" s="17">
        <f>IFERROR(__xludf.DUMMYFUNCTION("""COMPUTED_VALUE"""),318.4)</f>
        <v>318.4</v>
      </c>
      <c r="E47" s="16">
        <f>IFERROR(__xludf.DUMMYFUNCTION("""COMPUTED_VALUE"""),45810.6458333333)</f>
        <v>45810.6458333333</v>
      </c>
      <c r="F47" s="17">
        <f>IFERROR(__xludf.DUMMYFUNCTION("""COMPUTED_VALUE"""),3086437)</f>
        <v>3086437</v>
      </c>
      <c r="G47" s="16">
        <f>IFERROR(__xludf.DUMMYFUNCTION("""COMPUTED_VALUE"""),45810.6458333333)</f>
        <v>45810.6458333333</v>
      </c>
      <c r="H47" s="17">
        <f>IFERROR(__xludf.DUMMYFUNCTION("""COMPUTED_VALUE"""),319.5)</f>
        <v>319.5</v>
      </c>
      <c r="I47" s="16">
        <f>IFERROR(__xludf.DUMMYFUNCTION("""COMPUTED_VALUE"""),45810.6458333333)</f>
        <v>45810.6458333333</v>
      </c>
      <c r="J47" s="17">
        <f>IFERROR(__xludf.DUMMYFUNCTION("""COMPUTED_VALUE"""),315.65)</f>
        <v>315.65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IFERROR(__xludf.DUMMYFUNCTION("""COMPUTED_VALUE"""),309.75)</f>
        <v>309.75</v>
      </c>
      <c r="C48" s="16">
        <f>IFERROR(__xludf.DUMMYFUNCTION("""COMPUTED_VALUE"""),45811.6458333333)</f>
        <v>45811.6458333333</v>
      </c>
      <c r="D48" s="17">
        <f>IFERROR(__xludf.DUMMYFUNCTION("""COMPUTED_VALUE"""),315.05)</f>
        <v>315.05</v>
      </c>
      <c r="E48" s="16">
        <f>IFERROR(__xludf.DUMMYFUNCTION("""COMPUTED_VALUE"""),45811.6458333333)</f>
        <v>45811.6458333333</v>
      </c>
      <c r="F48" s="17">
        <f>IFERROR(__xludf.DUMMYFUNCTION("""COMPUTED_VALUE"""),7853488)</f>
        <v>7853488</v>
      </c>
      <c r="G48" s="16">
        <f>IFERROR(__xludf.DUMMYFUNCTION("""COMPUTED_VALUE"""),45811.6458333333)</f>
        <v>45811.6458333333</v>
      </c>
      <c r="H48" s="17">
        <f>IFERROR(__xludf.DUMMYFUNCTION("""COMPUTED_VALUE"""),320.95)</f>
        <v>320.95</v>
      </c>
      <c r="I48" s="16">
        <f>IFERROR(__xludf.DUMMYFUNCTION("""COMPUTED_VALUE"""),45811.6458333333)</f>
        <v>45811.6458333333</v>
      </c>
      <c r="J48" s="17">
        <f>IFERROR(__xludf.DUMMYFUNCTION("""COMPUTED_VALUE"""),309)</f>
        <v>309</v>
      </c>
      <c r="K48" s="3">
        <f t="shared" si="2"/>
        <v>0</v>
      </c>
      <c r="L48" s="3">
        <f t="shared" si="3"/>
        <v>309.75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IFERROR(__xludf.DUMMYFUNCTION("""COMPUTED_VALUE"""),311.55)</f>
        <v>311.55</v>
      </c>
      <c r="C49" s="16">
        <f>IFERROR(__xludf.DUMMYFUNCTION("""COMPUTED_VALUE"""),45812.6458333333)</f>
        <v>45812.6458333333</v>
      </c>
      <c r="D49" s="17">
        <f>IFERROR(__xludf.DUMMYFUNCTION("""COMPUTED_VALUE"""),309.75)</f>
        <v>309.75</v>
      </c>
      <c r="E49" s="16">
        <f>IFERROR(__xludf.DUMMYFUNCTION("""COMPUTED_VALUE"""),45812.6458333333)</f>
        <v>45812.6458333333</v>
      </c>
      <c r="F49" s="17">
        <f>IFERROR(__xludf.DUMMYFUNCTION("""COMPUTED_VALUE"""),5925942)</f>
        <v>5925942</v>
      </c>
      <c r="G49" s="16">
        <f>IFERROR(__xludf.DUMMYFUNCTION("""COMPUTED_VALUE"""),45812.6458333333)</f>
        <v>45812.6458333333</v>
      </c>
      <c r="H49" s="17">
        <f>IFERROR(__xludf.DUMMYFUNCTION("""COMPUTED_VALUE"""),312.65)</f>
        <v>312.65</v>
      </c>
      <c r="I49" s="16">
        <f>IFERROR(__xludf.DUMMYFUNCTION("""COMPUTED_VALUE"""),45812.6458333333)</f>
        <v>45812.6458333333</v>
      </c>
      <c r="J49" s="17">
        <f>IFERROR(__xludf.DUMMYFUNCTION("""COMPUTED_VALUE"""),308.6)</f>
        <v>308.6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IFERROR(__xludf.DUMMYFUNCTION("""COMPUTED_VALUE"""),309.8)</f>
        <v>309.8</v>
      </c>
      <c r="C50" s="16">
        <f>IFERROR(__xludf.DUMMYFUNCTION("""COMPUTED_VALUE"""),45813.6458333333)</f>
        <v>45813.6458333333</v>
      </c>
      <c r="D50" s="17">
        <f>IFERROR(__xludf.DUMMYFUNCTION("""COMPUTED_VALUE"""),311.1)</f>
        <v>311.1</v>
      </c>
      <c r="E50" s="16">
        <f>IFERROR(__xludf.DUMMYFUNCTION("""COMPUTED_VALUE"""),45813.6458333333)</f>
        <v>45813.6458333333</v>
      </c>
      <c r="F50" s="17">
        <f>IFERROR(__xludf.DUMMYFUNCTION("""COMPUTED_VALUE"""),5900170)</f>
        <v>5900170</v>
      </c>
      <c r="G50" s="16">
        <f>IFERROR(__xludf.DUMMYFUNCTION("""COMPUTED_VALUE"""),45813.6458333333)</f>
        <v>45813.6458333333</v>
      </c>
      <c r="H50" s="17">
        <f>IFERROR(__xludf.DUMMYFUNCTION("""COMPUTED_VALUE"""),315.4)</f>
        <v>315.4</v>
      </c>
      <c r="I50" s="16">
        <f>IFERROR(__xludf.DUMMYFUNCTION("""COMPUTED_VALUE"""),45813.6458333333)</f>
        <v>45813.6458333333</v>
      </c>
      <c r="J50" s="17">
        <f>IFERROR(__xludf.DUMMYFUNCTION("""COMPUTED_VALUE"""),308.25)</f>
        <v>308.25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IFERROR(__xludf.DUMMYFUNCTION("""COMPUTED_VALUE"""),316.7)</f>
        <v>316.7</v>
      </c>
      <c r="C51" s="16">
        <f>IFERROR(__xludf.DUMMYFUNCTION("""COMPUTED_VALUE"""),45814.6458333333)</f>
        <v>45814.6458333333</v>
      </c>
      <c r="D51" s="17">
        <f>IFERROR(__xludf.DUMMYFUNCTION("""COMPUTED_VALUE"""),309)</f>
        <v>309</v>
      </c>
      <c r="E51" s="16">
        <f>IFERROR(__xludf.DUMMYFUNCTION("""COMPUTED_VALUE"""),45814.6458333333)</f>
        <v>45814.6458333333</v>
      </c>
      <c r="F51" s="17">
        <f>IFERROR(__xludf.DUMMYFUNCTION("""COMPUTED_VALUE"""),5825337)</f>
        <v>5825337</v>
      </c>
      <c r="G51" s="16">
        <f>IFERROR(__xludf.DUMMYFUNCTION("""COMPUTED_VALUE"""),45814.6458333333)</f>
        <v>45814.6458333333</v>
      </c>
      <c r="H51" s="17">
        <f>IFERROR(__xludf.DUMMYFUNCTION("""COMPUTED_VALUE"""),317.85)</f>
        <v>317.85</v>
      </c>
      <c r="I51" s="16">
        <f>IFERROR(__xludf.DUMMYFUNCTION("""COMPUTED_VALUE"""),45814.6458333333)</f>
        <v>45814.6458333333</v>
      </c>
      <c r="J51" s="17">
        <f>IFERROR(__xludf.DUMMYFUNCTION("""COMPUTED_VALUE"""),309)</f>
        <v>309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IFERROR(__xludf.DUMMYFUNCTION("""COMPUTED_VALUE"""),320.4)</f>
        <v>320.4</v>
      </c>
      <c r="C52" s="16">
        <f>IFERROR(__xludf.DUMMYFUNCTION("""COMPUTED_VALUE"""),45817.6458333333)</f>
        <v>45817.6458333333</v>
      </c>
      <c r="D52" s="17">
        <f>IFERROR(__xludf.DUMMYFUNCTION("""COMPUTED_VALUE"""),317.8)</f>
        <v>317.8</v>
      </c>
      <c r="E52" s="16">
        <f>IFERROR(__xludf.DUMMYFUNCTION("""COMPUTED_VALUE"""),45817.6458333333)</f>
        <v>45817.6458333333</v>
      </c>
      <c r="F52" s="17">
        <f>IFERROR(__xludf.DUMMYFUNCTION("""COMPUTED_VALUE"""),3787426)</f>
        <v>3787426</v>
      </c>
      <c r="G52" s="16">
        <f>IFERROR(__xludf.DUMMYFUNCTION("""COMPUTED_VALUE"""),45817.6458333333)</f>
        <v>45817.6458333333</v>
      </c>
      <c r="H52" s="17">
        <f>IFERROR(__xludf.DUMMYFUNCTION("""COMPUTED_VALUE"""),321.45)</f>
        <v>321.45</v>
      </c>
      <c r="I52" s="16">
        <f>IFERROR(__xludf.DUMMYFUNCTION("""COMPUTED_VALUE"""),45817.6458333333)</f>
        <v>45817.6458333333</v>
      </c>
      <c r="J52" s="17">
        <f>IFERROR(__xludf.DUMMYFUNCTION("""COMPUTED_VALUE"""),315)</f>
        <v>315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IFERROR(__xludf.DUMMYFUNCTION("""COMPUTED_VALUE"""),320.1)</f>
        <v>320.1</v>
      </c>
      <c r="C53" s="16">
        <f>IFERROR(__xludf.DUMMYFUNCTION("""COMPUTED_VALUE"""),45818.6458333333)</f>
        <v>45818.6458333333</v>
      </c>
      <c r="D53" s="17">
        <f>IFERROR(__xludf.DUMMYFUNCTION("""COMPUTED_VALUE"""),321.2)</f>
        <v>321.2</v>
      </c>
      <c r="E53" s="16">
        <f>IFERROR(__xludf.DUMMYFUNCTION("""COMPUTED_VALUE"""),45818.6458333333)</f>
        <v>45818.6458333333</v>
      </c>
      <c r="F53" s="17">
        <f>IFERROR(__xludf.DUMMYFUNCTION("""COMPUTED_VALUE"""),6489933)</f>
        <v>6489933</v>
      </c>
      <c r="G53" s="16">
        <f>IFERROR(__xludf.DUMMYFUNCTION("""COMPUTED_VALUE"""),45818.6458333333)</f>
        <v>45818.6458333333</v>
      </c>
      <c r="H53" s="17">
        <f>IFERROR(__xludf.DUMMYFUNCTION("""COMPUTED_VALUE"""),324.7)</f>
        <v>324.7</v>
      </c>
      <c r="I53" s="16">
        <f>IFERROR(__xludf.DUMMYFUNCTION("""COMPUTED_VALUE"""),45818.6458333333)</f>
        <v>45818.6458333333</v>
      </c>
      <c r="J53" s="17">
        <f>IFERROR(__xludf.DUMMYFUNCTION("""COMPUTED_VALUE"""),319.4)</f>
        <v>319.4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IFERROR(__xludf.DUMMYFUNCTION("""COMPUTED_VALUE"""),333.85)</f>
        <v>333.85</v>
      </c>
      <c r="C54" s="16">
        <f>IFERROR(__xludf.DUMMYFUNCTION("""COMPUTED_VALUE"""),45819.6458333333)</f>
        <v>45819.6458333333</v>
      </c>
      <c r="D54" s="17">
        <f>IFERROR(__xludf.DUMMYFUNCTION("""COMPUTED_VALUE"""),320.3)</f>
        <v>320.3</v>
      </c>
      <c r="E54" s="16">
        <f>IFERROR(__xludf.DUMMYFUNCTION("""COMPUTED_VALUE"""),45819.6458333333)</f>
        <v>45819.6458333333</v>
      </c>
      <c r="F54" s="17">
        <f>IFERROR(__xludf.DUMMYFUNCTION("""COMPUTED_VALUE"""),21739121)</f>
        <v>21739121</v>
      </c>
      <c r="G54" s="16">
        <f>IFERROR(__xludf.DUMMYFUNCTION("""COMPUTED_VALUE"""),45819.6458333333)</f>
        <v>45819.6458333333</v>
      </c>
      <c r="H54" s="17">
        <f>IFERROR(__xludf.DUMMYFUNCTION("""COMPUTED_VALUE"""),334.5)</f>
        <v>334.5</v>
      </c>
      <c r="I54" s="16">
        <f>IFERROR(__xludf.DUMMYFUNCTION("""COMPUTED_VALUE"""),45819.6458333333)</f>
        <v>45819.6458333333</v>
      </c>
      <c r="J54" s="17">
        <f>IFERROR(__xludf.DUMMYFUNCTION("""COMPUTED_VALUE"""),320.3)</f>
        <v>320.3</v>
      </c>
      <c r="K54" s="3">
        <f t="shared" si="2"/>
        <v>333.85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IFERROR(__xludf.DUMMYFUNCTION("""COMPUTED_VALUE"""),318.65)</f>
        <v>318.65</v>
      </c>
      <c r="C55" s="16">
        <f>IFERROR(__xludf.DUMMYFUNCTION("""COMPUTED_VALUE"""),45820.6458333333)</f>
        <v>45820.6458333333</v>
      </c>
      <c r="D55" s="17">
        <f>IFERROR(__xludf.DUMMYFUNCTION("""COMPUTED_VALUE"""),330.5)</f>
        <v>330.5</v>
      </c>
      <c r="E55" s="16">
        <f>IFERROR(__xludf.DUMMYFUNCTION("""COMPUTED_VALUE"""),45820.6458333333)</f>
        <v>45820.6458333333</v>
      </c>
      <c r="F55" s="17">
        <f>IFERROR(__xludf.DUMMYFUNCTION("""COMPUTED_VALUE"""),13568848)</f>
        <v>13568848</v>
      </c>
      <c r="G55" s="16">
        <f>IFERROR(__xludf.DUMMYFUNCTION("""COMPUTED_VALUE"""),45820.6458333333)</f>
        <v>45820.6458333333</v>
      </c>
      <c r="H55" s="17">
        <f>IFERROR(__xludf.DUMMYFUNCTION("""COMPUTED_VALUE"""),331)</f>
        <v>331</v>
      </c>
      <c r="I55" s="16">
        <f>IFERROR(__xludf.DUMMYFUNCTION("""COMPUTED_VALUE"""),45820.6458333333)</f>
        <v>45820.6458333333</v>
      </c>
      <c r="J55" s="17">
        <f>IFERROR(__xludf.DUMMYFUNCTION("""COMPUTED_VALUE"""),317.75)</f>
        <v>317.75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IFERROR(__xludf.DUMMYFUNCTION("""COMPUTED_VALUE"""),312.3)</f>
        <v>312.3</v>
      </c>
      <c r="C56" s="16">
        <f>IFERROR(__xludf.DUMMYFUNCTION("""COMPUTED_VALUE"""),45821.6458333333)</f>
        <v>45821.6458333333</v>
      </c>
      <c r="D56" s="17">
        <f>IFERROR(__xludf.DUMMYFUNCTION("""COMPUTED_VALUE"""),305)</f>
        <v>305</v>
      </c>
      <c r="E56" s="16">
        <f>IFERROR(__xludf.DUMMYFUNCTION("""COMPUTED_VALUE"""),45821.6458333333)</f>
        <v>45821.6458333333</v>
      </c>
      <c r="F56" s="17">
        <f>IFERROR(__xludf.DUMMYFUNCTION("""COMPUTED_VALUE"""),13958229)</f>
        <v>13958229</v>
      </c>
      <c r="G56" s="16">
        <f>IFERROR(__xludf.DUMMYFUNCTION("""COMPUTED_VALUE"""),45821.6458333333)</f>
        <v>45821.6458333333</v>
      </c>
      <c r="H56" s="17">
        <f>IFERROR(__xludf.DUMMYFUNCTION("""COMPUTED_VALUE"""),314.4)</f>
        <v>314.4</v>
      </c>
      <c r="I56" s="16">
        <f>IFERROR(__xludf.DUMMYFUNCTION("""COMPUTED_VALUE"""),45821.6458333333)</f>
        <v>45821.6458333333</v>
      </c>
      <c r="J56" s="17">
        <f>IFERROR(__xludf.DUMMYFUNCTION("""COMPUTED_VALUE"""),299.3)</f>
        <v>299.3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IFERROR(__xludf.DUMMYFUNCTION("""COMPUTED_VALUE"""),316.4)</f>
        <v>316.4</v>
      </c>
      <c r="C57" s="16">
        <f>IFERROR(__xludf.DUMMYFUNCTION("""COMPUTED_VALUE"""),45824.6458333333)</f>
        <v>45824.6458333333</v>
      </c>
      <c r="D57" s="17">
        <f>IFERROR(__xludf.DUMMYFUNCTION("""COMPUTED_VALUE"""),309.95)</f>
        <v>309.95</v>
      </c>
      <c r="E57" s="16">
        <f>IFERROR(__xludf.DUMMYFUNCTION("""COMPUTED_VALUE"""),45824.6458333333)</f>
        <v>45824.6458333333</v>
      </c>
      <c r="F57" s="17">
        <f>IFERROR(__xludf.DUMMYFUNCTION("""COMPUTED_VALUE"""),6893567)</f>
        <v>6893567</v>
      </c>
      <c r="G57" s="16">
        <f>IFERROR(__xludf.DUMMYFUNCTION("""COMPUTED_VALUE"""),45824.6458333333)</f>
        <v>45824.6458333333</v>
      </c>
      <c r="H57" s="17">
        <f>IFERROR(__xludf.DUMMYFUNCTION("""COMPUTED_VALUE"""),316.85)</f>
        <v>316.85</v>
      </c>
      <c r="I57" s="16">
        <f>IFERROR(__xludf.DUMMYFUNCTION("""COMPUTED_VALUE"""),45824.6458333333)</f>
        <v>45824.6458333333</v>
      </c>
      <c r="J57" s="17">
        <f>IFERROR(__xludf.DUMMYFUNCTION("""COMPUTED_VALUE"""),308.5)</f>
        <v>308.5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IFERROR(__xludf.DUMMYFUNCTION("""COMPUTED_VALUE"""),312.8)</f>
        <v>312.8</v>
      </c>
      <c r="C58" s="16">
        <f>IFERROR(__xludf.DUMMYFUNCTION("""COMPUTED_VALUE"""),45825.6458333333)</f>
        <v>45825.6458333333</v>
      </c>
      <c r="D58" s="17">
        <f>IFERROR(__xludf.DUMMYFUNCTION("""COMPUTED_VALUE"""),314)</f>
        <v>314</v>
      </c>
      <c r="E58" s="16">
        <f>IFERROR(__xludf.DUMMYFUNCTION("""COMPUTED_VALUE"""),45825.6458333333)</f>
        <v>45825.6458333333</v>
      </c>
      <c r="F58" s="17">
        <f>IFERROR(__xludf.DUMMYFUNCTION("""COMPUTED_VALUE"""),7219608)</f>
        <v>7219608</v>
      </c>
      <c r="G58" s="16">
        <f>IFERROR(__xludf.DUMMYFUNCTION("""COMPUTED_VALUE"""),45825.6458333333)</f>
        <v>45825.6458333333</v>
      </c>
      <c r="H58" s="17">
        <f>IFERROR(__xludf.DUMMYFUNCTION("""COMPUTED_VALUE"""),320.45)</f>
        <v>320.45</v>
      </c>
      <c r="I58" s="16">
        <f>IFERROR(__xludf.DUMMYFUNCTION("""COMPUTED_VALUE"""),45825.6458333333)</f>
        <v>45825.6458333333</v>
      </c>
      <c r="J58" s="17">
        <f>IFERROR(__xludf.DUMMYFUNCTION("""COMPUTED_VALUE"""),311.7)</f>
        <v>311.7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IFERROR(__xludf.DUMMYFUNCTION("""COMPUTED_VALUE"""),315.85)</f>
        <v>315.85</v>
      </c>
      <c r="C59" s="16">
        <f>IFERROR(__xludf.DUMMYFUNCTION("""COMPUTED_VALUE"""),45826.6458333333)</f>
        <v>45826.6458333333</v>
      </c>
      <c r="D59" s="17">
        <f>IFERROR(__xludf.DUMMYFUNCTION("""COMPUTED_VALUE"""),312)</f>
        <v>312</v>
      </c>
      <c r="E59" s="16">
        <f>IFERROR(__xludf.DUMMYFUNCTION("""COMPUTED_VALUE"""),45826.6458333333)</f>
        <v>45826.6458333333</v>
      </c>
      <c r="F59" s="17">
        <f>IFERROR(__xludf.DUMMYFUNCTION("""COMPUTED_VALUE"""),10011198)</f>
        <v>10011198</v>
      </c>
      <c r="G59" s="16">
        <f>IFERROR(__xludf.DUMMYFUNCTION("""COMPUTED_VALUE"""),45826.6458333333)</f>
        <v>45826.6458333333</v>
      </c>
      <c r="H59" s="17">
        <f>IFERROR(__xludf.DUMMYFUNCTION("""COMPUTED_VALUE"""),316.85)</f>
        <v>316.85</v>
      </c>
      <c r="I59" s="16">
        <f>IFERROR(__xludf.DUMMYFUNCTION("""COMPUTED_VALUE"""),45826.6458333333)</f>
        <v>45826.6458333333</v>
      </c>
      <c r="J59" s="17">
        <f>IFERROR(__xludf.DUMMYFUNCTION("""COMPUTED_VALUE"""),309.7)</f>
        <v>309.7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IFERROR(__xludf.DUMMYFUNCTION("""COMPUTED_VALUE"""),313.45)</f>
        <v>313.45</v>
      </c>
      <c r="C60" s="16">
        <f>IFERROR(__xludf.DUMMYFUNCTION("""COMPUTED_VALUE"""),45827.6458333333)</f>
        <v>45827.6458333333</v>
      </c>
      <c r="D60" s="17">
        <f>IFERROR(__xludf.DUMMYFUNCTION("""COMPUTED_VALUE"""),317)</f>
        <v>317</v>
      </c>
      <c r="E60" s="16">
        <f>IFERROR(__xludf.DUMMYFUNCTION("""COMPUTED_VALUE"""),45827.6458333333)</f>
        <v>45827.6458333333</v>
      </c>
      <c r="F60" s="17">
        <f>IFERROR(__xludf.DUMMYFUNCTION("""COMPUTED_VALUE"""),5399948)</f>
        <v>5399948</v>
      </c>
      <c r="G60" s="16">
        <f>IFERROR(__xludf.DUMMYFUNCTION("""COMPUTED_VALUE"""),45827.6458333333)</f>
        <v>45827.6458333333</v>
      </c>
      <c r="H60" s="17">
        <f>IFERROR(__xludf.DUMMYFUNCTION("""COMPUTED_VALUE"""),317)</f>
        <v>317</v>
      </c>
      <c r="I60" s="16">
        <f>IFERROR(__xludf.DUMMYFUNCTION("""COMPUTED_VALUE"""),45827.6458333333)</f>
        <v>45827.6458333333</v>
      </c>
      <c r="J60" s="17">
        <f>IFERROR(__xludf.DUMMYFUNCTION("""COMPUTED_VALUE"""),310.1)</f>
        <v>310.1</v>
      </c>
      <c r="K60" s="3">
        <f t="shared" si="2"/>
        <v>0</v>
      </c>
      <c r="L60" s="3">
        <f t="shared" si="3"/>
        <v>0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IFERROR(__xludf.DUMMYFUNCTION("""COMPUTED_VALUE"""),313.5)</f>
        <v>313.5</v>
      </c>
      <c r="C61" s="16">
        <f>IFERROR(__xludf.DUMMYFUNCTION("""COMPUTED_VALUE"""),45828.6458333333)</f>
        <v>45828.6458333333</v>
      </c>
      <c r="D61" s="17">
        <f>IFERROR(__xludf.DUMMYFUNCTION("""COMPUTED_VALUE"""),310.9)</f>
        <v>310.9</v>
      </c>
      <c r="E61" s="16">
        <f>IFERROR(__xludf.DUMMYFUNCTION("""COMPUTED_VALUE"""),45828.6458333333)</f>
        <v>45828.6458333333</v>
      </c>
      <c r="F61" s="17">
        <f>IFERROR(__xludf.DUMMYFUNCTION("""COMPUTED_VALUE"""),8522458)</f>
        <v>8522458</v>
      </c>
      <c r="G61" s="16">
        <f>IFERROR(__xludf.DUMMYFUNCTION("""COMPUTED_VALUE"""),45828.6458333333)</f>
        <v>45828.6458333333</v>
      </c>
      <c r="H61" s="17">
        <f>IFERROR(__xludf.DUMMYFUNCTION("""COMPUTED_VALUE"""),315.9)</f>
        <v>315.9</v>
      </c>
      <c r="I61" s="16">
        <f>IFERROR(__xludf.DUMMYFUNCTION("""COMPUTED_VALUE"""),45828.6458333333)</f>
        <v>45828.6458333333</v>
      </c>
      <c r="J61" s="17">
        <f>IFERROR(__xludf.DUMMYFUNCTION("""COMPUTED_VALUE"""),310)</f>
        <v>310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IFERROR(__xludf.DUMMYFUNCTION("""COMPUTED_VALUE"""),313.45)</f>
        <v>313.45</v>
      </c>
      <c r="C62" s="16">
        <f>IFERROR(__xludf.DUMMYFUNCTION("""COMPUTED_VALUE"""),45831.6458333333)</f>
        <v>45831.6458333333</v>
      </c>
      <c r="D62" s="17">
        <f>IFERROR(__xludf.DUMMYFUNCTION("""COMPUTED_VALUE"""),310)</f>
        <v>310</v>
      </c>
      <c r="E62" s="16">
        <f>IFERROR(__xludf.DUMMYFUNCTION("""COMPUTED_VALUE"""),45831.6458333333)</f>
        <v>45831.6458333333</v>
      </c>
      <c r="F62" s="17">
        <f>IFERROR(__xludf.DUMMYFUNCTION("""COMPUTED_VALUE"""),6848410)</f>
        <v>6848410</v>
      </c>
      <c r="G62" s="16">
        <f>IFERROR(__xludf.DUMMYFUNCTION("""COMPUTED_VALUE"""),45831.6458333333)</f>
        <v>45831.6458333333</v>
      </c>
      <c r="H62" s="17">
        <f>IFERROR(__xludf.DUMMYFUNCTION("""COMPUTED_VALUE"""),315.5)</f>
        <v>315.5</v>
      </c>
      <c r="I62" s="16">
        <f>IFERROR(__xludf.DUMMYFUNCTION("""COMPUTED_VALUE"""),45831.6458333333)</f>
        <v>45831.6458333333</v>
      </c>
      <c r="J62" s="17">
        <f>IFERROR(__xludf.DUMMYFUNCTION("""COMPUTED_VALUE"""),308.2)</f>
        <v>308.2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IFERROR(__xludf.DUMMYFUNCTION("""COMPUTED_VALUE"""),319.25)</f>
        <v>319.25</v>
      </c>
      <c r="C63" s="16">
        <f>IFERROR(__xludf.DUMMYFUNCTION("""COMPUTED_VALUE"""),45832.6458333333)</f>
        <v>45832.6458333333</v>
      </c>
      <c r="D63" s="17">
        <f>IFERROR(__xludf.DUMMYFUNCTION("""COMPUTED_VALUE"""),325.5)</f>
        <v>325.5</v>
      </c>
      <c r="E63" s="16">
        <f>IFERROR(__xludf.DUMMYFUNCTION("""COMPUTED_VALUE"""),45832.6458333333)</f>
        <v>45832.6458333333</v>
      </c>
      <c r="F63" s="17">
        <f>IFERROR(__xludf.DUMMYFUNCTION("""COMPUTED_VALUE"""),11172373)</f>
        <v>11172373</v>
      </c>
      <c r="G63" s="16">
        <f>IFERROR(__xludf.DUMMYFUNCTION("""COMPUTED_VALUE"""),45832.6458333333)</f>
        <v>45832.6458333333</v>
      </c>
      <c r="H63" s="17">
        <f>IFERROR(__xludf.DUMMYFUNCTION("""COMPUTED_VALUE"""),327.8)</f>
        <v>327.8</v>
      </c>
      <c r="I63" s="16">
        <f>IFERROR(__xludf.DUMMYFUNCTION("""COMPUTED_VALUE"""),45832.6458333333)</f>
        <v>45832.6458333333</v>
      </c>
      <c r="J63" s="17">
        <f>IFERROR(__xludf.DUMMYFUNCTION("""COMPUTED_VALUE"""),317)</f>
        <v>317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IFERROR(__xludf.DUMMYFUNCTION("""COMPUTED_VALUE"""),319.6)</f>
        <v>319.6</v>
      </c>
      <c r="C64" s="16">
        <f>IFERROR(__xludf.DUMMYFUNCTION("""COMPUTED_VALUE"""),45833.6458333333)</f>
        <v>45833.6458333333</v>
      </c>
      <c r="D64" s="17">
        <f>IFERROR(__xludf.DUMMYFUNCTION("""COMPUTED_VALUE"""),322.5)</f>
        <v>322.5</v>
      </c>
      <c r="E64" s="16">
        <f>IFERROR(__xludf.DUMMYFUNCTION("""COMPUTED_VALUE"""),45833.6458333333)</f>
        <v>45833.6458333333</v>
      </c>
      <c r="F64" s="17">
        <f>IFERROR(__xludf.DUMMYFUNCTION("""COMPUTED_VALUE"""),6658747)</f>
        <v>6658747</v>
      </c>
      <c r="G64" s="16">
        <f>IFERROR(__xludf.DUMMYFUNCTION("""COMPUTED_VALUE"""),45833.6458333333)</f>
        <v>45833.6458333333</v>
      </c>
      <c r="H64" s="17">
        <f>IFERROR(__xludf.DUMMYFUNCTION("""COMPUTED_VALUE"""),323)</f>
        <v>323</v>
      </c>
      <c r="I64" s="16">
        <f>IFERROR(__xludf.DUMMYFUNCTION("""COMPUTED_VALUE"""),45833.6458333333)</f>
        <v>45833.6458333333</v>
      </c>
      <c r="J64" s="17">
        <f>IFERROR(__xludf.DUMMYFUNCTION("""COMPUTED_VALUE"""),316.6)</f>
        <v>316.6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IFERROR(__xludf.DUMMYFUNCTION("""COMPUTED_VALUE"""),329.75)</f>
        <v>329.75</v>
      </c>
      <c r="C65" s="16">
        <f>IFERROR(__xludf.DUMMYFUNCTION("""COMPUTED_VALUE"""),45834.6458333333)</f>
        <v>45834.6458333333</v>
      </c>
      <c r="D65" s="17">
        <f>IFERROR(__xludf.DUMMYFUNCTION("""COMPUTED_VALUE"""),318.85)</f>
        <v>318.85</v>
      </c>
      <c r="E65" s="16">
        <f>IFERROR(__xludf.DUMMYFUNCTION("""COMPUTED_VALUE"""),45834.6458333333)</f>
        <v>45834.6458333333</v>
      </c>
      <c r="F65" s="17">
        <f>IFERROR(__xludf.DUMMYFUNCTION("""COMPUTED_VALUE"""),15528180)</f>
        <v>15528180</v>
      </c>
      <c r="G65" s="16">
        <f>IFERROR(__xludf.DUMMYFUNCTION("""COMPUTED_VALUE"""),45834.6458333333)</f>
        <v>45834.6458333333</v>
      </c>
      <c r="H65" s="17">
        <f>IFERROR(__xludf.DUMMYFUNCTION("""COMPUTED_VALUE"""),331)</f>
        <v>331</v>
      </c>
      <c r="I65" s="16">
        <f>IFERROR(__xludf.DUMMYFUNCTION("""COMPUTED_VALUE"""),45834.6458333333)</f>
        <v>45834.6458333333</v>
      </c>
      <c r="J65" s="17">
        <f>IFERROR(__xludf.DUMMYFUNCTION("""COMPUTED_VALUE"""),318.85)</f>
        <v>318.85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IFERROR(__xludf.DUMMYFUNCTION("""COMPUTED_VALUE"""),333)</f>
        <v>333</v>
      </c>
      <c r="C66" s="16">
        <f>IFERROR(__xludf.DUMMYFUNCTION("""COMPUTED_VALUE"""),45835.6458333333)</f>
        <v>45835.6458333333</v>
      </c>
      <c r="D66" s="17">
        <f>IFERROR(__xludf.DUMMYFUNCTION("""COMPUTED_VALUE"""),330)</f>
        <v>330</v>
      </c>
      <c r="E66" s="16">
        <f>IFERROR(__xludf.DUMMYFUNCTION("""COMPUTED_VALUE"""),45835.6458333333)</f>
        <v>45835.6458333333</v>
      </c>
      <c r="F66" s="17">
        <f>IFERROR(__xludf.DUMMYFUNCTION("""COMPUTED_VALUE"""),9911738)</f>
        <v>9911738</v>
      </c>
      <c r="G66" s="16">
        <f>IFERROR(__xludf.DUMMYFUNCTION("""COMPUTED_VALUE"""),45835.6458333333)</f>
        <v>45835.6458333333</v>
      </c>
      <c r="H66" s="17">
        <f>IFERROR(__xludf.DUMMYFUNCTION("""COMPUTED_VALUE"""),334.2)</f>
        <v>334.2</v>
      </c>
      <c r="I66" s="16">
        <f>IFERROR(__xludf.DUMMYFUNCTION("""COMPUTED_VALUE"""),45835.6458333333)</f>
        <v>45835.6458333333</v>
      </c>
      <c r="J66" s="17">
        <f>IFERROR(__xludf.DUMMYFUNCTION("""COMPUTED_VALUE"""),327.4)</f>
        <v>327.4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IFERROR(__xludf.DUMMYFUNCTION("""COMPUTED_VALUE"""),331.95)</f>
        <v>331.95</v>
      </c>
      <c r="C67" s="16">
        <f>IFERROR(__xludf.DUMMYFUNCTION("""COMPUTED_VALUE"""),45838.6458333333)</f>
        <v>45838.6458333333</v>
      </c>
      <c r="D67" s="17">
        <f>IFERROR(__xludf.DUMMYFUNCTION("""COMPUTED_VALUE"""),334)</f>
        <v>334</v>
      </c>
      <c r="E67" s="16">
        <f>IFERROR(__xludf.DUMMYFUNCTION("""COMPUTED_VALUE"""),45838.6458333333)</f>
        <v>45838.6458333333</v>
      </c>
      <c r="F67" s="17">
        <f>IFERROR(__xludf.DUMMYFUNCTION("""COMPUTED_VALUE"""),5840638)</f>
        <v>5840638</v>
      </c>
      <c r="G67" s="16">
        <f>IFERROR(__xludf.DUMMYFUNCTION("""COMPUTED_VALUE"""),45838.6458333333)</f>
        <v>45838.6458333333</v>
      </c>
      <c r="H67" s="17">
        <f>IFERROR(__xludf.DUMMYFUNCTION("""COMPUTED_VALUE"""),337.7)</f>
        <v>337.7</v>
      </c>
      <c r="I67" s="16">
        <f>IFERROR(__xludf.DUMMYFUNCTION("""COMPUTED_VALUE"""),45838.6458333333)</f>
        <v>45838.6458333333</v>
      </c>
      <c r="J67" s="17">
        <f>IFERROR(__xludf.DUMMYFUNCTION("""COMPUTED_VALUE"""),330.35)</f>
        <v>330.35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IFERROR(__xludf.DUMMYFUNCTION("""COMPUTED_VALUE"""),332.05)</f>
        <v>332.05</v>
      </c>
      <c r="C68" s="16">
        <f>IFERROR(__xludf.DUMMYFUNCTION("""COMPUTED_VALUE"""),45839.6458333333)</f>
        <v>45839.6458333333</v>
      </c>
      <c r="D68" s="17">
        <f>IFERROR(__xludf.DUMMYFUNCTION("""COMPUTED_VALUE"""),331.55)</f>
        <v>331.55</v>
      </c>
      <c r="E68" s="16">
        <f>IFERROR(__xludf.DUMMYFUNCTION("""COMPUTED_VALUE"""),45839.6458333333)</f>
        <v>45839.6458333333</v>
      </c>
      <c r="F68" s="17">
        <f>IFERROR(__xludf.DUMMYFUNCTION("""COMPUTED_VALUE"""),3921773)</f>
        <v>3921773</v>
      </c>
      <c r="G68" s="16">
        <f>IFERROR(__xludf.DUMMYFUNCTION("""COMPUTED_VALUE"""),45839.6458333333)</f>
        <v>45839.6458333333</v>
      </c>
      <c r="H68" s="17">
        <f>IFERROR(__xludf.DUMMYFUNCTION("""COMPUTED_VALUE"""),335.5)</f>
        <v>335.5</v>
      </c>
      <c r="I68" s="16">
        <f>IFERROR(__xludf.DUMMYFUNCTION("""COMPUTED_VALUE"""),45839.6458333333)</f>
        <v>45839.6458333333</v>
      </c>
      <c r="J68" s="17">
        <f>IFERROR(__xludf.DUMMYFUNCTION("""COMPUTED_VALUE"""),330.9)</f>
        <v>330.9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IFERROR(__xludf.DUMMYFUNCTION("""COMPUTED_VALUE"""),331.8)</f>
        <v>331.8</v>
      </c>
      <c r="C69" s="16">
        <f>IFERROR(__xludf.DUMMYFUNCTION("""COMPUTED_VALUE"""),45840.6458333333)</f>
        <v>45840.6458333333</v>
      </c>
      <c r="D69" s="17">
        <f>IFERROR(__xludf.DUMMYFUNCTION("""COMPUTED_VALUE"""),333.7)</f>
        <v>333.7</v>
      </c>
      <c r="E69" s="16">
        <f>IFERROR(__xludf.DUMMYFUNCTION("""COMPUTED_VALUE"""),45840.6458333333)</f>
        <v>45840.6458333333</v>
      </c>
      <c r="F69" s="17">
        <f>IFERROR(__xludf.DUMMYFUNCTION("""COMPUTED_VALUE"""),3799017)</f>
        <v>3799017</v>
      </c>
      <c r="G69" s="16">
        <f>IFERROR(__xludf.DUMMYFUNCTION("""COMPUTED_VALUE"""),45840.6458333333)</f>
        <v>45840.6458333333</v>
      </c>
      <c r="H69" s="17">
        <f>IFERROR(__xludf.DUMMYFUNCTION("""COMPUTED_VALUE"""),334.95)</f>
        <v>334.95</v>
      </c>
      <c r="I69" s="16">
        <f>IFERROR(__xludf.DUMMYFUNCTION("""COMPUTED_VALUE"""),45840.6458333333)</f>
        <v>45840.6458333333</v>
      </c>
      <c r="J69" s="17">
        <f>IFERROR(__xludf.DUMMYFUNCTION("""COMPUTED_VALUE"""),328.8)</f>
        <v>328.8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IFERROR(__xludf.DUMMYFUNCTION("""COMPUTED_VALUE"""),331.5)</f>
        <v>331.5</v>
      </c>
      <c r="C70" s="16">
        <f>IFERROR(__xludf.DUMMYFUNCTION("""COMPUTED_VALUE"""),45841.6458333333)</f>
        <v>45841.6458333333</v>
      </c>
      <c r="D70" s="17">
        <f>IFERROR(__xludf.DUMMYFUNCTION("""COMPUTED_VALUE"""),333)</f>
        <v>333</v>
      </c>
      <c r="E70" s="16">
        <f>IFERROR(__xludf.DUMMYFUNCTION("""COMPUTED_VALUE"""),45841.6458333333)</f>
        <v>45841.6458333333</v>
      </c>
      <c r="F70" s="17">
        <f>IFERROR(__xludf.DUMMYFUNCTION("""COMPUTED_VALUE"""),5049883)</f>
        <v>5049883</v>
      </c>
      <c r="G70" s="16">
        <f>IFERROR(__xludf.DUMMYFUNCTION("""COMPUTED_VALUE"""),45841.6458333333)</f>
        <v>45841.6458333333</v>
      </c>
      <c r="H70" s="17">
        <f>IFERROR(__xludf.DUMMYFUNCTION("""COMPUTED_VALUE"""),335.55)</f>
        <v>335.55</v>
      </c>
      <c r="I70" s="16">
        <f>IFERROR(__xludf.DUMMYFUNCTION("""COMPUTED_VALUE"""),45841.6458333333)</f>
        <v>45841.6458333333</v>
      </c>
      <c r="J70" s="17">
        <f>IFERROR(__xludf.DUMMYFUNCTION("""COMPUTED_VALUE"""),330.55)</f>
        <v>330.55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IFERROR(__xludf.DUMMYFUNCTION("""COMPUTED_VALUE"""),346.2)</f>
        <v>346.2</v>
      </c>
      <c r="C71" s="16">
        <f>IFERROR(__xludf.DUMMYFUNCTION("""COMPUTED_VALUE"""),45842.6458333333)</f>
        <v>45842.6458333333</v>
      </c>
      <c r="D71" s="17">
        <f>IFERROR(__xludf.DUMMYFUNCTION("""COMPUTED_VALUE"""),334)</f>
        <v>334</v>
      </c>
      <c r="E71" s="16">
        <f>IFERROR(__xludf.DUMMYFUNCTION("""COMPUTED_VALUE"""),45842.6458333333)</f>
        <v>45842.6458333333</v>
      </c>
      <c r="F71" s="17">
        <f>IFERROR(__xludf.DUMMYFUNCTION("""COMPUTED_VALUE"""),13743465)</f>
        <v>13743465</v>
      </c>
      <c r="G71" s="16">
        <f>IFERROR(__xludf.DUMMYFUNCTION("""COMPUTED_VALUE"""),45842.6458333333)</f>
        <v>45842.6458333333</v>
      </c>
      <c r="H71" s="17">
        <f>IFERROR(__xludf.DUMMYFUNCTION("""COMPUTED_VALUE"""),347.7)</f>
        <v>347.7</v>
      </c>
      <c r="I71" s="16">
        <f>IFERROR(__xludf.DUMMYFUNCTION("""COMPUTED_VALUE"""),45842.6458333333)</f>
        <v>45842.6458333333</v>
      </c>
      <c r="J71" s="17">
        <f>IFERROR(__xludf.DUMMYFUNCTION("""COMPUTED_VALUE"""),331.9)</f>
        <v>331.9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IFERROR(__xludf.DUMMYFUNCTION("""COMPUTED_VALUE"""),350.5)</f>
        <v>350.5</v>
      </c>
      <c r="C72" s="16">
        <f>IFERROR(__xludf.DUMMYFUNCTION("""COMPUTED_VALUE"""),45845.6458333333)</f>
        <v>45845.6458333333</v>
      </c>
      <c r="D72" s="17">
        <f>IFERROR(__xludf.DUMMYFUNCTION("""COMPUTED_VALUE"""),345.8)</f>
        <v>345.8</v>
      </c>
      <c r="E72" s="16">
        <f>IFERROR(__xludf.DUMMYFUNCTION("""COMPUTED_VALUE"""),45845.6458333333)</f>
        <v>45845.6458333333</v>
      </c>
      <c r="F72" s="17">
        <f>IFERROR(__xludf.DUMMYFUNCTION("""COMPUTED_VALUE"""),8603937)</f>
        <v>8603937</v>
      </c>
      <c r="G72" s="16">
        <f>IFERROR(__xludf.DUMMYFUNCTION("""COMPUTED_VALUE"""),45845.6458333333)</f>
        <v>45845.6458333333</v>
      </c>
      <c r="H72" s="17">
        <f>IFERROR(__xludf.DUMMYFUNCTION("""COMPUTED_VALUE"""),351.55)</f>
        <v>351.55</v>
      </c>
      <c r="I72" s="16">
        <f>IFERROR(__xludf.DUMMYFUNCTION("""COMPUTED_VALUE"""),45845.6458333333)</f>
        <v>45845.6458333333</v>
      </c>
      <c r="J72" s="17">
        <f>IFERROR(__xludf.DUMMYFUNCTION("""COMPUTED_VALUE"""),343.45)</f>
        <v>343.45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IFERROR(__xludf.DUMMYFUNCTION("""COMPUTED_VALUE"""),355.6)</f>
        <v>355.6</v>
      </c>
      <c r="C73" s="16">
        <f>IFERROR(__xludf.DUMMYFUNCTION("""COMPUTED_VALUE"""),45846.6458333333)</f>
        <v>45846.6458333333</v>
      </c>
      <c r="D73" s="17">
        <f>IFERROR(__xludf.DUMMYFUNCTION("""COMPUTED_VALUE"""),350)</f>
        <v>350</v>
      </c>
      <c r="E73" s="16">
        <f>IFERROR(__xludf.DUMMYFUNCTION("""COMPUTED_VALUE"""),45846.6458333333)</f>
        <v>45846.6458333333</v>
      </c>
      <c r="F73" s="17">
        <f>IFERROR(__xludf.DUMMYFUNCTION("""COMPUTED_VALUE"""),12905482)</f>
        <v>12905482</v>
      </c>
      <c r="G73" s="16">
        <f>IFERROR(__xludf.DUMMYFUNCTION("""COMPUTED_VALUE"""),45846.6458333333)</f>
        <v>45846.6458333333</v>
      </c>
      <c r="H73" s="17">
        <f>IFERROR(__xludf.DUMMYFUNCTION("""COMPUTED_VALUE"""),358.65)</f>
        <v>358.65</v>
      </c>
      <c r="I73" s="16">
        <f>IFERROR(__xludf.DUMMYFUNCTION("""COMPUTED_VALUE"""),45846.6458333333)</f>
        <v>45846.6458333333</v>
      </c>
      <c r="J73" s="17">
        <f>IFERROR(__xludf.DUMMYFUNCTION("""COMPUTED_VALUE"""),348.7)</f>
        <v>348.7</v>
      </c>
      <c r="K73" s="3">
        <f t="shared" si="2"/>
        <v>355.6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IFERROR(__xludf.DUMMYFUNCTION("""COMPUTED_VALUE"""),348.5)</f>
        <v>348.5</v>
      </c>
      <c r="C74" s="16">
        <f>IFERROR(__xludf.DUMMYFUNCTION("""COMPUTED_VALUE"""),45847.6458333333)</f>
        <v>45847.6458333333</v>
      </c>
      <c r="D74" s="17">
        <f>IFERROR(__xludf.DUMMYFUNCTION("""COMPUTED_VALUE"""),355.6)</f>
        <v>355.6</v>
      </c>
      <c r="E74" s="16">
        <f>IFERROR(__xludf.DUMMYFUNCTION("""COMPUTED_VALUE"""),45847.6458333333)</f>
        <v>45847.6458333333</v>
      </c>
      <c r="F74" s="17">
        <f>IFERROR(__xludf.DUMMYFUNCTION("""COMPUTED_VALUE"""),8039090)</f>
        <v>8039090</v>
      </c>
      <c r="G74" s="16">
        <f>IFERROR(__xludf.DUMMYFUNCTION("""COMPUTED_VALUE"""),45847.6458333333)</f>
        <v>45847.6458333333</v>
      </c>
      <c r="H74" s="17">
        <f>IFERROR(__xludf.DUMMYFUNCTION("""COMPUTED_VALUE"""),356.35)</f>
        <v>356.35</v>
      </c>
      <c r="I74" s="16">
        <f>IFERROR(__xludf.DUMMYFUNCTION("""COMPUTED_VALUE"""),45847.6458333333)</f>
        <v>45847.6458333333</v>
      </c>
      <c r="J74" s="17">
        <f>IFERROR(__xludf.DUMMYFUNCTION("""COMPUTED_VALUE"""),347.65)</f>
        <v>347.65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IFERROR(__xludf.DUMMYFUNCTION("""COMPUTED_VALUE"""),350.95)</f>
        <v>350.95</v>
      </c>
      <c r="C75" s="16">
        <f>IFERROR(__xludf.DUMMYFUNCTION("""COMPUTED_VALUE"""),45848.6458333333)</f>
        <v>45848.6458333333</v>
      </c>
      <c r="D75" s="17">
        <f>IFERROR(__xludf.DUMMYFUNCTION("""COMPUTED_VALUE"""),351.8)</f>
        <v>351.8</v>
      </c>
      <c r="E75" s="16">
        <f>IFERROR(__xludf.DUMMYFUNCTION("""COMPUTED_VALUE"""),45848.6458333333)</f>
        <v>45848.6458333333</v>
      </c>
      <c r="F75" s="17">
        <f>IFERROR(__xludf.DUMMYFUNCTION("""COMPUTED_VALUE"""),6580919)</f>
        <v>6580919</v>
      </c>
      <c r="G75" s="16">
        <f>IFERROR(__xludf.DUMMYFUNCTION("""COMPUTED_VALUE"""),45848.6458333333)</f>
        <v>45848.6458333333</v>
      </c>
      <c r="H75" s="17">
        <f>IFERROR(__xludf.DUMMYFUNCTION("""COMPUTED_VALUE"""),352.85)</f>
        <v>352.85</v>
      </c>
      <c r="I75" s="16">
        <f>IFERROR(__xludf.DUMMYFUNCTION("""COMPUTED_VALUE"""),45848.6458333333)</f>
        <v>45848.6458333333</v>
      </c>
      <c r="J75" s="17">
        <f>IFERROR(__xludf.DUMMYFUNCTION("""COMPUTED_VALUE"""),348.05)</f>
        <v>348.05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IFERROR(__xludf.DUMMYFUNCTION("""COMPUTED_VALUE"""),344.85)</f>
        <v>344.85</v>
      </c>
      <c r="C76" s="16">
        <f>IFERROR(__xludf.DUMMYFUNCTION("""COMPUTED_VALUE"""),45849.6458333333)</f>
        <v>45849.6458333333</v>
      </c>
      <c r="D76" s="17">
        <f>IFERROR(__xludf.DUMMYFUNCTION("""COMPUTED_VALUE"""),351.8)</f>
        <v>351.8</v>
      </c>
      <c r="E76" s="16">
        <f>IFERROR(__xludf.DUMMYFUNCTION("""COMPUTED_VALUE"""),45849.6458333333)</f>
        <v>45849.6458333333</v>
      </c>
      <c r="F76" s="17">
        <f>IFERROR(__xludf.DUMMYFUNCTION("""COMPUTED_VALUE"""),4803470)</f>
        <v>4803470</v>
      </c>
      <c r="G76" s="16">
        <f>IFERROR(__xludf.DUMMYFUNCTION("""COMPUTED_VALUE"""),45849.6458333333)</f>
        <v>45849.6458333333</v>
      </c>
      <c r="H76" s="17">
        <f>IFERROR(__xludf.DUMMYFUNCTION("""COMPUTED_VALUE"""),352.65)</f>
        <v>352.65</v>
      </c>
      <c r="I76" s="16">
        <f>IFERROR(__xludf.DUMMYFUNCTION("""COMPUTED_VALUE"""),45849.6458333333)</f>
        <v>45849.6458333333</v>
      </c>
      <c r="J76" s="17">
        <f>IFERROR(__xludf.DUMMYFUNCTION("""COMPUTED_VALUE"""),343.3)</f>
        <v>343.3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IFERROR(__xludf.DUMMYFUNCTION("""COMPUTED_VALUE"""),344.4)</f>
        <v>344.4</v>
      </c>
      <c r="C77" s="16">
        <f>IFERROR(__xludf.DUMMYFUNCTION("""COMPUTED_VALUE"""),45852.6458333333)</f>
        <v>45852.6458333333</v>
      </c>
      <c r="D77" s="17">
        <f>IFERROR(__xludf.DUMMYFUNCTION("""COMPUTED_VALUE"""),345.85)</f>
        <v>345.85</v>
      </c>
      <c r="E77" s="16">
        <f>IFERROR(__xludf.DUMMYFUNCTION("""COMPUTED_VALUE"""),45852.6458333333)</f>
        <v>45852.6458333333</v>
      </c>
      <c r="F77" s="17">
        <f>IFERROR(__xludf.DUMMYFUNCTION("""COMPUTED_VALUE"""),5372218)</f>
        <v>5372218</v>
      </c>
      <c r="G77" s="16">
        <f>IFERROR(__xludf.DUMMYFUNCTION("""COMPUTED_VALUE"""),45852.6458333333)</f>
        <v>45852.6458333333</v>
      </c>
      <c r="H77" s="17">
        <f>IFERROR(__xludf.DUMMYFUNCTION("""COMPUTED_VALUE"""),348.2)</f>
        <v>348.2</v>
      </c>
      <c r="I77" s="16">
        <f>IFERROR(__xludf.DUMMYFUNCTION("""COMPUTED_VALUE"""),45852.6458333333)</f>
        <v>45852.6458333333</v>
      </c>
      <c r="J77" s="17">
        <f>IFERROR(__xludf.DUMMYFUNCTION("""COMPUTED_VALUE"""),342.85)</f>
        <v>342.85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IFERROR(__xludf.DUMMYFUNCTION("""COMPUTED_VALUE"""),348.05)</f>
        <v>348.05</v>
      </c>
      <c r="C78" s="16">
        <f>IFERROR(__xludf.DUMMYFUNCTION("""COMPUTED_VALUE"""),45853.6458333333)</f>
        <v>45853.6458333333</v>
      </c>
      <c r="D78" s="17">
        <f>IFERROR(__xludf.DUMMYFUNCTION("""COMPUTED_VALUE"""),347.65)</f>
        <v>347.65</v>
      </c>
      <c r="E78" s="16">
        <f>IFERROR(__xludf.DUMMYFUNCTION("""COMPUTED_VALUE"""),45853.6458333333)</f>
        <v>45853.6458333333</v>
      </c>
      <c r="F78" s="17">
        <f>IFERROR(__xludf.DUMMYFUNCTION("""COMPUTED_VALUE"""),6270256)</f>
        <v>6270256</v>
      </c>
      <c r="G78" s="16">
        <f>IFERROR(__xludf.DUMMYFUNCTION("""COMPUTED_VALUE"""),45853.6458333333)</f>
        <v>45853.6458333333</v>
      </c>
      <c r="H78" s="17">
        <f>IFERROR(__xludf.DUMMYFUNCTION("""COMPUTED_VALUE"""),350.5)</f>
        <v>350.5</v>
      </c>
      <c r="I78" s="16">
        <f>IFERROR(__xludf.DUMMYFUNCTION("""COMPUTED_VALUE"""),45853.6458333333)</f>
        <v>45853.6458333333</v>
      </c>
      <c r="J78" s="17">
        <f>IFERROR(__xludf.DUMMYFUNCTION("""COMPUTED_VALUE"""),346.15)</f>
        <v>346.15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IFERROR(__xludf.DUMMYFUNCTION("""COMPUTED_VALUE"""),347.85)</f>
        <v>347.85</v>
      </c>
      <c r="C79" s="16">
        <f>IFERROR(__xludf.DUMMYFUNCTION("""COMPUTED_VALUE"""),45854.6458333333)</f>
        <v>45854.6458333333</v>
      </c>
      <c r="D79" s="17">
        <f>IFERROR(__xludf.DUMMYFUNCTION("""COMPUTED_VALUE"""),350.05)</f>
        <v>350.05</v>
      </c>
      <c r="E79" s="16">
        <f>IFERROR(__xludf.DUMMYFUNCTION("""COMPUTED_VALUE"""),45854.6458333333)</f>
        <v>45854.6458333333</v>
      </c>
      <c r="F79" s="17">
        <f>IFERROR(__xludf.DUMMYFUNCTION("""COMPUTED_VALUE"""),8426412)</f>
        <v>8426412</v>
      </c>
      <c r="G79" s="16">
        <f>IFERROR(__xludf.DUMMYFUNCTION("""COMPUTED_VALUE"""),45854.6458333333)</f>
        <v>45854.6458333333</v>
      </c>
      <c r="H79" s="17">
        <f>IFERROR(__xludf.DUMMYFUNCTION("""COMPUTED_VALUE"""),351.7)</f>
        <v>351.7</v>
      </c>
      <c r="I79" s="16">
        <f>IFERROR(__xludf.DUMMYFUNCTION("""COMPUTED_VALUE"""),45854.6458333333)</f>
        <v>45854.6458333333</v>
      </c>
      <c r="J79" s="17">
        <f>IFERROR(__xludf.DUMMYFUNCTION("""COMPUTED_VALUE"""),347.4)</f>
        <v>347.4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IFERROR(__xludf.DUMMYFUNCTION("""COMPUTED_VALUE"""),346.75)</f>
        <v>346.75</v>
      </c>
      <c r="C80" s="16">
        <f>IFERROR(__xludf.DUMMYFUNCTION("""COMPUTED_VALUE"""),45855.6458333333)</f>
        <v>45855.6458333333</v>
      </c>
      <c r="D80" s="17">
        <f>IFERROR(__xludf.DUMMYFUNCTION("""COMPUTED_VALUE"""),349.6)</f>
        <v>349.6</v>
      </c>
      <c r="E80" s="16">
        <f>IFERROR(__xludf.DUMMYFUNCTION("""COMPUTED_VALUE"""),45855.6458333333)</f>
        <v>45855.6458333333</v>
      </c>
      <c r="F80" s="17">
        <f>IFERROR(__xludf.DUMMYFUNCTION("""COMPUTED_VALUE"""),4026086)</f>
        <v>4026086</v>
      </c>
      <c r="G80" s="16">
        <f>IFERROR(__xludf.DUMMYFUNCTION("""COMPUTED_VALUE"""),45855.6458333333)</f>
        <v>45855.6458333333</v>
      </c>
      <c r="H80" s="17">
        <f>IFERROR(__xludf.DUMMYFUNCTION("""COMPUTED_VALUE"""),349.9)</f>
        <v>349.9</v>
      </c>
      <c r="I80" s="16">
        <f>IFERROR(__xludf.DUMMYFUNCTION("""COMPUTED_VALUE"""),45855.6458333333)</f>
        <v>45855.6458333333</v>
      </c>
      <c r="J80" s="17">
        <f>IFERROR(__xludf.DUMMYFUNCTION("""COMPUTED_VALUE"""),344.25)</f>
        <v>344.25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IFERROR(__xludf.DUMMYFUNCTION("""COMPUTED_VALUE"""),343.5)</f>
        <v>343.5</v>
      </c>
      <c r="C81" s="16">
        <f>IFERROR(__xludf.DUMMYFUNCTION("""COMPUTED_VALUE"""),45856.6458333333)</f>
        <v>45856.6458333333</v>
      </c>
      <c r="D81" s="17">
        <f>IFERROR(__xludf.DUMMYFUNCTION("""COMPUTED_VALUE"""),347.5)</f>
        <v>347.5</v>
      </c>
      <c r="E81" s="16">
        <f>IFERROR(__xludf.DUMMYFUNCTION("""COMPUTED_VALUE"""),45856.6458333333)</f>
        <v>45856.6458333333</v>
      </c>
      <c r="F81" s="17">
        <f>IFERROR(__xludf.DUMMYFUNCTION("""COMPUTED_VALUE"""),5631392)</f>
        <v>5631392</v>
      </c>
      <c r="G81" s="16">
        <f>IFERROR(__xludf.DUMMYFUNCTION("""COMPUTED_VALUE"""),45856.6458333333)</f>
        <v>45856.6458333333</v>
      </c>
      <c r="H81" s="17">
        <f>IFERROR(__xludf.DUMMYFUNCTION("""COMPUTED_VALUE"""),351.45)</f>
        <v>351.45</v>
      </c>
      <c r="I81" s="16">
        <f>IFERROR(__xludf.DUMMYFUNCTION("""COMPUTED_VALUE"""),45856.6458333333)</f>
        <v>45856.6458333333</v>
      </c>
      <c r="J81" s="17">
        <f>IFERROR(__xludf.DUMMYFUNCTION("""COMPUTED_VALUE"""),342.1)</f>
        <v>342.1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IFERROR(__xludf.DUMMYFUNCTION("""COMPUTED_VALUE"""),342.6)</f>
        <v>342.6</v>
      </c>
      <c r="C82" s="16">
        <f>IFERROR(__xludf.DUMMYFUNCTION("""COMPUTED_VALUE"""),45859.6458333333)</f>
        <v>45859.6458333333</v>
      </c>
      <c r="D82" s="17">
        <f>IFERROR(__xludf.DUMMYFUNCTION("""COMPUTED_VALUE"""),343.5)</f>
        <v>343.5</v>
      </c>
      <c r="E82" s="16">
        <f>IFERROR(__xludf.DUMMYFUNCTION("""COMPUTED_VALUE"""),45859.6458333333)</f>
        <v>45859.6458333333</v>
      </c>
      <c r="F82" s="17">
        <f>IFERROR(__xludf.DUMMYFUNCTION("""COMPUTED_VALUE"""),5051058)</f>
        <v>5051058</v>
      </c>
      <c r="G82" s="16">
        <f>IFERROR(__xludf.DUMMYFUNCTION("""COMPUTED_VALUE"""),45859.6458333333)</f>
        <v>45859.6458333333</v>
      </c>
      <c r="H82" s="17">
        <f>IFERROR(__xludf.DUMMYFUNCTION("""COMPUTED_VALUE"""),344.7)</f>
        <v>344.7</v>
      </c>
      <c r="I82" s="16">
        <f>IFERROR(__xludf.DUMMYFUNCTION("""COMPUTED_VALUE"""),45859.6458333333)</f>
        <v>45859.6458333333</v>
      </c>
      <c r="J82" s="17">
        <f>IFERROR(__xludf.DUMMYFUNCTION("""COMPUTED_VALUE"""),339.45)</f>
        <v>339.45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IFERROR(__xludf.DUMMYFUNCTION("""COMPUTED_VALUE"""),340.35)</f>
        <v>340.35</v>
      </c>
      <c r="C83" s="16">
        <f>IFERROR(__xludf.DUMMYFUNCTION("""COMPUTED_VALUE"""),45860.6458333333)</f>
        <v>45860.6458333333</v>
      </c>
      <c r="D83" s="17">
        <f>IFERROR(__xludf.DUMMYFUNCTION("""COMPUTED_VALUE"""),342.6)</f>
        <v>342.6</v>
      </c>
      <c r="E83" s="16">
        <f>IFERROR(__xludf.DUMMYFUNCTION("""COMPUTED_VALUE"""),45860.6458333333)</f>
        <v>45860.6458333333</v>
      </c>
      <c r="F83" s="17">
        <f>IFERROR(__xludf.DUMMYFUNCTION("""COMPUTED_VALUE"""),4447293)</f>
        <v>4447293</v>
      </c>
      <c r="G83" s="16">
        <f>IFERROR(__xludf.DUMMYFUNCTION("""COMPUTED_VALUE"""),45860.6458333333)</f>
        <v>45860.6458333333</v>
      </c>
      <c r="H83" s="17">
        <f>IFERROR(__xludf.DUMMYFUNCTION("""COMPUTED_VALUE"""),344.35)</f>
        <v>344.35</v>
      </c>
      <c r="I83" s="16">
        <f>IFERROR(__xludf.DUMMYFUNCTION("""COMPUTED_VALUE"""),45860.6458333333)</f>
        <v>45860.6458333333</v>
      </c>
      <c r="J83" s="17">
        <f>IFERROR(__xludf.DUMMYFUNCTION("""COMPUTED_VALUE"""),339.95)</f>
        <v>339.95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IFERROR(__xludf.DUMMYFUNCTION("""COMPUTED_VALUE"""),344.45)</f>
        <v>344.45</v>
      </c>
      <c r="C84" s="16">
        <f>IFERROR(__xludf.DUMMYFUNCTION("""COMPUTED_VALUE"""),45861.6458333333)</f>
        <v>45861.6458333333</v>
      </c>
      <c r="D84" s="17">
        <f>IFERROR(__xludf.DUMMYFUNCTION("""COMPUTED_VALUE"""),341.85)</f>
        <v>341.85</v>
      </c>
      <c r="E84" s="16">
        <f>IFERROR(__xludf.DUMMYFUNCTION("""COMPUTED_VALUE"""),45861.6458333333)</f>
        <v>45861.6458333333</v>
      </c>
      <c r="F84" s="17">
        <f>IFERROR(__xludf.DUMMYFUNCTION("""COMPUTED_VALUE"""),5089227)</f>
        <v>5089227</v>
      </c>
      <c r="G84" s="16">
        <f>IFERROR(__xludf.DUMMYFUNCTION("""COMPUTED_VALUE"""),45861.6458333333)</f>
        <v>45861.6458333333</v>
      </c>
      <c r="H84" s="17">
        <f>IFERROR(__xludf.DUMMYFUNCTION("""COMPUTED_VALUE"""),345)</f>
        <v>345</v>
      </c>
      <c r="I84" s="16">
        <f>IFERROR(__xludf.DUMMYFUNCTION("""COMPUTED_VALUE"""),45861.6458333333)</f>
        <v>45861.6458333333</v>
      </c>
      <c r="J84" s="17">
        <f>IFERROR(__xludf.DUMMYFUNCTION("""COMPUTED_VALUE"""),336.8)</f>
        <v>336.8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IFERROR(__xludf.DUMMYFUNCTION("""COMPUTED_VALUE"""),341.4)</f>
        <v>341.4</v>
      </c>
      <c r="C85" s="16">
        <f>IFERROR(__xludf.DUMMYFUNCTION("""COMPUTED_VALUE"""),45862.6458333333)</f>
        <v>45862.6458333333</v>
      </c>
      <c r="D85" s="17">
        <f>IFERROR(__xludf.DUMMYFUNCTION("""COMPUTED_VALUE"""),344.45)</f>
        <v>344.45</v>
      </c>
      <c r="E85" s="16">
        <f>IFERROR(__xludf.DUMMYFUNCTION("""COMPUTED_VALUE"""),45862.6458333333)</f>
        <v>45862.6458333333</v>
      </c>
      <c r="F85" s="17">
        <f>IFERROR(__xludf.DUMMYFUNCTION("""COMPUTED_VALUE"""),3270996)</f>
        <v>3270996</v>
      </c>
      <c r="G85" s="16">
        <f>IFERROR(__xludf.DUMMYFUNCTION("""COMPUTED_VALUE"""),45862.6458333333)</f>
        <v>45862.6458333333</v>
      </c>
      <c r="H85" s="17">
        <f>IFERROR(__xludf.DUMMYFUNCTION("""COMPUTED_VALUE"""),344.9)</f>
        <v>344.9</v>
      </c>
      <c r="I85" s="16">
        <f>IFERROR(__xludf.DUMMYFUNCTION("""COMPUTED_VALUE"""),45862.6458333333)</f>
        <v>45862.6458333333</v>
      </c>
      <c r="J85" s="17">
        <f>IFERROR(__xludf.DUMMYFUNCTION("""COMPUTED_VALUE"""),339.7)</f>
        <v>339.7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IFERROR(__xludf.DUMMYFUNCTION("""COMPUTED_VALUE"""),332.9)</f>
        <v>332.9</v>
      </c>
      <c r="C86" s="16">
        <f>IFERROR(__xludf.DUMMYFUNCTION("""COMPUTED_VALUE"""),45863.6458333333)</f>
        <v>45863.6458333333</v>
      </c>
      <c r="D86" s="17">
        <f>IFERROR(__xludf.DUMMYFUNCTION("""COMPUTED_VALUE"""),340.1)</f>
        <v>340.1</v>
      </c>
      <c r="E86" s="16">
        <f>IFERROR(__xludf.DUMMYFUNCTION("""COMPUTED_VALUE"""),45863.6458333333)</f>
        <v>45863.6458333333</v>
      </c>
      <c r="F86" s="17">
        <f>IFERROR(__xludf.DUMMYFUNCTION("""COMPUTED_VALUE"""),3514659)</f>
        <v>3514659</v>
      </c>
      <c r="G86" s="16">
        <f>IFERROR(__xludf.DUMMYFUNCTION("""COMPUTED_VALUE"""),45863.6458333333)</f>
        <v>45863.6458333333</v>
      </c>
      <c r="H86" s="17">
        <f>IFERROR(__xludf.DUMMYFUNCTION("""COMPUTED_VALUE"""),341.4)</f>
        <v>341.4</v>
      </c>
      <c r="I86" s="16">
        <f>IFERROR(__xludf.DUMMYFUNCTION("""COMPUTED_VALUE"""),45863.6458333333)</f>
        <v>45863.6458333333</v>
      </c>
      <c r="J86" s="17">
        <f>IFERROR(__xludf.DUMMYFUNCTION("""COMPUTED_VALUE"""),331.05)</f>
        <v>331.05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IFERROR(__xludf.DUMMYFUNCTION("""COMPUTED_VALUE"""),333.4)</f>
        <v>333.4</v>
      </c>
      <c r="C87" s="16">
        <f>IFERROR(__xludf.DUMMYFUNCTION("""COMPUTED_VALUE"""),45866.6458333333)</f>
        <v>45866.6458333333</v>
      </c>
      <c r="D87" s="17">
        <f>IFERROR(__xludf.DUMMYFUNCTION("""COMPUTED_VALUE"""),332.35)</f>
        <v>332.35</v>
      </c>
      <c r="E87" s="16">
        <f>IFERROR(__xludf.DUMMYFUNCTION("""COMPUTED_VALUE"""),45866.6458333333)</f>
        <v>45866.6458333333</v>
      </c>
      <c r="F87" s="17">
        <f>IFERROR(__xludf.DUMMYFUNCTION("""COMPUTED_VALUE"""),5630809)</f>
        <v>5630809</v>
      </c>
      <c r="G87" s="16">
        <f>IFERROR(__xludf.DUMMYFUNCTION("""COMPUTED_VALUE"""),45866.6458333333)</f>
        <v>45866.6458333333</v>
      </c>
      <c r="H87" s="17">
        <f>IFERROR(__xludf.DUMMYFUNCTION("""COMPUTED_VALUE"""),338.35)</f>
        <v>338.35</v>
      </c>
      <c r="I87" s="16">
        <f>IFERROR(__xludf.DUMMYFUNCTION("""COMPUTED_VALUE"""),45866.6458333333)</f>
        <v>45866.6458333333</v>
      </c>
      <c r="J87" s="17">
        <f>IFERROR(__xludf.DUMMYFUNCTION("""COMPUTED_VALUE"""),331)</f>
        <v>331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IFERROR(__xludf.DUMMYFUNCTION("""COMPUTED_VALUE"""),334.95)</f>
        <v>334.95</v>
      </c>
      <c r="C88" s="16">
        <f>IFERROR(__xludf.DUMMYFUNCTION("""COMPUTED_VALUE"""),45867.6458333333)</f>
        <v>45867.6458333333</v>
      </c>
      <c r="D88" s="17">
        <f>IFERROR(__xludf.DUMMYFUNCTION("""COMPUTED_VALUE"""),336)</f>
        <v>336</v>
      </c>
      <c r="E88" s="16">
        <f>IFERROR(__xludf.DUMMYFUNCTION("""COMPUTED_VALUE"""),45867.6458333333)</f>
        <v>45867.6458333333</v>
      </c>
      <c r="F88" s="17">
        <f>IFERROR(__xludf.DUMMYFUNCTION("""COMPUTED_VALUE"""),7809814)</f>
        <v>7809814</v>
      </c>
      <c r="G88" s="16">
        <f>IFERROR(__xludf.DUMMYFUNCTION("""COMPUTED_VALUE"""),45867.6458333333)</f>
        <v>45867.6458333333</v>
      </c>
      <c r="H88" s="17">
        <f>IFERROR(__xludf.DUMMYFUNCTION("""COMPUTED_VALUE"""),337.3)</f>
        <v>337.3</v>
      </c>
      <c r="I88" s="16">
        <f>IFERROR(__xludf.DUMMYFUNCTION("""COMPUTED_VALUE"""),45867.6458333333)</f>
        <v>45867.6458333333</v>
      </c>
      <c r="J88" s="17">
        <f>IFERROR(__xludf.DUMMYFUNCTION("""COMPUTED_VALUE"""),333.2)</f>
        <v>333.2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IFERROR(__xludf.DUMMYFUNCTION("""COMPUTED_VALUE"""),337.05)</f>
        <v>337.05</v>
      </c>
      <c r="C89" s="16">
        <f>IFERROR(__xludf.DUMMYFUNCTION("""COMPUTED_VALUE"""),45868.6458333333)</f>
        <v>45868.6458333333</v>
      </c>
      <c r="D89" s="17">
        <f>IFERROR(__xludf.DUMMYFUNCTION("""COMPUTED_VALUE"""),334)</f>
        <v>334</v>
      </c>
      <c r="E89" s="16">
        <f>IFERROR(__xludf.DUMMYFUNCTION("""COMPUTED_VALUE"""),45868.6458333333)</f>
        <v>45868.6458333333</v>
      </c>
      <c r="F89" s="17">
        <f>IFERROR(__xludf.DUMMYFUNCTION("""COMPUTED_VALUE"""),11366010)</f>
        <v>11366010</v>
      </c>
      <c r="G89" s="16">
        <f>IFERROR(__xludf.DUMMYFUNCTION("""COMPUTED_VALUE"""),45868.6458333333)</f>
        <v>45868.6458333333</v>
      </c>
      <c r="H89" s="17">
        <f>IFERROR(__xludf.DUMMYFUNCTION("""COMPUTED_VALUE"""),343.55)</f>
        <v>343.55</v>
      </c>
      <c r="I89" s="16">
        <f>IFERROR(__xludf.DUMMYFUNCTION("""COMPUTED_VALUE"""),45868.6458333333)</f>
        <v>45868.6458333333</v>
      </c>
      <c r="J89" s="17">
        <f>IFERROR(__xludf.DUMMYFUNCTION("""COMPUTED_VALUE"""),330)</f>
        <v>330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IFERROR(__xludf.DUMMYFUNCTION("""COMPUTED_VALUE"""),329.3)</f>
        <v>329.3</v>
      </c>
      <c r="C90" s="16">
        <f>IFERROR(__xludf.DUMMYFUNCTION("""COMPUTED_VALUE"""),45869.6458333333)</f>
        <v>45869.6458333333</v>
      </c>
      <c r="D90" s="17">
        <f>IFERROR(__xludf.DUMMYFUNCTION("""COMPUTED_VALUE"""),330)</f>
        <v>330</v>
      </c>
      <c r="E90" s="16">
        <f>IFERROR(__xludf.DUMMYFUNCTION("""COMPUTED_VALUE"""),45869.6458333333)</f>
        <v>45869.6458333333</v>
      </c>
      <c r="F90" s="17">
        <f>IFERROR(__xludf.DUMMYFUNCTION("""COMPUTED_VALUE"""),6867024)</f>
        <v>6867024</v>
      </c>
      <c r="G90" s="16">
        <f>IFERROR(__xludf.DUMMYFUNCTION("""COMPUTED_VALUE"""),45869.6458333333)</f>
        <v>45869.6458333333</v>
      </c>
      <c r="H90" s="17">
        <f>IFERROR(__xludf.DUMMYFUNCTION("""COMPUTED_VALUE"""),331.25)</f>
        <v>331.25</v>
      </c>
      <c r="I90" s="16">
        <f>IFERROR(__xludf.DUMMYFUNCTION("""COMPUTED_VALUE"""),45869.6458333333)</f>
        <v>45869.6458333333</v>
      </c>
      <c r="J90" s="17">
        <f>IFERROR(__xludf.DUMMYFUNCTION("""COMPUTED_VALUE"""),323.1)</f>
        <v>323.1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IFERROR(__xludf.DUMMYFUNCTION("""COMPUTED_VALUE"""),317.85)</f>
        <v>317.85</v>
      </c>
      <c r="C91" s="16">
        <f>IFERROR(__xludf.DUMMYFUNCTION("""COMPUTED_VALUE"""),45870.6458333333)</f>
        <v>45870.6458333333</v>
      </c>
      <c r="D91" s="17">
        <f>IFERROR(__xludf.DUMMYFUNCTION("""COMPUTED_VALUE"""),329)</f>
        <v>329</v>
      </c>
      <c r="E91" s="16">
        <f>IFERROR(__xludf.DUMMYFUNCTION("""COMPUTED_VALUE"""),45870.6458333333)</f>
        <v>45870.6458333333</v>
      </c>
      <c r="F91" s="17">
        <f>IFERROR(__xludf.DUMMYFUNCTION("""COMPUTED_VALUE"""),4105518)</f>
        <v>4105518</v>
      </c>
      <c r="G91" s="16">
        <f>IFERROR(__xludf.DUMMYFUNCTION("""COMPUTED_VALUE"""),45870.6458333333)</f>
        <v>45870.6458333333</v>
      </c>
      <c r="H91" s="17">
        <f>IFERROR(__xludf.DUMMYFUNCTION("""COMPUTED_VALUE"""),329.3)</f>
        <v>329.3</v>
      </c>
      <c r="I91" s="16">
        <f>IFERROR(__xludf.DUMMYFUNCTION("""COMPUTED_VALUE"""),45870.6458333333)</f>
        <v>45870.6458333333</v>
      </c>
      <c r="J91" s="17">
        <f>IFERROR(__xludf.DUMMYFUNCTION("""COMPUTED_VALUE"""),316.55)</f>
        <v>316.55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IFERROR(__xludf.DUMMYFUNCTION("""COMPUTED_VALUE"""),317.85)</f>
        <v>317.85</v>
      </c>
      <c r="C92" s="16">
        <f>IFERROR(__xludf.DUMMYFUNCTION("""COMPUTED_VALUE"""),45873.6458333333)</f>
        <v>45873.6458333333</v>
      </c>
      <c r="D92" s="17">
        <f>IFERROR(__xludf.DUMMYFUNCTION("""COMPUTED_VALUE"""),320.15)</f>
        <v>320.15</v>
      </c>
      <c r="E92" s="16">
        <f>IFERROR(__xludf.DUMMYFUNCTION("""COMPUTED_VALUE"""),45873.6458333333)</f>
        <v>45873.6458333333</v>
      </c>
      <c r="F92" s="17">
        <f>IFERROR(__xludf.DUMMYFUNCTION("""COMPUTED_VALUE"""),3536322)</f>
        <v>3536322</v>
      </c>
      <c r="G92" s="16">
        <f>IFERROR(__xludf.DUMMYFUNCTION("""COMPUTED_VALUE"""),45873.6458333333)</f>
        <v>45873.6458333333</v>
      </c>
      <c r="H92" s="17">
        <f>IFERROR(__xludf.DUMMYFUNCTION("""COMPUTED_VALUE"""),320.75)</f>
        <v>320.75</v>
      </c>
      <c r="I92" s="16">
        <f>IFERROR(__xludf.DUMMYFUNCTION("""COMPUTED_VALUE"""),45873.6458333333)</f>
        <v>45873.6458333333</v>
      </c>
      <c r="J92" s="17">
        <f>IFERROR(__xludf.DUMMYFUNCTION("""COMPUTED_VALUE"""),314.9)</f>
        <v>314.9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IFERROR(__xludf.DUMMYFUNCTION("""COMPUTED_VALUE"""),315.1)</f>
        <v>315.1</v>
      </c>
      <c r="C93" s="16">
        <f>IFERROR(__xludf.DUMMYFUNCTION("""COMPUTED_VALUE"""),45874.6458333333)</f>
        <v>45874.6458333333</v>
      </c>
      <c r="D93" s="17">
        <f>IFERROR(__xludf.DUMMYFUNCTION("""COMPUTED_VALUE"""),317)</f>
        <v>317</v>
      </c>
      <c r="E93" s="16">
        <f>IFERROR(__xludf.DUMMYFUNCTION("""COMPUTED_VALUE"""),45874.6458333333)</f>
        <v>45874.6458333333</v>
      </c>
      <c r="F93" s="17">
        <f>IFERROR(__xludf.DUMMYFUNCTION("""COMPUTED_VALUE"""),6730701)</f>
        <v>6730701</v>
      </c>
      <c r="G93" s="16">
        <f>IFERROR(__xludf.DUMMYFUNCTION("""COMPUTED_VALUE"""),45874.6458333333)</f>
        <v>45874.6458333333</v>
      </c>
      <c r="H93" s="17">
        <f>IFERROR(__xludf.DUMMYFUNCTION("""COMPUTED_VALUE"""),318)</f>
        <v>318</v>
      </c>
      <c r="I93" s="16">
        <f>IFERROR(__xludf.DUMMYFUNCTION("""COMPUTED_VALUE"""),45874.6458333333)</f>
        <v>45874.6458333333</v>
      </c>
      <c r="J93" s="17">
        <f>IFERROR(__xludf.DUMMYFUNCTION("""COMPUTED_VALUE"""),309.55)</f>
        <v>309.55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IFERROR(__xludf.DUMMYFUNCTION("""COMPUTED_VALUE"""),315.75)</f>
        <v>315.75</v>
      </c>
      <c r="C94" s="16">
        <f>IFERROR(__xludf.DUMMYFUNCTION("""COMPUTED_VALUE"""),45875.6458333333)</f>
        <v>45875.6458333333</v>
      </c>
      <c r="D94" s="17">
        <f>IFERROR(__xludf.DUMMYFUNCTION("""COMPUTED_VALUE"""),315.5)</f>
        <v>315.5</v>
      </c>
      <c r="E94" s="16">
        <f>IFERROR(__xludf.DUMMYFUNCTION("""COMPUTED_VALUE"""),45875.6458333333)</f>
        <v>45875.6458333333</v>
      </c>
      <c r="F94" s="17">
        <f>IFERROR(__xludf.DUMMYFUNCTION("""COMPUTED_VALUE"""),3601019)</f>
        <v>3601019</v>
      </c>
      <c r="G94" s="16">
        <f>IFERROR(__xludf.DUMMYFUNCTION("""COMPUTED_VALUE"""),45875.6458333333)</f>
        <v>45875.6458333333</v>
      </c>
      <c r="H94" s="17">
        <f>IFERROR(__xludf.DUMMYFUNCTION("""COMPUTED_VALUE"""),318.15)</f>
        <v>318.15</v>
      </c>
      <c r="I94" s="16">
        <f>IFERROR(__xludf.DUMMYFUNCTION("""COMPUTED_VALUE"""),45875.6458333333)</f>
        <v>45875.6458333333</v>
      </c>
      <c r="J94" s="17">
        <f>IFERROR(__xludf.DUMMYFUNCTION("""COMPUTED_VALUE"""),314.4)</f>
        <v>314.4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IFERROR(__xludf.DUMMYFUNCTION("""COMPUTED_VALUE"""),310.35)</f>
        <v>310.35</v>
      </c>
      <c r="C95" s="16">
        <f>IFERROR(__xludf.DUMMYFUNCTION("""COMPUTED_VALUE"""),45876.6458333333)</f>
        <v>45876.6458333333</v>
      </c>
      <c r="D95" s="17">
        <f>IFERROR(__xludf.DUMMYFUNCTION("""COMPUTED_VALUE"""),313.3)</f>
        <v>313.3</v>
      </c>
      <c r="E95" s="16">
        <f>IFERROR(__xludf.DUMMYFUNCTION("""COMPUTED_VALUE"""),45876.6458333333)</f>
        <v>45876.6458333333</v>
      </c>
      <c r="F95" s="17">
        <f>IFERROR(__xludf.DUMMYFUNCTION("""COMPUTED_VALUE"""),5018154)</f>
        <v>5018154</v>
      </c>
      <c r="G95" s="16">
        <f>IFERROR(__xludf.DUMMYFUNCTION("""COMPUTED_VALUE"""),45876.6458333333)</f>
        <v>45876.6458333333</v>
      </c>
      <c r="H95" s="17">
        <f>IFERROR(__xludf.DUMMYFUNCTION("""COMPUTED_VALUE"""),314.05)</f>
        <v>314.05</v>
      </c>
      <c r="I95" s="16">
        <f>IFERROR(__xludf.DUMMYFUNCTION("""COMPUTED_VALUE"""),45876.6458333333)</f>
        <v>45876.6458333333</v>
      </c>
      <c r="J95" s="17">
        <f>IFERROR(__xludf.DUMMYFUNCTION("""COMPUTED_VALUE"""),307.15)</f>
        <v>307.15</v>
      </c>
      <c r="K95" s="3">
        <f t="shared" si="2"/>
        <v>0</v>
      </c>
      <c r="L95" s="3">
        <f t="shared" si="3"/>
        <v>310.35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IFERROR(__xludf.DUMMYFUNCTION("""COMPUTED_VALUE"""),319.45)</f>
        <v>319.45</v>
      </c>
      <c r="C96" s="16">
        <f>IFERROR(__xludf.DUMMYFUNCTION("""COMPUTED_VALUE"""),45877.6458333333)</f>
        <v>45877.6458333333</v>
      </c>
      <c r="D96" s="17">
        <f>IFERROR(__xludf.DUMMYFUNCTION("""COMPUTED_VALUE"""),310.5)</f>
        <v>310.5</v>
      </c>
      <c r="E96" s="16">
        <f>IFERROR(__xludf.DUMMYFUNCTION("""COMPUTED_VALUE"""),45877.6458333333)</f>
        <v>45877.6458333333</v>
      </c>
      <c r="F96" s="17">
        <f>IFERROR(__xludf.DUMMYFUNCTION("""COMPUTED_VALUE"""),10028343)</f>
        <v>10028343</v>
      </c>
      <c r="G96" s="16">
        <f>IFERROR(__xludf.DUMMYFUNCTION("""COMPUTED_VALUE"""),45877.6458333333)</f>
        <v>45877.6458333333</v>
      </c>
      <c r="H96" s="17">
        <f>IFERROR(__xludf.DUMMYFUNCTION("""COMPUTED_VALUE"""),321.25)</f>
        <v>321.25</v>
      </c>
      <c r="I96" s="16">
        <f>IFERROR(__xludf.DUMMYFUNCTION("""COMPUTED_VALUE"""),45877.6458333333)</f>
        <v>45877.6458333333</v>
      </c>
      <c r="J96" s="17">
        <f>IFERROR(__xludf.DUMMYFUNCTION("""COMPUTED_VALUE"""),308.6)</f>
        <v>308.6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IFERROR(__xludf.DUMMYFUNCTION("""COMPUTED_VALUE"""),320.95)</f>
        <v>320.95</v>
      </c>
      <c r="C97" s="16">
        <f>IFERROR(__xludf.DUMMYFUNCTION("""COMPUTED_VALUE"""),45880.6458333333)</f>
        <v>45880.6458333333</v>
      </c>
      <c r="D97" s="17">
        <f>IFERROR(__xludf.DUMMYFUNCTION("""COMPUTED_VALUE"""),322.25)</f>
        <v>322.25</v>
      </c>
      <c r="E97" s="16">
        <f>IFERROR(__xludf.DUMMYFUNCTION("""COMPUTED_VALUE"""),45880.6458333333)</f>
        <v>45880.6458333333</v>
      </c>
      <c r="F97" s="17">
        <f>IFERROR(__xludf.DUMMYFUNCTION("""COMPUTED_VALUE"""),7957794)</f>
        <v>7957794</v>
      </c>
      <c r="G97" s="16">
        <f>IFERROR(__xludf.DUMMYFUNCTION("""COMPUTED_VALUE"""),45880.6458333333)</f>
        <v>45880.6458333333</v>
      </c>
      <c r="H97" s="17">
        <f>IFERROR(__xludf.DUMMYFUNCTION("""COMPUTED_VALUE"""),330)</f>
        <v>330</v>
      </c>
      <c r="I97" s="16">
        <f>IFERROR(__xludf.DUMMYFUNCTION("""COMPUTED_VALUE"""),45880.6458333333)</f>
        <v>45880.6458333333</v>
      </c>
      <c r="J97" s="17">
        <f>IFERROR(__xludf.DUMMYFUNCTION("""COMPUTED_VALUE"""),317.2)</f>
        <v>317.2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IFERROR(__xludf.DUMMYFUNCTION("""COMPUTED_VALUE"""),323.7)</f>
        <v>323.7</v>
      </c>
      <c r="C98" s="16">
        <f>IFERROR(__xludf.DUMMYFUNCTION("""COMPUTED_VALUE"""),45881.6458333333)</f>
        <v>45881.6458333333</v>
      </c>
      <c r="D98" s="17">
        <f>IFERROR(__xludf.DUMMYFUNCTION("""COMPUTED_VALUE"""),321)</f>
        <v>321</v>
      </c>
      <c r="E98" s="16">
        <f>IFERROR(__xludf.DUMMYFUNCTION("""COMPUTED_VALUE"""),45881.6458333333)</f>
        <v>45881.6458333333</v>
      </c>
      <c r="F98" s="17">
        <f>IFERROR(__xludf.DUMMYFUNCTION("""COMPUTED_VALUE"""),4392686)</f>
        <v>4392686</v>
      </c>
      <c r="G98" s="16">
        <f>IFERROR(__xludf.DUMMYFUNCTION("""COMPUTED_VALUE"""),45881.6458333333)</f>
        <v>45881.6458333333</v>
      </c>
      <c r="H98" s="17">
        <f>IFERROR(__xludf.DUMMYFUNCTION("""COMPUTED_VALUE"""),326.5)</f>
        <v>326.5</v>
      </c>
      <c r="I98" s="16">
        <f>IFERROR(__xludf.DUMMYFUNCTION("""COMPUTED_VALUE"""),45881.6458333333)</f>
        <v>45881.6458333333</v>
      </c>
      <c r="J98" s="17">
        <f>IFERROR(__xludf.DUMMYFUNCTION("""COMPUTED_VALUE"""),320.7)</f>
        <v>320.7</v>
      </c>
      <c r="K98" s="3">
        <f t="shared" si="2"/>
        <v>323.7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IFERROR(__xludf.DUMMYFUNCTION("""COMPUTED_VALUE"""),322.5)</f>
        <v>322.5</v>
      </c>
      <c r="C99" s="16">
        <f>IFERROR(__xludf.DUMMYFUNCTION("""COMPUTED_VALUE"""),45882.6458333333)</f>
        <v>45882.6458333333</v>
      </c>
      <c r="D99" s="17">
        <f>IFERROR(__xludf.DUMMYFUNCTION("""COMPUTED_VALUE"""),325)</f>
        <v>325</v>
      </c>
      <c r="E99" s="16">
        <f>IFERROR(__xludf.DUMMYFUNCTION("""COMPUTED_VALUE"""),45882.6458333333)</f>
        <v>45882.6458333333</v>
      </c>
      <c r="F99" s="17">
        <f>IFERROR(__xludf.DUMMYFUNCTION("""COMPUTED_VALUE"""),2707971)</f>
        <v>2707971</v>
      </c>
      <c r="G99" s="16">
        <f>IFERROR(__xludf.DUMMYFUNCTION("""COMPUTED_VALUE"""),45882.6458333333)</f>
        <v>45882.6458333333</v>
      </c>
      <c r="H99" s="17">
        <f>IFERROR(__xludf.DUMMYFUNCTION("""COMPUTED_VALUE"""),326.3)</f>
        <v>326.3</v>
      </c>
      <c r="I99" s="16">
        <f>IFERROR(__xludf.DUMMYFUNCTION("""COMPUTED_VALUE"""),45882.6458333333)</f>
        <v>45882.6458333333</v>
      </c>
      <c r="J99" s="17">
        <f>IFERROR(__xludf.DUMMYFUNCTION("""COMPUTED_VALUE"""),321.05)</f>
        <v>321.05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IFERROR(__xludf.DUMMYFUNCTION("""COMPUTED_VALUE"""),318.05)</f>
        <v>318.05</v>
      </c>
      <c r="C100" s="16">
        <f>IFERROR(__xludf.DUMMYFUNCTION("""COMPUTED_VALUE"""),45883.6458333333)</f>
        <v>45883.6458333333</v>
      </c>
      <c r="D100" s="17">
        <f>IFERROR(__xludf.DUMMYFUNCTION("""COMPUTED_VALUE"""),327)</f>
        <v>327</v>
      </c>
      <c r="E100" s="16">
        <f>IFERROR(__xludf.DUMMYFUNCTION("""COMPUTED_VALUE"""),45883.6458333333)</f>
        <v>45883.6458333333</v>
      </c>
      <c r="F100" s="17">
        <f>IFERROR(__xludf.DUMMYFUNCTION("""COMPUTED_VALUE"""),10549386)</f>
        <v>10549386</v>
      </c>
      <c r="G100" s="16">
        <f>IFERROR(__xludf.DUMMYFUNCTION("""COMPUTED_VALUE"""),45883.6458333333)</f>
        <v>45883.6458333333</v>
      </c>
      <c r="H100" s="17">
        <f>IFERROR(__xludf.DUMMYFUNCTION("""COMPUTED_VALUE"""),331.4)</f>
        <v>331.4</v>
      </c>
      <c r="I100" s="16">
        <f>IFERROR(__xludf.DUMMYFUNCTION("""COMPUTED_VALUE"""),45883.6458333333)</f>
        <v>45883.6458333333</v>
      </c>
      <c r="J100" s="17">
        <f>IFERROR(__xludf.DUMMYFUNCTION("""COMPUTED_VALUE"""),317.15)</f>
        <v>317.15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IFERROR(__xludf.DUMMYFUNCTION("""COMPUTED_VALUE"""),314)</f>
        <v>314</v>
      </c>
      <c r="C101" s="16">
        <f>IFERROR(__xludf.DUMMYFUNCTION("""COMPUTED_VALUE"""),45887.6458333333)</f>
        <v>45887.6458333333</v>
      </c>
      <c r="D101" s="17">
        <f>IFERROR(__xludf.DUMMYFUNCTION("""COMPUTED_VALUE"""),321)</f>
        <v>321</v>
      </c>
      <c r="E101" s="16">
        <f>IFERROR(__xludf.DUMMYFUNCTION("""COMPUTED_VALUE"""),45887.6458333333)</f>
        <v>45887.6458333333</v>
      </c>
      <c r="F101" s="17">
        <f>IFERROR(__xludf.DUMMYFUNCTION("""COMPUTED_VALUE"""),8091527)</f>
        <v>8091527</v>
      </c>
      <c r="G101" s="16">
        <f>IFERROR(__xludf.DUMMYFUNCTION("""COMPUTED_VALUE"""),45887.6458333333)</f>
        <v>45887.6458333333</v>
      </c>
      <c r="H101" s="17">
        <f>IFERROR(__xludf.DUMMYFUNCTION("""COMPUTED_VALUE"""),321.05)</f>
        <v>321.05</v>
      </c>
      <c r="I101" s="16">
        <f>IFERROR(__xludf.DUMMYFUNCTION("""COMPUTED_VALUE"""),45887.6458333333)</f>
        <v>45887.6458333333</v>
      </c>
      <c r="J101" s="17">
        <f>IFERROR(__xludf.DUMMYFUNCTION("""COMPUTED_VALUE"""),312.45)</f>
        <v>312.45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IFERROR(__xludf.DUMMYFUNCTION("""COMPUTED_VALUE"""),321.45)</f>
        <v>321.45</v>
      </c>
      <c r="C102" s="16">
        <f>IFERROR(__xludf.DUMMYFUNCTION("""COMPUTED_VALUE"""),45888.6458333333)</f>
        <v>45888.6458333333</v>
      </c>
      <c r="D102" s="17">
        <f>IFERROR(__xludf.DUMMYFUNCTION("""COMPUTED_VALUE"""),315.2)</f>
        <v>315.2</v>
      </c>
      <c r="E102" s="16">
        <f>IFERROR(__xludf.DUMMYFUNCTION("""COMPUTED_VALUE"""),45888.6458333333)</f>
        <v>45888.6458333333</v>
      </c>
      <c r="F102" s="17">
        <f>IFERROR(__xludf.DUMMYFUNCTION("""COMPUTED_VALUE"""),4343312)</f>
        <v>4343312</v>
      </c>
      <c r="G102" s="16">
        <f>IFERROR(__xludf.DUMMYFUNCTION("""COMPUTED_VALUE"""),45888.6458333333)</f>
        <v>45888.6458333333</v>
      </c>
      <c r="H102" s="17">
        <f>IFERROR(__xludf.DUMMYFUNCTION("""COMPUTED_VALUE"""),322.2)</f>
        <v>322.2</v>
      </c>
      <c r="I102" s="16">
        <f>IFERROR(__xludf.DUMMYFUNCTION("""COMPUTED_VALUE"""),45888.6458333333)</f>
        <v>45888.6458333333</v>
      </c>
      <c r="J102" s="17">
        <f>IFERROR(__xludf.DUMMYFUNCTION("""COMPUTED_VALUE"""),312.7)</f>
        <v>312.7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IFERROR(__xludf.DUMMYFUNCTION("""COMPUTED_VALUE"""),319.95)</f>
        <v>319.95</v>
      </c>
      <c r="C103" s="16">
        <f>IFERROR(__xludf.DUMMYFUNCTION("""COMPUTED_VALUE"""),45889.6458333333)</f>
        <v>45889.6458333333</v>
      </c>
      <c r="D103" s="17">
        <f>IFERROR(__xludf.DUMMYFUNCTION("""COMPUTED_VALUE"""),320)</f>
        <v>320</v>
      </c>
      <c r="E103" s="16">
        <f>IFERROR(__xludf.DUMMYFUNCTION("""COMPUTED_VALUE"""),45889.6458333333)</f>
        <v>45889.6458333333</v>
      </c>
      <c r="F103" s="17">
        <f>IFERROR(__xludf.DUMMYFUNCTION("""COMPUTED_VALUE"""),3670375)</f>
        <v>3670375</v>
      </c>
      <c r="G103" s="16">
        <f>IFERROR(__xludf.DUMMYFUNCTION("""COMPUTED_VALUE"""),45889.6458333333)</f>
        <v>45889.6458333333</v>
      </c>
      <c r="H103" s="17">
        <f>IFERROR(__xludf.DUMMYFUNCTION("""COMPUTED_VALUE"""),322.5)</f>
        <v>322.5</v>
      </c>
      <c r="I103" s="16">
        <f>IFERROR(__xludf.DUMMYFUNCTION("""COMPUTED_VALUE"""),45889.6458333333)</f>
        <v>45889.6458333333</v>
      </c>
      <c r="J103" s="17">
        <f>IFERROR(__xludf.DUMMYFUNCTION("""COMPUTED_VALUE"""),319)</f>
        <v>319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IFERROR(__xludf.DUMMYFUNCTION("""COMPUTED_VALUE"""),319.95)</f>
        <v>319.95</v>
      </c>
      <c r="C104" s="16">
        <f>IFERROR(__xludf.DUMMYFUNCTION("""COMPUTED_VALUE"""),45890.6458333333)</f>
        <v>45890.6458333333</v>
      </c>
      <c r="D104" s="17">
        <f>IFERROR(__xludf.DUMMYFUNCTION("""COMPUTED_VALUE"""),321.05)</f>
        <v>321.05</v>
      </c>
      <c r="E104" s="16">
        <f>IFERROR(__xludf.DUMMYFUNCTION("""COMPUTED_VALUE"""),45890.6458333333)</f>
        <v>45890.6458333333</v>
      </c>
      <c r="F104" s="17">
        <f>IFERROR(__xludf.DUMMYFUNCTION("""COMPUTED_VALUE"""),3790333)</f>
        <v>3790333</v>
      </c>
      <c r="G104" s="16">
        <f>IFERROR(__xludf.DUMMYFUNCTION("""COMPUTED_VALUE"""),45890.6458333333)</f>
        <v>45890.6458333333</v>
      </c>
      <c r="H104" s="17">
        <f>IFERROR(__xludf.DUMMYFUNCTION("""COMPUTED_VALUE"""),323.8)</f>
        <v>323.8</v>
      </c>
      <c r="I104" s="16">
        <f>IFERROR(__xludf.DUMMYFUNCTION("""COMPUTED_VALUE"""),45890.6458333333)</f>
        <v>45890.6458333333</v>
      </c>
      <c r="J104" s="17">
        <f>IFERROR(__xludf.DUMMYFUNCTION("""COMPUTED_VALUE"""),318.75)</f>
        <v>318.75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IFERROR(__xludf.DUMMYFUNCTION("""COMPUTED_VALUE"""),316.45)</f>
        <v>316.45</v>
      </c>
      <c r="C105" s="16">
        <f>IFERROR(__xludf.DUMMYFUNCTION("""COMPUTED_VALUE"""),45891.6458333333)</f>
        <v>45891.6458333333</v>
      </c>
      <c r="D105" s="17">
        <f>IFERROR(__xludf.DUMMYFUNCTION("""COMPUTED_VALUE"""),320.2)</f>
        <v>320.2</v>
      </c>
      <c r="E105" s="16">
        <f>IFERROR(__xludf.DUMMYFUNCTION("""COMPUTED_VALUE"""),45891.6458333333)</f>
        <v>45891.6458333333</v>
      </c>
      <c r="F105" s="17">
        <f>IFERROR(__xludf.DUMMYFUNCTION("""COMPUTED_VALUE"""),3007303)</f>
        <v>3007303</v>
      </c>
      <c r="G105" s="16">
        <f>IFERROR(__xludf.DUMMYFUNCTION("""COMPUTED_VALUE"""),45891.6458333333)</f>
        <v>45891.6458333333</v>
      </c>
      <c r="H105" s="17">
        <f>IFERROR(__xludf.DUMMYFUNCTION("""COMPUTED_VALUE"""),320.35)</f>
        <v>320.35</v>
      </c>
      <c r="I105" s="16">
        <f>IFERROR(__xludf.DUMMYFUNCTION("""COMPUTED_VALUE"""),45891.6458333333)</f>
        <v>45891.6458333333</v>
      </c>
      <c r="J105" s="17">
        <f>IFERROR(__xludf.DUMMYFUNCTION("""COMPUTED_VALUE"""),314.7)</f>
        <v>314.7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IFERROR(__xludf.DUMMYFUNCTION("""COMPUTED_VALUE"""),315.8)</f>
        <v>315.8</v>
      </c>
      <c r="C106" s="16">
        <f>IFERROR(__xludf.DUMMYFUNCTION("""COMPUTED_VALUE"""),45894.6458333333)</f>
        <v>45894.6458333333</v>
      </c>
      <c r="D106" s="17">
        <f>IFERROR(__xludf.DUMMYFUNCTION("""COMPUTED_VALUE"""),318.95)</f>
        <v>318.95</v>
      </c>
      <c r="E106" s="16">
        <f>IFERROR(__xludf.DUMMYFUNCTION("""COMPUTED_VALUE"""),45894.6458333333)</f>
        <v>45894.6458333333</v>
      </c>
      <c r="F106" s="17">
        <f>IFERROR(__xludf.DUMMYFUNCTION("""COMPUTED_VALUE"""),2841339)</f>
        <v>2841339</v>
      </c>
      <c r="G106" s="16">
        <f>IFERROR(__xludf.DUMMYFUNCTION("""COMPUTED_VALUE"""),45894.6458333333)</f>
        <v>45894.6458333333</v>
      </c>
      <c r="H106" s="17">
        <f>IFERROR(__xludf.DUMMYFUNCTION("""COMPUTED_VALUE"""),318.95)</f>
        <v>318.95</v>
      </c>
      <c r="I106" s="16">
        <f>IFERROR(__xludf.DUMMYFUNCTION("""COMPUTED_VALUE"""),45894.6458333333)</f>
        <v>45894.6458333333</v>
      </c>
      <c r="J106" s="17">
        <f>IFERROR(__xludf.DUMMYFUNCTION("""COMPUTED_VALUE"""),314.5)</f>
        <v>314.5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IFERROR(__xludf.DUMMYFUNCTION("""COMPUTED_VALUE"""),312.1)</f>
        <v>312.1</v>
      </c>
      <c r="C107" s="16">
        <f>IFERROR(__xludf.DUMMYFUNCTION("""COMPUTED_VALUE"""),45895.6458333333)</f>
        <v>45895.6458333333</v>
      </c>
      <c r="D107" s="17">
        <f>IFERROR(__xludf.DUMMYFUNCTION("""COMPUTED_VALUE"""),317.3)</f>
        <v>317.3</v>
      </c>
      <c r="E107" s="16">
        <f>IFERROR(__xludf.DUMMYFUNCTION("""COMPUTED_VALUE"""),45895.6458333333)</f>
        <v>45895.6458333333</v>
      </c>
      <c r="F107" s="17">
        <f>IFERROR(__xludf.DUMMYFUNCTION("""COMPUTED_VALUE"""),10819770)</f>
        <v>10819770</v>
      </c>
      <c r="G107" s="16">
        <f>IFERROR(__xludf.DUMMYFUNCTION("""COMPUTED_VALUE"""),45895.6458333333)</f>
        <v>45895.6458333333</v>
      </c>
      <c r="H107" s="17">
        <f>IFERROR(__xludf.DUMMYFUNCTION("""COMPUTED_VALUE"""),318.3)</f>
        <v>318.3</v>
      </c>
      <c r="I107" s="16">
        <f>IFERROR(__xludf.DUMMYFUNCTION("""COMPUTED_VALUE"""),45895.6458333333)</f>
        <v>45895.6458333333</v>
      </c>
      <c r="J107" s="17">
        <f>IFERROR(__xludf.DUMMYFUNCTION("""COMPUTED_VALUE"""),311.05)</f>
        <v>311.05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IFERROR(__xludf.DUMMYFUNCTION("""COMPUTED_VALUE"""),310.7)</f>
        <v>310.7</v>
      </c>
      <c r="C108" s="16">
        <f>IFERROR(__xludf.DUMMYFUNCTION("""COMPUTED_VALUE"""),45897.6458333333)</f>
        <v>45897.6458333333</v>
      </c>
      <c r="D108" s="17">
        <f>IFERROR(__xludf.DUMMYFUNCTION("""COMPUTED_VALUE"""),315.6)</f>
        <v>315.6</v>
      </c>
      <c r="E108" s="16">
        <f>IFERROR(__xludf.DUMMYFUNCTION("""COMPUTED_VALUE"""),45897.6458333333)</f>
        <v>45897.6458333333</v>
      </c>
      <c r="F108" s="17">
        <f>IFERROR(__xludf.DUMMYFUNCTION("""COMPUTED_VALUE"""),8888325)</f>
        <v>8888325</v>
      </c>
      <c r="G108" s="16">
        <f>IFERROR(__xludf.DUMMYFUNCTION("""COMPUTED_VALUE"""),45897.6458333333)</f>
        <v>45897.6458333333</v>
      </c>
      <c r="H108" s="17">
        <f>IFERROR(__xludf.DUMMYFUNCTION("""COMPUTED_VALUE"""),315.6)</f>
        <v>315.6</v>
      </c>
      <c r="I108" s="16">
        <f>IFERROR(__xludf.DUMMYFUNCTION("""COMPUTED_VALUE"""),45897.6458333333)</f>
        <v>45897.6458333333</v>
      </c>
      <c r="J108" s="17">
        <f>IFERROR(__xludf.DUMMYFUNCTION("""COMPUTED_VALUE"""),310)</f>
        <v>310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IFERROR(__xludf.DUMMYFUNCTION("""COMPUTED_VALUE"""),308.2)</f>
        <v>308.2</v>
      </c>
      <c r="C109" s="16">
        <f>IFERROR(__xludf.DUMMYFUNCTION("""COMPUTED_VALUE"""),45898.6458333333)</f>
        <v>45898.6458333333</v>
      </c>
      <c r="D109" s="17">
        <f>IFERROR(__xludf.DUMMYFUNCTION("""COMPUTED_VALUE"""),310.7)</f>
        <v>310.7</v>
      </c>
      <c r="E109" s="16">
        <f>IFERROR(__xludf.DUMMYFUNCTION("""COMPUTED_VALUE"""),45898.6458333333)</f>
        <v>45898.6458333333</v>
      </c>
      <c r="F109" s="17">
        <f>IFERROR(__xludf.DUMMYFUNCTION("""COMPUTED_VALUE"""),4334416)</f>
        <v>4334416</v>
      </c>
      <c r="G109" s="16">
        <f>IFERROR(__xludf.DUMMYFUNCTION("""COMPUTED_VALUE"""),45898.6458333333)</f>
        <v>45898.6458333333</v>
      </c>
      <c r="H109" s="17">
        <f>IFERROR(__xludf.DUMMYFUNCTION("""COMPUTED_VALUE"""),312.3)</f>
        <v>312.3</v>
      </c>
      <c r="I109" s="16">
        <f>IFERROR(__xludf.DUMMYFUNCTION("""COMPUTED_VALUE"""),45898.6458333333)</f>
        <v>45898.6458333333</v>
      </c>
      <c r="J109" s="17">
        <f>IFERROR(__xludf.DUMMYFUNCTION("""COMPUTED_VALUE"""),307)</f>
        <v>307</v>
      </c>
      <c r="K109" s="3">
        <f t="shared" si="2"/>
        <v>0</v>
      </c>
      <c r="L109" s="3">
        <f t="shared" si="3"/>
        <v>308.2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IFERROR(__xludf.DUMMYFUNCTION("""COMPUTED_VALUE"""),314.75)</f>
        <v>314.75</v>
      </c>
      <c r="C110" s="16">
        <f>IFERROR(__xludf.DUMMYFUNCTION("""COMPUTED_VALUE"""),45901.6458333333)</f>
        <v>45901.6458333333</v>
      </c>
      <c r="D110" s="17">
        <f>IFERROR(__xludf.DUMMYFUNCTION("""COMPUTED_VALUE"""),308.5)</f>
        <v>308.5</v>
      </c>
      <c r="E110" s="16">
        <f>IFERROR(__xludf.DUMMYFUNCTION("""COMPUTED_VALUE"""),45901.6458333333)</f>
        <v>45901.6458333333</v>
      </c>
      <c r="F110" s="17">
        <f>IFERROR(__xludf.DUMMYFUNCTION("""COMPUTED_VALUE"""),3672180)</f>
        <v>3672180</v>
      </c>
      <c r="G110" s="16">
        <f>IFERROR(__xludf.DUMMYFUNCTION("""COMPUTED_VALUE"""),45901.6458333333)</f>
        <v>45901.6458333333</v>
      </c>
      <c r="H110" s="17">
        <f>IFERROR(__xludf.DUMMYFUNCTION("""COMPUTED_VALUE"""),315.55)</f>
        <v>315.55</v>
      </c>
      <c r="I110" s="16">
        <f>IFERROR(__xludf.DUMMYFUNCTION("""COMPUTED_VALUE"""),45901.6458333333)</f>
        <v>45901.6458333333</v>
      </c>
      <c r="J110" s="17">
        <f>IFERROR(__xludf.DUMMYFUNCTION("""COMPUTED_VALUE"""),306.8)</f>
        <v>306.8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IFERROR(__xludf.DUMMYFUNCTION("""COMPUTED_VALUE"""),314.95)</f>
        <v>314.95</v>
      </c>
      <c r="C111" s="16">
        <f>IFERROR(__xludf.DUMMYFUNCTION("""COMPUTED_VALUE"""),45902.6458333333)</f>
        <v>45902.6458333333</v>
      </c>
      <c r="D111" s="17">
        <f>IFERROR(__xludf.DUMMYFUNCTION("""COMPUTED_VALUE"""),315.9)</f>
        <v>315.9</v>
      </c>
      <c r="E111" s="16">
        <f>IFERROR(__xludf.DUMMYFUNCTION("""COMPUTED_VALUE"""),45902.6458333333)</f>
        <v>45902.6458333333</v>
      </c>
      <c r="F111" s="17">
        <f>IFERROR(__xludf.DUMMYFUNCTION("""COMPUTED_VALUE"""),3405312)</f>
        <v>3405312</v>
      </c>
      <c r="G111" s="16">
        <f>IFERROR(__xludf.DUMMYFUNCTION("""COMPUTED_VALUE"""),45902.6458333333)</f>
        <v>45902.6458333333</v>
      </c>
      <c r="H111" s="17">
        <f>IFERROR(__xludf.DUMMYFUNCTION("""COMPUTED_VALUE"""),317.3)</f>
        <v>317.3</v>
      </c>
      <c r="I111" s="16">
        <f>IFERROR(__xludf.DUMMYFUNCTION("""COMPUTED_VALUE"""),45902.6458333333)</f>
        <v>45902.6458333333</v>
      </c>
      <c r="J111" s="17">
        <f>IFERROR(__xludf.DUMMYFUNCTION("""COMPUTED_VALUE"""),312.75)</f>
        <v>312.75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IFERROR(__xludf.DUMMYFUNCTION("""COMPUTED_VALUE"""),314.85)</f>
        <v>314.85</v>
      </c>
      <c r="C112" s="16">
        <f>IFERROR(__xludf.DUMMYFUNCTION("""COMPUTED_VALUE"""),45903.6458333333)</f>
        <v>45903.6458333333</v>
      </c>
      <c r="D112" s="17">
        <f>IFERROR(__xludf.DUMMYFUNCTION("""COMPUTED_VALUE"""),314.95)</f>
        <v>314.95</v>
      </c>
      <c r="E112" s="16">
        <f>IFERROR(__xludf.DUMMYFUNCTION("""COMPUTED_VALUE"""),45903.6458333333)</f>
        <v>45903.6458333333</v>
      </c>
      <c r="F112" s="17">
        <f>IFERROR(__xludf.DUMMYFUNCTION("""COMPUTED_VALUE"""),6616690)</f>
        <v>6616690</v>
      </c>
      <c r="G112" s="16">
        <f>IFERROR(__xludf.DUMMYFUNCTION("""COMPUTED_VALUE"""),45903.6458333333)</f>
        <v>45903.6458333333</v>
      </c>
      <c r="H112" s="17">
        <f>IFERROR(__xludf.DUMMYFUNCTION("""COMPUTED_VALUE"""),320.5)</f>
        <v>320.5</v>
      </c>
      <c r="I112" s="16">
        <f>IFERROR(__xludf.DUMMYFUNCTION("""COMPUTED_VALUE"""),45903.6458333333)</f>
        <v>45903.6458333333</v>
      </c>
      <c r="J112" s="17">
        <f>IFERROR(__xludf.DUMMYFUNCTION("""COMPUTED_VALUE"""),314.05)</f>
        <v>314.05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IFERROR(__xludf.DUMMYFUNCTION("""COMPUTED_VALUE"""),312.9)</f>
        <v>312.9</v>
      </c>
      <c r="C113" s="16">
        <f>IFERROR(__xludf.DUMMYFUNCTION("""COMPUTED_VALUE"""),45904.6458333333)</f>
        <v>45904.6458333333</v>
      </c>
      <c r="D113" s="17">
        <f>IFERROR(__xludf.DUMMYFUNCTION("""COMPUTED_VALUE"""),319.85)</f>
        <v>319.85</v>
      </c>
      <c r="E113" s="16">
        <f>IFERROR(__xludf.DUMMYFUNCTION("""COMPUTED_VALUE"""),45904.6458333333)</f>
        <v>45904.6458333333</v>
      </c>
      <c r="F113" s="17">
        <f>IFERROR(__xludf.DUMMYFUNCTION("""COMPUTED_VALUE"""),5225640)</f>
        <v>5225640</v>
      </c>
      <c r="G113" s="16">
        <f>IFERROR(__xludf.DUMMYFUNCTION("""COMPUTED_VALUE"""),45904.6458333333)</f>
        <v>45904.6458333333</v>
      </c>
      <c r="H113" s="17">
        <f>IFERROR(__xludf.DUMMYFUNCTION("""COMPUTED_VALUE"""),319.85)</f>
        <v>319.85</v>
      </c>
      <c r="I113" s="16">
        <f>IFERROR(__xludf.DUMMYFUNCTION("""COMPUTED_VALUE"""),45904.6458333333)</f>
        <v>45904.6458333333</v>
      </c>
      <c r="J113" s="17">
        <f>IFERROR(__xludf.DUMMYFUNCTION("""COMPUTED_VALUE"""),312.5)</f>
        <v>312.5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IFERROR(__xludf.DUMMYFUNCTION("""COMPUTED_VALUE"""),312.5)</f>
        <v>312.5</v>
      </c>
      <c r="C114" s="16">
        <f>IFERROR(__xludf.DUMMYFUNCTION("""COMPUTED_VALUE"""),45905.6458333333)</f>
        <v>45905.6458333333</v>
      </c>
      <c r="D114" s="17">
        <f>IFERROR(__xludf.DUMMYFUNCTION("""COMPUTED_VALUE"""),313)</f>
        <v>313</v>
      </c>
      <c r="E114" s="16">
        <f>IFERROR(__xludf.DUMMYFUNCTION("""COMPUTED_VALUE"""),45905.6458333333)</f>
        <v>45905.6458333333</v>
      </c>
      <c r="F114" s="17">
        <f>IFERROR(__xludf.DUMMYFUNCTION("""COMPUTED_VALUE"""),6159420)</f>
        <v>6159420</v>
      </c>
      <c r="G114" s="16">
        <f>IFERROR(__xludf.DUMMYFUNCTION("""COMPUTED_VALUE"""),45905.6458333333)</f>
        <v>45905.6458333333</v>
      </c>
      <c r="H114" s="17">
        <f>IFERROR(__xludf.DUMMYFUNCTION("""COMPUTED_VALUE"""),316.45)</f>
        <v>316.45</v>
      </c>
      <c r="I114" s="16">
        <f>IFERROR(__xludf.DUMMYFUNCTION("""COMPUTED_VALUE"""),45905.6458333333)</f>
        <v>45905.6458333333</v>
      </c>
      <c r="J114" s="17">
        <f>IFERROR(__xludf.DUMMYFUNCTION("""COMPUTED_VALUE"""),311.5)</f>
        <v>311.5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IFERROR(__xludf.DUMMYFUNCTION("""COMPUTED_VALUE"""),316.45)</f>
        <v>316.45</v>
      </c>
      <c r="C115" s="16">
        <f>IFERROR(__xludf.DUMMYFUNCTION("""COMPUTED_VALUE"""),45908.6458333333)</f>
        <v>45908.6458333333</v>
      </c>
      <c r="D115" s="17">
        <f>IFERROR(__xludf.DUMMYFUNCTION("""COMPUTED_VALUE"""),313.9)</f>
        <v>313.9</v>
      </c>
      <c r="E115" s="16">
        <f>IFERROR(__xludf.DUMMYFUNCTION("""COMPUTED_VALUE"""),45908.6458333333)</f>
        <v>45908.6458333333</v>
      </c>
      <c r="F115" s="17">
        <f>IFERROR(__xludf.DUMMYFUNCTION("""COMPUTED_VALUE"""),2002604)</f>
        <v>2002604</v>
      </c>
      <c r="G115" s="16">
        <f>IFERROR(__xludf.DUMMYFUNCTION("""COMPUTED_VALUE"""),45908.6458333333)</f>
        <v>45908.6458333333</v>
      </c>
      <c r="H115" s="17">
        <f>IFERROR(__xludf.DUMMYFUNCTION("""COMPUTED_VALUE"""),318.15)</f>
        <v>318.15</v>
      </c>
      <c r="I115" s="16">
        <f>IFERROR(__xludf.DUMMYFUNCTION("""COMPUTED_VALUE"""),45908.6458333333)</f>
        <v>45908.6458333333</v>
      </c>
      <c r="J115" s="17">
        <f>IFERROR(__xludf.DUMMYFUNCTION("""COMPUTED_VALUE"""),313.55)</f>
        <v>313.55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IFERROR(__xludf.DUMMYFUNCTION("""COMPUTED_VALUE"""),313.95)</f>
        <v>313.95</v>
      </c>
      <c r="C116" s="16">
        <f>IFERROR(__xludf.DUMMYFUNCTION("""COMPUTED_VALUE"""),45909.6458333333)</f>
        <v>45909.6458333333</v>
      </c>
      <c r="D116" s="17">
        <f>IFERROR(__xludf.DUMMYFUNCTION("""COMPUTED_VALUE"""),317.8)</f>
        <v>317.8</v>
      </c>
      <c r="E116" s="16">
        <f>IFERROR(__xludf.DUMMYFUNCTION("""COMPUTED_VALUE"""),45909.6458333333)</f>
        <v>45909.6458333333</v>
      </c>
      <c r="F116" s="17">
        <f>IFERROR(__xludf.DUMMYFUNCTION("""COMPUTED_VALUE"""),6476251)</f>
        <v>6476251</v>
      </c>
      <c r="G116" s="16">
        <f>IFERROR(__xludf.DUMMYFUNCTION("""COMPUTED_VALUE"""),45909.6458333333)</f>
        <v>45909.6458333333</v>
      </c>
      <c r="H116" s="17">
        <f>IFERROR(__xludf.DUMMYFUNCTION("""COMPUTED_VALUE"""),320.15)</f>
        <v>320.15</v>
      </c>
      <c r="I116" s="16">
        <f>IFERROR(__xludf.DUMMYFUNCTION("""COMPUTED_VALUE"""),45909.6458333333)</f>
        <v>45909.6458333333</v>
      </c>
      <c r="J116" s="17">
        <f>IFERROR(__xludf.DUMMYFUNCTION("""COMPUTED_VALUE"""),313.55)</f>
        <v>313.55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IFERROR(__xludf.DUMMYFUNCTION("""COMPUTED_VALUE"""),317.95)</f>
        <v>317.95</v>
      </c>
      <c r="C117" s="16">
        <f>IFERROR(__xludf.DUMMYFUNCTION("""COMPUTED_VALUE"""),45910.6458333333)</f>
        <v>45910.6458333333</v>
      </c>
      <c r="D117" s="17">
        <f>IFERROR(__xludf.DUMMYFUNCTION("""COMPUTED_VALUE"""),315.5)</f>
        <v>315.5</v>
      </c>
      <c r="E117" s="16">
        <f>IFERROR(__xludf.DUMMYFUNCTION("""COMPUTED_VALUE"""),45910.6458333333)</f>
        <v>45910.6458333333</v>
      </c>
      <c r="F117" s="17">
        <f>IFERROR(__xludf.DUMMYFUNCTION("""COMPUTED_VALUE"""),5214899)</f>
        <v>5214899</v>
      </c>
      <c r="G117" s="16">
        <f>IFERROR(__xludf.DUMMYFUNCTION("""COMPUTED_VALUE"""),45910.6458333333)</f>
        <v>45910.6458333333</v>
      </c>
      <c r="H117" s="17">
        <f>IFERROR(__xludf.DUMMYFUNCTION("""COMPUTED_VALUE"""),318.25)</f>
        <v>318.25</v>
      </c>
      <c r="I117" s="16">
        <f>IFERROR(__xludf.DUMMYFUNCTION("""COMPUTED_VALUE"""),45910.6458333333)</f>
        <v>45910.6458333333</v>
      </c>
      <c r="J117" s="17">
        <f>IFERROR(__xludf.DUMMYFUNCTION("""COMPUTED_VALUE"""),314.75)</f>
        <v>314.75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IFERROR(__xludf.DUMMYFUNCTION("""COMPUTED_VALUE"""),320)</f>
        <v>320</v>
      </c>
      <c r="C118" s="16">
        <f>IFERROR(__xludf.DUMMYFUNCTION("""COMPUTED_VALUE"""),45911.6458333333)</f>
        <v>45911.6458333333</v>
      </c>
      <c r="D118" s="17">
        <f>IFERROR(__xludf.DUMMYFUNCTION("""COMPUTED_VALUE"""),318.2)</f>
        <v>318.2</v>
      </c>
      <c r="E118" s="16">
        <f>IFERROR(__xludf.DUMMYFUNCTION("""COMPUTED_VALUE"""),45911.6458333333)</f>
        <v>45911.6458333333</v>
      </c>
      <c r="F118" s="17">
        <f>IFERROR(__xludf.DUMMYFUNCTION("""COMPUTED_VALUE"""),7529271)</f>
        <v>7529271</v>
      </c>
      <c r="G118" s="16">
        <f>IFERROR(__xludf.DUMMYFUNCTION("""COMPUTED_VALUE"""),45911.6458333333)</f>
        <v>45911.6458333333</v>
      </c>
      <c r="H118" s="17">
        <f>IFERROR(__xludf.DUMMYFUNCTION("""COMPUTED_VALUE"""),326.6)</f>
        <v>326.6</v>
      </c>
      <c r="I118" s="16">
        <f>IFERROR(__xludf.DUMMYFUNCTION("""COMPUTED_VALUE"""),45911.6458333333)</f>
        <v>45911.6458333333</v>
      </c>
      <c r="J118" s="17">
        <f>IFERROR(__xludf.DUMMYFUNCTION("""COMPUTED_VALUE"""),317.5)</f>
        <v>317.5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IFERROR(__xludf.DUMMYFUNCTION("""COMPUTED_VALUE"""),318)</f>
        <v>318</v>
      </c>
      <c r="C119" s="16">
        <f>IFERROR(__xludf.DUMMYFUNCTION("""COMPUTED_VALUE"""),45912.6458333333)</f>
        <v>45912.6458333333</v>
      </c>
      <c r="D119" s="17">
        <f>IFERROR(__xludf.DUMMYFUNCTION("""COMPUTED_VALUE"""),321.05)</f>
        <v>321.05</v>
      </c>
      <c r="E119" s="16">
        <f>IFERROR(__xludf.DUMMYFUNCTION("""COMPUTED_VALUE"""),45912.6458333333)</f>
        <v>45912.6458333333</v>
      </c>
      <c r="F119" s="17">
        <f>IFERROR(__xludf.DUMMYFUNCTION("""COMPUTED_VALUE"""),4705998)</f>
        <v>4705998</v>
      </c>
      <c r="G119" s="16">
        <f>IFERROR(__xludf.DUMMYFUNCTION("""COMPUTED_VALUE"""),45912.6458333333)</f>
        <v>45912.6458333333</v>
      </c>
      <c r="H119" s="17">
        <f>IFERROR(__xludf.DUMMYFUNCTION("""COMPUTED_VALUE"""),323.2)</f>
        <v>323.2</v>
      </c>
      <c r="I119" s="16">
        <f>IFERROR(__xludf.DUMMYFUNCTION("""COMPUTED_VALUE"""),45912.6458333333)</f>
        <v>45912.6458333333</v>
      </c>
      <c r="J119" s="17">
        <f>IFERROR(__xludf.DUMMYFUNCTION("""COMPUTED_VALUE"""),317.05)</f>
        <v>317.05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IFERROR(__xludf.DUMMYFUNCTION("""COMPUTED_VALUE"""),317.75)</f>
        <v>317.75</v>
      </c>
      <c r="C120" s="16">
        <f>IFERROR(__xludf.DUMMYFUNCTION("""COMPUTED_VALUE"""),45915.6458333333)</f>
        <v>45915.6458333333</v>
      </c>
      <c r="D120" s="17">
        <f>IFERROR(__xludf.DUMMYFUNCTION("""COMPUTED_VALUE"""),318.3)</f>
        <v>318.3</v>
      </c>
      <c r="E120" s="16">
        <f>IFERROR(__xludf.DUMMYFUNCTION("""COMPUTED_VALUE"""),45915.6458333333)</f>
        <v>45915.6458333333</v>
      </c>
      <c r="F120" s="17">
        <f>IFERROR(__xludf.DUMMYFUNCTION("""COMPUTED_VALUE"""),4653626)</f>
        <v>4653626</v>
      </c>
      <c r="G120" s="16">
        <f>IFERROR(__xludf.DUMMYFUNCTION("""COMPUTED_VALUE"""),45915.6458333333)</f>
        <v>45915.6458333333</v>
      </c>
      <c r="H120" s="17">
        <f>IFERROR(__xludf.DUMMYFUNCTION("""COMPUTED_VALUE"""),320.7)</f>
        <v>320.7</v>
      </c>
      <c r="I120" s="16">
        <f>IFERROR(__xludf.DUMMYFUNCTION("""COMPUTED_VALUE"""),45915.6458333333)</f>
        <v>45915.6458333333</v>
      </c>
      <c r="J120" s="17">
        <f>IFERROR(__xludf.DUMMYFUNCTION("""COMPUTED_VALUE"""),315.7)</f>
        <v>315.7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IFERROR(__xludf.DUMMYFUNCTION("""COMPUTED_VALUE"""),318.25)</f>
        <v>318.25</v>
      </c>
      <c r="C121" s="16">
        <f>IFERROR(__xludf.DUMMYFUNCTION("""COMPUTED_VALUE"""),45916.6458333333)</f>
        <v>45916.6458333333</v>
      </c>
      <c r="D121" s="17">
        <f>IFERROR(__xludf.DUMMYFUNCTION("""COMPUTED_VALUE"""),319.35)</f>
        <v>319.35</v>
      </c>
      <c r="E121" s="16">
        <f>IFERROR(__xludf.DUMMYFUNCTION("""COMPUTED_VALUE"""),45916.6458333333)</f>
        <v>45916.6458333333</v>
      </c>
      <c r="F121" s="17">
        <f>IFERROR(__xludf.DUMMYFUNCTION("""COMPUTED_VALUE"""),5381837)</f>
        <v>5381837</v>
      </c>
      <c r="G121" s="16">
        <f>IFERROR(__xludf.DUMMYFUNCTION("""COMPUTED_VALUE"""),45916.6458333333)</f>
        <v>45916.6458333333</v>
      </c>
      <c r="H121" s="17">
        <f>IFERROR(__xludf.DUMMYFUNCTION("""COMPUTED_VALUE"""),321.1)</f>
        <v>321.1</v>
      </c>
      <c r="I121" s="16">
        <f>IFERROR(__xludf.DUMMYFUNCTION("""COMPUTED_VALUE"""),45916.6458333333)</f>
        <v>45916.6458333333</v>
      </c>
      <c r="J121" s="17">
        <f>IFERROR(__xludf.DUMMYFUNCTION("""COMPUTED_VALUE"""),316.5)</f>
        <v>316.5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IFERROR(__xludf.DUMMYFUNCTION("""COMPUTED_VALUE"""),323.55)</f>
        <v>323.55</v>
      </c>
      <c r="C122" s="16">
        <f>IFERROR(__xludf.DUMMYFUNCTION("""COMPUTED_VALUE"""),45917.6458333333)</f>
        <v>45917.6458333333</v>
      </c>
      <c r="D122" s="17">
        <f>IFERROR(__xludf.DUMMYFUNCTION("""COMPUTED_VALUE"""),319.85)</f>
        <v>319.85</v>
      </c>
      <c r="E122" s="16">
        <f>IFERROR(__xludf.DUMMYFUNCTION("""COMPUTED_VALUE"""),45917.6458333333)</f>
        <v>45917.6458333333</v>
      </c>
      <c r="F122" s="17">
        <f>IFERROR(__xludf.DUMMYFUNCTION("""COMPUTED_VALUE"""),7035565)</f>
        <v>7035565</v>
      </c>
      <c r="G122" s="16">
        <f>IFERROR(__xludf.DUMMYFUNCTION("""COMPUTED_VALUE"""),45917.6458333333)</f>
        <v>45917.6458333333</v>
      </c>
      <c r="H122" s="17">
        <f>IFERROR(__xludf.DUMMYFUNCTION("""COMPUTED_VALUE"""),324.75)</f>
        <v>324.75</v>
      </c>
      <c r="I122" s="16">
        <f>IFERROR(__xludf.DUMMYFUNCTION("""COMPUTED_VALUE"""),45917.6458333333)</f>
        <v>45917.6458333333</v>
      </c>
      <c r="J122" s="17">
        <f>IFERROR(__xludf.DUMMYFUNCTION("""COMPUTED_VALUE"""),319.25)</f>
        <v>319.25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IFERROR(__xludf.DUMMYFUNCTION("""COMPUTED_VALUE"""),325.7)</f>
        <v>325.7</v>
      </c>
      <c r="C123" s="16">
        <f>IFERROR(__xludf.DUMMYFUNCTION("""COMPUTED_VALUE"""),45918.6458333333)</f>
        <v>45918.6458333333</v>
      </c>
      <c r="D123" s="17">
        <f>IFERROR(__xludf.DUMMYFUNCTION("""COMPUTED_VALUE"""),324.9)</f>
        <v>324.9</v>
      </c>
      <c r="E123" s="16">
        <f>IFERROR(__xludf.DUMMYFUNCTION("""COMPUTED_VALUE"""),45918.6458333333)</f>
        <v>45918.6458333333</v>
      </c>
      <c r="F123" s="17">
        <f>IFERROR(__xludf.DUMMYFUNCTION("""COMPUTED_VALUE"""),5615664)</f>
        <v>5615664</v>
      </c>
      <c r="G123" s="16">
        <f>IFERROR(__xludf.DUMMYFUNCTION("""COMPUTED_VALUE"""),45918.6458333333)</f>
        <v>45918.6458333333</v>
      </c>
      <c r="H123" s="17">
        <f>IFERROR(__xludf.DUMMYFUNCTION("""COMPUTED_VALUE"""),326.15)</f>
        <v>326.15</v>
      </c>
      <c r="I123" s="16">
        <f>IFERROR(__xludf.DUMMYFUNCTION("""COMPUTED_VALUE"""),45918.6458333333)</f>
        <v>45918.6458333333</v>
      </c>
      <c r="J123" s="17">
        <f>IFERROR(__xludf.DUMMYFUNCTION("""COMPUTED_VALUE"""),321)</f>
        <v>321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IFERROR(__xludf.DUMMYFUNCTION("""COMPUTED_VALUE"""),329.55)</f>
        <v>329.55</v>
      </c>
      <c r="C124" s="16">
        <f>IFERROR(__xludf.DUMMYFUNCTION("""COMPUTED_VALUE"""),45919.6458333333)</f>
        <v>45919.6458333333</v>
      </c>
      <c r="D124" s="17">
        <f>IFERROR(__xludf.DUMMYFUNCTION("""COMPUTED_VALUE"""),325.6)</f>
        <v>325.6</v>
      </c>
      <c r="E124" s="16">
        <f>IFERROR(__xludf.DUMMYFUNCTION("""COMPUTED_VALUE"""),45919.6458333333)</f>
        <v>45919.6458333333</v>
      </c>
      <c r="F124" s="17">
        <f>IFERROR(__xludf.DUMMYFUNCTION("""COMPUTED_VALUE"""),10022009)</f>
        <v>10022009</v>
      </c>
      <c r="G124" s="16">
        <f>IFERROR(__xludf.DUMMYFUNCTION("""COMPUTED_VALUE"""),45919.6458333333)</f>
        <v>45919.6458333333</v>
      </c>
      <c r="H124" s="17">
        <f>IFERROR(__xludf.DUMMYFUNCTION("""COMPUTED_VALUE"""),334)</f>
        <v>334</v>
      </c>
      <c r="I124" s="16">
        <f>IFERROR(__xludf.DUMMYFUNCTION("""COMPUTED_VALUE"""),45919.6458333333)</f>
        <v>45919.6458333333</v>
      </c>
      <c r="J124" s="17">
        <f>IFERROR(__xludf.DUMMYFUNCTION("""COMPUTED_VALUE"""),324.8)</f>
        <v>324.8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IFERROR(__xludf.DUMMYFUNCTION("""COMPUTED_VALUE"""),325.4)</f>
        <v>325.4</v>
      </c>
      <c r="C125" s="16">
        <f>IFERROR(__xludf.DUMMYFUNCTION("""COMPUTED_VALUE"""),45922.6458333333)</f>
        <v>45922.6458333333</v>
      </c>
      <c r="D125" s="17">
        <f>IFERROR(__xludf.DUMMYFUNCTION("""COMPUTED_VALUE"""),329)</f>
        <v>329</v>
      </c>
      <c r="E125" s="16">
        <f>IFERROR(__xludf.DUMMYFUNCTION("""COMPUTED_VALUE"""),45922.6458333333)</f>
        <v>45922.6458333333</v>
      </c>
      <c r="F125" s="17">
        <f>IFERROR(__xludf.DUMMYFUNCTION("""COMPUTED_VALUE"""),4768219)</f>
        <v>4768219</v>
      </c>
      <c r="G125" s="16">
        <f>IFERROR(__xludf.DUMMYFUNCTION("""COMPUTED_VALUE"""),45922.6458333333)</f>
        <v>45922.6458333333</v>
      </c>
      <c r="H125" s="17">
        <f>IFERROR(__xludf.DUMMYFUNCTION("""COMPUTED_VALUE"""),332.3)</f>
        <v>332.3</v>
      </c>
      <c r="I125" s="16">
        <f>IFERROR(__xludf.DUMMYFUNCTION("""COMPUTED_VALUE"""),45922.6458333333)</f>
        <v>45922.6458333333</v>
      </c>
      <c r="J125" s="17">
        <f>IFERROR(__xludf.DUMMYFUNCTION("""COMPUTED_VALUE"""),322.45)</f>
        <v>322.45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IFERROR(__xludf.DUMMYFUNCTION("""COMPUTED_VALUE"""),330.4)</f>
        <v>330.4</v>
      </c>
      <c r="C126" s="16">
        <f>IFERROR(__xludf.DUMMYFUNCTION("""COMPUTED_VALUE"""),45923.6458333333)</f>
        <v>45923.6458333333</v>
      </c>
      <c r="D126" s="17">
        <f>IFERROR(__xludf.DUMMYFUNCTION("""COMPUTED_VALUE"""),328.7)</f>
        <v>328.7</v>
      </c>
      <c r="E126" s="16">
        <f>IFERROR(__xludf.DUMMYFUNCTION("""COMPUTED_VALUE"""),45923.6458333333)</f>
        <v>45923.6458333333</v>
      </c>
      <c r="F126" s="17">
        <f>IFERROR(__xludf.DUMMYFUNCTION("""COMPUTED_VALUE"""),7992615)</f>
        <v>7992615</v>
      </c>
      <c r="G126" s="16">
        <f>IFERROR(__xludf.DUMMYFUNCTION("""COMPUTED_VALUE"""),45923.6458333333)</f>
        <v>45923.6458333333</v>
      </c>
      <c r="H126" s="17">
        <f>IFERROR(__xludf.DUMMYFUNCTION("""COMPUTED_VALUE"""),335.2)</f>
        <v>335.2</v>
      </c>
      <c r="I126" s="16">
        <f>IFERROR(__xludf.DUMMYFUNCTION("""COMPUTED_VALUE"""),45923.6458333333)</f>
        <v>45923.6458333333</v>
      </c>
      <c r="J126" s="17">
        <f>IFERROR(__xludf.DUMMYFUNCTION("""COMPUTED_VALUE"""),326.85)</f>
        <v>326.85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IFERROR(__xludf.DUMMYFUNCTION("""COMPUTED_VALUE"""),330.35)</f>
        <v>330.35</v>
      </c>
      <c r="C127" s="16">
        <f>IFERROR(__xludf.DUMMYFUNCTION("""COMPUTED_VALUE"""),45924.6458333333)</f>
        <v>45924.6458333333</v>
      </c>
      <c r="D127" s="17">
        <f>IFERROR(__xludf.DUMMYFUNCTION("""COMPUTED_VALUE"""),330.45)</f>
        <v>330.45</v>
      </c>
      <c r="E127" s="16">
        <f>IFERROR(__xludf.DUMMYFUNCTION("""COMPUTED_VALUE"""),45924.6458333333)</f>
        <v>45924.6458333333</v>
      </c>
      <c r="F127" s="17">
        <f>IFERROR(__xludf.DUMMYFUNCTION("""COMPUTED_VALUE"""),5489995)</f>
        <v>5489995</v>
      </c>
      <c r="G127" s="16">
        <f>IFERROR(__xludf.DUMMYFUNCTION("""COMPUTED_VALUE"""),45924.6458333333)</f>
        <v>45924.6458333333</v>
      </c>
      <c r="H127" s="17">
        <f>IFERROR(__xludf.DUMMYFUNCTION("""COMPUTED_VALUE"""),332.4)</f>
        <v>332.4</v>
      </c>
      <c r="I127" s="16">
        <f>IFERROR(__xludf.DUMMYFUNCTION("""COMPUTED_VALUE"""),45924.6458333333)</f>
        <v>45924.6458333333</v>
      </c>
      <c r="J127" s="17">
        <f>IFERROR(__xludf.DUMMYFUNCTION("""COMPUTED_VALUE"""),327)</f>
        <v>327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IFERROR(__xludf.DUMMYFUNCTION("""COMPUTED_VALUE"""),329.65)</f>
        <v>329.65</v>
      </c>
      <c r="C128" s="16">
        <f>IFERROR(__xludf.DUMMYFUNCTION("""COMPUTED_VALUE"""),45925.6458333333)</f>
        <v>45925.6458333333</v>
      </c>
      <c r="D128" s="17">
        <f>IFERROR(__xludf.DUMMYFUNCTION("""COMPUTED_VALUE"""),329.1)</f>
        <v>329.1</v>
      </c>
      <c r="E128" s="16">
        <f>IFERROR(__xludf.DUMMYFUNCTION("""COMPUTED_VALUE"""),45925.6458333333)</f>
        <v>45925.6458333333</v>
      </c>
      <c r="F128" s="17">
        <f>IFERROR(__xludf.DUMMYFUNCTION("""COMPUTED_VALUE"""),5798602)</f>
        <v>5798602</v>
      </c>
      <c r="G128" s="16">
        <f>IFERROR(__xludf.DUMMYFUNCTION("""COMPUTED_VALUE"""),45925.6458333333)</f>
        <v>45925.6458333333</v>
      </c>
      <c r="H128" s="17">
        <f>IFERROR(__xludf.DUMMYFUNCTION("""COMPUTED_VALUE"""),332.5)</f>
        <v>332.5</v>
      </c>
      <c r="I128" s="16">
        <f>IFERROR(__xludf.DUMMYFUNCTION("""COMPUTED_VALUE"""),45925.6458333333)</f>
        <v>45925.6458333333</v>
      </c>
      <c r="J128" s="17">
        <f>IFERROR(__xludf.DUMMYFUNCTION("""COMPUTED_VALUE"""),327)</f>
        <v>327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IFERROR(__xludf.DUMMYFUNCTION("""COMPUTED_VALUE"""),324.35)</f>
        <v>324.35</v>
      </c>
      <c r="C129" s="47">
        <f>IFERROR(__xludf.DUMMYFUNCTION("""COMPUTED_VALUE"""),45926.6458333333)</f>
        <v>45926.6458333333</v>
      </c>
      <c r="D129" s="48">
        <f>IFERROR(__xludf.DUMMYFUNCTION("""COMPUTED_VALUE"""),329.8)</f>
        <v>329.8</v>
      </c>
      <c r="E129" s="47">
        <f>IFERROR(__xludf.DUMMYFUNCTION("""COMPUTED_VALUE"""),45926.6458333333)</f>
        <v>45926.6458333333</v>
      </c>
      <c r="F129" s="48">
        <f>IFERROR(__xludf.DUMMYFUNCTION("""COMPUTED_VALUE"""),5692665)</f>
        <v>5692665</v>
      </c>
      <c r="G129" s="47">
        <f>IFERROR(__xludf.DUMMYFUNCTION("""COMPUTED_VALUE"""),45926.6458333333)</f>
        <v>45926.6458333333</v>
      </c>
      <c r="H129" s="48">
        <f>IFERROR(__xludf.DUMMYFUNCTION("""COMPUTED_VALUE"""),330)</f>
        <v>330</v>
      </c>
      <c r="I129" s="47">
        <f>IFERROR(__xludf.DUMMYFUNCTION("""COMPUTED_VALUE"""),45926.6458333333)</f>
        <v>45926.6458333333</v>
      </c>
      <c r="J129" s="48">
        <f>IFERROR(__xludf.DUMMYFUNCTION("""COMPUTED_VALUE"""),322.95)</f>
        <v>322.95</v>
      </c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30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""price"")"),5935)</f>
        <v>5935</v>
      </c>
      <c r="I3" s="22" t="s">
        <v>269</v>
      </c>
      <c r="J3" s="23">
        <f>IFERROR(__xludf.DUMMYFUNCTION("GOOGLEFINANCE(L3, ""volume"")"),189383)</f>
        <v>189383</v>
      </c>
      <c r="K3" s="24" t="s">
        <v>270</v>
      </c>
      <c r="L3" s="25" t="str">
        <f>Mastersheet!B11</f>
        <v>NSE:BRITANNIA</v>
      </c>
      <c r="M3" s="26">
        <f>IFERROR(__xludf.DUMMYFUNCTION("""COMPUTED_VALUE"""),45926.6458333333)</f>
        <v>45926.6458333333</v>
      </c>
      <c r="N3" s="27">
        <f>IFERROR(__xludf.DUMMYFUNCTION("""COMPUTED_VALUE"""),5920.5)</f>
        <v>5920.5</v>
      </c>
      <c r="O3" s="26">
        <f>IFERROR(__xludf.DUMMYFUNCTION("""COMPUTED_VALUE"""),45926.6458333333)</f>
        <v>45926.6458333333</v>
      </c>
      <c r="P3" s="27">
        <f>IFERROR(__xludf.DUMMYFUNCTION("""COMPUTED_VALUE"""),5955)</f>
        <v>5955</v>
      </c>
      <c r="Q3" s="16">
        <f>IFERROR(__xludf.DUMMYFUNCTION("""COMPUTED_VALUE"""),45926.6458333333)</f>
        <v>45926.6458333333</v>
      </c>
      <c r="R3" s="17">
        <f>IFERROR(__xludf.DUMMYFUNCTION("""COMPUTED_VALUE"""),5980.5)</f>
        <v>5980.5</v>
      </c>
      <c r="S3" s="16">
        <f>IFERROR(__xludf.DUMMYFUNCTION("""COMPUTED_VALUE"""),45926.6458333333)</f>
        <v>45926.6458333333</v>
      </c>
      <c r="T3" s="17">
        <f>IFERROR(__xludf.DUMMYFUNCTION("""COMPUTED_VALUE"""),5900)</f>
        <v>5900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IFERROR(__xludf.DUMMYFUNCTION("""COMPUTED_VALUE"""),4841.2)</f>
        <v>4841.2</v>
      </c>
      <c r="C5" s="14">
        <f>IFERROR(__xludf.DUMMYFUNCTION("""COMPUTED_VALUE"""),45743.6458333333)</f>
        <v>45743.6458333333</v>
      </c>
      <c r="D5" s="15">
        <f>IFERROR(__xludf.DUMMYFUNCTION("""COMPUTED_VALUE"""),4830)</f>
        <v>4830</v>
      </c>
      <c r="E5" s="14">
        <f>IFERROR(__xludf.DUMMYFUNCTION("""COMPUTED_VALUE"""),45743.6458333333)</f>
        <v>45743.6458333333</v>
      </c>
      <c r="F5" s="15">
        <f>IFERROR(__xludf.DUMMYFUNCTION("""COMPUTED_VALUE"""),6750074)</f>
        <v>6750074</v>
      </c>
      <c r="G5" s="14">
        <f>IFERROR(__xludf.DUMMYFUNCTION("""COMPUTED_VALUE"""),45743.6458333333)</f>
        <v>45743.6458333333</v>
      </c>
      <c r="H5" s="15">
        <f>IFERROR(__xludf.DUMMYFUNCTION("""COMPUTED_VALUE"""),4925.4)</f>
        <v>4925.4</v>
      </c>
      <c r="I5" s="30">
        <f>IFERROR(__xludf.DUMMYFUNCTION("""COMPUTED_VALUE"""),45743.6458333333)</f>
        <v>45743.6458333333</v>
      </c>
      <c r="J5" s="3">
        <f>IFERROR(__xludf.DUMMYFUNCTION("""COMPUTED_VALUE"""),4780.05)</f>
        <v>4780.05</v>
      </c>
      <c r="K5" s="5"/>
      <c r="L5" s="5"/>
      <c r="M5" s="3">
        <f t="array" ref="M5">INDEX(K11:K124,MATCH(SMALL(ABS(K11:K124-H3),1),ABS(K11:K124-H3),0))</f>
        <v>5884</v>
      </c>
      <c r="N5" s="3">
        <f t="array" ref="N5">INDEX(K11:K124,MATCH(SMALL(ABS(K11:K124-H3),2),ABS(K11:K124-H3),0))</f>
        <v>5798</v>
      </c>
      <c r="O5" s="3">
        <f t="array" ref="O5">INDEX(L11:L124,MATCH(SMALL(ABS(L11:L124-H3),1),ABS(L11:L124-H3),0))</f>
        <v>5594</v>
      </c>
      <c r="P5" s="3">
        <f t="array" ref="P5">INDEX(L11:L124,MATCH(SMALL(ABS(L11:L124-H3),2),ABS(L11:L124-H3),0))</f>
        <v>5558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0</v>
      </c>
      <c r="T5" s="17">
        <f ca="1">IF(AND(H3&gt;=Mastersheet!I3*S5,H3&lt;=Mastersheet!J3*S5),1,0)</f>
        <v>0</v>
      </c>
      <c r="U5" s="36">
        <f>(N3+P3)/2</f>
        <v>5937.75</v>
      </c>
      <c r="V5" s="17">
        <f>(N3+P3+R3+T3)/4</f>
        <v>5939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IFERROR(__xludf.DUMMYFUNCTION("""COMPUTED_VALUE"""),4936.9)</f>
        <v>4936.9</v>
      </c>
      <c r="C6" s="16">
        <f>IFERROR(__xludf.DUMMYFUNCTION("""COMPUTED_VALUE"""),45744.6458333333)</f>
        <v>45744.6458333333</v>
      </c>
      <c r="D6" s="17">
        <f>IFERROR(__xludf.DUMMYFUNCTION("""COMPUTED_VALUE"""),4861.95)</f>
        <v>4861.95</v>
      </c>
      <c r="E6" s="16">
        <f>IFERROR(__xludf.DUMMYFUNCTION("""COMPUTED_VALUE"""),45744.6458333333)</f>
        <v>45744.6458333333</v>
      </c>
      <c r="F6" s="17">
        <f>IFERROR(__xludf.DUMMYFUNCTION("""COMPUTED_VALUE"""),415586)</f>
        <v>415586</v>
      </c>
      <c r="G6" s="16">
        <f>IFERROR(__xludf.DUMMYFUNCTION("""COMPUTED_VALUE"""),45744.6458333333)</f>
        <v>45744.6458333333</v>
      </c>
      <c r="H6" s="17">
        <f>IFERROR(__xludf.DUMMYFUNCTION("""COMPUTED_VALUE"""),5028.65)</f>
        <v>5028.65</v>
      </c>
      <c r="I6" s="16">
        <f>IFERROR(__xludf.DUMMYFUNCTION("""COMPUTED_VALUE"""),45744.6458333333)</f>
        <v>45744.6458333333</v>
      </c>
      <c r="J6" s="17">
        <f>IFERROR(__xludf.DUMMYFUNCTION("""COMPUTED_VALUE"""),4861.95)</f>
        <v>4861.95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IFERROR(__xludf.DUMMYFUNCTION("""COMPUTED_VALUE"""),4900.8)</f>
        <v>4900.8</v>
      </c>
      <c r="C7" s="16">
        <f>IFERROR(__xludf.DUMMYFUNCTION("""COMPUTED_VALUE"""),45748.6458333333)</f>
        <v>45748.6458333333</v>
      </c>
      <c r="D7" s="17">
        <f>IFERROR(__xludf.DUMMYFUNCTION("""COMPUTED_VALUE"""),4890.1)</f>
        <v>4890.1</v>
      </c>
      <c r="E7" s="16">
        <f>IFERROR(__xludf.DUMMYFUNCTION("""COMPUTED_VALUE"""),45748.6458333333)</f>
        <v>45748.6458333333</v>
      </c>
      <c r="F7" s="17">
        <f>IFERROR(__xludf.DUMMYFUNCTION("""COMPUTED_VALUE"""),557968)</f>
        <v>557968</v>
      </c>
      <c r="G7" s="16">
        <f>IFERROR(__xludf.DUMMYFUNCTION("""COMPUTED_VALUE"""),45748.6458333333)</f>
        <v>45748.6458333333</v>
      </c>
      <c r="H7" s="17">
        <f>IFERROR(__xludf.DUMMYFUNCTION("""COMPUTED_VALUE"""),4965)</f>
        <v>4965</v>
      </c>
      <c r="I7" s="16">
        <f>IFERROR(__xludf.DUMMYFUNCTION("""COMPUTED_VALUE"""),45748.6458333333)</f>
        <v>45748.6458333333</v>
      </c>
      <c r="J7" s="17">
        <f>IFERROR(__xludf.DUMMYFUNCTION("""COMPUTED_VALUE"""),4882.55)</f>
        <v>4882.55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IFERROR(__xludf.DUMMYFUNCTION("""COMPUTED_VALUE"""),5037.4)</f>
        <v>5037.4</v>
      </c>
      <c r="C8" s="16">
        <f>IFERROR(__xludf.DUMMYFUNCTION("""COMPUTED_VALUE"""),45749.6458333333)</f>
        <v>45749.6458333333</v>
      </c>
      <c r="D8" s="17">
        <f>IFERROR(__xludf.DUMMYFUNCTION("""COMPUTED_VALUE"""),4905.8)</f>
        <v>4905.8</v>
      </c>
      <c r="E8" s="16">
        <f>IFERROR(__xludf.DUMMYFUNCTION("""COMPUTED_VALUE"""),45749.6458333333)</f>
        <v>45749.6458333333</v>
      </c>
      <c r="F8" s="17">
        <f>IFERROR(__xludf.DUMMYFUNCTION("""COMPUTED_VALUE"""),459267)</f>
        <v>459267</v>
      </c>
      <c r="G8" s="16">
        <f>IFERROR(__xludf.DUMMYFUNCTION("""COMPUTED_VALUE"""),45749.6458333333)</f>
        <v>45749.6458333333</v>
      </c>
      <c r="H8" s="17">
        <f>IFERROR(__xludf.DUMMYFUNCTION("""COMPUTED_VALUE"""),5055)</f>
        <v>5055</v>
      </c>
      <c r="I8" s="16">
        <f>IFERROR(__xludf.DUMMYFUNCTION("""COMPUTED_VALUE"""),45749.6458333333)</f>
        <v>45749.6458333333</v>
      </c>
      <c r="J8" s="17">
        <f>IFERROR(__xludf.DUMMYFUNCTION("""COMPUTED_VALUE"""),4900.8)</f>
        <v>4900.8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IFERROR(__xludf.DUMMYFUNCTION("""COMPUTED_VALUE"""),5073.45)</f>
        <v>5073.45</v>
      </c>
      <c r="C9" s="16">
        <f>IFERROR(__xludf.DUMMYFUNCTION("""COMPUTED_VALUE"""),45750.6458333333)</f>
        <v>45750.6458333333</v>
      </c>
      <c r="D9" s="17">
        <f>IFERROR(__xludf.DUMMYFUNCTION("""COMPUTED_VALUE"""),4990.05)</f>
        <v>4990.05</v>
      </c>
      <c r="E9" s="16">
        <f>IFERROR(__xludf.DUMMYFUNCTION("""COMPUTED_VALUE"""),45750.6458333333)</f>
        <v>45750.6458333333</v>
      </c>
      <c r="F9" s="17">
        <f>IFERROR(__xludf.DUMMYFUNCTION("""COMPUTED_VALUE"""),339959)</f>
        <v>339959</v>
      </c>
      <c r="G9" s="16">
        <f>IFERROR(__xludf.DUMMYFUNCTION("""COMPUTED_VALUE"""),45750.6458333333)</f>
        <v>45750.6458333333</v>
      </c>
      <c r="H9" s="17">
        <f>IFERROR(__xludf.DUMMYFUNCTION("""COMPUTED_VALUE"""),5090)</f>
        <v>5090</v>
      </c>
      <c r="I9" s="16">
        <f>IFERROR(__xludf.DUMMYFUNCTION("""COMPUTED_VALUE"""),45750.6458333333)</f>
        <v>45750.6458333333</v>
      </c>
      <c r="J9" s="17">
        <f>IFERROR(__xludf.DUMMYFUNCTION("""COMPUTED_VALUE"""),4982)</f>
        <v>4982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IFERROR(__xludf.DUMMYFUNCTION("""COMPUTED_VALUE"""),5023.4)</f>
        <v>5023.4</v>
      </c>
      <c r="C10" s="16">
        <f>IFERROR(__xludf.DUMMYFUNCTION("""COMPUTED_VALUE"""),45751.6458333333)</f>
        <v>45751.6458333333</v>
      </c>
      <c r="D10" s="17">
        <f>IFERROR(__xludf.DUMMYFUNCTION("""COMPUTED_VALUE"""),5033.45)</f>
        <v>5033.45</v>
      </c>
      <c r="E10" s="16">
        <f>IFERROR(__xludf.DUMMYFUNCTION("""COMPUTED_VALUE"""),45751.6458333333)</f>
        <v>45751.6458333333</v>
      </c>
      <c r="F10" s="17">
        <f>IFERROR(__xludf.DUMMYFUNCTION("""COMPUTED_VALUE"""),722283)</f>
        <v>722283</v>
      </c>
      <c r="G10" s="16">
        <f>IFERROR(__xludf.DUMMYFUNCTION("""COMPUTED_VALUE"""),45751.6458333333)</f>
        <v>45751.6458333333</v>
      </c>
      <c r="H10" s="17">
        <f>IFERROR(__xludf.DUMMYFUNCTION("""COMPUTED_VALUE"""),5150)</f>
        <v>5150</v>
      </c>
      <c r="I10" s="16">
        <f>IFERROR(__xludf.DUMMYFUNCTION("""COMPUTED_VALUE"""),45751.6458333333)</f>
        <v>45751.6458333333</v>
      </c>
      <c r="J10" s="17">
        <f>IFERROR(__xludf.DUMMYFUNCTION("""COMPUTED_VALUE"""),4977.85)</f>
        <v>4977.85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IFERROR(__xludf.DUMMYFUNCTION("""COMPUTED_VALUE"""),5055.85)</f>
        <v>5055.85</v>
      </c>
      <c r="C11" s="16">
        <f>IFERROR(__xludf.DUMMYFUNCTION("""COMPUTED_VALUE"""),45754.6458333333)</f>
        <v>45754.6458333333</v>
      </c>
      <c r="D11" s="17">
        <f>IFERROR(__xludf.DUMMYFUNCTION("""COMPUTED_VALUE"""),4622)</f>
        <v>4622</v>
      </c>
      <c r="E11" s="16">
        <f>IFERROR(__xludf.DUMMYFUNCTION("""COMPUTED_VALUE"""),45754.6458333333)</f>
        <v>45754.6458333333</v>
      </c>
      <c r="F11" s="17">
        <f>IFERROR(__xludf.DUMMYFUNCTION("""COMPUTED_VALUE"""),841464)</f>
        <v>841464</v>
      </c>
      <c r="G11" s="16">
        <f>IFERROR(__xludf.DUMMYFUNCTION("""COMPUTED_VALUE"""),45754.6458333333)</f>
        <v>45754.6458333333</v>
      </c>
      <c r="H11" s="17">
        <f>IFERROR(__xludf.DUMMYFUNCTION("""COMPUTED_VALUE"""),5072)</f>
        <v>5072</v>
      </c>
      <c r="I11" s="16">
        <f>IFERROR(__xludf.DUMMYFUNCTION("""COMPUTED_VALUE"""),45754.6458333333)</f>
        <v>45754.6458333333</v>
      </c>
      <c r="J11" s="17">
        <f>IFERROR(__xludf.DUMMYFUNCTION("""COMPUTED_VALUE"""),4605.05)</f>
        <v>4605.05</v>
      </c>
      <c r="K11" s="3">
        <f t="shared" ref="K11:K125" si="2">IF(B11=MAX(B5:B17),B11,0)</f>
        <v>0</v>
      </c>
      <c r="L11" s="3">
        <f t="shared" ref="L11:L125" si="3">IF(B11=MIN(B5:B17),B11,0)</f>
        <v>0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IFERROR(__xludf.DUMMYFUNCTION("""COMPUTED_VALUE"""),5179.35)</f>
        <v>5179.35</v>
      </c>
      <c r="C12" s="16">
        <f>IFERROR(__xludf.DUMMYFUNCTION("""COMPUTED_VALUE"""),45755.6458333333)</f>
        <v>45755.6458333333</v>
      </c>
      <c r="D12" s="17">
        <f>IFERROR(__xludf.DUMMYFUNCTION("""COMPUTED_VALUE"""),5062.45)</f>
        <v>5062.45</v>
      </c>
      <c r="E12" s="16">
        <f>IFERROR(__xludf.DUMMYFUNCTION("""COMPUTED_VALUE"""),45755.6458333333)</f>
        <v>45755.6458333333</v>
      </c>
      <c r="F12" s="17">
        <f>IFERROR(__xludf.DUMMYFUNCTION("""COMPUTED_VALUE"""),303185)</f>
        <v>303185</v>
      </c>
      <c r="G12" s="16">
        <f>IFERROR(__xludf.DUMMYFUNCTION("""COMPUTED_VALUE"""),45755.6458333333)</f>
        <v>45755.6458333333</v>
      </c>
      <c r="H12" s="17">
        <f>IFERROR(__xludf.DUMMYFUNCTION("""COMPUTED_VALUE"""),5188.1)</f>
        <v>5188.1</v>
      </c>
      <c r="I12" s="16">
        <f>IFERROR(__xludf.DUMMYFUNCTION("""COMPUTED_VALUE"""),45755.6458333333)</f>
        <v>45755.6458333333</v>
      </c>
      <c r="J12" s="17">
        <f>IFERROR(__xludf.DUMMYFUNCTION("""COMPUTED_VALUE"""),5038.65)</f>
        <v>5038.65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IFERROR(__xludf.DUMMYFUNCTION("""COMPUTED_VALUE"""),5339.45)</f>
        <v>5339.45</v>
      </c>
      <c r="C13" s="16">
        <f>IFERROR(__xludf.DUMMYFUNCTION("""COMPUTED_VALUE"""),45756.6458333333)</f>
        <v>45756.6458333333</v>
      </c>
      <c r="D13" s="17">
        <f>IFERROR(__xludf.DUMMYFUNCTION("""COMPUTED_VALUE"""),5149.5)</f>
        <v>5149.5</v>
      </c>
      <c r="E13" s="16">
        <f>IFERROR(__xludf.DUMMYFUNCTION("""COMPUTED_VALUE"""),45756.6458333333)</f>
        <v>45756.6458333333</v>
      </c>
      <c r="F13" s="17">
        <f>IFERROR(__xludf.DUMMYFUNCTION("""COMPUTED_VALUE"""),549745)</f>
        <v>549745</v>
      </c>
      <c r="G13" s="16">
        <f>IFERROR(__xludf.DUMMYFUNCTION("""COMPUTED_VALUE"""),45756.6458333333)</f>
        <v>45756.6458333333</v>
      </c>
      <c r="H13" s="17">
        <f>IFERROR(__xludf.DUMMYFUNCTION("""COMPUTED_VALUE"""),5352.1)</f>
        <v>5352.1</v>
      </c>
      <c r="I13" s="16">
        <f>IFERROR(__xludf.DUMMYFUNCTION("""COMPUTED_VALUE"""),45756.6458333333)</f>
        <v>45756.6458333333</v>
      </c>
      <c r="J13" s="17">
        <f>IFERROR(__xludf.DUMMYFUNCTION("""COMPUTED_VALUE"""),5149.5)</f>
        <v>5149.5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IFERROR(__xludf.DUMMYFUNCTION("""COMPUTED_VALUE"""),5350.2)</f>
        <v>5350.2</v>
      </c>
      <c r="C14" s="16">
        <f>IFERROR(__xludf.DUMMYFUNCTION("""COMPUTED_VALUE"""),45758.6458333333)</f>
        <v>45758.6458333333</v>
      </c>
      <c r="D14" s="17">
        <f>IFERROR(__xludf.DUMMYFUNCTION("""COMPUTED_VALUE"""),5400.75)</f>
        <v>5400.75</v>
      </c>
      <c r="E14" s="16">
        <f>IFERROR(__xludf.DUMMYFUNCTION("""COMPUTED_VALUE"""),45758.6458333333)</f>
        <v>45758.6458333333</v>
      </c>
      <c r="F14" s="17">
        <f>IFERROR(__xludf.DUMMYFUNCTION("""COMPUTED_VALUE"""),304650)</f>
        <v>304650</v>
      </c>
      <c r="G14" s="16">
        <f>IFERROR(__xludf.DUMMYFUNCTION("""COMPUTED_VALUE"""),45758.6458333333)</f>
        <v>45758.6458333333</v>
      </c>
      <c r="H14" s="17">
        <f>IFERROR(__xludf.DUMMYFUNCTION("""COMPUTED_VALUE"""),5400.75)</f>
        <v>5400.75</v>
      </c>
      <c r="I14" s="16">
        <f>IFERROR(__xludf.DUMMYFUNCTION("""COMPUTED_VALUE"""),45758.6458333333)</f>
        <v>45758.6458333333</v>
      </c>
      <c r="J14" s="17">
        <f>IFERROR(__xludf.DUMMYFUNCTION("""COMPUTED_VALUE"""),5306.5)</f>
        <v>5306.5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IFERROR(__xludf.DUMMYFUNCTION("""COMPUTED_VALUE"""),5391.3)</f>
        <v>5391.3</v>
      </c>
      <c r="C15" s="16">
        <f>IFERROR(__xludf.DUMMYFUNCTION("""COMPUTED_VALUE"""),45762.6458333333)</f>
        <v>45762.6458333333</v>
      </c>
      <c r="D15" s="17">
        <f>IFERROR(__xludf.DUMMYFUNCTION("""COMPUTED_VALUE"""),5428.9)</f>
        <v>5428.9</v>
      </c>
      <c r="E15" s="16">
        <f>IFERROR(__xludf.DUMMYFUNCTION("""COMPUTED_VALUE"""),45762.6458333333)</f>
        <v>45762.6458333333</v>
      </c>
      <c r="F15" s="17">
        <f>IFERROR(__xludf.DUMMYFUNCTION("""COMPUTED_VALUE"""),446075)</f>
        <v>446075</v>
      </c>
      <c r="G15" s="16">
        <f>IFERROR(__xludf.DUMMYFUNCTION("""COMPUTED_VALUE"""),45762.6458333333)</f>
        <v>45762.6458333333</v>
      </c>
      <c r="H15" s="17">
        <f>IFERROR(__xludf.DUMMYFUNCTION("""COMPUTED_VALUE"""),5432)</f>
        <v>5432</v>
      </c>
      <c r="I15" s="16">
        <f>IFERROR(__xludf.DUMMYFUNCTION("""COMPUTED_VALUE"""),45762.6458333333)</f>
        <v>45762.6458333333</v>
      </c>
      <c r="J15" s="17">
        <f>IFERROR(__xludf.DUMMYFUNCTION("""COMPUTED_VALUE"""),5309)</f>
        <v>5309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IFERROR(__xludf.DUMMYFUNCTION("""COMPUTED_VALUE"""),5416.2)</f>
        <v>5416.2</v>
      </c>
      <c r="C16" s="16">
        <f>IFERROR(__xludf.DUMMYFUNCTION("""COMPUTED_VALUE"""),45763.6458333333)</f>
        <v>45763.6458333333</v>
      </c>
      <c r="D16" s="17">
        <f>IFERROR(__xludf.DUMMYFUNCTION("""COMPUTED_VALUE"""),5350.5)</f>
        <v>5350.5</v>
      </c>
      <c r="E16" s="16">
        <f>IFERROR(__xludf.DUMMYFUNCTION("""COMPUTED_VALUE"""),45763.6458333333)</f>
        <v>45763.6458333333</v>
      </c>
      <c r="F16" s="17">
        <f>IFERROR(__xludf.DUMMYFUNCTION("""COMPUTED_VALUE"""),215423)</f>
        <v>215423</v>
      </c>
      <c r="G16" s="16">
        <f>IFERROR(__xludf.DUMMYFUNCTION("""COMPUTED_VALUE"""),45763.6458333333)</f>
        <v>45763.6458333333</v>
      </c>
      <c r="H16" s="17">
        <f>IFERROR(__xludf.DUMMYFUNCTION("""COMPUTED_VALUE"""),5442)</f>
        <v>5442</v>
      </c>
      <c r="I16" s="16">
        <f>IFERROR(__xludf.DUMMYFUNCTION("""COMPUTED_VALUE"""),45763.6458333333)</f>
        <v>45763.6458333333</v>
      </c>
      <c r="J16" s="17">
        <f>IFERROR(__xludf.DUMMYFUNCTION("""COMPUTED_VALUE"""),5350.5)</f>
        <v>5350.5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IFERROR(__xludf.DUMMYFUNCTION("""COMPUTED_VALUE"""),5454.6)</f>
        <v>5454.6</v>
      </c>
      <c r="C17" s="16">
        <f>IFERROR(__xludf.DUMMYFUNCTION("""COMPUTED_VALUE"""),45764.6458333333)</f>
        <v>45764.6458333333</v>
      </c>
      <c r="D17" s="17">
        <f>IFERROR(__xludf.DUMMYFUNCTION("""COMPUTED_VALUE"""),5420)</f>
        <v>5420</v>
      </c>
      <c r="E17" s="16">
        <f>IFERROR(__xludf.DUMMYFUNCTION("""COMPUTED_VALUE"""),45764.6458333333)</f>
        <v>45764.6458333333</v>
      </c>
      <c r="F17" s="17">
        <f>IFERROR(__xludf.DUMMYFUNCTION("""COMPUTED_VALUE"""),186873)</f>
        <v>186873</v>
      </c>
      <c r="G17" s="16">
        <f>IFERROR(__xludf.DUMMYFUNCTION("""COMPUTED_VALUE"""),45764.6458333333)</f>
        <v>45764.6458333333</v>
      </c>
      <c r="H17" s="17">
        <f>IFERROR(__xludf.DUMMYFUNCTION("""COMPUTED_VALUE"""),5469.3)</f>
        <v>5469.3</v>
      </c>
      <c r="I17" s="16">
        <f>IFERROR(__xludf.DUMMYFUNCTION("""COMPUTED_VALUE"""),45764.6458333333)</f>
        <v>45764.6458333333</v>
      </c>
      <c r="J17" s="17">
        <f>IFERROR(__xludf.DUMMYFUNCTION("""COMPUTED_VALUE"""),5396.8)</f>
        <v>5396.8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IFERROR(__xludf.DUMMYFUNCTION("""COMPUTED_VALUE"""),5393.2)</f>
        <v>5393.2</v>
      </c>
      <c r="C18" s="16">
        <f>IFERROR(__xludf.DUMMYFUNCTION("""COMPUTED_VALUE"""),45768.6458333333)</f>
        <v>45768.6458333333</v>
      </c>
      <c r="D18" s="17">
        <f>IFERROR(__xludf.DUMMYFUNCTION("""COMPUTED_VALUE"""),5480.5)</f>
        <v>5480.5</v>
      </c>
      <c r="E18" s="16">
        <f>IFERROR(__xludf.DUMMYFUNCTION("""COMPUTED_VALUE"""),45768.6458333333)</f>
        <v>45768.6458333333</v>
      </c>
      <c r="F18" s="17">
        <f>IFERROR(__xludf.DUMMYFUNCTION("""COMPUTED_VALUE"""),201975)</f>
        <v>201975</v>
      </c>
      <c r="G18" s="16">
        <f>IFERROR(__xludf.DUMMYFUNCTION("""COMPUTED_VALUE"""),45768.6458333333)</f>
        <v>45768.6458333333</v>
      </c>
      <c r="H18" s="17">
        <f>IFERROR(__xludf.DUMMYFUNCTION("""COMPUTED_VALUE"""),5480.5)</f>
        <v>5480.5</v>
      </c>
      <c r="I18" s="16">
        <f>IFERROR(__xludf.DUMMYFUNCTION("""COMPUTED_VALUE"""),45768.6458333333)</f>
        <v>45768.6458333333</v>
      </c>
      <c r="J18" s="17">
        <f>IFERROR(__xludf.DUMMYFUNCTION("""COMPUTED_VALUE"""),5370)</f>
        <v>5370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IFERROR(__xludf.DUMMYFUNCTION("""COMPUTED_VALUE"""),5435.5)</f>
        <v>5435.5</v>
      </c>
      <c r="C19" s="16">
        <f>IFERROR(__xludf.DUMMYFUNCTION("""COMPUTED_VALUE"""),45769.6458333333)</f>
        <v>45769.6458333333</v>
      </c>
      <c r="D19" s="17">
        <f>IFERROR(__xludf.DUMMYFUNCTION("""COMPUTED_VALUE"""),5440)</f>
        <v>5440</v>
      </c>
      <c r="E19" s="16">
        <f>IFERROR(__xludf.DUMMYFUNCTION("""COMPUTED_VALUE"""),45769.6458333333)</f>
        <v>45769.6458333333</v>
      </c>
      <c r="F19" s="17">
        <f>IFERROR(__xludf.DUMMYFUNCTION("""COMPUTED_VALUE"""),286928)</f>
        <v>286928</v>
      </c>
      <c r="G19" s="16">
        <f>IFERROR(__xludf.DUMMYFUNCTION("""COMPUTED_VALUE"""),45769.6458333333)</f>
        <v>45769.6458333333</v>
      </c>
      <c r="H19" s="17">
        <f>IFERROR(__xludf.DUMMYFUNCTION("""COMPUTED_VALUE"""),5485)</f>
        <v>5485</v>
      </c>
      <c r="I19" s="16">
        <f>IFERROR(__xludf.DUMMYFUNCTION("""COMPUTED_VALUE"""),45769.6458333333)</f>
        <v>45769.6458333333</v>
      </c>
      <c r="J19" s="17">
        <f>IFERROR(__xludf.DUMMYFUNCTION("""COMPUTED_VALUE"""),5384)</f>
        <v>5384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IFERROR(__xludf.DUMMYFUNCTION("""COMPUTED_VALUE"""),5544.3)</f>
        <v>5544.3</v>
      </c>
      <c r="C20" s="16">
        <f>IFERROR(__xludf.DUMMYFUNCTION("""COMPUTED_VALUE"""),45770.6458333333)</f>
        <v>45770.6458333333</v>
      </c>
      <c r="D20" s="17">
        <f>IFERROR(__xludf.DUMMYFUNCTION("""COMPUTED_VALUE"""),5435.5)</f>
        <v>5435.5</v>
      </c>
      <c r="E20" s="16">
        <f>IFERROR(__xludf.DUMMYFUNCTION("""COMPUTED_VALUE"""),45770.6458333333)</f>
        <v>45770.6458333333</v>
      </c>
      <c r="F20" s="17">
        <f>IFERROR(__xludf.DUMMYFUNCTION("""COMPUTED_VALUE"""),266881)</f>
        <v>266881</v>
      </c>
      <c r="G20" s="16">
        <f>IFERROR(__xludf.DUMMYFUNCTION("""COMPUTED_VALUE"""),45770.6458333333)</f>
        <v>45770.6458333333</v>
      </c>
      <c r="H20" s="17">
        <f>IFERROR(__xludf.DUMMYFUNCTION("""COMPUTED_VALUE"""),5549)</f>
        <v>5549</v>
      </c>
      <c r="I20" s="16">
        <f>IFERROR(__xludf.DUMMYFUNCTION("""COMPUTED_VALUE"""),45770.6458333333)</f>
        <v>45770.6458333333</v>
      </c>
      <c r="J20" s="17">
        <f>IFERROR(__xludf.DUMMYFUNCTION("""COMPUTED_VALUE"""),5406.3)</f>
        <v>5406.3</v>
      </c>
      <c r="K20" s="3">
        <f t="shared" si="2"/>
        <v>5544.3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IFERROR(__xludf.DUMMYFUNCTION("""COMPUTED_VALUE"""),5461.9)</f>
        <v>5461.9</v>
      </c>
      <c r="C21" s="16">
        <f>IFERROR(__xludf.DUMMYFUNCTION("""COMPUTED_VALUE"""),45771.6458333333)</f>
        <v>45771.6458333333</v>
      </c>
      <c r="D21" s="17">
        <f>IFERROR(__xludf.DUMMYFUNCTION("""COMPUTED_VALUE"""),5550)</f>
        <v>5550</v>
      </c>
      <c r="E21" s="16">
        <f>IFERROR(__xludf.DUMMYFUNCTION("""COMPUTED_VALUE"""),45771.6458333333)</f>
        <v>45771.6458333333</v>
      </c>
      <c r="F21" s="17">
        <f>IFERROR(__xludf.DUMMYFUNCTION("""COMPUTED_VALUE"""),339754)</f>
        <v>339754</v>
      </c>
      <c r="G21" s="16">
        <f>IFERROR(__xludf.DUMMYFUNCTION("""COMPUTED_VALUE"""),45771.6458333333)</f>
        <v>45771.6458333333</v>
      </c>
      <c r="H21" s="17">
        <f>IFERROR(__xludf.DUMMYFUNCTION("""COMPUTED_VALUE"""),5622.7)</f>
        <v>5622.7</v>
      </c>
      <c r="I21" s="16">
        <f>IFERROR(__xludf.DUMMYFUNCTION("""COMPUTED_VALUE"""),45771.6458333333)</f>
        <v>45771.6458333333</v>
      </c>
      <c r="J21" s="17">
        <f>IFERROR(__xludf.DUMMYFUNCTION("""COMPUTED_VALUE"""),5427.7)</f>
        <v>5427.7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IFERROR(__xludf.DUMMYFUNCTION("""COMPUTED_VALUE"""),5420.5)</f>
        <v>5420.5</v>
      </c>
      <c r="C22" s="16">
        <f>IFERROR(__xludf.DUMMYFUNCTION("""COMPUTED_VALUE"""),45772.6458333333)</f>
        <v>45772.6458333333</v>
      </c>
      <c r="D22" s="17">
        <f>IFERROR(__xludf.DUMMYFUNCTION("""COMPUTED_VALUE"""),5462.1)</f>
        <v>5462.1</v>
      </c>
      <c r="E22" s="16">
        <f>IFERROR(__xludf.DUMMYFUNCTION("""COMPUTED_VALUE"""),45772.6458333333)</f>
        <v>45772.6458333333</v>
      </c>
      <c r="F22" s="17">
        <f>IFERROR(__xludf.DUMMYFUNCTION("""COMPUTED_VALUE"""),244513)</f>
        <v>244513</v>
      </c>
      <c r="G22" s="16">
        <f>IFERROR(__xludf.DUMMYFUNCTION("""COMPUTED_VALUE"""),45772.6458333333)</f>
        <v>45772.6458333333</v>
      </c>
      <c r="H22" s="17">
        <f>IFERROR(__xludf.DUMMYFUNCTION("""COMPUTED_VALUE"""),5521)</f>
        <v>5521</v>
      </c>
      <c r="I22" s="16">
        <f>IFERROR(__xludf.DUMMYFUNCTION("""COMPUTED_VALUE"""),45772.6458333333)</f>
        <v>45772.6458333333</v>
      </c>
      <c r="J22" s="17">
        <f>IFERROR(__xludf.DUMMYFUNCTION("""COMPUTED_VALUE"""),5362)</f>
        <v>5362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IFERROR(__xludf.DUMMYFUNCTION("""COMPUTED_VALUE"""),5428.8)</f>
        <v>5428.8</v>
      </c>
      <c r="C23" s="16">
        <f>IFERROR(__xludf.DUMMYFUNCTION("""COMPUTED_VALUE"""),45775.6458333333)</f>
        <v>45775.6458333333</v>
      </c>
      <c r="D23" s="17">
        <f>IFERROR(__xludf.DUMMYFUNCTION("""COMPUTED_VALUE"""),5413)</f>
        <v>5413</v>
      </c>
      <c r="E23" s="16">
        <f>IFERROR(__xludf.DUMMYFUNCTION("""COMPUTED_VALUE"""),45775.6458333333)</f>
        <v>45775.6458333333</v>
      </c>
      <c r="F23" s="17">
        <f>IFERROR(__xludf.DUMMYFUNCTION("""COMPUTED_VALUE"""),107666)</f>
        <v>107666</v>
      </c>
      <c r="G23" s="16">
        <f>IFERROR(__xludf.DUMMYFUNCTION("""COMPUTED_VALUE"""),45775.6458333333)</f>
        <v>45775.6458333333</v>
      </c>
      <c r="H23" s="17">
        <f>IFERROR(__xludf.DUMMYFUNCTION("""COMPUTED_VALUE"""),5481.8)</f>
        <v>5481.8</v>
      </c>
      <c r="I23" s="16">
        <f>IFERROR(__xludf.DUMMYFUNCTION("""COMPUTED_VALUE"""),45775.6458333333)</f>
        <v>45775.6458333333</v>
      </c>
      <c r="J23" s="17">
        <f>IFERROR(__xludf.DUMMYFUNCTION("""COMPUTED_VALUE"""),5403.3)</f>
        <v>5403.3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IFERROR(__xludf.DUMMYFUNCTION("""COMPUTED_VALUE"""),5468.3)</f>
        <v>5468.3</v>
      </c>
      <c r="C24" s="16">
        <f>IFERROR(__xludf.DUMMYFUNCTION("""COMPUTED_VALUE"""),45776.6458333333)</f>
        <v>45776.6458333333</v>
      </c>
      <c r="D24" s="17">
        <f>IFERROR(__xludf.DUMMYFUNCTION("""COMPUTED_VALUE"""),5428.8)</f>
        <v>5428.8</v>
      </c>
      <c r="E24" s="16">
        <f>IFERROR(__xludf.DUMMYFUNCTION("""COMPUTED_VALUE"""),45776.6458333333)</f>
        <v>45776.6458333333</v>
      </c>
      <c r="F24" s="17">
        <f>IFERROR(__xludf.DUMMYFUNCTION("""COMPUTED_VALUE"""),294207)</f>
        <v>294207</v>
      </c>
      <c r="G24" s="16">
        <f>IFERROR(__xludf.DUMMYFUNCTION("""COMPUTED_VALUE"""),45776.6458333333)</f>
        <v>45776.6458333333</v>
      </c>
      <c r="H24" s="17">
        <f>IFERROR(__xludf.DUMMYFUNCTION("""COMPUTED_VALUE"""),5535)</f>
        <v>5535</v>
      </c>
      <c r="I24" s="16">
        <f>IFERROR(__xludf.DUMMYFUNCTION("""COMPUTED_VALUE"""),45776.6458333333)</f>
        <v>45776.6458333333</v>
      </c>
      <c r="J24" s="17">
        <f>IFERROR(__xludf.DUMMYFUNCTION("""COMPUTED_VALUE"""),5405.5)</f>
        <v>5405.5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IFERROR(__xludf.DUMMYFUNCTION("""COMPUTED_VALUE"""),5438.9)</f>
        <v>5438.9</v>
      </c>
      <c r="C25" s="16">
        <f>IFERROR(__xludf.DUMMYFUNCTION("""COMPUTED_VALUE"""),45777.6458333333)</f>
        <v>45777.6458333333</v>
      </c>
      <c r="D25" s="17">
        <f>IFERROR(__xludf.DUMMYFUNCTION("""COMPUTED_VALUE"""),5484)</f>
        <v>5484</v>
      </c>
      <c r="E25" s="16">
        <f>IFERROR(__xludf.DUMMYFUNCTION("""COMPUTED_VALUE"""),45777.6458333333)</f>
        <v>45777.6458333333</v>
      </c>
      <c r="F25" s="17">
        <f>IFERROR(__xludf.DUMMYFUNCTION("""COMPUTED_VALUE"""),284371)</f>
        <v>284371</v>
      </c>
      <c r="G25" s="16">
        <f>IFERROR(__xludf.DUMMYFUNCTION("""COMPUTED_VALUE"""),45777.6458333333)</f>
        <v>45777.6458333333</v>
      </c>
      <c r="H25" s="17">
        <f>IFERROR(__xludf.DUMMYFUNCTION("""COMPUTED_VALUE"""),5546.8)</f>
        <v>5546.8</v>
      </c>
      <c r="I25" s="16">
        <f>IFERROR(__xludf.DUMMYFUNCTION("""COMPUTED_VALUE"""),45777.6458333333)</f>
        <v>45777.6458333333</v>
      </c>
      <c r="J25" s="17">
        <f>IFERROR(__xludf.DUMMYFUNCTION("""COMPUTED_VALUE"""),5386.1)</f>
        <v>5386.1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IFERROR(__xludf.DUMMYFUNCTION("""COMPUTED_VALUE"""),5307.5)</f>
        <v>5307.5</v>
      </c>
      <c r="C26" s="16">
        <f>IFERROR(__xludf.DUMMYFUNCTION("""COMPUTED_VALUE"""),45779.6458333333)</f>
        <v>45779.6458333333</v>
      </c>
      <c r="D26" s="17">
        <f>IFERROR(__xludf.DUMMYFUNCTION("""COMPUTED_VALUE"""),5380)</f>
        <v>5380</v>
      </c>
      <c r="E26" s="16">
        <f>IFERROR(__xludf.DUMMYFUNCTION("""COMPUTED_VALUE"""),45779.6458333333)</f>
        <v>45779.6458333333</v>
      </c>
      <c r="F26" s="17">
        <f>IFERROR(__xludf.DUMMYFUNCTION("""COMPUTED_VALUE"""),262909)</f>
        <v>262909</v>
      </c>
      <c r="G26" s="16">
        <f>IFERROR(__xludf.DUMMYFUNCTION("""COMPUTED_VALUE"""),45779.6458333333)</f>
        <v>45779.6458333333</v>
      </c>
      <c r="H26" s="17">
        <f>IFERROR(__xludf.DUMMYFUNCTION("""COMPUTED_VALUE"""),5407)</f>
        <v>5407</v>
      </c>
      <c r="I26" s="16">
        <f>IFERROR(__xludf.DUMMYFUNCTION("""COMPUTED_VALUE"""),45779.6458333333)</f>
        <v>45779.6458333333</v>
      </c>
      <c r="J26" s="17">
        <f>IFERROR(__xludf.DUMMYFUNCTION("""COMPUTED_VALUE"""),5276.5)</f>
        <v>5276.5</v>
      </c>
      <c r="K26" s="3">
        <f t="shared" si="2"/>
        <v>0</v>
      </c>
      <c r="L26" s="3">
        <f t="shared" si="3"/>
        <v>5307.5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IFERROR(__xludf.DUMMYFUNCTION("""COMPUTED_VALUE"""),5359)</f>
        <v>5359</v>
      </c>
      <c r="C27" s="16">
        <f>IFERROR(__xludf.DUMMYFUNCTION("""COMPUTED_VALUE"""),45782.6458333333)</f>
        <v>45782.6458333333</v>
      </c>
      <c r="D27" s="17">
        <f>IFERROR(__xludf.DUMMYFUNCTION("""COMPUTED_VALUE"""),5319)</f>
        <v>5319</v>
      </c>
      <c r="E27" s="16">
        <f>IFERROR(__xludf.DUMMYFUNCTION("""COMPUTED_VALUE"""),45782.6458333333)</f>
        <v>45782.6458333333</v>
      </c>
      <c r="F27" s="17">
        <f>IFERROR(__xludf.DUMMYFUNCTION("""COMPUTED_VALUE"""),97149)</f>
        <v>97149</v>
      </c>
      <c r="G27" s="16">
        <f>IFERROR(__xludf.DUMMYFUNCTION("""COMPUTED_VALUE"""),45782.6458333333)</f>
        <v>45782.6458333333</v>
      </c>
      <c r="H27" s="17">
        <f>IFERROR(__xludf.DUMMYFUNCTION("""COMPUTED_VALUE"""),5380)</f>
        <v>5380</v>
      </c>
      <c r="I27" s="16">
        <f>IFERROR(__xludf.DUMMYFUNCTION("""COMPUTED_VALUE"""),45782.6458333333)</f>
        <v>45782.6458333333</v>
      </c>
      <c r="J27" s="17">
        <f>IFERROR(__xludf.DUMMYFUNCTION("""COMPUTED_VALUE"""),5310)</f>
        <v>5310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IFERROR(__xludf.DUMMYFUNCTION("""COMPUTED_VALUE"""),5393.5)</f>
        <v>5393.5</v>
      </c>
      <c r="C28" s="16">
        <f>IFERROR(__xludf.DUMMYFUNCTION("""COMPUTED_VALUE"""),45783.6458333333)</f>
        <v>45783.6458333333</v>
      </c>
      <c r="D28" s="17">
        <f>IFERROR(__xludf.DUMMYFUNCTION("""COMPUTED_VALUE"""),5350)</f>
        <v>5350</v>
      </c>
      <c r="E28" s="16">
        <f>IFERROR(__xludf.DUMMYFUNCTION("""COMPUTED_VALUE"""),45783.6458333333)</f>
        <v>45783.6458333333</v>
      </c>
      <c r="F28" s="17">
        <f>IFERROR(__xludf.DUMMYFUNCTION("""COMPUTED_VALUE"""),175899)</f>
        <v>175899</v>
      </c>
      <c r="G28" s="16">
        <f>IFERROR(__xludf.DUMMYFUNCTION("""COMPUTED_VALUE"""),45783.6458333333)</f>
        <v>45783.6458333333</v>
      </c>
      <c r="H28" s="17">
        <f>IFERROR(__xludf.DUMMYFUNCTION("""COMPUTED_VALUE"""),5415.5)</f>
        <v>5415.5</v>
      </c>
      <c r="I28" s="16">
        <f>IFERROR(__xludf.DUMMYFUNCTION("""COMPUTED_VALUE"""),45783.6458333333)</f>
        <v>45783.6458333333</v>
      </c>
      <c r="J28" s="17">
        <f>IFERROR(__xludf.DUMMYFUNCTION("""COMPUTED_VALUE"""),5311)</f>
        <v>5311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IFERROR(__xludf.DUMMYFUNCTION("""COMPUTED_VALUE"""),5351)</f>
        <v>5351</v>
      </c>
      <c r="C29" s="16">
        <f>IFERROR(__xludf.DUMMYFUNCTION("""COMPUTED_VALUE"""),45784.6458333333)</f>
        <v>45784.6458333333</v>
      </c>
      <c r="D29" s="17">
        <f>IFERROR(__xludf.DUMMYFUNCTION("""COMPUTED_VALUE"""),5361)</f>
        <v>5361</v>
      </c>
      <c r="E29" s="16">
        <f>IFERROR(__xludf.DUMMYFUNCTION("""COMPUTED_VALUE"""),45784.6458333333)</f>
        <v>45784.6458333333</v>
      </c>
      <c r="F29" s="17">
        <f>IFERROR(__xludf.DUMMYFUNCTION("""COMPUTED_VALUE"""),168716)</f>
        <v>168716</v>
      </c>
      <c r="G29" s="16">
        <f>IFERROR(__xludf.DUMMYFUNCTION("""COMPUTED_VALUE"""),45784.6458333333)</f>
        <v>45784.6458333333</v>
      </c>
      <c r="H29" s="17">
        <f>IFERROR(__xludf.DUMMYFUNCTION("""COMPUTED_VALUE"""),5395)</f>
        <v>5395</v>
      </c>
      <c r="I29" s="16">
        <f>IFERROR(__xludf.DUMMYFUNCTION("""COMPUTED_VALUE"""),45784.6458333333)</f>
        <v>45784.6458333333</v>
      </c>
      <c r="J29" s="17">
        <f>IFERROR(__xludf.DUMMYFUNCTION("""COMPUTED_VALUE"""),5318.5)</f>
        <v>5318.5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IFERROR(__xludf.DUMMYFUNCTION("""COMPUTED_VALUE"""),5391)</f>
        <v>5391</v>
      </c>
      <c r="C30" s="16">
        <f>IFERROR(__xludf.DUMMYFUNCTION("""COMPUTED_VALUE"""),45785.6458333333)</f>
        <v>45785.6458333333</v>
      </c>
      <c r="D30" s="17">
        <f>IFERROR(__xludf.DUMMYFUNCTION("""COMPUTED_VALUE"""),5351)</f>
        <v>5351</v>
      </c>
      <c r="E30" s="16">
        <f>IFERROR(__xludf.DUMMYFUNCTION("""COMPUTED_VALUE"""),45785.6458333333)</f>
        <v>45785.6458333333</v>
      </c>
      <c r="F30" s="17">
        <f>IFERROR(__xludf.DUMMYFUNCTION("""COMPUTED_VALUE"""),265391)</f>
        <v>265391</v>
      </c>
      <c r="G30" s="16">
        <f>IFERROR(__xludf.DUMMYFUNCTION("""COMPUTED_VALUE"""),45785.6458333333)</f>
        <v>45785.6458333333</v>
      </c>
      <c r="H30" s="17">
        <f>IFERROR(__xludf.DUMMYFUNCTION("""COMPUTED_VALUE"""),5480)</f>
        <v>5480</v>
      </c>
      <c r="I30" s="16">
        <f>IFERROR(__xludf.DUMMYFUNCTION("""COMPUTED_VALUE"""),45785.6458333333)</f>
        <v>45785.6458333333</v>
      </c>
      <c r="J30" s="17">
        <f>IFERROR(__xludf.DUMMYFUNCTION("""COMPUTED_VALUE"""),5314.5)</f>
        <v>5314.5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IFERROR(__xludf.DUMMYFUNCTION("""COMPUTED_VALUE"""),5436)</f>
        <v>5436</v>
      </c>
      <c r="C31" s="16">
        <f>IFERROR(__xludf.DUMMYFUNCTION("""COMPUTED_VALUE"""),45786.6458333333)</f>
        <v>45786.6458333333</v>
      </c>
      <c r="D31" s="17">
        <f>IFERROR(__xludf.DUMMYFUNCTION("""COMPUTED_VALUE"""),5374.5)</f>
        <v>5374.5</v>
      </c>
      <c r="E31" s="16">
        <f>IFERROR(__xludf.DUMMYFUNCTION("""COMPUTED_VALUE"""),45786.6458333333)</f>
        <v>45786.6458333333</v>
      </c>
      <c r="F31" s="17">
        <f>IFERROR(__xludf.DUMMYFUNCTION("""COMPUTED_VALUE"""),476782)</f>
        <v>476782</v>
      </c>
      <c r="G31" s="16">
        <f>IFERROR(__xludf.DUMMYFUNCTION("""COMPUTED_VALUE"""),45786.6458333333)</f>
        <v>45786.6458333333</v>
      </c>
      <c r="H31" s="17">
        <f>IFERROR(__xludf.DUMMYFUNCTION("""COMPUTED_VALUE"""),5503.5)</f>
        <v>5503.5</v>
      </c>
      <c r="I31" s="16">
        <f>IFERROR(__xludf.DUMMYFUNCTION("""COMPUTED_VALUE"""),45786.6458333333)</f>
        <v>45786.6458333333</v>
      </c>
      <c r="J31" s="17">
        <f>IFERROR(__xludf.DUMMYFUNCTION("""COMPUTED_VALUE"""),5354.5)</f>
        <v>5354.5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IFERROR(__xludf.DUMMYFUNCTION("""COMPUTED_VALUE"""),5608.5)</f>
        <v>5608.5</v>
      </c>
      <c r="C32" s="16">
        <f>IFERROR(__xludf.DUMMYFUNCTION("""COMPUTED_VALUE"""),45789.6458333333)</f>
        <v>45789.6458333333</v>
      </c>
      <c r="D32" s="17">
        <f>IFERROR(__xludf.DUMMYFUNCTION("""COMPUTED_VALUE"""),5540)</f>
        <v>5540</v>
      </c>
      <c r="E32" s="16">
        <f>IFERROR(__xludf.DUMMYFUNCTION("""COMPUTED_VALUE"""),45789.6458333333)</f>
        <v>45789.6458333333</v>
      </c>
      <c r="F32" s="17">
        <f>IFERROR(__xludf.DUMMYFUNCTION("""COMPUTED_VALUE"""),192712)</f>
        <v>192712</v>
      </c>
      <c r="G32" s="16">
        <f>IFERROR(__xludf.DUMMYFUNCTION("""COMPUTED_VALUE"""),45789.6458333333)</f>
        <v>45789.6458333333</v>
      </c>
      <c r="H32" s="17">
        <f>IFERROR(__xludf.DUMMYFUNCTION("""COMPUTED_VALUE"""),5621.5)</f>
        <v>5621.5</v>
      </c>
      <c r="I32" s="16">
        <f>IFERROR(__xludf.DUMMYFUNCTION("""COMPUTED_VALUE"""),45789.6458333333)</f>
        <v>45789.6458333333</v>
      </c>
      <c r="J32" s="17">
        <f>IFERROR(__xludf.DUMMYFUNCTION("""COMPUTED_VALUE"""),5415)</f>
        <v>5415</v>
      </c>
      <c r="K32" s="3">
        <f t="shared" si="2"/>
        <v>5608.5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IFERROR(__xludf.DUMMYFUNCTION("""COMPUTED_VALUE"""),5485)</f>
        <v>5485</v>
      </c>
      <c r="C33" s="16">
        <f>IFERROR(__xludf.DUMMYFUNCTION("""COMPUTED_VALUE"""),45790.6458333333)</f>
        <v>45790.6458333333</v>
      </c>
      <c r="D33" s="17">
        <f>IFERROR(__xludf.DUMMYFUNCTION("""COMPUTED_VALUE"""),5629.5)</f>
        <v>5629.5</v>
      </c>
      <c r="E33" s="16">
        <f>IFERROR(__xludf.DUMMYFUNCTION("""COMPUTED_VALUE"""),45790.6458333333)</f>
        <v>45790.6458333333</v>
      </c>
      <c r="F33" s="17">
        <f>IFERROR(__xludf.DUMMYFUNCTION("""COMPUTED_VALUE"""),366566)</f>
        <v>366566</v>
      </c>
      <c r="G33" s="16">
        <f>IFERROR(__xludf.DUMMYFUNCTION("""COMPUTED_VALUE"""),45790.6458333333)</f>
        <v>45790.6458333333</v>
      </c>
      <c r="H33" s="17">
        <f>IFERROR(__xludf.DUMMYFUNCTION("""COMPUTED_VALUE"""),5640)</f>
        <v>5640</v>
      </c>
      <c r="I33" s="16">
        <f>IFERROR(__xludf.DUMMYFUNCTION("""COMPUTED_VALUE"""),45790.6458333333)</f>
        <v>45790.6458333333</v>
      </c>
      <c r="J33" s="17">
        <f>IFERROR(__xludf.DUMMYFUNCTION("""COMPUTED_VALUE"""),5462)</f>
        <v>5462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IFERROR(__xludf.DUMMYFUNCTION("""COMPUTED_VALUE"""),5484)</f>
        <v>5484</v>
      </c>
      <c r="C34" s="16">
        <f>IFERROR(__xludf.DUMMYFUNCTION("""COMPUTED_VALUE"""),45791.6458333333)</f>
        <v>45791.6458333333</v>
      </c>
      <c r="D34" s="17">
        <f>IFERROR(__xludf.DUMMYFUNCTION("""COMPUTED_VALUE"""),5456)</f>
        <v>5456</v>
      </c>
      <c r="E34" s="16">
        <f>IFERROR(__xludf.DUMMYFUNCTION("""COMPUTED_VALUE"""),45791.6458333333)</f>
        <v>45791.6458333333</v>
      </c>
      <c r="F34" s="17">
        <f>IFERROR(__xludf.DUMMYFUNCTION("""COMPUTED_VALUE"""),389963)</f>
        <v>389963</v>
      </c>
      <c r="G34" s="16">
        <f>IFERROR(__xludf.DUMMYFUNCTION("""COMPUTED_VALUE"""),45791.6458333333)</f>
        <v>45791.6458333333</v>
      </c>
      <c r="H34" s="17">
        <f>IFERROR(__xludf.DUMMYFUNCTION("""COMPUTED_VALUE"""),5585.5)</f>
        <v>5585.5</v>
      </c>
      <c r="I34" s="16">
        <f>IFERROR(__xludf.DUMMYFUNCTION("""COMPUTED_VALUE"""),45791.6458333333)</f>
        <v>45791.6458333333</v>
      </c>
      <c r="J34" s="17">
        <f>IFERROR(__xludf.DUMMYFUNCTION("""COMPUTED_VALUE"""),5437.5)</f>
        <v>5437.5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IFERROR(__xludf.DUMMYFUNCTION("""COMPUTED_VALUE"""),5465)</f>
        <v>5465</v>
      </c>
      <c r="C35" s="16">
        <f>IFERROR(__xludf.DUMMYFUNCTION("""COMPUTED_VALUE"""),45792.6458333333)</f>
        <v>45792.6458333333</v>
      </c>
      <c r="D35" s="17">
        <f>IFERROR(__xludf.DUMMYFUNCTION("""COMPUTED_VALUE"""),5509)</f>
        <v>5509</v>
      </c>
      <c r="E35" s="16">
        <f>IFERROR(__xludf.DUMMYFUNCTION("""COMPUTED_VALUE"""),45792.6458333333)</f>
        <v>45792.6458333333</v>
      </c>
      <c r="F35" s="17">
        <f>IFERROR(__xludf.DUMMYFUNCTION("""COMPUTED_VALUE"""),462518)</f>
        <v>462518</v>
      </c>
      <c r="G35" s="16">
        <f>IFERROR(__xludf.DUMMYFUNCTION("""COMPUTED_VALUE"""),45792.6458333333)</f>
        <v>45792.6458333333</v>
      </c>
      <c r="H35" s="17">
        <f>IFERROR(__xludf.DUMMYFUNCTION("""COMPUTED_VALUE"""),5529.5)</f>
        <v>5529.5</v>
      </c>
      <c r="I35" s="16">
        <f>IFERROR(__xludf.DUMMYFUNCTION("""COMPUTED_VALUE"""),45792.6458333333)</f>
        <v>45792.6458333333</v>
      </c>
      <c r="J35" s="17">
        <f>IFERROR(__xludf.DUMMYFUNCTION("""COMPUTED_VALUE"""),5457.5)</f>
        <v>5457.5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IFERROR(__xludf.DUMMYFUNCTION("""COMPUTED_VALUE"""),5501.5)</f>
        <v>5501.5</v>
      </c>
      <c r="C36" s="16">
        <f>IFERROR(__xludf.DUMMYFUNCTION("""COMPUTED_VALUE"""),45793.6458333333)</f>
        <v>45793.6458333333</v>
      </c>
      <c r="D36" s="17">
        <f>IFERROR(__xludf.DUMMYFUNCTION("""COMPUTED_VALUE"""),5472)</f>
        <v>5472</v>
      </c>
      <c r="E36" s="16">
        <f>IFERROR(__xludf.DUMMYFUNCTION("""COMPUTED_VALUE"""),45793.6458333333)</f>
        <v>45793.6458333333</v>
      </c>
      <c r="F36" s="17">
        <f>IFERROR(__xludf.DUMMYFUNCTION("""COMPUTED_VALUE"""),154274)</f>
        <v>154274</v>
      </c>
      <c r="G36" s="16">
        <f>IFERROR(__xludf.DUMMYFUNCTION("""COMPUTED_VALUE"""),45793.6458333333)</f>
        <v>45793.6458333333</v>
      </c>
      <c r="H36" s="17">
        <f>IFERROR(__xludf.DUMMYFUNCTION("""COMPUTED_VALUE"""),5527)</f>
        <v>5527</v>
      </c>
      <c r="I36" s="16">
        <f>IFERROR(__xludf.DUMMYFUNCTION("""COMPUTED_VALUE"""),45793.6458333333)</f>
        <v>45793.6458333333</v>
      </c>
      <c r="J36" s="17">
        <f>IFERROR(__xludf.DUMMYFUNCTION("""COMPUTED_VALUE"""),5452.5)</f>
        <v>5452.5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IFERROR(__xludf.DUMMYFUNCTION("""COMPUTED_VALUE"""),5519.5)</f>
        <v>5519.5</v>
      </c>
      <c r="C37" s="16">
        <f>IFERROR(__xludf.DUMMYFUNCTION("""COMPUTED_VALUE"""),45796.6458333333)</f>
        <v>45796.6458333333</v>
      </c>
      <c r="D37" s="17">
        <f>IFERROR(__xludf.DUMMYFUNCTION("""COMPUTED_VALUE"""),5501.5)</f>
        <v>5501.5</v>
      </c>
      <c r="E37" s="16">
        <f>IFERROR(__xludf.DUMMYFUNCTION("""COMPUTED_VALUE"""),45796.6458333333)</f>
        <v>45796.6458333333</v>
      </c>
      <c r="F37" s="17">
        <f>IFERROR(__xludf.DUMMYFUNCTION("""COMPUTED_VALUE"""),147864)</f>
        <v>147864</v>
      </c>
      <c r="G37" s="16">
        <f>IFERROR(__xludf.DUMMYFUNCTION("""COMPUTED_VALUE"""),45796.6458333333)</f>
        <v>45796.6458333333</v>
      </c>
      <c r="H37" s="17">
        <f>IFERROR(__xludf.DUMMYFUNCTION("""COMPUTED_VALUE"""),5547.5)</f>
        <v>5547.5</v>
      </c>
      <c r="I37" s="16">
        <f>IFERROR(__xludf.DUMMYFUNCTION("""COMPUTED_VALUE"""),45796.6458333333)</f>
        <v>45796.6458333333</v>
      </c>
      <c r="J37" s="17">
        <f>IFERROR(__xludf.DUMMYFUNCTION("""COMPUTED_VALUE"""),5460)</f>
        <v>5460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IFERROR(__xludf.DUMMYFUNCTION("""COMPUTED_VALUE"""),5428)</f>
        <v>5428</v>
      </c>
      <c r="C38" s="16">
        <f>IFERROR(__xludf.DUMMYFUNCTION("""COMPUTED_VALUE"""),45797.6458333333)</f>
        <v>45797.6458333333</v>
      </c>
      <c r="D38" s="17">
        <f>IFERROR(__xludf.DUMMYFUNCTION("""COMPUTED_VALUE"""),5518)</f>
        <v>5518</v>
      </c>
      <c r="E38" s="16">
        <f>IFERROR(__xludf.DUMMYFUNCTION("""COMPUTED_VALUE"""),45797.6458333333)</f>
        <v>45797.6458333333</v>
      </c>
      <c r="F38" s="17">
        <f>IFERROR(__xludf.DUMMYFUNCTION("""COMPUTED_VALUE"""),275067)</f>
        <v>275067</v>
      </c>
      <c r="G38" s="16">
        <f>IFERROR(__xludf.DUMMYFUNCTION("""COMPUTED_VALUE"""),45797.6458333333)</f>
        <v>45797.6458333333</v>
      </c>
      <c r="H38" s="17">
        <f>IFERROR(__xludf.DUMMYFUNCTION("""COMPUTED_VALUE"""),5550)</f>
        <v>5550</v>
      </c>
      <c r="I38" s="16">
        <f>IFERROR(__xludf.DUMMYFUNCTION("""COMPUTED_VALUE"""),45797.6458333333)</f>
        <v>45797.6458333333</v>
      </c>
      <c r="J38" s="17">
        <f>IFERROR(__xludf.DUMMYFUNCTION("""COMPUTED_VALUE"""),5420)</f>
        <v>5420</v>
      </c>
      <c r="K38" s="3">
        <f t="shared" si="2"/>
        <v>0</v>
      </c>
      <c r="L38" s="3">
        <f t="shared" si="3"/>
        <v>5428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IFERROR(__xludf.DUMMYFUNCTION("""COMPUTED_VALUE"""),5493.5)</f>
        <v>5493.5</v>
      </c>
      <c r="C39" s="16">
        <f>IFERROR(__xludf.DUMMYFUNCTION("""COMPUTED_VALUE"""),45798.6458333333)</f>
        <v>45798.6458333333</v>
      </c>
      <c r="D39" s="17">
        <f>IFERROR(__xludf.DUMMYFUNCTION("""COMPUTED_VALUE"""),5435)</f>
        <v>5435</v>
      </c>
      <c r="E39" s="16">
        <f>IFERROR(__xludf.DUMMYFUNCTION("""COMPUTED_VALUE"""),45798.6458333333)</f>
        <v>45798.6458333333</v>
      </c>
      <c r="F39" s="17">
        <f>IFERROR(__xludf.DUMMYFUNCTION("""COMPUTED_VALUE"""),166304)</f>
        <v>166304</v>
      </c>
      <c r="G39" s="16">
        <f>IFERROR(__xludf.DUMMYFUNCTION("""COMPUTED_VALUE"""),45798.6458333333)</f>
        <v>45798.6458333333</v>
      </c>
      <c r="H39" s="17">
        <f>IFERROR(__xludf.DUMMYFUNCTION("""COMPUTED_VALUE"""),5534)</f>
        <v>5534</v>
      </c>
      <c r="I39" s="16">
        <f>IFERROR(__xludf.DUMMYFUNCTION("""COMPUTED_VALUE"""),45798.6458333333)</f>
        <v>45798.6458333333</v>
      </c>
      <c r="J39" s="17">
        <f>IFERROR(__xludf.DUMMYFUNCTION("""COMPUTED_VALUE"""),5416.5)</f>
        <v>5416.5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IFERROR(__xludf.DUMMYFUNCTION("""COMPUTED_VALUE"""),5437.5)</f>
        <v>5437.5</v>
      </c>
      <c r="C40" s="16">
        <f>IFERROR(__xludf.DUMMYFUNCTION("""COMPUTED_VALUE"""),45799.6458333333)</f>
        <v>45799.6458333333</v>
      </c>
      <c r="D40" s="17">
        <f>IFERROR(__xludf.DUMMYFUNCTION("""COMPUTED_VALUE"""),5493.5)</f>
        <v>5493.5</v>
      </c>
      <c r="E40" s="16">
        <f>IFERROR(__xludf.DUMMYFUNCTION("""COMPUTED_VALUE"""),45799.6458333333)</f>
        <v>45799.6458333333</v>
      </c>
      <c r="F40" s="17">
        <f>IFERROR(__xludf.DUMMYFUNCTION("""COMPUTED_VALUE"""),211388)</f>
        <v>211388</v>
      </c>
      <c r="G40" s="16">
        <f>IFERROR(__xludf.DUMMYFUNCTION("""COMPUTED_VALUE"""),45799.6458333333)</f>
        <v>45799.6458333333</v>
      </c>
      <c r="H40" s="17">
        <f>IFERROR(__xludf.DUMMYFUNCTION("""COMPUTED_VALUE"""),5495.5)</f>
        <v>5495.5</v>
      </c>
      <c r="I40" s="16">
        <f>IFERROR(__xludf.DUMMYFUNCTION("""COMPUTED_VALUE"""),45799.6458333333)</f>
        <v>45799.6458333333</v>
      </c>
      <c r="J40" s="17">
        <f>IFERROR(__xludf.DUMMYFUNCTION("""COMPUTED_VALUE"""),5415)</f>
        <v>5415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IFERROR(__xludf.DUMMYFUNCTION("""COMPUTED_VALUE"""),5486.5)</f>
        <v>5486.5</v>
      </c>
      <c r="C41" s="16">
        <f>IFERROR(__xludf.DUMMYFUNCTION("""COMPUTED_VALUE"""),45800.6458333333)</f>
        <v>45800.6458333333</v>
      </c>
      <c r="D41" s="17">
        <f>IFERROR(__xludf.DUMMYFUNCTION("""COMPUTED_VALUE"""),5459)</f>
        <v>5459</v>
      </c>
      <c r="E41" s="16">
        <f>IFERROR(__xludf.DUMMYFUNCTION("""COMPUTED_VALUE"""),45800.6458333333)</f>
        <v>45800.6458333333</v>
      </c>
      <c r="F41" s="17">
        <f>IFERROR(__xludf.DUMMYFUNCTION("""COMPUTED_VALUE"""),100229)</f>
        <v>100229</v>
      </c>
      <c r="G41" s="16">
        <f>IFERROR(__xludf.DUMMYFUNCTION("""COMPUTED_VALUE"""),45800.6458333333)</f>
        <v>45800.6458333333</v>
      </c>
      <c r="H41" s="17">
        <f>IFERROR(__xludf.DUMMYFUNCTION("""COMPUTED_VALUE"""),5499)</f>
        <v>5499</v>
      </c>
      <c r="I41" s="16">
        <f>IFERROR(__xludf.DUMMYFUNCTION("""COMPUTED_VALUE"""),45800.6458333333)</f>
        <v>45800.6458333333</v>
      </c>
      <c r="J41" s="17">
        <f>IFERROR(__xludf.DUMMYFUNCTION("""COMPUTED_VALUE"""),5406)</f>
        <v>5406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IFERROR(__xludf.DUMMYFUNCTION("""COMPUTED_VALUE"""),5525)</f>
        <v>5525</v>
      </c>
      <c r="C42" s="16">
        <f>IFERROR(__xludf.DUMMYFUNCTION("""COMPUTED_VALUE"""),45803.6458333333)</f>
        <v>45803.6458333333</v>
      </c>
      <c r="D42" s="17">
        <f>IFERROR(__xludf.DUMMYFUNCTION("""COMPUTED_VALUE"""),5500)</f>
        <v>5500</v>
      </c>
      <c r="E42" s="16">
        <f>IFERROR(__xludf.DUMMYFUNCTION("""COMPUTED_VALUE"""),45803.6458333333)</f>
        <v>45803.6458333333</v>
      </c>
      <c r="F42" s="17">
        <f>IFERROR(__xludf.DUMMYFUNCTION("""COMPUTED_VALUE"""),140009)</f>
        <v>140009</v>
      </c>
      <c r="G42" s="16">
        <f>IFERROR(__xludf.DUMMYFUNCTION("""COMPUTED_VALUE"""),45803.6458333333)</f>
        <v>45803.6458333333</v>
      </c>
      <c r="H42" s="17">
        <f>IFERROR(__xludf.DUMMYFUNCTION("""COMPUTED_VALUE"""),5547.5)</f>
        <v>5547.5</v>
      </c>
      <c r="I42" s="16">
        <f>IFERROR(__xludf.DUMMYFUNCTION("""COMPUTED_VALUE"""),45803.6458333333)</f>
        <v>45803.6458333333</v>
      </c>
      <c r="J42" s="17">
        <f>IFERROR(__xludf.DUMMYFUNCTION("""COMPUTED_VALUE"""),5489)</f>
        <v>5489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IFERROR(__xludf.DUMMYFUNCTION("""COMPUTED_VALUE"""),5496.5)</f>
        <v>5496.5</v>
      </c>
      <c r="C43" s="16">
        <f>IFERROR(__xludf.DUMMYFUNCTION("""COMPUTED_VALUE"""),45804.6458333333)</f>
        <v>45804.6458333333</v>
      </c>
      <c r="D43" s="17">
        <f>IFERROR(__xludf.DUMMYFUNCTION("""COMPUTED_VALUE"""),5525)</f>
        <v>5525</v>
      </c>
      <c r="E43" s="16">
        <f>IFERROR(__xludf.DUMMYFUNCTION("""COMPUTED_VALUE"""),45804.6458333333)</f>
        <v>45804.6458333333</v>
      </c>
      <c r="F43" s="17">
        <f>IFERROR(__xludf.DUMMYFUNCTION("""COMPUTED_VALUE"""),166840)</f>
        <v>166840</v>
      </c>
      <c r="G43" s="16">
        <f>IFERROR(__xludf.DUMMYFUNCTION("""COMPUTED_VALUE"""),45804.6458333333)</f>
        <v>45804.6458333333</v>
      </c>
      <c r="H43" s="17">
        <f>IFERROR(__xludf.DUMMYFUNCTION("""COMPUTED_VALUE"""),5540)</f>
        <v>5540</v>
      </c>
      <c r="I43" s="16">
        <f>IFERROR(__xludf.DUMMYFUNCTION("""COMPUTED_VALUE"""),45804.6458333333)</f>
        <v>45804.6458333333</v>
      </c>
      <c r="J43" s="17">
        <f>IFERROR(__xludf.DUMMYFUNCTION("""COMPUTED_VALUE"""),5475)</f>
        <v>5475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IFERROR(__xludf.DUMMYFUNCTION("""COMPUTED_VALUE"""),5473)</f>
        <v>5473</v>
      </c>
      <c r="C44" s="16">
        <f>IFERROR(__xludf.DUMMYFUNCTION("""COMPUTED_VALUE"""),45805.6458333333)</f>
        <v>45805.6458333333</v>
      </c>
      <c r="D44" s="17">
        <f>IFERROR(__xludf.DUMMYFUNCTION("""COMPUTED_VALUE"""),5495)</f>
        <v>5495</v>
      </c>
      <c r="E44" s="16">
        <f>IFERROR(__xludf.DUMMYFUNCTION("""COMPUTED_VALUE"""),45805.6458333333)</f>
        <v>45805.6458333333</v>
      </c>
      <c r="F44" s="17">
        <f>IFERROR(__xludf.DUMMYFUNCTION("""COMPUTED_VALUE"""),321303)</f>
        <v>321303</v>
      </c>
      <c r="G44" s="16">
        <f>IFERROR(__xludf.DUMMYFUNCTION("""COMPUTED_VALUE"""),45805.6458333333)</f>
        <v>45805.6458333333</v>
      </c>
      <c r="H44" s="17">
        <f>IFERROR(__xludf.DUMMYFUNCTION("""COMPUTED_VALUE"""),5505.5)</f>
        <v>5505.5</v>
      </c>
      <c r="I44" s="16">
        <f>IFERROR(__xludf.DUMMYFUNCTION("""COMPUTED_VALUE"""),45805.6458333333)</f>
        <v>45805.6458333333</v>
      </c>
      <c r="J44" s="17">
        <f>IFERROR(__xludf.DUMMYFUNCTION("""COMPUTED_VALUE"""),5410)</f>
        <v>5410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IFERROR(__xludf.DUMMYFUNCTION("""COMPUTED_VALUE"""),5495.5)</f>
        <v>5495.5</v>
      </c>
      <c r="C45" s="16">
        <f>IFERROR(__xludf.DUMMYFUNCTION("""COMPUTED_VALUE"""),45806.6458333333)</f>
        <v>45806.6458333333</v>
      </c>
      <c r="D45" s="17">
        <f>IFERROR(__xludf.DUMMYFUNCTION("""COMPUTED_VALUE"""),5502)</f>
        <v>5502</v>
      </c>
      <c r="E45" s="16">
        <f>IFERROR(__xludf.DUMMYFUNCTION("""COMPUTED_VALUE"""),45806.6458333333)</f>
        <v>45806.6458333333</v>
      </c>
      <c r="F45" s="17">
        <f>IFERROR(__xludf.DUMMYFUNCTION("""COMPUTED_VALUE"""),201350)</f>
        <v>201350</v>
      </c>
      <c r="G45" s="16">
        <f>IFERROR(__xludf.DUMMYFUNCTION("""COMPUTED_VALUE"""),45806.6458333333)</f>
        <v>45806.6458333333</v>
      </c>
      <c r="H45" s="17">
        <f>IFERROR(__xludf.DUMMYFUNCTION("""COMPUTED_VALUE"""),5533.5)</f>
        <v>5533.5</v>
      </c>
      <c r="I45" s="16">
        <f>IFERROR(__xludf.DUMMYFUNCTION("""COMPUTED_VALUE"""),45806.6458333333)</f>
        <v>45806.6458333333</v>
      </c>
      <c r="J45" s="17">
        <f>IFERROR(__xludf.DUMMYFUNCTION("""COMPUTED_VALUE"""),5452.5)</f>
        <v>5452.5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IFERROR(__xludf.DUMMYFUNCTION("""COMPUTED_VALUE"""),5510.5)</f>
        <v>5510.5</v>
      </c>
      <c r="C46" s="16">
        <f>IFERROR(__xludf.DUMMYFUNCTION("""COMPUTED_VALUE"""),45807.6458333333)</f>
        <v>45807.6458333333</v>
      </c>
      <c r="D46" s="17">
        <f>IFERROR(__xludf.DUMMYFUNCTION("""COMPUTED_VALUE"""),5495.5)</f>
        <v>5495.5</v>
      </c>
      <c r="E46" s="16">
        <f>IFERROR(__xludf.DUMMYFUNCTION("""COMPUTED_VALUE"""),45807.6458333333)</f>
        <v>45807.6458333333</v>
      </c>
      <c r="F46" s="17">
        <f>IFERROR(__xludf.DUMMYFUNCTION("""COMPUTED_VALUE"""),401901)</f>
        <v>401901</v>
      </c>
      <c r="G46" s="16">
        <f>IFERROR(__xludf.DUMMYFUNCTION("""COMPUTED_VALUE"""),45807.6458333333)</f>
        <v>45807.6458333333</v>
      </c>
      <c r="H46" s="17">
        <f>IFERROR(__xludf.DUMMYFUNCTION("""COMPUTED_VALUE"""),5532)</f>
        <v>5532</v>
      </c>
      <c r="I46" s="16">
        <f>IFERROR(__xludf.DUMMYFUNCTION("""COMPUTED_VALUE"""),45807.6458333333)</f>
        <v>45807.6458333333</v>
      </c>
      <c r="J46" s="17">
        <f>IFERROR(__xludf.DUMMYFUNCTION("""COMPUTED_VALUE"""),5437.5)</f>
        <v>5437.5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IFERROR(__xludf.DUMMYFUNCTION("""COMPUTED_VALUE"""),5605)</f>
        <v>5605</v>
      </c>
      <c r="C47" s="16">
        <f>IFERROR(__xludf.DUMMYFUNCTION("""COMPUTED_VALUE"""),45810.6458333333)</f>
        <v>45810.6458333333</v>
      </c>
      <c r="D47" s="17">
        <f>IFERROR(__xludf.DUMMYFUNCTION("""COMPUTED_VALUE"""),5515)</f>
        <v>5515</v>
      </c>
      <c r="E47" s="16">
        <f>IFERROR(__xludf.DUMMYFUNCTION("""COMPUTED_VALUE"""),45810.6458333333)</f>
        <v>45810.6458333333</v>
      </c>
      <c r="F47" s="17">
        <f>IFERROR(__xludf.DUMMYFUNCTION("""COMPUTED_VALUE"""),625172)</f>
        <v>625172</v>
      </c>
      <c r="G47" s="16">
        <f>IFERROR(__xludf.DUMMYFUNCTION("""COMPUTED_VALUE"""),45810.6458333333)</f>
        <v>45810.6458333333</v>
      </c>
      <c r="H47" s="17">
        <f>IFERROR(__xludf.DUMMYFUNCTION("""COMPUTED_VALUE"""),5722)</f>
        <v>5722</v>
      </c>
      <c r="I47" s="16">
        <f>IFERROR(__xludf.DUMMYFUNCTION("""COMPUTED_VALUE"""),45810.6458333333)</f>
        <v>45810.6458333333</v>
      </c>
      <c r="J47" s="17">
        <f>IFERROR(__xludf.DUMMYFUNCTION("""COMPUTED_VALUE"""),5511.5)</f>
        <v>5511.5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IFERROR(__xludf.DUMMYFUNCTION("""COMPUTED_VALUE"""),5575.5)</f>
        <v>5575.5</v>
      </c>
      <c r="C48" s="16">
        <f>IFERROR(__xludf.DUMMYFUNCTION("""COMPUTED_VALUE"""),45811.6458333333)</f>
        <v>45811.6458333333</v>
      </c>
      <c r="D48" s="17">
        <f>IFERROR(__xludf.DUMMYFUNCTION("""COMPUTED_VALUE"""),5605)</f>
        <v>5605</v>
      </c>
      <c r="E48" s="16">
        <f>IFERROR(__xludf.DUMMYFUNCTION("""COMPUTED_VALUE"""),45811.6458333333)</f>
        <v>45811.6458333333</v>
      </c>
      <c r="F48" s="17">
        <f>IFERROR(__xludf.DUMMYFUNCTION("""COMPUTED_VALUE"""),166545)</f>
        <v>166545</v>
      </c>
      <c r="G48" s="16">
        <f>IFERROR(__xludf.DUMMYFUNCTION("""COMPUTED_VALUE"""),45811.6458333333)</f>
        <v>45811.6458333333</v>
      </c>
      <c r="H48" s="17">
        <f>IFERROR(__xludf.DUMMYFUNCTION("""COMPUTED_VALUE"""),5639)</f>
        <v>5639</v>
      </c>
      <c r="I48" s="16">
        <f>IFERROR(__xludf.DUMMYFUNCTION("""COMPUTED_VALUE"""),45811.6458333333)</f>
        <v>45811.6458333333</v>
      </c>
      <c r="J48" s="17">
        <f>IFERROR(__xludf.DUMMYFUNCTION("""COMPUTED_VALUE"""),5545.5)</f>
        <v>5545.5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IFERROR(__xludf.DUMMYFUNCTION("""COMPUTED_VALUE"""),5542)</f>
        <v>5542</v>
      </c>
      <c r="C49" s="16">
        <f>IFERROR(__xludf.DUMMYFUNCTION("""COMPUTED_VALUE"""),45812.6458333333)</f>
        <v>45812.6458333333</v>
      </c>
      <c r="D49" s="17">
        <f>IFERROR(__xludf.DUMMYFUNCTION("""COMPUTED_VALUE"""),5580)</f>
        <v>5580</v>
      </c>
      <c r="E49" s="16">
        <f>IFERROR(__xludf.DUMMYFUNCTION("""COMPUTED_VALUE"""),45812.6458333333)</f>
        <v>45812.6458333333</v>
      </c>
      <c r="F49" s="17">
        <f>IFERROR(__xludf.DUMMYFUNCTION("""COMPUTED_VALUE"""),334358)</f>
        <v>334358</v>
      </c>
      <c r="G49" s="16">
        <f>IFERROR(__xludf.DUMMYFUNCTION("""COMPUTED_VALUE"""),45812.6458333333)</f>
        <v>45812.6458333333</v>
      </c>
      <c r="H49" s="17">
        <f>IFERROR(__xludf.DUMMYFUNCTION("""COMPUTED_VALUE"""),5595)</f>
        <v>5595</v>
      </c>
      <c r="I49" s="16">
        <f>IFERROR(__xludf.DUMMYFUNCTION("""COMPUTED_VALUE"""),45812.6458333333)</f>
        <v>45812.6458333333</v>
      </c>
      <c r="J49" s="17">
        <f>IFERROR(__xludf.DUMMYFUNCTION("""COMPUTED_VALUE"""),5520.5)</f>
        <v>5520.5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IFERROR(__xludf.DUMMYFUNCTION("""COMPUTED_VALUE"""),5600)</f>
        <v>5600</v>
      </c>
      <c r="C50" s="16">
        <f>IFERROR(__xludf.DUMMYFUNCTION("""COMPUTED_VALUE"""),45813.6458333333)</f>
        <v>45813.6458333333</v>
      </c>
      <c r="D50" s="17">
        <f>IFERROR(__xludf.DUMMYFUNCTION("""COMPUTED_VALUE"""),5542)</f>
        <v>5542</v>
      </c>
      <c r="E50" s="16">
        <f>IFERROR(__xludf.DUMMYFUNCTION("""COMPUTED_VALUE"""),45813.6458333333)</f>
        <v>45813.6458333333</v>
      </c>
      <c r="F50" s="17">
        <f>IFERROR(__xludf.DUMMYFUNCTION("""COMPUTED_VALUE"""),218004)</f>
        <v>218004</v>
      </c>
      <c r="G50" s="16">
        <f>IFERROR(__xludf.DUMMYFUNCTION("""COMPUTED_VALUE"""),45813.6458333333)</f>
        <v>45813.6458333333</v>
      </c>
      <c r="H50" s="17">
        <f>IFERROR(__xludf.DUMMYFUNCTION("""COMPUTED_VALUE"""),5611)</f>
        <v>5611</v>
      </c>
      <c r="I50" s="16">
        <f>IFERROR(__xludf.DUMMYFUNCTION("""COMPUTED_VALUE"""),45813.6458333333)</f>
        <v>45813.6458333333</v>
      </c>
      <c r="J50" s="17">
        <f>IFERROR(__xludf.DUMMYFUNCTION("""COMPUTED_VALUE"""),5520.5)</f>
        <v>5520.5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IFERROR(__xludf.DUMMYFUNCTION("""COMPUTED_VALUE"""),5607.5)</f>
        <v>5607.5</v>
      </c>
      <c r="C51" s="16">
        <f>IFERROR(__xludf.DUMMYFUNCTION("""COMPUTED_VALUE"""),45814.6458333333)</f>
        <v>45814.6458333333</v>
      </c>
      <c r="D51" s="17">
        <f>IFERROR(__xludf.DUMMYFUNCTION("""COMPUTED_VALUE"""),5606.5)</f>
        <v>5606.5</v>
      </c>
      <c r="E51" s="16">
        <f>IFERROR(__xludf.DUMMYFUNCTION("""COMPUTED_VALUE"""),45814.6458333333)</f>
        <v>45814.6458333333</v>
      </c>
      <c r="F51" s="17">
        <f>IFERROR(__xludf.DUMMYFUNCTION("""COMPUTED_VALUE"""),152475)</f>
        <v>152475</v>
      </c>
      <c r="G51" s="16">
        <f>IFERROR(__xludf.DUMMYFUNCTION("""COMPUTED_VALUE"""),45814.6458333333)</f>
        <v>45814.6458333333</v>
      </c>
      <c r="H51" s="17">
        <f>IFERROR(__xludf.DUMMYFUNCTION("""COMPUTED_VALUE"""),5645.5)</f>
        <v>5645.5</v>
      </c>
      <c r="I51" s="16">
        <f>IFERROR(__xludf.DUMMYFUNCTION("""COMPUTED_VALUE"""),45814.6458333333)</f>
        <v>45814.6458333333</v>
      </c>
      <c r="J51" s="17">
        <f>IFERROR(__xludf.DUMMYFUNCTION("""COMPUTED_VALUE"""),5555)</f>
        <v>5555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IFERROR(__xludf.DUMMYFUNCTION("""COMPUTED_VALUE"""),5697)</f>
        <v>5697</v>
      </c>
      <c r="C52" s="16">
        <f>IFERROR(__xludf.DUMMYFUNCTION("""COMPUTED_VALUE"""),45817.6458333333)</f>
        <v>45817.6458333333</v>
      </c>
      <c r="D52" s="17">
        <f>IFERROR(__xludf.DUMMYFUNCTION("""COMPUTED_VALUE"""),5639)</f>
        <v>5639</v>
      </c>
      <c r="E52" s="16">
        <f>IFERROR(__xludf.DUMMYFUNCTION("""COMPUTED_VALUE"""),45817.6458333333)</f>
        <v>45817.6458333333</v>
      </c>
      <c r="F52" s="17">
        <f>IFERROR(__xludf.DUMMYFUNCTION("""COMPUTED_VALUE"""),174499)</f>
        <v>174499</v>
      </c>
      <c r="G52" s="16">
        <f>IFERROR(__xludf.DUMMYFUNCTION("""COMPUTED_VALUE"""),45817.6458333333)</f>
        <v>45817.6458333333</v>
      </c>
      <c r="H52" s="17">
        <f>IFERROR(__xludf.DUMMYFUNCTION("""COMPUTED_VALUE"""),5721)</f>
        <v>5721</v>
      </c>
      <c r="I52" s="16">
        <f>IFERROR(__xludf.DUMMYFUNCTION("""COMPUTED_VALUE"""),45817.6458333333)</f>
        <v>45817.6458333333</v>
      </c>
      <c r="J52" s="17">
        <f>IFERROR(__xludf.DUMMYFUNCTION("""COMPUTED_VALUE"""),5588.5)</f>
        <v>5588.5</v>
      </c>
      <c r="K52" s="3">
        <f t="shared" si="2"/>
        <v>5697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IFERROR(__xludf.DUMMYFUNCTION("""COMPUTED_VALUE"""),5667)</f>
        <v>5667</v>
      </c>
      <c r="C53" s="16">
        <f>IFERROR(__xludf.DUMMYFUNCTION("""COMPUTED_VALUE"""),45818.6458333333)</f>
        <v>45818.6458333333</v>
      </c>
      <c r="D53" s="17">
        <f>IFERROR(__xludf.DUMMYFUNCTION("""COMPUTED_VALUE"""),5731)</f>
        <v>5731</v>
      </c>
      <c r="E53" s="16">
        <f>IFERROR(__xludf.DUMMYFUNCTION("""COMPUTED_VALUE"""),45818.6458333333)</f>
        <v>45818.6458333333</v>
      </c>
      <c r="F53" s="17">
        <f>IFERROR(__xludf.DUMMYFUNCTION("""COMPUTED_VALUE"""),456712)</f>
        <v>456712</v>
      </c>
      <c r="G53" s="16">
        <f>IFERROR(__xludf.DUMMYFUNCTION("""COMPUTED_VALUE"""),45818.6458333333)</f>
        <v>45818.6458333333</v>
      </c>
      <c r="H53" s="17">
        <f>IFERROR(__xludf.DUMMYFUNCTION("""COMPUTED_VALUE"""),5731)</f>
        <v>5731</v>
      </c>
      <c r="I53" s="16">
        <f>IFERROR(__xludf.DUMMYFUNCTION("""COMPUTED_VALUE"""),45818.6458333333)</f>
        <v>45818.6458333333</v>
      </c>
      <c r="J53" s="17">
        <f>IFERROR(__xludf.DUMMYFUNCTION("""COMPUTED_VALUE"""),5657)</f>
        <v>5657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IFERROR(__xludf.DUMMYFUNCTION("""COMPUTED_VALUE"""),5650)</f>
        <v>5650</v>
      </c>
      <c r="C54" s="16">
        <f>IFERROR(__xludf.DUMMYFUNCTION("""COMPUTED_VALUE"""),45819.6458333333)</f>
        <v>45819.6458333333</v>
      </c>
      <c r="D54" s="17">
        <f>IFERROR(__xludf.DUMMYFUNCTION("""COMPUTED_VALUE"""),5660)</f>
        <v>5660</v>
      </c>
      <c r="E54" s="16">
        <f>IFERROR(__xludf.DUMMYFUNCTION("""COMPUTED_VALUE"""),45819.6458333333)</f>
        <v>45819.6458333333</v>
      </c>
      <c r="F54" s="17">
        <f>IFERROR(__xludf.DUMMYFUNCTION("""COMPUTED_VALUE"""),138866)</f>
        <v>138866</v>
      </c>
      <c r="G54" s="16">
        <f>IFERROR(__xludf.DUMMYFUNCTION("""COMPUTED_VALUE"""),45819.6458333333)</f>
        <v>45819.6458333333</v>
      </c>
      <c r="H54" s="17">
        <f>IFERROR(__xludf.DUMMYFUNCTION("""COMPUTED_VALUE"""),5700)</f>
        <v>5700</v>
      </c>
      <c r="I54" s="16">
        <f>IFERROR(__xludf.DUMMYFUNCTION("""COMPUTED_VALUE"""),45819.6458333333)</f>
        <v>45819.6458333333</v>
      </c>
      <c r="J54" s="17">
        <f>IFERROR(__xludf.DUMMYFUNCTION("""COMPUTED_VALUE"""),5634)</f>
        <v>5634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IFERROR(__xludf.DUMMYFUNCTION("""COMPUTED_VALUE"""),5569.5)</f>
        <v>5569.5</v>
      </c>
      <c r="C55" s="16">
        <f>IFERROR(__xludf.DUMMYFUNCTION("""COMPUTED_VALUE"""),45820.6458333333)</f>
        <v>45820.6458333333</v>
      </c>
      <c r="D55" s="17">
        <f>IFERROR(__xludf.DUMMYFUNCTION("""COMPUTED_VALUE"""),5698)</f>
        <v>5698</v>
      </c>
      <c r="E55" s="16">
        <f>IFERROR(__xludf.DUMMYFUNCTION("""COMPUTED_VALUE"""),45820.6458333333)</f>
        <v>45820.6458333333</v>
      </c>
      <c r="F55" s="17">
        <f>IFERROR(__xludf.DUMMYFUNCTION("""COMPUTED_VALUE"""),305696)</f>
        <v>305696</v>
      </c>
      <c r="G55" s="16">
        <f>IFERROR(__xludf.DUMMYFUNCTION("""COMPUTED_VALUE"""),45820.6458333333)</f>
        <v>45820.6458333333</v>
      </c>
      <c r="H55" s="17">
        <f>IFERROR(__xludf.DUMMYFUNCTION("""COMPUTED_VALUE"""),5698)</f>
        <v>5698</v>
      </c>
      <c r="I55" s="16">
        <f>IFERROR(__xludf.DUMMYFUNCTION("""COMPUTED_VALUE"""),45820.6458333333)</f>
        <v>45820.6458333333</v>
      </c>
      <c r="J55" s="17">
        <f>IFERROR(__xludf.DUMMYFUNCTION("""COMPUTED_VALUE"""),5560)</f>
        <v>5560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IFERROR(__xludf.DUMMYFUNCTION("""COMPUTED_VALUE"""),5570)</f>
        <v>5570</v>
      </c>
      <c r="C56" s="16">
        <f>IFERROR(__xludf.DUMMYFUNCTION("""COMPUTED_VALUE"""),45821.6458333333)</f>
        <v>45821.6458333333</v>
      </c>
      <c r="D56" s="17">
        <f>IFERROR(__xludf.DUMMYFUNCTION("""COMPUTED_VALUE"""),5509)</f>
        <v>5509</v>
      </c>
      <c r="E56" s="16">
        <f>IFERROR(__xludf.DUMMYFUNCTION("""COMPUTED_VALUE"""),45821.6458333333)</f>
        <v>45821.6458333333</v>
      </c>
      <c r="F56" s="17">
        <f>IFERROR(__xludf.DUMMYFUNCTION("""COMPUTED_VALUE"""),324985)</f>
        <v>324985</v>
      </c>
      <c r="G56" s="16">
        <f>IFERROR(__xludf.DUMMYFUNCTION("""COMPUTED_VALUE"""),45821.6458333333)</f>
        <v>45821.6458333333</v>
      </c>
      <c r="H56" s="17">
        <f>IFERROR(__xludf.DUMMYFUNCTION("""COMPUTED_VALUE"""),5593.5)</f>
        <v>5593.5</v>
      </c>
      <c r="I56" s="16">
        <f>IFERROR(__xludf.DUMMYFUNCTION("""COMPUTED_VALUE"""),45821.6458333333)</f>
        <v>45821.6458333333</v>
      </c>
      <c r="J56" s="17">
        <f>IFERROR(__xludf.DUMMYFUNCTION("""COMPUTED_VALUE"""),5425)</f>
        <v>5425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IFERROR(__xludf.DUMMYFUNCTION("""COMPUTED_VALUE"""),5560.5)</f>
        <v>5560.5</v>
      </c>
      <c r="C57" s="16">
        <f>IFERROR(__xludf.DUMMYFUNCTION("""COMPUTED_VALUE"""),45824.6458333333)</f>
        <v>45824.6458333333</v>
      </c>
      <c r="D57" s="17">
        <f>IFERROR(__xludf.DUMMYFUNCTION("""COMPUTED_VALUE"""),5552)</f>
        <v>5552</v>
      </c>
      <c r="E57" s="16">
        <f>IFERROR(__xludf.DUMMYFUNCTION("""COMPUTED_VALUE"""),45824.6458333333)</f>
        <v>45824.6458333333</v>
      </c>
      <c r="F57" s="17">
        <f>IFERROR(__xludf.DUMMYFUNCTION("""COMPUTED_VALUE"""),239006)</f>
        <v>239006</v>
      </c>
      <c r="G57" s="16">
        <f>IFERROR(__xludf.DUMMYFUNCTION("""COMPUTED_VALUE"""),45824.6458333333)</f>
        <v>45824.6458333333</v>
      </c>
      <c r="H57" s="17">
        <f>IFERROR(__xludf.DUMMYFUNCTION("""COMPUTED_VALUE"""),5572)</f>
        <v>5572</v>
      </c>
      <c r="I57" s="16">
        <f>IFERROR(__xludf.DUMMYFUNCTION("""COMPUTED_VALUE"""),45824.6458333333)</f>
        <v>45824.6458333333</v>
      </c>
      <c r="J57" s="17">
        <f>IFERROR(__xludf.DUMMYFUNCTION("""COMPUTED_VALUE"""),5514.5)</f>
        <v>5514.5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IFERROR(__xludf.DUMMYFUNCTION("""COMPUTED_VALUE"""),5568.5)</f>
        <v>5568.5</v>
      </c>
      <c r="C58" s="16">
        <f>IFERROR(__xludf.DUMMYFUNCTION("""COMPUTED_VALUE"""),45825.6458333333)</f>
        <v>45825.6458333333</v>
      </c>
      <c r="D58" s="17">
        <f>IFERROR(__xludf.DUMMYFUNCTION("""COMPUTED_VALUE"""),5550)</f>
        <v>5550</v>
      </c>
      <c r="E58" s="16">
        <f>IFERROR(__xludf.DUMMYFUNCTION("""COMPUTED_VALUE"""),45825.6458333333)</f>
        <v>45825.6458333333</v>
      </c>
      <c r="F58" s="17">
        <f>IFERROR(__xludf.DUMMYFUNCTION("""COMPUTED_VALUE"""),277917)</f>
        <v>277917</v>
      </c>
      <c r="G58" s="16">
        <f>IFERROR(__xludf.DUMMYFUNCTION("""COMPUTED_VALUE"""),45825.6458333333)</f>
        <v>45825.6458333333</v>
      </c>
      <c r="H58" s="17">
        <f>IFERROR(__xludf.DUMMYFUNCTION("""COMPUTED_VALUE"""),5597)</f>
        <v>5597</v>
      </c>
      <c r="I58" s="16">
        <f>IFERROR(__xludf.DUMMYFUNCTION("""COMPUTED_VALUE"""),45825.6458333333)</f>
        <v>45825.6458333333</v>
      </c>
      <c r="J58" s="17">
        <f>IFERROR(__xludf.DUMMYFUNCTION("""COMPUTED_VALUE"""),5530)</f>
        <v>5530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IFERROR(__xludf.DUMMYFUNCTION("""COMPUTED_VALUE"""),5572.5)</f>
        <v>5572.5</v>
      </c>
      <c r="C59" s="16">
        <f>IFERROR(__xludf.DUMMYFUNCTION("""COMPUTED_VALUE"""),45826.6458333333)</f>
        <v>45826.6458333333</v>
      </c>
      <c r="D59" s="17">
        <f>IFERROR(__xludf.DUMMYFUNCTION("""COMPUTED_VALUE"""),5575)</f>
        <v>5575</v>
      </c>
      <c r="E59" s="16">
        <f>IFERROR(__xludf.DUMMYFUNCTION("""COMPUTED_VALUE"""),45826.6458333333)</f>
        <v>45826.6458333333</v>
      </c>
      <c r="F59" s="17">
        <f>IFERROR(__xludf.DUMMYFUNCTION("""COMPUTED_VALUE"""),220971)</f>
        <v>220971</v>
      </c>
      <c r="G59" s="16">
        <f>IFERROR(__xludf.DUMMYFUNCTION("""COMPUTED_VALUE"""),45826.6458333333)</f>
        <v>45826.6458333333</v>
      </c>
      <c r="H59" s="17">
        <f>IFERROR(__xludf.DUMMYFUNCTION("""COMPUTED_VALUE"""),5619.5)</f>
        <v>5619.5</v>
      </c>
      <c r="I59" s="16">
        <f>IFERROR(__xludf.DUMMYFUNCTION("""COMPUTED_VALUE"""),45826.6458333333)</f>
        <v>45826.6458333333</v>
      </c>
      <c r="J59" s="17">
        <f>IFERROR(__xludf.DUMMYFUNCTION("""COMPUTED_VALUE"""),5545)</f>
        <v>5545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IFERROR(__xludf.DUMMYFUNCTION("""COMPUTED_VALUE"""),5558)</f>
        <v>5558</v>
      </c>
      <c r="C60" s="16">
        <f>IFERROR(__xludf.DUMMYFUNCTION("""COMPUTED_VALUE"""),45827.6458333333)</f>
        <v>45827.6458333333</v>
      </c>
      <c r="D60" s="17">
        <f>IFERROR(__xludf.DUMMYFUNCTION("""COMPUTED_VALUE"""),5587)</f>
        <v>5587</v>
      </c>
      <c r="E60" s="16">
        <f>IFERROR(__xludf.DUMMYFUNCTION("""COMPUTED_VALUE"""),45827.6458333333)</f>
        <v>45827.6458333333</v>
      </c>
      <c r="F60" s="17">
        <f>IFERROR(__xludf.DUMMYFUNCTION("""COMPUTED_VALUE"""),114523)</f>
        <v>114523</v>
      </c>
      <c r="G60" s="16">
        <f>IFERROR(__xludf.DUMMYFUNCTION("""COMPUTED_VALUE"""),45827.6458333333)</f>
        <v>45827.6458333333</v>
      </c>
      <c r="H60" s="17">
        <f>IFERROR(__xludf.DUMMYFUNCTION("""COMPUTED_VALUE"""),5609.5)</f>
        <v>5609.5</v>
      </c>
      <c r="I60" s="16">
        <f>IFERROR(__xludf.DUMMYFUNCTION("""COMPUTED_VALUE"""),45827.6458333333)</f>
        <v>45827.6458333333</v>
      </c>
      <c r="J60" s="17">
        <f>IFERROR(__xludf.DUMMYFUNCTION("""COMPUTED_VALUE"""),5522.5)</f>
        <v>5522.5</v>
      </c>
      <c r="K60" s="3">
        <f t="shared" si="2"/>
        <v>0</v>
      </c>
      <c r="L60" s="3">
        <f t="shared" si="3"/>
        <v>5558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IFERROR(__xludf.DUMMYFUNCTION("""COMPUTED_VALUE"""),5587)</f>
        <v>5587</v>
      </c>
      <c r="C61" s="16">
        <f>IFERROR(__xludf.DUMMYFUNCTION("""COMPUTED_VALUE"""),45828.6458333333)</f>
        <v>45828.6458333333</v>
      </c>
      <c r="D61" s="17">
        <f>IFERROR(__xludf.DUMMYFUNCTION("""COMPUTED_VALUE"""),5564)</f>
        <v>5564</v>
      </c>
      <c r="E61" s="16">
        <f>IFERROR(__xludf.DUMMYFUNCTION("""COMPUTED_VALUE"""),45828.6458333333)</f>
        <v>45828.6458333333</v>
      </c>
      <c r="F61" s="17">
        <f>IFERROR(__xludf.DUMMYFUNCTION("""COMPUTED_VALUE"""),395396)</f>
        <v>395396</v>
      </c>
      <c r="G61" s="16">
        <f>IFERROR(__xludf.DUMMYFUNCTION("""COMPUTED_VALUE"""),45828.6458333333)</f>
        <v>45828.6458333333</v>
      </c>
      <c r="H61" s="17">
        <f>IFERROR(__xludf.DUMMYFUNCTION("""COMPUTED_VALUE"""),5600)</f>
        <v>5600</v>
      </c>
      <c r="I61" s="16">
        <f>IFERROR(__xludf.DUMMYFUNCTION("""COMPUTED_VALUE"""),45828.6458333333)</f>
        <v>45828.6458333333</v>
      </c>
      <c r="J61" s="17">
        <f>IFERROR(__xludf.DUMMYFUNCTION("""COMPUTED_VALUE"""),5511)</f>
        <v>5511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IFERROR(__xludf.DUMMYFUNCTION("""COMPUTED_VALUE"""),5569.5)</f>
        <v>5569.5</v>
      </c>
      <c r="C62" s="16">
        <f>IFERROR(__xludf.DUMMYFUNCTION("""COMPUTED_VALUE"""),45831.6458333333)</f>
        <v>45831.6458333333</v>
      </c>
      <c r="D62" s="17">
        <f>IFERROR(__xludf.DUMMYFUNCTION("""COMPUTED_VALUE"""),5551)</f>
        <v>5551</v>
      </c>
      <c r="E62" s="16">
        <f>IFERROR(__xludf.DUMMYFUNCTION("""COMPUTED_VALUE"""),45831.6458333333)</f>
        <v>45831.6458333333</v>
      </c>
      <c r="F62" s="17">
        <f>IFERROR(__xludf.DUMMYFUNCTION("""COMPUTED_VALUE"""),221233)</f>
        <v>221233</v>
      </c>
      <c r="G62" s="16">
        <f>IFERROR(__xludf.DUMMYFUNCTION("""COMPUTED_VALUE"""),45831.6458333333)</f>
        <v>45831.6458333333</v>
      </c>
      <c r="H62" s="17">
        <f>IFERROR(__xludf.DUMMYFUNCTION("""COMPUTED_VALUE"""),5589)</f>
        <v>5589</v>
      </c>
      <c r="I62" s="16">
        <f>IFERROR(__xludf.DUMMYFUNCTION("""COMPUTED_VALUE"""),45831.6458333333)</f>
        <v>45831.6458333333</v>
      </c>
      <c r="J62" s="17">
        <f>IFERROR(__xludf.DUMMYFUNCTION("""COMPUTED_VALUE"""),5450.5)</f>
        <v>5450.5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IFERROR(__xludf.DUMMYFUNCTION("""COMPUTED_VALUE"""),5617)</f>
        <v>5617</v>
      </c>
      <c r="C63" s="16">
        <f>IFERROR(__xludf.DUMMYFUNCTION("""COMPUTED_VALUE"""),45832.6458333333)</f>
        <v>45832.6458333333</v>
      </c>
      <c r="D63" s="17">
        <f>IFERROR(__xludf.DUMMYFUNCTION("""COMPUTED_VALUE"""),5600)</f>
        <v>5600</v>
      </c>
      <c r="E63" s="16">
        <f>IFERROR(__xludf.DUMMYFUNCTION("""COMPUTED_VALUE"""),45832.6458333333)</f>
        <v>45832.6458333333</v>
      </c>
      <c r="F63" s="17">
        <f>IFERROR(__xludf.DUMMYFUNCTION("""COMPUTED_VALUE"""),183157)</f>
        <v>183157</v>
      </c>
      <c r="G63" s="16">
        <f>IFERROR(__xludf.DUMMYFUNCTION("""COMPUTED_VALUE"""),45832.6458333333)</f>
        <v>45832.6458333333</v>
      </c>
      <c r="H63" s="17">
        <f>IFERROR(__xludf.DUMMYFUNCTION("""COMPUTED_VALUE"""),5638)</f>
        <v>5638</v>
      </c>
      <c r="I63" s="16">
        <f>IFERROR(__xludf.DUMMYFUNCTION("""COMPUTED_VALUE"""),45832.6458333333)</f>
        <v>45832.6458333333</v>
      </c>
      <c r="J63" s="17">
        <f>IFERROR(__xludf.DUMMYFUNCTION("""COMPUTED_VALUE"""),5555.5)</f>
        <v>5555.5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IFERROR(__xludf.DUMMYFUNCTION("""COMPUTED_VALUE"""),5708)</f>
        <v>5708</v>
      </c>
      <c r="C64" s="16">
        <f>IFERROR(__xludf.DUMMYFUNCTION("""COMPUTED_VALUE"""),45833.6458333333)</f>
        <v>45833.6458333333</v>
      </c>
      <c r="D64" s="17">
        <f>IFERROR(__xludf.DUMMYFUNCTION("""COMPUTED_VALUE"""),5630)</f>
        <v>5630</v>
      </c>
      <c r="E64" s="16">
        <f>IFERROR(__xludf.DUMMYFUNCTION("""COMPUTED_VALUE"""),45833.6458333333)</f>
        <v>45833.6458333333</v>
      </c>
      <c r="F64" s="17">
        <f>IFERROR(__xludf.DUMMYFUNCTION("""COMPUTED_VALUE"""),282474)</f>
        <v>282474</v>
      </c>
      <c r="G64" s="16">
        <f>IFERROR(__xludf.DUMMYFUNCTION("""COMPUTED_VALUE"""),45833.6458333333)</f>
        <v>45833.6458333333</v>
      </c>
      <c r="H64" s="17">
        <f>IFERROR(__xludf.DUMMYFUNCTION("""COMPUTED_VALUE"""),5734.5)</f>
        <v>5734.5</v>
      </c>
      <c r="I64" s="16">
        <f>IFERROR(__xludf.DUMMYFUNCTION("""COMPUTED_VALUE"""),45833.6458333333)</f>
        <v>45833.6458333333</v>
      </c>
      <c r="J64" s="17">
        <f>IFERROR(__xludf.DUMMYFUNCTION("""COMPUTED_VALUE"""),5610.5)</f>
        <v>5610.5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IFERROR(__xludf.DUMMYFUNCTION("""COMPUTED_VALUE"""),5828)</f>
        <v>5828</v>
      </c>
      <c r="C65" s="16">
        <f>IFERROR(__xludf.DUMMYFUNCTION("""COMPUTED_VALUE"""),45834.6458333333)</f>
        <v>45834.6458333333</v>
      </c>
      <c r="D65" s="17">
        <f>IFERROR(__xludf.DUMMYFUNCTION("""COMPUTED_VALUE"""),5725)</f>
        <v>5725</v>
      </c>
      <c r="E65" s="16">
        <f>IFERROR(__xludf.DUMMYFUNCTION("""COMPUTED_VALUE"""),45834.6458333333)</f>
        <v>45834.6458333333</v>
      </c>
      <c r="F65" s="17">
        <f>IFERROR(__xludf.DUMMYFUNCTION("""COMPUTED_VALUE"""),456290)</f>
        <v>456290</v>
      </c>
      <c r="G65" s="16">
        <f>IFERROR(__xludf.DUMMYFUNCTION("""COMPUTED_VALUE"""),45834.6458333333)</f>
        <v>45834.6458333333</v>
      </c>
      <c r="H65" s="17">
        <f>IFERROR(__xludf.DUMMYFUNCTION("""COMPUTED_VALUE"""),5840)</f>
        <v>5840</v>
      </c>
      <c r="I65" s="16">
        <f>IFERROR(__xludf.DUMMYFUNCTION("""COMPUTED_VALUE"""),45834.6458333333)</f>
        <v>45834.6458333333</v>
      </c>
      <c r="J65" s="17">
        <f>IFERROR(__xludf.DUMMYFUNCTION("""COMPUTED_VALUE"""),5710)</f>
        <v>5710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IFERROR(__xludf.DUMMYFUNCTION("""COMPUTED_VALUE"""),5794.5)</f>
        <v>5794.5</v>
      </c>
      <c r="C66" s="16">
        <f>IFERROR(__xludf.DUMMYFUNCTION("""COMPUTED_VALUE"""),45835.6458333333)</f>
        <v>45835.6458333333</v>
      </c>
      <c r="D66" s="17">
        <f>IFERROR(__xludf.DUMMYFUNCTION("""COMPUTED_VALUE"""),5849)</f>
        <v>5849</v>
      </c>
      <c r="E66" s="16">
        <f>IFERROR(__xludf.DUMMYFUNCTION("""COMPUTED_VALUE"""),45835.6458333333)</f>
        <v>45835.6458333333</v>
      </c>
      <c r="F66" s="17">
        <f>IFERROR(__xludf.DUMMYFUNCTION("""COMPUTED_VALUE"""),350140)</f>
        <v>350140</v>
      </c>
      <c r="G66" s="16">
        <f>IFERROR(__xludf.DUMMYFUNCTION("""COMPUTED_VALUE"""),45835.6458333333)</f>
        <v>45835.6458333333</v>
      </c>
      <c r="H66" s="17">
        <f>IFERROR(__xludf.DUMMYFUNCTION("""COMPUTED_VALUE"""),5849)</f>
        <v>5849</v>
      </c>
      <c r="I66" s="16">
        <f>IFERROR(__xludf.DUMMYFUNCTION("""COMPUTED_VALUE"""),45835.6458333333)</f>
        <v>45835.6458333333</v>
      </c>
      <c r="J66" s="17">
        <f>IFERROR(__xludf.DUMMYFUNCTION("""COMPUTED_VALUE"""),5748)</f>
        <v>5748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IFERROR(__xludf.DUMMYFUNCTION("""COMPUTED_VALUE"""),5851)</f>
        <v>5851</v>
      </c>
      <c r="C67" s="16">
        <f>IFERROR(__xludf.DUMMYFUNCTION("""COMPUTED_VALUE"""),45838.6458333333)</f>
        <v>45838.6458333333</v>
      </c>
      <c r="D67" s="17">
        <f>IFERROR(__xludf.DUMMYFUNCTION("""COMPUTED_VALUE"""),5800)</f>
        <v>5800</v>
      </c>
      <c r="E67" s="16">
        <f>IFERROR(__xludf.DUMMYFUNCTION("""COMPUTED_VALUE"""),45838.6458333333)</f>
        <v>45838.6458333333</v>
      </c>
      <c r="F67" s="17">
        <f>IFERROR(__xludf.DUMMYFUNCTION("""COMPUTED_VALUE"""),257865)</f>
        <v>257865</v>
      </c>
      <c r="G67" s="16">
        <f>IFERROR(__xludf.DUMMYFUNCTION("""COMPUTED_VALUE"""),45838.6458333333)</f>
        <v>45838.6458333333</v>
      </c>
      <c r="H67" s="17">
        <f>IFERROR(__xludf.DUMMYFUNCTION("""COMPUTED_VALUE"""),5860)</f>
        <v>5860</v>
      </c>
      <c r="I67" s="16">
        <f>IFERROR(__xludf.DUMMYFUNCTION("""COMPUTED_VALUE"""),45838.6458333333)</f>
        <v>45838.6458333333</v>
      </c>
      <c r="J67" s="17">
        <f>IFERROR(__xludf.DUMMYFUNCTION("""COMPUTED_VALUE"""),5761)</f>
        <v>5761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IFERROR(__xludf.DUMMYFUNCTION("""COMPUTED_VALUE"""),5743.5)</f>
        <v>5743.5</v>
      </c>
      <c r="C68" s="16">
        <f>IFERROR(__xludf.DUMMYFUNCTION("""COMPUTED_VALUE"""),45839.6458333333)</f>
        <v>45839.6458333333</v>
      </c>
      <c r="D68" s="17">
        <f>IFERROR(__xludf.DUMMYFUNCTION("""COMPUTED_VALUE"""),5865)</f>
        <v>5865</v>
      </c>
      <c r="E68" s="16">
        <f>IFERROR(__xludf.DUMMYFUNCTION("""COMPUTED_VALUE"""),45839.6458333333)</f>
        <v>45839.6458333333</v>
      </c>
      <c r="F68" s="17">
        <f>IFERROR(__xludf.DUMMYFUNCTION("""COMPUTED_VALUE"""),178343)</f>
        <v>178343</v>
      </c>
      <c r="G68" s="16">
        <f>IFERROR(__xludf.DUMMYFUNCTION("""COMPUTED_VALUE"""),45839.6458333333)</f>
        <v>45839.6458333333</v>
      </c>
      <c r="H68" s="17">
        <f>IFERROR(__xludf.DUMMYFUNCTION("""COMPUTED_VALUE"""),5869.5)</f>
        <v>5869.5</v>
      </c>
      <c r="I68" s="16">
        <f>IFERROR(__xludf.DUMMYFUNCTION("""COMPUTED_VALUE"""),45839.6458333333)</f>
        <v>45839.6458333333</v>
      </c>
      <c r="J68" s="17">
        <f>IFERROR(__xludf.DUMMYFUNCTION("""COMPUTED_VALUE"""),5721)</f>
        <v>5721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IFERROR(__xludf.DUMMYFUNCTION("""COMPUTED_VALUE"""),5790)</f>
        <v>5790</v>
      </c>
      <c r="C69" s="16">
        <f>IFERROR(__xludf.DUMMYFUNCTION("""COMPUTED_VALUE"""),45840.6458333333)</f>
        <v>45840.6458333333</v>
      </c>
      <c r="D69" s="17">
        <f>IFERROR(__xludf.DUMMYFUNCTION("""COMPUTED_VALUE"""),5747.5)</f>
        <v>5747.5</v>
      </c>
      <c r="E69" s="16">
        <f>IFERROR(__xludf.DUMMYFUNCTION("""COMPUTED_VALUE"""),45840.6458333333)</f>
        <v>45840.6458333333</v>
      </c>
      <c r="F69" s="17">
        <f>IFERROR(__xludf.DUMMYFUNCTION("""COMPUTED_VALUE"""),300622)</f>
        <v>300622</v>
      </c>
      <c r="G69" s="16">
        <f>IFERROR(__xludf.DUMMYFUNCTION("""COMPUTED_VALUE"""),45840.6458333333)</f>
        <v>45840.6458333333</v>
      </c>
      <c r="H69" s="17">
        <f>IFERROR(__xludf.DUMMYFUNCTION("""COMPUTED_VALUE"""),5832.5)</f>
        <v>5832.5</v>
      </c>
      <c r="I69" s="16">
        <f>IFERROR(__xludf.DUMMYFUNCTION("""COMPUTED_VALUE"""),45840.6458333333)</f>
        <v>45840.6458333333</v>
      </c>
      <c r="J69" s="17">
        <f>IFERROR(__xludf.DUMMYFUNCTION("""COMPUTED_VALUE"""),5677.5)</f>
        <v>5677.5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IFERROR(__xludf.DUMMYFUNCTION("""COMPUTED_VALUE"""),5794.5)</f>
        <v>5794.5</v>
      </c>
      <c r="C70" s="16">
        <f>IFERROR(__xludf.DUMMYFUNCTION("""COMPUTED_VALUE"""),45841.6458333333)</f>
        <v>45841.6458333333</v>
      </c>
      <c r="D70" s="17">
        <f>IFERROR(__xludf.DUMMYFUNCTION("""COMPUTED_VALUE"""),5799.5)</f>
        <v>5799.5</v>
      </c>
      <c r="E70" s="16">
        <f>IFERROR(__xludf.DUMMYFUNCTION("""COMPUTED_VALUE"""),45841.6458333333)</f>
        <v>45841.6458333333</v>
      </c>
      <c r="F70" s="17">
        <f>IFERROR(__xludf.DUMMYFUNCTION("""COMPUTED_VALUE"""),224236)</f>
        <v>224236</v>
      </c>
      <c r="G70" s="16">
        <f>IFERROR(__xludf.DUMMYFUNCTION("""COMPUTED_VALUE"""),45841.6458333333)</f>
        <v>45841.6458333333</v>
      </c>
      <c r="H70" s="17">
        <f>IFERROR(__xludf.DUMMYFUNCTION("""COMPUTED_VALUE"""),5887.5)</f>
        <v>5887.5</v>
      </c>
      <c r="I70" s="16">
        <f>IFERROR(__xludf.DUMMYFUNCTION("""COMPUTED_VALUE"""),45841.6458333333)</f>
        <v>45841.6458333333</v>
      </c>
      <c r="J70" s="17">
        <f>IFERROR(__xludf.DUMMYFUNCTION("""COMPUTED_VALUE"""),5781)</f>
        <v>5781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IFERROR(__xludf.DUMMYFUNCTION("""COMPUTED_VALUE"""),5771.5)</f>
        <v>5771.5</v>
      </c>
      <c r="C71" s="16">
        <f>IFERROR(__xludf.DUMMYFUNCTION("""COMPUTED_VALUE"""),45842.6458333333)</f>
        <v>45842.6458333333</v>
      </c>
      <c r="D71" s="17">
        <f>IFERROR(__xludf.DUMMYFUNCTION("""COMPUTED_VALUE"""),5819.5)</f>
        <v>5819.5</v>
      </c>
      <c r="E71" s="16">
        <f>IFERROR(__xludf.DUMMYFUNCTION("""COMPUTED_VALUE"""),45842.6458333333)</f>
        <v>45842.6458333333</v>
      </c>
      <c r="F71" s="17">
        <f>IFERROR(__xludf.DUMMYFUNCTION("""COMPUTED_VALUE"""),145106)</f>
        <v>145106</v>
      </c>
      <c r="G71" s="16">
        <f>IFERROR(__xludf.DUMMYFUNCTION("""COMPUTED_VALUE"""),45842.6458333333)</f>
        <v>45842.6458333333</v>
      </c>
      <c r="H71" s="17">
        <f>IFERROR(__xludf.DUMMYFUNCTION("""COMPUTED_VALUE"""),5844)</f>
        <v>5844</v>
      </c>
      <c r="I71" s="16">
        <f>IFERROR(__xludf.DUMMYFUNCTION("""COMPUTED_VALUE"""),45842.6458333333)</f>
        <v>45842.6458333333</v>
      </c>
      <c r="J71" s="17">
        <f>IFERROR(__xludf.DUMMYFUNCTION("""COMPUTED_VALUE"""),5756.5)</f>
        <v>5756.5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IFERROR(__xludf.DUMMYFUNCTION("""COMPUTED_VALUE"""),5884)</f>
        <v>5884</v>
      </c>
      <c r="C72" s="16">
        <f>IFERROR(__xludf.DUMMYFUNCTION("""COMPUTED_VALUE"""),45845.6458333333)</f>
        <v>45845.6458333333</v>
      </c>
      <c r="D72" s="17">
        <f>IFERROR(__xludf.DUMMYFUNCTION("""COMPUTED_VALUE"""),5800)</f>
        <v>5800</v>
      </c>
      <c r="E72" s="16">
        <f>IFERROR(__xludf.DUMMYFUNCTION("""COMPUTED_VALUE"""),45845.6458333333)</f>
        <v>45845.6458333333</v>
      </c>
      <c r="F72" s="17">
        <f>IFERROR(__xludf.DUMMYFUNCTION("""COMPUTED_VALUE"""),259829)</f>
        <v>259829</v>
      </c>
      <c r="G72" s="16">
        <f>IFERROR(__xludf.DUMMYFUNCTION("""COMPUTED_VALUE"""),45845.6458333333)</f>
        <v>45845.6458333333</v>
      </c>
      <c r="H72" s="17">
        <f>IFERROR(__xludf.DUMMYFUNCTION("""COMPUTED_VALUE"""),5899.5)</f>
        <v>5899.5</v>
      </c>
      <c r="I72" s="16">
        <f>IFERROR(__xludf.DUMMYFUNCTION("""COMPUTED_VALUE"""),45845.6458333333)</f>
        <v>45845.6458333333</v>
      </c>
      <c r="J72" s="17">
        <f>IFERROR(__xludf.DUMMYFUNCTION("""COMPUTED_VALUE"""),5788)</f>
        <v>5788</v>
      </c>
      <c r="K72" s="3">
        <f t="shared" si="2"/>
        <v>5884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IFERROR(__xludf.DUMMYFUNCTION("""COMPUTED_VALUE"""),5839)</f>
        <v>5839</v>
      </c>
      <c r="C73" s="16">
        <f>IFERROR(__xludf.DUMMYFUNCTION("""COMPUTED_VALUE"""),45846.6458333333)</f>
        <v>45846.6458333333</v>
      </c>
      <c r="D73" s="17">
        <f>IFERROR(__xludf.DUMMYFUNCTION("""COMPUTED_VALUE"""),5890)</f>
        <v>5890</v>
      </c>
      <c r="E73" s="16">
        <f>IFERROR(__xludf.DUMMYFUNCTION("""COMPUTED_VALUE"""),45846.6458333333)</f>
        <v>45846.6458333333</v>
      </c>
      <c r="F73" s="17">
        <f>IFERROR(__xludf.DUMMYFUNCTION("""COMPUTED_VALUE"""),423998)</f>
        <v>423998</v>
      </c>
      <c r="G73" s="16">
        <f>IFERROR(__xludf.DUMMYFUNCTION("""COMPUTED_VALUE"""),45846.6458333333)</f>
        <v>45846.6458333333</v>
      </c>
      <c r="H73" s="17">
        <f>IFERROR(__xludf.DUMMYFUNCTION("""COMPUTED_VALUE"""),5922)</f>
        <v>5922</v>
      </c>
      <c r="I73" s="16">
        <f>IFERROR(__xludf.DUMMYFUNCTION("""COMPUTED_VALUE"""),45846.6458333333)</f>
        <v>45846.6458333333</v>
      </c>
      <c r="J73" s="17">
        <f>IFERROR(__xludf.DUMMYFUNCTION("""COMPUTED_VALUE"""),5811.5)</f>
        <v>5811.5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IFERROR(__xludf.DUMMYFUNCTION("""COMPUTED_VALUE"""),5882)</f>
        <v>5882</v>
      </c>
      <c r="C74" s="16">
        <f>IFERROR(__xludf.DUMMYFUNCTION("""COMPUTED_VALUE"""),45847.6458333333)</f>
        <v>45847.6458333333</v>
      </c>
      <c r="D74" s="17">
        <f>IFERROR(__xludf.DUMMYFUNCTION("""COMPUTED_VALUE"""),5858)</f>
        <v>5858</v>
      </c>
      <c r="E74" s="16">
        <f>IFERROR(__xludf.DUMMYFUNCTION("""COMPUTED_VALUE"""),45847.6458333333)</f>
        <v>45847.6458333333</v>
      </c>
      <c r="F74" s="17">
        <f>IFERROR(__xludf.DUMMYFUNCTION("""COMPUTED_VALUE"""),232000)</f>
        <v>232000</v>
      </c>
      <c r="G74" s="16">
        <f>IFERROR(__xludf.DUMMYFUNCTION("""COMPUTED_VALUE"""),45847.6458333333)</f>
        <v>45847.6458333333</v>
      </c>
      <c r="H74" s="17">
        <f>IFERROR(__xludf.DUMMYFUNCTION("""COMPUTED_VALUE"""),5900)</f>
        <v>5900</v>
      </c>
      <c r="I74" s="16">
        <f>IFERROR(__xludf.DUMMYFUNCTION("""COMPUTED_VALUE"""),45847.6458333333)</f>
        <v>45847.6458333333</v>
      </c>
      <c r="J74" s="17">
        <f>IFERROR(__xludf.DUMMYFUNCTION("""COMPUTED_VALUE"""),5813.5)</f>
        <v>5813.5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IFERROR(__xludf.DUMMYFUNCTION("""COMPUTED_VALUE"""),5878)</f>
        <v>5878</v>
      </c>
      <c r="C75" s="16">
        <f>IFERROR(__xludf.DUMMYFUNCTION("""COMPUTED_VALUE"""),45848.6458333333)</f>
        <v>45848.6458333333</v>
      </c>
      <c r="D75" s="17">
        <f>IFERROR(__xludf.DUMMYFUNCTION("""COMPUTED_VALUE"""),5905)</f>
        <v>5905</v>
      </c>
      <c r="E75" s="16">
        <f>IFERROR(__xludf.DUMMYFUNCTION("""COMPUTED_VALUE"""),45848.6458333333)</f>
        <v>45848.6458333333</v>
      </c>
      <c r="F75" s="17">
        <f>IFERROR(__xludf.DUMMYFUNCTION("""COMPUTED_VALUE"""),191446)</f>
        <v>191446</v>
      </c>
      <c r="G75" s="16">
        <f>IFERROR(__xludf.DUMMYFUNCTION("""COMPUTED_VALUE"""),45848.6458333333)</f>
        <v>45848.6458333333</v>
      </c>
      <c r="H75" s="17">
        <f>IFERROR(__xludf.DUMMYFUNCTION("""COMPUTED_VALUE"""),5930.5)</f>
        <v>5930.5</v>
      </c>
      <c r="I75" s="16">
        <f>IFERROR(__xludf.DUMMYFUNCTION("""COMPUTED_VALUE"""),45848.6458333333)</f>
        <v>45848.6458333333</v>
      </c>
      <c r="J75" s="17">
        <f>IFERROR(__xludf.DUMMYFUNCTION("""COMPUTED_VALUE"""),5850.5)</f>
        <v>5850.5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IFERROR(__xludf.DUMMYFUNCTION("""COMPUTED_VALUE"""),5758.5)</f>
        <v>5758.5</v>
      </c>
      <c r="C76" s="16">
        <f>IFERROR(__xludf.DUMMYFUNCTION("""COMPUTED_VALUE"""),45849.6458333333)</f>
        <v>45849.6458333333</v>
      </c>
      <c r="D76" s="17">
        <f>IFERROR(__xludf.DUMMYFUNCTION("""COMPUTED_VALUE"""),5878)</f>
        <v>5878</v>
      </c>
      <c r="E76" s="16">
        <f>IFERROR(__xludf.DUMMYFUNCTION("""COMPUTED_VALUE"""),45849.6458333333)</f>
        <v>45849.6458333333</v>
      </c>
      <c r="F76" s="17">
        <f>IFERROR(__xludf.DUMMYFUNCTION("""COMPUTED_VALUE"""),175941)</f>
        <v>175941</v>
      </c>
      <c r="G76" s="16">
        <f>IFERROR(__xludf.DUMMYFUNCTION("""COMPUTED_VALUE"""),45849.6458333333)</f>
        <v>45849.6458333333</v>
      </c>
      <c r="H76" s="17">
        <f>IFERROR(__xludf.DUMMYFUNCTION("""COMPUTED_VALUE"""),5904.5)</f>
        <v>5904.5</v>
      </c>
      <c r="I76" s="16">
        <f>IFERROR(__xludf.DUMMYFUNCTION("""COMPUTED_VALUE"""),45849.6458333333)</f>
        <v>45849.6458333333</v>
      </c>
      <c r="J76" s="17">
        <f>IFERROR(__xludf.DUMMYFUNCTION("""COMPUTED_VALUE"""),5717)</f>
        <v>5717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IFERROR(__xludf.DUMMYFUNCTION("""COMPUTED_VALUE"""),5778)</f>
        <v>5778</v>
      </c>
      <c r="C77" s="16">
        <f>IFERROR(__xludf.DUMMYFUNCTION("""COMPUTED_VALUE"""),45852.6458333333)</f>
        <v>45852.6458333333</v>
      </c>
      <c r="D77" s="17">
        <f>IFERROR(__xludf.DUMMYFUNCTION("""COMPUTED_VALUE"""),5767)</f>
        <v>5767</v>
      </c>
      <c r="E77" s="16">
        <f>IFERROR(__xludf.DUMMYFUNCTION("""COMPUTED_VALUE"""),45852.6458333333)</f>
        <v>45852.6458333333</v>
      </c>
      <c r="F77" s="17">
        <f>IFERROR(__xludf.DUMMYFUNCTION("""COMPUTED_VALUE"""),218865)</f>
        <v>218865</v>
      </c>
      <c r="G77" s="16">
        <f>IFERROR(__xludf.DUMMYFUNCTION("""COMPUTED_VALUE"""),45852.6458333333)</f>
        <v>45852.6458333333</v>
      </c>
      <c r="H77" s="17">
        <f>IFERROR(__xludf.DUMMYFUNCTION("""COMPUTED_VALUE"""),5808.5)</f>
        <v>5808.5</v>
      </c>
      <c r="I77" s="16">
        <f>IFERROR(__xludf.DUMMYFUNCTION("""COMPUTED_VALUE"""),45852.6458333333)</f>
        <v>45852.6458333333</v>
      </c>
      <c r="J77" s="17">
        <f>IFERROR(__xludf.DUMMYFUNCTION("""COMPUTED_VALUE"""),5744)</f>
        <v>5744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IFERROR(__xludf.DUMMYFUNCTION("""COMPUTED_VALUE"""),5785.5)</f>
        <v>5785.5</v>
      </c>
      <c r="C78" s="16">
        <f>IFERROR(__xludf.DUMMYFUNCTION("""COMPUTED_VALUE"""),45853.6458333333)</f>
        <v>45853.6458333333</v>
      </c>
      <c r="D78" s="17">
        <f>IFERROR(__xludf.DUMMYFUNCTION("""COMPUTED_VALUE"""),5800)</f>
        <v>5800</v>
      </c>
      <c r="E78" s="16">
        <f>IFERROR(__xludf.DUMMYFUNCTION("""COMPUTED_VALUE"""),45853.6458333333)</f>
        <v>45853.6458333333</v>
      </c>
      <c r="F78" s="17">
        <f>IFERROR(__xludf.DUMMYFUNCTION("""COMPUTED_VALUE"""),164143)</f>
        <v>164143</v>
      </c>
      <c r="G78" s="16">
        <f>IFERROR(__xludf.DUMMYFUNCTION("""COMPUTED_VALUE"""),45853.6458333333)</f>
        <v>45853.6458333333</v>
      </c>
      <c r="H78" s="17">
        <f>IFERROR(__xludf.DUMMYFUNCTION("""COMPUTED_VALUE"""),5820)</f>
        <v>5820</v>
      </c>
      <c r="I78" s="16">
        <f>IFERROR(__xludf.DUMMYFUNCTION("""COMPUTED_VALUE"""),45853.6458333333)</f>
        <v>45853.6458333333</v>
      </c>
      <c r="J78" s="17">
        <f>IFERROR(__xludf.DUMMYFUNCTION("""COMPUTED_VALUE"""),5762)</f>
        <v>5762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IFERROR(__xludf.DUMMYFUNCTION("""COMPUTED_VALUE"""),5786.5)</f>
        <v>5786.5</v>
      </c>
      <c r="C79" s="16">
        <f>IFERROR(__xludf.DUMMYFUNCTION("""COMPUTED_VALUE"""),45854.6458333333)</f>
        <v>45854.6458333333</v>
      </c>
      <c r="D79" s="17">
        <f>IFERROR(__xludf.DUMMYFUNCTION("""COMPUTED_VALUE"""),5785.5)</f>
        <v>5785.5</v>
      </c>
      <c r="E79" s="16">
        <f>IFERROR(__xludf.DUMMYFUNCTION("""COMPUTED_VALUE"""),45854.6458333333)</f>
        <v>45854.6458333333</v>
      </c>
      <c r="F79" s="17">
        <f>IFERROR(__xludf.DUMMYFUNCTION("""COMPUTED_VALUE"""),261589)</f>
        <v>261589</v>
      </c>
      <c r="G79" s="16">
        <f>IFERROR(__xludf.DUMMYFUNCTION("""COMPUTED_VALUE"""),45854.6458333333)</f>
        <v>45854.6458333333</v>
      </c>
      <c r="H79" s="17">
        <f>IFERROR(__xludf.DUMMYFUNCTION("""COMPUTED_VALUE"""),5829)</f>
        <v>5829</v>
      </c>
      <c r="I79" s="16">
        <f>IFERROR(__xludf.DUMMYFUNCTION("""COMPUTED_VALUE"""),45854.6458333333)</f>
        <v>45854.6458333333</v>
      </c>
      <c r="J79" s="17">
        <f>IFERROR(__xludf.DUMMYFUNCTION("""COMPUTED_VALUE"""),5736)</f>
        <v>5736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IFERROR(__xludf.DUMMYFUNCTION("""COMPUTED_VALUE"""),5807.5)</f>
        <v>5807.5</v>
      </c>
      <c r="C80" s="16">
        <f>IFERROR(__xludf.DUMMYFUNCTION("""COMPUTED_VALUE"""),45855.6458333333)</f>
        <v>45855.6458333333</v>
      </c>
      <c r="D80" s="17">
        <f>IFERROR(__xludf.DUMMYFUNCTION("""COMPUTED_VALUE"""),5792.5)</f>
        <v>5792.5</v>
      </c>
      <c r="E80" s="16">
        <f>IFERROR(__xludf.DUMMYFUNCTION("""COMPUTED_VALUE"""),45855.6458333333)</f>
        <v>45855.6458333333</v>
      </c>
      <c r="F80" s="17">
        <f>IFERROR(__xludf.DUMMYFUNCTION("""COMPUTED_VALUE"""),196555)</f>
        <v>196555</v>
      </c>
      <c r="G80" s="16">
        <f>IFERROR(__xludf.DUMMYFUNCTION("""COMPUTED_VALUE"""),45855.6458333333)</f>
        <v>45855.6458333333</v>
      </c>
      <c r="H80" s="17">
        <f>IFERROR(__xludf.DUMMYFUNCTION("""COMPUTED_VALUE"""),5860)</f>
        <v>5860</v>
      </c>
      <c r="I80" s="16">
        <f>IFERROR(__xludf.DUMMYFUNCTION("""COMPUTED_VALUE"""),45855.6458333333)</f>
        <v>45855.6458333333</v>
      </c>
      <c r="J80" s="17">
        <f>IFERROR(__xludf.DUMMYFUNCTION("""COMPUTED_VALUE"""),5785.5)</f>
        <v>5785.5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IFERROR(__xludf.DUMMYFUNCTION("""COMPUTED_VALUE"""),5735.5)</f>
        <v>5735.5</v>
      </c>
      <c r="C81" s="16">
        <f>IFERROR(__xludf.DUMMYFUNCTION("""COMPUTED_VALUE"""),45856.6458333333)</f>
        <v>45856.6458333333</v>
      </c>
      <c r="D81" s="17">
        <f>IFERROR(__xludf.DUMMYFUNCTION("""COMPUTED_VALUE"""),5807.5)</f>
        <v>5807.5</v>
      </c>
      <c r="E81" s="16">
        <f>IFERROR(__xludf.DUMMYFUNCTION("""COMPUTED_VALUE"""),45856.6458333333)</f>
        <v>45856.6458333333</v>
      </c>
      <c r="F81" s="17">
        <f>IFERROR(__xludf.DUMMYFUNCTION("""COMPUTED_VALUE"""),196043)</f>
        <v>196043</v>
      </c>
      <c r="G81" s="16">
        <f>IFERROR(__xludf.DUMMYFUNCTION("""COMPUTED_VALUE"""),45856.6458333333)</f>
        <v>45856.6458333333</v>
      </c>
      <c r="H81" s="17">
        <f>IFERROR(__xludf.DUMMYFUNCTION("""COMPUTED_VALUE"""),5820)</f>
        <v>5820</v>
      </c>
      <c r="I81" s="16">
        <f>IFERROR(__xludf.DUMMYFUNCTION("""COMPUTED_VALUE"""),45856.6458333333)</f>
        <v>45856.6458333333</v>
      </c>
      <c r="J81" s="17">
        <f>IFERROR(__xludf.DUMMYFUNCTION("""COMPUTED_VALUE"""),5726)</f>
        <v>5726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IFERROR(__xludf.DUMMYFUNCTION("""COMPUTED_VALUE"""),5681.5)</f>
        <v>5681.5</v>
      </c>
      <c r="C82" s="16">
        <f>IFERROR(__xludf.DUMMYFUNCTION("""COMPUTED_VALUE"""),45859.6458333333)</f>
        <v>45859.6458333333</v>
      </c>
      <c r="D82" s="17">
        <f>IFERROR(__xludf.DUMMYFUNCTION("""COMPUTED_VALUE"""),5735)</f>
        <v>5735</v>
      </c>
      <c r="E82" s="16">
        <f>IFERROR(__xludf.DUMMYFUNCTION("""COMPUTED_VALUE"""),45859.6458333333)</f>
        <v>45859.6458333333</v>
      </c>
      <c r="F82" s="17">
        <f>IFERROR(__xludf.DUMMYFUNCTION("""COMPUTED_VALUE"""),329167)</f>
        <v>329167</v>
      </c>
      <c r="G82" s="16">
        <f>IFERROR(__xludf.DUMMYFUNCTION("""COMPUTED_VALUE"""),45859.6458333333)</f>
        <v>45859.6458333333</v>
      </c>
      <c r="H82" s="17">
        <f>IFERROR(__xludf.DUMMYFUNCTION("""COMPUTED_VALUE"""),5741)</f>
        <v>5741</v>
      </c>
      <c r="I82" s="16">
        <f>IFERROR(__xludf.DUMMYFUNCTION("""COMPUTED_VALUE"""),45859.6458333333)</f>
        <v>45859.6458333333</v>
      </c>
      <c r="J82" s="17">
        <f>IFERROR(__xludf.DUMMYFUNCTION("""COMPUTED_VALUE"""),5669)</f>
        <v>5669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IFERROR(__xludf.DUMMYFUNCTION("""COMPUTED_VALUE"""),5708.5)</f>
        <v>5708.5</v>
      </c>
      <c r="C83" s="16">
        <f>IFERROR(__xludf.DUMMYFUNCTION("""COMPUTED_VALUE"""),45860.6458333333)</f>
        <v>45860.6458333333</v>
      </c>
      <c r="D83" s="17">
        <f>IFERROR(__xludf.DUMMYFUNCTION("""COMPUTED_VALUE"""),5695.5)</f>
        <v>5695.5</v>
      </c>
      <c r="E83" s="16">
        <f>IFERROR(__xludf.DUMMYFUNCTION("""COMPUTED_VALUE"""),45860.6458333333)</f>
        <v>45860.6458333333</v>
      </c>
      <c r="F83" s="17">
        <f>IFERROR(__xludf.DUMMYFUNCTION("""COMPUTED_VALUE"""),235846)</f>
        <v>235846</v>
      </c>
      <c r="G83" s="16">
        <f>IFERROR(__xludf.DUMMYFUNCTION("""COMPUTED_VALUE"""),45860.6458333333)</f>
        <v>45860.6458333333</v>
      </c>
      <c r="H83" s="17">
        <f>IFERROR(__xludf.DUMMYFUNCTION("""COMPUTED_VALUE"""),5738.5)</f>
        <v>5738.5</v>
      </c>
      <c r="I83" s="16">
        <f>IFERROR(__xludf.DUMMYFUNCTION("""COMPUTED_VALUE"""),45860.6458333333)</f>
        <v>45860.6458333333</v>
      </c>
      <c r="J83" s="17">
        <f>IFERROR(__xludf.DUMMYFUNCTION("""COMPUTED_VALUE"""),5634)</f>
        <v>5634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IFERROR(__xludf.DUMMYFUNCTION("""COMPUTED_VALUE"""),5719.5)</f>
        <v>5719.5</v>
      </c>
      <c r="C84" s="16">
        <f>IFERROR(__xludf.DUMMYFUNCTION("""COMPUTED_VALUE"""),45861.6458333333)</f>
        <v>45861.6458333333</v>
      </c>
      <c r="D84" s="17">
        <f>IFERROR(__xludf.DUMMYFUNCTION("""COMPUTED_VALUE"""),5737)</f>
        <v>5737</v>
      </c>
      <c r="E84" s="16">
        <f>IFERROR(__xludf.DUMMYFUNCTION("""COMPUTED_VALUE"""),45861.6458333333)</f>
        <v>45861.6458333333</v>
      </c>
      <c r="F84" s="17">
        <f>IFERROR(__xludf.DUMMYFUNCTION("""COMPUTED_VALUE"""),246735)</f>
        <v>246735</v>
      </c>
      <c r="G84" s="16">
        <f>IFERROR(__xludf.DUMMYFUNCTION("""COMPUTED_VALUE"""),45861.6458333333)</f>
        <v>45861.6458333333</v>
      </c>
      <c r="H84" s="17">
        <f>IFERROR(__xludf.DUMMYFUNCTION("""COMPUTED_VALUE"""),5757)</f>
        <v>5757</v>
      </c>
      <c r="I84" s="16">
        <f>IFERROR(__xludf.DUMMYFUNCTION("""COMPUTED_VALUE"""),45861.6458333333)</f>
        <v>45861.6458333333</v>
      </c>
      <c r="J84" s="17">
        <f>IFERROR(__xludf.DUMMYFUNCTION("""COMPUTED_VALUE"""),5670)</f>
        <v>5670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IFERROR(__xludf.DUMMYFUNCTION("""COMPUTED_VALUE"""),5673)</f>
        <v>5673</v>
      </c>
      <c r="C85" s="16">
        <f>IFERROR(__xludf.DUMMYFUNCTION("""COMPUTED_VALUE"""),45862.6458333333)</f>
        <v>45862.6458333333</v>
      </c>
      <c r="D85" s="17">
        <f>IFERROR(__xludf.DUMMYFUNCTION("""COMPUTED_VALUE"""),5724.5)</f>
        <v>5724.5</v>
      </c>
      <c r="E85" s="16">
        <f>IFERROR(__xludf.DUMMYFUNCTION("""COMPUTED_VALUE"""),45862.6458333333)</f>
        <v>45862.6458333333</v>
      </c>
      <c r="F85" s="17">
        <f>IFERROR(__xludf.DUMMYFUNCTION("""COMPUTED_VALUE"""),229097)</f>
        <v>229097</v>
      </c>
      <c r="G85" s="16">
        <f>IFERROR(__xludf.DUMMYFUNCTION("""COMPUTED_VALUE"""),45862.6458333333)</f>
        <v>45862.6458333333</v>
      </c>
      <c r="H85" s="17">
        <f>IFERROR(__xludf.DUMMYFUNCTION("""COMPUTED_VALUE"""),5751.5)</f>
        <v>5751.5</v>
      </c>
      <c r="I85" s="16">
        <f>IFERROR(__xludf.DUMMYFUNCTION("""COMPUTED_VALUE"""),45862.6458333333)</f>
        <v>45862.6458333333</v>
      </c>
      <c r="J85" s="17">
        <f>IFERROR(__xludf.DUMMYFUNCTION("""COMPUTED_VALUE"""),5651.5)</f>
        <v>5651.5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IFERROR(__xludf.DUMMYFUNCTION("""COMPUTED_VALUE"""),5594)</f>
        <v>5594</v>
      </c>
      <c r="C86" s="16">
        <f>IFERROR(__xludf.DUMMYFUNCTION("""COMPUTED_VALUE"""),45863.6458333333)</f>
        <v>45863.6458333333</v>
      </c>
      <c r="D86" s="17">
        <f>IFERROR(__xludf.DUMMYFUNCTION("""COMPUTED_VALUE"""),5673)</f>
        <v>5673</v>
      </c>
      <c r="E86" s="16">
        <f>IFERROR(__xludf.DUMMYFUNCTION("""COMPUTED_VALUE"""),45863.6458333333)</f>
        <v>45863.6458333333</v>
      </c>
      <c r="F86" s="17">
        <f>IFERROR(__xludf.DUMMYFUNCTION("""COMPUTED_VALUE"""),233003)</f>
        <v>233003</v>
      </c>
      <c r="G86" s="16">
        <f>IFERROR(__xludf.DUMMYFUNCTION("""COMPUTED_VALUE"""),45863.6458333333)</f>
        <v>45863.6458333333</v>
      </c>
      <c r="H86" s="17">
        <f>IFERROR(__xludf.DUMMYFUNCTION("""COMPUTED_VALUE"""),5698)</f>
        <v>5698</v>
      </c>
      <c r="I86" s="16">
        <f>IFERROR(__xludf.DUMMYFUNCTION("""COMPUTED_VALUE"""),45863.6458333333)</f>
        <v>45863.6458333333</v>
      </c>
      <c r="J86" s="17">
        <f>IFERROR(__xludf.DUMMYFUNCTION("""COMPUTED_VALUE"""),5570)</f>
        <v>5570</v>
      </c>
      <c r="K86" s="3">
        <f t="shared" si="2"/>
        <v>0</v>
      </c>
      <c r="L86" s="3">
        <f t="shared" si="3"/>
        <v>5594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IFERROR(__xludf.DUMMYFUNCTION("""COMPUTED_VALUE"""),5624.5)</f>
        <v>5624.5</v>
      </c>
      <c r="C87" s="16">
        <f>IFERROR(__xludf.DUMMYFUNCTION("""COMPUTED_VALUE"""),45866.6458333333)</f>
        <v>45866.6458333333</v>
      </c>
      <c r="D87" s="17">
        <f>IFERROR(__xludf.DUMMYFUNCTION("""COMPUTED_VALUE"""),5596.5)</f>
        <v>5596.5</v>
      </c>
      <c r="E87" s="16">
        <f>IFERROR(__xludf.DUMMYFUNCTION("""COMPUTED_VALUE"""),45866.6458333333)</f>
        <v>45866.6458333333</v>
      </c>
      <c r="F87" s="17">
        <f>IFERROR(__xludf.DUMMYFUNCTION("""COMPUTED_VALUE"""),173142)</f>
        <v>173142</v>
      </c>
      <c r="G87" s="16">
        <f>IFERROR(__xludf.DUMMYFUNCTION("""COMPUTED_VALUE"""),45866.6458333333)</f>
        <v>45866.6458333333</v>
      </c>
      <c r="H87" s="17">
        <f>IFERROR(__xludf.DUMMYFUNCTION("""COMPUTED_VALUE"""),5669)</f>
        <v>5669</v>
      </c>
      <c r="I87" s="16">
        <f>IFERROR(__xludf.DUMMYFUNCTION("""COMPUTED_VALUE"""),45866.6458333333)</f>
        <v>45866.6458333333</v>
      </c>
      <c r="J87" s="17">
        <f>IFERROR(__xludf.DUMMYFUNCTION("""COMPUTED_VALUE"""),5571)</f>
        <v>5571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IFERROR(__xludf.DUMMYFUNCTION("""COMPUTED_VALUE"""),5626)</f>
        <v>5626</v>
      </c>
      <c r="C88" s="16">
        <f>IFERROR(__xludf.DUMMYFUNCTION("""COMPUTED_VALUE"""),45867.6458333333)</f>
        <v>45867.6458333333</v>
      </c>
      <c r="D88" s="17">
        <f>IFERROR(__xludf.DUMMYFUNCTION("""COMPUTED_VALUE"""),5601.5)</f>
        <v>5601.5</v>
      </c>
      <c r="E88" s="16">
        <f>IFERROR(__xludf.DUMMYFUNCTION("""COMPUTED_VALUE"""),45867.6458333333)</f>
        <v>45867.6458333333</v>
      </c>
      <c r="F88" s="17">
        <f>IFERROR(__xludf.DUMMYFUNCTION("""COMPUTED_VALUE"""),363002)</f>
        <v>363002</v>
      </c>
      <c r="G88" s="16">
        <f>IFERROR(__xludf.DUMMYFUNCTION("""COMPUTED_VALUE"""),45867.6458333333)</f>
        <v>45867.6458333333</v>
      </c>
      <c r="H88" s="17">
        <f>IFERROR(__xludf.DUMMYFUNCTION("""COMPUTED_VALUE"""),5655)</f>
        <v>5655</v>
      </c>
      <c r="I88" s="16">
        <f>IFERROR(__xludf.DUMMYFUNCTION("""COMPUTED_VALUE"""),45867.6458333333)</f>
        <v>45867.6458333333</v>
      </c>
      <c r="J88" s="17">
        <f>IFERROR(__xludf.DUMMYFUNCTION("""COMPUTED_VALUE"""),5572)</f>
        <v>5572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IFERROR(__xludf.DUMMYFUNCTION("""COMPUTED_VALUE"""),5747)</f>
        <v>5747</v>
      </c>
      <c r="C89" s="16">
        <f>IFERROR(__xludf.DUMMYFUNCTION("""COMPUTED_VALUE"""),45868.6458333333)</f>
        <v>45868.6458333333</v>
      </c>
      <c r="D89" s="17">
        <f>IFERROR(__xludf.DUMMYFUNCTION("""COMPUTED_VALUE"""),5627)</f>
        <v>5627</v>
      </c>
      <c r="E89" s="16">
        <f>IFERROR(__xludf.DUMMYFUNCTION("""COMPUTED_VALUE"""),45868.6458333333)</f>
        <v>45868.6458333333</v>
      </c>
      <c r="F89" s="17">
        <f>IFERROR(__xludf.DUMMYFUNCTION("""COMPUTED_VALUE"""),176798)</f>
        <v>176798</v>
      </c>
      <c r="G89" s="16">
        <f>IFERROR(__xludf.DUMMYFUNCTION("""COMPUTED_VALUE"""),45868.6458333333)</f>
        <v>45868.6458333333</v>
      </c>
      <c r="H89" s="17">
        <f>IFERROR(__xludf.DUMMYFUNCTION("""COMPUTED_VALUE"""),5758.5)</f>
        <v>5758.5</v>
      </c>
      <c r="I89" s="16">
        <f>IFERROR(__xludf.DUMMYFUNCTION("""COMPUTED_VALUE"""),45868.6458333333)</f>
        <v>45868.6458333333</v>
      </c>
      <c r="J89" s="17">
        <f>IFERROR(__xludf.DUMMYFUNCTION("""COMPUTED_VALUE"""),5627)</f>
        <v>5627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IFERROR(__xludf.DUMMYFUNCTION("""COMPUTED_VALUE"""),5771)</f>
        <v>5771</v>
      </c>
      <c r="C90" s="16">
        <f>IFERROR(__xludf.DUMMYFUNCTION("""COMPUTED_VALUE"""),45869.6458333333)</f>
        <v>45869.6458333333</v>
      </c>
      <c r="D90" s="17">
        <f>IFERROR(__xludf.DUMMYFUNCTION("""COMPUTED_VALUE"""),5746)</f>
        <v>5746</v>
      </c>
      <c r="E90" s="16">
        <f>IFERROR(__xludf.DUMMYFUNCTION("""COMPUTED_VALUE"""),45869.6458333333)</f>
        <v>45869.6458333333</v>
      </c>
      <c r="F90" s="17">
        <f>IFERROR(__xludf.DUMMYFUNCTION("""COMPUTED_VALUE"""),344973)</f>
        <v>344973</v>
      </c>
      <c r="G90" s="16">
        <f>IFERROR(__xludf.DUMMYFUNCTION("""COMPUTED_VALUE"""),45869.6458333333)</f>
        <v>45869.6458333333</v>
      </c>
      <c r="H90" s="17">
        <f>IFERROR(__xludf.DUMMYFUNCTION("""COMPUTED_VALUE"""),5825)</f>
        <v>5825</v>
      </c>
      <c r="I90" s="16">
        <f>IFERROR(__xludf.DUMMYFUNCTION("""COMPUTED_VALUE"""),45869.6458333333)</f>
        <v>45869.6458333333</v>
      </c>
      <c r="J90" s="17">
        <f>IFERROR(__xludf.DUMMYFUNCTION("""COMPUTED_VALUE"""),5719.5)</f>
        <v>5719.5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IFERROR(__xludf.DUMMYFUNCTION("""COMPUTED_VALUE"""),5798)</f>
        <v>5798</v>
      </c>
      <c r="C91" s="16">
        <f>IFERROR(__xludf.DUMMYFUNCTION("""COMPUTED_VALUE"""),45870.6458333333)</f>
        <v>45870.6458333333</v>
      </c>
      <c r="D91" s="17">
        <f>IFERROR(__xludf.DUMMYFUNCTION("""COMPUTED_VALUE"""),5799.5)</f>
        <v>5799.5</v>
      </c>
      <c r="E91" s="16">
        <f>IFERROR(__xludf.DUMMYFUNCTION("""COMPUTED_VALUE"""),45870.6458333333)</f>
        <v>45870.6458333333</v>
      </c>
      <c r="F91" s="17">
        <f>IFERROR(__xludf.DUMMYFUNCTION("""COMPUTED_VALUE"""),244870)</f>
        <v>244870</v>
      </c>
      <c r="G91" s="16">
        <f>IFERROR(__xludf.DUMMYFUNCTION("""COMPUTED_VALUE"""),45870.6458333333)</f>
        <v>45870.6458333333</v>
      </c>
      <c r="H91" s="17">
        <f>IFERROR(__xludf.DUMMYFUNCTION("""COMPUTED_VALUE"""),5899)</f>
        <v>5899</v>
      </c>
      <c r="I91" s="16">
        <f>IFERROR(__xludf.DUMMYFUNCTION("""COMPUTED_VALUE"""),45870.6458333333)</f>
        <v>45870.6458333333</v>
      </c>
      <c r="J91" s="17">
        <f>IFERROR(__xludf.DUMMYFUNCTION("""COMPUTED_VALUE"""),5776.5)</f>
        <v>5776.5</v>
      </c>
      <c r="K91" s="3">
        <f t="shared" si="2"/>
        <v>5798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IFERROR(__xludf.DUMMYFUNCTION("""COMPUTED_VALUE"""),5787)</f>
        <v>5787</v>
      </c>
      <c r="C92" s="16">
        <f>IFERROR(__xludf.DUMMYFUNCTION("""COMPUTED_VALUE"""),45873.6458333333)</f>
        <v>45873.6458333333</v>
      </c>
      <c r="D92" s="17">
        <f>IFERROR(__xludf.DUMMYFUNCTION("""COMPUTED_VALUE"""),5752.5)</f>
        <v>5752.5</v>
      </c>
      <c r="E92" s="16">
        <f>IFERROR(__xludf.DUMMYFUNCTION("""COMPUTED_VALUE"""),45873.6458333333)</f>
        <v>45873.6458333333</v>
      </c>
      <c r="F92" s="17">
        <f>IFERROR(__xludf.DUMMYFUNCTION("""COMPUTED_VALUE"""),189672)</f>
        <v>189672</v>
      </c>
      <c r="G92" s="16">
        <f>IFERROR(__xludf.DUMMYFUNCTION("""COMPUTED_VALUE"""),45873.6458333333)</f>
        <v>45873.6458333333</v>
      </c>
      <c r="H92" s="17">
        <f>IFERROR(__xludf.DUMMYFUNCTION("""COMPUTED_VALUE"""),5802)</f>
        <v>5802</v>
      </c>
      <c r="I92" s="16">
        <f>IFERROR(__xludf.DUMMYFUNCTION("""COMPUTED_VALUE"""),45873.6458333333)</f>
        <v>45873.6458333333</v>
      </c>
      <c r="J92" s="17">
        <f>IFERROR(__xludf.DUMMYFUNCTION("""COMPUTED_VALUE"""),5714)</f>
        <v>5714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IFERROR(__xludf.DUMMYFUNCTION("""COMPUTED_VALUE"""),5635.5)</f>
        <v>5635.5</v>
      </c>
      <c r="C93" s="16">
        <f>IFERROR(__xludf.DUMMYFUNCTION("""COMPUTED_VALUE"""),45874.6458333333)</f>
        <v>45874.6458333333</v>
      </c>
      <c r="D93" s="17">
        <f>IFERROR(__xludf.DUMMYFUNCTION("""COMPUTED_VALUE"""),5795)</f>
        <v>5795</v>
      </c>
      <c r="E93" s="16">
        <f>IFERROR(__xludf.DUMMYFUNCTION("""COMPUTED_VALUE"""),45874.6458333333)</f>
        <v>45874.6458333333</v>
      </c>
      <c r="F93" s="17">
        <f>IFERROR(__xludf.DUMMYFUNCTION("""COMPUTED_VALUE"""),380387)</f>
        <v>380387</v>
      </c>
      <c r="G93" s="16">
        <f>IFERROR(__xludf.DUMMYFUNCTION("""COMPUTED_VALUE"""),45874.6458333333)</f>
        <v>45874.6458333333</v>
      </c>
      <c r="H93" s="17">
        <f>IFERROR(__xludf.DUMMYFUNCTION("""COMPUTED_VALUE"""),5795)</f>
        <v>5795</v>
      </c>
      <c r="I93" s="16">
        <f>IFERROR(__xludf.DUMMYFUNCTION("""COMPUTED_VALUE"""),45874.6458333333)</f>
        <v>45874.6458333333</v>
      </c>
      <c r="J93" s="17">
        <f>IFERROR(__xludf.DUMMYFUNCTION("""COMPUTED_VALUE"""),5610.5)</f>
        <v>5610.5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IFERROR(__xludf.DUMMYFUNCTION("""COMPUTED_VALUE"""),5402.5)</f>
        <v>5402.5</v>
      </c>
      <c r="C94" s="16">
        <f>IFERROR(__xludf.DUMMYFUNCTION("""COMPUTED_VALUE"""),45875.6458333333)</f>
        <v>45875.6458333333</v>
      </c>
      <c r="D94" s="17">
        <f>IFERROR(__xludf.DUMMYFUNCTION("""COMPUTED_VALUE"""),5599.5)</f>
        <v>5599.5</v>
      </c>
      <c r="E94" s="16">
        <f>IFERROR(__xludf.DUMMYFUNCTION("""COMPUTED_VALUE"""),45875.6458333333)</f>
        <v>45875.6458333333</v>
      </c>
      <c r="F94" s="17">
        <f>IFERROR(__xludf.DUMMYFUNCTION("""COMPUTED_VALUE"""),1123534)</f>
        <v>1123534</v>
      </c>
      <c r="G94" s="16">
        <f>IFERROR(__xludf.DUMMYFUNCTION("""COMPUTED_VALUE"""),45875.6458333333)</f>
        <v>45875.6458333333</v>
      </c>
      <c r="H94" s="17">
        <f>IFERROR(__xludf.DUMMYFUNCTION("""COMPUTED_VALUE"""),5625)</f>
        <v>5625</v>
      </c>
      <c r="I94" s="16">
        <f>IFERROR(__xludf.DUMMYFUNCTION("""COMPUTED_VALUE"""),45875.6458333333)</f>
        <v>45875.6458333333</v>
      </c>
      <c r="J94" s="17">
        <f>IFERROR(__xludf.DUMMYFUNCTION("""COMPUTED_VALUE"""),5371)</f>
        <v>5371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IFERROR(__xludf.DUMMYFUNCTION("""COMPUTED_VALUE"""),5476.5)</f>
        <v>5476.5</v>
      </c>
      <c r="C95" s="16">
        <f>IFERROR(__xludf.DUMMYFUNCTION("""COMPUTED_VALUE"""),45876.6458333333)</f>
        <v>45876.6458333333</v>
      </c>
      <c r="D95" s="17">
        <f>IFERROR(__xludf.DUMMYFUNCTION("""COMPUTED_VALUE"""),5380.5)</f>
        <v>5380.5</v>
      </c>
      <c r="E95" s="16">
        <f>IFERROR(__xludf.DUMMYFUNCTION("""COMPUTED_VALUE"""),45876.6458333333)</f>
        <v>45876.6458333333</v>
      </c>
      <c r="F95" s="17">
        <f>IFERROR(__xludf.DUMMYFUNCTION("""COMPUTED_VALUE"""),795974)</f>
        <v>795974</v>
      </c>
      <c r="G95" s="16">
        <f>IFERROR(__xludf.DUMMYFUNCTION("""COMPUTED_VALUE"""),45876.6458333333)</f>
        <v>45876.6458333333</v>
      </c>
      <c r="H95" s="17">
        <f>IFERROR(__xludf.DUMMYFUNCTION("""COMPUTED_VALUE"""),5560)</f>
        <v>5560</v>
      </c>
      <c r="I95" s="16">
        <f>IFERROR(__xludf.DUMMYFUNCTION("""COMPUTED_VALUE"""),45876.6458333333)</f>
        <v>45876.6458333333</v>
      </c>
      <c r="J95" s="17">
        <f>IFERROR(__xludf.DUMMYFUNCTION("""COMPUTED_VALUE"""),5380.5)</f>
        <v>5380.5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IFERROR(__xludf.DUMMYFUNCTION("""COMPUTED_VALUE"""),5387)</f>
        <v>5387</v>
      </c>
      <c r="C96" s="16">
        <f>IFERROR(__xludf.DUMMYFUNCTION("""COMPUTED_VALUE"""),45877.6458333333)</f>
        <v>45877.6458333333</v>
      </c>
      <c r="D96" s="17">
        <f>IFERROR(__xludf.DUMMYFUNCTION("""COMPUTED_VALUE"""),5479.5)</f>
        <v>5479.5</v>
      </c>
      <c r="E96" s="16">
        <f>IFERROR(__xludf.DUMMYFUNCTION("""COMPUTED_VALUE"""),45877.6458333333)</f>
        <v>45877.6458333333</v>
      </c>
      <c r="F96" s="17">
        <f>IFERROR(__xludf.DUMMYFUNCTION("""COMPUTED_VALUE"""),551451)</f>
        <v>551451</v>
      </c>
      <c r="G96" s="16">
        <f>IFERROR(__xludf.DUMMYFUNCTION("""COMPUTED_VALUE"""),45877.6458333333)</f>
        <v>45877.6458333333</v>
      </c>
      <c r="H96" s="17">
        <f>IFERROR(__xludf.DUMMYFUNCTION("""COMPUTED_VALUE"""),5503)</f>
        <v>5503</v>
      </c>
      <c r="I96" s="16">
        <f>IFERROR(__xludf.DUMMYFUNCTION("""COMPUTED_VALUE"""),45877.6458333333)</f>
        <v>45877.6458333333</v>
      </c>
      <c r="J96" s="17">
        <f>IFERROR(__xludf.DUMMYFUNCTION("""COMPUTED_VALUE"""),5380)</f>
        <v>5380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IFERROR(__xludf.DUMMYFUNCTION("""COMPUTED_VALUE"""),5381.5)</f>
        <v>5381.5</v>
      </c>
      <c r="C97" s="16">
        <f>IFERROR(__xludf.DUMMYFUNCTION("""COMPUTED_VALUE"""),45880.6458333333)</f>
        <v>45880.6458333333</v>
      </c>
      <c r="D97" s="17">
        <f>IFERROR(__xludf.DUMMYFUNCTION("""COMPUTED_VALUE"""),5361)</f>
        <v>5361</v>
      </c>
      <c r="E97" s="16">
        <f>IFERROR(__xludf.DUMMYFUNCTION("""COMPUTED_VALUE"""),45880.6458333333)</f>
        <v>45880.6458333333</v>
      </c>
      <c r="F97" s="17">
        <f>IFERROR(__xludf.DUMMYFUNCTION("""COMPUTED_VALUE"""),598841)</f>
        <v>598841</v>
      </c>
      <c r="G97" s="16">
        <f>IFERROR(__xludf.DUMMYFUNCTION("""COMPUTED_VALUE"""),45880.6458333333)</f>
        <v>45880.6458333333</v>
      </c>
      <c r="H97" s="17">
        <f>IFERROR(__xludf.DUMMYFUNCTION("""COMPUTED_VALUE"""),5400)</f>
        <v>5400</v>
      </c>
      <c r="I97" s="16">
        <f>IFERROR(__xludf.DUMMYFUNCTION("""COMPUTED_VALUE"""),45880.6458333333)</f>
        <v>45880.6458333333</v>
      </c>
      <c r="J97" s="17">
        <f>IFERROR(__xludf.DUMMYFUNCTION("""COMPUTED_VALUE"""),5310.5)</f>
        <v>5310.5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IFERROR(__xludf.DUMMYFUNCTION("""COMPUTED_VALUE"""),5338)</f>
        <v>5338</v>
      </c>
      <c r="C98" s="16">
        <f>IFERROR(__xludf.DUMMYFUNCTION("""COMPUTED_VALUE"""),45881.6458333333)</f>
        <v>45881.6458333333</v>
      </c>
      <c r="D98" s="17">
        <f>IFERROR(__xludf.DUMMYFUNCTION("""COMPUTED_VALUE"""),5390.5)</f>
        <v>5390.5</v>
      </c>
      <c r="E98" s="16">
        <f>IFERROR(__xludf.DUMMYFUNCTION("""COMPUTED_VALUE"""),45881.6458333333)</f>
        <v>45881.6458333333</v>
      </c>
      <c r="F98" s="17">
        <f>IFERROR(__xludf.DUMMYFUNCTION("""COMPUTED_VALUE"""),323204)</f>
        <v>323204</v>
      </c>
      <c r="G98" s="16">
        <f>IFERROR(__xludf.DUMMYFUNCTION("""COMPUTED_VALUE"""),45881.6458333333)</f>
        <v>45881.6458333333</v>
      </c>
      <c r="H98" s="17">
        <f>IFERROR(__xludf.DUMMYFUNCTION("""COMPUTED_VALUE"""),5390.5)</f>
        <v>5390.5</v>
      </c>
      <c r="I98" s="16">
        <f>IFERROR(__xludf.DUMMYFUNCTION("""COMPUTED_VALUE"""),45881.6458333333)</f>
        <v>45881.6458333333</v>
      </c>
      <c r="J98" s="17">
        <f>IFERROR(__xludf.DUMMYFUNCTION("""COMPUTED_VALUE"""),5317.5)</f>
        <v>5317.5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IFERROR(__xludf.DUMMYFUNCTION("""COMPUTED_VALUE"""),5375.5)</f>
        <v>5375.5</v>
      </c>
      <c r="C99" s="16">
        <f>IFERROR(__xludf.DUMMYFUNCTION("""COMPUTED_VALUE"""),45882.6458333333)</f>
        <v>45882.6458333333</v>
      </c>
      <c r="D99" s="17">
        <f>IFERROR(__xludf.DUMMYFUNCTION("""COMPUTED_VALUE"""),5363.5)</f>
        <v>5363.5</v>
      </c>
      <c r="E99" s="16">
        <f>IFERROR(__xludf.DUMMYFUNCTION("""COMPUTED_VALUE"""),45882.6458333333)</f>
        <v>45882.6458333333</v>
      </c>
      <c r="F99" s="17">
        <f>IFERROR(__xludf.DUMMYFUNCTION("""COMPUTED_VALUE"""),388683)</f>
        <v>388683</v>
      </c>
      <c r="G99" s="16">
        <f>IFERROR(__xludf.DUMMYFUNCTION("""COMPUTED_VALUE"""),45882.6458333333)</f>
        <v>45882.6458333333</v>
      </c>
      <c r="H99" s="17">
        <f>IFERROR(__xludf.DUMMYFUNCTION("""COMPUTED_VALUE"""),5393)</f>
        <v>5393</v>
      </c>
      <c r="I99" s="16">
        <f>IFERROR(__xludf.DUMMYFUNCTION("""COMPUTED_VALUE"""),45882.6458333333)</f>
        <v>45882.6458333333</v>
      </c>
      <c r="J99" s="17">
        <f>IFERROR(__xludf.DUMMYFUNCTION("""COMPUTED_VALUE"""),5299)</f>
        <v>5299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IFERROR(__xludf.DUMMYFUNCTION("""COMPUTED_VALUE"""),5302.5)</f>
        <v>5302.5</v>
      </c>
      <c r="C100" s="16">
        <f>IFERROR(__xludf.DUMMYFUNCTION("""COMPUTED_VALUE"""),45883.6458333333)</f>
        <v>45883.6458333333</v>
      </c>
      <c r="D100" s="17">
        <f>IFERROR(__xludf.DUMMYFUNCTION("""COMPUTED_VALUE"""),5395)</f>
        <v>5395</v>
      </c>
      <c r="E100" s="16">
        <f>IFERROR(__xludf.DUMMYFUNCTION("""COMPUTED_VALUE"""),45883.6458333333)</f>
        <v>45883.6458333333</v>
      </c>
      <c r="F100" s="17">
        <f>IFERROR(__xludf.DUMMYFUNCTION("""COMPUTED_VALUE"""),215308)</f>
        <v>215308</v>
      </c>
      <c r="G100" s="16">
        <f>IFERROR(__xludf.DUMMYFUNCTION("""COMPUTED_VALUE"""),45883.6458333333)</f>
        <v>45883.6458333333</v>
      </c>
      <c r="H100" s="17">
        <f>IFERROR(__xludf.DUMMYFUNCTION("""COMPUTED_VALUE"""),5398.5)</f>
        <v>5398.5</v>
      </c>
      <c r="I100" s="16">
        <f>IFERROR(__xludf.DUMMYFUNCTION("""COMPUTED_VALUE"""),45883.6458333333)</f>
        <v>45883.6458333333</v>
      </c>
      <c r="J100" s="17">
        <f>IFERROR(__xludf.DUMMYFUNCTION("""COMPUTED_VALUE"""),5298)</f>
        <v>5298</v>
      </c>
      <c r="K100" s="3">
        <f t="shared" si="2"/>
        <v>0</v>
      </c>
      <c r="L100" s="3">
        <f t="shared" si="3"/>
        <v>5302.5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IFERROR(__xludf.DUMMYFUNCTION("""COMPUTED_VALUE"""),5439)</f>
        <v>5439</v>
      </c>
      <c r="C101" s="16">
        <f>IFERROR(__xludf.DUMMYFUNCTION("""COMPUTED_VALUE"""),45887.6458333333)</f>
        <v>45887.6458333333</v>
      </c>
      <c r="D101" s="17">
        <f>IFERROR(__xludf.DUMMYFUNCTION("""COMPUTED_VALUE"""),5400)</f>
        <v>5400</v>
      </c>
      <c r="E101" s="16">
        <f>IFERROR(__xludf.DUMMYFUNCTION("""COMPUTED_VALUE"""),45887.6458333333)</f>
        <v>45887.6458333333</v>
      </c>
      <c r="F101" s="17">
        <f>IFERROR(__xludf.DUMMYFUNCTION("""COMPUTED_VALUE"""),509058)</f>
        <v>509058</v>
      </c>
      <c r="G101" s="16">
        <f>IFERROR(__xludf.DUMMYFUNCTION("""COMPUTED_VALUE"""),45887.6458333333)</f>
        <v>45887.6458333333</v>
      </c>
      <c r="H101" s="17">
        <f>IFERROR(__xludf.DUMMYFUNCTION("""COMPUTED_VALUE"""),5667)</f>
        <v>5667</v>
      </c>
      <c r="I101" s="16">
        <f>IFERROR(__xludf.DUMMYFUNCTION("""COMPUTED_VALUE"""),45887.6458333333)</f>
        <v>45887.6458333333</v>
      </c>
      <c r="J101" s="17">
        <f>IFERROR(__xludf.DUMMYFUNCTION("""COMPUTED_VALUE"""),5400)</f>
        <v>5400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IFERROR(__xludf.DUMMYFUNCTION("""COMPUTED_VALUE"""),5499)</f>
        <v>5499</v>
      </c>
      <c r="C102" s="16">
        <f>IFERROR(__xludf.DUMMYFUNCTION("""COMPUTED_VALUE"""),45888.6458333333)</f>
        <v>45888.6458333333</v>
      </c>
      <c r="D102" s="17">
        <f>IFERROR(__xludf.DUMMYFUNCTION("""COMPUTED_VALUE"""),5446)</f>
        <v>5446</v>
      </c>
      <c r="E102" s="16">
        <f>IFERROR(__xludf.DUMMYFUNCTION("""COMPUTED_VALUE"""),45888.6458333333)</f>
        <v>45888.6458333333</v>
      </c>
      <c r="F102" s="17">
        <f>IFERROR(__xludf.DUMMYFUNCTION("""COMPUTED_VALUE"""),153026)</f>
        <v>153026</v>
      </c>
      <c r="G102" s="16">
        <f>IFERROR(__xludf.DUMMYFUNCTION("""COMPUTED_VALUE"""),45888.6458333333)</f>
        <v>45888.6458333333</v>
      </c>
      <c r="H102" s="17">
        <f>IFERROR(__xludf.DUMMYFUNCTION("""COMPUTED_VALUE"""),5513)</f>
        <v>5513</v>
      </c>
      <c r="I102" s="16">
        <f>IFERROR(__xludf.DUMMYFUNCTION("""COMPUTED_VALUE"""),45888.6458333333)</f>
        <v>45888.6458333333</v>
      </c>
      <c r="J102" s="17">
        <f>IFERROR(__xludf.DUMMYFUNCTION("""COMPUTED_VALUE"""),5399)</f>
        <v>5399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IFERROR(__xludf.DUMMYFUNCTION("""COMPUTED_VALUE"""),5701)</f>
        <v>5701</v>
      </c>
      <c r="C103" s="16">
        <f>IFERROR(__xludf.DUMMYFUNCTION("""COMPUTED_VALUE"""),45889.6458333333)</f>
        <v>45889.6458333333</v>
      </c>
      <c r="D103" s="17">
        <f>IFERROR(__xludf.DUMMYFUNCTION("""COMPUTED_VALUE"""),5482)</f>
        <v>5482</v>
      </c>
      <c r="E103" s="16">
        <f>IFERROR(__xludf.DUMMYFUNCTION("""COMPUTED_VALUE"""),45889.6458333333)</f>
        <v>45889.6458333333</v>
      </c>
      <c r="F103" s="17">
        <f>IFERROR(__xludf.DUMMYFUNCTION("""COMPUTED_VALUE"""),453573)</f>
        <v>453573</v>
      </c>
      <c r="G103" s="16">
        <f>IFERROR(__xludf.DUMMYFUNCTION("""COMPUTED_VALUE"""),45889.6458333333)</f>
        <v>45889.6458333333</v>
      </c>
      <c r="H103" s="17">
        <f>IFERROR(__xludf.DUMMYFUNCTION("""COMPUTED_VALUE"""),5734.5)</f>
        <v>5734.5</v>
      </c>
      <c r="I103" s="16">
        <f>IFERROR(__xludf.DUMMYFUNCTION("""COMPUTED_VALUE"""),45889.6458333333)</f>
        <v>45889.6458333333</v>
      </c>
      <c r="J103" s="17">
        <f>IFERROR(__xludf.DUMMYFUNCTION("""COMPUTED_VALUE"""),5475.5)</f>
        <v>5475.5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IFERROR(__xludf.DUMMYFUNCTION("""COMPUTED_VALUE"""),5597.5)</f>
        <v>5597.5</v>
      </c>
      <c r="C104" s="16">
        <f>IFERROR(__xludf.DUMMYFUNCTION("""COMPUTED_VALUE"""),45890.6458333333)</f>
        <v>45890.6458333333</v>
      </c>
      <c r="D104" s="17">
        <f>IFERROR(__xludf.DUMMYFUNCTION("""COMPUTED_VALUE"""),5701)</f>
        <v>5701</v>
      </c>
      <c r="E104" s="16">
        <f>IFERROR(__xludf.DUMMYFUNCTION("""COMPUTED_VALUE"""),45890.6458333333)</f>
        <v>45890.6458333333</v>
      </c>
      <c r="F104" s="17">
        <f>IFERROR(__xludf.DUMMYFUNCTION("""COMPUTED_VALUE"""),273141)</f>
        <v>273141</v>
      </c>
      <c r="G104" s="16">
        <f>IFERROR(__xludf.DUMMYFUNCTION("""COMPUTED_VALUE"""),45890.6458333333)</f>
        <v>45890.6458333333</v>
      </c>
      <c r="H104" s="17">
        <f>IFERROR(__xludf.DUMMYFUNCTION("""COMPUTED_VALUE"""),5711.5)</f>
        <v>5711.5</v>
      </c>
      <c r="I104" s="16">
        <f>IFERROR(__xludf.DUMMYFUNCTION("""COMPUTED_VALUE"""),45890.6458333333)</f>
        <v>45890.6458333333</v>
      </c>
      <c r="J104" s="17">
        <f>IFERROR(__xludf.DUMMYFUNCTION("""COMPUTED_VALUE"""),5586)</f>
        <v>5586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IFERROR(__xludf.DUMMYFUNCTION("""COMPUTED_VALUE"""),5545.5)</f>
        <v>5545.5</v>
      </c>
      <c r="C105" s="16">
        <f>IFERROR(__xludf.DUMMYFUNCTION("""COMPUTED_VALUE"""),45891.6458333333)</f>
        <v>45891.6458333333</v>
      </c>
      <c r="D105" s="17">
        <f>IFERROR(__xludf.DUMMYFUNCTION("""COMPUTED_VALUE"""),5622)</f>
        <v>5622</v>
      </c>
      <c r="E105" s="16">
        <f>IFERROR(__xludf.DUMMYFUNCTION("""COMPUTED_VALUE"""),45891.6458333333)</f>
        <v>45891.6458333333</v>
      </c>
      <c r="F105" s="17">
        <f>IFERROR(__xludf.DUMMYFUNCTION("""COMPUTED_VALUE"""),269981)</f>
        <v>269981</v>
      </c>
      <c r="G105" s="16">
        <f>IFERROR(__xludf.DUMMYFUNCTION("""COMPUTED_VALUE"""),45891.6458333333)</f>
        <v>45891.6458333333</v>
      </c>
      <c r="H105" s="17">
        <f>IFERROR(__xludf.DUMMYFUNCTION("""COMPUTED_VALUE"""),5667.5)</f>
        <v>5667.5</v>
      </c>
      <c r="I105" s="16">
        <f>IFERROR(__xludf.DUMMYFUNCTION("""COMPUTED_VALUE"""),45891.6458333333)</f>
        <v>45891.6458333333</v>
      </c>
      <c r="J105" s="17">
        <f>IFERROR(__xludf.DUMMYFUNCTION("""COMPUTED_VALUE"""),5525.5)</f>
        <v>5525.5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IFERROR(__xludf.DUMMYFUNCTION("""COMPUTED_VALUE"""),5550.5)</f>
        <v>5550.5</v>
      </c>
      <c r="C106" s="16">
        <f>IFERROR(__xludf.DUMMYFUNCTION("""COMPUTED_VALUE"""),45894.6458333333)</f>
        <v>45894.6458333333</v>
      </c>
      <c r="D106" s="17">
        <f>IFERROR(__xludf.DUMMYFUNCTION("""COMPUTED_VALUE"""),5565.5)</f>
        <v>5565.5</v>
      </c>
      <c r="E106" s="16">
        <f>IFERROR(__xludf.DUMMYFUNCTION("""COMPUTED_VALUE"""),45894.6458333333)</f>
        <v>45894.6458333333</v>
      </c>
      <c r="F106" s="17">
        <f>IFERROR(__xludf.DUMMYFUNCTION("""COMPUTED_VALUE"""),145718)</f>
        <v>145718</v>
      </c>
      <c r="G106" s="16">
        <f>IFERROR(__xludf.DUMMYFUNCTION("""COMPUTED_VALUE"""),45894.6458333333)</f>
        <v>45894.6458333333</v>
      </c>
      <c r="H106" s="17">
        <f>IFERROR(__xludf.DUMMYFUNCTION("""COMPUTED_VALUE"""),5608.5)</f>
        <v>5608.5</v>
      </c>
      <c r="I106" s="16">
        <f>IFERROR(__xludf.DUMMYFUNCTION("""COMPUTED_VALUE"""),45894.6458333333)</f>
        <v>45894.6458333333</v>
      </c>
      <c r="J106" s="17">
        <f>IFERROR(__xludf.DUMMYFUNCTION("""COMPUTED_VALUE"""),5545)</f>
        <v>5545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IFERROR(__xludf.DUMMYFUNCTION("""COMPUTED_VALUE"""),5765.5)</f>
        <v>5765.5</v>
      </c>
      <c r="C107" s="16">
        <f>IFERROR(__xludf.DUMMYFUNCTION("""COMPUTED_VALUE"""),45895.6458333333)</f>
        <v>45895.6458333333</v>
      </c>
      <c r="D107" s="17">
        <f>IFERROR(__xludf.DUMMYFUNCTION("""COMPUTED_VALUE"""),5574.5)</f>
        <v>5574.5</v>
      </c>
      <c r="E107" s="16">
        <f>IFERROR(__xludf.DUMMYFUNCTION("""COMPUTED_VALUE"""),45895.6458333333)</f>
        <v>45895.6458333333</v>
      </c>
      <c r="F107" s="17">
        <f>IFERROR(__xludf.DUMMYFUNCTION("""COMPUTED_VALUE"""),1307463)</f>
        <v>1307463</v>
      </c>
      <c r="G107" s="16">
        <f>IFERROR(__xludf.DUMMYFUNCTION("""COMPUTED_VALUE"""),45895.6458333333)</f>
        <v>45895.6458333333</v>
      </c>
      <c r="H107" s="17">
        <f>IFERROR(__xludf.DUMMYFUNCTION("""COMPUTED_VALUE"""),5794.5)</f>
        <v>5794.5</v>
      </c>
      <c r="I107" s="16">
        <f>IFERROR(__xludf.DUMMYFUNCTION("""COMPUTED_VALUE"""),45895.6458333333)</f>
        <v>45895.6458333333</v>
      </c>
      <c r="J107" s="17">
        <f>IFERROR(__xludf.DUMMYFUNCTION("""COMPUTED_VALUE"""),5574.5)</f>
        <v>5574.5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IFERROR(__xludf.DUMMYFUNCTION("""COMPUTED_VALUE"""),5721)</f>
        <v>5721</v>
      </c>
      <c r="C108" s="16">
        <f>IFERROR(__xludf.DUMMYFUNCTION("""COMPUTED_VALUE"""),45897.6458333333)</f>
        <v>45897.6458333333</v>
      </c>
      <c r="D108" s="17">
        <f>IFERROR(__xludf.DUMMYFUNCTION("""COMPUTED_VALUE"""),5765.5)</f>
        <v>5765.5</v>
      </c>
      <c r="E108" s="16">
        <f>IFERROR(__xludf.DUMMYFUNCTION("""COMPUTED_VALUE"""),45897.6458333333)</f>
        <v>45897.6458333333</v>
      </c>
      <c r="F108" s="17">
        <f>IFERROR(__xludf.DUMMYFUNCTION("""COMPUTED_VALUE"""),379247)</f>
        <v>379247</v>
      </c>
      <c r="G108" s="16">
        <f>IFERROR(__xludf.DUMMYFUNCTION("""COMPUTED_VALUE"""),45897.6458333333)</f>
        <v>45897.6458333333</v>
      </c>
      <c r="H108" s="17">
        <f>IFERROR(__xludf.DUMMYFUNCTION("""COMPUTED_VALUE"""),5780)</f>
        <v>5780</v>
      </c>
      <c r="I108" s="16">
        <f>IFERROR(__xludf.DUMMYFUNCTION("""COMPUTED_VALUE"""),45897.6458333333)</f>
        <v>45897.6458333333</v>
      </c>
      <c r="J108" s="17">
        <f>IFERROR(__xludf.DUMMYFUNCTION("""COMPUTED_VALUE"""),5702.5)</f>
        <v>5702.5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IFERROR(__xludf.DUMMYFUNCTION("""COMPUTED_VALUE"""),5824)</f>
        <v>5824</v>
      </c>
      <c r="C109" s="16">
        <f>IFERROR(__xludf.DUMMYFUNCTION("""COMPUTED_VALUE"""),45898.6458333333)</f>
        <v>45898.6458333333</v>
      </c>
      <c r="D109" s="17">
        <f>IFERROR(__xludf.DUMMYFUNCTION("""COMPUTED_VALUE"""),5671)</f>
        <v>5671</v>
      </c>
      <c r="E109" s="16">
        <f>IFERROR(__xludf.DUMMYFUNCTION("""COMPUTED_VALUE"""),45898.6458333333)</f>
        <v>45898.6458333333</v>
      </c>
      <c r="F109" s="17">
        <f>IFERROR(__xludf.DUMMYFUNCTION("""COMPUTED_VALUE"""),699161)</f>
        <v>699161</v>
      </c>
      <c r="G109" s="16">
        <f>IFERROR(__xludf.DUMMYFUNCTION("""COMPUTED_VALUE"""),45898.6458333333)</f>
        <v>45898.6458333333</v>
      </c>
      <c r="H109" s="17">
        <f>IFERROR(__xludf.DUMMYFUNCTION("""COMPUTED_VALUE"""),5893.5)</f>
        <v>5893.5</v>
      </c>
      <c r="I109" s="16">
        <f>IFERROR(__xludf.DUMMYFUNCTION("""COMPUTED_VALUE"""),45898.6458333333)</f>
        <v>45898.6458333333</v>
      </c>
      <c r="J109" s="17">
        <f>IFERROR(__xludf.DUMMYFUNCTION("""COMPUTED_VALUE"""),5671)</f>
        <v>5671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IFERROR(__xludf.DUMMYFUNCTION("""COMPUTED_VALUE"""),5846.5)</f>
        <v>5846.5</v>
      </c>
      <c r="C110" s="16">
        <f>IFERROR(__xludf.DUMMYFUNCTION("""COMPUTED_VALUE"""),45901.6458333333)</f>
        <v>45901.6458333333</v>
      </c>
      <c r="D110" s="17">
        <f>IFERROR(__xludf.DUMMYFUNCTION("""COMPUTED_VALUE"""),5838.5)</f>
        <v>5838.5</v>
      </c>
      <c r="E110" s="16">
        <f>IFERROR(__xludf.DUMMYFUNCTION("""COMPUTED_VALUE"""),45901.6458333333)</f>
        <v>45901.6458333333</v>
      </c>
      <c r="F110" s="17">
        <f>IFERROR(__xludf.DUMMYFUNCTION("""COMPUTED_VALUE"""),210421)</f>
        <v>210421</v>
      </c>
      <c r="G110" s="16">
        <f>IFERROR(__xludf.DUMMYFUNCTION("""COMPUTED_VALUE"""),45901.6458333333)</f>
        <v>45901.6458333333</v>
      </c>
      <c r="H110" s="17">
        <f>IFERROR(__xludf.DUMMYFUNCTION("""COMPUTED_VALUE"""),5873)</f>
        <v>5873</v>
      </c>
      <c r="I110" s="16">
        <f>IFERROR(__xludf.DUMMYFUNCTION("""COMPUTED_VALUE"""),45901.6458333333)</f>
        <v>45901.6458333333</v>
      </c>
      <c r="J110" s="17">
        <f>IFERROR(__xludf.DUMMYFUNCTION("""COMPUTED_VALUE"""),5779)</f>
        <v>5779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IFERROR(__xludf.DUMMYFUNCTION("""COMPUTED_VALUE"""),5891.5)</f>
        <v>5891.5</v>
      </c>
      <c r="C111" s="16">
        <f>IFERROR(__xludf.DUMMYFUNCTION("""COMPUTED_VALUE"""),45902.6458333333)</f>
        <v>45902.6458333333</v>
      </c>
      <c r="D111" s="17">
        <f>IFERROR(__xludf.DUMMYFUNCTION("""COMPUTED_VALUE"""),5840)</f>
        <v>5840</v>
      </c>
      <c r="E111" s="16">
        <f>IFERROR(__xludf.DUMMYFUNCTION("""COMPUTED_VALUE"""),45902.6458333333)</f>
        <v>45902.6458333333</v>
      </c>
      <c r="F111" s="17">
        <f>IFERROR(__xludf.DUMMYFUNCTION("""COMPUTED_VALUE"""),492611)</f>
        <v>492611</v>
      </c>
      <c r="G111" s="16">
        <f>IFERROR(__xludf.DUMMYFUNCTION("""COMPUTED_VALUE"""),45902.6458333333)</f>
        <v>45902.6458333333</v>
      </c>
      <c r="H111" s="17">
        <f>IFERROR(__xludf.DUMMYFUNCTION("""COMPUTED_VALUE"""),5920.5)</f>
        <v>5920.5</v>
      </c>
      <c r="I111" s="16">
        <f>IFERROR(__xludf.DUMMYFUNCTION("""COMPUTED_VALUE"""),45902.6458333333)</f>
        <v>45902.6458333333</v>
      </c>
      <c r="J111" s="17">
        <f>IFERROR(__xludf.DUMMYFUNCTION("""COMPUTED_VALUE"""),5823)</f>
        <v>5823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IFERROR(__xludf.DUMMYFUNCTION("""COMPUTED_VALUE"""),5908)</f>
        <v>5908</v>
      </c>
      <c r="C112" s="16">
        <f>IFERROR(__xludf.DUMMYFUNCTION("""COMPUTED_VALUE"""),45903.6458333333)</f>
        <v>45903.6458333333</v>
      </c>
      <c r="D112" s="17">
        <f>IFERROR(__xludf.DUMMYFUNCTION("""COMPUTED_VALUE"""),5891)</f>
        <v>5891</v>
      </c>
      <c r="E112" s="16">
        <f>IFERROR(__xludf.DUMMYFUNCTION("""COMPUTED_VALUE"""),45903.6458333333)</f>
        <v>45903.6458333333</v>
      </c>
      <c r="F112" s="17">
        <f>IFERROR(__xludf.DUMMYFUNCTION("""COMPUTED_VALUE"""),399664)</f>
        <v>399664</v>
      </c>
      <c r="G112" s="16">
        <f>IFERROR(__xludf.DUMMYFUNCTION("""COMPUTED_VALUE"""),45903.6458333333)</f>
        <v>45903.6458333333</v>
      </c>
      <c r="H112" s="17">
        <f>IFERROR(__xludf.DUMMYFUNCTION("""COMPUTED_VALUE"""),5928.5)</f>
        <v>5928.5</v>
      </c>
      <c r="I112" s="16">
        <f>IFERROR(__xludf.DUMMYFUNCTION("""COMPUTED_VALUE"""),45903.6458333333)</f>
        <v>45903.6458333333</v>
      </c>
      <c r="J112" s="17">
        <f>IFERROR(__xludf.DUMMYFUNCTION("""COMPUTED_VALUE"""),5865)</f>
        <v>5865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IFERROR(__xludf.DUMMYFUNCTION("""COMPUTED_VALUE"""),6083)</f>
        <v>6083</v>
      </c>
      <c r="C113" s="16">
        <f>IFERROR(__xludf.DUMMYFUNCTION("""COMPUTED_VALUE"""),45904.6458333333)</f>
        <v>45904.6458333333</v>
      </c>
      <c r="D113" s="17">
        <f>IFERROR(__xludf.DUMMYFUNCTION("""COMPUTED_VALUE"""),6201)</f>
        <v>6201</v>
      </c>
      <c r="E113" s="16">
        <f>IFERROR(__xludf.DUMMYFUNCTION("""COMPUTED_VALUE"""),45904.6458333333)</f>
        <v>45904.6458333333</v>
      </c>
      <c r="F113" s="17">
        <f>IFERROR(__xludf.DUMMYFUNCTION("""COMPUTED_VALUE"""),1385580)</f>
        <v>1385580</v>
      </c>
      <c r="G113" s="16">
        <f>IFERROR(__xludf.DUMMYFUNCTION("""COMPUTED_VALUE"""),45904.6458333333)</f>
        <v>45904.6458333333</v>
      </c>
      <c r="H113" s="17">
        <f>IFERROR(__xludf.DUMMYFUNCTION("""COMPUTED_VALUE"""),6336)</f>
        <v>6336</v>
      </c>
      <c r="I113" s="16">
        <f>IFERROR(__xludf.DUMMYFUNCTION("""COMPUTED_VALUE"""),45904.6458333333)</f>
        <v>45904.6458333333</v>
      </c>
      <c r="J113" s="17">
        <f>IFERROR(__xludf.DUMMYFUNCTION("""COMPUTED_VALUE"""),6053.5)</f>
        <v>6053.5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IFERROR(__xludf.DUMMYFUNCTION("""COMPUTED_VALUE"""),6076)</f>
        <v>6076</v>
      </c>
      <c r="C114" s="16">
        <f>IFERROR(__xludf.DUMMYFUNCTION("""COMPUTED_VALUE"""),45905.6458333333)</f>
        <v>45905.6458333333</v>
      </c>
      <c r="D114" s="17">
        <f>IFERROR(__xludf.DUMMYFUNCTION("""COMPUTED_VALUE"""),6066)</f>
        <v>6066</v>
      </c>
      <c r="E114" s="16">
        <f>IFERROR(__xludf.DUMMYFUNCTION("""COMPUTED_VALUE"""),45905.6458333333)</f>
        <v>45905.6458333333</v>
      </c>
      <c r="F114" s="17">
        <f>IFERROR(__xludf.DUMMYFUNCTION("""COMPUTED_VALUE"""),352302)</f>
        <v>352302</v>
      </c>
      <c r="G114" s="16">
        <f>IFERROR(__xludf.DUMMYFUNCTION("""COMPUTED_VALUE"""),45905.6458333333)</f>
        <v>45905.6458333333</v>
      </c>
      <c r="H114" s="17">
        <f>IFERROR(__xludf.DUMMYFUNCTION("""COMPUTED_VALUE"""),6104.5)</f>
        <v>6104.5</v>
      </c>
      <c r="I114" s="16">
        <f>IFERROR(__xludf.DUMMYFUNCTION("""COMPUTED_VALUE"""),45905.6458333333)</f>
        <v>45905.6458333333</v>
      </c>
      <c r="J114" s="17">
        <f>IFERROR(__xludf.DUMMYFUNCTION("""COMPUTED_VALUE"""),5998.5)</f>
        <v>5998.5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IFERROR(__xludf.DUMMYFUNCTION("""COMPUTED_VALUE"""),6115.5)</f>
        <v>6115.5</v>
      </c>
      <c r="C115" s="16">
        <f>IFERROR(__xludf.DUMMYFUNCTION("""COMPUTED_VALUE"""),45908.6458333333)</f>
        <v>45908.6458333333</v>
      </c>
      <c r="D115" s="17">
        <f>IFERROR(__xludf.DUMMYFUNCTION("""COMPUTED_VALUE"""),6117.5)</f>
        <v>6117.5</v>
      </c>
      <c r="E115" s="16">
        <f>IFERROR(__xludf.DUMMYFUNCTION("""COMPUTED_VALUE"""),45908.6458333333)</f>
        <v>45908.6458333333</v>
      </c>
      <c r="F115" s="17">
        <f>IFERROR(__xludf.DUMMYFUNCTION("""COMPUTED_VALUE"""),250083)</f>
        <v>250083</v>
      </c>
      <c r="G115" s="16">
        <f>IFERROR(__xludf.DUMMYFUNCTION("""COMPUTED_VALUE"""),45908.6458333333)</f>
        <v>45908.6458333333</v>
      </c>
      <c r="H115" s="17">
        <f>IFERROR(__xludf.DUMMYFUNCTION("""COMPUTED_VALUE"""),6178)</f>
        <v>6178</v>
      </c>
      <c r="I115" s="16">
        <f>IFERROR(__xludf.DUMMYFUNCTION("""COMPUTED_VALUE"""),45908.6458333333)</f>
        <v>45908.6458333333</v>
      </c>
      <c r="J115" s="17">
        <f>IFERROR(__xludf.DUMMYFUNCTION("""COMPUTED_VALUE"""),6065)</f>
        <v>6065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IFERROR(__xludf.DUMMYFUNCTION("""COMPUTED_VALUE"""),6142.5)</f>
        <v>6142.5</v>
      </c>
      <c r="C116" s="16">
        <f>IFERROR(__xludf.DUMMYFUNCTION("""COMPUTED_VALUE"""),45909.6458333333)</f>
        <v>45909.6458333333</v>
      </c>
      <c r="D116" s="17">
        <f>IFERROR(__xludf.DUMMYFUNCTION("""COMPUTED_VALUE"""),6116)</f>
        <v>6116</v>
      </c>
      <c r="E116" s="16">
        <f>IFERROR(__xludf.DUMMYFUNCTION("""COMPUTED_VALUE"""),45909.6458333333)</f>
        <v>45909.6458333333</v>
      </c>
      <c r="F116" s="17">
        <f>IFERROR(__xludf.DUMMYFUNCTION("""COMPUTED_VALUE"""),216456)</f>
        <v>216456</v>
      </c>
      <c r="G116" s="16">
        <f>IFERROR(__xludf.DUMMYFUNCTION("""COMPUTED_VALUE"""),45909.6458333333)</f>
        <v>45909.6458333333</v>
      </c>
      <c r="H116" s="17">
        <f>IFERROR(__xludf.DUMMYFUNCTION("""COMPUTED_VALUE"""),6165)</f>
        <v>6165</v>
      </c>
      <c r="I116" s="16">
        <f>IFERROR(__xludf.DUMMYFUNCTION("""COMPUTED_VALUE"""),45909.6458333333)</f>
        <v>45909.6458333333</v>
      </c>
      <c r="J116" s="17">
        <f>IFERROR(__xludf.DUMMYFUNCTION("""COMPUTED_VALUE"""),6088)</f>
        <v>6088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IFERROR(__xludf.DUMMYFUNCTION("""COMPUTED_VALUE"""),6199)</f>
        <v>6199</v>
      </c>
      <c r="C117" s="16">
        <f>IFERROR(__xludf.DUMMYFUNCTION("""COMPUTED_VALUE"""),45910.6458333333)</f>
        <v>45910.6458333333</v>
      </c>
      <c r="D117" s="17">
        <f>IFERROR(__xludf.DUMMYFUNCTION("""COMPUTED_VALUE"""),6144.5)</f>
        <v>6144.5</v>
      </c>
      <c r="E117" s="16">
        <f>IFERROR(__xludf.DUMMYFUNCTION("""COMPUTED_VALUE"""),45910.6458333333)</f>
        <v>45910.6458333333</v>
      </c>
      <c r="F117" s="17">
        <f>IFERROR(__xludf.DUMMYFUNCTION("""COMPUTED_VALUE"""),346491)</f>
        <v>346491</v>
      </c>
      <c r="G117" s="16">
        <f>IFERROR(__xludf.DUMMYFUNCTION("""COMPUTED_VALUE"""),45910.6458333333)</f>
        <v>45910.6458333333</v>
      </c>
      <c r="H117" s="17">
        <f>IFERROR(__xludf.DUMMYFUNCTION("""COMPUTED_VALUE"""),6238.5)</f>
        <v>6238.5</v>
      </c>
      <c r="I117" s="16">
        <f>IFERROR(__xludf.DUMMYFUNCTION("""COMPUTED_VALUE"""),45910.6458333333)</f>
        <v>45910.6458333333</v>
      </c>
      <c r="J117" s="17">
        <f>IFERROR(__xludf.DUMMYFUNCTION("""COMPUTED_VALUE"""),6117)</f>
        <v>6117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IFERROR(__xludf.DUMMYFUNCTION("""COMPUTED_VALUE"""),6300.5)</f>
        <v>6300.5</v>
      </c>
      <c r="C118" s="16">
        <f>IFERROR(__xludf.DUMMYFUNCTION("""COMPUTED_VALUE"""),45911.6458333333)</f>
        <v>45911.6458333333</v>
      </c>
      <c r="D118" s="17">
        <f>IFERROR(__xludf.DUMMYFUNCTION("""COMPUTED_VALUE"""),6180)</f>
        <v>6180</v>
      </c>
      <c r="E118" s="16">
        <f>IFERROR(__xludf.DUMMYFUNCTION("""COMPUTED_VALUE"""),45911.6458333333)</f>
        <v>45911.6458333333</v>
      </c>
      <c r="F118" s="17">
        <f>IFERROR(__xludf.DUMMYFUNCTION("""COMPUTED_VALUE"""),406083)</f>
        <v>406083</v>
      </c>
      <c r="G118" s="16">
        <f>IFERROR(__xludf.DUMMYFUNCTION("""COMPUTED_VALUE"""),45911.6458333333)</f>
        <v>45911.6458333333</v>
      </c>
      <c r="H118" s="17">
        <f>IFERROR(__xludf.DUMMYFUNCTION("""COMPUTED_VALUE"""),6319.5)</f>
        <v>6319.5</v>
      </c>
      <c r="I118" s="16">
        <f>IFERROR(__xludf.DUMMYFUNCTION("""COMPUTED_VALUE"""),45911.6458333333)</f>
        <v>45911.6458333333</v>
      </c>
      <c r="J118" s="17">
        <f>IFERROR(__xludf.DUMMYFUNCTION("""COMPUTED_VALUE"""),6150)</f>
        <v>6150</v>
      </c>
      <c r="K118" s="3">
        <f t="shared" si="2"/>
        <v>6300.5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IFERROR(__xludf.DUMMYFUNCTION("""COMPUTED_VALUE"""),6247)</f>
        <v>6247</v>
      </c>
      <c r="C119" s="16">
        <f>IFERROR(__xludf.DUMMYFUNCTION("""COMPUTED_VALUE"""),45912.6458333333)</f>
        <v>45912.6458333333</v>
      </c>
      <c r="D119" s="17">
        <f>IFERROR(__xludf.DUMMYFUNCTION("""COMPUTED_VALUE"""),6276)</f>
        <v>6276</v>
      </c>
      <c r="E119" s="16">
        <f>IFERROR(__xludf.DUMMYFUNCTION("""COMPUTED_VALUE"""),45912.6458333333)</f>
        <v>45912.6458333333</v>
      </c>
      <c r="F119" s="17">
        <f>IFERROR(__xludf.DUMMYFUNCTION("""COMPUTED_VALUE"""),212051)</f>
        <v>212051</v>
      </c>
      <c r="G119" s="16">
        <f>IFERROR(__xludf.DUMMYFUNCTION("""COMPUTED_VALUE"""),45912.6458333333)</f>
        <v>45912.6458333333</v>
      </c>
      <c r="H119" s="17">
        <f>IFERROR(__xludf.DUMMYFUNCTION("""COMPUTED_VALUE"""),6285.5)</f>
        <v>6285.5</v>
      </c>
      <c r="I119" s="16">
        <f>IFERROR(__xludf.DUMMYFUNCTION("""COMPUTED_VALUE"""),45912.6458333333)</f>
        <v>45912.6458333333</v>
      </c>
      <c r="J119" s="17">
        <f>IFERROR(__xludf.DUMMYFUNCTION("""COMPUTED_VALUE"""),6207)</f>
        <v>6207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IFERROR(__xludf.DUMMYFUNCTION("""COMPUTED_VALUE"""),6212)</f>
        <v>6212</v>
      </c>
      <c r="C120" s="16">
        <f>IFERROR(__xludf.DUMMYFUNCTION("""COMPUTED_VALUE"""),45915.6458333333)</f>
        <v>45915.6458333333</v>
      </c>
      <c r="D120" s="17">
        <f>IFERROR(__xludf.DUMMYFUNCTION("""COMPUTED_VALUE"""),6250)</f>
        <v>6250</v>
      </c>
      <c r="E120" s="16">
        <f>IFERROR(__xludf.DUMMYFUNCTION("""COMPUTED_VALUE"""),45915.6458333333)</f>
        <v>45915.6458333333</v>
      </c>
      <c r="F120" s="17">
        <f>IFERROR(__xludf.DUMMYFUNCTION("""COMPUTED_VALUE"""),166253)</f>
        <v>166253</v>
      </c>
      <c r="G120" s="16">
        <f>IFERROR(__xludf.DUMMYFUNCTION("""COMPUTED_VALUE"""),45915.6458333333)</f>
        <v>45915.6458333333</v>
      </c>
      <c r="H120" s="17">
        <f>IFERROR(__xludf.DUMMYFUNCTION("""COMPUTED_VALUE"""),6270)</f>
        <v>6270</v>
      </c>
      <c r="I120" s="16">
        <f>IFERROR(__xludf.DUMMYFUNCTION("""COMPUTED_VALUE"""),45915.6458333333)</f>
        <v>45915.6458333333</v>
      </c>
      <c r="J120" s="17">
        <f>IFERROR(__xludf.DUMMYFUNCTION("""COMPUTED_VALUE"""),6202.5)</f>
        <v>6202.5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IFERROR(__xludf.DUMMYFUNCTION("""COMPUTED_VALUE"""),6202.5)</f>
        <v>6202.5</v>
      </c>
      <c r="C121" s="16">
        <f>IFERROR(__xludf.DUMMYFUNCTION("""COMPUTED_VALUE"""),45916.6458333333)</f>
        <v>45916.6458333333</v>
      </c>
      <c r="D121" s="17">
        <f>IFERROR(__xludf.DUMMYFUNCTION("""COMPUTED_VALUE"""),6219.5)</f>
        <v>6219.5</v>
      </c>
      <c r="E121" s="16">
        <f>IFERROR(__xludf.DUMMYFUNCTION("""COMPUTED_VALUE"""),45916.6458333333)</f>
        <v>45916.6458333333</v>
      </c>
      <c r="F121" s="17">
        <f>IFERROR(__xludf.DUMMYFUNCTION("""COMPUTED_VALUE"""),261236)</f>
        <v>261236</v>
      </c>
      <c r="G121" s="16">
        <f>IFERROR(__xludf.DUMMYFUNCTION("""COMPUTED_VALUE"""),45916.6458333333)</f>
        <v>45916.6458333333</v>
      </c>
      <c r="H121" s="17">
        <f>IFERROR(__xludf.DUMMYFUNCTION("""COMPUTED_VALUE"""),6225)</f>
        <v>6225</v>
      </c>
      <c r="I121" s="16">
        <f>IFERROR(__xludf.DUMMYFUNCTION("""COMPUTED_VALUE"""),45916.6458333333)</f>
        <v>45916.6458333333</v>
      </c>
      <c r="J121" s="17">
        <f>IFERROR(__xludf.DUMMYFUNCTION("""COMPUTED_VALUE"""),6180)</f>
        <v>6180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IFERROR(__xludf.DUMMYFUNCTION("""COMPUTED_VALUE"""),6097.5)</f>
        <v>6097.5</v>
      </c>
      <c r="C122" s="16">
        <f>IFERROR(__xludf.DUMMYFUNCTION("""COMPUTED_VALUE"""),45917.6458333333)</f>
        <v>45917.6458333333</v>
      </c>
      <c r="D122" s="17">
        <f>IFERROR(__xludf.DUMMYFUNCTION("""COMPUTED_VALUE"""),6202.5)</f>
        <v>6202.5</v>
      </c>
      <c r="E122" s="16">
        <f>IFERROR(__xludf.DUMMYFUNCTION("""COMPUTED_VALUE"""),45917.6458333333)</f>
        <v>45917.6458333333</v>
      </c>
      <c r="F122" s="17">
        <f>IFERROR(__xludf.DUMMYFUNCTION("""COMPUTED_VALUE"""),713445)</f>
        <v>713445</v>
      </c>
      <c r="G122" s="16">
        <f>IFERROR(__xludf.DUMMYFUNCTION("""COMPUTED_VALUE"""),45917.6458333333)</f>
        <v>45917.6458333333</v>
      </c>
      <c r="H122" s="17">
        <f>IFERROR(__xludf.DUMMYFUNCTION("""COMPUTED_VALUE"""),6205)</f>
        <v>6205</v>
      </c>
      <c r="I122" s="16">
        <f>IFERROR(__xludf.DUMMYFUNCTION("""COMPUTED_VALUE"""),45917.6458333333)</f>
        <v>45917.6458333333</v>
      </c>
      <c r="J122" s="17">
        <f>IFERROR(__xludf.DUMMYFUNCTION("""COMPUTED_VALUE"""),6035)</f>
        <v>6035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IFERROR(__xludf.DUMMYFUNCTION("""COMPUTED_VALUE"""),6100.5)</f>
        <v>6100.5</v>
      </c>
      <c r="C123" s="16">
        <f>IFERROR(__xludf.DUMMYFUNCTION("""COMPUTED_VALUE"""),45918.6458333333)</f>
        <v>45918.6458333333</v>
      </c>
      <c r="D123" s="17">
        <f>IFERROR(__xludf.DUMMYFUNCTION("""COMPUTED_VALUE"""),6105)</f>
        <v>6105</v>
      </c>
      <c r="E123" s="16">
        <f>IFERROR(__xludf.DUMMYFUNCTION("""COMPUTED_VALUE"""),45918.6458333333)</f>
        <v>45918.6458333333</v>
      </c>
      <c r="F123" s="17">
        <f>IFERROR(__xludf.DUMMYFUNCTION("""COMPUTED_VALUE"""),267540)</f>
        <v>267540</v>
      </c>
      <c r="G123" s="16">
        <f>IFERROR(__xludf.DUMMYFUNCTION("""COMPUTED_VALUE"""),45918.6458333333)</f>
        <v>45918.6458333333</v>
      </c>
      <c r="H123" s="17">
        <f>IFERROR(__xludf.DUMMYFUNCTION("""COMPUTED_VALUE"""),6129)</f>
        <v>6129</v>
      </c>
      <c r="I123" s="16">
        <f>IFERROR(__xludf.DUMMYFUNCTION("""COMPUTED_VALUE"""),45918.6458333333)</f>
        <v>45918.6458333333</v>
      </c>
      <c r="J123" s="17">
        <f>IFERROR(__xludf.DUMMYFUNCTION("""COMPUTED_VALUE"""),6062)</f>
        <v>6062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IFERROR(__xludf.DUMMYFUNCTION("""COMPUTED_VALUE"""),6069.5)</f>
        <v>6069.5</v>
      </c>
      <c r="C124" s="16">
        <f>IFERROR(__xludf.DUMMYFUNCTION("""COMPUTED_VALUE"""),45919.6458333333)</f>
        <v>45919.6458333333</v>
      </c>
      <c r="D124" s="17">
        <f>IFERROR(__xludf.DUMMYFUNCTION("""COMPUTED_VALUE"""),6105.5)</f>
        <v>6105.5</v>
      </c>
      <c r="E124" s="16">
        <f>IFERROR(__xludf.DUMMYFUNCTION("""COMPUTED_VALUE"""),45919.6458333333)</f>
        <v>45919.6458333333</v>
      </c>
      <c r="F124" s="17">
        <f>IFERROR(__xludf.DUMMYFUNCTION("""COMPUTED_VALUE"""),345995)</f>
        <v>345995</v>
      </c>
      <c r="G124" s="16">
        <f>IFERROR(__xludf.DUMMYFUNCTION("""COMPUTED_VALUE"""),45919.6458333333)</f>
        <v>45919.6458333333</v>
      </c>
      <c r="H124" s="17">
        <f>IFERROR(__xludf.DUMMYFUNCTION("""COMPUTED_VALUE"""),6110)</f>
        <v>6110</v>
      </c>
      <c r="I124" s="16">
        <f>IFERROR(__xludf.DUMMYFUNCTION("""COMPUTED_VALUE"""),45919.6458333333)</f>
        <v>45919.6458333333</v>
      </c>
      <c r="J124" s="17">
        <f>IFERROR(__xludf.DUMMYFUNCTION("""COMPUTED_VALUE"""),6048)</f>
        <v>6048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IFERROR(__xludf.DUMMYFUNCTION("""COMPUTED_VALUE"""),6056.5)</f>
        <v>6056.5</v>
      </c>
      <c r="C125" s="16">
        <f>IFERROR(__xludf.DUMMYFUNCTION("""COMPUTED_VALUE"""),45922.6458333333)</f>
        <v>45922.6458333333</v>
      </c>
      <c r="D125" s="17">
        <f>IFERROR(__xludf.DUMMYFUNCTION("""COMPUTED_VALUE"""),6075)</f>
        <v>6075</v>
      </c>
      <c r="E125" s="16">
        <f>IFERROR(__xludf.DUMMYFUNCTION("""COMPUTED_VALUE"""),45922.6458333333)</f>
        <v>45922.6458333333</v>
      </c>
      <c r="F125" s="17">
        <f>IFERROR(__xludf.DUMMYFUNCTION("""COMPUTED_VALUE"""),394394)</f>
        <v>394394</v>
      </c>
      <c r="G125" s="16">
        <f>IFERROR(__xludf.DUMMYFUNCTION("""COMPUTED_VALUE"""),45922.6458333333)</f>
        <v>45922.6458333333</v>
      </c>
      <c r="H125" s="17">
        <f>IFERROR(__xludf.DUMMYFUNCTION("""COMPUTED_VALUE"""),6108)</f>
        <v>6108</v>
      </c>
      <c r="I125" s="16">
        <f>IFERROR(__xludf.DUMMYFUNCTION("""COMPUTED_VALUE"""),45922.6458333333)</f>
        <v>45922.6458333333</v>
      </c>
      <c r="J125" s="17">
        <f>IFERROR(__xludf.DUMMYFUNCTION("""COMPUTED_VALUE"""),6025)</f>
        <v>6025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IFERROR(__xludf.DUMMYFUNCTION("""COMPUTED_VALUE"""),5934)</f>
        <v>5934</v>
      </c>
      <c r="C126" s="16">
        <f>IFERROR(__xludf.DUMMYFUNCTION("""COMPUTED_VALUE"""),45923.6458333333)</f>
        <v>45923.6458333333</v>
      </c>
      <c r="D126" s="17">
        <f>IFERROR(__xludf.DUMMYFUNCTION("""COMPUTED_VALUE"""),6066.5)</f>
        <v>6066.5</v>
      </c>
      <c r="E126" s="16">
        <f>IFERROR(__xludf.DUMMYFUNCTION("""COMPUTED_VALUE"""),45923.6458333333)</f>
        <v>45923.6458333333</v>
      </c>
      <c r="F126" s="17">
        <f>IFERROR(__xludf.DUMMYFUNCTION("""COMPUTED_VALUE"""),333112)</f>
        <v>333112</v>
      </c>
      <c r="G126" s="16">
        <f>IFERROR(__xludf.DUMMYFUNCTION("""COMPUTED_VALUE"""),45923.6458333333)</f>
        <v>45923.6458333333</v>
      </c>
      <c r="H126" s="17">
        <f>IFERROR(__xludf.DUMMYFUNCTION("""COMPUTED_VALUE"""),6069.5)</f>
        <v>6069.5</v>
      </c>
      <c r="I126" s="16">
        <f>IFERROR(__xludf.DUMMYFUNCTION("""COMPUTED_VALUE"""),45923.6458333333)</f>
        <v>45923.6458333333</v>
      </c>
      <c r="J126" s="17">
        <f>IFERROR(__xludf.DUMMYFUNCTION("""COMPUTED_VALUE"""),5927)</f>
        <v>5927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IFERROR(__xludf.DUMMYFUNCTION("""COMPUTED_VALUE"""),5970.5)</f>
        <v>5970.5</v>
      </c>
      <c r="C127" s="16">
        <f>IFERROR(__xludf.DUMMYFUNCTION("""COMPUTED_VALUE"""),45924.6458333333)</f>
        <v>45924.6458333333</v>
      </c>
      <c r="D127" s="17">
        <f>IFERROR(__xludf.DUMMYFUNCTION("""COMPUTED_VALUE"""),5935)</f>
        <v>5935</v>
      </c>
      <c r="E127" s="16">
        <f>IFERROR(__xludf.DUMMYFUNCTION("""COMPUTED_VALUE"""),45924.6458333333)</f>
        <v>45924.6458333333</v>
      </c>
      <c r="F127" s="17">
        <f>IFERROR(__xludf.DUMMYFUNCTION("""COMPUTED_VALUE"""),360372)</f>
        <v>360372</v>
      </c>
      <c r="G127" s="16">
        <f>IFERROR(__xludf.DUMMYFUNCTION("""COMPUTED_VALUE"""),45924.6458333333)</f>
        <v>45924.6458333333</v>
      </c>
      <c r="H127" s="17">
        <f>IFERROR(__xludf.DUMMYFUNCTION("""COMPUTED_VALUE"""),6050)</f>
        <v>6050</v>
      </c>
      <c r="I127" s="16">
        <f>IFERROR(__xludf.DUMMYFUNCTION("""COMPUTED_VALUE"""),45924.6458333333)</f>
        <v>45924.6458333333</v>
      </c>
      <c r="J127" s="17">
        <f>IFERROR(__xludf.DUMMYFUNCTION("""COMPUTED_VALUE"""),5905.5)</f>
        <v>5905.5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IFERROR(__xludf.DUMMYFUNCTION("""COMPUTED_VALUE"""),5953.5)</f>
        <v>5953.5</v>
      </c>
      <c r="C128" s="16">
        <f>IFERROR(__xludf.DUMMYFUNCTION("""COMPUTED_VALUE"""),45925.6458333333)</f>
        <v>45925.6458333333</v>
      </c>
      <c r="D128" s="17">
        <f>IFERROR(__xludf.DUMMYFUNCTION("""COMPUTED_VALUE"""),5970.5)</f>
        <v>5970.5</v>
      </c>
      <c r="E128" s="16">
        <f>IFERROR(__xludf.DUMMYFUNCTION("""COMPUTED_VALUE"""),45925.6458333333)</f>
        <v>45925.6458333333</v>
      </c>
      <c r="F128" s="17">
        <f>IFERROR(__xludf.DUMMYFUNCTION("""COMPUTED_VALUE"""),374676)</f>
        <v>374676</v>
      </c>
      <c r="G128" s="16">
        <f>IFERROR(__xludf.DUMMYFUNCTION("""COMPUTED_VALUE"""),45925.6458333333)</f>
        <v>45925.6458333333</v>
      </c>
      <c r="H128" s="17">
        <f>IFERROR(__xludf.DUMMYFUNCTION("""COMPUTED_VALUE"""),6036)</f>
        <v>6036</v>
      </c>
      <c r="I128" s="16">
        <f>IFERROR(__xludf.DUMMYFUNCTION("""COMPUTED_VALUE"""),45925.6458333333)</f>
        <v>45925.6458333333</v>
      </c>
      <c r="J128" s="17">
        <f>IFERROR(__xludf.DUMMYFUNCTION("""COMPUTED_VALUE"""),5939.5)</f>
        <v>5939.5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IFERROR(__xludf.DUMMYFUNCTION("""COMPUTED_VALUE"""),5920.5)</f>
        <v>5920.5</v>
      </c>
      <c r="C129" s="47">
        <f>IFERROR(__xludf.DUMMYFUNCTION("""COMPUTED_VALUE"""),45926.6458333333)</f>
        <v>45926.6458333333</v>
      </c>
      <c r="D129" s="48">
        <f>IFERROR(__xludf.DUMMYFUNCTION("""COMPUTED_VALUE"""),5955)</f>
        <v>5955</v>
      </c>
      <c r="E129" s="47">
        <f>IFERROR(__xludf.DUMMYFUNCTION("""COMPUTED_VALUE"""),45926.6458333333)</f>
        <v>45926.6458333333</v>
      </c>
      <c r="F129" s="48">
        <f>IFERROR(__xludf.DUMMYFUNCTION("""COMPUTED_VALUE"""),189383)</f>
        <v>189383</v>
      </c>
      <c r="G129" s="47">
        <f>IFERROR(__xludf.DUMMYFUNCTION("""COMPUTED_VALUE"""),45926.6458333333)</f>
        <v>45926.6458333333</v>
      </c>
      <c r="H129" s="48">
        <f>IFERROR(__xludf.DUMMYFUNCTION("""COMPUTED_VALUE"""),5980.5)</f>
        <v>5980.5</v>
      </c>
      <c r="I129" s="47">
        <f>IFERROR(__xludf.DUMMYFUNCTION("""COMPUTED_VALUE"""),45926.6458333333)</f>
        <v>45926.6458333333</v>
      </c>
      <c r="J129" s="48">
        <f>IFERROR(__xludf.DUMMYFUNCTION("""COMPUTED_VALUE"""),5900)</f>
        <v>5900</v>
      </c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32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""price"")"),1499.4)</f>
        <v>1499.4</v>
      </c>
      <c r="I3" s="22" t="s">
        <v>269</v>
      </c>
      <c r="J3" s="23">
        <f>IFERROR(__xludf.DUMMYFUNCTION("GOOGLEFINANCE(L3, ""volume"")"),2653841)</f>
        <v>2653841</v>
      </c>
      <c r="K3" s="24" t="s">
        <v>270</v>
      </c>
      <c r="L3" s="25" t="str">
        <f>Mastersheet!B12</f>
        <v>NSE:CIPLA</v>
      </c>
      <c r="M3" s="26">
        <f>IFERROR(__xludf.DUMMYFUNCTION("""COMPUTED_VALUE"""),45926.6458333333)</f>
        <v>45926.6458333333</v>
      </c>
      <c r="N3" s="27">
        <f>IFERROR(__xludf.DUMMYFUNCTION("""COMPUTED_VALUE"""),1499.4)</f>
        <v>1499.4</v>
      </c>
      <c r="O3" s="26">
        <f>IFERROR(__xludf.DUMMYFUNCTION("""COMPUTED_VALUE"""),45926.6458333333)</f>
        <v>45926.6458333333</v>
      </c>
      <c r="P3" s="27">
        <f>IFERROR(__xludf.DUMMYFUNCTION("""COMPUTED_VALUE"""),1495.6)</f>
        <v>1495.6</v>
      </c>
      <c r="Q3" s="16">
        <f>IFERROR(__xludf.DUMMYFUNCTION("""COMPUTED_VALUE"""),45926.6458333333)</f>
        <v>45926.6458333333</v>
      </c>
      <c r="R3" s="17">
        <f>IFERROR(__xludf.DUMMYFUNCTION("""COMPUTED_VALUE"""),1504.9)</f>
        <v>1504.9</v>
      </c>
      <c r="S3" s="16">
        <f>IFERROR(__xludf.DUMMYFUNCTION("""COMPUTED_VALUE"""),45926.6458333333)</f>
        <v>45926.6458333333</v>
      </c>
      <c r="T3" s="17">
        <f>IFERROR(__xludf.DUMMYFUNCTION("""COMPUTED_VALUE"""),1475.2)</f>
        <v>1475.2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IFERROR(__xludf.DUMMYFUNCTION("""COMPUTED_VALUE"""),1482.9)</f>
        <v>1482.9</v>
      </c>
      <c r="C5" s="14">
        <f>IFERROR(__xludf.DUMMYFUNCTION("""COMPUTED_VALUE"""),45743.6458333333)</f>
        <v>45743.6458333333</v>
      </c>
      <c r="D5" s="15">
        <f>IFERROR(__xludf.DUMMYFUNCTION("""COMPUTED_VALUE"""),1464.7)</f>
        <v>1464.7</v>
      </c>
      <c r="E5" s="14">
        <f>IFERROR(__xludf.DUMMYFUNCTION("""COMPUTED_VALUE"""),45743.6458333333)</f>
        <v>45743.6458333333</v>
      </c>
      <c r="F5" s="15">
        <f>IFERROR(__xludf.DUMMYFUNCTION("""COMPUTED_VALUE"""),1848444)</f>
        <v>1848444</v>
      </c>
      <c r="G5" s="14">
        <f>IFERROR(__xludf.DUMMYFUNCTION("""COMPUTED_VALUE"""),45743.6458333333)</f>
        <v>45743.6458333333</v>
      </c>
      <c r="H5" s="15">
        <f>IFERROR(__xludf.DUMMYFUNCTION("""COMPUTED_VALUE"""),1489)</f>
        <v>1489</v>
      </c>
      <c r="I5" s="30">
        <f>IFERROR(__xludf.DUMMYFUNCTION("""COMPUTED_VALUE"""),45743.6458333333)</f>
        <v>45743.6458333333</v>
      </c>
      <c r="J5" s="3">
        <f>IFERROR(__xludf.DUMMYFUNCTION("""COMPUTED_VALUE"""),1462.4)</f>
        <v>1462.4</v>
      </c>
      <c r="K5" s="5"/>
      <c r="L5" s="5"/>
      <c r="M5" s="3">
        <f t="array" ref="M5">INDEX(K11:K124,MATCH(SMALL(ABS(K11:K124-H3),1),ABS(K11:K124-H3),0))</f>
        <v>1515.7</v>
      </c>
      <c r="N5" s="3">
        <f t="array" ref="N5">INDEX(K11:K124,MATCH(SMALL(ABS(K11:K124-H3),2),ABS(K11:K124-H3),0))</f>
        <v>1527</v>
      </c>
      <c r="O5" s="3">
        <f t="array" ref="O5">INDEX(L11:L124,MATCH(SMALL(ABS(L11:L124-H3),1),ABS(L11:L124-H3),0))</f>
        <v>1485.8</v>
      </c>
      <c r="P5" s="3">
        <f t="array" ref="P5">INDEX(L11:L124,MATCH(SMALL(ABS(L11:L124-H3),2),ABS(L11:L124-H3),0))</f>
        <v>1484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1592.8</v>
      </c>
      <c r="T5" s="17">
        <f ca="1">IF(AND(H3&gt;=Mastersheet!I3*S5,H3&lt;=Mastersheet!J3*S5),1,0)</f>
        <v>0</v>
      </c>
      <c r="U5" s="36">
        <f>(N3+P3)/2</f>
        <v>1497.5</v>
      </c>
      <c r="V5" s="17">
        <f>(N3+P3+R3+T3)/4</f>
        <v>1493.775</v>
      </c>
      <c r="W5" s="17">
        <f>IF(V5&gt;U5,1,0)</f>
        <v>0</v>
      </c>
      <c r="X5" s="17">
        <f>IF(V5&gt;U5,0,1)</f>
        <v>1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IFERROR(__xludf.DUMMYFUNCTION("""COMPUTED_VALUE"""),1442.2)</f>
        <v>1442.2</v>
      </c>
      <c r="C6" s="16">
        <f>IFERROR(__xludf.DUMMYFUNCTION("""COMPUTED_VALUE"""),45744.6458333333)</f>
        <v>45744.6458333333</v>
      </c>
      <c r="D6" s="17">
        <f>IFERROR(__xludf.DUMMYFUNCTION("""COMPUTED_VALUE"""),1475)</f>
        <v>1475</v>
      </c>
      <c r="E6" s="16">
        <f>IFERROR(__xludf.DUMMYFUNCTION("""COMPUTED_VALUE"""),45744.6458333333)</f>
        <v>45744.6458333333</v>
      </c>
      <c r="F6" s="17">
        <f>IFERROR(__xludf.DUMMYFUNCTION("""COMPUTED_VALUE"""),1495932)</f>
        <v>1495932</v>
      </c>
      <c r="G6" s="16">
        <f>IFERROR(__xludf.DUMMYFUNCTION("""COMPUTED_VALUE"""),45744.6458333333)</f>
        <v>45744.6458333333</v>
      </c>
      <c r="H6" s="17">
        <f>IFERROR(__xludf.DUMMYFUNCTION("""COMPUTED_VALUE"""),1478.65)</f>
        <v>1478.65</v>
      </c>
      <c r="I6" s="16">
        <f>IFERROR(__xludf.DUMMYFUNCTION("""COMPUTED_VALUE"""),45744.6458333333)</f>
        <v>45744.6458333333</v>
      </c>
      <c r="J6" s="17">
        <f>IFERROR(__xludf.DUMMYFUNCTION("""COMPUTED_VALUE"""),1434.45)</f>
        <v>1434.45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1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IFERROR(__xludf.DUMMYFUNCTION("""COMPUTED_VALUE"""),1444.25)</f>
        <v>1444.25</v>
      </c>
      <c r="C7" s="16">
        <f>IFERROR(__xludf.DUMMYFUNCTION("""COMPUTED_VALUE"""),45748.6458333333)</f>
        <v>45748.6458333333</v>
      </c>
      <c r="D7" s="17">
        <f>IFERROR(__xludf.DUMMYFUNCTION("""COMPUTED_VALUE"""),1438.55)</f>
        <v>1438.55</v>
      </c>
      <c r="E7" s="16">
        <f>IFERROR(__xludf.DUMMYFUNCTION("""COMPUTED_VALUE"""),45748.6458333333)</f>
        <v>45748.6458333333</v>
      </c>
      <c r="F7" s="17">
        <f>IFERROR(__xludf.DUMMYFUNCTION("""COMPUTED_VALUE"""),1080262)</f>
        <v>1080262</v>
      </c>
      <c r="G7" s="16">
        <f>IFERROR(__xludf.DUMMYFUNCTION("""COMPUTED_VALUE"""),45748.6458333333)</f>
        <v>45748.6458333333</v>
      </c>
      <c r="H7" s="17">
        <f>IFERROR(__xludf.DUMMYFUNCTION("""COMPUTED_VALUE"""),1466)</f>
        <v>1466</v>
      </c>
      <c r="I7" s="16">
        <f>IFERROR(__xludf.DUMMYFUNCTION("""COMPUTED_VALUE"""),45748.6458333333)</f>
        <v>45748.6458333333</v>
      </c>
      <c r="J7" s="17">
        <f>IFERROR(__xludf.DUMMYFUNCTION("""COMPUTED_VALUE"""),1429)</f>
        <v>1429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IFERROR(__xludf.DUMMYFUNCTION("""COMPUTED_VALUE"""),1452.35)</f>
        <v>1452.35</v>
      </c>
      <c r="C8" s="16">
        <f>IFERROR(__xludf.DUMMYFUNCTION("""COMPUTED_VALUE"""),45749.6458333333)</f>
        <v>45749.6458333333</v>
      </c>
      <c r="D8" s="17">
        <f>IFERROR(__xludf.DUMMYFUNCTION("""COMPUTED_VALUE"""),1441)</f>
        <v>1441</v>
      </c>
      <c r="E8" s="16">
        <f>IFERROR(__xludf.DUMMYFUNCTION("""COMPUTED_VALUE"""),45749.6458333333)</f>
        <v>45749.6458333333</v>
      </c>
      <c r="F8" s="17">
        <f>IFERROR(__xludf.DUMMYFUNCTION("""COMPUTED_VALUE"""),1054143)</f>
        <v>1054143</v>
      </c>
      <c r="G8" s="16">
        <f>IFERROR(__xludf.DUMMYFUNCTION("""COMPUTED_VALUE"""),45749.6458333333)</f>
        <v>45749.6458333333</v>
      </c>
      <c r="H8" s="17">
        <f>IFERROR(__xludf.DUMMYFUNCTION("""COMPUTED_VALUE"""),1464)</f>
        <v>1464</v>
      </c>
      <c r="I8" s="16">
        <f>IFERROR(__xludf.DUMMYFUNCTION("""COMPUTED_VALUE"""),45749.6458333333)</f>
        <v>45749.6458333333</v>
      </c>
      <c r="J8" s="17">
        <f>IFERROR(__xludf.DUMMYFUNCTION("""COMPUTED_VALUE"""),1428.4)</f>
        <v>1428.4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IFERROR(__xludf.DUMMYFUNCTION("""COMPUTED_VALUE"""),1495.7)</f>
        <v>1495.7</v>
      </c>
      <c r="C9" s="16">
        <f>IFERROR(__xludf.DUMMYFUNCTION("""COMPUTED_VALUE"""),45750.6458333333)</f>
        <v>45750.6458333333</v>
      </c>
      <c r="D9" s="17">
        <f>IFERROR(__xludf.DUMMYFUNCTION("""COMPUTED_VALUE"""),1482)</f>
        <v>1482</v>
      </c>
      <c r="E9" s="16">
        <f>IFERROR(__xludf.DUMMYFUNCTION("""COMPUTED_VALUE"""),45750.6458333333)</f>
        <v>45750.6458333333</v>
      </c>
      <c r="F9" s="17">
        <f>IFERROR(__xludf.DUMMYFUNCTION("""COMPUTED_VALUE"""),3488899)</f>
        <v>3488899</v>
      </c>
      <c r="G9" s="16">
        <f>IFERROR(__xludf.DUMMYFUNCTION("""COMPUTED_VALUE"""),45750.6458333333)</f>
        <v>45750.6458333333</v>
      </c>
      <c r="H9" s="17">
        <f>IFERROR(__xludf.DUMMYFUNCTION("""COMPUTED_VALUE"""),1523.3)</f>
        <v>1523.3</v>
      </c>
      <c r="I9" s="16">
        <f>IFERROR(__xludf.DUMMYFUNCTION("""COMPUTED_VALUE"""),45750.6458333333)</f>
        <v>45750.6458333333</v>
      </c>
      <c r="J9" s="17">
        <f>IFERROR(__xludf.DUMMYFUNCTION("""COMPUTED_VALUE"""),1480)</f>
        <v>1480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IFERROR(__xludf.DUMMYFUNCTION("""COMPUTED_VALUE"""),1415.25)</f>
        <v>1415.25</v>
      </c>
      <c r="C10" s="16">
        <f>IFERROR(__xludf.DUMMYFUNCTION("""COMPUTED_VALUE"""),45751.6458333333)</f>
        <v>45751.6458333333</v>
      </c>
      <c r="D10" s="17">
        <f>IFERROR(__xludf.DUMMYFUNCTION("""COMPUTED_VALUE"""),1495.7)</f>
        <v>1495.7</v>
      </c>
      <c r="E10" s="16">
        <f>IFERROR(__xludf.DUMMYFUNCTION("""COMPUTED_VALUE"""),45751.6458333333)</f>
        <v>45751.6458333333</v>
      </c>
      <c r="F10" s="17">
        <f>IFERROR(__xludf.DUMMYFUNCTION("""COMPUTED_VALUE"""),2768438)</f>
        <v>2768438</v>
      </c>
      <c r="G10" s="16">
        <f>IFERROR(__xludf.DUMMYFUNCTION("""COMPUTED_VALUE"""),45751.6458333333)</f>
        <v>45751.6458333333</v>
      </c>
      <c r="H10" s="17">
        <f>IFERROR(__xludf.DUMMYFUNCTION("""COMPUTED_VALUE"""),1495.7)</f>
        <v>1495.7</v>
      </c>
      <c r="I10" s="16">
        <f>IFERROR(__xludf.DUMMYFUNCTION("""COMPUTED_VALUE"""),45751.6458333333)</f>
        <v>45751.6458333333</v>
      </c>
      <c r="J10" s="17">
        <f>IFERROR(__xludf.DUMMYFUNCTION("""COMPUTED_VALUE"""),1390.05)</f>
        <v>1390.05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IFERROR(__xludf.DUMMYFUNCTION("""COMPUTED_VALUE"""),1384.7)</f>
        <v>1384.7</v>
      </c>
      <c r="C11" s="16">
        <f>IFERROR(__xludf.DUMMYFUNCTION("""COMPUTED_VALUE"""),45754.6458333333)</f>
        <v>45754.6458333333</v>
      </c>
      <c r="D11" s="17">
        <f>IFERROR(__xludf.DUMMYFUNCTION("""COMPUTED_VALUE"""),1336)</f>
        <v>1336</v>
      </c>
      <c r="E11" s="16">
        <f>IFERROR(__xludf.DUMMYFUNCTION("""COMPUTED_VALUE"""),45754.6458333333)</f>
        <v>45754.6458333333</v>
      </c>
      <c r="F11" s="17">
        <f>IFERROR(__xludf.DUMMYFUNCTION("""COMPUTED_VALUE"""),1604721)</f>
        <v>1604721</v>
      </c>
      <c r="G11" s="16">
        <f>IFERROR(__xludf.DUMMYFUNCTION("""COMPUTED_VALUE"""),45754.6458333333)</f>
        <v>45754.6458333333</v>
      </c>
      <c r="H11" s="17">
        <f>IFERROR(__xludf.DUMMYFUNCTION("""COMPUTED_VALUE"""),1401.35)</f>
        <v>1401.35</v>
      </c>
      <c r="I11" s="16">
        <f>IFERROR(__xludf.DUMMYFUNCTION("""COMPUTED_VALUE"""),45754.6458333333)</f>
        <v>45754.6458333333</v>
      </c>
      <c r="J11" s="17">
        <f>IFERROR(__xludf.DUMMYFUNCTION("""COMPUTED_VALUE"""),1335)</f>
        <v>1335</v>
      </c>
      <c r="K11" s="3">
        <f t="shared" ref="K11:K125" si="2">IF(B11=MAX(B5:B17),B11,0)</f>
        <v>0</v>
      </c>
      <c r="L11" s="3">
        <f t="shared" ref="L11:L125" si="3">IF(B11=MIN(B5:B17),B11,0)</f>
        <v>1384.7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IFERROR(__xludf.DUMMYFUNCTION("""COMPUTED_VALUE"""),1432.55)</f>
        <v>1432.55</v>
      </c>
      <c r="C12" s="16">
        <f>IFERROR(__xludf.DUMMYFUNCTION("""COMPUTED_VALUE"""),45755.6458333333)</f>
        <v>45755.6458333333</v>
      </c>
      <c r="D12" s="17">
        <f>IFERROR(__xludf.DUMMYFUNCTION("""COMPUTED_VALUE"""),1394.8)</f>
        <v>1394.8</v>
      </c>
      <c r="E12" s="16">
        <f>IFERROR(__xludf.DUMMYFUNCTION("""COMPUTED_VALUE"""),45755.6458333333)</f>
        <v>45755.6458333333</v>
      </c>
      <c r="F12" s="17">
        <f>IFERROR(__xludf.DUMMYFUNCTION("""COMPUTED_VALUE"""),1324180)</f>
        <v>1324180</v>
      </c>
      <c r="G12" s="16">
        <f>IFERROR(__xludf.DUMMYFUNCTION("""COMPUTED_VALUE"""),45755.6458333333)</f>
        <v>45755.6458333333</v>
      </c>
      <c r="H12" s="17">
        <f>IFERROR(__xludf.DUMMYFUNCTION("""COMPUTED_VALUE"""),1437.6)</f>
        <v>1437.6</v>
      </c>
      <c r="I12" s="16">
        <f>IFERROR(__xludf.DUMMYFUNCTION("""COMPUTED_VALUE"""),45755.6458333333)</f>
        <v>45755.6458333333</v>
      </c>
      <c r="J12" s="17">
        <f>IFERROR(__xludf.DUMMYFUNCTION("""COMPUTED_VALUE"""),1382.65)</f>
        <v>1382.65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IFERROR(__xludf.DUMMYFUNCTION("""COMPUTED_VALUE"""),1415.6)</f>
        <v>1415.6</v>
      </c>
      <c r="C13" s="16">
        <f>IFERROR(__xludf.DUMMYFUNCTION("""COMPUTED_VALUE"""),45756.6458333333)</f>
        <v>45756.6458333333</v>
      </c>
      <c r="D13" s="17">
        <f>IFERROR(__xludf.DUMMYFUNCTION("""COMPUTED_VALUE"""),1416.5)</f>
        <v>1416.5</v>
      </c>
      <c r="E13" s="16">
        <f>IFERROR(__xludf.DUMMYFUNCTION("""COMPUTED_VALUE"""),45756.6458333333)</f>
        <v>45756.6458333333</v>
      </c>
      <c r="F13" s="17">
        <f>IFERROR(__xludf.DUMMYFUNCTION("""COMPUTED_VALUE"""),1701314)</f>
        <v>1701314</v>
      </c>
      <c r="G13" s="16">
        <f>IFERROR(__xludf.DUMMYFUNCTION("""COMPUTED_VALUE"""),45756.6458333333)</f>
        <v>45756.6458333333</v>
      </c>
      <c r="H13" s="17">
        <f>IFERROR(__xludf.DUMMYFUNCTION("""COMPUTED_VALUE"""),1423)</f>
        <v>1423</v>
      </c>
      <c r="I13" s="16">
        <f>IFERROR(__xludf.DUMMYFUNCTION("""COMPUTED_VALUE"""),45756.6458333333)</f>
        <v>45756.6458333333</v>
      </c>
      <c r="J13" s="17">
        <f>IFERROR(__xludf.DUMMYFUNCTION("""COMPUTED_VALUE"""),1396.05)</f>
        <v>1396.05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IFERROR(__xludf.DUMMYFUNCTION("""COMPUTED_VALUE"""),1463.05)</f>
        <v>1463.05</v>
      </c>
      <c r="C14" s="16">
        <f>IFERROR(__xludf.DUMMYFUNCTION("""COMPUTED_VALUE"""),45758.6458333333)</f>
        <v>45758.6458333333</v>
      </c>
      <c r="D14" s="17">
        <f>IFERROR(__xludf.DUMMYFUNCTION("""COMPUTED_VALUE"""),1460)</f>
        <v>1460</v>
      </c>
      <c r="E14" s="16">
        <f>IFERROR(__xludf.DUMMYFUNCTION("""COMPUTED_VALUE"""),45758.6458333333)</f>
        <v>45758.6458333333</v>
      </c>
      <c r="F14" s="17">
        <f>IFERROR(__xludf.DUMMYFUNCTION("""COMPUTED_VALUE"""),2311803)</f>
        <v>2311803</v>
      </c>
      <c r="G14" s="16">
        <f>IFERROR(__xludf.DUMMYFUNCTION("""COMPUTED_VALUE"""),45758.6458333333)</f>
        <v>45758.6458333333</v>
      </c>
      <c r="H14" s="17">
        <f>IFERROR(__xludf.DUMMYFUNCTION("""COMPUTED_VALUE"""),1488.5)</f>
        <v>1488.5</v>
      </c>
      <c r="I14" s="16">
        <f>IFERROR(__xludf.DUMMYFUNCTION("""COMPUTED_VALUE"""),45758.6458333333)</f>
        <v>45758.6458333333</v>
      </c>
      <c r="J14" s="17">
        <f>IFERROR(__xludf.DUMMYFUNCTION("""COMPUTED_VALUE"""),1448.55)</f>
        <v>1448.55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IFERROR(__xludf.DUMMYFUNCTION("""COMPUTED_VALUE"""),1481.8)</f>
        <v>1481.8</v>
      </c>
      <c r="C15" s="16">
        <f>IFERROR(__xludf.DUMMYFUNCTION("""COMPUTED_VALUE"""),45762.6458333333)</f>
        <v>45762.6458333333</v>
      </c>
      <c r="D15" s="17">
        <f>IFERROR(__xludf.DUMMYFUNCTION("""COMPUTED_VALUE"""),1482.2)</f>
        <v>1482.2</v>
      </c>
      <c r="E15" s="16">
        <f>IFERROR(__xludf.DUMMYFUNCTION("""COMPUTED_VALUE"""),45762.6458333333)</f>
        <v>45762.6458333333</v>
      </c>
      <c r="F15" s="17">
        <f>IFERROR(__xludf.DUMMYFUNCTION("""COMPUTED_VALUE"""),1720323)</f>
        <v>1720323</v>
      </c>
      <c r="G15" s="16">
        <f>IFERROR(__xludf.DUMMYFUNCTION("""COMPUTED_VALUE"""),45762.6458333333)</f>
        <v>45762.6458333333</v>
      </c>
      <c r="H15" s="17">
        <f>IFERROR(__xludf.DUMMYFUNCTION("""COMPUTED_VALUE"""),1485.9)</f>
        <v>1485.9</v>
      </c>
      <c r="I15" s="16">
        <f>IFERROR(__xludf.DUMMYFUNCTION("""COMPUTED_VALUE"""),45762.6458333333)</f>
        <v>45762.6458333333</v>
      </c>
      <c r="J15" s="17">
        <f>IFERROR(__xludf.DUMMYFUNCTION("""COMPUTED_VALUE"""),1462.1)</f>
        <v>1462.1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IFERROR(__xludf.DUMMYFUNCTION("""COMPUTED_VALUE"""),1496.4)</f>
        <v>1496.4</v>
      </c>
      <c r="C16" s="16">
        <f>IFERROR(__xludf.DUMMYFUNCTION("""COMPUTED_VALUE"""),45763.6458333333)</f>
        <v>45763.6458333333</v>
      </c>
      <c r="D16" s="17">
        <f>IFERROR(__xludf.DUMMYFUNCTION("""COMPUTED_VALUE"""),1467.1)</f>
        <v>1467.1</v>
      </c>
      <c r="E16" s="16">
        <f>IFERROR(__xludf.DUMMYFUNCTION("""COMPUTED_VALUE"""),45763.6458333333)</f>
        <v>45763.6458333333</v>
      </c>
      <c r="F16" s="17">
        <f>IFERROR(__xludf.DUMMYFUNCTION("""COMPUTED_VALUE"""),1023697)</f>
        <v>1023697</v>
      </c>
      <c r="G16" s="16">
        <f>IFERROR(__xludf.DUMMYFUNCTION("""COMPUTED_VALUE"""),45763.6458333333)</f>
        <v>45763.6458333333</v>
      </c>
      <c r="H16" s="17">
        <f>IFERROR(__xludf.DUMMYFUNCTION("""COMPUTED_VALUE"""),1499)</f>
        <v>1499</v>
      </c>
      <c r="I16" s="16">
        <f>IFERROR(__xludf.DUMMYFUNCTION("""COMPUTED_VALUE"""),45763.6458333333)</f>
        <v>45763.6458333333</v>
      </c>
      <c r="J16" s="17">
        <f>IFERROR(__xludf.DUMMYFUNCTION("""COMPUTED_VALUE"""),1464.4)</f>
        <v>1464.4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IFERROR(__xludf.DUMMYFUNCTION("""COMPUTED_VALUE"""),1515.2)</f>
        <v>1515.2</v>
      </c>
      <c r="C17" s="16">
        <f>IFERROR(__xludf.DUMMYFUNCTION("""COMPUTED_VALUE"""),45764.6458333333)</f>
        <v>45764.6458333333</v>
      </c>
      <c r="D17" s="17">
        <f>IFERROR(__xludf.DUMMYFUNCTION("""COMPUTED_VALUE"""),1498)</f>
        <v>1498</v>
      </c>
      <c r="E17" s="16">
        <f>IFERROR(__xludf.DUMMYFUNCTION("""COMPUTED_VALUE"""),45764.6458333333)</f>
        <v>45764.6458333333</v>
      </c>
      <c r="F17" s="17">
        <f>IFERROR(__xludf.DUMMYFUNCTION("""COMPUTED_VALUE"""),1211601)</f>
        <v>1211601</v>
      </c>
      <c r="G17" s="16">
        <f>IFERROR(__xludf.DUMMYFUNCTION("""COMPUTED_VALUE"""),45764.6458333333)</f>
        <v>45764.6458333333</v>
      </c>
      <c r="H17" s="17">
        <f>IFERROR(__xludf.DUMMYFUNCTION("""COMPUTED_VALUE"""),1522)</f>
        <v>1522</v>
      </c>
      <c r="I17" s="16">
        <f>IFERROR(__xludf.DUMMYFUNCTION("""COMPUTED_VALUE"""),45764.6458333333)</f>
        <v>45764.6458333333</v>
      </c>
      <c r="J17" s="17">
        <f>IFERROR(__xludf.DUMMYFUNCTION("""COMPUTED_VALUE"""),1486)</f>
        <v>1486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IFERROR(__xludf.DUMMYFUNCTION("""COMPUTED_VALUE"""),1511.1)</f>
        <v>1511.1</v>
      </c>
      <c r="C18" s="16">
        <f>IFERROR(__xludf.DUMMYFUNCTION("""COMPUTED_VALUE"""),45768.6458333333)</f>
        <v>45768.6458333333</v>
      </c>
      <c r="D18" s="17">
        <f>IFERROR(__xludf.DUMMYFUNCTION("""COMPUTED_VALUE"""),1525)</f>
        <v>1525</v>
      </c>
      <c r="E18" s="16">
        <f>IFERROR(__xludf.DUMMYFUNCTION("""COMPUTED_VALUE"""),45768.6458333333)</f>
        <v>45768.6458333333</v>
      </c>
      <c r="F18" s="17">
        <f>IFERROR(__xludf.DUMMYFUNCTION("""COMPUTED_VALUE"""),570266)</f>
        <v>570266</v>
      </c>
      <c r="G18" s="16">
        <f>IFERROR(__xludf.DUMMYFUNCTION("""COMPUTED_VALUE"""),45768.6458333333)</f>
        <v>45768.6458333333</v>
      </c>
      <c r="H18" s="17">
        <f>IFERROR(__xludf.DUMMYFUNCTION("""COMPUTED_VALUE"""),1525)</f>
        <v>1525</v>
      </c>
      <c r="I18" s="16">
        <f>IFERROR(__xludf.DUMMYFUNCTION("""COMPUTED_VALUE"""),45768.6458333333)</f>
        <v>45768.6458333333</v>
      </c>
      <c r="J18" s="17">
        <f>IFERROR(__xludf.DUMMYFUNCTION("""COMPUTED_VALUE"""),1505)</f>
        <v>1505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IFERROR(__xludf.DUMMYFUNCTION("""COMPUTED_VALUE"""),1528.2)</f>
        <v>1528.2</v>
      </c>
      <c r="C19" s="16">
        <f>IFERROR(__xludf.DUMMYFUNCTION("""COMPUTED_VALUE"""),45769.6458333333)</f>
        <v>45769.6458333333</v>
      </c>
      <c r="D19" s="17">
        <f>IFERROR(__xludf.DUMMYFUNCTION("""COMPUTED_VALUE"""),1514.9)</f>
        <v>1514.9</v>
      </c>
      <c r="E19" s="16">
        <f>IFERROR(__xludf.DUMMYFUNCTION("""COMPUTED_VALUE"""),45769.6458333333)</f>
        <v>45769.6458333333</v>
      </c>
      <c r="F19" s="17">
        <f>IFERROR(__xludf.DUMMYFUNCTION("""COMPUTED_VALUE"""),954974)</f>
        <v>954974</v>
      </c>
      <c r="G19" s="16">
        <f>IFERROR(__xludf.DUMMYFUNCTION("""COMPUTED_VALUE"""),45769.6458333333)</f>
        <v>45769.6458333333</v>
      </c>
      <c r="H19" s="17">
        <f>IFERROR(__xludf.DUMMYFUNCTION("""COMPUTED_VALUE"""),1534.7)</f>
        <v>1534.7</v>
      </c>
      <c r="I19" s="16">
        <f>IFERROR(__xludf.DUMMYFUNCTION("""COMPUTED_VALUE"""),45769.6458333333)</f>
        <v>45769.6458333333</v>
      </c>
      <c r="J19" s="17">
        <f>IFERROR(__xludf.DUMMYFUNCTION("""COMPUTED_VALUE"""),1502.7)</f>
        <v>1502.7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IFERROR(__xludf.DUMMYFUNCTION("""COMPUTED_VALUE"""),1533.7)</f>
        <v>1533.7</v>
      </c>
      <c r="C20" s="16">
        <f>IFERROR(__xludf.DUMMYFUNCTION("""COMPUTED_VALUE"""),45770.6458333333)</f>
        <v>45770.6458333333</v>
      </c>
      <c r="D20" s="17">
        <f>IFERROR(__xludf.DUMMYFUNCTION("""COMPUTED_VALUE"""),1533)</f>
        <v>1533</v>
      </c>
      <c r="E20" s="16">
        <f>IFERROR(__xludf.DUMMYFUNCTION("""COMPUTED_VALUE"""),45770.6458333333)</f>
        <v>45770.6458333333</v>
      </c>
      <c r="F20" s="17">
        <f>IFERROR(__xludf.DUMMYFUNCTION("""COMPUTED_VALUE"""),819016)</f>
        <v>819016</v>
      </c>
      <c r="G20" s="16">
        <f>IFERROR(__xludf.DUMMYFUNCTION("""COMPUTED_VALUE"""),45770.6458333333)</f>
        <v>45770.6458333333</v>
      </c>
      <c r="H20" s="17">
        <f>IFERROR(__xludf.DUMMYFUNCTION("""COMPUTED_VALUE"""),1539)</f>
        <v>1539</v>
      </c>
      <c r="I20" s="16">
        <f>IFERROR(__xludf.DUMMYFUNCTION("""COMPUTED_VALUE"""),45770.6458333333)</f>
        <v>45770.6458333333</v>
      </c>
      <c r="J20" s="17">
        <f>IFERROR(__xludf.DUMMYFUNCTION("""COMPUTED_VALUE"""),1516)</f>
        <v>1516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IFERROR(__xludf.DUMMYFUNCTION("""COMPUTED_VALUE"""),1551.7)</f>
        <v>1551.7</v>
      </c>
      <c r="C21" s="16">
        <f>IFERROR(__xludf.DUMMYFUNCTION("""COMPUTED_VALUE"""),45771.6458333333)</f>
        <v>45771.6458333333</v>
      </c>
      <c r="D21" s="17">
        <f>IFERROR(__xludf.DUMMYFUNCTION("""COMPUTED_VALUE"""),1533.7)</f>
        <v>1533.7</v>
      </c>
      <c r="E21" s="16">
        <f>IFERROR(__xludf.DUMMYFUNCTION("""COMPUTED_VALUE"""),45771.6458333333)</f>
        <v>45771.6458333333</v>
      </c>
      <c r="F21" s="17">
        <f>IFERROR(__xludf.DUMMYFUNCTION("""COMPUTED_VALUE"""),1590469)</f>
        <v>1590469</v>
      </c>
      <c r="G21" s="16">
        <f>IFERROR(__xludf.DUMMYFUNCTION("""COMPUTED_VALUE"""),45771.6458333333)</f>
        <v>45771.6458333333</v>
      </c>
      <c r="H21" s="17">
        <f>IFERROR(__xludf.DUMMYFUNCTION("""COMPUTED_VALUE"""),1556)</f>
        <v>1556</v>
      </c>
      <c r="I21" s="16">
        <f>IFERROR(__xludf.DUMMYFUNCTION("""COMPUTED_VALUE"""),45771.6458333333)</f>
        <v>45771.6458333333</v>
      </c>
      <c r="J21" s="17">
        <f>IFERROR(__xludf.DUMMYFUNCTION("""COMPUTED_VALUE"""),1524.9)</f>
        <v>1524.9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IFERROR(__xludf.DUMMYFUNCTION("""COMPUTED_VALUE"""),1525.9)</f>
        <v>1525.9</v>
      </c>
      <c r="C22" s="16">
        <f>IFERROR(__xludf.DUMMYFUNCTION("""COMPUTED_VALUE"""),45772.6458333333)</f>
        <v>45772.6458333333</v>
      </c>
      <c r="D22" s="17">
        <f>IFERROR(__xludf.DUMMYFUNCTION("""COMPUTED_VALUE"""),1556)</f>
        <v>1556</v>
      </c>
      <c r="E22" s="16">
        <f>IFERROR(__xludf.DUMMYFUNCTION("""COMPUTED_VALUE"""),45772.6458333333)</f>
        <v>45772.6458333333</v>
      </c>
      <c r="F22" s="17">
        <f>IFERROR(__xludf.DUMMYFUNCTION("""COMPUTED_VALUE"""),1353813)</f>
        <v>1353813</v>
      </c>
      <c r="G22" s="16">
        <f>IFERROR(__xludf.DUMMYFUNCTION("""COMPUTED_VALUE"""),45772.6458333333)</f>
        <v>45772.6458333333</v>
      </c>
      <c r="H22" s="17">
        <f>IFERROR(__xludf.DUMMYFUNCTION("""COMPUTED_VALUE"""),1566.7)</f>
        <v>1566.7</v>
      </c>
      <c r="I22" s="16">
        <f>IFERROR(__xludf.DUMMYFUNCTION("""COMPUTED_VALUE"""),45772.6458333333)</f>
        <v>45772.6458333333</v>
      </c>
      <c r="J22" s="17">
        <f>IFERROR(__xludf.DUMMYFUNCTION("""COMPUTED_VALUE"""),1513.5)</f>
        <v>1513.5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IFERROR(__xludf.DUMMYFUNCTION("""COMPUTED_VALUE"""),1555.1)</f>
        <v>1555.1</v>
      </c>
      <c r="C23" s="16">
        <f>IFERROR(__xludf.DUMMYFUNCTION("""COMPUTED_VALUE"""),45775.6458333333)</f>
        <v>45775.6458333333</v>
      </c>
      <c r="D23" s="17">
        <f>IFERROR(__xludf.DUMMYFUNCTION("""COMPUTED_VALUE"""),1525.9)</f>
        <v>1525.9</v>
      </c>
      <c r="E23" s="16">
        <f>IFERROR(__xludf.DUMMYFUNCTION("""COMPUTED_VALUE"""),45775.6458333333)</f>
        <v>45775.6458333333</v>
      </c>
      <c r="F23" s="17">
        <f>IFERROR(__xludf.DUMMYFUNCTION("""COMPUTED_VALUE"""),1207247)</f>
        <v>1207247</v>
      </c>
      <c r="G23" s="16">
        <f>IFERROR(__xludf.DUMMYFUNCTION("""COMPUTED_VALUE"""),45775.6458333333)</f>
        <v>45775.6458333333</v>
      </c>
      <c r="H23" s="17">
        <f>IFERROR(__xludf.DUMMYFUNCTION("""COMPUTED_VALUE"""),1565)</f>
        <v>1565</v>
      </c>
      <c r="I23" s="16">
        <f>IFERROR(__xludf.DUMMYFUNCTION("""COMPUTED_VALUE"""),45775.6458333333)</f>
        <v>45775.6458333333</v>
      </c>
      <c r="J23" s="17">
        <f>IFERROR(__xludf.DUMMYFUNCTION("""COMPUTED_VALUE"""),1525.9)</f>
        <v>1525.9</v>
      </c>
      <c r="K23" s="3">
        <f t="shared" si="2"/>
        <v>1555.1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IFERROR(__xludf.DUMMYFUNCTION("""COMPUTED_VALUE"""),1541.5)</f>
        <v>1541.5</v>
      </c>
      <c r="C24" s="16">
        <f>IFERROR(__xludf.DUMMYFUNCTION("""COMPUTED_VALUE"""),45776.6458333333)</f>
        <v>45776.6458333333</v>
      </c>
      <c r="D24" s="17">
        <f>IFERROR(__xludf.DUMMYFUNCTION("""COMPUTED_VALUE"""),1555)</f>
        <v>1555</v>
      </c>
      <c r="E24" s="16">
        <f>IFERROR(__xludf.DUMMYFUNCTION("""COMPUTED_VALUE"""),45776.6458333333)</f>
        <v>45776.6458333333</v>
      </c>
      <c r="F24" s="17">
        <f>IFERROR(__xludf.DUMMYFUNCTION("""COMPUTED_VALUE"""),1385331)</f>
        <v>1385331</v>
      </c>
      <c r="G24" s="16">
        <f>IFERROR(__xludf.DUMMYFUNCTION("""COMPUTED_VALUE"""),45776.6458333333)</f>
        <v>45776.6458333333</v>
      </c>
      <c r="H24" s="17">
        <f>IFERROR(__xludf.DUMMYFUNCTION("""COMPUTED_VALUE"""),1560.6)</f>
        <v>1560.6</v>
      </c>
      <c r="I24" s="16">
        <f>IFERROR(__xludf.DUMMYFUNCTION("""COMPUTED_VALUE"""),45776.6458333333)</f>
        <v>45776.6458333333</v>
      </c>
      <c r="J24" s="17">
        <f>IFERROR(__xludf.DUMMYFUNCTION("""COMPUTED_VALUE"""),1531)</f>
        <v>1531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IFERROR(__xludf.DUMMYFUNCTION("""COMPUTED_VALUE"""),1550.1)</f>
        <v>1550.1</v>
      </c>
      <c r="C25" s="16">
        <f>IFERROR(__xludf.DUMMYFUNCTION("""COMPUTED_VALUE"""),45777.6458333333)</f>
        <v>45777.6458333333</v>
      </c>
      <c r="D25" s="17">
        <f>IFERROR(__xludf.DUMMYFUNCTION("""COMPUTED_VALUE"""),1542)</f>
        <v>1542</v>
      </c>
      <c r="E25" s="16">
        <f>IFERROR(__xludf.DUMMYFUNCTION("""COMPUTED_VALUE"""),45777.6458333333)</f>
        <v>45777.6458333333</v>
      </c>
      <c r="F25" s="17">
        <f>IFERROR(__xludf.DUMMYFUNCTION("""COMPUTED_VALUE"""),2315010)</f>
        <v>2315010</v>
      </c>
      <c r="G25" s="16">
        <f>IFERROR(__xludf.DUMMYFUNCTION("""COMPUTED_VALUE"""),45777.6458333333)</f>
        <v>45777.6458333333</v>
      </c>
      <c r="H25" s="17">
        <f>IFERROR(__xludf.DUMMYFUNCTION("""COMPUTED_VALUE"""),1570.8)</f>
        <v>1570.8</v>
      </c>
      <c r="I25" s="16">
        <f>IFERROR(__xludf.DUMMYFUNCTION("""COMPUTED_VALUE"""),45777.6458333333)</f>
        <v>45777.6458333333</v>
      </c>
      <c r="J25" s="17">
        <f>IFERROR(__xludf.DUMMYFUNCTION("""COMPUTED_VALUE"""),1538)</f>
        <v>1538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IFERROR(__xludf.DUMMYFUNCTION("""COMPUTED_VALUE"""),1525.6)</f>
        <v>1525.6</v>
      </c>
      <c r="C26" s="16">
        <f>IFERROR(__xludf.DUMMYFUNCTION("""COMPUTED_VALUE"""),45779.6458333333)</f>
        <v>45779.6458333333</v>
      </c>
      <c r="D26" s="17">
        <f>IFERROR(__xludf.DUMMYFUNCTION("""COMPUTED_VALUE"""),1537.5)</f>
        <v>1537.5</v>
      </c>
      <c r="E26" s="16">
        <f>IFERROR(__xludf.DUMMYFUNCTION("""COMPUTED_VALUE"""),45779.6458333333)</f>
        <v>45779.6458333333</v>
      </c>
      <c r="F26" s="17">
        <f>IFERROR(__xludf.DUMMYFUNCTION("""COMPUTED_VALUE"""),1578868)</f>
        <v>1578868</v>
      </c>
      <c r="G26" s="16">
        <f>IFERROR(__xludf.DUMMYFUNCTION("""COMPUTED_VALUE"""),45779.6458333333)</f>
        <v>45779.6458333333</v>
      </c>
      <c r="H26" s="17">
        <f>IFERROR(__xludf.DUMMYFUNCTION("""COMPUTED_VALUE"""),1552.5)</f>
        <v>1552.5</v>
      </c>
      <c r="I26" s="16">
        <f>IFERROR(__xludf.DUMMYFUNCTION("""COMPUTED_VALUE"""),45779.6458333333)</f>
        <v>45779.6458333333</v>
      </c>
      <c r="J26" s="17">
        <f>IFERROR(__xludf.DUMMYFUNCTION("""COMPUTED_VALUE"""),1513.5)</f>
        <v>1513.5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IFERROR(__xludf.DUMMYFUNCTION("""COMPUTED_VALUE"""),1542.9)</f>
        <v>1542.9</v>
      </c>
      <c r="C27" s="16">
        <f>IFERROR(__xludf.DUMMYFUNCTION("""COMPUTED_VALUE"""),45782.6458333333)</f>
        <v>45782.6458333333</v>
      </c>
      <c r="D27" s="17">
        <f>IFERROR(__xludf.DUMMYFUNCTION("""COMPUTED_VALUE"""),1532)</f>
        <v>1532</v>
      </c>
      <c r="E27" s="16">
        <f>IFERROR(__xludf.DUMMYFUNCTION("""COMPUTED_VALUE"""),45782.6458333333)</f>
        <v>45782.6458333333</v>
      </c>
      <c r="F27" s="17">
        <f>IFERROR(__xludf.DUMMYFUNCTION("""COMPUTED_VALUE"""),786898)</f>
        <v>786898</v>
      </c>
      <c r="G27" s="16">
        <f>IFERROR(__xludf.DUMMYFUNCTION("""COMPUTED_VALUE"""),45782.6458333333)</f>
        <v>45782.6458333333</v>
      </c>
      <c r="H27" s="17">
        <f>IFERROR(__xludf.DUMMYFUNCTION("""COMPUTED_VALUE"""),1549)</f>
        <v>1549</v>
      </c>
      <c r="I27" s="16">
        <f>IFERROR(__xludf.DUMMYFUNCTION("""COMPUTED_VALUE"""),45782.6458333333)</f>
        <v>45782.6458333333</v>
      </c>
      <c r="J27" s="17">
        <f>IFERROR(__xludf.DUMMYFUNCTION("""COMPUTED_VALUE"""),1528.3)</f>
        <v>1528.3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IFERROR(__xludf.DUMMYFUNCTION("""COMPUTED_VALUE"""),1511.4)</f>
        <v>1511.4</v>
      </c>
      <c r="C28" s="16">
        <f>IFERROR(__xludf.DUMMYFUNCTION("""COMPUTED_VALUE"""),45783.6458333333)</f>
        <v>45783.6458333333</v>
      </c>
      <c r="D28" s="17">
        <f>IFERROR(__xludf.DUMMYFUNCTION("""COMPUTED_VALUE"""),1530)</f>
        <v>1530</v>
      </c>
      <c r="E28" s="16">
        <f>IFERROR(__xludf.DUMMYFUNCTION("""COMPUTED_VALUE"""),45783.6458333333)</f>
        <v>45783.6458333333</v>
      </c>
      <c r="F28" s="17">
        <f>IFERROR(__xludf.DUMMYFUNCTION("""COMPUTED_VALUE"""),1788719)</f>
        <v>1788719</v>
      </c>
      <c r="G28" s="16">
        <f>IFERROR(__xludf.DUMMYFUNCTION("""COMPUTED_VALUE"""),45783.6458333333)</f>
        <v>45783.6458333333</v>
      </c>
      <c r="H28" s="17">
        <f>IFERROR(__xludf.DUMMYFUNCTION("""COMPUTED_VALUE"""),1531.9)</f>
        <v>1531.9</v>
      </c>
      <c r="I28" s="16">
        <f>IFERROR(__xludf.DUMMYFUNCTION("""COMPUTED_VALUE"""),45783.6458333333)</f>
        <v>45783.6458333333</v>
      </c>
      <c r="J28" s="17">
        <f>IFERROR(__xludf.DUMMYFUNCTION("""COMPUTED_VALUE"""),1495)</f>
        <v>1495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IFERROR(__xludf.DUMMYFUNCTION("""COMPUTED_VALUE"""),1508.8)</f>
        <v>1508.8</v>
      </c>
      <c r="C29" s="16">
        <f>IFERROR(__xludf.DUMMYFUNCTION("""COMPUTED_VALUE"""),45784.6458333333)</f>
        <v>45784.6458333333</v>
      </c>
      <c r="D29" s="17">
        <f>IFERROR(__xludf.DUMMYFUNCTION("""COMPUTED_VALUE"""),1500)</f>
        <v>1500</v>
      </c>
      <c r="E29" s="16">
        <f>IFERROR(__xludf.DUMMYFUNCTION("""COMPUTED_VALUE"""),45784.6458333333)</f>
        <v>45784.6458333333</v>
      </c>
      <c r="F29" s="17">
        <f>IFERROR(__xludf.DUMMYFUNCTION("""COMPUTED_VALUE"""),1424662)</f>
        <v>1424662</v>
      </c>
      <c r="G29" s="16">
        <f>IFERROR(__xludf.DUMMYFUNCTION("""COMPUTED_VALUE"""),45784.6458333333)</f>
        <v>45784.6458333333</v>
      </c>
      <c r="H29" s="17">
        <f>IFERROR(__xludf.DUMMYFUNCTION("""COMPUTED_VALUE"""),1517.8)</f>
        <v>1517.8</v>
      </c>
      <c r="I29" s="16">
        <f>IFERROR(__xludf.DUMMYFUNCTION("""COMPUTED_VALUE"""),45784.6458333333)</f>
        <v>45784.6458333333</v>
      </c>
      <c r="J29" s="17">
        <f>IFERROR(__xludf.DUMMYFUNCTION("""COMPUTED_VALUE"""),1499.4)</f>
        <v>1499.4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IFERROR(__xludf.DUMMYFUNCTION("""COMPUTED_VALUE"""),1486.8)</f>
        <v>1486.8</v>
      </c>
      <c r="C30" s="16">
        <f>IFERROR(__xludf.DUMMYFUNCTION("""COMPUTED_VALUE"""),45785.6458333333)</f>
        <v>45785.6458333333</v>
      </c>
      <c r="D30" s="17">
        <f>IFERROR(__xludf.DUMMYFUNCTION("""COMPUTED_VALUE"""),1500)</f>
        <v>1500</v>
      </c>
      <c r="E30" s="16">
        <f>IFERROR(__xludf.DUMMYFUNCTION("""COMPUTED_VALUE"""),45785.6458333333)</f>
        <v>45785.6458333333</v>
      </c>
      <c r="F30" s="17">
        <f>IFERROR(__xludf.DUMMYFUNCTION("""COMPUTED_VALUE"""),2773328)</f>
        <v>2773328</v>
      </c>
      <c r="G30" s="16">
        <f>IFERROR(__xludf.DUMMYFUNCTION("""COMPUTED_VALUE"""),45785.6458333333)</f>
        <v>45785.6458333333</v>
      </c>
      <c r="H30" s="17">
        <f>IFERROR(__xludf.DUMMYFUNCTION("""COMPUTED_VALUE"""),1508.7)</f>
        <v>1508.7</v>
      </c>
      <c r="I30" s="16">
        <f>IFERROR(__xludf.DUMMYFUNCTION("""COMPUTED_VALUE"""),45785.6458333333)</f>
        <v>45785.6458333333</v>
      </c>
      <c r="J30" s="17">
        <f>IFERROR(__xludf.DUMMYFUNCTION("""COMPUTED_VALUE"""),1477.9)</f>
        <v>1477.9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IFERROR(__xludf.DUMMYFUNCTION("""COMPUTED_VALUE"""),1480)</f>
        <v>1480</v>
      </c>
      <c r="C31" s="16">
        <f>IFERROR(__xludf.DUMMYFUNCTION("""COMPUTED_VALUE"""),45786.6458333333)</f>
        <v>45786.6458333333</v>
      </c>
      <c r="D31" s="17">
        <f>IFERROR(__xludf.DUMMYFUNCTION("""COMPUTED_VALUE"""),1469.9)</f>
        <v>1469.9</v>
      </c>
      <c r="E31" s="16">
        <f>IFERROR(__xludf.DUMMYFUNCTION("""COMPUTED_VALUE"""),45786.6458333333)</f>
        <v>45786.6458333333</v>
      </c>
      <c r="F31" s="17">
        <f>IFERROR(__xludf.DUMMYFUNCTION("""COMPUTED_VALUE"""),1042380)</f>
        <v>1042380</v>
      </c>
      <c r="G31" s="16">
        <f>IFERROR(__xludf.DUMMYFUNCTION("""COMPUTED_VALUE"""),45786.6458333333)</f>
        <v>45786.6458333333</v>
      </c>
      <c r="H31" s="17">
        <f>IFERROR(__xludf.DUMMYFUNCTION("""COMPUTED_VALUE"""),1486.4)</f>
        <v>1486.4</v>
      </c>
      <c r="I31" s="16">
        <f>IFERROR(__xludf.DUMMYFUNCTION("""COMPUTED_VALUE"""),45786.6458333333)</f>
        <v>45786.6458333333</v>
      </c>
      <c r="J31" s="17">
        <f>IFERROR(__xludf.DUMMYFUNCTION("""COMPUTED_VALUE"""),1463.7)</f>
        <v>1463.7</v>
      </c>
      <c r="K31" s="3">
        <f t="shared" si="2"/>
        <v>0</v>
      </c>
      <c r="L31" s="3">
        <f t="shared" si="3"/>
        <v>1480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IFERROR(__xludf.DUMMYFUNCTION("""COMPUTED_VALUE"""),1511.6)</f>
        <v>1511.6</v>
      </c>
      <c r="C32" s="16">
        <f>IFERROR(__xludf.DUMMYFUNCTION("""COMPUTED_VALUE"""),45789.6458333333)</f>
        <v>45789.6458333333</v>
      </c>
      <c r="D32" s="17">
        <f>IFERROR(__xludf.DUMMYFUNCTION("""COMPUTED_VALUE"""),1478)</f>
        <v>1478</v>
      </c>
      <c r="E32" s="16">
        <f>IFERROR(__xludf.DUMMYFUNCTION("""COMPUTED_VALUE"""),45789.6458333333)</f>
        <v>45789.6458333333</v>
      </c>
      <c r="F32" s="17">
        <f>IFERROR(__xludf.DUMMYFUNCTION("""COMPUTED_VALUE"""),1706217)</f>
        <v>1706217</v>
      </c>
      <c r="G32" s="16">
        <f>IFERROR(__xludf.DUMMYFUNCTION("""COMPUTED_VALUE"""),45789.6458333333)</f>
        <v>45789.6458333333</v>
      </c>
      <c r="H32" s="17">
        <f>IFERROR(__xludf.DUMMYFUNCTION("""COMPUTED_VALUE"""),1516.9)</f>
        <v>1516.9</v>
      </c>
      <c r="I32" s="16">
        <f>IFERROR(__xludf.DUMMYFUNCTION("""COMPUTED_VALUE"""),45789.6458333333)</f>
        <v>45789.6458333333</v>
      </c>
      <c r="J32" s="17">
        <f>IFERROR(__xludf.DUMMYFUNCTION("""COMPUTED_VALUE"""),1462.2)</f>
        <v>1462.2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IFERROR(__xludf.DUMMYFUNCTION("""COMPUTED_VALUE"""),1520.1)</f>
        <v>1520.1</v>
      </c>
      <c r="C33" s="16">
        <f>IFERROR(__xludf.DUMMYFUNCTION("""COMPUTED_VALUE"""),45790.6458333333)</f>
        <v>45790.6458333333</v>
      </c>
      <c r="D33" s="17">
        <f>IFERROR(__xludf.DUMMYFUNCTION("""COMPUTED_VALUE"""),1515)</f>
        <v>1515</v>
      </c>
      <c r="E33" s="16">
        <f>IFERROR(__xludf.DUMMYFUNCTION("""COMPUTED_VALUE"""),45790.6458333333)</f>
        <v>45790.6458333333</v>
      </c>
      <c r="F33" s="17">
        <f>IFERROR(__xludf.DUMMYFUNCTION("""COMPUTED_VALUE"""),4042184)</f>
        <v>4042184</v>
      </c>
      <c r="G33" s="16">
        <f>IFERROR(__xludf.DUMMYFUNCTION("""COMPUTED_VALUE"""),45790.6458333333)</f>
        <v>45790.6458333333</v>
      </c>
      <c r="H33" s="17">
        <f>IFERROR(__xludf.DUMMYFUNCTION("""COMPUTED_VALUE"""),1539.9)</f>
        <v>1539.9</v>
      </c>
      <c r="I33" s="16">
        <f>IFERROR(__xludf.DUMMYFUNCTION("""COMPUTED_VALUE"""),45790.6458333333)</f>
        <v>45790.6458333333</v>
      </c>
      <c r="J33" s="17">
        <f>IFERROR(__xludf.DUMMYFUNCTION("""COMPUTED_VALUE"""),1497.1)</f>
        <v>1497.1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IFERROR(__xludf.DUMMYFUNCTION("""COMPUTED_VALUE"""),1494.8)</f>
        <v>1494.8</v>
      </c>
      <c r="C34" s="16">
        <f>IFERROR(__xludf.DUMMYFUNCTION("""COMPUTED_VALUE"""),45791.6458333333)</f>
        <v>45791.6458333333</v>
      </c>
      <c r="D34" s="17">
        <f>IFERROR(__xludf.DUMMYFUNCTION("""COMPUTED_VALUE"""),1495)</f>
        <v>1495</v>
      </c>
      <c r="E34" s="16">
        <f>IFERROR(__xludf.DUMMYFUNCTION("""COMPUTED_VALUE"""),45791.6458333333)</f>
        <v>45791.6458333333</v>
      </c>
      <c r="F34" s="17">
        <f>IFERROR(__xludf.DUMMYFUNCTION("""COMPUTED_VALUE"""),3417567)</f>
        <v>3417567</v>
      </c>
      <c r="G34" s="16">
        <f>IFERROR(__xludf.DUMMYFUNCTION("""COMPUTED_VALUE"""),45791.6458333333)</f>
        <v>45791.6458333333</v>
      </c>
      <c r="H34" s="17">
        <f>IFERROR(__xludf.DUMMYFUNCTION("""COMPUTED_VALUE"""),1505.9)</f>
        <v>1505.9</v>
      </c>
      <c r="I34" s="16">
        <f>IFERROR(__xludf.DUMMYFUNCTION("""COMPUTED_VALUE"""),45791.6458333333)</f>
        <v>45791.6458333333</v>
      </c>
      <c r="J34" s="17">
        <f>IFERROR(__xludf.DUMMYFUNCTION("""COMPUTED_VALUE"""),1474.6)</f>
        <v>1474.6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IFERROR(__xludf.DUMMYFUNCTION("""COMPUTED_VALUE"""),1502.2)</f>
        <v>1502.2</v>
      </c>
      <c r="C35" s="16">
        <f>IFERROR(__xludf.DUMMYFUNCTION("""COMPUTED_VALUE"""),45792.6458333333)</f>
        <v>45792.6458333333</v>
      </c>
      <c r="D35" s="17">
        <f>IFERROR(__xludf.DUMMYFUNCTION("""COMPUTED_VALUE"""),1495)</f>
        <v>1495</v>
      </c>
      <c r="E35" s="16">
        <f>IFERROR(__xludf.DUMMYFUNCTION("""COMPUTED_VALUE"""),45792.6458333333)</f>
        <v>45792.6458333333</v>
      </c>
      <c r="F35" s="17">
        <f>IFERROR(__xludf.DUMMYFUNCTION("""COMPUTED_VALUE"""),3918531)</f>
        <v>3918531</v>
      </c>
      <c r="G35" s="16">
        <f>IFERROR(__xludf.DUMMYFUNCTION("""COMPUTED_VALUE"""),45792.6458333333)</f>
        <v>45792.6458333333</v>
      </c>
      <c r="H35" s="17">
        <f>IFERROR(__xludf.DUMMYFUNCTION("""COMPUTED_VALUE"""),1512.9)</f>
        <v>1512.9</v>
      </c>
      <c r="I35" s="16">
        <f>IFERROR(__xludf.DUMMYFUNCTION("""COMPUTED_VALUE"""),45792.6458333333)</f>
        <v>45792.6458333333</v>
      </c>
      <c r="J35" s="17">
        <f>IFERROR(__xludf.DUMMYFUNCTION("""COMPUTED_VALUE"""),1475)</f>
        <v>1475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IFERROR(__xludf.DUMMYFUNCTION("""COMPUTED_VALUE"""),1499.9)</f>
        <v>1499.9</v>
      </c>
      <c r="C36" s="16">
        <f>IFERROR(__xludf.DUMMYFUNCTION("""COMPUTED_VALUE"""),45793.6458333333)</f>
        <v>45793.6458333333</v>
      </c>
      <c r="D36" s="17">
        <f>IFERROR(__xludf.DUMMYFUNCTION("""COMPUTED_VALUE"""),1509.7)</f>
        <v>1509.7</v>
      </c>
      <c r="E36" s="16">
        <f>IFERROR(__xludf.DUMMYFUNCTION("""COMPUTED_VALUE"""),45793.6458333333)</f>
        <v>45793.6458333333</v>
      </c>
      <c r="F36" s="17">
        <f>IFERROR(__xludf.DUMMYFUNCTION("""COMPUTED_VALUE"""),1660861)</f>
        <v>1660861</v>
      </c>
      <c r="G36" s="16">
        <f>IFERROR(__xludf.DUMMYFUNCTION("""COMPUTED_VALUE"""),45793.6458333333)</f>
        <v>45793.6458333333</v>
      </c>
      <c r="H36" s="17">
        <f>IFERROR(__xludf.DUMMYFUNCTION("""COMPUTED_VALUE"""),1510.2)</f>
        <v>1510.2</v>
      </c>
      <c r="I36" s="16">
        <f>IFERROR(__xludf.DUMMYFUNCTION("""COMPUTED_VALUE"""),45793.6458333333)</f>
        <v>45793.6458333333</v>
      </c>
      <c r="J36" s="17">
        <f>IFERROR(__xludf.DUMMYFUNCTION("""COMPUTED_VALUE"""),1492)</f>
        <v>1492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IFERROR(__xludf.DUMMYFUNCTION("""COMPUTED_VALUE"""),1491.6)</f>
        <v>1491.6</v>
      </c>
      <c r="C37" s="16">
        <f>IFERROR(__xludf.DUMMYFUNCTION("""COMPUTED_VALUE"""),45796.6458333333)</f>
        <v>45796.6458333333</v>
      </c>
      <c r="D37" s="17">
        <f>IFERROR(__xludf.DUMMYFUNCTION("""COMPUTED_VALUE"""),1499.9)</f>
        <v>1499.9</v>
      </c>
      <c r="E37" s="16">
        <f>IFERROR(__xludf.DUMMYFUNCTION("""COMPUTED_VALUE"""),45796.6458333333)</f>
        <v>45796.6458333333</v>
      </c>
      <c r="F37" s="17">
        <f>IFERROR(__xludf.DUMMYFUNCTION("""COMPUTED_VALUE"""),1857648)</f>
        <v>1857648</v>
      </c>
      <c r="G37" s="16">
        <f>IFERROR(__xludf.DUMMYFUNCTION("""COMPUTED_VALUE"""),45796.6458333333)</f>
        <v>45796.6458333333</v>
      </c>
      <c r="H37" s="17">
        <f>IFERROR(__xludf.DUMMYFUNCTION("""COMPUTED_VALUE"""),1511.7)</f>
        <v>1511.7</v>
      </c>
      <c r="I37" s="16">
        <f>IFERROR(__xludf.DUMMYFUNCTION("""COMPUTED_VALUE"""),45796.6458333333)</f>
        <v>45796.6458333333</v>
      </c>
      <c r="J37" s="17">
        <f>IFERROR(__xludf.DUMMYFUNCTION("""COMPUTED_VALUE"""),1489)</f>
        <v>1489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IFERROR(__xludf.DUMMYFUNCTION("""COMPUTED_VALUE"""),1454.4)</f>
        <v>1454.4</v>
      </c>
      <c r="C38" s="16">
        <f>IFERROR(__xludf.DUMMYFUNCTION("""COMPUTED_VALUE"""),45797.6458333333)</f>
        <v>45797.6458333333</v>
      </c>
      <c r="D38" s="17">
        <f>IFERROR(__xludf.DUMMYFUNCTION("""COMPUTED_VALUE"""),1495.4)</f>
        <v>1495.4</v>
      </c>
      <c r="E38" s="16">
        <f>IFERROR(__xludf.DUMMYFUNCTION("""COMPUTED_VALUE"""),45797.6458333333)</f>
        <v>45797.6458333333</v>
      </c>
      <c r="F38" s="17">
        <f>IFERROR(__xludf.DUMMYFUNCTION("""COMPUTED_VALUE"""),3573210)</f>
        <v>3573210</v>
      </c>
      <c r="G38" s="16">
        <f>IFERROR(__xludf.DUMMYFUNCTION("""COMPUTED_VALUE"""),45797.6458333333)</f>
        <v>45797.6458333333</v>
      </c>
      <c r="H38" s="17">
        <f>IFERROR(__xludf.DUMMYFUNCTION("""COMPUTED_VALUE"""),1497.8)</f>
        <v>1497.8</v>
      </c>
      <c r="I38" s="16">
        <f>IFERROR(__xludf.DUMMYFUNCTION("""COMPUTED_VALUE"""),45797.6458333333)</f>
        <v>45797.6458333333</v>
      </c>
      <c r="J38" s="17">
        <f>IFERROR(__xludf.DUMMYFUNCTION("""COMPUTED_VALUE"""),1451.2)</f>
        <v>1451.2</v>
      </c>
      <c r="K38" s="3">
        <f t="shared" si="2"/>
        <v>0</v>
      </c>
      <c r="L38" s="3">
        <f t="shared" si="3"/>
        <v>1454.4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IFERROR(__xludf.DUMMYFUNCTION("""COMPUTED_VALUE"""),1482.4)</f>
        <v>1482.4</v>
      </c>
      <c r="C39" s="16">
        <f>IFERROR(__xludf.DUMMYFUNCTION("""COMPUTED_VALUE"""),45798.6458333333)</f>
        <v>45798.6458333333</v>
      </c>
      <c r="D39" s="17">
        <f>IFERROR(__xludf.DUMMYFUNCTION("""COMPUTED_VALUE"""),1459)</f>
        <v>1459</v>
      </c>
      <c r="E39" s="16">
        <f>IFERROR(__xludf.DUMMYFUNCTION("""COMPUTED_VALUE"""),45798.6458333333)</f>
        <v>45798.6458333333</v>
      </c>
      <c r="F39" s="17">
        <f>IFERROR(__xludf.DUMMYFUNCTION("""COMPUTED_VALUE"""),2001251)</f>
        <v>2001251</v>
      </c>
      <c r="G39" s="16">
        <f>IFERROR(__xludf.DUMMYFUNCTION("""COMPUTED_VALUE"""),45798.6458333333)</f>
        <v>45798.6458333333</v>
      </c>
      <c r="H39" s="17">
        <f>IFERROR(__xludf.DUMMYFUNCTION("""COMPUTED_VALUE"""),1491)</f>
        <v>1491</v>
      </c>
      <c r="I39" s="16">
        <f>IFERROR(__xludf.DUMMYFUNCTION("""COMPUTED_VALUE"""),45798.6458333333)</f>
        <v>45798.6458333333</v>
      </c>
      <c r="J39" s="17">
        <f>IFERROR(__xludf.DUMMYFUNCTION("""COMPUTED_VALUE"""),1454.6)</f>
        <v>1454.6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IFERROR(__xludf.DUMMYFUNCTION("""COMPUTED_VALUE"""),1468.5)</f>
        <v>1468.5</v>
      </c>
      <c r="C40" s="16">
        <f>IFERROR(__xludf.DUMMYFUNCTION("""COMPUTED_VALUE"""),45799.6458333333)</f>
        <v>45799.6458333333</v>
      </c>
      <c r="D40" s="17">
        <f>IFERROR(__xludf.DUMMYFUNCTION("""COMPUTED_VALUE"""),1483)</f>
        <v>1483</v>
      </c>
      <c r="E40" s="16">
        <f>IFERROR(__xludf.DUMMYFUNCTION("""COMPUTED_VALUE"""),45799.6458333333)</f>
        <v>45799.6458333333</v>
      </c>
      <c r="F40" s="17">
        <f>IFERROR(__xludf.DUMMYFUNCTION("""COMPUTED_VALUE"""),1804507)</f>
        <v>1804507</v>
      </c>
      <c r="G40" s="16">
        <f>IFERROR(__xludf.DUMMYFUNCTION("""COMPUTED_VALUE"""),45799.6458333333)</f>
        <v>45799.6458333333</v>
      </c>
      <c r="H40" s="17">
        <f>IFERROR(__xludf.DUMMYFUNCTION("""COMPUTED_VALUE"""),1489.7)</f>
        <v>1489.7</v>
      </c>
      <c r="I40" s="16">
        <f>IFERROR(__xludf.DUMMYFUNCTION("""COMPUTED_VALUE"""),45799.6458333333)</f>
        <v>45799.6458333333</v>
      </c>
      <c r="J40" s="17">
        <f>IFERROR(__xludf.DUMMYFUNCTION("""COMPUTED_VALUE"""),1460.1)</f>
        <v>1460.1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IFERROR(__xludf.DUMMYFUNCTION("""COMPUTED_VALUE"""),1484.2)</f>
        <v>1484.2</v>
      </c>
      <c r="C41" s="16">
        <f>IFERROR(__xludf.DUMMYFUNCTION("""COMPUTED_VALUE"""),45800.6458333333)</f>
        <v>45800.6458333333</v>
      </c>
      <c r="D41" s="17">
        <f>IFERROR(__xludf.DUMMYFUNCTION("""COMPUTED_VALUE"""),1468.5)</f>
        <v>1468.5</v>
      </c>
      <c r="E41" s="16">
        <f>IFERROR(__xludf.DUMMYFUNCTION("""COMPUTED_VALUE"""),45800.6458333333)</f>
        <v>45800.6458333333</v>
      </c>
      <c r="F41" s="17">
        <f>IFERROR(__xludf.DUMMYFUNCTION("""COMPUTED_VALUE"""),915286)</f>
        <v>915286</v>
      </c>
      <c r="G41" s="16">
        <f>IFERROR(__xludf.DUMMYFUNCTION("""COMPUTED_VALUE"""),45800.6458333333)</f>
        <v>45800.6458333333</v>
      </c>
      <c r="H41" s="17">
        <f>IFERROR(__xludf.DUMMYFUNCTION("""COMPUTED_VALUE"""),1489)</f>
        <v>1489</v>
      </c>
      <c r="I41" s="16">
        <f>IFERROR(__xludf.DUMMYFUNCTION("""COMPUTED_VALUE"""),45800.6458333333)</f>
        <v>45800.6458333333</v>
      </c>
      <c r="J41" s="17">
        <f>IFERROR(__xludf.DUMMYFUNCTION("""COMPUTED_VALUE"""),1461)</f>
        <v>1461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IFERROR(__xludf.DUMMYFUNCTION("""COMPUTED_VALUE"""),1484.2)</f>
        <v>1484.2</v>
      </c>
      <c r="C42" s="16">
        <f>IFERROR(__xludf.DUMMYFUNCTION("""COMPUTED_VALUE"""),45803.6458333333)</f>
        <v>45803.6458333333</v>
      </c>
      <c r="D42" s="17">
        <f>IFERROR(__xludf.DUMMYFUNCTION("""COMPUTED_VALUE"""),1486.1)</f>
        <v>1486.1</v>
      </c>
      <c r="E42" s="16">
        <f>IFERROR(__xludf.DUMMYFUNCTION("""COMPUTED_VALUE"""),45803.6458333333)</f>
        <v>45803.6458333333</v>
      </c>
      <c r="F42" s="17">
        <f>IFERROR(__xludf.DUMMYFUNCTION("""COMPUTED_VALUE"""),885022)</f>
        <v>885022</v>
      </c>
      <c r="G42" s="16">
        <f>IFERROR(__xludf.DUMMYFUNCTION("""COMPUTED_VALUE"""),45803.6458333333)</f>
        <v>45803.6458333333</v>
      </c>
      <c r="H42" s="17">
        <f>IFERROR(__xludf.DUMMYFUNCTION("""COMPUTED_VALUE"""),1493.9)</f>
        <v>1493.9</v>
      </c>
      <c r="I42" s="16">
        <f>IFERROR(__xludf.DUMMYFUNCTION("""COMPUTED_VALUE"""),45803.6458333333)</f>
        <v>45803.6458333333</v>
      </c>
      <c r="J42" s="17">
        <f>IFERROR(__xludf.DUMMYFUNCTION("""COMPUTED_VALUE"""),1478.5)</f>
        <v>1478.5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IFERROR(__xludf.DUMMYFUNCTION("""COMPUTED_VALUE"""),1480.5)</f>
        <v>1480.5</v>
      </c>
      <c r="C43" s="16">
        <f>IFERROR(__xludf.DUMMYFUNCTION("""COMPUTED_VALUE"""),45804.6458333333)</f>
        <v>45804.6458333333</v>
      </c>
      <c r="D43" s="17">
        <f>IFERROR(__xludf.DUMMYFUNCTION("""COMPUTED_VALUE"""),1485.7)</f>
        <v>1485.7</v>
      </c>
      <c r="E43" s="16">
        <f>IFERROR(__xludf.DUMMYFUNCTION("""COMPUTED_VALUE"""),45804.6458333333)</f>
        <v>45804.6458333333</v>
      </c>
      <c r="F43" s="17">
        <f>IFERROR(__xludf.DUMMYFUNCTION("""COMPUTED_VALUE"""),881728)</f>
        <v>881728</v>
      </c>
      <c r="G43" s="16">
        <f>IFERROR(__xludf.DUMMYFUNCTION("""COMPUTED_VALUE"""),45804.6458333333)</f>
        <v>45804.6458333333</v>
      </c>
      <c r="H43" s="17">
        <f>IFERROR(__xludf.DUMMYFUNCTION("""COMPUTED_VALUE"""),1491.9)</f>
        <v>1491.9</v>
      </c>
      <c r="I43" s="16">
        <f>IFERROR(__xludf.DUMMYFUNCTION("""COMPUTED_VALUE"""),45804.6458333333)</f>
        <v>45804.6458333333</v>
      </c>
      <c r="J43" s="17">
        <f>IFERROR(__xludf.DUMMYFUNCTION("""COMPUTED_VALUE"""),1475.8)</f>
        <v>1475.8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IFERROR(__xludf.DUMMYFUNCTION("""COMPUTED_VALUE"""),1468.5)</f>
        <v>1468.5</v>
      </c>
      <c r="C44" s="16">
        <f>IFERROR(__xludf.DUMMYFUNCTION("""COMPUTED_VALUE"""),45805.6458333333)</f>
        <v>45805.6458333333</v>
      </c>
      <c r="D44" s="17">
        <f>IFERROR(__xludf.DUMMYFUNCTION("""COMPUTED_VALUE"""),1485)</f>
        <v>1485</v>
      </c>
      <c r="E44" s="16">
        <f>IFERROR(__xludf.DUMMYFUNCTION("""COMPUTED_VALUE"""),45805.6458333333)</f>
        <v>45805.6458333333</v>
      </c>
      <c r="F44" s="17">
        <f>IFERROR(__xludf.DUMMYFUNCTION("""COMPUTED_VALUE"""),1090511)</f>
        <v>1090511</v>
      </c>
      <c r="G44" s="16">
        <f>IFERROR(__xludf.DUMMYFUNCTION("""COMPUTED_VALUE"""),45805.6458333333)</f>
        <v>45805.6458333333</v>
      </c>
      <c r="H44" s="17">
        <f>IFERROR(__xludf.DUMMYFUNCTION("""COMPUTED_VALUE"""),1486)</f>
        <v>1486</v>
      </c>
      <c r="I44" s="16">
        <f>IFERROR(__xludf.DUMMYFUNCTION("""COMPUTED_VALUE"""),45805.6458333333)</f>
        <v>45805.6458333333</v>
      </c>
      <c r="J44" s="17">
        <f>IFERROR(__xludf.DUMMYFUNCTION("""COMPUTED_VALUE"""),1465)</f>
        <v>1465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IFERROR(__xludf.DUMMYFUNCTION("""COMPUTED_VALUE"""),1476.9)</f>
        <v>1476.9</v>
      </c>
      <c r="C45" s="16">
        <f>IFERROR(__xludf.DUMMYFUNCTION("""COMPUTED_VALUE"""),45806.6458333333)</f>
        <v>45806.6458333333</v>
      </c>
      <c r="D45" s="17">
        <f>IFERROR(__xludf.DUMMYFUNCTION("""COMPUTED_VALUE"""),1475)</f>
        <v>1475</v>
      </c>
      <c r="E45" s="16">
        <f>IFERROR(__xludf.DUMMYFUNCTION("""COMPUTED_VALUE"""),45806.6458333333)</f>
        <v>45806.6458333333</v>
      </c>
      <c r="F45" s="17">
        <f>IFERROR(__xludf.DUMMYFUNCTION("""COMPUTED_VALUE"""),1384536)</f>
        <v>1384536</v>
      </c>
      <c r="G45" s="16">
        <f>IFERROR(__xludf.DUMMYFUNCTION("""COMPUTED_VALUE"""),45806.6458333333)</f>
        <v>45806.6458333333</v>
      </c>
      <c r="H45" s="17">
        <f>IFERROR(__xludf.DUMMYFUNCTION("""COMPUTED_VALUE"""),1479.5)</f>
        <v>1479.5</v>
      </c>
      <c r="I45" s="16">
        <f>IFERROR(__xludf.DUMMYFUNCTION("""COMPUTED_VALUE"""),45806.6458333333)</f>
        <v>45806.6458333333</v>
      </c>
      <c r="J45" s="17">
        <f>IFERROR(__xludf.DUMMYFUNCTION("""COMPUTED_VALUE"""),1463)</f>
        <v>1463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IFERROR(__xludf.DUMMYFUNCTION("""COMPUTED_VALUE"""),1465.7)</f>
        <v>1465.7</v>
      </c>
      <c r="C46" s="16">
        <f>IFERROR(__xludf.DUMMYFUNCTION("""COMPUTED_VALUE"""),45807.6458333333)</f>
        <v>45807.6458333333</v>
      </c>
      <c r="D46" s="17">
        <f>IFERROR(__xludf.DUMMYFUNCTION("""COMPUTED_VALUE"""),1476)</f>
        <v>1476</v>
      </c>
      <c r="E46" s="16">
        <f>IFERROR(__xludf.DUMMYFUNCTION("""COMPUTED_VALUE"""),45807.6458333333)</f>
        <v>45807.6458333333</v>
      </c>
      <c r="F46" s="17">
        <f>IFERROR(__xludf.DUMMYFUNCTION("""COMPUTED_VALUE"""),7040777)</f>
        <v>7040777</v>
      </c>
      <c r="G46" s="16">
        <f>IFERROR(__xludf.DUMMYFUNCTION("""COMPUTED_VALUE"""),45807.6458333333)</f>
        <v>45807.6458333333</v>
      </c>
      <c r="H46" s="17">
        <f>IFERROR(__xludf.DUMMYFUNCTION("""COMPUTED_VALUE"""),1489)</f>
        <v>1489</v>
      </c>
      <c r="I46" s="16">
        <f>IFERROR(__xludf.DUMMYFUNCTION("""COMPUTED_VALUE"""),45807.6458333333)</f>
        <v>45807.6458333333</v>
      </c>
      <c r="J46" s="17">
        <f>IFERROR(__xludf.DUMMYFUNCTION("""COMPUTED_VALUE"""),1457.1)</f>
        <v>1457.1</v>
      </c>
      <c r="K46" s="3">
        <f t="shared" si="2"/>
        <v>0</v>
      </c>
      <c r="L46" s="3">
        <f t="shared" si="3"/>
        <v>1465.7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IFERROR(__xludf.DUMMYFUNCTION("""COMPUTED_VALUE"""),1470.2)</f>
        <v>1470.2</v>
      </c>
      <c r="C47" s="16">
        <f>IFERROR(__xludf.DUMMYFUNCTION("""COMPUTED_VALUE"""),45810.6458333333)</f>
        <v>45810.6458333333</v>
      </c>
      <c r="D47" s="17">
        <f>IFERROR(__xludf.DUMMYFUNCTION("""COMPUTED_VALUE"""),1468)</f>
        <v>1468</v>
      </c>
      <c r="E47" s="16">
        <f>IFERROR(__xludf.DUMMYFUNCTION("""COMPUTED_VALUE"""),45810.6458333333)</f>
        <v>45810.6458333333</v>
      </c>
      <c r="F47" s="17">
        <f>IFERROR(__xludf.DUMMYFUNCTION("""COMPUTED_VALUE"""),962897)</f>
        <v>962897</v>
      </c>
      <c r="G47" s="16">
        <f>IFERROR(__xludf.DUMMYFUNCTION("""COMPUTED_VALUE"""),45810.6458333333)</f>
        <v>45810.6458333333</v>
      </c>
      <c r="H47" s="17">
        <f>IFERROR(__xludf.DUMMYFUNCTION("""COMPUTED_VALUE"""),1474.8)</f>
        <v>1474.8</v>
      </c>
      <c r="I47" s="16">
        <f>IFERROR(__xludf.DUMMYFUNCTION("""COMPUTED_VALUE"""),45810.6458333333)</f>
        <v>45810.6458333333</v>
      </c>
      <c r="J47" s="17">
        <f>IFERROR(__xludf.DUMMYFUNCTION("""COMPUTED_VALUE"""),1458)</f>
        <v>1458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IFERROR(__xludf.DUMMYFUNCTION("""COMPUTED_VALUE"""),1473.2)</f>
        <v>1473.2</v>
      </c>
      <c r="C48" s="16">
        <f>IFERROR(__xludf.DUMMYFUNCTION("""COMPUTED_VALUE"""),45811.6458333333)</f>
        <v>45811.6458333333</v>
      </c>
      <c r="D48" s="17">
        <f>IFERROR(__xludf.DUMMYFUNCTION("""COMPUTED_VALUE"""),1472.4)</f>
        <v>1472.4</v>
      </c>
      <c r="E48" s="16">
        <f>IFERROR(__xludf.DUMMYFUNCTION("""COMPUTED_VALUE"""),45811.6458333333)</f>
        <v>45811.6458333333</v>
      </c>
      <c r="F48" s="17">
        <f>IFERROR(__xludf.DUMMYFUNCTION("""COMPUTED_VALUE"""),870331)</f>
        <v>870331</v>
      </c>
      <c r="G48" s="16">
        <f>IFERROR(__xludf.DUMMYFUNCTION("""COMPUTED_VALUE"""),45811.6458333333)</f>
        <v>45811.6458333333</v>
      </c>
      <c r="H48" s="17">
        <f>IFERROR(__xludf.DUMMYFUNCTION("""COMPUTED_VALUE"""),1479.4)</f>
        <v>1479.4</v>
      </c>
      <c r="I48" s="16">
        <f>IFERROR(__xludf.DUMMYFUNCTION("""COMPUTED_VALUE"""),45811.6458333333)</f>
        <v>45811.6458333333</v>
      </c>
      <c r="J48" s="17">
        <f>IFERROR(__xludf.DUMMYFUNCTION("""COMPUTED_VALUE"""),1460.4)</f>
        <v>1460.4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IFERROR(__xludf.DUMMYFUNCTION("""COMPUTED_VALUE"""),1471.9)</f>
        <v>1471.9</v>
      </c>
      <c r="C49" s="16">
        <f>IFERROR(__xludf.DUMMYFUNCTION("""COMPUTED_VALUE"""),45812.6458333333)</f>
        <v>45812.6458333333</v>
      </c>
      <c r="D49" s="17">
        <f>IFERROR(__xludf.DUMMYFUNCTION("""COMPUTED_VALUE"""),1473.2)</f>
        <v>1473.2</v>
      </c>
      <c r="E49" s="16">
        <f>IFERROR(__xludf.DUMMYFUNCTION("""COMPUTED_VALUE"""),45812.6458333333)</f>
        <v>45812.6458333333</v>
      </c>
      <c r="F49" s="17">
        <f>IFERROR(__xludf.DUMMYFUNCTION("""COMPUTED_VALUE"""),1297075)</f>
        <v>1297075</v>
      </c>
      <c r="G49" s="16">
        <f>IFERROR(__xludf.DUMMYFUNCTION("""COMPUTED_VALUE"""),45812.6458333333)</f>
        <v>45812.6458333333</v>
      </c>
      <c r="H49" s="17">
        <f>IFERROR(__xludf.DUMMYFUNCTION("""COMPUTED_VALUE"""),1488)</f>
        <v>1488</v>
      </c>
      <c r="I49" s="16">
        <f>IFERROR(__xludf.DUMMYFUNCTION("""COMPUTED_VALUE"""),45812.6458333333)</f>
        <v>45812.6458333333</v>
      </c>
      <c r="J49" s="17">
        <f>IFERROR(__xludf.DUMMYFUNCTION("""COMPUTED_VALUE"""),1465.9)</f>
        <v>1465.9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IFERROR(__xludf.DUMMYFUNCTION("""COMPUTED_VALUE"""),1489.8)</f>
        <v>1489.8</v>
      </c>
      <c r="C50" s="16">
        <f>IFERROR(__xludf.DUMMYFUNCTION("""COMPUTED_VALUE"""),45813.6458333333)</f>
        <v>45813.6458333333</v>
      </c>
      <c r="D50" s="17">
        <f>IFERROR(__xludf.DUMMYFUNCTION("""COMPUTED_VALUE"""),1476)</f>
        <v>1476</v>
      </c>
      <c r="E50" s="16">
        <f>IFERROR(__xludf.DUMMYFUNCTION("""COMPUTED_VALUE"""),45813.6458333333)</f>
        <v>45813.6458333333</v>
      </c>
      <c r="F50" s="17">
        <f>IFERROR(__xludf.DUMMYFUNCTION("""COMPUTED_VALUE"""),1570159)</f>
        <v>1570159</v>
      </c>
      <c r="G50" s="16">
        <f>IFERROR(__xludf.DUMMYFUNCTION("""COMPUTED_VALUE"""),45813.6458333333)</f>
        <v>45813.6458333333</v>
      </c>
      <c r="H50" s="17">
        <f>IFERROR(__xludf.DUMMYFUNCTION("""COMPUTED_VALUE"""),1498.8)</f>
        <v>1498.8</v>
      </c>
      <c r="I50" s="16">
        <f>IFERROR(__xludf.DUMMYFUNCTION("""COMPUTED_VALUE"""),45813.6458333333)</f>
        <v>45813.6458333333</v>
      </c>
      <c r="J50" s="17">
        <f>IFERROR(__xludf.DUMMYFUNCTION("""COMPUTED_VALUE"""),1475)</f>
        <v>1475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IFERROR(__xludf.DUMMYFUNCTION("""COMPUTED_VALUE"""),1504.2)</f>
        <v>1504.2</v>
      </c>
      <c r="C51" s="16">
        <f>IFERROR(__xludf.DUMMYFUNCTION("""COMPUTED_VALUE"""),45814.6458333333)</f>
        <v>45814.6458333333</v>
      </c>
      <c r="D51" s="17">
        <f>IFERROR(__xludf.DUMMYFUNCTION("""COMPUTED_VALUE"""),1489.8)</f>
        <v>1489.8</v>
      </c>
      <c r="E51" s="16">
        <f>IFERROR(__xludf.DUMMYFUNCTION("""COMPUTED_VALUE"""),45814.6458333333)</f>
        <v>45814.6458333333</v>
      </c>
      <c r="F51" s="17">
        <f>IFERROR(__xludf.DUMMYFUNCTION("""COMPUTED_VALUE"""),861882)</f>
        <v>861882</v>
      </c>
      <c r="G51" s="16">
        <f>IFERROR(__xludf.DUMMYFUNCTION("""COMPUTED_VALUE"""),45814.6458333333)</f>
        <v>45814.6458333333</v>
      </c>
      <c r="H51" s="17">
        <f>IFERROR(__xludf.DUMMYFUNCTION("""COMPUTED_VALUE"""),1505.9)</f>
        <v>1505.9</v>
      </c>
      <c r="I51" s="16">
        <f>IFERROR(__xludf.DUMMYFUNCTION("""COMPUTED_VALUE"""),45814.6458333333)</f>
        <v>45814.6458333333</v>
      </c>
      <c r="J51" s="17">
        <f>IFERROR(__xludf.DUMMYFUNCTION("""COMPUTED_VALUE"""),1484)</f>
        <v>1484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IFERROR(__xludf.DUMMYFUNCTION("""COMPUTED_VALUE"""),1506.6)</f>
        <v>1506.6</v>
      </c>
      <c r="C52" s="16">
        <f>IFERROR(__xludf.DUMMYFUNCTION("""COMPUTED_VALUE"""),45817.6458333333)</f>
        <v>45817.6458333333</v>
      </c>
      <c r="D52" s="17">
        <f>IFERROR(__xludf.DUMMYFUNCTION("""COMPUTED_VALUE"""),1511.7)</f>
        <v>1511.7</v>
      </c>
      <c r="E52" s="16">
        <f>IFERROR(__xludf.DUMMYFUNCTION("""COMPUTED_VALUE"""),45817.6458333333)</f>
        <v>45817.6458333333</v>
      </c>
      <c r="F52" s="17">
        <f>IFERROR(__xludf.DUMMYFUNCTION("""COMPUTED_VALUE"""),689631)</f>
        <v>689631</v>
      </c>
      <c r="G52" s="16">
        <f>IFERROR(__xludf.DUMMYFUNCTION("""COMPUTED_VALUE"""),45817.6458333333)</f>
        <v>45817.6458333333</v>
      </c>
      <c r="H52" s="17">
        <f>IFERROR(__xludf.DUMMYFUNCTION("""COMPUTED_VALUE"""),1511.7)</f>
        <v>1511.7</v>
      </c>
      <c r="I52" s="16">
        <f>IFERROR(__xludf.DUMMYFUNCTION("""COMPUTED_VALUE"""),45817.6458333333)</f>
        <v>45817.6458333333</v>
      </c>
      <c r="J52" s="17">
        <f>IFERROR(__xludf.DUMMYFUNCTION("""COMPUTED_VALUE"""),1497)</f>
        <v>1497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IFERROR(__xludf.DUMMYFUNCTION("""COMPUTED_VALUE"""),1510.8)</f>
        <v>1510.8</v>
      </c>
      <c r="C53" s="16">
        <f>IFERROR(__xludf.DUMMYFUNCTION("""COMPUTED_VALUE"""),45818.6458333333)</f>
        <v>45818.6458333333</v>
      </c>
      <c r="D53" s="17">
        <f>IFERROR(__xludf.DUMMYFUNCTION("""COMPUTED_VALUE"""),1508.9)</f>
        <v>1508.9</v>
      </c>
      <c r="E53" s="16">
        <f>IFERROR(__xludf.DUMMYFUNCTION("""COMPUTED_VALUE"""),45818.6458333333)</f>
        <v>45818.6458333333</v>
      </c>
      <c r="F53" s="17">
        <f>IFERROR(__xludf.DUMMYFUNCTION("""COMPUTED_VALUE"""),929786)</f>
        <v>929786</v>
      </c>
      <c r="G53" s="16">
        <f>IFERROR(__xludf.DUMMYFUNCTION("""COMPUTED_VALUE"""),45818.6458333333)</f>
        <v>45818.6458333333</v>
      </c>
      <c r="H53" s="17">
        <f>IFERROR(__xludf.DUMMYFUNCTION("""COMPUTED_VALUE"""),1513.2)</f>
        <v>1513.2</v>
      </c>
      <c r="I53" s="16">
        <f>IFERROR(__xludf.DUMMYFUNCTION("""COMPUTED_VALUE"""),45818.6458333333)</f>
        <v>45818.6458333333</v>
      </c>
      <c r="J53" s="17">
        <f>IFERROR(__xludf.DUMMYFUNCTION("""COMPUTED_VALUE"""),1505)</f>
        <v>1505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IFERROR(__xludf.DUMMYFUNCTION("""COMPUTED_VALUE"""),1521.7)</f>
        <v>1521.7</v>
      </c>
      <c r="C54" s="16">
        <f>IFERROR(__xludf.DUMMYFUNCTION("""COMPUTED_VALUE"""),45819.6458333333)</f>
        <v>45819.6458333333</v>
      </c>
      <c r="D54" s="17">
        <f>IFERROR(__xludf.DUMMYFUNCTION("""COMPUTED_VALUE"""),1512.5)</f>
        <v>1512.5</v>
      </c>
      <c r="E54" s="16">
        <f>IFERROR(__xludf.DUMMYFUNCTION("""COMPUTED_VALUE"""),45819.6458333333)</f>
        <v>45819.6458333333</v>
      </c>
      <c r="F54" s="17">
        <f>IFERROR(__xludf.DUMMYFUNCTION("""COMPUTED_VALUE"""),1046396)</f>
        <v>1046396</v>
      </c>
      <c r="G54" s="16">
        <f>IFERROR(__xludf.DUMMYFUNCTION("""COMPUTED_VALUE"""),45819.6458333333)</f>
        <v>45819.6458333333</v>
      </c>
      <c r="H54" s="17">
        <f>IFERROR(__xludf.DUMMYFUNCTION("""COMPUTED_VALUE"""),1527.9)</f>
        <v>1527.9</v>
      </c>
      <c r="I54" s="16">
        <f>IFERROR(__xludf.DUMMYFUNCTION("""COMPUTED_VALUE"""),45819.6458333333)</f>
        <v>45819.6458333333</v>
      </c>
      <c r="J54" s="17">
        <f>IFERROR(__xludf.DUMMYFUNCTION("""COMPUTED_VALUE"""),1509.4)</f>
        <v>1509.4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IFERROR(__xludf.DUMMYFUNCTION("""COMPUTED_VALUE"""),1502.8)</f>
        <v>1502.8</v>
      </c>
      <c r="C55" s="16">
        <f>IFERROR(__xludf.DUMMYFUNCTION("""COMPUTED_VALUE"""),45820.6458333333)</f>
        <v>45820.6458333333</v>
      </c>
      <c r="D55" s="17">
        <f>IFERROR(__xludf.DUMMYFUNCTION("""COMPUTED_VALUE"""),1527)</f>
        <v>1527</v>
      </c>
      <c r="E55" s="16">
        <f>IFERROR(__xludf.DUMMYFUNCTION("""COMPUTED_VALUE"""),45820.6458333333)</f>
        <v>45820.6458333333</v>
      </c>
      <c r="F55" s="17">
        <f>IFERROR(__xludf.DUMMYFUNCTION("""COMPUTED_VALUE"""),1199034)</f>
        <v>1199034</v>
      </c>
      <c r="G55" s="16">
        <f>IFERROR(__xludf.DUMMYFUNCTION("""COMPUTED_VALUE"""),45820.6458333333)</f>
        <v>45820.6458333333</v>
      </c>
      <c r="H55" s="17">
        <f>IFERROR(__xludf.DUMMYFUNCTION("""COMPUTED_VALUE"""),1537.9)</f>
        <v>1537.9</v>
      </c>
      <c r="I55" s="16">
        <f>IFERROR(__xludf.DUMMYFUNCTION("""COMPUTED_VALUE"""),45820.6458333333)</f>
        <v>45820.6458333333</v>
      </c>
      <c r="J55" s="17">
        <f>IFERROR(__xludf.DUMMYFUNCTION("""COMPUTED_VALUE"""),1494.5)</f>
        <v>1494.5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IFERROR(__xludf.DUMMYFUNCTION("""COMPUTED_VALUE"""),1505.2)</f>
        <v>1505.2</v>
      </c>
      <c r="C56" s="16">
        <f>IFERROR(__xludf.DUMMYFUNCTION("""COMPUTED_VALUE"""),45821.6458333333)</f>
        <v>45821.6458333333</v>
      </c>
      <c r="D56" s="17">
        <f>IFERROR(__xludf.DUMMYFUNCTION("""COMPUTED_VALUE"""),1480)</f>
        <v>1480</v>
      </c>
      <c r="E56" s="16">
        <f>IFERROR(__xludf.DUMMYFUNCTION("""COMPUTED_VALUE"""),45821.6458333333)</f>
        <v>45821.6458333333</v>
      </c>
      <c r="F56" s="17">
        <f>IFERROR(__xludf.DUMMYFUNCTION("""COMPUTED_VALUE"""),874315)</f>
        <v>874315</v>
      </c>
      <c r="G56" s="16">
        <f>IFERROR(__xludf.DUMMYFUNCTION("""COMPUTED_VALUE"""),45821.6458333333)</f>
        <v>45821.6458333333</v>
      </c>
      <c r="H56" s="17">
        <f>IFERROR(__xludf.DUMMYFUNCTION("""COMPUTED_VALUE"""),1510.5)</f>
        <v>1510.5</v>
      </c>
      <c r="I56" s="16">
        <f>IFERROR(__xludf.DUMMYFUNCTION("""COMPUTED_VALUE"""),45821.6458333333)</f>
        <v>45821.6458333333</v>
      </c>
      <c r="J56" s="17">
        <f>IFERROR(__xludf.DUMMYFUNCTION("""COMPUTED_VALUE"""),1480)</f>
        <v>1480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IFERROR(__xludf.DUMMYFUNCTION("""COMPUTED_VALUE"""),1527)</f>
        <v>1527</v>
      </c>
      <c r="C57" s="16">
        <f>IFERROR(__xludf.DUMMYFUNCTION("""COMPUTED_VALUE"""),45824.6458333333)</f>
        <v>45824.6458333333</v>
      </c>
      <c r="D57" s="17">
        <f>IFERROR(__xludf.DUMMYFUNCTION("""COMPUTED_VALUE"""),1501.9)</f>
        <v>1501.9</v>
      </c>
      <c r="E57" s="16">
        <f>IFERROR(__xludf.DUMMYFUNCTION("""COMPUTED_VALUE"""),45824.6458333333)</f>
        <v>45824.6458333333</v>
      </c>
      <c r="F57" s="17">
        <f>IFERROR(__xludf.DUMMYFUNCTION("""COMPUTED_VALUE"""),2679763)</f>
        <v>2679763</v>
      </c>
      <c r="G57" s="16">
        <f>IFERROR(__xludf.DUMMYFUNCTION("""COMPUTED_VALUE"""),45824.6458333333)</f>
        <v>45824.6458333333</v>
      </c>
      <c r="H57" s="17">
        <f>IFERROR(__xludf.DUMMYFUNCTION("""COMPUTED_VALUE"""),1541)</f>
        <v>1541</v>
      </c>
      <c r="I57" s="16">
        <f>IFERROR(__xludf.DUMMYFUNCTION("""COMPUTED_VALUE"""),45824.6458333333)</f>
        <v>45824.6458333333</v>
      </c>
      <c r="J57" s="17">
        <f>IFERROR(__xludf.DUMMYFUNCTION("""COMPUTED_VALUE"""),1499.8)</f>
        <v>1499.8</v>
      </c>
      <c r="K57" s="3">
        <f t="shared" si="2"/>
        <v>1527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IFERROR(__xludf.DUMMYFUNCTION("""COMPUTED_VALUE"""),1503.5)</f>
        <v>1503.5</v>
      </c>
      <c r="C58" s="16">
        <f>IFERROR(__xludf.DUMMYFUNCTION("""COMPUTED_VALUE"""),45825.6458333333)</f>
        <v>45825.6458333333</v>
      </c>
      <c r="D58" s="17">
        <f>IFERROR(__xludf.DUMMYFUNCTION("""COMPUTED_VALUE"""),1527)</f>
        <v>1527</v>
      </c>
      <c r="E58" s="16">
        <f>IFERROR(__xludf.DUMMYFUNCTION("""COMPUTED_VALUE"""),45825.6458333333)</f>
        <v>45825.6458333333</v>
      </c>
      <c r="F58" s="17">
        <f>IFERROR(__xludf.DUMMYFUNCTION("""COMPUTED_VALUE"""),1334810)</f>
        <v>1334810</v>
      </c>
      <c r="G58" s="16">
        <f>IFERROR(__xludf.DUMMYFUNCTION("""COMPUTED_VALUE"""),45825.6458333333)</f>
        <v>45825.6458333333</v>
      </c>
      <c r="H58" s="17">
        <f>IFERROR(__xludf.DUMMYFUNCTION("""COMPUTED_VALUE"""),1533.4)</f>
        <v>1533.4</v>
      </c>
      <c r="I58" s="16">
        <f>IFERROR(__xludf.DUMMYFUNCTION("""COMPUTED_VALUE"""),45825.6458333333)</f>
        <v>45825.6458333333</v>
      </c>
      <c r="J58" s="17">
        <f>IFERROR(__xludf.DUMMYFUNCTION("""COMPUTED_VALUE"""),1495.5)</f>
        <v>1495.5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IFERROR(__xludf.DUMMYFUNCTION("""COMPUTED_VALUE"""),1498.1)</f>
        <v>1498.1</v>
      </c>
      <c r="C59" s="16">
        <f>IFERROR(__xludf.DUMMYFUNCTION("""COMPUTED_VALUE"""),45826.6458333333)</f>
        <v>45826.6458333333</v>
      </c>
      <c r="D59" s="17">
        <f>IFERROR(__xludf.DUMMYFUNCTION("""COMPUTED_VALUE"""),1503.5)</f>
        <v>1503.5</v>
      </c>
      <c r="E59" s="16">
        <f>IFERROR(__xludf.DUMMYFUNCTION("""COMPUTED_VALUE"""),45826.6458333333)</f>
        <v>45826.6458333333</v>
      </c>
      <c r="F59" s="17">
        <f>IFERROR(__xludf.DUMMYFUNCTION("""COMPUTED_VALUE"""),1075494)</f>
        <v>1075494</v>
      </c>
      <c r="G59" s="16">
        <f>IFERROR(__xludf.DUMMYFUNCTION("""COMPUTED_VALUE"""),45826.6458333333)</f>
        <v>45826.6458333333</v>
      </c>
      <c r="H59" s="17">
        <f>IFERROR(__xludf.DUMMYFUNCTION("""COMPUTED_VALUE"""),1512.9)</f>
        <v>1512.9</v>
      </c>
      <c r="I59" s="16">
        <f>IFERROR(__xludf.DUMMYFUNCTION("""COMPUTED_VALUE"""),45826.6458333333)</f>
        <v>45826.6458333333</v>
      </c>
      <c r="J59" s="17">
        <f>IFERROR(__xludf.DUMMYFUNCTION("""COMPUTED_VALUE"""),1495.9)</f>
        <v>1495.9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IFERROR(__xludf.DUMMYFUNCTION("""COMPUTED_VALUE"""),1484)</f>
        <v>1484</v>
      </c>
      <c r="C60" s="16">
        <f>IFERROR(__xludf.DUMMYFUNCTION("""COMPUTED_VALUE"""),45827.6458333333)</f>
        <v>45827.6458333333</v>
      </c>
      <c r="D60" s="17">
        <f>IFERROR(__xludf.DUMMYFUNCTION("""COMPUTED_VALUE"""),1502.4)</f>
        <v>1502.4</v>
      </c>
      <c r="E60" s="16">
        <f>IFERROR(__xludf.DUMMYFUNCTION("""COMPUTED_VALUE"""),45827.6458333333)</f>
        <v>45827.6458333333</v>
      </c>
      <c r="F60" s="17">
        <f>IFERROR(__xludf.DUMMYFUNCTION("""COMPUTED_VALUE"""),1124204)</f>
        <v>1124204</v>
      </c>
      <c r="G60" s="16">
        <f>IFERROR(__xludf.DUMMYFUNCTION("""COMPUTED_VALUE"""),45827.6458333333)</f>
        <v>45827.6458333333</v>
      </c>
      <c r="H60" s="17">
        <f>IFERROR(__xludf.DUMMYFUNCTION("""COMPUTED_VALUE"""),1509.8)</f>
        <v>1509.8</v>
      </c>
      <c r="I60" s="16">
        <f>IFERROR(__xludf.DUMMYFUNCTION("""COMPUTED_VALUE"""),45827.6458333333)</f>
        <v>45827.6458333333</v>
      </c>
      <c r="J60" s="17">
        <f>IFERROR(__xludf.DUMMYFUNCTION("""COMPUTED_VALUE"""),1480.2)</f>
        <v>1480.2</v>
      </c>
      <c r="K60" s="3">
        <f t="shared" si="2"/>
        <v>0</v>
      </c>
      <c r="L60" s="3">
        <f t="shared" si="3"/>
        <v>1484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IFERROR(__xludf.DUMMYFUNCTION("""COMPUTED_VALUE"""),1499.7)</f>
        <v>1499.7</v>
      </c>
      <c r="C61" s="16">
        <f>IFERROR(__xludf.DUMMYFUNCTION("""COMPUTED_VALUE"""),45828.6458333333)</f>
        <v>45828.6458333333</v>
      </c>
      <c r="D61" s="17">
        <f>IFERROR(__xludf.DUMMYFUNCTION("""COMPUTED_VALUE"""),1484)</f>
        <v>1484</v>
      </c>
      <c r="E61" s="16">
        <f>IFERROR(__xludf.DUMMYFUNCTION("""COMPUTED_VALUE"""),45828.6458333333)</f>
        <v>45828.6458333333</v>
      </c>
      <c r="F61" s="17">
        <f>IFERROR(__xludf.DUMMYFUNCTION("""COMPUTED_VALUE"""),1917041)</f>
        <v>1917041</v>
      </c>
      <c r="G61" s="16">
        <f>IFERROR(__xludf.DUMMYFUNCTION("""COMPUTED_VALUE"""),45828.6458333333)</f>
        <v>45828.6458333333</v>
      </c>
      <c r="H61" s="17">
        <f>IFERROR(__xludf.DUMMYFUNCTION("""COMPUTED_VALUE"""),1508.2)</f>
        <v>1508.2</v>
      </c>
      <c r="I61" s="16">
        <f>IFERROR(__xludf.DUMMYFUNCTION("""COMPUTED_VALUE"""),45828.6458333333)</f>
        <v>45828.6458333333</v>
      </c>
      <c r="J61" s="17">
        <f>IFERROR(__xludf.DUMMYFUNCTION("""COMPUTED_VALUE"""),1481.1)</f>
        <v>1481.1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IFERROR(__xludf.DUMMYFUNCTION("""COMPUTED_VALUE"""),1499.1)</f>
        <v>1499.1</v>
      </c>
      <c r="C62" s="16">
        <f>IFERROR(__xludf.DUMMYFUNCTION("""COMPUTED_VALUE"""),45831.6458333333)</f>
        <v>45831.6458333333</v>
      </c>
      <c r="D62" s="17">
        <f>IFERROR(__xludf.DUMMYFUNCTION("""COMPUTED_VALUE"""),1499.7)</f>
        <v>1499.7</v>
      </c>
      <c r="E62" s="16">
        <f>IFERROR(__xludf.DUMMYFUNCTION("""COMPUTED_VALUE"""),45831.6458333333)</f>
        <v>45831.6458333333</v>
      </c>
      <c r="F62" s="17">
        <f>IFERROR(__xludf.DUMMYFUNCTION("""COMPUTED_VALUE"""),657381)</f>
        <v>657381</v>
      </c>
      <c r="G62" s="16">
        <f>IFERROR(__xludf.DUMMYFUNCTION("""COMPUTED_VALUE"""),45831.6458333333)</f>
        <v>45831.6458333333</v>
      </c>
      <c r="H62" s="17">
        <f>IFERROR(__xludf.DUMMYFUNCTION("""COMPUTED_VALUE"""),1504.9)</f>
        <v>1504.9</v>
      </c>
      <c r="I62" s="16">
        <f>IFERROR(__xludf.DUMMYFUNCTION("""COMPUTED_VALUE"""),45831.6458333333)</f>
        <v>45831.6458333333</v>
      </c>
      <c r="J62" s="17">
        <f>IFERROR(__xludf.DUMMYFUNCTION("""COMPUTED_VALUE"""),1482.1)</f>
        <v>1482.1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IFERROR(__xludf.DUMMYFUNCTION("""COMPUTED_VALUE"""),1502.4)</f>
        <v>1502.4</v>
      </c>
      <c r="C63" s="16">
        <f>IFERROR(__xludf.DUMMYFUNCTION("""COMPUTED_VALUE"""),45832.6458333333)</f>
        <v>45832.6458333333</v>
      </c>
      <c r="D63" s="17">
        <f>IFERROR(__xludf.DUMMYFUNCTION("""COMPUTED_VALUE"""),1506.7)</f>
        <v>1506.7</v>
      </c>
      <c r="E63" s="16">
        <f>IFERROR(__xludf.DUMMYFUNCTION("""COMPUTED_VALUE"""),45832.6458333333)</f>
        <v>45832.6458333333</v>
      </c>
      <c r="F63" s="17">
        <f>IFERROR(__xludf.DUMMYFUNCTION("""COMPUTED_VALUE"""),1351552)</f>
        <v>1351552</v>
      </c>
      <c r="G63" s="16">
        <f>IFERROR(__xludf.DUMMYFUNCTION("""COMPUTED_VALUE"""),45832.6458333333)</f>
        <v>45832.6458333333</v>
      </c>
      <c r="H63" s="17">
        <f>IFERROR(__xludf.DUMMYFUNCTION("""COMPUTED_VALUE"""),1518.3)</f>
        <v>1518.3</v>
      </c>
      <c r="I63" s="16">
        <f>IFERROR(__xludf.DUMMYFUNCTION("""COMPUTED_VALUE"""),45832.6458333333)</f>
        <v>45832.6458333333</v>
      </c>
      <c r="J63" s="17">
        <f>IFERROR(__xludf.DUMMYFUNCTION("""COMPUTED_VALUE"""),1500.2)</f>
        <v>1500.2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IFERROR(__xludf.DUMMYFUNCTION("""COMPUTED_VALUE"""),1510)</f>
        <v>1510</v>
      </c>
      <c r="C64" s="16">
        <f>IFERROR(__xludf.DUMMYFUNCTION("""COMPUTED_VALUE"""),45833.6458333333)</f>
        <v>45833.6458333333</v>
      </c>
      <c r="D64" s="17">
        <f>IFERROR(__xludf.DUMMYFUNCTION("""COMPUTED_VALUE"""),1509.9)</f>
        <v>1509.9</v>
      </c>
      <c r="E64" s="16">
        <f>IFERROR(__xludf.DUMMYFUNCTION("""COMPUTED_VALUE"""),45833.6458333333)</f>
        <v>45833.6458333333</v>
      </c>
      <c r="F64" s="17">
        <f>IFERROR(__xludf.DUMMYFUNCTION("""COMPUTED_VALUE"""),1032762)</f>
        <v>1032762</v>
      </c>
      <c r="G64" s="16">
        <f>IFERROR(__xludf.DUMMYFUNCTION("""COMPUTED_VALUE"""),45833.6458333333)</f>
        <v>45833.6458333333</v>
      </c>
      <c r="H64" s="17">
        <f>IFERROR(__xludf.DUMMYFUNCTION("""COMPUTED_VALUE"""),1518)</f>
        <v>1518</v>
      </c>
      <c r="I64" s="16">
        <f>IFERROR(__xludf.DUMMYFUNCTION("""COMPUTED_VALUE"""),45833.6458333333)</f>
        <v>45833.6458333333</v>
      </c>
      <c r="J64" s="17">
        <f>IFERROR(__xludf.DUMMYFUNCTION("""COMPUTED_VALUE"""),1500)</f>
        <v>1500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IFERROR(__xludf.DUMMYFUNCTION("""COMPUTED_VALUE"""),1513.8)</f>
        <v>1513.8</v>
      </c>
      <c r="C65" s="16">
        <f>IFERROR(__xludf.DUMMYFUNCTION("""COMPUTED_VALUE"""),45834.6458333333)</f>
        <v>45834.6458333333</v>
      </c>
      <c r="D65" s="17">
        <f>IFERROR(__xludf.DUMMYFUNCTION("""COMPUTED_VALUE"""),1511)</f>
        <v>1511</v>
      </c>
      <c r="E65" s="16">
        <f>IFERROR(__xludf.DUMMYFUNCTION("""COMPUTED_VALUE"""),45834.6458333333)</f>
        <v>45834.6458333333</v>
      </c>
      <c r="F65" s="17">
        <f>IFERROR(__xludf.DUMMYFUNCTION("""COMPUTED_VALUE"""),1440423)</f>
        <v>1440423</v>
      </c>
      <c r="G65" s="16">
        <f>IFERROR(__xludf.DUMMYFUNCTION("""COMPUTED_VALUE"""),45834.6458333333)</f>
        <v>45834.6458333333</v>
      </c>
      <c r="H65" s="17">
        <f>IFERROR(__xludf.DUMMYFUNCTION("""COMPUTED_VALUE"""),1522.4)</f>
        <v>1522.4</v>
      </c>
      <c r="I65" s="16">
        <f>IFERROR(__xludf.DUMMYFUNCTION("""COMPUTED_VALUE"""),45834.6458333333)</f>
        <v>45834.6458333333</v>
      </c>
      <c r="J65" s="17">
        <f>IFERROR(__xludf.DUMMYFUNCTION("""COMPUTED_VALUE"""),1503)</f>
        <v>1503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IFERROR(__xludf.DUMMYFUNCTION("""COMPUTED_VALUE"""),1502.4)</f>
        <v>1502.4</v>
      </c>
      <c r="C66" s="16">
        <f>IFERROR(__xludf.DUMMYFUNCTION("""COMPUTED_VALUE"""),45835.6458333333)</f>
        <v>45835.6458333333</v>
      </c>
      <c r="D66" s="17">
        <f>IFERROR(__xludf.DUMMYFUNCTION("""COMPUTED_VALUE"""),1502)</f>
        <v>1502</v>
      </c>
      <c r="E66" s="16">
        <f>IFERROR(__xludf.DUMMYFUNCTION("""COMPUTED_VALUE"""),45835.6458333333)</f>
        <v>45835.6458333333</v>
      </c>
      <c r="F66" s="17">
        <f>IFERROR(__xludf.DUMMYFUNCTION("""COMPUTED_VALUE"""),1851991)</f>
        <v>1851991</v>
      </c>
      <c r="G66" s="16">
        <f>IFERROR(__xludf.DUMMYFUNCTION("""COMPUTED_VALUE"""),45835.6458333333)</f>
        <v>45835.6458333333</v>
      </c>
      <c r="H66" s="17">
        <f>IFERROR(__xludf.DUMMYFUNCTION("""COMPUTED_VALUE"""),1508.7)</f>
        <v>1508.7</v>
      </c>
      <c r="I66" s="16">
        <f>IFERROR(__xludf.DUMMYFUNCTION("""COMPUTED_VALUE"""),45835.6458333333)</f>
        <v>45835.6458333333</v>
      </c>
      <c r="J66" s="17">
        <f>IFERROR(__xludf.DUMMYFUNCTION("""COMPUTED_VALUE"""),1492)</f>
        <v>1492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IFERROR(__xludf.DUMMYFUNCTION("""COMPUTED_VALUE"""),1505.9)</f>
        <v>1505.9</v>
      </c>
      <c r="C67" s="16">
        <f>IFERROR(__xludf.DUMMYFUNCTION("""COMPUTED_VALUE"""),45838.6458333333)</f>
        <v>45838.6458333333</v>
      </c>
      <c r="D67" s="17">
        <f>IFERROR(__xludf.DUMMYFUNCTION("""COMPUTED_VALUE"""),1509.4)</f>
        <v>1509.4</v>
      </c>
      <c r="E67" s="16">
        <f>IFERROR(__xludf.DUMMYFUNCTION("""COMPUTED_VALUE"""),45838.6458333333)</f>
        <v>45838.6458333333</v>
      </c>
      <c r="F67" s="17">
        <f>IFERROR(__xludf.DUMMYFUNCTION("""COMPUTED_VALUE"""),1053681)</f>
        <v>1053681</v>
      </c>
      <c r="G67" s="16">
        <f>IFERROR(__xludf.DUMMYFUNCTION("""COMPUTED_VALUE"""),45838.6458333333)</f>
        <v>45838.6458333333</v>
      </c>
      <c r="H67" s="17">
        <f>IFERROR(__xludf.DUMMYFUNCTION("""COMPUTED_VALUE"""),1514.7)</f>
        <v>1514.7</v>
      </c>
      <c r="I67" s="16">
        <f>IFERROR(__xludf.DUMMYFUNCTION("""COMPUTED_VALUE"""),45838.6458333333)</f>
        <v>45838.6458333333</v>
      </c>
      <c r="J67" s="17">
        <f>IFERROR(__xludf.DUMMYFUNCTION("""COMPUTED_VALUE"""),1500.2)</f>
        <v>1500.2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IFERROR(__xludf.DUMMYFUNCTION("""COMPUTED_VALUE"""),1515.7)</f>
        <v>1515.7</v>
      </c>
      <c r="C68" s="16">
        <f>IFERROR(__xludf.DUMMYFUNCTION("""COMPUTED_VALUE"""),45839.6458333333)</f>
        <v>45839.6458333333</v>
      </c>
      <c r="D68" s="17">
        <f>IFERROR(__xludf.DUMMYFUNCTION("""COMPUTED_VALUE"""),1505.9)</f>
        <v>1505.9</v>
      </c>
      <c r="E68" s="16">
        <f>IFERROR(__xludf.DUMMYFUNCTION("""COMPUTED_VALUE"""),45839.6458333333)</f>
        <v>45839.6458333333</v>
      </c>
      <c r="F68" s="17">
        <f>IFERROR(__xludf.DUMMYFUNCTION("""COMPUTED_VALUE"""),1112637)</f>
        <v>1112637</v>
      </c>
      <c r="G68" s="16">
        <f>IFERROR(__xludf.DUMMYFUNCTION("""COMPUTED_VALUE"""),45839.6458333333)</f>
        <v>45839.6458333333</v>
      </c>
      <c r="H68" s="17">
        <f>IFERROR(__xludf.DUMMYFUNCTION("""COMPUTED_VALUE"""),1517.7)</f>
        <v>1517.7</v>
      </c>
      <c r="I68" s="16">
        <f>IFERROR(__xludf.DUMMYFUNCTION("""COMPUTED_VALUE"""),45839.6458333333)</f>
        <v>45839.6458333333</v>
      </c>
      <c r="J68" s="17">
        <f>IFERROR(__xludf.DUMMYFUNCTION("""COMPUTED_VALUE"""),1496.2)</f>
        <v>1496.2</v>
      </c>
      <c r="K68" s="3">
        <f t="shared" si="2"/>
        <v>1515.7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IFERROR(__xludf.DUMMYFUNCTION("""COMPUTED_VALUE"""),1497.6)</f>
        <v>1497.6</v>
      </c>
      <c r="C69" s="16">
        <f>IFERROR(__xludf.DUMMYFUNCTION("""COMPUTED_VALUE"""),45840.6458333333)</f>
        <v>45840.6458333333</v>
      </c>
      <c r="D69" s="17">
        <f>IFERROR(__xludf.DUMMYFUNCTION("""COMPUTED_VALUE"""),1515.7)</f>
        <v>1515.7</v>
      </c>
      <c r="E69" s="16">
        <f>IFERROR(__xludf.DUMMYFUNCTION("""COMPUTED_VALUE"""),45840.6458333333)</f>
        <v>45840.6458333333</v>
      </c>
      <c r="F69" s="17">
        <f>IFERROR(__xludf.DUMMYFUNCTION("""COMPUTED_VALUE"""),1273704)</f>
        <v>1273704</v>
      </c>
      <c r="G69" s="16">
        <f>IFERROR(__xludf.DUMMYFUNCTION("""COMPUTED_VALUE"""),45840.6458333333)</f>
        <v>45840.6458333333</v>
      </c>
      <c r="H69" s="17">
        <f>IFERROR(__xludf.DUMMYFUNCTION("""COMPUTED_VALUE"""),1525)</f>
        <v>1525</v>
      </c>
      <c r="I69" s="16">
        <f>IFERROR(__xludf.DUMMYFUNCTION("""COMPUTED_VALUE"""),45840.6458333333)</f>
        <v>45840.6458333333</v>
      </c>
      <c r="J69" s="17">
        <f>IFERROR(__xludf.DUMMYFUNCTION("""COMPUTED_VALUE"""),1493.3)</f>
        <v>1493.3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IFERROR(__xludf.DUMMYFUNCTION("""COMPUTED_VALUE"""),1508.7)</f>
        <v>1508.7</v>
      </c>
      <c r="C70" s="16">
        <f>IFERROR(__xludf.DUMMYFUNCTION("""COMPUTED_VALUE"""),45841.6458333333)</f>
        <v>45841.6458333333</v>
      </c>
      <c r="D70" s="17">
        <f>IFERROR(__xludf.DUMMYFUNCTION("""COMPUTED_VALUE"""),1504)</f>
        <v>1504</v>
      </c>
      <c r="E70" s="16">
        <f>IFERROR(__xludf.DUMMYFUNCTION("""COMPUTED_VALUE"""),45841.6458333333)</f>
        <v>45841.6458333333</v>
      </c>
      <c r="F70" s="17">
        <f>IFERROR(__xludf.DUMMYFUNCTION("""COMPUTED_VALUE"""),869963)</f>
        <v>869963</v>
      </c>
      <c r="G70" s="16">
        <f>IFERROR(__xludf.DUMMYFUNCTION("""COMPUTED_VALUE"""),45841.6458333333)</f>
        <v>45841.6458333333</v>
      </c>
      <c r="H70" s="17">
        <f>IFERROR(__xludf.DUMMYFUNCTION("""COMPUTED_VALUE"""),1513.2)</f>
        <v>1513.2</v>
      </c>
      <c r="I70" s="16">
        <f>IFERROR(__xludf.DUMMYFUNCTION("""COMPUTED_VALUE"""),45841.6458333333)</f>
        <v>45841.6458333333</v>
      </c>
      <c r="J70" s="17">
        <f>IFERROR(__xludf.DUMMYFUNCTION("""COMPUTED_VALUE"""),1498.8)</f>
        <v>1498.8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IFERROR(__xludf.DUMMYFUNCTION("""COMPUTED_VALUE"""),1513.3)</f>
        <v>1513.3</v>
      </c>
      <c r="C71" s="16">
        <f>IFERROR(__xludf.DUMMYFUNCTION("""COMPUTED_VALUE"""),45842.6458333333)</f>
        <v>45842.6458333333</v>
      </c>
      <c r="D71" s="17">
        <f>IFERROR(__xludf.DUMMYFUNCTION("""COMPUTED_VALUE"""),1508.4)</f>
        <v>1508.4</v>
      </c>
      <c r="E71" s="16">
        <f>IFERROR(__xludf.DUMMYFUNCTION("""COMPUTED_VALUE"""),45842.6458333333)</f>
        <v>45842.6458333333</v>
      </c>
      <c r="F71" s="17">
        <f>IFERROR(__xludf.DUMMYFUNCTION("""COMPUTED_VALUE"""),1118483)</f>
        <v>1118483</v>
      </c>
      <c r="G71" s="16">
        <f>IFERROR(__xludf.DUMMYFUNCTION("""COMPUTED_VALUE"""),45842.6458333333)</f>
        <v>45842.6458333333</v>
      </c>
      <c r="H71" s="17">
        <f>IFERROR(__xludf.DUMMYFUNCTION("""COMPUTED_VALUE"""),1521)</f>
        <v>1521</v>
      </c>
      <c r="I71" s="16">
        <f>IFERROR(__xludf.DUMMYFUNCTION("""COMPUTED_VALUE"""),45842.6458333333)</f>
        <v>45842.6458333333</v>
      </c>
      <c r="J71" s="17">
        <f>IFERROR(__xludf.DUMMYFUNCTION("""COMPUTED_VALUE"""),1503.9)</f>
        <v>1503.9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IFERROR(__xludf.DUMMYFUNCTION("""COMPUTED_VALUE"""),1510.5)</f>
        <v>1510.5</v>
      </c>
      <c r="C72" s="16">
        <f>IFERROR(__xludf.DUMMYFUNCTION("""COMPUTED_VALUE"""),45845.6458333333)</f>
        <v>45845.6458333333</v>
      </c>
      <c r="D72" s="17">
        <f>IFERROR(__xludf.DUMMYFUNCTION("""COMPUTED_VALUE"""),1516)</f>
        <v>1516</v>
      </c>
      <c r="E72" s="16">
        <f>IFERROR(__xludf.DUMMYFUNCTION("""COMPUTED_VALUE"""),45845.6458333333)</f>
        <v>45845.6458333333</v>
      </c>
      <c r="F72" s="17">
        <f>IFERROR(__xludf.DUMMYFUNCTION("""COMPUTED_VALUE"""),1061434)</f>
        <v>1061434</v>
      </c>
      <c r="G72" s="16">
        <f>IFERROR(__xludf.DUMMYFUNCTION("""COMPUTED_VALUE"""),45845.6458333333)</f>
        <v>45845.6458333333</v>
      </c>
      <c r="H72" s="17">
        <f>IFERROR(__xludf.DUMMYFUNCTION("""COMPUTED_VALUE"""),1519.2)</f>
        <v>1519.2</v>
      </c>
      <c r="I72" s="16">
        <f>IFERROR(__xludf.DUMMYFUNCTION("""COMPUTED_VALUE"""),45845.6458333333)</f>
        <v>45845.6458333333</v>
      </c>
      <c r="J72" s="17">
        <f>IFERROR(__xludf.DUMMYFUNCTION("""COMPUTED_VALUE"""),1506.5)</f>
        <v>1506.5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IFERROR(__xludf.DUMMYFUNCTION("""COMPUTED_VALUE"""),1488.3)</f>
        <v>1488.3</v>
      </c>
      <c r="C73" s="16">
        <f>IFERROR(__xludf.DUMMYFUNCTION("""COMPUTED_VALUE"""),45846.6458333333)</f>
        <v>45846.6458333333</v>
      </c>
      <c r="D73" s="17">
        <f>IFERROR(__xludf.DUMMYFUNCTION("""COMPUTED_VALUE"""),1505.5)</f>
        <v>1505.5</v>
      </c>
      <c r="E73" s="16">
        <f>IFERROR(__xludf.DUMMYFUNCTION("""COMPUTED_VALUE"""),45846.6458333333)</f>
        <v>45846.6458333333</v>
      </c>
      <c r="F73" s="17">
        <f>IFERROR(__xludf.DUMMYFUNCTION("""COMPUTED_VALUE"""),2197699)</f>
        <v>2197699</v>
      </c>
      <c r="G73" s="16">
        <f>IFERROR(__xludf.DUMMYFUNCTION("""COMPUTED_VALUE"""),45846.6458333333)</f>
        <v>45846.6458333333</v>
      </c>
      <c r="H73" s="17">
        <f>IFERROR(__xludf.DUMMYFUNCTION("""COMPUTED_VALUE"""),1510.5)</f>
        <v>1510.5</v>
      </c>
      <c r="I73" s="16">
        <f>IFERROR(__xludf.DUMMYFUNCTION("""COMPUTED_VALUE"""),45846.6458333333)</f>
        <v>45846.6458333333</v>
      </c>
      <c r="J73" s="17">
        <f>IFERROR(__xludf.DUMMYFUNCTION("""COMPUTED_VALUE"""),1477.1)</f>
        <v>1477.1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IFERROR(__xludf.DUMMYFUNCTION("""COMPUTED_VALUE"""),1491.7)</f>
        <v>1491.7</v>
      </c>
      <c r="C74" s="16">
        <f>IFERROR(__xludf.DUMMYFUNCTION("""COMPUTED_VALUE"""),45847.6458333333)</f>
        <v>45847.6458333333</v>
      </c>
      <c r="D74" s="17">
        <f>IFERROR(__xludf.DUMMYFUNCTION("""COMPUTED_VALUE"""),1486)</f>
        <v>1486</v>
      </c>
      <c r="E74" s="16">
        <f>IFERROR(__xludf.DUMMYFUNCTION("""COMPUTED_VALUE"""),45847.6458333333)</f>
        <v>45847.6458333333</v>
      </c>
      <c r="F74" s="17">
        <f>IFERROR(__xludf.DUMMYFUNCTION("""COMPUTED_VALUE"""),1364142)</f>
        <v>1364142</v>
      </c>
      <c r="G74" s="16">
        <f>IFERROR(__xludf.DUMMYFUNCTION("""COMPUTED_VALUE"""),45847.6458333333)</f>
        <v>45847.6458333333</v>
      </c>
      <c r="H74" s="17">
        <f>IFERROR(__xludf.DUMMYFUNCTION("""COMPUTED_VALUE"""),1501.7)</f>
        <v>1501.7</v>
      </c>
      <c r="I74" s="16">
        <f>IFERROR(__xludf.DUMMYFUNCTION("""COMPUTED_VALUE"""),45847.6458333333)</f>
        <v>45847.6458333333</v>
      </c>
      <c r="J74" s="17">
        <f>IFERROR(__xludf.DUMMYFUNCTION("""COMPUTED_VALUE"""),1486)</f>
        <v>1486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IFERROR(__xludf.DUMMYFUNCTION("""COMPUTED_VALUE"""),1477.8)</f>
        <v>1477.8</v>
      </c>
      <c r="C75" s="16">
        <f>IFERROR(__xludf.DUMMYFUNCTION("""COMPUTED_VALUE"""),45848.6458333333)</f>
        <v>45848.6458333333</v>
      </c>
      <c r="D75" s="17">
        <f>IFERROR(__xludf.DUMMYFUNCTION("""COMPUTED_VALUE"""),1489)</f>
        <v>1489</v>
      </c>
      <c r="E75" s="16">
        <f>IFERROR(__xludf.DUMMYFUNCTION("""COMPUTED_VALUE"""),45848.6458333333)</f>
        <v>45848.6458333333</v>
      </c>
      <c r="F75" s="17">
        <f>IFERROR(__xludf.DUMMYFUNCTION("""COMPUTED_VALUE"""),2178068)</f>
        <v>2178068</v>
      </c>
      <c r="G75" s="16">
        <f>IFERROR(__xludf.DUMMYFUNCTION("""COMPUTED_VALUE"""),45848.6458333333)</f>
        <v>45848.6458333333</v>
      </c>
      <c r="H75" s="17">
        <f>IFERROR(__xludf.DUMMYFUNCTION("""COMPUTED_VALUE"""),1490.9)</f>
        <v>1490.9</v>
      </c>
      <c r="I75" s="16">
        <f>IFERROR(__xludf.DUMMYFUNCTION("""COMPUTED_VALUE"""),45848.6458333333)</f>
        <v>45848.6458333333</v>
      </c>
      <c r="J75" s="17">
        <f>IFERROR(__xludf.DUMMYFUNCTION("""COMPUTED_VALUE"""),1463.2)</f>
        <v>1463.2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IFERROR(__xludf.DUMMYFUNCTION("""COMPUTED_VALUE"""),1485)</f>
        <v>1485</v>
      </c>
      <c r="C76" s="16">
        <f>IFERROR(__xludf.DUMMYFUNCTION("""COMPUTED_VALUE"""),45849.6458333333)</f>
        <v>45849.6458333333</v>
      </c>
      <c r="D76" s="17">
        <f>IFERROR(__xludf.DUMMYFUNCTION("""COMPUTED_VALUE"""),1480)</f>
        <v>1480</v>
      </c>
      <c r="E76" s="16">
        <f>IFERROR(__xludf.DUMMYFUNCTION("""COMPUTED_VALUE"""),45849.6458333333)</f>
        <v>45849.6458333333</v>
      </c>
      <c r="F76" s="17">
        <f>IFERROR(__xludf.DUMMYFUNCTION("""COMPUTED_VALUE"""),920651)</f>
        <v>920651</v>
      </c>
      <c r="G76" s="16">
        <f>IFERROR(__xludf.DUMMYFUNCTION("""COMPUTED_VALUE"""),45849.6458333333)</f>
        <v>45849.6458333333</v>
      </c>
      <c r="H76" s="17">
        <f>IFERROR(__xludf.DUMMYFUNCTION("""COMPUTED_VALUE"""),1490.5)</f>
        <v>1490.5</v>
      </c>
      <c r="I76" s="16">
        <f>IFERROR(__xludf.DUMMYFUNCTION("""COMPUTED_VALUE"""),45849.6458333333)</f>
        <v>45849.6458333333</v>
      </c>
      <c r="J76" s="17">
        <f>IFERROR(__xludf.DUMMYFUNCTION("""COMPUTED_VALUE"""),1470)</f>
        <v>1470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IFERROR(__xludf.DUMMYFUNCTION("""COMPUTED_VALUE"""),1484)</f>
        <v>1484</v>
      </c>
      <c r="C77" s="16">
        <f>IFERROR(__xludf.DUMMYFUNCTION("""COMPUTED_VALUE"""),45852.6458333333)</f>
        <v>45852.6458333333</v>
      </c>
      <c r="D77" s="17">
        <f>IFERROR(__xludf.DUMMYFUNCTION("""COMPUTED_VALUE"""),1488.9)</f>
        <v>1488.9</v>
      </c>
      <c r="E77" s="16">
        <f>IFERROR(__xludf.DUMMYFUNCTION("""COMPUTED_VALUE"""),45852.6458333333)</f>
        <v>45852.6458333333</v>
      </c>
      <c r="F77" s="17">
        <f>IFERROR(__xludf.DUMMYFUNCTION("""COMPUTED_VALUE"""),1554680)</f>
        <v>1554680</v>
      </c>
      <c r="G77" s="16">
        <f>IFERROR(__xludf.DUMMYFUNCTION("""COMPUTED_VALUE"""),45852.6458333333)</f>
        <v>45852.6458333333</v>
      </c>
      <c r="H77" s="17">
        <f>IFERROR(__xludf.DUMMYFUNCTION("""COMPUTED_VALUE"""),1492.5)</f>
        <v>1492.5</v>
      </c>
      <c r="I77" s="16">
        <f>IFERROR(__xludf.DUMMYFUNCTION("""COMPUTED_VALUE"""),45852.6458333333)</f>
        <v>45852.6458333333</v>
      </c>
      <c r="J77" s="17">
        <f>IFERROR(__xludf.DUMMYFUNCTION("""COMPUTED_VALUE"""),1476)</f>
        <v>1476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IFERROR(__xludf.DUMMYFUNCTION("""COMPUTED_VALUE"""),1490.9)</f>
        <v>1490.9</v>
      </c>
      <c r="C78" s="16">
        <f>IFERROR(__xludf.DUMMYFUNCTION("""COMPUTED_VALUE"""),45853.6458333333)</f>
        <v>45853.6458333333</v>
      </c>
      <c r="D78" s="17">
        <f>IFERROR(__xludf.DUMMYFUNCTION("""COMPUTED_VALUE"""),1483.8)</f>
        <v>1483.8</v>
      </c>
      <c r="E78" s="16">
        <f>IFERROR(__xludf.DUMMYFUNCTION("""COMPUTED_VALUE"""),45853.6458333333)</f>
        <v>45853.6458333333</v>
      </c>
      <c r="F78" s="17">
        <f>IFERROR(__xludf.DUMMYFUNCTION("""COMPUTED_VALUE"""),1203850)</f>
        <v>1203850</v>
      </c>
      <c r="G78" s="16">
        <f>IFERROR(__xludf.DUMMYFUNCTION("""COMPUTED_VALUE"""),45853.6458333333)</f>
        <v>45853.6458333333</v>
      </c>
      <c r="H78" s="17">
        <f>IFERROR(__xludf.DUMMYFUNCTION("""COMPUTED_VALUE"""),1492.4)</f>
        <v>1492.4</v>
      </c>
      <c r="I78" s="16">
        <f>IFERROR(__xludf.DUMMYFUNCTION("""COMPUTED_VALUE"""),45853.6458333333)</f>
        <v>45853.6458333333</v>
      </c>
      <c r="J78" s="17">
        <f>IFERROR(__xludf.DUMMYFUNCTION("""COMPUTED_VALUE"""),1469.4)</f>
        <v>1469.4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IFERROR(__xludf.DUMMYFUNCTION("""COMPUTED_VALUE"""),1475.8)</f>
        <v>1475.8</v>
      </c>
      <c r="C79" s="16">
        <f>IFERROR(__xludf.DUMMYFUNCTION("""COMPUTED_VALUE"""),45854.6458333333)</f>
        <v>45854.6458333333</v>
      </c>
      <c r="D79" s="17">
        <f>IFERROR(__xludf.DUMMYFUNCTION("""COMPUTED_VALUE"""),1485)</f>
        <v>1485</v>
      </c>
      <c r="E79" s="16">
        <f>IFERROR(__xludf.DUMMYFUNCTION("""COMPUTED_VALUE"""),45854.6458333333)</f>
        <v>45854.6458333333</v>
      </c>
      <c r="F79" s="17">
        <f>IFERROR(__xludf.DUMMYFUNCTION("""COMPUTED_VALUE"""),1569604)</f>
        <v>1569604</v>
      </c>
      <c r="G79" s="16">
        <f>IFERROR(__xludf.DUMMYFUNCTION("""COMPUTED_VALUE"""),45854.6458333333)</f>
        <v>45854.6458333333</v>
      </c>
      <c r="H79" s="17">
        <f>IFERROR(__xludf.DUMMYFUNCTION("""COMPUTED_VALUE"""),1485)</f>
        <v>1485</v>
      </c>
      <c r="I79" s="16">
        <f>IFERROR(__xludf.DUMMYFUNCTION("""COMPUTED_VALUE"""),45854.6458333333)</f>
        <v>45854.6458333333</v>
      </c>
      <c r="J79" s="17">
        <f>IFERROR(__xludf.DUMMYFUNCTION("""COMPUTED_VALUE"""),1468.2)</f>
        <v>1468.2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IFERROR(__xludf.DUMMYFUNCTION("""COMPUTED_VALUE"""),1482.4)</f>
        <v>1482.4</v>
      </c>
      <c r="C80" s="16">
        <f>IFERROR(__xludf.DUMMYFUNCTION("""COMPUTED_VALUE"""),45855.6458333333)</f>
        <v>45855.6458333333</v>
      </c>
      <c r="D80" s="17">
        <f>IFERROR(__xludf.DUMMYFUNCTION("""COMPUTED_VALUE"""),1475)</f>
        <v>1475</v>
      </c>
      <c r="E80" s="16">
        <f>IFERROR(__xludf.DUMMYFUNCTION("""COMPUTED_VALUE"""),45855.6458333333)</f>
        <v>45855.6458333333</v>
      </c>
      <c r="F80" s="17">
        <f>IFERROR(__xludf.DUMMYFUNCTION("""COMPUTED_VALUE"""),1349535)</f>
        <v>1349535</v>
      </c>
      <c r="G80" s="16">
        <f>IFERROR(__xludf.DUMMYFUNCTION("""COMPUTED_VALUE"""),45855.6458333333)</f>
        <v>45855.6458333333</v>
      </c>
      <c r="H80" s="17">
        <f>IFERROR(__xludf.DUMMYFUNCTION("""COMPUTED_VALUE"""),1489)</f>
        <v>1489</v>
      </c>
      <c r="I80" s="16">
        <f>IFERROR(__xludf.DUMMYFUNCTION("""COMPUTED_VALUE"""),45855.6458333333)</f>
        <v>45855.6458333333</v>
      </c>
      <c r="J80" s="17">
        <f>IFERROR(__xludf.DUMMYFUNCTION("""COMPUTED_VALUE"""),1472)</f>
        <v>1472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IFERROR(__xludf.DUMMYFUNCTION("""COMPUTED_VALUE"""),1482.3)</f>
        <v>1482.3</v>
      </c>
      <c r="C81" s="16">
        <f>IFERROR(__xludf.DUMMYFUNCTION("""COMPUTED_VALUE"""),45856.6458333333)</f>
        <v>45856.6458333333</v>
      </c>
      <c r="D81" s="17">
        <f>IFERROR(__xludf.DUMMYFUNCTION("""COMPUTED_VALUE"""),1481.1)</f>
        <v>1481.1</v>
      </c>
      <c r="E81" s="16">
        <f>IFERROR(__xludf.DUMMYFUNCTION("""COMPUTED_VALUE"""),45856.6458333333)</f>
        <v>45856.6458333333</v>
      </c>
      <c r="F81" s="17">
        <f>IFERROR(__xludf.DUMMYFUNCTION("""COMPUTED_VALUE"""),1001794)</f>
        <v>1001794</v>
      </c>
      <c r="G81" s="16">
        <f>IFERROR(__xludf.DUMMYFUNCTION("""COMPUTED_VALUE"""),45856.6458333333)</f>
        <v>45856.6458333333</v>
      </c>
      <c r="H81" s="17">
        <f>IFERROR(__xludf.DUMMYFUNCTION("""COMPUTED_VALUE"""),1484.8)</f>
        <v>1484.8</v>
      </c>
      <c r="I81" s="16">
        <f>IFERROR(__xludf.DUMMYFUNCTION("""COMPUTED_VALUE"""),45856.6458333333)</f>
        <v>45856.6458333333</v>
      </c>
      <c r="J81" s="17">
        <f>IFERROR(__xludf.DUMMYFUNCTION("""COMPUTED_VALUE"""),1470)</f>
        <v>1470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IFERROR(__xludf.DUMMYFUNCTION("""COMPUTED_VALUE"""),1473.9)</f>
        <v>1473.9</v>
      </c>
      <c r="C82" s="16">
        <f>IFERROR(__xludf.DUMMYFUNCTION("""COMPUTED_VALUE"""),45859.6458333333)</f>
        <v>45859.6458333333</v>
      </c>
      <c r="D82" s="17">
        <f>IFERROR(__xludf.DUMMYFUNCTION("""COMPUTED_VALUE"""),1481.1)</f>
        <v>1481.1</v>
      </c>
      <c r="E82" s="16">
        <f>IFERROR(__xludf.DUMMYFUNCTION("""COMPUTED_VALUE"""),45859.6458333333)</f>
        <v>45859.6458333333</v>
      </c>
      <c r="F82" s="17">
        <f>IFERROR(__xludf.DUMMYFUNCTION("""COMPUTED_VALUE"""),1198993)</f>
        <v>1198993</v>
      </c>
      <c r="G82" s="16">
        <f>IFERROR(__xludf.DUMMYFUNCTION("""COMPUTED_VALUE"""),45859.6458333333)</f>
        <v>45859.6458333333</v>
      </c>
      <c r="H82" s="17">
        <f>IFERROR(__xludf.DUMMYFUNCTION("""COMPUTED_VALUE"""),1482.5)</f>
        <v>1482.5</v>
      </c>
      <c r="I82" s="16">
        <f>IFERROR(__xludf.DUMMYFUNCTION("""COMPUTED_VALUE"""),45859.6458333333)</f>
        <v>45859.6458333333</v>
      </c>
      <c r="J82" s="17">
        <f>IFERROR(__xludf.DUMMYFUNCTION("""COMPUTED_VALUE"""),1468.5)</f>
        <v>1468.5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IFERROR(__xludf.DUMMYFUNCTION("""COMPUTED_VALUE"""),1464.4)</f>
        <v>1464.4</v>
      </c>
      <c r="C83" s="16">
        <f>IFERROR(__xludf.DUMMYFUNCTION("""COMPUTED_VALUE"""),45860.6458333333)</f>
        <v>45860.6458333333</v>
      </c>
      <c r="D83" s="17">
        <f>IFERROR(__xludf.DUMMYFUNCTION("""COMPUTED_VALUE"""),1475)</f>
        <v>1475</v>
      </c>
      <c r="E83" s="16">
        <f>IFERROR(__xludf.DUMMYFUNCTION("""COMPUTED_VALUE"""),45860.6458333333)</f>
        <v>45860.6458333333</v>
      </c>
      <c r="F83" s="17">
        <f>IFERROR(__xludf.DUMMYFUNCTION("""COMPUTED_VALUE"""),1908949)</f>
        <v>1908949</v>
      </c>
      <c r="G83" s="16">
        <f>IFERROR(__xludf.DUMMYFUNCTION("""COMPUTED_VALUE"""),45860.6458333333)</f>
        <v>45860.6458333333</v>
      </c>
      <c r="H83" s="17">
        <f>IFERROR(__xludf.DUMMYFUNCTION("""COMPUTED_VALUE"""),1479.4)</f>
        <v>1479.4</v>
      </c>
      <c r="I83" s="16">
        <f>IFERROR(__xludf.DUMMYFUNCTION("""COMPUTED_VALUE"""),45860.6458333333)</f>
        <v>45860.6458333333</v>
      </c>
      <c r="J83" s="17">
        <f>IFERROR(__xludf.DUMMYFUNCTION("""COMPUTED_VALUE"""),1454.5)</f>
        <v>1454.5</v>
      </c>
      <c r="K83" s="3">
        <f t="shared" si="2"/>
        <v>0</v>
      </c>
      <c r="L83" s="3">
        <f t="shared" si="3"/>
        <v>1464.4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IFERROR(__xludf.DUMMYFUNCTION("""COMPUTED_VALUE"""),1473.5)</f>
        <v>1473.5</v>
      </c>
      <c r="C84" s="16">
        <f>IFERROR(__xludf.DUMMYFUNCTION("""COMPUTED_VALUE"""),45861.6458333333)</f>
        <v>45861.6458333333</v>
      </c>
      <c r="D84" s="17">
        <f>IFERROR(__xludf.DUMMYFUNCTION("""COMPUTED_VALUE"""),1465.3)</f>
        <v>1465.3</v>
      </c>
      <c r="E84" s="16">
        <f>IFERROR(__xludf.DUMMYFUNCTION("""COMPUTED_VALUE"""),45861.6458333333)</f>
        <v>45861.6458333333</v>
      </c>
      <c r="F84" s="17">
        <f>IFERROR(__xludf.DUMMYFUNCTION("""COMPUTED_VALUE"""),1268156)</f>
        <v>1268156</v>
      </c>
      <c r="G84" s="16">
        <f>IFERROR(__xludf.DUMMYFUNCTION("""COMPUTED_VALUE"""),45861.6458333333)</f>
        <v>45861.6458333333</v>
      </c>
      <c r="H84" s="17">
        <f>IFERROR(__xludf.DUMMYFUNCTION("""COMPUTED_VALUE"""),1476.5)</f>
        <v>1476.5</v>
      </c>
      <c r="I84" s="16">
        <f>IFERROR(__xludf.DUMMYFUNCTION("""COMPUTED_VALUE"""),45861.6458333333)</f>
        <v>45861.6458333333</v>
      </c>
      <c r="J84" s="17">
        <f>IFERROR(__xludf.DUMMYFUNCTION("""COMPUTED_VALUE"""),1462.4)</f>
        <v>1462.4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IFERROR(__xludf.DUMMYFUNCTION("""COMPUTED_VALUE"""),1487.9)</f>
        <v>1487.9</v>
      </c>
      <c r="C85" s="16">
        <f>IFERROR(__xludf.DUMMYFUNCTION("""COMPUTED_VALUE"""),45862.6458333333)</f>
        <v>45862.6458333333</v>
      </c>
      <c r="D85" s="17">
        <f>IFERROR(__xludf.DUMMYFUNCTION("""COMPUTED_VALUE"""),1470.5)</f>
        <v>1470.5</v>
      </c>
      <c r="E85" s="16">
        <f>IFERROR(__xludf.DUMMYFUNCTION("""COMPUTED_VALUE"""),45862.6458333333)</f>
        <v>45862.6458333333</v>
      </c>
      <c r="F85" s="17">
        <f>IFERROR(__xludf.DUMMYFUNCTION("""COMPUTED_VALUE"""),1389152)</f>
        <v>1389152</v>
      </c>
      <c r="G85" s="16">
        <f>IFERROR(__xludf.DUMMYFUNCTION("""COMPUTED_VALUE"""),45862.6458333333)</f>
        <v>45862.6458333333</v>
      </c>
      <c r="H85" s="17">
        <f>IFERROR(__xludf.DUMMYFUNCTION("""COMPUTED_VALUE"""),1490)</f>
        <v>1490</v>
      </c>
      <c r="I85" s="16">
        <f>IFERROR(__xludf.DUMMYFUNCTION("""COMPUTED_VALUE"""),45862.6458333333)</f>
        <v>45862.6458333333</v>
      </c>
      <c r="J85" s="17">
        <f>IFERROR(__xludf.DUMMYFUNCTION("""COMPUTED_VALUE"""),1470.3)</f>
        <v>1470.3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IFERROR(__xludf.DUMMYFUNCTION("""COMPUTED_VALUE"""),1532.5)</f>
        <v>1532.5</v>
      </c>
      <c r="C86" s="16">
        <f>IFERROR(__xludf.DUMMYFUNCTION("""COMPUTED_VALUE"""),45863.6458333333)</f>
        <v>45863.6458333333</v>
      </c>
      <c r="D86" s="17">
        <f>IFERROR(__xludf.DUMMYFUNCTION("""COMPUTED_VALUE"""),1485)</f>
        <v>1485</v>
      </c>
      <c r="E86" s="16">
        <f>IFERROR(__xludf.DUMMYFUNCTION("""COMPUTED_VALUE"""),45863.6458333333)</f>
        <v>45863.6458333333</v>
      </c>
      <c r="F86" s="17">
        <f>IFERROR(__xludf.DUMMYFUNCTION("""COMPUTED_VALUE"""),5226395)</f>
        <v>5226395</v>
      </c>
      <c r="G86" s="16">
        <f>IFERROR(__xludf.DUMMYFUNCTION("""COMPUTED_VALUE"""),45863.6458333333)</f>
        <v>45863.6458333333</v>
      </c>
      <c r="H86" s="17">
        <f>IFERROR(__xludf.DUMMYFUNCTION("""COMPUTED_VALUE"""),1553.7)</f>
        <v>1553.7</v>
      </c>
      <c r="I86" s="16">
        <f>IFERROR(__xludf.DUMMYFUNCTION("""COMPUTED_VALUE"""),45863.6458333333)</f>
        <v>45863.6458333333</v>
      </c>
      <c r="J86" s="17">
        <f>IFERROR(__xludf.DUMMYFUNCTION("""COMPUTED_VALUE"""),1469)</f>
        <v>1469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IFERROR(__xludf.DUMMYFUNCTION("""COMPUTED_VALUE"""),1572)</f>
        <v>1572</v>
      </c>
      <c r="C87" s="16">
        <f>IFERROR(__xludf.DUMMYFUNCTION("""COMPUTED_VALUE"""),45866.6458333333)</f>
        <v>45866.6458333333</v>
      </c>
      <c r="D87" s="17">
        <f>IFERROR(__xludf.DUMMYFUNCTION("""COMPUTED_VALUE"""),1541.2)</f>
        <v>1541.2</v>
      </c>
      <c r="E87" s="16">
        <f>IFERROR(__xludf.DUMMYFUNCTION("""COMPUTED_VALUE"""),45866.6458333333)</f>
        <v>45866.6458333333</v>
      </c>
      <c r="F87" s="17">
        <f>IFERROR(__xludf.DUMMYFUNCTION("""COMPUTED_VALUE"""),3843168)</f>
        <v>3843168</v>
      </c>
      <c r="G87" s="16">
        <f>IFERROR(__xludf.DUMMYFUNCTION("""COMPUTED_VALUE"""),45866.6458333333)</f>
        <v>45866.6458333333</v>
      </c>
      <c r="H87" s="17">
        <f>IFERROR(__xludf.DUMMYFUNCTION("""COMPUTED_VALUE"""),1577)</f>
        <v>1577</v>
      </c>
      <c r="I87" s="16">
        <f>IFERROR(__xludf.DUMMYFUNCTION("""COMPUTED_VALUE"""),45866.6458333333)</f>
        <v>45866.6458333333</v>
      </c>
      <c r="J87" s="17">
        <f>IFERROR(__xludf.DUMMYFUNCTION("""COMPUTED_VALUE"""),1520.5)</f>
        <v>1520.5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IFERROR(__xludf.DUMMYFUNCTION("""COMPUTED_VALUE"""),1574)</f>
        <v>1574</v>
      </c>
      <c r="C88" s="16">
        <f>IFERROR(__xludf.DUMMYFUNCTION("""COMPUTED_VALUE"""),45867.6458333333)</f>
        <v>45867.6458333333</v>
      </c>
      <c r="D88" s="17">
        <f>IFERROR(__xludf.DUMMYFUNCTION("""COMPUTED_VALUE"""),1563.4)</f>
        <v>1563.4</v>
      </c>
      <c r="E88" s="16">
        <f>IFERROR(__xludf.DUMMYFUNCTION("""COMPUTED_VALUE"""),45867.6458333333)</f>
        <v>45867.6458333333</v>
      </c>
      <c r="F88" s="17">
        <f>IFERROR(__xludf.DUMMYFUNCTION("""COMPUTED_VALUE"""),1303888)</f>
        <v>1303888</v>
      </c>
      <c r="G88" s="16">
        <f>IFERROR(__xludf.DUMMYFUNCTION("""COMPUTED_VALUE"""),45867.6458333333)</f>
        <v>45867.6458333333</v>
      </c>
      <c r="H88" s="17">
        <f>IFERROR(__xludf.DUMMYFUNCTION("""COMPUTED_VALUE"""),1579.4)</f>
        <v>1579.4</v>
      </c>
      <c r="I88" s="16">
        <f>IFERROR(__xludf.DUMMYFUNCTION("""COMPUTED_VALUE"""),45867.6458333333)</f>
        <v>45867.6458333333</v>
      </c>
      <c r="J88" s="17">
        <f>IFERROR(__xludf.DUMMYFUNCTION("""COMPUTED_VALUE"""),1559.6)</f>
        <v>1559.6</v>
      </c>
      <c r="K88" s="3">
        <f t="shared" si="2"/>
        <v>1574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IFERROR(__xludf.DUMMYFUNCTION("""COMPUTED_VALUE"""),1559.4)</f>
        <v>1559.4</v>
      </c>
      <c r="C89" s="16">
        <f>IFERROR(__xludf.DUMMYFUNCTION("""COMPUTED_VALUE"""),45868.6458333333)</f>
        <v>45868.6458333333</v>
      </c>
      <c r="D89" s="17">
        <f>IFERROR(__xludf.DUMMYFUNCTION("""COMPUTED_VALUE"""),1574.3)</f>
        <v>1574.3</v>
      </c>
      <c r="E89" s="16">
        <f>IFERROR(__xludf.DUMMYFUNCTION("""COMPUTED_VALUE"""),45868.6458333333)</f>
        <v>45868.6458333333</v>
      </c>
      <c r="F89" s="17">
        <f>IFERROR(__xludf.DUMMYFUNCTION("""COMPUTED_VALUE"""),1390012)</f>
        <v>1390012</v>
      </c>
      <c r="G89" s="16">
        <f>IFERROR(__xludf.DUMMYFUNCTION("""COMPUTED_VALUE"""),45868.6458333333)</f>
        <v>45868.6458333333</v>
      </c>
      <c r="H89" s="17">
        <f>IFERROR(__xludf.DUMMYFUNCTION("""COMPUTED_VALUE"""),1579.9)</f>
        <v>1579.9</v>
      </c>
      <c r="I89" s="16">
        <f>IFERROR(__xludf.DUMMYFUNCTION("""COMPUTED_VALUE"""),45868.6458333333)</f>
        <v>45868.6458333333</v>
      </c>
      <c r="J89" s="17">
        <f>IFERROR(__xludf.DUMMYFUNCTION("""COMPUTED_VALUE"""),1551.2)</f>
        <v>1551.2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IFERROR(__xludf.DUMMYFUNCTION("""COMPUTED_VALUE"""),1554.6)</f>
        <v>1554.6</v>
      </c>
      <c r="C90" s="16">
        <f>IFERROR(__xludf.DUMMYFUNCTION("""COMPUTED_VALUE"""),45869.6458333333)</f>
        <v>45869.6458333333</v>
      </c>
      <c r="D90" s="17">
        <f>IFERROR(__xludf.DUMMYFUNCTION("""COMPUTED_VALUE"""),1540)</f>
        <v>1540</v>
      </c>
      <c r="E90" s="16">
        <f>IFERROR(__xludf.DUMMYFUNCTION("""COMPUTED_VALUE"""),45869.6458333333)</f>
        <v>45869.6458333333</v>
      </c>
      <c r="F90" s="17">
        <f>IFERROR(__xludf.DUMMYFUNCTION("""COMPUTED_VALUE"""),2457841)</f>
        <v>2457841</v>
      </c>
      <c r="G90" s="16">
        <f>IFERROR(__xludf.DUMMYFUNCTION("""COMPUTED_VALUE"""),45869.6458333333)</f>
        <v>45869.6458333333</v>
      </c>
      <c r="H90" s="17">
        <f>IFERROR(__xludf.DUMMYFUNCTION("""COMPUTED_VALUE"""),1564.7)</f>
        <v>1564.7</v>
      </c>
      <c r="I90" s="16">
        <f>IFERROR(__xludf.DUMMYFUNCTION("""COMPUTED_VALUE"""),45869.6458333333)</f>
        <v>45869.6458333333</v>
      </c>
      <c r="J90" s="17">
        <f>IFERROR(__xludf.DUMMYFUNCTION("""COMPUTED_VALUE"""),1536.6)</f>
        <v>1536.6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IFERROR(__xludf.DUMMYFUNCTION("""COMPUTED_VALUE"""),1502.8)</f>
        <v>1502.8</v>
      </c>
      <c r="C91" s="16">
        <f>IFERROR(__xludf.DUMMYFUNCTION("""COMPUTED_VALUE"""),45870.6458333333)</f>
        <v>45870.6458333333</v>
      </c>
      <c r="D91" s="17">
        <f>IFERROR(__xludf.DUMMYFUNCTION("""COMPUTED_VALUE"""),1544)</f>
        <v>1544</v>
      </c>
      <c r="E91" s="16">
        <f>IFERROR(__xludf.DUMMYFUNCTION("""COMPUTED_VALUE"""),45870.6458333333)</f>
        <v>45870.6458333333</v>
      </c>
      <c r="F91" s="17">
        <f>IFERROR(__xludf.DUMMYFUNCTION("""COMPUTED_VALUE"""),2109707)</f>
        <v>2109707</v>
      </c>
      <c r="G91" s="16">
        <f>IFERROR(__xludf.DUMMYFUNCTION("""COMPUTED_VALUE"""),45870.6458333333)</f>
        <v>45870.6458333333</v>
      </c>
      <c r="H91" s="17">
        <f>IFERROR(__xludf.DUMMYFUNCTION("""COMPUTED_VALUE"""),1549.7)</f>
        <v>1549.7</v>
      </c>
      <c r="I91" s="16">
        <f>IFERROR(__xludf.DUMMYFUNCTION("""COMPUTED_VALUE"""),45870.6458333333)</f>
        <v>45870.6458333333</v>
      </c>
      <c r="J91" s="17">
        <f>IFERROR(__xludf.DUMMYFUNCTION("""COMPUTED_VALUE"""),1494)</f>
        <v>1494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IFERROR(__xludf.DUMMYFUNCTION("""COMPUTED_VALUE"""),1515.1)</f>
        <v>1515.1</v>
      </c>
      <c r="C92" s="16">
        <f>IFERROR(__xludf.DUMMYFUNCTION("""COMPUTED_VALUE"""),45873.6458333333)</f>
        <v>45873.6458333333</v>
      </c>
      <c r="D92" s="17">
        <f>IFERROR(__xludf.DUMMYFUNCTION("""COMPUTED_VALUE"""),1510)</f>
        <v>1510</v>
      </c>
      <c r="E92" s="16">
        <f>IFERROR(__xludf.DUMMYFUNCTION("""COMPUTED_VALUE"""),45873.6458333333)</f>
        <v>45873.6458333333</v>
      </c>
      <c r="F92" s="17">
        <f>IFERROR(__xludf.DUMMYFUNCTION("""COMPUTED_VALUE"""),549494)</f>
        <v>549494</v>
      </c>
      <c r="G92" s="16">
        <f>IFERROR(__xludf.DUMMYFUNCTION("""COMPUTED_VALUE"""),45873.6458333333)</f>
        <v>45873.6458333333</v>
      </c>
      <c r="H92" s="17">
        <f>IFERROR(__xludf.DUMMYFUNCTION("""COMPUTED_VALUE"""),1519.3)</f>
        <v>1519.3</v>
      </c>
      <c r="I92" s="16">
        <f>IFERROR(__xludf.DUMMYFUNCTION("""COMPUTED_VALUE"""),45873.6458333333)</f>
        <v>45873.6458333333</v>
      </c>
      <c r="J92" s="17">
        <f>IFERROR(__xludf.DUMMYFUNCTION("""COMPUTED_VALUE"""),1505)</f>
        <v>1505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IFERROR(__xludf.DUMMYFUNCTION("""COMPUTED_VALUE"""),1499.8)</f>
        <v>1499.8</v>
      </c>
      <c r="C93" s="16">
        <f>IFERROR(__xludf.DUMMYFUNCTION("""COMPUTED_VALUE"""),45874.6458333333)</f>
        <v>45874.6458333333</v>
      </c>
      <c r="D93" s="17">
        <f>IFERROR(__xludf.DUMMYFUNCTION("""COMPUTED_VALUE"""),1513.5)</f>
        <v>1513.5</v>
      </c>
      <c r="E93" s="16">
        <f>IFERROR(__xludf.DUMMYFUNCTION("""COMPUTED_VALUE"""),45874.6458333333)</f>
        <v>45874.6458333333</v>
      </c>
      <c r="F93" s="17">
        <f>IFERROR(__xludf.DUMMYFUNCTION("""COMPUTED_VALUE"""),1156528)</f>
        <v>1156528</v>
      </c>
      <c r="G93" s="16">
        <f>IFERROR(__xludf.DUMMYFUNCTION("""COMPUTED_VALUE"""),45874.6458333333)</f>
        <v>45874.6458333333</v>
      </c>
      <c r="H93" s="17">
        <f>IFERROR(__xludf.DUMMYFUNCTION("""COMPUTED_VALUE"""),1517.3)</f>
        <v>1517.3</v>
      </c>
      <c r="I93" s="16">
        <f>IFERROR(__xludf.DUMMYFUNCTION("""COMPUTED_VALUE"""),45874.6458333333)</f>
        <v>45874.6458333333</v>
      </c>
      <c r="J93" s="17">
        <f>IFERROR(__xludf.DUMMYFUNCTION("""COMPUTED_VALUE"""),1491.1)</f>
        <v>1491.1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IFERROR(__xludf.DUMMYFUNCTION("""COMPUTED_VALUE"""),1486.7)</f>
        <v>1486.7</v>
      </c>
      <c r="C94" s="16">
        <f>IFERROR(__xludf.DUMMYFUNCTION("""COMPUTED_VALUE"""),45875.6458333333)</f>
        <v>45875.6458333333</v>
      </c>
      <c r="D94" s="17">
        <f>IFERROR(__xludf.DUMMYFUNCTION("""COMPUTED_VALUE"""),1498.8)</f>
        <v>1498.8</v>
      </c>
      <c r="E94" s="16">
        <f>IFERROR(__xludf.DUMMYFUNCTION("""COMPUTED_VALUE"""),45875.6458333333)</f>
        <v>45875.6458333333</v>
      </c>
      <c r="F94" s="17">
        <f>IFERROR(__xludf.DUMMYFUNCTION("""COMPUTED_VALUE"""),1157300)</f>
        <v>1157300</v>
      </c>
      <c r="G94" s="16">
        <f>IFERROR(__xludf.DUMMYFUNCTION("""COMPUTED_VALUE"""),45875.6458333333)</f>
        <v>45875.6458333333</v>
      </c>
      <c r="H94" s="17">
        <f>IFERROR(__xludf.DUMMYFUNCTION("""COMPUTED_VALUE"""),1498.8)</f>
        <v>1498.8</v>
      </c>
      <c r="I94" s="16">
        <f>IFERROR(__xludf.DUMMYFUNCTION("""COMPUTED_VALUE"""),45875.6458333333)</f>
        <v>45875.6458333333</v>
      </c>
      <c r="J94" s="17">
        <f>IFERROR(__xludf.DUMMYFUNCTION("""COMPUTED_VALUE"""),1475)</f>
        <v>1475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IFERROR(__xludf.DUMMYFUNCTION("""COMPUTED_VALUE"""),1491)</f>
        <v>1491</v>
      </c>
      <c r="C95" s="16">
        <f>IFERROR(__xludf.DUMMYFUNCTION("""COMPUTED_VALUE"""),45876.6458333333)</f>
        <v>45876.6458333333</v>
      </c>
      <c r="D95" s="17">
        <f>IFERROR(__xludf.DUMMYFUNCTION("""COMPUTED_VALUE"""),1476.1)</f>
        <v>1476.1</v>
      </c>
      <c r="E95" s="16">
        <f>IFERROR(__xludf.DUMMYFUNCTION("""COMPUTED_VALUE"""),45876.6458333333)</f>
        <v>45876.6458333333</v>
      </c>
      <c r="F95" s="17">
        <f>IFERROR(__xludf.DUMMYFUNCTION("""COMPUTED_VALUE"""),1882304)</f>
        <v>1882304</v>
      </c>
      <c r="G95" s="16">
        <f>IFERROR(__xludf.DUMMYFUNCTION("""COMPUTED_VALUE"""),45876.6458333333)</f>
        <v>45876.6458333333</v>
      </c>
      <c r="H95" s="17">
        <f>IFERROR(__xludf.DUMMYFUNCTION("""COMPUTED_VALUE"""),1499.8)</f>
        <v>1499.8</v>
      </c>
      <c r="I95" s="16">
        <f>IFERROR(__xludf.DUMMYFUNCTION("""COMPUTED_VALUE"""),45876.6458333333)</f>
        <v>45876.6458333333</v>
      </c>
      <c r="J95" s="17">
        <f>IFERROR(__xludf.DUMMYFUNCTION("""COMPUTED_VALUE"""),1464.1)</f>
        <v>1464.1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IFERROR(__xludf.DUMMYFUNCTION("""COMPUTED_VALUE"""),1485.8)</f>
        <v>1485.8</v>
      </c>
      <c r="C96" s="16">
        <f>IFERROR(__xludf.DUMMYFUNCTION("""COMPUTED_VALUE"""),45877.6458333333)</f>
        <v>45877.6458333333</v>
      </c>
      <c r="D96" s="17">
        <f>IFERROR(__xludf.DUMMYFUNCTION("""COMPUTED_VALUE"""),1483)</f>
        <v>1483</v>
      </c>
      <c r="E96" s="16">
        <f>IFERROR(__xludf.DUMMYFUNCTION("""COMPUTED_VALUE"""),45877.6458333333)</f>
        <v>45877.6458333333</v>
      </c>
      <c r="F96" s="17">
        <f>IFERROR(__xludf.DUMMYFUNCTION("""COMPUTED_VALUE"""),920270)</f>
        <v>920270</v>
      </c>
      <c r="G96" s="16">
        <f>IFERROR(__xludf.DUMMYFUNCTION("""COMPUTED_VALUE"""),45877.6458333333)</f>
        <v>45877.6458333333</v>
      </c>
      <c r="H96" s="17">
        <f>IFERROR(__xludf.DUMMYFUNCTION("""COMPUTED_VALUE"""),1493.8)</f>
        <v>1493.8</v>
      </c>
      <c r="I96" s="16">
        <f>IFERROR(__xludf.DUMMYFUNCTION("""COMPUTED_VALUE"""),45877.6458333333)</f>
        <v>45877.6458333333</v>
      </c>
      <c r="J96" s="17">
        <f>IFERROR(__xludf.DUMMYFUNCTION("""COMPUTED_VALUE"""),1478.3)</f>
        <v>1478.3</v>
      </c>
      <c r="K96" s="3">
        <f t="shared" si="2"/>
        <v>0</v>
      </c>
      <c r="L96" s="3">
        <f t="shared" si="3"/>
        <v>1485.8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IFERROR(__xludf.DUMMYFUNCTION("""COMPUTED_VALUE"""),1504.8)</f>
        <v>1504.8</v>
      </c>
      <c r="C97" s="16">
        <f>IFERROR(__xludf.DUMMYFUNCTION("""COMPUTED_VALUE"""),45880.6458333333)</f>
        <v>45880.6458333333</v>
      </c>
      <c r="D97" s="17">
        <f>IFERROR(__xludf.DUMMYFUNCTION("""COMPUTED_VALUE"""),1488)</f>
        <v>1488</v>
      </c>
      <c r="E97" s="16">
        <f>IFERROR(__xludf.DUMMYFUNCTION("""COMPUTED_VALUE"""),45880.6458333333)</f>
        <v>45880.6458333333</v>
      </c>
      <c r="F97" s="17">
        <f>IFERROR(__xludf.DUMMYFUNCTION("""COMPUTED_VALUE"""),898160)</f>
        <v>898160</v>
      </c>
      <c r="G97" s="16">
        <f>IFERROR(__xludf.DUMMYFUNCTION("""COMPUTED_VALUE"""),45880.6458333333)</f>
        <v>45880.6458333333</v>
      </c>
      <c r="H97" s="17">
        <f>IFERROR(__xludf.DUMMYFUNCTION("""COMPUTED_VALUE"""),1514)</f>
        <v>1514</v>
      </c>
      <c r="I97" s="16">
        <f>IFERROR(__xludf.DUMMYFUNCTION("""COMPUTED_VALUE"""),45880.6458333333)</f>
        <v>45880.6458333333</v>
      </c>
      <c r="J97" s="17">
        <f>IFERROR(__xludf.DUMMYFUNCTION("""COMPUTED_VALUE"""),1480.2)</f>
        <v>1480.2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IFERROR(__xludf.DUMMYFUNCTION("""COMPUTED_VALUE"""),1521.6)</f>
        <v>1521.6</v>
      </c>
      <c r="C98" s="16">
        <f>IFERROR(__xludf.DUMMYFUNCTION("""COMPUTED_VALUE"""),45881.6458333333)</f>
        <v>45881.6458333333</v>
      </c>
      <c r="D98" s="17">
        <f>IFERROR(__xludf.DUMMYFUNCTION("""COMPUTED_VALUE"""),1504)</f>
        <v>1504</v>
      </c>
      <c r="E98" s="16">
        <f>IFERROR(__xludf.DUMMYFUNCTION("""COMPUTED_VALUE"""),45881.6458333333)</f>
        <v>45881.6458333333</v>
      </c>
      <c r="F98" s="17">
        <f>IFERROR(__xludf.DUMMYFUNCTION("""COMPUTED_VALUE"""),910349)</f>
        <v>910349</v>
      </c>
      <c r="G98" s="16">
        <f>IFERROR(__xludf.DUMMYFUNCTION("""COMPUTED_VALUE"""),45881.6458333333)</f>
        <v>45881.6458333333</v>
      </c>
      <c r="H98" s="17">
        <f>IFERROR(__xludf.DUMMYFUNCTION("""COMPUTED_VALUE"""),1524.9)</f>
        <v>1524.9</v>
      </c>
      <c r="I98" s="16">
        <f>IFERROR(__xludf.DUMMYFUNCTION("""COMPUTED_VALUE"""),45881.6458333333)</f>
        <v>45881.6458333333</v>
      </c>
      <c r="J98" s="17">
        <f>IFERROR(__xludf.DUMMYFUNCTION("""COMPUTED_VALUE"""),1501.1)</f>
        <v>1501.1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IFERROR(__xludf.DUMMYFUNCTION("""COMPUTED_VALUE"""),1561)</f>
        <v>1561</v>
      </c>
      <c r="C99" s="16">
        <f>IFERROR(__xludf.DUMMYFUNCTION("""COMPUTED_VALUE"""),45882.6458333333)</f>
        <v>45882.6458333333</v>
      </c>
      <c r="D99" s="17">
        <f>IFERROR(__xludf.DUMMYFUNCTION("""COMPUTED_VALUE"""),1521.6)</f>
        <v>1521.6</v>
      </c>
      <c r="E99" s="16">
        <f>IFERROR(__xludf.DUMMYFUNCTION("""COMPUTED_VALUE"""),45882.6458333333)</f>
        <v>45882.6458333333</v>
      </c>
      <c r="F99" s="17">
        <f>IFERROR(__xludf.DUMMYFUNCTION("""COMPUTED_VALUE"""),1859765)</f>
        <v>1859765</v>
      </c>
      <c r="G99" s="16">
        <f>IFERROR(__xludf.DUMMYFUNCTION("""COMPUTED_VALUE"""),45882.6458333333)</f>
        <v>45882.6458333333</v>
      </c>
      <c r="H99" s="17">
        <f>IFERROR(__xludf.DUMMYFUNCTION("""COMPUTED_VALUE"""),1567.8)</f>
        <v>1567.8</v>
      </c>
      <c r="I99" s="16">
        <f>IFERROR(__xludf.DUMMYFUNCTION("""COMPUTED_VALUE"""),45882.6458333333)</f>
        <v>45882.6458333333</v>
      </c>
      <c r="J99" s="17">
        <f>IFERROR(__xludf.DUMMYFUNCTION("""COMPUTED_VALUE"""),1520.4)</f>
        <v>1520.4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IFERROR(__xludf.DUMMYFUNCTION("""COMPUTED_VALUE"""),1564)</f>
        <v>1564</v>
      </c>
      <c r="C100" s="16">
        <f>IFERROR(__xludf.DUMMYFUNCTION("""COMPUTED_VALUE"""),45883.6458333333)</f>
        <v>45883.6458333333</v>
      </c>
      <c r="D100" s="17">
        <f>IFERROR(__xludf.DUMMYFUNCTION("""COMPUTED_VALUE"""),1562.5)</f>
        <v>1562.5</v>
      </c>
      <c r="E100" s="16">
        <f>IFERROR(__xludf.DUMMYFUNCTION("""COMPUTED_VALUE"""),45883.6458333333)</f>
        <v>45883.6458333333</v>
      </c>
      <c r="F100" s="17">
        <f>IFERROR(__xludf.DUMMYFUNCTION("""COMPUTED_VALUE"""),2535958)</f>
        <v>2535958</v>
      </c>
      <c r="G100" s="16">
        <f>IFERROR(__xludf.DUMMYFUNCTION("""COMPUTED_VALUE"""),45883.6458333333)</f>
        <v>45883.6458333333</v>
      </c>
      <c r="H100" s="17">
        <f>IFERROR(__xludf.DUMMYFUNCTION("""COMPUTED_VALUE"""),1574.8)</f>
        <v>1574.8</v>
      </c>
      <c r="I100" s="16">
        <f>IFERROR(__xludf.DUMMYFUNCTION("""COMPUTED_VALUE"""),45883.6458333333)</f>
        <v>45883.6458333333</v>
      </c>
      <c r="J100" s="17">
        <f>IFERROR(__xludf.DUMMYFUNCTION("""COMPUTED_VALUE"""),1552)</f>
        <v>1552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IFERROR(__xludf.DUMMYFUNCTION("""COMPUTED_VALUE"""),1565.2)</f>
        <v>1565.2</v>
      </c>
      <c r="C101" s="16">
        <f>IFERROR(__xludf.DUMMYFUNCTION("""COMPUTED_VALUE"""),45887.6458333333)</f>
        <v>45887.6458333333</v>
      </c>
      <c r="D101" s="17">
        <f>IFERROR(__xludf.DUMMYFUNCTION("""COMPUTED_VALUE"""),1566.2)</f>
        <v>1566.2</v>
      </c>
      <c r="E101" s="16">
        <f>IFERROR(__xludf.DUMMYFUNCTION("""COMPUTED_VALUE"""),45887.6458333333)</f>
        <v>45887.6458333333</v>
      </c>
      <c r="F101" s="17">
        <f>IFERROR(__xludf.DUMMYFUNCTION("""COMPUTED_VALUE"""),1783835)</f>
        <v>1783835</v>
      </c>
      <c r="G101" s="16">
        <f>IFERROR(__xludf.DUMMYFUNCTION("""COMPUTED_VALUE"""),45887.6458333333)</f>
        <v>45887.6458333333</v>
      </c>
      <c r="H101" s="17">
        <f>IFERROR(__xludf.DUMMYFUNCTION("""COMPUTED_VALUE"""),1572.8)</f>
        <v>1572.8</v>
      </c>
      <c r="I101" s="16">
        <f>IFERROR(__xludf.DUMMYFUNCTION("""COMPUTED_VALUE"""),45887.6458333333)</f>
        <v>45887.6458333333</v>
      </c>
      <c r="J101" s="17">
        <f>IFERROR(__xludf.DUMMYFUNCTION("""COMPUTED_VALUE"""),1557.5)</f>
        <v>1557.5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IFERROR(__xludf.DUMMYFUNCTION("""COMPUTED_VALUE"""),1548.9)</f>
        <v>1548.9</v>
      </c>
      <c r="C102" s="16">
        <f>IFERROR(__xludf.DUMMYFUNCTION("""COMPUTED_VALUE"""),45888.6458333333)</f>
        <v>45888.6458333333</v>
      </c>
      <c r="D102" s="17">
        <f>IFERROR(__xludf.DUMMYFUNCTION("""COMPUTED_VALUE"""),1565.2)</f>
        <v>1565.2</v>
      </c>
      <c r="E102" s="16">
        <f>IFERROR(__xludf.DUMMYFUNCTION("""COMPUTED_VALUE"""),45888.6458333333)</f>
        <v>45888.6458333333</v>
      </c>
      <c r="F102" s="17">
        <f>IFERROR(__xludf.DUMMYFUNCTION("""COMPUTED_VALUE"""),898746)</f>
        <v>898746</v>
      </c>
      <c r="G102" s="16">
        <f>IFERROR(__xludf.DUMMYFUNCTION("""COMPUTED_VALUE"""),45888.6458333333)</f>
        <v>45888.6458333333</v>
      </c>
      <c r="H102" s="17">
        <f>IFERROR(__xludf.DUMMYFUNCTION("""COMPUTED_VALUE"""),1568.7)</f>
        <v>1568.7</v>
      </c>
      <c r="I102" s="16">
        <f>IFERROR(__xludf.DUMMYFUNCTION("""COMPUTED_VALUE"""),45888.6458333333)</f>
        <v>45888.6458333333</v>
      </c>
      <c r="J102" s="17">
        <f>IFERROR(__xludf.DUMMYFUNCTION("""COMPUTED_VALUE"""),1546.1)</f>
        <v>1546.1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IFERROR(__xludf.DUMMYFUNCTION("""COMPUTED_VALUE"""),1546.1)</f>
        <v>1546.1</v>
      </c>
      <c r="C103" s="16">
        <f>IFERROR(__xludf.DUMMYFUNCTION("""COMPUTED_VALUE"""),45889.6458333333)</f>
        <v>45889.6458333333</v>
      </c>
      <c r="D103" s="17">
        <f>IFERROR(__xludf.DUMMYFUNCTION("""COMPUTED_VALUE"""),1539.2)</f>
        <v>1539.2</v>
      </c>
      <c r="E103" s="16">
        <f>IFERROR(__xludf.DUMMYFUNCTION("""COMPUTED_VALUE"""),45889.6458333333)</f>
        <v>45889.6458333333</v>
      </c>
      <c r="F103" s="17">
        <f>IFERROR(__xludf.DUMMYFUNCTION("""COMPUTED_VALUE"""),936556)</f>
        <v>936556</v>
      </c>
      <c r="G103" s="16">
        <f>IFERROR(__xludf.DUMMYFUNCTION("""COMPUTED_VALUE"""),45889.6458333333)</f>
        <v>45889.6458333333</v>
      </c>
      <c r="H103" s="17">
        <f>IFERROR(__xludf.DUMMYFUNCTION("""COMPUTED_VALUE"""),1556.9)</f>
        <v>1556.9</v>
      </c>
      <c r="I103" s="16">
        <f>IFERROR(__xludf.DUMMYFUNCTION("""COMPUTED_VALUE"""),45889.6458333333)</f>
        <v>45889.6458333333</v>
      </c>
      <c r="J103" s="17">
        <f>IFERROR(__xludf.DUMMYFUNCTION("""COMPUTED_VALUE"""),1533.4)</f>
        <v>1533.4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IFERROR(__xludf.DUMMYFUNCTION("""COMPUTED_VALUE"""),1592.8)</f>
        <v>1592.8</v>
      </c>
      <c r="C104" s="16">
        <f>IFERROR(__xludf.DUMMYFUNCTION("""COMPUTED_VALUE"""),45890.6458333333)</f>
        <v>45890.6458333333</v>
      </c>
      <c r="D104" s="17">
        <f>IFERROR(__xludf.DUMMYFUNCTION("""COMPUTED_VALUE"""),1540.1)</f>
        <v>1540.1</v>
      </c>
      <c r="E104" s="16">
        <f>IFERROR(__xludf.DUMMYFUNCTION("""COMPUTED_VALUE"""),45890.6458333333)</f>
        <v>45890.6458333333</v>
      </c>
      <c r="F104" s="17">
        <f>IFERROR(__xludf.DUMMYFUNCTION("""COMPUTED_VALUE"""),1698280)</f>
        <v>1698280</v>
      </c>
      <c r="G104" s="16">
        <f>IFERROR(__xludf.DUMMYFUNCTION("""COMPUTED_VALUE"""),45890.6458333333)</f>
        <v>45890.6458333333</v>
      </c>
      <c r="H104" s="17">
        <f>IFERROR(__xludf.DUMMYFUNCTION("""COMPUTED_VALUE"""),1596)</f>
        <v>1596</v>
      </c>
      <c r="I104" s="16">
        <f>IFERROR(__xludf.DUMMYFUNCTION("""COMPUTED_VALUE"""),45890.6458333333)</f>
        <v>45890.6458333333</v>
      </c>
      <c r="J104" s="17">
        <f>IFERROR(__xludf.DUMMYFUNCTION("""COMPUTED_VALUE"""),1538.7)</f>
        <v>1538.7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IFERROR(__xludf.DUMMYFUNCTION("""COMPUTED_VALUE"""),1592.8)</f>
        <v>1592.8</v>
      </c>
      <c r="C105" s="16">
        <f>IFERROR(__xludf.DUMMYFUNCTION("""COMPUTED_VALUE"""),45891.6458333333)</f>
        <v>45891.6458333333</v>
      </c>
      <c r="D105" s="17">
        <f>IFERROR(__xludf.DUMMYFUNCTION("""COMPUTED_VALUE"""),1590)</f>
        <v>1590</v>
      </c>
      <c r="E105" s="16">
        <f>IFERROR(__xludf.DUMMYFUNCTION("""COMPUTED_VALUE"""),45891.6458333333)</f>
        <v>45891.6458333333</v>
      </c>
      <c r="F105" s="17">
        <f>IFERROR(__xludf.DUMMYFUNCTION("""COMPUTED_VALUE"""),1574526)</f>
        <v>1574526</v>
      </c>
      <c r="G105" s="16">
        <f>IFERROR(__xludf.DUMMYFUNCTION("""COMPUTED_VALUE"""),45891.6458333333)</f>
        <v>45891.6458333333</v>
      </c>
      <c r="H105" s="17">
        <f>IFERROR(__xludf.DUMMYFUNCTION("""COMPUTED_VALUE"""),1602)</f>
        <v>1602</v>
      </c>
      <c r="I105" s="16">
        <f>IFERROR(__xludf.DUMMYFUNCTION("""COMPUTED_VALUE"""),45891.6458333333)</f>
        <v>45891.6458333333</v>
      </c>
      <c r="J105" s="17">
        <f>IFERROR(__xludf.DUMMYFUNCTION("""COMPUTED_VALUE"""),1585)</f>
        <v>1585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IFERROR(__xludf.DUMMYFUNCTION("""COMPUTED_VALUE"""),1601.2)</f>
        <v>1601.2</v>
      </c>
      <c r="C106" s="16">
        <f>IFERROR(__xludf.DUMMYFUNCTION("""COMPUTED_VALUE"""),45894.6458333333)</f>
        <v>45894.6458333333</v>
      </c>
      <c r="D106" s="17">
        <f>IFERROR(__xludf.DUMMYFUNCTION("""COMPUTED_VALUE"""),1594)</f>
        <v>1594</v>
      </c>
      <c r="E106" s="16">
        <f>IFERROR(__xludf.DUMMYFUNCTION("""COMPUTED_VALUE"""),45894.6458333333)</f>
        <v>45894.6458333333</v>
      </c>
      <c r="F106" s="17">
        <f>IFERROR(__xludf.DUMMYFUNCTION("""COMPUTED_VALUE"""),1298471)</f>
        <v>1298471</v>
      </c>
      <c r="G106" s="16">
        <f>IFERROR(__xludf.DUMMYFUNCTION("""COMPUTED_VALUE"""),45894.6458333333)</f>
        <v>45894.6458333333</v>
      </c>
      <c r="H106" s="17">
        <f>IFERROR(__xludf.DUMMYFUNCTION("""COMPUTED_VALUE"""),1607.8)</f>
        <v>1607.8</v>
      </c>
      <c r="I106" s="16">
        <f>IFERROR(__xludf.DUMMYFUNCTION("""COMPUTED_VALUE"""),45894.6458333333)</f>
        <v>45894.6458333333</v>
      </c>
      <c r="J106" s="17">
        <f>IFERROR(__xludf.DUMMYFUNCTION("""COMPUTED_VALUE"""),1592)</f>
        <v>1592</v>
      </c>
      <c r="K106" s="3">
        <f t="shared" si="2"/>
        <v>1601.2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IFERROR(__xludf.DUMMYFUNCTION("""COMPUTED_VALUE"""),1579.8)</f>
        <v>1579.8</v>
      </c>
      <c r="C107" s="16">
        <f>IFERROR(__xludf.DUMMYFUNCTION("""COMPUTED_VALUE"""),45895.6458333333)</f>
        <v>45895.6458333333</v>
      </c>
      <c r="D107" s="17">
        <f>IFERROR(__xludf.DUMMYFUNCTION("""COMPUTED_VALUE"""),1604)</f>
        <v>1604</v>
      </c>
      <c r="E107" s="16">
        <f>IFERROR(__xludf.DUMMYFUNCTION("""COMPUTED_VALUE"""),45895.6458333333)</f>
        <v>45895.6458333333</v>
      </c>
      <c r="F107" s="17">
        <f>IFERROR(__xludf.DUMMYFUNCTION("""COMPUTED_VALUE"""),2332380)</f>
        <v>2332380</v>
      </c>
      <c r="G107" s="16">
        <f>IFERROR(__xludf.DUMMYFUNCTION("""COMPUTED_VALUE"""),45895.6458333333)</f>
        <v>45895.6458333333</v>
      </c>
      <c r="H107" s="17">
        <f>IFERROR(__xludf.DUMMYFUNCTION("""COMPUTED_VALUE"""),1604.1)</f>
        <v>1604.1</v>
      </c>
      <c r="I107" s="16">
        <f>IFERROR(__xludf.DUMMYFUNCTION("""COMPUTED_VALUE"""),45895.6458333333)</f>
        <v>45895.6458333333</v>
      </c>
      <c r="J107" s="17">
        <f>IFERROR(__xludf.DUMMYFUNCTION("""COMPUTED_VALUE"""),1573)</f>
        <v>1573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IFERROR(__xludf.DUMMYFUNCTION("""COMPUTED_VALUE"""),1580.3)</f>
        <v>1580.3</v>
      </c>
      <c r="C108" s="16">
        <f>IFERROR(__xludf.DUMMYFUNCTION("""COMPUTED_VALUE"""),45897.6458333333)</f>
        <v>45897.6458333333</v>
      </c>
      <c r="D108" s="17">
        <f>IFERROR(__xludf.DUMMYFUNCTION("""COMPUTED_VALUE"""),1594)</f>
        <v>1594</v>
      </c>
      <c r="E108" s="16">
        <f>IFERROR(__xludf.DUMMYFUNCTION("""COMPUTED_VALUE"""),45897.6458333333)</f>
        <v>45897.6458333333</v>
      </c>
      <c r="F108" s="17">
        <f>IFERROR(__xludf.DUMMYFUNCTION("""COMPUTED_VALUE"""),1903230)</f>
        <v>1903230</v>
      </c>
      <c r="G108" s="16">
        <f>IFERROR(__xludf.DUMMYFUNCTION("""COMPUTED_VALUE"""),45897.6458333333)</f>
        <v>45897.6458333333</v>
      </c>
      <c r="H108" s="17">
        <f>IFERROR(__xludf.DUMMYFUNCTION("""COMPUTED_VALUE"""),1594)</f>
        <v>1594</v>
      </c>
      <c r="I108" s="16">
        <f>IFERROR(__xludf.DUMMYFUNCTION("""COMPUTED_VALUE"""),45897.6458333333)</f>
        <v>45897.6458333333</v>
      </c>
      <c r="J108" s="17">
        <f>IFERROR(__xludf.DUMMYFUNCTION("""COMPUTED_VALUE"""),1568.7)</f>
        <v>1568.7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IFERROR(__xludf.DUMMYFUNCTION("""COMPUTED_VALUE"""),1589.4)</f>
        <v>1589.4</v>
      </c>
      <c r="C109" s="16">
        <f>IFERROR(__xludf.DUMMYFUNCTION("""COMPUTED_VALUE"""),45898.6458333333)</f>
        <v>45898.6458333333</v>
      </c>
      <c r="D109" s="17">
        <f>IFERROR(__xludf.DUMMYFUNCTION("""COMPUTED_VALUE"""),1578.5)</f>
        <v>1578.5</v>
      </c>
      <c r="E109" s="16">
        <f>IFERROR(__xludf.DUMMYFUNCTION("""COMPUTED_VALUE"""),45898.6458333333)</f>
        <v>45898.6458333333</v>
      </c>
      <c r="F109" s="17">
        <f>IFERROR(__xludf.DUMMYFUNCTION("""COMPUTED_VALUE"""),1342344)</f>
        <v>1342344</v>
      </c>
      <c r="G109" s="16">
        <f>IFERROR(__xludf.DUMMYFUNCTION("""COMPUTED_VALUE"""),45898.6458333333)</f>
        <v>45898.6458333333</v>
      </c>
      <c r="H109" s="17">
        <f>IFERROR(__xludf.DUMMYFUNCTION("""COMPUTED_VALUE"""),1596.4)</f>
        <v>1596.4</v>
      </c>
      <c r="I109" s="16">
        <f>IFERROR(__xludf.DUMMYFUNCTION("""COMPUTED_VALUE"""),45898.6458333333)</f>
        <v>45898.6458333333</v>
      </c>
      <c r="J109" s="17">
        <f>IFERROR(__xludf.DUMMYFUNCTION("""COMPUTED_VALUE"""),1567.8)</f>
        <v>1567.8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IFERROR(__xludf.DUMMYFUNCTION("""COMPUTED_VALUE"""),1587.2)</f>
        <v>1587.2</v>
      </c>
      <c r="C110" s="16">
        <f>IFERROR(__xludf.DUMMYFUNCTION("""COMPUTED_VALUE"""),45901.6458333333)</f>
        <v>45901.6458333333</v>
      </c>
      <c r="D110" s="17">
        <f>IFERROR(__xludf.DUMMYFUNCTION("""COMPUTED_VALUE"""),1589.4)</f>
        <v>1589.4</v>
      </c>
      <c r="E110" s="16">
        <f>IFERROR(__xludf.DUMMYFUNCTION("""COMPUTED_VALUE"""),45901.6458333333)</f>
        <v>45901.6458333333</v>
      </c>
      <c r="F110" s="17">
        <f>IFERROR(__xludf.DUMMYFUNCTION("""COMPUTED_VALUE"""),783524)</f>
        <v>783524</v>
      </c>
      <c r="G110" s="16">
        <f>IFERROR(__xludf.DUMMYFUNCTION("""COMPUTED_VALUE"""),45901.6458333333)</f>
        <v>45901.6458333333</v>
      </c>
      <c r="H110" s="17">
        <f>IFERROR(__xludf.DUMMYFUNCTION("""COMPUTED_VALUE"""),1598)</f>
        <v>1598</v>
      </c>
      <c r="I110" s="16">
        <f>IFERROR(__xludf.DUMMYFUNCTION("""COMPUTED_VALUE"""),45901.6458333333)</f>
        <v>45901.6458333333</v>
      </c>
      <c r="J110" s="17">
        <f>IFERROR(__xludf.DUMMYFUNCTION("""COMPUTED_VALUE"""),1583)</f>
        <v>1583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IFERROR(__xludf.DUMMYFUNCTION("""COMPUTED_VALUE"""),1569.2)</f>
        <v>1569.2</v>
      </c>
      <c r="C111" s="16">
        <f>IFERROR(__xludf.DUMMYFUNCTION("""COMPUTED_VALUE"""),45902.6458333333)</f>
        <v>45902.6458333333</v>
      </c>
      <c r="D111" s="17">
        <f>IFERROR(__xludf.DUMMYFUNCTION("""COMPUTED_VALUE"""),1587)</f>
        <v>1587</v>
      </c>
      <c r="E111" s="16">
        <f>IFERROR(__xludf.DUMMYFUNCTION("""COMPUTED_VALUE"""),45902.6458333333)</f>
        <v>45902.6458333333</v>
      </c>
      <c r="F111" s="17">
        <f>IFERROR(__xludf.DUMMYFUNCTION("""COMPUTED_VALUE"""),1161872)</f>
        <v>1161872</v>
      </c>
      <c r="G111" s="16">
        <f>IFERROR(__xludf.DUMMYFUNCTION("""COMPUTED_VALUE"""),45902.6458333333)</f>
        <v>45902.6458333333</v>
      </c>
      <c r="H111" s="17">
        <f>IFERROR(__xludf.DUMMYFUNCTION("""COMPUTED_VALUE"""),1593)</f>
        <v>1593</v>
      </c>
      <c r="I111" s="16">
        <f>IFERROR(__xludf.DUMMYFUNCTION("""COMPUTED_VALUE"""),45902.6458333333)</f>
        <v>45902.6458333333</v>
      </c>
      <c r="J111" s="17">
        <f>IFERROR(__xludf.DUMMYFUNCTION("""COMPUTED_VALUE"""),1563.3)</f>
        <v>1563.3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IFERROR(__xludf.DUMMYFUNCTION("""COMPUTED_VALUE"""),1578.4)</f>
        <v>1578.4</v>
      </c>
      <c r="C112" s="16">
        <f>IFERROR(__xludf.DUMMYFUNCTION("""COMPUTED_VALUE"""),45903.6458333333)</f>
        <v>45903.6458333333</v>
      </c>
      <c r="D112" s="17">
        <f>IFERROR(__xludf.DUMMYFUNCTION("""COMPUTED_VALUE"""),1570)</f>
        <v>1570</v>
      </c>
      <c r="E112" s="16">
        <f>IFERROR(__xludf.DUMMYFUNCTION("""COMPUTED_VALUE"""),45903.6458333333)</f>
        <v>45903.6458333333</v>
      </c>
      <c r="F112" s="17">
        <f>IFERROR(__xludf.DUMMYFUNCTION("""COMPUTED_VALUE"""),1160380)</f>
        <v>1160380</v>
      </c>
      <c r="G112" s="16">
        <f>IFERROR(__xludf.DUMMYFUNCTION("""COMPUTED_VALUE"""),45903.6458333333)</f>
        <v>45903.6458333333</v>
      </c>
      <c r="H112" s="17">
        <f>IFERROR(__xludf.DUMMYFUNCTION("""COMPUTED_VALUE"""),1596.4)</f>
        <v>1596.4</v>
      </c>
      <c r="I112" s="16">
        <f>IFERROR(__xludf.DUMMYFUNCTION("""COMPUTED_VALUE"""),45903.6458333333)</f>
        <v>45903.6458333333</v>
      </c>
      <c r="J112" s="17">
        <f>IFERROR(__xludf.DUMMYFUNCTION("""COMPUTED_VALUE"""),1569)</f>
        <v>1569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IFERROR(__xludf.DUMMYFUNCTION("""COMPUTED_VALUE"""),1577.8)</f>
        <v>1577.8</v>
      </c>
      <c r="C113" s="16">
        <f>IFERROR(__xludf.DUMMYFUNCTION("""COMPUTED_VALUE"""),45904.6458333333)</f>
        <v>45904.6458333333</v>
      </c>
      <c r="D113" s="17">
        <f>IFERROR(__xludf.DUMMYFUNCTION("""COMPUTED_VALUE"""),1599)</f>
        <v>1599</v>
      </c>
      <c r="E113" s="16">
        <f>IFERROR(__xludf.DUMMYFUNCTION("""COMPUTED_VALUE"""),45904.6458333333)</f>
        <v>45904.6458333333</v>
      </c>
      <c r="F113" s="17">
        <f>IFERROR(__xludf.DUMMYFUNCTION("""COMPUTED_VALUE"""),614470)</f>
        <v>614470</v>
      </c>
      <c r="G113" s="16">
        <f>IFERROR(__xludf.DUMMYFUNCTION("""COMPUTED_VALUE"""),45904.6458333333)</f>
        <v>45904.6458333333</v>
      </c>
      <c r="H113" s="17">
        <f>IFERROR(__xludf.DUMMYFUNCTION("""COMPUTED_VALUE"""),1599)</f>
        <v>1599</v>
      </c>
      <c r="I113" s="16">
        <f>IFERROR(__xludf.DUMMYFUNCTION("""COMPUTED_VALUE"""),45904.6458333333)</f>
        <v>45904.6458333333</v>
      </c>
      <c r="J113" s="17">
        <f>IFERROR(__xludf.DUMMYFUNCTION("""COMPUTED_VALUE"""),1573.7)</f>
        <v>1573.7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IFERROR(__xludf.DUMMYFUNCTION("""COMPUTED_VALUE"""),1553.4)</f>
        <v>1553.4</v>
      </c>
      <c r="C114" s="16">
        <f>IFERROR(__xludf.DUMMYFUNCTION("""COMPUTED_VALUE"""),45905.6458333333)</f>
        <v>45905.6458333333</v>
      </c>
      <c r="D114" s="17">
        <f>IFERROR(__xludf.DUMMYFUNCTION("""COMPUTED_VALUE"""),1577.8)</f>
        <v>1577.8</v>
      </c>
      <c r="E114" s="16">
        <f>IFERROR(__xludf.DUMMYFUNCTION("""COMPUTED_VALUE"""),45905.6458333333)</f>
        <v>45905.6458333333</v>
      </c>
      <c r="F114" s="17">
        <f>IFERROR(__xludf.DUMMYFUNCTION("""COMPUTED_VALUE"""),701865)</f>
        <v>701865</v>
      </c>
      <c r="G114" s="16">
        <f>IFERROR(__xludf.DUMMYFUNCTION("""COMPUTED_VALUE"""),45905.6458333333)</f>
        <v>45905.6458333333</v>
      </c>
      <c r="H114" s="17">
        <f>IFERROR(__xludf.DUMMYFUNCTION("""COMPUTED_VALUE"""),1585.6)</f>
        <v>1585.6</v>
      </c>
      <c r="I114" s="16">
        <f>IFERROR(__xludf.DUMMYFUNCTION("""COMPUTED_VALUE"""),45905.6458333333)</f>
        <v>45905.6458333333</v>
      </c>
      <c r="J114" s="17">
        <f>IFERROR(__xludf.DUMMYFUNCTION("""COMPUTED_VALUE"""),1550)</f>
        <v>1550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IFERROR(__xludf.DUMMYFUNCTION("""COMPUTED_VALUE"""),1541.2)</f>
        <v>1541.2</v>
      </c>
      <c r="C115" s="16">
        <f>IFERROR(__xludf.DUMMYFUNCTION("""COMPUTED_VALUE"""),45908.6458333333)</f>
        <v>45908.6458333333</v>
      </c>
      <c r="D115" s="17">
        <f>IFERROR(__xludf.DUMMYFUNCTION("""COMPUTED_VALUE"""),1554.5)</f>
        <v>1554.5</v>
      </c>
      <c r="E115" s="16">
        <f>IFERROR(__xludf.DUMMYFUNCTION("""COMPUTED_VALUE"""),45908.6458333333)</f>
        <v>45908.6458333333</v>
      </c>
      <c r="F115" s="17">
        <f>IFERROR(__xludf.DUMMYFUNCTION("""COMPUTED_VALUE"""),588546)</f>
        <v>588546</v>
      </c>
      <c r="G115" s="16">
        <f>IFERROR(__xludf.DUMMYFUNCTION("""COMPUTED_VALUE"""),45908.6458333333)</f>
        <v>45908.6458333333</v>
      </c>
      <c r="H115" s="17">
        <f>IFERROR(__xludf.DUMMYFUNCTION("""COMPUTED_VALUE"""),1564.9)</f>
        <v>1564.9</v>
      </c>
      <c r="I115" s="16">
        <f>IFERROR(__xludf.DUMMYFUNCTION("""COMPUTED_VALUE"""),45908.6458333333)</f>
        <v>45908.6458333333</v>
      </c>
      <c r="J115" s="17">
        <f>IFERROR(__xludf.DUMMYFUNCTION("""COMPUTED_VALUE"""),1538.9)</f>
        <v>1538.9</v>
      </c>
      <c r="K115" s="3">
        <f t="shared" si="2"/>
        <v>0</v>
      </c>
      <c r="L115" s="3">
        <f t="shared" si="3"/>
        <v>1541.2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IFERROR(__xludf.DUMMYFUNCTION("""COMPUTED_VALUE"""),1551.6)</f>
        <v>1551.6</v>
      </c>
      <c r="C116" s="16">
        <f>IFERROR(__xludf.DUMMYFUNCTION("""COMPUTED_VALUE"""),45909.6458333333)</f>
        <v>45909.6458333333</v>
      </c>
      <c r="D116" s="17">
        <f>IFERROR(__xludf.DUMMYFUNCTION("""COMPUTED_VALUE"""),1541.2)</f>
        <v>1541.2</v>
      </c>
      <c r="E116" s="16">
        <f>IFERROR(__xludf.DUMMYFUNCTION("""COMPUTED_VALUE"""),45909.6458333333)</f>
        <v>45909.6458333333</v>
      </c>
      <c r="F116" s="17">
        <f>IFERROR(__xludf.DUMMYFUNCTION("""COMPUTED_VALUE"""),788242)</f>
        <v>788242</v>
      </c>
      <c r="G116" s="16">
        <f>IFERROR(__xludf.DUMMYFUNCTION("""COMPUTED_VALUE"""),45909.6458333333)</f>
        <v>45909.6458333333</v>
      </c>
      <c r="H116" s="17">
        <f>IFERROR(__xludf.DUMMYFUNCTION("""COMPUTED_VALUE"""),1555.2)</f>
        <v>1555.2</v>
      </c>
      <c r="I116" s="16">
        <f>IFERROR(__xludf.DUMMYFUNCTION("""COMPUTED_VALUE"""),45909.6458333333)</f>
        <v>45909.6458333333</v>
      </c>
      <c r="J116" s="17">
        <f>IFERROR(__xludf.DUMMYFUNCTION("""COMPUTED_VALUE"""),1533.1)</f>
        <v>1533.1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IFERROR(__xludf.DUMMYFUNCTION("""COMPUTED_VALUE"""),1563.8)</f>
        <v>1563.8</v>
      </c>
      <c r="C117" s="16">
        <f>IFERROR(__xludf.DUMMYFUNCTION("""COMPUTED_VALUE"""),45910.6458333333)</f>
        <v>45910.6458333333</v>
      </c>
      <c r="D117" s="17">
        <f>IFERROR(__xludf.DUMMYFUNCTION("""COMPUTED_VALUE"""),1555)</f>
        <v>1555</v>
      </c>
      <c r="E117" s="16">
        <f>IFERROR(__xludf.DUMMYFUNCTION("""COMPUTED_VALUE"""),45910.6458333333)</f>
        <v>45910.6458333333</v>
      </c>
      <c r="F117" s="17">
        <f>IFERROR(__xludf.DUMMYFUNCTION("""COMPUTED_VALUE"""),718311)</f>
        <v>718311</v>
      </c>
      <c r="G117" s="16">
        <f>IFERROR(__xludf.DUMMYFUNCTION("""COMPUTED_VALUE"""),45910.6458333333)</f>
        <v>45910.6458333333</v>
      </c>
      <c r="H117" s="17">
        <f>IFERROR(__xludf.DUMMYFUNCTION("""COMPUTED_VALUE"""),1571)</f>
        <v>1571</v>
      </c>
      <c r="I117" s="16">
        <f>IFERROR(__xludf.DUMMYFUNCTION("""COMPUTED_VALUE"""),45910.6458333333)</f>
        <v>45910.6458333333</v>
      </c>
      <c r="J117" s="17">
        <f>IFERROR(__xludf.DUMMYFUNCTION("""COMPUTED_VALUE"""),1553.9)</f>
        <v>1553.9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IFERROR(__xludf.DUMMYFUNCTION("""COMPUTED_VALUE"""),1560.8)</f>
        <v>1560.8</v>
      </c>
      <c r="C118" s="16">
        <f>IFERROR(__xludf.DUMMYFUNCTION("""COMPUTED_VALUE"""),45911.6458333333)</f>
        <v>45911.6458333333</v>
      </c>
      <c r="D118" s="17">
        <f>IFERROR(__xludf.DUMMYFUNCTION("""COMPUTED_VALUE"""),1563.5)</f>
        <v>1563.5</v>
      </c>
      <c r="E118" s="16">
        <f>IFERROR(__xludf.DUMMYFUNCTION("""COMPUTED_VALUE"""),45911.6458333333)</f>
        <v>45911.6458333333</v>
      </c>
      <c r="F118" s="17">
        <f>IFERROR(__xludf.DUMMYFUNCTION("""COMPUTED_VALUE"""),732911)</f>
        <v>732911</v>
      </c>
      <c r="G118" s="16">
        <f>IFERROR(__xludf.DUMMYFUNCTION("""COMPUTED_VALUE"""),45911.6458333333)</f>
        <v>45911.6458333333</v>
      </c>
      <c r="H118" s="17">
        <f>IFERROR(__xludf.DUMMYFUNCTION("""COMPUTED_VALUE"""),1570.5)</f>
        <v>1570.5</v>
      </c>
      <c r="I118" s="16">
        <f>IFERROR(__xludf.DUMMYFUNCTION("""COMPUTED_VALUE"""),45911.6458333333)</f>
        <v>45911.6458333333</v>
      </c>
      <c r="J118" s="17">
        <f>IFERROR(__xludf.DUMMYFUNCTION("""COMPUTED_VALUE"""),1554.1)</f>
        <v>1554.1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IFERROR(__xludf.DUMMYFUNCTION("""COMPUTED_VALUE"""),1574.6)</f>
        <v>1574.6</v>
      </c>
      <c r="C119" s="16">
        <f>IFERROR(__xludf.DUMMYFUNCTION("""COMPUTED_VALUE"""),45912.6458333333)</f>
        <v>45912.6458333333</v>
      </c>
      <c r="D119" s="17">
        <f>IFERROR(__xludf.DUMMYFUNCTION("""COMPUTED_VALUE"""),1562.1)</f>
        <v>1562.1</v>
      </c>
      <c r="E119" s="16">
        <f>IFERROR(__xludf.DUMMYFUNCTION("""COMPUTED_VALUE"""),45912.6458333333)</f>
        <v>45912.6458333333</v>
      </c>
      <c r="F119" s="17">
        <f>IFERROR(__xludf.DUMMYFUNCTION("""COMPUTED_VALUE"""),785508)</f>
        <v>785508</v>
      </c>
      <c r="G119" s="16">
        <f>IFERROR(__xludf.DUMMYFUNCTION("""COMPUTED_VALUE"""),45912.6458333333)</f>
        <v>45912.6458333333</v>
      </c>
      <c r="H119" s="17">
        <f>IFERROR(__xludf.DUMMYFUNCTION("""COMPUTED_VALUE"""),1578.3)</f>
        <v>1578.3</v>
      </c>
      <c r="I119" s="16">
        <f>IFERROR(__xludf.DUMMYFUNCTION("""COMPUTED_VALUE"""),45912.6458333333)</f>
        <v>45912.6458333333</v>
      </c>
      <c r="J119" s="17">
        <f>IFERROR(__xludf.DUMMYFUNCTION("""COMPUTED_VALUE"""),1562.1)</f>
        <v>1562.1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IFERROR(__xludf.DUMMYFUNCTION("""COMPUTED_VALUE"""),1548.3)</f>
        <v>1548.3</v>
      </c>
      <c r="C120" s="16">
        <f>IFERROR(__xludf.DUMMYFUNCTION("""COMPUTED_VALUE"""),45915.6458333333)</f>
        <v>45915.6458333333</v>
      </c>
      <c r="D120" s="17">
        <f>IFERROR(__xludf.DUMMYFUNCTION("""COMPUTED_VALUE"""),1568)</f>
        <v>1568</v>
      </c>
      <c r="E120" s="16">
        <f>IFERROR(__xludf.DUMMYFUNCTION("""COMPUTED_VALUE"""),45915.6458333333)</f>
        <v>45915.6458333333</v>
      </c>
      <c r="F120" s="17">
        <f>IFERROR(__xludf.DUMMYFUNCTION("""COMPUTED_VALUE"""),758979)</f>
        <v>758979</v>
      </c>
      <c r="G120" s="16">
        <f>IFERROR(__xludf.DUMMYFUNCTION("""COMPUTED_VALUE"""),45915.6458333333)</f>
        <v>45915.6458333333</v>
      </c>
      <c r="H120" s="17">
        <f>IFERROR(__xludf.DUMMYFUNCTION("""COMPUTED_VALUE"""),1579.8)</f>
        <v>1579.8</v>
      </c>
      <c r="I120" s="16">
        <f>IFERROR(__xludf.DUMMYFUNCTION("""COMPUTED_VALUE"""),45915.6458333333)</f>
        <v>45915.6458333333</v>
      </c>
      <c r="J120" s="17">
        <f>IFERROR(__xludf.DUMMYFUNCTION("""COMPUTED_VALUE"""),1546.1)</f>
        <v>1546.1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IFERROR(__xludf.DUMMYFUNCTION("""COMPUTED_VALUE"""),1559)</f>
        <v>1559</v>
      </c>
      <c r="C121" s="16">
        <f>IFERROR(__xludf.DUMMYFUNCTION("""COMPUTED_VALUE"""),45916.6458333333)</f>
        <v>45916.6458333333</v>
      </c>
      <c r="D121" s="17">
        <f>IFERROR(__xludf.DUMMYFUNCTION("""COMPUTED_VALUE"""),1556)</f>
        <v>1556</v>
      </c>
      <c r="E121" s="16">
        <f>IFERROR(__xludf.DUMMYFUNCTION("""COMPUTED_VALUE"""),45916.6458333333)</f>
        <v>45916.6458333333</v>
      </c>
      <c r="F121" s="17">
        <f>IFERROR(__xludf.DUMMYFUNCTION("""COMPUTED_VALUE"""),471395)</f>
        <v>471395</v>
      </c>
      <c r="G121" s="16">
        <f>IFERROR(__xludf.DUMMYFUNCTION("""COMPUTED_VALUE"""),45916.6458333333)</f>
        <v>45916.6458333333</v>
      </c>
      <c r="H121" s="17">
        <f>IFERROR(__xludf.DUMMYFUNCTION("""COMPUTED_VALUE"""),1560.2)</f>
        <v>1560.2</v>
      </c>
      <c r="I121" s="16">
        <f>IFERROR(__xludf.DUMMYFUNCTION("""COMPUTED_VALUE"""),45916.6458333333)</f>
        <v>45916.6458333333</v>
      </c>
      <c r="J121" s="17">
        <f>IFERROR(__xludf.DUMMYFUNCTION("""COMPUTED_VALUE"""),1550)</f>
        <v>1550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IFERROR(__xludf.DUMMYFUNCTION("""COMPUTED_VALUE"""),1559.6)</f>
        <v>1559.6</v>
      </c>
      <c r="C122" s="16">
        <f>IFERROR(__xludf.DUMMYFUNCTION("""COMPUTED_VALUE"""),45917.6458333333)</f>
        <v>45917.6458333333</v>
      </c>
      <c r="D122" s="17">
        <f>IFERROR(__xludf.DUMMYFUNCTION("""COMPUTED_VALUE"""),1556)</f>
        <v>1556</v>
      </c>
      <c r="E122" s="16">
        <f>IFERROR(__xludf.DUMMYFUNCTION("""COMPUTED_VALUE"""),45917.6458333333)</f>
        <v>45917.6458333333</v>
      </c>
      <c r="F122" s="17">
        <f>IFERROR(__xludf.DUMMYFUNCTION("""COMPUTED_VALUE"""),785651)</f>
        <v>785651</v>
      </c>
      <c r="G122" s="16">
        <f>IFERROR(__xludf.DUMMYFUNCTION("""COMPUTED_VALUE"""),45917.6458333333)</f>
        <v>45917.6458333333</v>
      </c>
      <c r="H122" s="17">
        <f>IFERROR(__xludf.DUMMYFUNCTION("""COMPUTED_VALUE"""),1562.5)</f>
        <v>1562.5</v>
      </c>
      <c r="I122" s="16">
        <f>IFERROR(__xludf.DUMMYFUNCTION("""COMPUTED_VALUE"""),45917.6458333333)</f>
        <v>45917.6458333333</v>
      </c>
      <c r="J122" s="17">
        <f>IFERROR(__xludf.DUMMYFUNCTION("""COMPUTED_VALUE"""),1549.1)</f>
        <v>1549.1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IFERROR(__xludf.DUMMYFUNCTION("""COMPUTED_VALUE"""),1578.2)</f>
        <v>1578.2</v>
      </c>
      <c r="C123" s="16">
        <f>IFERROR(__xludf.DUMMYFUNCTION("""COMPUTED_VALUE"""),45918.6458333333)</f>
        <v>45918.6458333333</v>
      </c>
      <c r="D123" s="17">
        <f>IFERROR(__xludf.DUMMYFUNCTION("""COMPUTED_VALUE"""),1560)</f>
        <v>1560</v>
      </c>
      <c r="E123" s="16">
        <f>IFERROR(__xludf.DUMMYFUNCTION("""COMPUTED_VALUE"""),45918.6458333333)</f>
        <v>45918.6458333333</v>
      </c>
      <c r="F123" s="17">
        <f>IFERROR(__xludf.DUMMYFUNCTION("""COMPUTED_VALUE"""),874860)</f>
        <v>874860</v>
      </c>
      <c r="G123" s="16">
        <f>IFERROR(__xludf.DUMMYFUNCTION("""COMPUTED_VALUE"""),45918.6458333333)</f>
        <v>45918.6458333333</v>
      </c>
      <c r="H123" s="17">
        <f>IFERROR(__xludf.DUMMYFUNCTION("""COMPUTED_VALUE"""),1580)</f>
        <v>1580</v>
      </c>
      <c r="I123" s="16">
        <f>IFERROR(__xludf.DUMMYFUNCTION("""COMPUTED_VALUE"""),45918.6458333333)</f>
        <v>45918.6458333333</v>
      </c>
      <c r="J123" s="17">
        <f>IFERROR(__xludf.DUMMYFUNCTION("""COMPUTED_VALUE"""),1556.4)</f>
        <v>1556.4</v>
      </c>
      <c r="K123" s="3">
        <f t="shared" si="2"/>
        <v>1578.2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IFERROR(__xludf.DUMMYFUNCTION("""COMPUTED_VALUE"""),1575.8)</f>
        <v>1575.8</v>
      </c>
      <c r="C124" s="16">
        <f>IFERROR(__xludf.DUMMYFUNCTION("""COMPUTED_VALUE"""),45919.6458333333)</f>
        <v>45919.6458333333</v>
      </c>
      <c r="D124" s="17">
        <f>IFERROR(__xludf.DUMMYFUNCTION("""COMPUTED_VALUE"""),1581)</f>
        <v>1581</v>
      </c>
      <c r="E124" s="16">
        <f>IFERROR(__xludf.DUMMYFUNCTION("""COMPUTED_VALUE"""),45919.6458333333)</f>
        <v>45919.6458333333</v>
      </c>
      <c r="F124" s="17">
        <f>IFERROR(__xludf.DUMMYFUNCTION("""COMPUTED_VALUE"""),1464121)</f>
        <v>1464121</v>
      </c>
      <c r="G124" s="16">
        <f>IFERROR(__xludf.DUMMYFUNCTION("""COMPUTED_VALUE"""),45919.6458333333)</f>
        <v>45919.6458333333</v>
      </c>
      <c r="H124" s="17">
        <f>IFERROR(__xludf.DUMMYFUNCTION("""COMPUTED_VALUE"""),1584.9)</f>
        <v>1584.9</v>
      </c>
      <c r="I124" s="16">
        <f>IFERROR(__xludf.DUMMYFUNCTION("""COMPUTED_VALUE"""),45919.6458333333)</f>
        <v>45919.6458333333</v>
      </c>
      <c r="J124" s="17">
        <f>IFERROR(__xludf.DUMMYFUNCTION("""COMPUTED_VALUE"""),1557.5)</f>
        <v>1557.5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IFERROR(__xludf.DUMMYFUNCTION("""COMPUTED_VALUE"""),1542.2)</f>
        <v>1542.2</v>
      </c>
      <c r="C125" s="16">
        <f>IFERROR(__xludf.DUMMYFUNCTION("""COMPUTED_VALUE"""),45922.6458333333)</f>
        <v>45922.6458333333</v>
      </c>
      <c r="D125" s="17">
        <f>IFERROR(__xludf.DUMMYFUNCTION("""COMPUTED_VALUE"""),1575)</f>
        <v>1575</v>
      </c>
      <c r="E125" s="16">
        <f>IFERROR(__xludf.DUMMYFUNCTION("""COMPUTED_VALUE"""),45922.6458333333)</f>
        <v>45922.6458333333</v>
      </c>
      <c r="F125" s="17">
        <f>IFERROR(__xludf.DUMMYFUNCTION("""COMPUTED_VALUE"""),1257495)</f>
        <v>1257495</v>
      </c>
      <c r="G125" s="16">
        <f>IFERROR(__xludf.DUMMYFUNCTION("""COMPUTED_VALUE"""),45922.6458333333)</f>
        <v>45922.6458333333</v>
      </c>
      <c r="H125" s="17">
        <f>IFERROR(__xludf.DUMMYFUNCTION("""COMPUTED_VALUE"""),1583.2)</f>
        <v>1583.2</v>
      </c>
      <c r="I125" s="16">
        <f>IFERROR(__xludf.DUMMYFUNCTION("""COMPUTED_VALUE"""),45922.6458333333)</f>
        <v>45922.6458333333</v>
      </c>
      <c r="J125" s="17">
        <f>IFERROR(__xludf.DUMMYFUNCTION("""COMPUTED_VALUE"""),1540)</f>
        <v>1540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IFERROR(__xludf.DUMMYFUNCTION("""COMPUTED_VALUE"""),1527.1)</f>
        <v>1527.1</v>
      </c>
      <c r="C126" s="16">
        <f>IFERROR(__xludf.DUMMYFUNCTION("""COMPUTED_VALUE"""),45923.6458333333)</f>
        <v>45923.6458333333</v>
      </c>
      <c r="D126" s="17">
        <f>IFERROR(__xludf.DUMMYFUNCTION("""COMPUTED_VALUE"""),1542.2)</f>
        <v>1542.2</v>
      </c>
      <c r="E126" s="16">
        <f>IFERROR(__xludf.DUMMYFUNCTION("""COMPUTED_VALUE"""),45923.6458333333)</f>
        <v>45923.6458333333</v>
      </c>
      <c r="F126" s="17">
        <f>IFERROR(__xludf.DUMMYFUNCTION("""COMPUTED_VALUE"""),1487350)</f>
        <v>1487350</v>
      </c>
      <c r="G126" s="16">
        <f>IFERROR(__xludf.DUMMYFUNCTION("""COMPUTED_VALUE"""),45923.6458333333)</f>
        <v>45923.6458333333</v>
      </c>
      <c r="H126" s="17">
        <f>IFERROR(__xludf.DUMMYFUNCTION("""COMPUTED_VALUE"""),1550.7)</f>
        <v>1550.7</v>
      </c>
      <c r="I126" s="16">
        <f>IFERROR(__xludf.DUMMYFUNCTION("""COMPUTED_VALUE"""),45923.6458333333)</f>
        <v>45923.6458333333</v>
      </c>
      <c r="J126" s="17">
        <f>IFERROR(__xludf.DUMMYFUNCTION("""COMPUTED_VALUE"""),1517.5)</f>
        <v>1517.5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IFERROR(__xludf.DUMMYFUNCTION("""COMPUTED_VALUE"""),1538)</f>
        <v>1538</v>
      </c>
      <c r="C127" s="16">
        <f>IFERROR(__xludf.DUMMYFUNCTION("""COMPUTED_VALUE"""),45924.6458333333)</f>
        <v>45924.6458333333</v>
      </c>
      <c r="D127" s="17">
        <f>IFERROR(__xludf.DUMMYFUNCTION("""COMPUTED_VALUE"""),1527)</f>
        <v>1527</v>
      </c>
      <c r="E127" s="16">
        <f>IFERROR(__xludf.DUMMYFUNCTION("""COMPUTED_VALUE"""),45924.6458333333)</f>
        <v>45924.6458333333</v>
      </c>
      <c r="F127" s="17">
        <f>IFERROR(__xludf.DUMMYFUNCTION("""COMPUTED_VALUE"""),943785)</f>
        <v>943785</v>
      </c>
      <c r="G127" s="16">
        <f>IFERROR(__xludf.DUMMYFUNCTION("""COMPUTED_VALUE"""),45924.6458333333)</f>
        <v>45924.6458333333</v>
      </c>
      <c r="H127" s="17">
        <f>IFERROR(__xludf.DUMMYFUNCTION("""COMPUTED_VALUE"""),1542.5)</f>
        <v>1542.5</v>
      </c>
      <c r="I127" s="16">
        <f>IFERROR(__xludf.DUMMYFUNCTION("""COMPUTED_VALUE"""),45924.6458333333)</f>
        <v>45924.6458333333</v>
      </c>
      <c r="J127" s="17">
        <f>IFERROR(__xludf.DUMMYFUNCTION("""COMPUTED_VALUE"""),1520.3)</f>
        <v>1520.3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IFERROR(__xludf.DUMMYFUNCTION("""COMPUTED_VALUE"""),1509.7)</f>
        <v>1509.7</v>
      </c>
      <c r="C128" s="16">
        <f>IFERROR(__xludf.DUMMYFUNCTION("""COMPUTED_VALUE"""),45925.6458333333)</f>
        <v>45925.6458333333</v>
      </c>
      <c r="D128" s="17">
        <f>IFERROR(__xludf.DUMMYFUNCTION("""COMPUTED_VALUE"""),1538)</f>
        <v>1538</v>
      </c>
      <c r="E128" s="16">
        <f>IFERROR(__xludf.DUMMYFUNCTION("""COMPUTED_VALUE"""),45925.6458333333)</f>
        <v>45925.6458333333</v>
      </c>
      <c r="F128" s="17">
        <f>IFERROR(__xludf.DUMMYFUNCTION("""COMPUTED_VALUE"""),2502680)</f>
        <v>2502680</v>
      </c>
      <c r="G128" s="16">
        <f>IFERROR(__xludf.DUMMYFUNCTION("""COMPUTED_VALUE"""),45925.6458333333)</f>
        <v>45925.6458333333</v>
      </c>
      <c r="H128" s="17">
        <f>IFERROR(__xludf.DUMMYFUNCTION("""COMPUTED_VALUE"""),1544.8)</f>
        <v>1544.8</v>
      </c>
      <c r="I128" s="16">
        <f>IFERROR(__xludf.DUMMYFUNCTION("""COMPUTED_VALUE"""),45925.6458333333)</f>
        <v>45925.6458333333</v>
      </c>
      <c r="J128" s="17">
        <f>IFERROR(__xludf.DUMMYFUNCTION("""COMPUTED_VALUE"""),1505.4)</f>
        <v>1505.4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IFERROR(__xludf.DUMMYFUNCTION("""COMPUTED_VALUE"""),1499.4)</f>
        <v>1499.4</v>
      </c>
      <c r="C129" s="47">
        <f>IFERROR(__xludf.DUMMYFUNCTION("""COMPUTED_VALUE"""),45926.6458333333)</f>
        <v>45926.6458333333</v>
      </c>
      <c r="D129" s="48">
        <f>IFERROR(__xludf.DUMMYFUNCTION("""COMPUTED_VALUE"""),1495.6)</f>
        <v>1495.6</v>
      </c>
      <c r="E129" s="47">
        <f>IFERROR(__xludf.DUMMYFUNCTION("""COMPUTED_VALUE"""),45926.6458333333)</f>
        <v>45926.6458333333</v>
      </c>
      <c r="F129" s="48">
        <f>IFERROR(__xludf.DUMMYFUNCTION("""COMPUTED_VALUE"""),2653841)</f>
        <v>2653841</v>
      </c>
      <c r="G129" s="47">
        <f>IFERROR(__xludf.DUMMYFUNCTION("""COMPUTED_VALUE"""),45926.6458333333)</f>
        <v>45926.6458333333</v>
      </c>
      <c r="H129" s="48">
        <f>IFERROR(__xludf.DUMMYFUNCTION("""COMPUTED_VALUE"""),1504.9)</f>
        <v>1504.9</v>
      </c>
      <c r="I129" s="47">
        <f>IFERROR(__xludf.DUMMYFUNCTION("""COMPUTED_VALUE"""),45926.6458333333)</f>
        <v>45926.6458333333</v>
      </c>
      <c r="J129" s="48">
        <f>IFERROR(__xludf.DUMMYFUNCTION("""COMPUTED_VALUE"""),1475.2)</f>
        <v>1475.2</v>
      </c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34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""price"")"),389.1)</f>
        <v>389.1</v>
      </c>
      <c r="I3" s="22" t="s">
        <v>269</v>
      </c>
      <c r="J3" s="23">
        <f>IFERROR(__xludf.DUMMYFUNCTION("GOOGLEFINANCE(L3, ""volume"")"),4698693)</f>
        <v>4698693</v>
      </c>
      <c r="K3" s="24" t="s">
        <v>270</v>
      </c>
      <c r="L3" s="25" t="str">
        <f>Mastersheet!B13</f>
        <v>NSE:COALINDIA</v>
      </c>
      <c r="M3" s="26">
        <f>IFERROR(__xludf.DUMMYFUNCTION("""COMPUTED_VALUE"""),45926.6458333333)</f>
        <v>45926.6458333333</v>
      </c>
      <c r="N3" s="27">
        <f>IFERROR(__xludf.DUMMYFUNCTION("""COMPUTED_VALUE"""),389.15)</f>
        <v>389.15</v>
      </c>
      <c r="O3" s="26">
        <f>IFERROR(__xludf.DUMMYFUNCTION("""COMPUTED_VALUE"""),45926.6458333333)</f>
        <v>45926.6458333333</v>
      </c>
      <c r="P3" s="27">
        <f>IFERROR(__xludf.DUMMYFUNCTION("""COMPUTED_VALUE"""),392.5)</f>
        <v>392.5</v>
      </c>
      <c r="Q3" s="16">
        <f>IFERROR(__xludf.DUMMYFUNCTION("""COMPUTED_VALUE"""),45926.6458333333)</f>
        <v>45926.6458333333</v>
      </c>
      <c r="R3" s="17">
        <f>IFERROR(__xludf.DUMMYFUNCTION("""COMPUTED_VALUE"""),392.95)</f>
        <v>392.95</v>
      </c>
      <c r="S3" s="16">
        <f>IFERROR(__xludf.DUMMYFUNCTION("""COMPUTED_VALUE"""),45926.6458333333)</f>
        <v>45926.6458333333</v>
      </c>
      <c r="T3" s="17">
        <f>IFERROR(__xludf.DUMMYFUNCTION("""COMPUTED_VALUE"""),388.05)</f>
        <v>388.05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IFERROR(__xludf.DUMMYFUNCTION("""COMPUTED_VALUE"""),396.85)</f>
        <v>396.85</v>
      </c>
      <c r="C5" s="14">
        <f>IFERROR(__xludf.DUMMYFUNCTION("""COMPUTED_VALUE"""),45743.6458333333)</f>
        <v>45743.6458333333</v>
      </c>
      <c r="D5" s="15">
        <f>IFERROR(__xludf.DUMMYFUNCTION("""COMPUTED_VALUE"""),393.25)</f>
        <v>393.25</v>
      </c>
      <c r="E5" s="14">
        <f>IFERROR(__xludf.DUMMYFUNCTION("""COMPUTED_VALUE"""),45743.6458333333)</f>
        <v>45743.6458333333</v>
      </c>
      <c r="F5" s="15">
        <f>IFERROR(__xludf.DUMMYFUNCTION("""COMPUTED_VALUE"""),7697174)</f>
        <v>7697174</v>
      </c>
      <c r="G5" s="14">
        <f>IFERROR(__xludf.DUMMYFUNCTION("""COMPUTED_VALUE"""),45743.6458333333)</f>
        <v>45743.6458333333</v>
      </c>
      <c r="H5" s="15">
        <f>IFERROR(__xludf.DUMMYFUNCTION("""COMPUTED_VALUE"""),399.65)</f>
        <v>399.65</v>
      </c>
      <c r="I5" s="30">
        <f>IFERROR(__xludf.DUMMYFUNCTION("""COMPUTED_VALUE"""),45743.6458333333)</f>
        <v>45743.6458333333</v>
      </c>
      <c r="J5" s="3">
        <f>IFERROR(__xludf.DUMMYFUNCTION("""COMPUTED_VALUE"""),392.05)</f>
        <v>392.05</v>
      </c>
      <c r="K5" s="5"/>
      <c r="L5" s="5"/>
      <c r="M5" s="3">
        <f t="array" ref="M5">INDEX(K11:K124,MATCH(SMALL(ABS(K11:K124-H3),1),ABS(K11:K124-H3),0))</f>
        <v>387.8</v>
      </c>
      <c r="N5" s="3">
        <f t="array" ref="N5">INDEX(K11:K124,MATCH(SMALL(ABS(K11:K124-H3),2),ABS(K11:K124-H3),0))</f>
        <v>390.75</v>
      </c>
      <c r="O5" s="3">
        <f t="array" ref="O5">INDEX(L11:L124,MATCH(SMALL(ABS(L11:L124-H3),1),ABS(L11:L124-H3),0))</f>
        <v>392.85</v>
      </c>
      <c r="P5" s="3">
        <f t="array" ref="P5">INDEX(L11:L124,MATCH(SMALL(ABS(L11:L124-H3),2),ABS(L11:L124-H3),0))</f>
        <v>384.25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384.25</v>
      </c>
      <c r="T5" s="17">
        <f ca="1">IF(AND(H3&gt;=Mastersheet!I3*S5,H3&lt;=Mastersheet!J3*S5),1,0)</f>
        <v>0</v>
      </c>
      <c r="U5" s="36">
        <f>(N3+P3)/2</f>
        <v>390.825</v>
      </c>
      <c r="V5" s="17">
        <f>(N3+P3+R3+T3)/4</f>
        <v>390.6625</v>
      </c>
      <c r="W5" s="17">
        <f>IF(V5&gt;U5,1,0)</f>
        <v>0</v>
      </c>
      <c r="X5" s="17">
        <f>IF(V5&gt;U5,0,1)</f>
        <v>1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IFERROR(__xludf.DUMMYFUNCTION("""COMPUTED_VALUE"""),398.2)</f>
        <v>398.2</v>
      </c>
      <c r="C6" s="16">
        <f>IFERROR(__xludf.DUMMYFUNCTION("""COMPUTED_VALUE"""),45744.6458333333)</f>
        <v>45744.6458333333</v>
      </c>
      <c r="D6" s="17">
        <f>IFERROR(__xludf.DUMMYFUNCTION("""COMPUTED_VALUE"""),397)</f>
        <v>397</v>
      </c>
      <c r="E6" s="16">
        <f>IFERROR(__xludf.DUMMYFUNCTION("""COMPUTED_VALUE"""),45744.6458333333)</f>
        <v>45744.6458333333</v>
      </c>
      <c r="F6" s="17">
        <f>IFERROR(__xludf.DUMMYFUNCTION("""COMPUTED_VALUE"""),6923988)</f>
        <v>6923988</v>
      </c>
      <c r="G6" s="16">
        <f>IFERROR(__xludf.DUMMYFUNCTION("""COMPUTED_VALUE"""),45744.6458333333)</f>
        <v>45744.6458333333</v>
      </c>
      <c r="H6" s="17">
        <f>IFERROR(__xludf.DUMMYFUNCTION("""COMPUTED_VALUE"""),401.9)</f>
        <v>401.9</v>
      </c>
      <c r="I6" s="16">
        <f>IFERROR(__xludf.DUMMYFUNCTION("""COMPUTED_VALUE"""),45744.6458333333)</f>
        <v>45744.6458333333</v>
      </c>
      <c r="J6" s="17">
        <f>IFERROR(__xludf.DUMMYFUNCTION("""COMPUTED_VALUE"""),393.5)</f>
        <v>393.5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1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IFERROR(__xludf.DUMMYFUNCTION("""COMPUTED_VALUE"""),397.65)</f>
        <v>397.65</v>
      </c>
      <c r="C7" s="16">
        <f>IFERROR(__xludf.DUMMYFUNCTION("""COMPUTED_VALUE"""),45748.6458333333)</f>
        <v>45748.6458333333</v>
      </c>
      <c r="D7" s="17">
        <f>IFERROR(__xludf.DUMMYFUNCTION("""COMPUTED_VALUE"""),397.8)</f>
        <v>397.8</v>
      </c>
      <c r="E7" s="16">
        <f>IFERROR(__xludf.DUMMYFUNCTION("""COMPUTED_VALUE"""),45748.6458333333)</f>
        <v>45748.6458333333</v>
      </c>
      <c r="F7" s="17">
        <f>IFERROR(__xludf.DUMMYFUNCTION("""COMPUTED_VALUE"""),4332950)</f>
        <v>4332950</v>
      </c>
      <c r="G7" s="16">
        <f>IFERROR(__xludf.DUMMYFUNCTION("""COMPUTED_VALUE"""),45748.6458333333)</f>
        <v>45748.6458333333</v>
      </c>
      <c r="H7" s="17">
        <f>IFERROR(__xludf.DUMMYFUNCTION("""COMPUTED_VALUE"""),402.55)</f>
        <v>402.55</v>
      </c>
      <c r="I7" s="16">
        <f>IFERROR(__xludf.DUMMYFUNCTION("""COMPUTED_VALUE"""),45748.6458333333)</f>
        <v>45748.6458333333</v>
      </c>
      <c r="J7" s="17">
        <f>IFERROR(__xludf.DUMMYFUNCTION("""COMPUTED_VALUE"""),395.05)</f>
        <v>395.05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IFERROR(__xludf.DUMMYFUNCTION("""COMPUTED_VALUE"""),397.5)</f>
        <v>397.5</v>
      </c>
      <c r="C8" s="16">
        <f>IFERROR(__xludf.DUMMYFUNCTION("""COMPUTED_VALUE"""),45749.6458333333)</f>
        <v>45749.6458333333</v>
      </c>
      <c r="D8" s="17">
        <f>IFERROR(__xludf.DUMMYFUNCTION("""COMPUTED_VALUE"""),401.6)</f>
        <v>401.6</v>
      </c>
      <c r="E8" s="16">
        <f>IFERROR(__xludf.DUMMYFUNCTION("""COMPUTED_VALUE"""),45749.6458333333)</f>
        <v>45749.6458333333</v>
      </c>
      <c r="F8" s="17">
        <f>IFERROR(__xludf.DUMMYFUNCTION("""COMPUTED_VALUE"""),4197123)</f>
        <v>4197123</v>
      </c>
      <c r="G8" s="16">
        <f>IFERROR(__xludf.DUMMYFUNCTION("""COMPUTED_VALUE"""),45749.6458333333)</f>
        <v>45749.6458333333</v>
      </c>
      <c r="H8" s="17">
        <f>IFERROR(__xludf.DUMMYFUNCTION("""COMPUTED_VALUE"""),401.6)</f>
        <v>401.6</v>
      </c>
      <c r="I8" s="16">
        <f>IFERROR(__xludf.DUMMYFUNCTION("""COMPUTED_VALUE"""),45749.6458333333)</f>
        <v>45749.6458333333</v>
      </c>
      <c r="J8" s="17">
        <f>IFERROR(__xludf.DUMMYFUNCTION("""COMPUTED_VALUE"""),391.5)</f>
        <v>391.5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IFERROR(__xludf.DUMMYFUNCTION("""COMPUTED_VALUE"""),397.05)</f>
        <v>397.05</v>
      </c>
      <c r="C9" s="16">
        <f>IFERROR(__xludf.DUMMYFUNCTION("""COMPUTED_VALUE"""),45750.6458333333)</f>
        <v>45750.6458333333</v>
      </c>
      <c r="D9" s="17">
        <f>IFERROR(__xludf.DUMMYFUNCTION("""COMPUTED_VALUE"""),395)</f>
        <v>395</v>
      </c>
      <c r="E9" s="16">
        <f>IFERROR(__xludf.DUMMYFUNCTION("""COMPUTED_VALUE"""),45750.6458333333)</f>
        <v>45750.6458333333</v>
      </c>
      <c r="F9" s="17">
        <f>IFERROR(__xludf.DUMMYFUNCTION("""COMPUTED_VALUE"""),4970602)</f>
        <v>4970602</v>
      </c>
      <c r="G9" s="16">
        <f>IFERROR(__xludf.DUMMYFUNCTION("""COMPUTED_VALUE"""),45750.6458333333)</f>
        <v>45750.6458333333</v>
      </c>
      <c r="H9" s="17">
        <f>IFERROR(__xludf.DUMMYFUNCTION("""COMPUTED_VALUE"""),400)</f>
        <v>400</v>
      </c>
      <c r="I9" s="16">
        <f>IFERROR(__xludf.DUMMYFUNCTION("""COMPUTED_VALUE"""),45750.6458333333)</f>
        <v>45750.6458333333</v>
      </c>
      <c r="J9" s="17">
        <f>IFERROR(__xludf.DUMMYFUNCTION("""COMPUTED_VALUE"""),393.2)</f>
        <v>393.2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IFERROR(__xludf.DUMMYFUNCTION("""COMPUTED_VALUE"""),385.05)</f>
        <v>385.05</v>
      </c>
      <c r="C10" s="16">
        <f>IFERROR(__xludf.DUMMYFUNCTION("""COMPUTED_VALUE"""),45751.6458333333)</f>
        <v>45751.6458333333</v>
      </c>
      <c r="D10" s="17">
        <f>IFERROR(__xludf.DUMMYFUNCTION("""COMPUTED_VALUE"""),396)</f>
        <v>396</v>
      </c>
      <c r="E10" s="16">
        <f>IFERROR(__xludf.DUMMYFUNCTION("""COMPUTED_VALUE"""),45751.6458333333)</f>
        <v>45751.6458333333</v>
      </c>
      <c r="F10" s="17">
        <f>IFERROR(__xludf.DUMMYFUNCTION("""COMPUTED_VALUE"""),6718760)</f>
        <v>6718760</v>
      </c>
      <c r="G10" s="16">
        <f>IFERROR(__xludf.DUMMYFUNCTION("""COMPUTED_VALUE"""),45751.6458333333)</f>
        <v>45751.6458333333</v>
      </c>
      <c r="H10" s="17">
        <f>IFERROR(__xludf.DUMMYFUNCTION("""COMPUTED_VALUE"""),396)</f>
        <v>396</v>
      </c>
      <c r="I10" s="16">
        <f>IFERROR(__xludf.DUMMYFUNCTION("""COMPUTED_VALUE"""),45751.6458333333)</f>
        <v>45751.6458333333</v>
      </c>
      <c r="J10" s="17">
        <f>IFERROR(__xludf.DUMMYFUNCTION("""COMPUTED_VALUE"""),382.6)</f>
        <v>382.6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IFERROR(__xludf.DUMMYFUNCTION("""COMPUTED_VALUE"""),377.5)</f>
        <v>377.5</v>
      </c>
      <c r="C11" s="16">
        <f>IFERROR(__xludf.DUMMYFUNCTION("""COMPUTED_VALUE"""),45754.6458333333)</f>
        <v>45754.6458333333</v>
      </c>
      <c r="D11" s="17">
        <f>IFERROR(__xludf.DUMMYFUNCTION("""COMPUTED_VALUE"""),358.85)</f>
        <v>358.85</v>
      </c>
      <c r="E11" s="16">
        <f>IFERROR(__xludf.DUMMYFUNCTION("""COMPUTED_VALUE"""),45754.6458333333)</f>
        <v>45754.6458333333</v>
      </c>
      <c r="F11" s="17">
        <f>IFERROR(__xludf.DUMMYFUNCTION("""COMPUTED_VALUE"""),10202400)</f>
        <v>10202400</v>
      </c>
      <c r="G11" s="16">
        <f>IFERROR(__xludf.DUMMYFUNCTION("""COMPUTED_VALUE"""),45754.6458333333)</f>
        <v>45754.6458333333</v>
      </c>
      <c r="H11" s="17">
        <f>IFERROR(__xludf.DUMMYFUNCTION("""COMPUTED_VALUE"""),379.4)</f>
        <v>379.4</v>
      </c>
      <c r="I11" s="16">
        <f>IFERROR(__xludf.DUMMYFUNCTION("""COMPUTED_VALUE"""),45754.6458333333)</f>
        <v>45754.6458333333</v>
      </c>
      <c r="J11" s="17">
        <f>IFERROR(__xludf.DUMMYFUNCTION("""COMPUTED_VALUE"""),356)</f>
        <v>356</v>
      </c>
      <c r="K11" s="3">
        <f t="shared" ref="K11:K125" si="2">IF(B11=MAX(B5:B17),B11,0)</f>
        <v>0</v>
      </c>
      <c r="L11" s="3">
        <f t="shared" ref="L11:L125" si="3">IF(B11=MIN(B5:B17),B11,0)</f>
        <v>0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IFERROR(__xludf.DUMMYFUNCTION("""COMPUTED_VALUE"""),382.85)</f>
        <v>382.85</v>
      </c>
      <c r="C12" s="16">
        <f>IFERROR(__xludf.DUMMYFUNCTION("""COMPUTED_VALUE"""),45755.6458333333)</f>
        <v>45755.6458333333</v>
      </c>
      <c r="D12" s="17">
        <f>IFERROR(__xludf.DUMMYFUNCTION("""COMPUTED_VALUE"""),385)</f>
        <v>385</v>
      </c>
      <c r="E12" s="16">
        <f>IFERROR(__xludf.DUMMYFUNCTION("""COMPUTED_VALUE"""),45755.6458333333)</f>
        <v>45755.6458333333</v>
      </c>
      <c r="F12" s="17">
        <f>IFERROR(__xludf.DUMMYFUNCTION("""COMPUTED_VALUE"""),3577328)</f>
        <v>3577328</v>
      </c>
      <c r="G12" s="16">
        <f>IFERROR(__xludf.DUMMYFUNCTION("""COMPUTED_VALUE"""),45755.6458333333)</f>
        <v>45755.6458333333</v>
      </c>
      <c r="H12" s="17">
        <f>IFERROR(__xludf.DUMMYFUNCTION("""COMPUTED_VALUE"""),385.5)</f>
        <v>385.5</v>
      </c>
      <c r="I12" s="16">
        <f>IFERROR(__xludf.DUMMYFUNCTION("""COMPUTED_VALUE"""),45755.6458333333)</f>
        <v>45755.6458333333</v>
      </c>
      <c r="J12" s="17">
        <f>IFERROR(__xludf.DUMMYFUNCTION("""COMPUTED_VALUE"""),376.65)</f>
        <v>376.65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IFERROR(__xludf.DUMMYFUNCTION("""COMPUTED_VALUE"""),374.6)</f>
        <v>374.6</v>
      </c>
      <c r="C13" s="16">
        <f>IFERROR(__xludf.DUMMYFUNCTION("""COMPUTED_VALUE"""),45756.6458333333)</f>
        <v>45756.6458333333</v>
      </c>
      <c r="D13" s="17">
        <f>IFERROR(__xludf.DUMMYFUNCTION("""COMPUTED_VALUE"""),382.3)</f>
        <v>382.3</v>
      </c>
      <c r="E13" s="16">
        <f>IFERROR(__xludf.DUMMYFUNCTION("""COMPUTED_VALUE"""),45756.6458333333)</f>
        <v>45756.6458333333</v>
      </c>
      <c r="F13" s="17">
        <f>IFERROR(__xludf.DUMMYFUNCTION("""COMPUTED_VALUE"""),5781453)</f>
        <v>5781453</v>
      </c>
      <c r="G13" s="16">
        <f>IFERROR(__xludf.DUMMYFUNCTION("""COMPUTED_VALUE"""),45756.6458333333)</f>
        <v>45756.6458333333</v>
      </c>
      <c r="H13" s="17">
        <f>IFERROR(__xludf.DUMMYFUNCTION("""COMPUTED_VALUE"""),382.7)</f>
        <v>382.7</v>
      </c>
      <c r="I13" s="16">
        <f>IFERROR(__xludf.DUMMYFUNCTION("""COMPUTED_VALUE"""),45756.6458333333)</f>
        <v>45756.6458333333</v>
      </c>
      <c r="J13" s="17">
        <f>IFERROR(__xludf.DUMMYFUNCTION("""COMPUTED_VALUE"""),373.1)</f>
        <v>373.1</v>
      </c>
      <c r="K13" s="3">
        <f t="shared" si="2"/>
        <v>0</v>
      </c>
      <c r="L13" s="3">
        <f t="shared" si="3"/>
        <v>374.6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IFERROR(__xludf.DUMMYFUNCTION("""COMPUTED_VALUE"""),392.1)</f>
        <v>392.1</v>
      </c>
      <c r="C14" s="16">
        <f>IFERROR(__xludf.DUMMYFUNCTION("""COMPUTED_VALUE"""),45758.6458333333)</f>
        <v>45758.6458333333</v>
      </c>
      <c r="D14" s="17">
        <f>IFERROR(__xludf.DUMMYFUNCTION("""COMPUTED_VALUE"""),389.95)</f>
        <v>389.95</v>
      </c>
      <c r="E14" s="16">
        <f>IFERROR(__xludf.DUMMYFUNCTION("""COMPUTED_VALUE"""),45758.6458333333)</f>
        <v>45758.6458333333</v>
      </c>
      <c r="F14" s="17">
        <f>IFERROR(__xludf.DUMMYFUNCTION("""COMPUTED_VALUE"""),6185984)</f>
        <v>6185984</v>
      </c>
      <c r="G14" s="16">
        <f>IFERROR(__xludf.DUMMYFUNCTION("""COMPUTED_VALUE"""),45758.6458333333)</f>
        <v>45758.6458333333</v>
      </c>
      <c r="H14" s="17">
        <f>IFERROR(__xludf.DUMMYFUNCTION("""COMPUTED_VALUE"""),392.8)</f>
        <v>392.8</v>
      </c>
      <c r="I14" s="16">
        <f>IFERROR(__xludf.DUMMYFUNCTION("""COMPUTED_VALUE"""),45758.6458333333)</f>
        <v>45758.6458333333</v>
      </c>
      <c r="J14" s="17">
        <f>IFERROR(__xludf.DUMMYFUNCTION("""COMPUTED_VALUE"""),382.15)</f>
        <v>382.15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IFERROR(__xludf.DUMMYFUNCTION("""COMPUTED_VALUE"""),395.25)</f>
        <v>395.25</v>
      </c>
      <c r="C15" s="16">
        <f>IFERROR(__xludf.DUMMYFUNCTION("""COMPUTED_VALUE"""),45762.6458333333)</f>
        <v>45762.6458333333</v>
      </c>
      <c r="D15" s="17">
        <f>IFERROR(__xludf.DUMMYFUNCTION("""COMPUTED_VALUE"""),399)</f>
        <v>399</v>
      </c>
      <c r="E15" s="16">
        <f>IFERROR(__xludf.DUMMYFUNCTION("""COMPUTED_VALUE"""),45762.6458333333)</f>
        <v>45762.6458333333</v>
      </c>
      <c r="F15" s="17">
        <f>IFERROR(__xludf.DUMMYFUNCTION("""COMPUTED_VALUE"""),4371156)</f>
        <v>4371156</v>
      </c>
      <c r="G15" s="16">
        <f>IFERROR(__xludf.DUMMYFUNCTION("""COMPUTED_VALUE"""),45762.6458333333)</f>
        <v>45762.6458333333</v>
      </c>
      <c r="H15" s="17">
        <f>IFERROR(__xludf.DUMMYFUNCTION("""COMPUTED_VALUE"""),399)</f>
        <v>399</v>
      </c>
      <c r="I15" s="16">
        <f>IFERROR(__xludf.DUMMYFUNCTION("""COMPUTED_VALUE"""),45762.6458333333)</f>
        <v>45762.6458333333</v>
      </c>
      <c r="J15" s="17">
        <f>IFERROR(__xludf.DUMMYFUNCTION("""COMPUTED_VALUE"""),393.5)</f>
        <v>393.5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IFERROR(__xludf.DUMMYFUNCTION("""COMPUTED_VALUE"""),399.25)</f>
        <v>399.25</v>
      </c>
      <c r="C16" s="16">
        <f>IFERROR(__xludf.DUMMYFUNCTION("""COMPUTED_VALUE"""),45763.6458333333)</f>
        <v>45763.6458333333</v>
      </c>
      <c r="D16" s="17">
        <f>IFERROR(__xludf.DUMMYFUNCTION("""COMPUTED_VALUE"""),395.25)</f>
        <v>395.25</v>
      </c>
      <c r="E16" s="16">
        <f>IFERROR(__xludf.DUMMYFUNCTION("""COMPUTED_VALUE"""),45763.6458333333)</f>
        <v>45763.6458333333</v>
      </c>
      <c r="F16" s="17">
        <f>IFERROR(__xludf.DUMMYFUNCTION("""COMPUTED_VALUE"""),4992290)</f>
        <v>4992290</v>
      </c>
      <c r="G16" s="16">
        <f>IFERROR(__xludf.DUMMYFUNCTION("""COMPUTED_VALUE"""),45763.6458333333)</f>
        <v>45763.6458333333</v>
      </c>
      <c r="H16" s="17">
        <f>IFERROR(__xludf.DUMMYFUNCTION("""COMPUTED_VALUE"""),400.1)</f>
        <v>400.1</v>
      </c>
      <c r="I16" s="16">
        <f>IFERROR(__xludf.DUMMYFUNCTION("""COMPUTED_VALUE"""),45763.6458333333)</f>
        <v>45763.6458333333</v>
      </c>
      <c r="J16" s="17">
        <f>IFERROR(__xludf.DUMMYFUNCTION("""COMPUTED_VALUE"""),392.5)</f>
        <v>392.5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IFERROR(__xludf.DUMMYFUNCTION("""COMPUTED_VALUE"""),398.85)</f>
        <v>398.85</v>
      </c>
      <c r="C17" s="16">
        <f>IFERROR(__xludf.DUMMYFUNCTION("""COMPUTED_VALUE"""),45764.6458333333)</f>
        <v>45764.6458333333</v>
      </c>
      <c r="D17" s="17">
        <f>IFERROR(__xludf.DUMMYFUNCTION("""COMPUTED_VALUE"""),396.9)</f>
        <v>396.9</v>
      </c>
      <c r="E17" s="16">
        <f>IFERROR(__xludf.DUMMYFUNCTION("""COMPUTED_VALUE"""),45764.6458333333)</f>
        <v>45764.6458333333</v>
      </c>
      <c r="F17" s="17">
        <f>IFERROR(__xludf.DUMMYFUNCTION("""COMPUTED_VALUE"""),8364450)</f>
        <v>8364450</v>
      </c>
      <c r="G17" s="16">
        <f>IFERROR(__xludf.DUMMYFUNCTION("""COMPUTED_VALUE"""),45764.6458333333)</f>
        <v>45764.6458333333</v>
      </c>
      <c r="H17" s="17">
        <f>IFERROR(__xludf.DUMMYFUNCTION("""COMPUTED_VALUE"""),399.55)</f>
        <v>399.55</v>
      </c>
      <c r="I17" s="16">
        <f>IFERROR(__xludf.DUMMYFUNCTION("""COMPUTED_VALUE"""),45764.6458333333)</f>
        <v>45764.6458333333</v>
      </c>
      <c r="J17" s="17">
        <f>IFERROR(__xludf.DUMMYFUNCTION("""COMPUTED_VALUE"""),388.3)</f>
        <v>388.3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IFERROR(__xludf.DUMMYFUNCTION("""COMPUTED_VALUE"""),400.5)</f>
        <v>400.5</v>
      </c>
      <c r="C18" s="16">
        <f>IFERROR(__xludf.DUMMYFUNCTION("""COMPUTED_VALUE"""),45768.6458333333)</f>
        <v>45768.6458333333</v>
      </c>
      <c r="D18" s="17">
        <f>IFERROR(__xludf.DUMMYFUNCTION("""COMPUTED_VALUE"""),399.25)</f>
        <v>399.25</v>
      </c>
      <c r="E18" s="16">
        <f>IFERROR(__xludf.DUMMYFUNCTION("""COMPUTED_VALUE"""),45768.6458333333)</f>
        <v>45768.6458333333</v>
      </c>
      <c r="F18" s="17">
        <f>IFERROR(__xludf.DUMMYFUNCTION("""COMPUTED_VALUE"""),8987570)</f>
        <v>8987570</v>
      </c>
      <c r="G18" s="16">
        <f>IFERROR(__xludf.DUMMYFUNCTION("""COMPUTED_VALUE"""),45768.6458333333)</f>
        <v>45768.6458333333</v>
      </c>
      <c r="H18" s="17">
        <f>IFERROR(__xludf.DUMMYFUNCTION("""COMPUTED_VALUE"""),406)</f>
        <v>406</v>
      </c>
      <c r="I18" s="16">
        <f>IFERROR(__xludf.DUMMYFUNCTION("""COMPUTED_VALUE"""),45768.6458333333)</f>
        <v>45768.6458333333</v>
      </c>
      <c r="J18" s="17">
        <f>IFERROR(__xludf.DUMMYFUNCTION("""COMPUTED_VALUE"""),395.65)</f>
        <v>395.65</v>
      </c>
      <c r="K18" s="3">
        <f t="shared" si="2"/>
        <v>400.5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IFERROR(__xludf.DUMMYFUNCTION("""COMPUTED_VALUE"""),398.6)</f>
        <v>398.6</v>
      </c>
      <c r="C19" s="16">
        <f>IFERROR(__xludf.DUMMYFUNCTION("""COMPUTED_VALUE"""),45769.6458333333)</f>
        <v>45769.6458333333</v>
      </c>
      <c r="D19" s="17">
        <f>IFERROR(__xludf.DUMMYFUNCTION("""COMPUTED_VALUE"""),403.5)</f>
        <v>403.5</v>
      </c>
      <c r="E19" s="16">
        <f>IFERROR(__xludf.DUMMYFUNCTION("""COMPUTED_VALUE"""),45769.6458333333)</f>
        <v>45769.6458333333</v>
      </c>
      <c r="F19" s="17">
        <f>IFERROR(__xludf.DUMMYFUNCTION("""COMPUTED_VALUE"""),7558174)</f>
        <v>7558174</v>
      </c>
      <c r="G19" s="16">
        <f>IFERROR(__xludf.DUMMYFUNCTION("""COMPUTED_VALUE"""),45769.6458333333)</f>
        <v>45769.6458333333</v>
      </c>
      <c r="H19" s="17">
        <f>IFERROR(__xludf.DUMMYFUNCTION("""COMPUTED_VALUE"""),405.8)</f>
        <v>405.8</v>
      </c>
      <c r="I19" s="16">
        <f>IFERROR(__xludf.DUMMYFUNCTION("""COMPUTED_VALUE"""),45769.6458333333)</f>
        <v>45769.6458333333</v>
      </c>
      <c r="J19" s="17">
        <f>IFERROR(__xludf.DUMMYFUNCTION("""COMPUTED_VALUE"""),394.3)</f>
        <v>394.3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IFERROR(__xludf.DUMMYFUNCTION("""COMPUTED_VALUE"""),398.95)</f>
        <v>398.95</v>
      </c>
      <c r="C20" s="16">
        <f>IFERROR(__xludf.DUMMYFUNCTION("""COMPUTED_VALUE"""),45770.6458333333)</f>
        <v>45770.6458333333</v>
      </c>
      <c r="D20" s="17">
        <f>IFERROR(__xludf.DUMMYFUNCTION("""COMPUTED_VALUE"""),400)</f>
        <v>400</v>
      </c>
      <c r="E20" s="16">
        <f>IFERROR(__xludf.DUMMYFUNCTION("""COMPUTED_VALUE"""),45770.6458333333)</f>
        <v>45770.6458333333</v>
      </c>
      <c r="F20" s="17">
        <f>IFERROR(__xludf.DUMMYFUNCTION("""COMPUTED_VALUE"""),7429142)</f>
        <v>7429142</v>
      </c>
      <c r="G20" s="16">
        <f>IFERROR(__xludf.DUMMYFUNCTION("""COMPUTED_VALUE"""),45770.6458333333)</f>
        <v>45770.6458333333</v>
      </c>
      <c r="H20" s="17">
        <f>IFERROR(__xludf.DUMMYFUNCTION("""COMPUTED_VALUE"""),401.6)</f>
        <v>401.6</v>
      </c>
      <c r="I20" s="16">
        <f>IFERROR(__xludf.DUMMYFUNCTION("""COMPUTED_VALUE"""),45770.6458333333)</f>
        <v>45770.6458333333</v>
      </c>
      <c r="J20" s="17">
        <f>IFERROR(__xludf.DUMMYFUNCTION("""COMPUTED_VALUE"""),394)</f>
        <v>394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IFERROR(__xludf.DUMMYFUNCTION("""COMPUTED_VALUE"""),399.85)</f>
        <v>399.85</v>
      </c>
      <c r="C21" s="16">
        <f>IFERROR(__xludf.DUMMYFUNCTION("""COMPUTED_VALUE"""),45771.6458333333)</f>
        <v>45771.6458333333</v>
      </c>
      <c r="D21" s="17">
        <f>IFERROR(__xludf.DUMMYFUNCTION("""COMPUTED_VALUE"""),398.9)</f>
        <v>398.9</v>
      </c>
      <c r="E21" s="16">
        <f>IFERROR(__xludf.DUMMYFUNCTION("""COMPUTED_VALUE"""),45771.6458333333)</f>
        <v>45771.6458333333</v>
      </c>
      <c r="F21" s="17">
        <f>IFERROR(__xludf.DUMMYFUNCTION("""COMPUTED_VALUE"""),5762303)</f>
        <v>5762303</v>
      </c>
      <c r="G21" s="16">
        <f>IFERROR(__xludf.DUMMYFUNCTION("""COMPUTED_VALUE"""),45771.6458333333)</f>
        <v>45771.6458333333</v>
      </c>
      <c r="H21" s="17">
        <f>IFERROR(__xludf.DUMMYFUNCTION("""COMPUTED_VALUE"""),401.3)</f>
        <v>401.3</v>
      </c>
      <c r="I21" s="16">
        <f>IFERROR(__xludf.DUMMYFUNCTION("""COMPUTED_VALUE"""),45771.6458333333)</f>
        <v>45771.6458333333</v>
      </c>
      <c r="J21" s="17">
        <f>IFERROR(__xludf.DUMMYFUNCTION("""COMPUTED_VALUE"""),396.85)</f>
        <v>396.85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IFERROR(__xludf.DUMMYFUNCTION("""COMPUTED_VALUE"""),393.15)</f>
        <v>393.15</v>
      </c>
      <c r="C22" s="16">
        <f>IFERROR(__xludf.DUMMYFUNCTION("""COMPUTED_VALUE"""),45772.6458333333)</f>
        <v>45772.6458333333</v>
      </c>
      <c r="D22" s="17">
        <f>IFERROR(__xludf.DUMMYFUNCTION("""COMPUTED_VALUE"""),400.3)</f>
        <v>400.3</v>
      </c>
      <c r="E22" s="16">
        <f>IFERROR(__xludf.DUMMYFUNCTION("""COMPUTED_VALUE"""),45772.6458333333)</f>
        <v>45772.6458333333</v>
      </c>
      <c r="F22" s="17">
        <f>IFERROR(__xludf.DUMMYFUNCTION("""COMPUTED_VALUE"""),7337588)</f>
        <v>7337588</v>
      </c>
      <c r="G22" s="16">
        <f>IFERROR(__xludf.DUMMYFUNCTION("""COMPUTED_VALUE"""),45772.6458333333)</f>
        <v>45772.6458333333</v>
      </c>
      <c r="H22" s="17">
        <f>IFERROR(__xludf.DUMMYFUNCTION("""COMPUTED_VALUE"""),404)</f>
        <v>404</v>
      </c>
      <c r="I22" s="16">
        <f>IFERROR(__xludf.DUMMYFUNCTION("""COMPUTED_VALUE"""),45772.6458333333)</f>
        <v>45772.6458333333</v>
      </c>
      <c r="J22" s="17">
        <f>IFERROR(__xludf.DUMMYFUNCTION("""COMPUTED_VALUE"""),389.65)</f>
        <v>389.65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IFERROR(__xludf.DUMMYFUNCTION("""COMPUTED_VALUE"""),397.15)</f>
        <v>397.15</v>
      </c>
      <c r="C23" s="16">
        <f>IFERROR(__xludf.DUMMYFUNCTION("""COMPUTED_VALUE"""),45775.6458333333)</f>
        <v>45775.6458333333</v>
      </c>
      <c r="D23" s="17">
        <f>IFERROR(__xludf.DUMMYFUNCTION("""COMPUTED_VALUE"""),393.15)</f>
        <v>393.15</v>
      </c>
      <c r="E23" s="16">
        <f>IFERROR(__xludf.DUMMYFUNCTION("""COMPUTED_VALUE"""),45775.6458333333)</f>
        <v>45775.6458333333</v>
      </c>
      <c r="F23" s="17">
        <f>IFERROR(__xludf.DUMMYFUNCTION("""COMPUTED_VALUE"""),3458518)</f>
        <v>3458518</v>
      </c>
      <c r="G23" s="16">
        <f>IFERROR(__xludf.DUMMYFUNCTION("""COMPUTED_VALUE"""),45775.6458333333)</f>
        <v>45775.6458333333</v>
      </c>
      <c r="H23" s="17">
        <f>IFERROR(__xludf.DUMMYFUNCTION("""COMPUTED_VALUE"""),398.8)</f>
        <v>398.8</v>
      </c>
      <c r="I23" s="16">
        <f>IFERROR(__xludf.DUMMYFUNCTION("""COMPUTED_VALUE"""),45775.6458333333)</f>
        <v>45775.6458333333</v>
      </c>
      <c r="J23" s="17">
        <f>IFERROR(__xludf.DUMMYFUNCTION("""COMPUTED_VALUE"""),391.55)</f>
        <v>391.55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IFERROR(__xludf.DUMMYFUNCTION("""COMPUTED_VALUE"""),389.1)</f>
        <v>389.1</v>
      </c>
      <c r="C24" s="16">
        <f>IFERROR(__xludf.DUMMYFUNCTION("""COMPUTED_VALUE"""),45776.6458333333)</f>
        <v>45776.6458333333</v>
      </c>
      <c r="D24" s="17">
        <f>IFERROR(__xludf.DUMMYFUNCTION("""COMPUTED_VALUE"""),397.15)</f>
        <v>397.15</v>
      </c>
      <c r="E24" s="16">
        <f>IFERROR(__xludf.DUMMYFUNCTION("""COMPUTED_VALUE"""),45776.6458333333)</f>
        <v>45776.6458333333</v>
      </c>
      <c r="F24" s="17">
        <f>IFERROR(__xludf.DUMMYFUNCTION("""COMPUTED_VALUE"""),6274213)</f>
        <v>6274213</v>
      </c>
      <c r="G24" s="16">
        <f>IFERROR(__xludf.DUMMYFUNCTION("""COMPUTED_VALUE"""),45776.6458333333)</f>
        <v>45776.6458333333</v>
      </c>
      <c r="H24" s="17">
        <f>IFERROR(__xludf.DUMMYFUNCTION("""COMPUTED_VALUE"""),400.35)</f>
        <v>400.35</v>
      </c>
      <c r="I24" s="16">
        <f>IFERROR(__xludf.DUMMYFUNCTION("""COMPUTED_VALUE"""),45776.6458333333)</f>
        <v>45776.6458333333</v>
      </c>
      <c r="J24" s="17">
        <f>IFERROR(__xludf.DUMMYFUNCTION("""COMPUTED_VALUE"""),388.45)</f>
        <v>388.45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IFERROR(__xludf.DUMMYFUNCTION("""COMPUTED_VALUE"""),385.3)</f>
        <v>385.3</v>
      </c>
      <c r="C25" s="16">
        <f>IFERROR(__xludf.DUMMYFUNCTION("""COMPUTED_VALUE"""),45777.6458333333)</f>
        <v>45777.6458333333</v>
      </c>
      <c r="D25" s="17">
        <f>IFERROR(__xludf.DUMMYFUNCTION("""COMPUTED_VALUE"""),389.1)</f>
        <v>389.1</v>
      </c>
      <c r="E25" s="16">
        <f>IFERROR(__xludf.DUMMYFUNCTION("""COMPUTED_VALUE"""),45777.6458333333)</f>
        <v>45777.6458333333</v>
      </c>
      <c r="F25" s="17">
        <f>IFERROR(__xludf.DUMMYFUNCTION("""COMPUTED_VALUE"""),4559122)</f>
        <v>4559122</v>
      </c>
      <c r="G25" s="16">
        <f>IFERROR(__xludf.DUMMYFUNCTION("""COMPUTED_VALUE"""),45777.6458333333)</f>
        <v>45777.6458333333</v>
      </c>
      <c r="H25" s="17">
        <f>IFERROR(__xludf.DUMMYFUNCTION("""COMPUTED_VALUE"""),390.35)</f>
        <v>390.35</v>
      </c>
      <c r="I25" s="16">
        <f>IFERROR(__xludf.DUMMYFUNCTION("""COMPUTED_VALUE"""),45777.6458333333)</f>
        <v>45777.6458333333</v>
      </c>
      <c r="J25" s="17">
        <f>IFERROR(__xludf.DUMMYFUNCTION("""COMPUTED_VALUE"""),383.1)</f>
        <v>383.1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IFERROR(__xludf.DUMMYFUNCTION("""COMPUTED_VALUE"""),384.4)</f>
        <v>384.4</v>
      </c>
      <c r="C26" s="16">
        <f>IFERROR(__xludf.DUMMYFUNCTION("""COMPUTED_VALUE"""),45779.6458333333)</f>
        <v>45779.6458333333</v>
      </c>
      <c r="D26" s="17">
        <f>IFERROR(__xludf.DUMMYFUNCTION("""COMPUTED_VALUE"""),385.5)</f>
        <v>385.5</v>
      </c>
      <c r="E26" s="16">
        <f>IFERROR(__xludf.DUMMYFUNCTION("""COMPUTED_VALUE"""),45779.6458333333)</f>
        <v>45779.6458333333</v>
      </c>
      <c r="F26" s="17">
        <f>IFERROR(__xludf.DUMMYFUNCTION("""COMPUTED_VALUE"""),5045851)</f>
        <v>5045851</v>
      </c>
      <c r="G26" s="16">
        <f>IFERROR(__xludf.DUMMYFUNCTION("""COMPUTED_VALUE"""),45779.6458333333)</f>
        <v>45779.6458333333</v>
      </c>
      <c r="H26" s="17">
        <f>IFERROR(__xludf.DUMMYFUNCTION("""COMPUTED_VALUE"""),390.95)</f>
        <v>390.95</v>
      </c>
      <c r="I26" s="16">
        <f>IFERROR(__xludf.DUMMYFUNCTION("""COMPUTED_VALUE"""),45779.6458333333)</f>
        <v>45779.6458333333</v>
      </c>
      <c r="J26" s="17">
        <f>IFERROR(__xludf.DUMMYFUNCTION("""COMPUTED_VALUE"""),381.4)</f>
        <v>381.4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IFERROR(__xludf.DUMMYFUNCTION("""COMPUTED_VALUE"""),385.6)</f>
        <v>385.6</v>
      </c>
      <c r="C27" s="16">
        <f>IFERROR(__xludf.DUMMYFUNCTION("""COMPUTED_VALUE"""),45782.6458333333)</f>
        <v>45782.6458333333</v>
      </c>
      <c r="D27" s="17">
        <f>IFERROR(__xludf.DUMMYFUNCTION("""COMPUTED_VALUE"""),385.95)</f>
        <v>385.95</v>
      </c>
      <c r="E27" s="16">
        <f>IFERROR(__xludf.DUMMYFUNCTION("""COMPUTED_VALUE"""),45782.6458333333)</f>
        <v>45782.6458333333</v>
      </c>
      <c r="F27" s="17">
        <f>IFERROR(__xludf.DUMMYFUNCTION("""COMPUTED_VALUE"""),6395704)</f>
        <v>6395704</v>
      </c>
      <c r="G27" s="16">
        <f>IFERROR(__xludf.DUMMYFUNCTION("""COMPUTED_VALUE"""),45782.6458333333)</f>
        <v>45782.6458333333</v>
      </c>
      <c r="H27" s="17">
        <f>IFERROR(__xludf.DUMMYFUNCTION("""COMPUTED_VALUE"""),387.9)</f>
        <v>387.9</v>
      </c>
      <c r="I27" s="16">
        <f>IFERROR(__xludf.DUMMYFUNCTION("""COMPUTED_VALUE"""),45782.6458333333)</f>
        <v>45782.6458333333</v>
      </c>
      <c r="J27" s="17">
        <f>IFERROR(__xludf.DUMMYFUNCTION("""COMPUTED_VALUE"""),381.75)</f>
        <v>381.75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IFERROR(__xludf.DUMMYFUNCTION("""COMPUTED_VALUE"""),378.25)</f>
        <v>378.25</v>
      </c>
      <c r="C28" s="16">
        <f>IFERROR(__xludf.DUMMYFUNCTION("""COMPUTED_VALUE"""),45783.6458333333)</f>
        <v>45783.6458333333</v>
      </c>
      <c r="D28" s="17">
        <f>IFERROR(__xludf.DUMMYFUNCTION("""COMPUTED_VALUE"""),386.5)</f>
        <v>386.5</v>
      </c>
      <c r="E28" s="16">
        <f>IFERROR(__xludf.DUMMYFUNCTION("""COMPUTED_VALUE"""),45783.6458333333)</f>
        <v>45783.6458333333</v>
      </c>
      <c r="F28" s="17">
        <f>IFERROR(__xludf.DUMMYFUNCTION("""COMPUTED_VALUE"""),5982166)</f>
        <v>5982166</v>
      </c>
      <c r="G28" s="16">
        <f>IFERROR(__xludf.DUMMYFUNCTION("""COMPUTED_VALUE"""),45783.6458333333)</f>
        <v>45783.6458333333</v>
      </c>
      <c r="H28" s="17">
        <f>IFERROR(__xludf.DUMMYFUNCTION("""COMPUTED_VALUE"""),387.65)</f>
        <v>387.65</v>
      </c>
      <c r="I28" s="16">
        <f>IFERROR(__xludf.DUMMYFUNCTION("""COMPUTED_VALUE"""),45783.6458333333)</f>
        <v>45783.6458333333</v>
      </c>
      <c r="J28" s="17">
        <f>IFERROR(__xludf.DUMMYFUNCTION("""COMPUTED_VALUE"""),377.4)</f>
        <v>377.4</v>
      </c>
      <c r="K28" s="3">
        <f t="shared" si="2"/>
        <v>0</v>
      </c>
      <c r="L28" s="3">
        <f t="shared" si="3"/>
        <v>378.25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IFERROR(__xludf.DUMMYFUNCTION("""COMPUTED_VALUE"""),383.3)</f>
        <v>383.3</v>
      </c>
      <c r="C29" s="16">
        <f>IFERROR(__xludf.DUMMYFUNCTION("""COMPUTED_VALUE"""),45784.6458333333)</f>
        <v>45784.6458333333</v>
      </c>
      <c r="D29" s="17">
        <f>IFERROR(__xludf.DUMMYFUNCTION("""COMPUTED_VALUE"""),370.3)</f>
        <v>370.3</v>
      </c>
      <c r="E29" s="16">
        <f>IFERROR(__xludf.DUMMYFUNCTION("""COMPUTED_VALUE"""),45784.6458333333)</f>
        <v>45784.6458333333</v>
      </c>
      <c r="F29" s="17">
        <f>IFERROR(__xludf.DUMMYFUNCTION("""COMPUTED_VALUE"""),9162368)</f>
        <v>9162368</v>
      </c>
      <c r="G29" s="16">
        <f>IFERROR(__xludf.DUMMYFUNCTION("""COMPUTED_VALUE"""),45784.6458333333)</f>
        <v>45784.6458333333</v>
      </c>
      <c r="H29" s="17">
        <f>IFERROR(__xludf.DUMMYFUNCTION("""COMPUTED_VALUE"""),387.3)</f>
        <v>387.3</v>
      </c>
      <c r="I29" s="16">
        <f>IFERROR(__xludf.DUMMYFUNCTION("""COMPUTED_VALUE"""),45784.6458333333)</f>
        <v>45784.6458333333</v>
      </c>
      <c r="J29" s="17">
        <f>IFERROR(__xludf.DUMMYFUNCTION("""COMPUTED_VALUE"""),370.3)</f>
        <v>370.3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IFERROR(__xludf.DUMMYFUNCTION("""COMPUTED_VALUE"""),385.45)</f>
        <v>385.45</v>
      </c>
      <c r="C30" s="16">
        <f>IFERROR(__xludf.DUMMYFUNCTION("""COMPUTED_VALUE"""),45785.6458333333)</f>
        <v>45785.6458333333</v>
      </c>
      <c r="D30" s="17">
        <f>IFERROR(__xludf.DUMMYFUNCTION("""COMPUTED_VALUE"""),390)</f>
        <v>390</v>
      </c>
      <c r="E30" s="16">
        <f>IFERROR(__xludf.DUMMYFUNCTION("""COMPUTED_VALUE"""),45785.6458333333)</f>
        <v>45785.6458333333</v>
      </c>
      <c r="F30" s="17">
        <f>IFERROR(__xludf.DUMMYFUNCTION("""COMPUTED_VALUE"""),14258083)</f>
        <v>14258083</v>
      </c>
      <c r="G30" s="16">
        <f>IFERROR(__xludf.DUMMYFUNCTION("""COMPUTED_VALUE"""),45785.6458333333)</f>
        <v>45785.6458333333</v>
      </c>
      <c r="H30" s="17">
        <f>IFERROR(__xludf.DUMMYFUNCTION("""COMPUTED_VALUE"""),394.95)</f>
        <v>394.95</v>
      </c>
      <c r="I30" s="16">
        <f>IFERROR(__xludf.DUMMYFUNCTION("""COMPUTED_VALUE"""),45785.6458333333)</f>
        <v>45785.6458333333</v>
      </c>
      <c r="J30" s="17">
        <f>IFERROR(__xludf.DUMMYFUNCTION("""COMPUTED_VALUE"""),382.25)</f>
        <v>382.25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IFERROR(__xludf.DUMMYFUNCTION("""COMPUTED_VALUE"""),382.4)</f>
        <v>382.4</v>
      </c>
      <c r="C31" s="16">
        <f>IFERROR(__xludf.DUMMYFUNCTION("""COMPUTED_VALUE"""),45786.6458333333)</f>
        <v>45786.6458333333</v>
      </c>
      <c r="D31" s="17">
        <f>IFERROR(__xludf.DUMMYFUNCTION("""COMPUTED_VALUE"""),379.1)</f>
        <v>379.1</v>
      </c>
      <c r="E31" s="16">
        <f>IFERROR(__xludf.DUMMYFUNCTION("""COMPUTED_VALUE"""),45786.6458333333)</f>
        <v>45786.6458333333</v>
      </c>
      <c r="F31" s="17">
        <f>IFERROR(__xludf.DUMMYFUNCTION("""COMPUTED_VALUE"""),3809943)</f>
        <v>3809943</v>
      </c>
      <c r="G31" s="16">
        <f>IFERROR(__xludf.DUMMYFUNCTION("""COMPUTED_VALUE"""),45786.6458333333)</f>
        <v>45786.6458333333</v>
      </c>
      <c r="H31" s="17">
        <f>IFERROR(__xludf.DUMMYFUNCTION("""COMPUTED_VALUE"""),383.25)</f>
        <v>383.25</v>
      </c>
      <c r="I31" s="16">
        <f>IFERROR(__xludf.DUMMYFUNCTION("""COMPUTED_VALUE"""),45786.6458333333)</f>
        <v>45786.6458333333</v>
      </c>
      <c r="J31" s="17">
        <f>IFERROR(__xludf.DUMMYFUNCTION("""COMPUTED_VALUE"""),377.05)</f>
        <v>377.05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IFERROR(__xludf.DUMMYFUNCTION("""COMPUTED_VALUE"""),395.5)</f>
        <v>395.5</v>
      </c>
      <c r="C32" s="16">
        <f>IFERROR(__xludf.DUMMYFUNCTION("""COMPUTED_VALUE"""),45789.6458333333)</f>
        <v>45789.6458333333</v>
      </c>
      <c r="D32" s="17">
        <f>IFERROR(__xludf.DUMMYFUNCTION("""COMPUTED_VALUE"""),391.95)</f>
        <v>391.95</v>
      </c>
      <c r="E32" s="16">
        <f>IFERROR(__xludf.DUMMYFUNCTION("""COMPUTED_VALUE"""),45789.6458333333)</f>
        <v>45789.6458333333</v>
      </c>
      <c r="F32" s="17">
        <f>IFERROR(__xludf.DUMMYFUNCTION("""COMPUTED_VALUE"""),6743279)</f>
        <v>6743279</v>
      </c>
      <c r="G32" s="16">
        <f>IFERROR(__xludf.DUMMYFUNCTION("""COMPUTED_VALUE"""),45789.6458333333)</f>
        <v>45789.6458333333</v>
      </c>
      <c r="H32" s="17">
        <f>IFERROR(__xludf.DUMMYFUNCTION("""COMPUTED_VALUE"""),396.1)</f>
        <v>396.1</v>
      </c>
      <c r="I32" s="16">
        <f>IFERROR(__xludf.DUMMYFUNCTION("""COMPUTED_VALUE"""),45789.6458333333)</f>
        <v>45789.6458333333</v>
      </c>
      <c r="J32" s="17">
        <f>IFERROR(__xludf.DUMMYFUNCTION("""COMPUTED_VALUE"""),387.5)</f>
        <v>387.5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IFERROR(__xludf.DUMMYFUNCTION("""COMPUTED_VALUE"""),395.15)</f>
        <v>395.15</v>
      </c>
      <c r="C33" s="16">
        <f>IFERROR(__xludf.DUMMYFUNCTION("""COMPUTED_VALUE"""),45790.6458333333)</f>
        <v>45790.6458333333</v>
      </c>
      <c r="D33" s="17">
        <f>IFERROR(__xludf.DUMMYFUNCTION("""COMPUTED_VALUE"""),395.5)</f>
        <v>395.5</v>
      </c>
      <c r="E33" s="16">
        <f>IFERROR(__xludf.DUMMYFUNCTION("""COMPUTED_VALUE"""),45790.6458333333)</f>
        <v>45790.6458333333</v>
      </c>
      <c r="F33" s="17">
        <f>IFERROR(__xludf.DUMMYFUNCTION("""COMPUTED_VALUE"""),6307140)</f>
        <v>6307140</v>
      </c>
      <c r="G33" s="16">
        <f>IFERROR(__xludf.DUMMYFUNCTION("""COMPUTED_VALUE"""),45790.6458333333)</f>
        <v>45790.6458333333</v>
      </c>
      <c r="H33" s="17">
        <f>IFERROR(__xludf.DUMMYFUNCTION("""COMPUTED_VALUE"""),399.6)</f>
        <v>399.6</v>
      </c>
      <c r="I33" s="16">
        <f>IFERROR(__xludf.DUMMYFUNCTION("""COMPUTED_VALUE"""),45790.6458333333)</f>
        <v>45790.6458333333</v>
      </c>
      <c r="J33" s="17">
        <f>IFERROR(__xludf.DUMMYFUNCTION("""COMPUTED_VALUE"""),394.05)</f>
        <v>394.05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IFERROR(__xludf.DUMMYFUNCTION("""COMPUTED_VALUE"""),403.1)</f>
        <v>403.1</v>
      </c>
      <c r="C34" s="16">
        <f>IFERROR(__xludf.DUMMYFUNCTION("""COMPUTED_VALUE"""),45791.6458333333)</f>
        <v>45791.6458333333</v>
      </c>
      <c r="D34" s="17">
        <f>IFERROR(__xludf.DUMMYFUNCTION("""COMPUTED_VALUE"""),396.75)</f>
        <v>396.75</v>
      </c>
      <c r="E34" s="16">
        <f>IFERROR(__xludf.DUMMYFUNCTION("""COMPUTED_VALUE"""),45791.6458333333)</f>
        <v>45791.6458333333</v>
      </c>
      <c r="F34" s="17">
        <f>IFERROR(__xludf.DUMMYFUNCTION("""COMPUTED_VALUE"""),6822756)</f>
        <v>6822756</v>
      </c>
      <c r="G34" s="16">
        <f>IFERROR(__xludf.DUMMYFUNCTION("""COMPUTED_VALUE"""),45791.6458333333)</f>
        <v>45791.6458333333</v>
      </c>
      <c r="H34" s="17">
        <f>IFERROR(__xludf.DUMMYFUNCTION("""COMPUTED_VALUE"""),404.05)</f>
        <v>404.05</v>
      </c>
      <c r="I34" s="16">
        <f>IFERROR(__xludf.DUMMYFUNCTION("""COMPUTED_VALUE"""),45791.6458333333)</f>
        <v>45791.6458333333</v>
      </c>
      <c r="J34" s="17">
        <f>IFERROR(__xludf.DUMMYFUNCTION("""COMPUTED_VALUE"""),396.45)</f>
        <v>396.45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IFERROR(__xludf.DUMMYFUNCTION("""COMPUTED_VALUE"""),404.65)</f>
        <v>404.65</v>
      </c>
      <c r="C35" s="16">
        <f>IFERROR(__xludf.DUMMYFUNCTION("""COMPUTED_VALUE"""),45792.6458333333)</f>
        <v>45792.6458333333</v>
      </c>
      <c r="D35" s="17">
        <f>IFERROR(__xludf.DUMMYFUNCTION("""COMPUTED_VALUE"""),403.75)</f>
        <v>403.75</v>
      </c>
      <c r="E35" s="16">
        <f>IFERROR(__xludf.DUMMYFUNCTION("""COMPUTED_VALUE"""),45792.6458333333)</f>
        <v>45792.6458333333</v>
      </c>
      <c r="F35" s="17">
        <f>IFERROR(__xludf.DUMMYFUNCTION("""COMPUTED_VALUE"""),10511989)</f>
        <v>10511989</v>
      </c>
      <c r="G35" s="16">
        <f>IFERROR(__xludf.DUMMYFUNCTION("""COMPUTED_VALUE"""),45792.6458333333)</f>
        <v>45792.6458333333</v>
      </c>
      <c r="H35" s="17">
        <f>IFERROR(__xludf.DUMMYFUNCTION("""COMPUTED_VALUE"""),406.4)</f>
        <v>406.4</v>
      </c>
      <c r="I35" s="16">
        <f>IFERROR(__xludf.DUMMYFUNCTION("""COMPUTED_VALUE"""),45792.6458333333)</f>
        <v>45792.6458333333</v>
      </c>
      <c r="J35" s="17">
        <f>IFERROR(__xludf.DUMMYFUNCTION("""COMPUTED_VALUE"""),399.6)</f>
        <v>399.6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IFERROR(__xludf.DUMMYFUNCTION("""COMPUTED_VALUE"""),404.8)</f>
        <v>404.8</v>
      </c>
      <c r="C36" s="16">
        <f>IFERROR(__xludf.DUMMYFUNCTION("""COMPUTED_VALUE"""),45793.6458333333)</f>
        <v>45793.6458333333</v>
      </c>
      <c r="D36" s="17">
        <f>IFERROR(__xludf.DUMMYFUNCTION("""COMPUTED_VALUE"""),406)</f>
        <v>406</v>
      </c>
      <c r="E36" s="16">
        <f>IFERROR(__xludf.DUMMYFUNCTION("""COMPUTED_VALUE"""),45793.6458333333)</f>
        <v>45793.6458333333</v>
      </c>
      <c r="F36" s="17">
        <f>IFERROR(__xludf.DUMMYFUNCTION("""COMPUTED_VALUE"""),4702603)</f>
        <v>4702603</v>
      </c>
      <c r="G36" s="16">
        <f>IFERROR(__xludf.DUMMYFUNCTION("""COMPUTED_VALUE"""),45793.6458333333)</f>
        <v>45793.6458333333</v>
      </c>
      <c r="H36" s="17">
        <f>IFERROR(__xludf.DUMMYFUNCTION("""COMPUTED_VALUE"""),409)</f>
        <v>409</v>
      </c>
      <c r="I36" s="16">
        <f>IFERROR(__xludf.DUMMYFUNCTION("""COMPUTED_VALUE"""),45793.6458333333)</f>
        <v>45793.6458333333</v>
      </c>
      <c r="J36" s="17">
        <f>IFERROR(__xludf.DUMMYFUNCTION("""COMPUTED_VALUE"""),403.6)</f>
        <v>403.6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IFERROR(__xludf.DUMMYFUNCTION("""COMPUTED_VALUE"""),402.7)</f>
        <v>402.7</v>
      </c>
      <c r="C37" s="16">
        <f>IFERROR(__xludf.DUMMYFUNCTION("""COMPUTED_VALUE"""),45796.6458333333)</f>
        <v>45796.6458333333</v>
      </c>
      <c r="D37" s="17">
        <f>IFERROR(__xludf.DUMMYFUNCTION("""COMPUTED_VALUE"""),405.95)</f>
        <v>405.95</v>
      </c>
      <c r="E37" s="16">
        <f>IFERROR(__xludf.DUMMYFUNCTION("""COMPUTED_VALUE"""),45796.6458333333)</f>
        <v>45796.6458333333</v>
      </c>
      <c r="F37" s="17">
        <f>IFERROR(__xludf.DUMMYFUNCTION("""COMPUTED_VALUE"""),5446656)</f>
        <v>5446656</v>
      </c>
      <c r="G37" s="16">
        <f>IFERROR(__xludf.DUMMYFUNCTION("""COMPUTED_VALUE"""),45796.6458333333)</f>
        <v>45796.6458333333</v>
      </c>
      <c r="H37" s="17">
        <f>IFERROR(__xludf.DUMMYFUNCTION("""COMPUTED_VALUE"""),407.45)</f>
        <v>407.45</v>
      </c>
      <c r="I37" s="16">
        <f>IFERROR(__xludf.DUMMYFUNCTION("""COMPUTED_VALUE"""),45796.6458333333)</f>
        <v>45796.6458333333</v>
      </c>
      <c r="J37" s="17">
        <f>IFERROR(__xludf.DUMMYFUNCTION("""COMPUTED_VALUE"""),401.05)</f>
        <v>401.05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IFERROR(__xludf.DUMMYFUNCTION("""COMPUTED_VALUE"""),408.1)</f>
        <v>408.1</v>
      </c>
      <c r="C38" s="16">
        <f>IFERROR(__xludf.DUMMYFUNCTION("""COMPUTED_VALUE"""),45797.6458333333)</f>
        <v>45797.6458333333</v>
      </c>
      <c r="D38" s="17">
        <f>IFERROR(__xludf.DUMMYFUNCTION("""COMPUTED_VALUE"""),405.5)</f>
        <v>405.5</v>
      </c>
      <c r="E38" s="16">
        <f>IFERROR(__xludf.DUMMYFUNCTION("""COMPUTED_VALUE"""),45797.6458333333)</f>
        <v>45797.6458333333</v>
      </c>
      <c r="F38" s="17">
        <f>IFERROR(__xludf.DUMMYFUNCTION("""COMPUTED_VALUE"""),18755291)</f>
        <v>18755291</v>
      </c>
      <c r="G38" s="16">
        <f>IFERROR(__xludf.DUMMYFUNCTION("""COMPUTED_VALUE"""),45797.6458333333)</f>
        <v>45797.6458333333</v>
      </c>
      <c r="H38" s="17">
        <f>IFERROR(__xludf.DUMMYFUNCTION("""COMPUTED_VALUE"""),417.25)</f>
        <v>417.25</v>
      </c>
      <c r="I38" s="16">
        <f>IFERROR(__xludf.DUMMYFUNCTION("""COMPUTED_VALUE"""),45797.6458333333)</f>
        <v>45797.6458333333</v>
      </c>
      <c r="J38" s="17">
        <f>IFERROR(__xludf.DUMMYFUNCTION("""COMPUTED_VALUE"""),404)</f>
        <v>404</v>
      </c>
      <c r="K38" s="3">
        <f t="shared" si="2"/>
        <v>408.1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IFERROR(__xludf.DUMMYFUNCTION("""COMPUTED_VALUE"""),405.35)</f>
        <v>405.35</v>
      </c>
      <c r="C39" s="16">
        <f>IFERROR(__xludf.DUMMYFUNCTION("""COMPUTED_VALUE"""),45798.6458333333)</f>
        <v>45798.6458333333</v>
      </c>
      <c r="D39" s="17">
        <f>IFERROR(__xludf.DUMMYFUNCTION("""COMPUTED_VALUE"""),411.65)</f>
        <v>411.65</v>
      </c>
      <c r="E39" s="16">
        <f>IFERROR(__xludf.DUMMYFUNCTION("""COMPUTED_VALUE"""),45798.6458333333)</f>
        <v>45798.6458333333</v>
      </c>
      <c r="F39" s="17">
        <f>IFERROR(__xludf.DUMMYFUNCTION("""COMPUTED_VALUE"""),7393102)</f>
        <v>7393102</v>
      </c>
      <c r="G39" s="16">
        <f>IFERROR(__xludf.DUMMYFUNCTION("""COMPUTED_VALUE"""),45798.6458333333)</f>
        <v>45798.6458333333</v>
      </c>
      <c r="H39" s="17">
        <f>IFERROR(__xludf.DUMMYFUNCTION("""COMPUTED_VALUE"""),413.55)</f>
        <v>413.55</v>
      </c>
      <c r="I39" s="16">
        <f>IFERROR(__xludf.DUMMYFUNCTION("""COMPUTED_VALUE"""),45798.6458333333)</f>
        <v>45798.6458333333</v>
      </c>
      <c r="J39" s="17">
        <f>IFERROR(__xludf.DUMMYFUNCTION("""COMPUTED_VALUE"""),404.25)</f>
        <v>404.25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IFERROR(__xludf.DUMMYFUNCTION("""COMPUTED_VALUE"""),398.85)</f>
        <v>398.85</v>
      </c>
      <c r="C40" s="16">
        <f>IFERROR(__xludf.DUMMYFUNCTION("""COMPUTED_VALUE"""),45799.6458333333)</f>
        <v>45799.6458333333</v>
      </c>
      <c r="D40" s="17">
        <f>IFERROR(__xludf.DUMMYFUNCTION("""COMPUTED_VALUE"""),405)</f>
        <v>405</v>
      </c>
      <c r="E40" s="16">
        <f>IFERROR(__xludf.DUMMYFUNCTION("""COMPUTED_VALUE"""),45799.6458333333)</f>
        <v>45799.6458333333</v>
      </c>
      <c r="F40" s="17">
        <f>IFERROR(__xludf.DUMMYFUNCTION("""COMPUTED_VALUE"""),7936875)</f>
        <v>7936875</v>
      </c>
      <c r="G40" s="16">
        <f>IFERROR(__xludf.DUMMYFUNCTION("""COMPUTED_VALUE"""),45799.6458333333)</f>
        <v>45799.6458333333</v>
      </c>
      <c r="H40" s="17">
        <f>IFERROR(__xludf.DUMMYFUNCTION("""COMPUTED_VALUE"""),406.65)</f>
        <v>406.65</v>
      </c>
      <c r="I40" s="16">
        <f>IFERROR(__xludf.DUMMYFUNCTION("""COMPUTED_VALUE"""),45799.6458333333)</f>
        <v>45799.6458333333</v>
      </c>
      <c r="J40" s="17">
        <f>IFERROR(__xludf.DUMMYFUNCTION("""COMPUTED_VALUE"""),393.2)</f>
        <v>393.2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IFERROR(__xludf.DUMMYFUNCTION("""COMPUTED_VALUE"""),401.5)</f>
        <v>401.5</v>
      </c>
      <c r="C41" s="16">
        <f>IFERROR(__xludf.DUMMYFUNCTION("""COMPUTED_VALUE"""),45800.6458333333)</f>
        <v>45800.6458333333</v>
      </c>
      <c r="D41" s="17">
        <f>IFERROR(__xludf.DUMMYFUNCTION("""COMPUTED_VALUE"""),400.2)</f>
        <v>400.2</v>
      </c>
      <c r="E41" s="16">
        <f>IFERROR(__xludf.DUMMYFUNCTION("""COMPUTED_VALUE"""),45800.6458333333)</f>
        <v>45800.6458333333</v>
      </c>
      <c r="F41" s="17">
        <f>IFERROR(__xludf.DUMMYFUNCTION("""COMPUTED_VALUE"""),4178408)</f>
        <v>4178408</v>
      </c>
      <c r="G41" s="16">
        <f>IFERROR(__xludf.DUMMYFUNCTION("""COMPUTED_VALUE"""),45800.6458333333)</f>
        <v>45800.6458333333</v>
      </c>
      <c r="H41" s="17">
        <f>IFERROR(__xludf.DUMMYFUNCTION("""COMPUTED_VALUE"""),403)</f>
        <v>403</v>
      </c>
      <c r="I41" s="16">
        <f>IFERROR(__xludf.DUMMYFUNCTION("""COMPUTED_VALUE"""),45800.6458333333)</f>
        <v>45800.6458333333</v>
      </c>
      <c r="J41" s="17">
        <f>IFERROR(__xludf.DUMMYFUNCTION("""COMPUTED_VALUE"""),399)</f>
        <v>399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IFERROR(__xludf.DUMMYFUNCTION("""COMPUTED_VALUE"""),402.7)</f>
        <v>402.7</v>
      </c>
      <c r="C42" s="16">
        <f>IFERROR(__xludf.DUMMYFUNCTION("""COMPUTED_VALUE"""),45803.6458333333)</f>
        <v>45803.6458333333</v>
      </c>
      <c r="D42" s="17">
        <f>IFERROR(__xludf.DUMMYFUNCTION("""COMPUTED_VALUE"""),402.55)</f>
        <v>402.55</v>
      </c>
      <c r="E42" s="16">
        <f>IFERROR(__xludf.DUMMYFUNCTION("""COMPUTED_VALUE"""),45803.6458333333)</f>
        <v>45803.6458333333</v>
      </c>
      <c r="F42" s="17">
        <f>IFERROR(__xludf.DUMMYFUNCTION("""COMPUTED_VALUE"""),6067873)</f>
        <v>6067873</v>
      </c>
      <c r="G42" s="16">
        <f>IFERROR(__xludf.DUMMYFUNCTION("""COMPUTED_VALUE"""),45803.6458333333)</f>
        <v>45803.6458333333</v>
      </c>
      <c r="H42" s="17">
        <f>IFERROR(__xludf.DUMMYFUNCTION("""COMPUTED_VALUE"""),405.8)</f>
        <v>405.8</v>
      </c>
      <c r="I42" s="16">
        <f>IFERROR(__xludf.DUMMYFUNCTION("""COMPUTED_VALUE"""),45803.6458333333)</f>
        <v>45803.6458333333</v>
      </c>
      <c r="J42" s="17">
        <f>IFERROR(__xludf.DUMMYFUNCTION("""COMPUTED_VALUE"""),401.75)</f>
        <v>401.75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IFERROR(__xludf.DUMMYFUNCTION("""COMPUTED_VALUE"""),399.95)</f>
        <v>399.95</v>
      </c>
      <c r="C43" s="16">
        <f>IFERROR(__xludf.DUMMYFUNCTION("""COMPUTED_VALUE"""),45804.6458333333)</f>
        <v>45804.6458333333</v>
      </c>
      <c r="D43" s="17">
        <f>IFERROR(__xludf.DUMMYFUNCTION("""COMPUTED_VALUE"""),402.5)</f>
        <v>402.5</v>
      </c>
      <c r="E43" s="16">
        <f>IFERROR(__xludf.DUMMYFUNCTION("""COMPUTED_VALUE"""),45804.6458333333)</f>
        <v>45804.6458333333</v>
      </c>
      <c r="F43" s="17">
        <f>IFERROR(__xludf.DUMMYFUNCTION("""COMPUTED_VALUE"""),6553758)</f>
        <v>6553758</v>
      </c>
      <c r="G43" s="16">
        <f>IFERROR(__xludf.DUMMYFUNCTION("""COMPUTED_VALUE"""),45804.6458333333)</f>
        <v>45804.6458333333</v>
      </c>
      <c r="H43" s="17">
        <f>IFERROR(__xludf.DUMMYFUNCTION("""COMPUTED_VALUE"""),403.55)</f>
        <v>403.55</v>
      </c>
      <c r="I43" s="16">
        <f>IFERROR(__xludf.DUMMYFUNCTION("""COMPUTED_VALUE"""),45804.6458333333)</f>
        <v>45804.6458333333</v>
      </c>
      <c r="J43" s="17">
        <f>IFERROR(__xludf.DUMMYFUNCTION("""COMPUTED_VALUE"""),398.3)</f>
        <v>398.3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IFERROR(__xludf.DUMMYFUNCTION("""COMPUTED_VALUE"""),398.2)</f>
        <v>398.2</v>
      </c>
      <c r="C44" s="16">
        <f>IFERROR(__xludf.DUMMYFUNCTION("""COMPUTED_VALUE"""),45805.6458333333)</f>
        <v>45805.6458333333</v>
      </c>
      <c r="D44" s="17">
        <f>IFERROR(__xludf.DUMMYFUNCTION("""COMPUTED_VALUE"""),401)</f>
        <v>401</v>
      </c>
      <c r="E44" s="16">
        <f>IFERROR(__xludf.DUMMYFUNCTION("""COMPUTED_VALUE"""),45805.6458333333)</f>
        <v>45805.6458333333</v>
      </c>
      <c r="F44" s="17">
        <f>IFERROR(__xludf.DUMMYFUNCTION("""COMPUTED_VALUE"""),6002200)</f>
        <v>6002200</v>
      </c>
      <c r="G44" s="16">
        <f>IFERROR(__xludf.DUMMYFUNCTION("""COMPUTED_VALUE"""),45805.6458333333)</f>
        <v>45805.6458333333</v>
      </c>
      <c r="H44" s="17">
        <f>IFERROR(__xludf.DUMMYFUNCTION("""COMPUTED_VALUE"""),401.85)</f>
        <v>401.85</v>
      </c>
      <c r="I44" s="16">
        <f>IFERROR(__xludf.DUMMYFUNCTION("""COMPUTED_VALUE"""),45805.6458333333)</f>
        <v>45805.6458333333</v>
      </c>
      <c r="J44" s="17">
        <f>IFERROR(__xludf.DUMMYFUNCTION("""COMPUTED_VALUE"""),396.5)</f>
        <v>396.5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IFERROR(__xludf.DUMMYFUNCTION("""COMPUTED_VALUE"""),398.2)</f>
        <v>398.2</v>
      </c>
      <c r="C45" s="16">
        <f>IFERROR(__xludf.DUMMYFUNCTION("""COMPUTED_VALUE"""),45806.6458333333)</f>
        <v>45806.6458333333</v>
      </c>
      <c r="D45" s="17">
        <f>IFERROR(__xludf.DUMMYFUNCTION("""COMPUTED_VALUE"""),400)</f>
        <v>400</v>
      </c>
      <c r="E45" s="16">
        <f>IFERROR(__xludf.DUMMYFUNCTION("""COMPUTED_VALUE"""),45806.6458333333)</f>
        <v>45806.6458333333</v>
      </c>
      <c r="F45" s="17">
        <f>IFERROR(__xludf.DUMMYFUNCTION("""COMPUTED_VALUE"""),7724668)</f>
        <v>7724668</v>
      </c>
      <c r="G45" s="16">
        <f>IFERROR(__xludf.DUMMYFUNCTION("""COMPUTED_VALUE"""),45806.6458333333)</f>
        <v>45806.6458333333</v>
      </c>
      <c r="H45" s="17">
        <f>IFERROR(__xludf.DUMMYFUNCTION("""COMPUTED_VALUE"""),401.2)</f>
        <v>401.2</v>
      </c>
      <c r="I45" s="16">
        <f>IFERROR(__xludf.DUMMYFUNCTION("""COMPUTED_VALUE"""),45806.6458333333)</f>
        <v>45806.6458333333</v>
      </c>
      <c r="J45" s="17">
        <f>IFERROR(__xludf.DUMMYFUNCTION("""COMPUTED_VALUE"""),397)</f>
        <v>397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IFERROR(__xludf.DUMMYFUNCTION("""COMPUTED_VALUE"""),397.3)</f>
        <v>397.3</v>
      </c>
      <c r="C46" s="16">
        <f>IFERROR(__xludf.DUMMYFUNCTION("""COMPUTED_VALUE"""),45807.6458333333)</f>
        <v>45807.6458333333</v>
      </c>
      <c r="D46" s="17">
        <f>IFERROR(__xludf.DUMMYFUNCTION("""COMPUTED_VALUE"""),398.95)</f>
        <v>398.95</v>
      </c>
      <c r="E46" s="16">
        <f>IFERROR(__xludf.DUMMYFUNCTION("""COMPUTED_VALUE"""),45807.6458333333)</f>
        <v>45807.6458333333</v>
      </c>
      <c r="F46" s="17">
        <f>IFERROR(__xludf.DUMMYFUNCTION("""COMPUTED_VALUE"""),6565658)</f>
        <v>6565658</v>
      </c>
      <c r="G46" s="16">
        <f>IFERROR(__xludf.DUMMYFUNCTION("""COMPUTED_VALUE"""),45807.6458333333)</f>
        <v>45807.6458333333</v>
      </c>
      <c r="H46" s="17">
        <f>IFERROR(__xludf.DUMMYFUNCTION("""COMPUTED_VALUE"""),404.75)</f>
        <v>404.75</v>
      </c>
      <c r="I46" s="16">
        <f>IFERROR(__xludf.DUMMYFUNCTION("""COMPUTED_VALUE"""),45807.6458333333)</f>
        <v>45807.6458333333</v>
      </c>
      <c r="J46" s="17">
        <f>IFERROR(__xludf.DUMMYFUNCTION("""COMPUTED_VALUE"""),396.35)</f>
        <v>396.35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IFERROR(__xludf.DUMMYFUNCTION("""COMPUTED_VALUE"""),399.7)</f>
        <v>399.7</v>
      </c>
      <c r="C47" s="16">
        <f>IFERROR(__xludf.DUMMYFUNCTION("""COMPUTED_VALUE"""),45810.6458333333)</f>
        <v>45810.6458333333</v>
      </c>
      <c r="D47" s="17">
        <f>IFERROR(__xludf.DUMMYFUNCTION("""COMPUTED_VALUE"""),398.95)</f>
        <v>398.95</v>
      </c>
      <c r="E47" s="16">
        <f>IFERROR(__xludf.DUMMYFUNCTION("""COMPUTED_VALUE"""),45810.6458333333)</f>
        <v>45810.6458333333</v>
      </c>
      <c r="F47" s="17">
        <f>IFERROR(__xludf.DUMMYFUNCTION("""COMPUTED_VALUE"""),6119571)</f>
        <v>6119571</v>
      </c>
      <c r="G47" s="16">
        <f>IFERROR(__xludf.DUMMYFUNCTION("""COMPUTED_VALUE"""),45810.6458333333)</f>
        <v>45810.6458333333</v>
      </c>
      <c r="H47" s="17">
        <f>IFERROR(__xludf.DUMMYFUNCTION("""COMPUTED_VALUE"""),401.4)</f>
        <v>401.4</v>
      </c>
      <c r="I47" s="16">
        <f>IFERROR(__xludf.DUMMYFUNCTION("""COMPUTED_VALUE"""),45810.6458333333)</f>
        <v>45810.6458333333</v>
      </c>
      <c r="J47" s="17">
        <f>IFERROR(__xludf.DUMMYFUNCTION("""COMPUTED_VALUE"""),395.5)</f>
        <v>395.5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IFERROR(__xludf.DUMMYFUNCTION("""COMPUTED_VALUE"""),392.85)</f>
        <v>392.85</v>
      </c>
      <c r="C48" s="16">
        <f>IFERROR(__xludf.DUMMYFUNCTION("""COMPUTED_VALUE"""),45811.6458333333)</f>
        <v>45811.6458333333</v>
      </c>
      <c r="D48" s="17">
        <f>IFERROR(__xludf.DUMMYFUNCTION("""COMPUTED_VALUE"""),399.7)</f>
        <v>399.7</v>
      </c>
      <c r="E48" s="16">
        <f>IFERROR(__xludf.DUMMYFUNCTION("""COMPUTED_VALUE"""),45811.6458333333)</f>
        <v>45811.6458333333</v>
      </c>
      <c r="F48" s="17">
        <f>IFERROR(__xludf.DUMMYFUNCTION("""COMPUTED_VALUE"""),7360608)</f>
        <v>7360608</v>
      </c>
      <c r="G48" s="16">
        <f>IFERROR(__xludf.DUMMYFUNCTION("""COMPUTED_VALUE"""),45811.6458333333)</f>
        <v>45811.6458333333</v>
      </c>
      <c r="H48" s="17">
        <f>IFERROR(__xludf.DUMMYFUNCTION("""COMPUTED_VALUE"""),400.5)</f>
        <v>400.5</v>
      </c>
      <c r="I48" s="16">
        <f>IFERROR(__xludf.DUMMYFUNCTION("""COMPUTED_VALUE"""),45811.6458333333)</f>
        <v>45811.6458333333</v>
      </c>
      <c r="J48" s="17">
        <f>IFERROR(__xludf.DUMMYFUNCTION("""COMPUTED_VALUE"""),390.5)</f>
        <v>390.5</v>
      </c>
      <c r="K48" s="3">
        <f t="shared" si="2"/>
        <v>0</v>
      </c>
      <c r="L48" s="3">
        <f t="shared" si="3"/>
        <v>392.85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IFERROR(__xludf.DUMMYFUNCTION("""COMPUTED_VALUE"""),394.6)</f>
        <v>394.6</v>
      </c>
      <c r="C49" s="16">
        <f>IFERROR(__xludf.DUMMYFUNCTION("""COMPUTED_VALUE"""),45812.6458333333)</f>
        <v>45812.6458333333</v>
      </c>
      <c r="D49" s="17">
        <f>IFERROR(__xludf.DUMMYFUNCTION("""COMPUTED_VALUE"""),392.85)</f>
        <v>392.85</v>
      </c>
      <c r="E49" s="16">
        <f>IFERROR(__xludf.DUMMYFUNCTION("""COMPUTED_VALUE"""),45812.6458333333)</f>
        <v>45812.6458333333</v>
      </c>
      <c r="F49" s="17">
        <f>IFERROR(__xludf.DUMMYFUNCTION("""COMPUTED_VALUE"""),3861957)</f>
        <v>3861957</v>
      </c>
      <c r="G49" s="16">
        <f>IFERROR(__xludf.DUMMYFUNCTION("""COMPUTED_VALUE"""),45812.6458333333)</f>
        <v>45812.6458333333</v>
      </c>
      <c r="H49" s="17">
        <f>IFERROR(__xludf.DUMMYFUNCTION("""COMPUTED_VALUE"""),395)</f>
        <v>395</v>
      </c>
      <c r="I49" s="16">
        <f>IFERROR(__xludf.DUMMYFUNCTION("""COMPUTED_VALUE"""),45812.6458333333)</f>
        <v>45812.6458333333</v>
      </c>
      <c r="J49" s="17">
        <f>IFERROR(__xludf.DUMMYFUNCTION("""COMPUTED_VALUE"""),389.6)</f>
        <v>389.6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IFERROR(__xludf.DUMMYFUNCTION("""COMPUTED_VALUE"""),394.9)</f>
        <v>394.9</v>
      </c>
      <c r="C50" s="16">
        <f>IFERROR(__xludf.DUMMYFUNCTION("""COMPUTED_VALUE"""),45813.6458333333)</f>
        <v>45813.6458333333</v>
      </c>
      <c r="D50" s="17">
        <f>IFERROR(__xludf.DUMMYFUNCTION("""COMPUTED_VALUE"""),394.6)</f>
        <v>394.6</v>
      </c>
      <c r="E50" s="16">
        <f>IFERROR(__xludf.DUMMYFUNCTION("""COMPUTED_VALUE"""),45813.6458333333)</f>
        <v>45813.6458333333</v>
      </c>
      <c r="F50" s="17">
        <f>IFERROR(__xludf.DUMMYFUNCTION("""COMPUTED_VALUE"""),6097293)</f>
        <v>6097293</v>
      </c>
      <c r="G50" s="16">
        <f>IFERROR(__xludf.DUMMYFUNCTION("""COMPUTED_VALUE"""),45813.6458333333)</f>
        <v>45813.6458333333</v>
      </c>
      <c r="H50" s="17">
        <f>IFERROR(__xludf.DUMMYFUNCTION("""COMPUTED_VALUE"""),397.8)</f>
        <v>397.8</v>
      </c>
      <c r="I50" s="16">
        <f>IFERROR(__xludf.DUMMYFUNCTION("""COMPUTED_VALUE"""),45813.6458333333)</f>
        <v>45813.6458333333</v>
      </c>
      <c r="J50" s="17">
        <f>IFERROR(__xludf.DUMMYFUNCTION("""COMPUTED_VALUE"""),392.55)</f>
        <v>392.55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IFERROR(__xludf.DUMMYFUNCTION("""COMPUTED_VALUE"""),398.95)</f>
        <v>398.95</v>
      </c>
      <c r="C51" s="16">
        <f>IFERROR(__xludf.DUMMYFUNCTION("""COMPUTED_VALUE"""),45814.6458333333)</f>
        <v>45814.6458333333</v>
      </c>
      <c r="D51" s="17">
        <f>IFERROR(__xludf.DUMMYFUNCTION("""COMPUTED_VALUE"""),397.85)</f>
        <v>397.85</v>
      </c>
      <c r="E51" s="16">
        <f>IFERROR(__xludf.DUMMYFUNCTION("""COMPUTED_VALUE"""),45814.6458333333)</f>
        <v>45814.6458333333</v>
      </c>
      <c r="F51" s="17">
        <f>IFERROR(__xludf.DUMMYFUNCTION("""COMPUTED_VALUE"""),7633919)</f>
        <v>7633919</v>
      </c>
      <c r="G51" s="16">
        <f>IFERROR(__xludf.DUMMYFUNCTION("""COMPUTED_VALUE"""),45814.6458333333)</f>
        <v>45814.6458333333</v>
      </c>
      <c r="H51" s="17">
        <f>IFERROR(__xludf.DUMMYFUNCTION("""COMPUTED_VALUE"""),400.6)</f>
        <v>400.6</v>
      </c>
      <c r="I51" s="16">
        <f>IFERROR(__xludf.DUMMYFUNCTION("""COMPUTED_VALUE"""),45814.6458333333)</f>
        <v>45814.6458333333</v>
      </c>
      <c r="J51" s="17">
        <f>IFERROR(__xludf.DUMMYFUNCTION("""COMPUTED_VALUE"""),396.05)</f>
        <v>396.05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IFERROR(__xludf.DUMMYFUNCTION("""COMPUTED_VALUE"""),401)</f>
        <v>401</v>
      </c>
      <c r="C52" s="16">
        <f>IFERROR(__xludf.DUMMYFUNCTION("""COMPUTED_VALUE"""),45817.6458333333)</f>
        <v>45817.6458333333</v>
      </c>
      <c r="D52" s="17">
        <f>IFERROR(__xludf.DUMMYFUNCTION("""COMPUTED_VALUE"""),400.9)</f>
        <v>400.9</v>
      </c>
      <c r="E52" s="16">
        <f>IFERROR(__xludf.DUMMYFUNCTION("""COMPUTED_VALUE"""),45817.6458333333)</f>
        <v>45817.6458333333</v>
      </c>
      <c r="F52" s="17">
        <f>IFERROR(__xludf.DUMMYFUNCTION("""COMPUTED_VALUE"""),9626374)</f>
        <v>9626374</v>
      </c>
      <c r="G52" s="16">
        <f>IFERROR(__xludf.DUMMYFUNCTION("""COMPUTED_VALUE"""),45817.6458333333)</f>
        <v>45817.6458333333</v>
      </c>
      <c r="H52" s="17">
        <f>IFERROR(__xludf.DUMMYFUNCTION("""COMPUTED_VALUE"""),406.2)</f>
        <v>406.2</v>
      </c>
      <c r="I52" s="16">
        <f>IFERROR(__xludf.DUMMYFUNCTION("""COMPUTED_VALUE"""),45817.6458333333)</f>
        <v>45817.6458333333</v>
      </c>
      <c r="J52" s="17">
        <f>IFERROR(__xludf.DUMMYFUNCTION("""COMPUTED_VALUE"""),400)</f>
        <v>400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IFERROR(__xludf.DUMMYFUNCTION("""COMPUTED_VALUE"""),399.55)</f>
        <v>399.55</v>
      </c>
      <c r="C53" s="16">
        <f>IFERROR(__xludf.DUMMYFUNCTION("""COMPUTED_VALUE"""),45818.6458333333)</f>
        <v>45818.6458333333</v>
      </c>
      <c r="D53" s="17">
        <f>IFERROR(__xludf.DUMMYFUNCTION("""COMPUTED_VALUE"""),403)</f>
        <v>403</v>
      </c>
      <c r="E53" s="16">
        <f>IFERROR(__xludf.DUMMYFUNCTION("""COMPUTED_VALUE"""),45818.6458333333)</f>
        <v>45818.6458333333</v>
      </c>
      <c r="F53" s="17">
        <f>IFERROR(__xludf.DUMMYFUNCTION("""COMPUTED_VALUE"""),6362912)</f>
        <v>6362912</v>
      </c>
      <c r="G53" s="16">
        <f>IFERROR(__xludf.DUMMYFUNCTION("""COMPUTED_VALUE"""),45818.6458333333)</f>
        <v>45818.6458333333</v>
      </c>
      <c r="H53" s="17">
        <f>IFERROR(__xludf.DUMMYFUNCTION("""COMPUTED_VALUE"""),404.5)</f>
        <v>404.5</v>
      </c>
      <c r="I53" s="16">
        <f>IFERROR(__xludf.DUMMYFUNCTION("""COMPUTED_VALUE"""),45818.6458333333)</f>
        <v>45818.6458333333</v>
      </c>
      <c r="J53" s="17">
        <f>IFERROR(__xludf.DUMMYFUNCTION("""COMPUTED_VALUE"""),398.85)</f>
        <v>398.85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IFERROR(__xludf.DUMMYFUNCTION("""COMPUTED_VALUE"""),402.1)</f>
        <v>402.1</v>
      </c>
      <c r="C54" s="16">
        <f>IFERROR(__xludf.DUMMYFUNCTION("""COMPUTED_VALUE"""),45819.6458333333)</f>
        <v>45819.6458333333</v>
      </c>
      <c r="D54" s="17">
        <f>IFERROR(__xludf.DUMMYFUNCTION("""COMPUTED_VALUE"""),400.1)</f>
        <v>400.1</v>
      </c>
      <c r="E54" s="16">
        <f>IFERROR(__xludf.DUMMYFUNCTION("""COMPUTED_VALUE"""),45819.6458333333)</f>
        <v>45819.6458333333</v>
      </c>
      <c r="F54" s="17">
        <f>IFERROR(__xludf.DUMMYFUNCTION("""COMPUTED_VALUE"""),11946342)</f>
        <v>11946342</v>
      </c>
      <c r="G54" s="16">
        <f>IFERROR(__xludf.DUMMYFUNCTION("""COMPUTED_VALUE"""),45819.6458333333)</f>
        <v>45819.6458333333</v>
      </c>
      <c r="H54" s="17">
        <f>IFERROR(__xludf.DUMMYFUNCTION("""COMPUTED_VALUE"""),409.5)</f>
        <v>409.5</v>
      </c>
      <c r="I54" s="16">
        <f>IFERROR(__xludf.DUMMYFUNCTION("""COMPUTED_VALUE"""),45819.6458333333)</f>
        <v>45819.6458333333</v>
      </c>
      <c r="J54" s="17">
        <f>IFERROR(__xludf.DUMMYFUNCTION("""COMPUTED_VALUE"""),398.4)</f>
        <v>398.4</v>
      </c>
      <c r="K54" s="3">
        <f t="shared" si="2"/>
        <v>402.1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IFERROR(__xludf.DUMMYFUNCTION("""COMPUTED_VALUE"""),392.7)</f>
        <v>392.7</v>
      </c>
      <c r="C55" s="16">
        <f>IFERROR(__xludf.DUMMYFUNCTION("""COMPUTED_VALUE"""),45820.6458333333)</f>
        <v>45820.6458333333</v>
      </c>
      <c r="D55" s="17">
        <f>IFERROR(__xludf.DUMMYFUNCTION("""COMPUTED_VALUE"""),402)</f>
        <v>402</v>
      </c>
      <c r="E55" s="16">
        <f>IFERROR(__xludf.DUMMYFUNCTION("""COMPUTED_VALUE"""),45820.6458333333)</f>
        <v>45820.6458333333</v>
      </c>
      <c r="F55" s="17">
        <f>IFERROR(__xludf.DUMMYFUNCTION("""COMPUTED_VALUE"""),11262656)</f>
        <v>11262656</v>
      </c>
      <c r="G55" s="16">
        <f>IFERROR(__xludf.DUMMYFUNCTION("""COMPUTED_VALUE"""),45820.6458333333)</f>
        <v>45820.6458333333</v>
      </c>
      <c r="H55" s="17">
        <f>IFERROR(__xludf.DUMMYFUNCTION("""COMPUTED_VALUE"""),402.35)</f>
        <v>402.35</v>
      </c>
      <c r="I55" s="16">
        <f>IFERROR(__xludf.DUMMYFUNCTION("""COMPUTED_VALUE"""),45820.6458333333)</f>
        <v>45820.6458333333</v>
      </c>
      <c r="J55" s="17">
        <f>IFERROR(__xludf.DUMMYFUNCTION("""COMPUTED_VALUE"""),391.5)</f>
        <v>391.5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IFERROR(__xludf.DUMMYFUNCTION("""COMPUTED_VALUE"""),391.2)</f>
        <v>391.2</v>
      </c>
      <c r="C56" s="16">
        <f>IFERROR(__xludf.DUMMYFUNCTION("""COMPUTED_VALUE"""),45821.6458333333)</f>
        <v>45821.6458333333</v>
      </c>
      <c r="D56" s="17">
        <f>IFERROR(__xludf.DUMMYFUNCTION("""COMPUTED_VALUE"""),390)</f>
        <v>390</v>
      </c>
      <c r="E56" s="16">
        <f>IFERROR(__xludf.DUMMYFUNCTION("""COMPUTED_VALUE"""),45821.6458333333)</f>
        <v>45821.6458333333</v>
      </c>
      <c r="F56" s="17">
        <f>IFERROR(__xludf.DUMMYFUNCTION("""COMPUTED_VALUE"""),5253032)</f>
        <v>5253032</v>
      </c>
      <c r="G56" s="16">
        <f>IFERROR(__xludf.DUMMYFUNCTION("""COMPUTED_VALUE"""),45821.6458333333)</f>
        <v>45821.6458333333</v>
      </c>
      <c r="H56" s="17">
        <f>IFERROR(__xludf.DUMMYFUNCTION("""COMPUTED_VALUE"""),392.35)</f>
        <v>392.35</v>
      </c>
      <c r="I56" s="16">
        <f>IFERROR(__xludf.DUMMYFUNCTION("""COMPUTED_VALUE"""),45821.6458333333)</f>
        <v>45821.6458333333</v>
      </c>
      <c r="J56" s="17">
        <f>IFERROR(__xludf.DUMMYFUNCTION("""COMPUTED_VALUE"""),386)</f>
        <v>386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IFERROR(__xludf.DUMMYFUNCTION("""COMPUTED_VALUE"""),394.35)</f>
        <v>394.35</v>
      </c>
      <c r="C57" s="16">
        <f>IFERROR(__xludf.DUMMYFUNCTION("""COMPUTED_VALUE"""),45824.6458333333)</f>
        <v>45824.6458333333</v>
      </c>
      <c r="D57" s="17">
        <f>IFERROR(__xludf.DUMMYFUNCTION("""COMPUTED_VALUE"""),391)</f>
        <v>391</v>
      </c>
      <c r="E57" s="16">
        <f>IFERROR(__xludf.DUMMYFUNCTION("""COMPUTED_VALUE"""),45824.6458333333)</f>
        <v>45824.6458333333</v>
      </c>
      <c r="F57" s="17">
        <f>IFERROR(__xludf.DUMMYFUNCTION("""COMPUTED_VALUE"""),3706240)</f>
        <v>3706240</v>
      </c>
      <c r="G57" s="16">
        <f>IFERROR(__xludf.DUMMYFUNCTION("""COMPUTED_VALUE"""),45824.6458333333)</f>
        <v>45824.6458333333</v>
      </c>
      <c r="H57" s="17">
        <f>IFERROR(__xludf.DUMMYFUNCTION("""COMPUTED_VALUE"""),394.6)</f>
        <v>394.6</v>
      </c>
      <c r="I57" s="16">
        <f>IFERROR(__xludf.DUMMYFUNCTION("""COMPUTED_VALUE"""),45824.6458333333)</f>
        <v>45824.6458333333</v>
      </c>
      <c r="J57" s="17">
        <f>IFERROR(__xludf.DUMMYFUNCTION("""COMPUTED_VALUE"""),386.2)</f>
        <v>386.2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IFERROR(__xludf.DUMMYFUNCTION("""COMPUTED_VALUE"""),391.3)</f>
        <v>391.3</v>
      </c>
      <c r="C58" s="16">
        <f>IFERROR(__xludf.DUMMYFUNCTION("""COMPUTED_VALUE"""),45825.6458333333)</f>
        <v>45825.6458333333</v>
      </c>
      <c r="D58" s="17">
        <f>IFERROR(__xludf.DUMMYFUNCTION("""COMPUTED_VALUE"""),394)</f>
        <v>394</v>
      </c>
      <c r="E58" s="16">
        <f>IFERROR(__xludf.DUMMYFUNCTION("""COMPUTED_VALUE"""),45825.6458333333)</f>
        <v>45825.6458333333</v>
      </c>
      <c r="F58" s="17">
        <f>IFERROR(__xludf.DUMMYFUNCTION("""COMPUTED_VALUE"""),3248476)</f>
        <v>3248476</v>
      </c>
      <c r="G58" s="16">
        <f>IFERROR(__xludf.DUMMYFUNCTION("""COMPUTED_VALUE"""),45825.6458333333)</f>
        <v>45825.6458333333</v>
      </c>
      <c r="H58" s="17">
        <f>IFERROR(__xludf.DUMMYFUNCTION("""COMPUTED_VALUE"""),395.85)</f>
        <v>395.85</v>
      </c>
      <c r="I58" s="16">
        <f>IFERROR(__xludf.DUMMYFUNCTION("""COMPUTED_VALUE"""),45825.6458333333)</f>
        <v>45825.6458333333</v>
      </c>
      <c r="J58" s="17">
        <f>IFERROR(__xludf.DUMMYFUNCTION("""COMPUTED_VALUE"""),390.1)</f>
        <v>390.1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IFERROR(__xludf.DUMMYFUNCTION("""COMPUTED_VALUE"""),390.35)</f>
        <v>390.35</v>
      </c>
      <c r="C59" s="16">
        <f>IFERROR(__xludf.DUMMYFUNCTION("""COMPUTED_VALUE"""),45826.6458333333)</f>
        <v>45826.6458333333</v>
      </c>
      <c r="D59" s="17">
        <f>IFERROR(__xludf.DUMMYFUNCTION("""COMPUTED_VALUE"""),391.3)</f>
        <v>391.3</v>
      </c>
      <c r="E59" s="16">
        <f>IFERROR(__xludf.DUMMYFUNCTION("""COMPUTED_VALUE"""),45826.6458333333)</f>
        <v>45826.6458333333</v>
      </c>
      <c r="F59" s="17">
        <f>IFERROR(__xludf.DUMMYFUNCTION("""COMPUTED_VALUE"""),4118145)</f>
        <v>4118145</v>
      </c>
      <c r="G59" s="16">
        <f>IFERROR(__xludf.DUMMYFUNCTION("""COMPUTED_VALUE"""),45826.6458333333)</f>
        <v>45826.6458333333</v>
      </c>
      <c r="H59" s="17">
        <f>IFERROR(__xludf.DUMMYFUNCTION("""COMPUTED_VALUE"""),393.4)</f>
        <v>393.4</v>
      </c>
      <c r="I59" s="16">
        <f>IFERROR(__xludf.DUMMYFUNCTION("""COMPUTED_VALUE"""),45826.6458333333)</f>
        <v>45826.6458333333</v>
      </c>
      <c r="J59" s="17">
        <f>IFERROR(__xludf.DUMMYFUNCTION("""COMPUTED_VALUE"""),388.1)</f>
        <v>388.1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IFERROR(__xludf.DUMMYFUNCTION("""COMPUTED_VALUE"""),384.25)</f>
        <v>384.25</v>
      </c>
      <c r="C60" s="16">
        <f>IFERROR(__xludf.DUMMYFUNCTION("""COMPUTED_VALUE"""),45827.6458333333)</f>
        <v>45827.6458333333</v>
      </c>
      <c r="D60" s="17">
        <f>IFERROR(__xludf.DUMMYFUNCTION("""COMPUTED_VALUE"""),390.35)</f>
        <v>390.35</v>
      </c>
      <c r="E60" s="16">
        <f>IFERROR(__xludf.DUMMYFUNCTION("""COMPUTED_VALUE"""),45827.6458333333)</f>
        <v>45827.6458333333</v>
      </c>
      <c r="F60" s="17">
        <f>IFERROR(__xludf.DUMMYFUNCTION("""COMPUTED_VALUE"""),4416367)</f>
        <v>4416367</v>
      </c>
      <c r="G60" s="16">
        <f>IFERROR(__xludf.DUMMYFUNCTION("""COMPUTED_VALUE"""),45827.6458333333)</f>
        <v>45827.6458333333</v>
      </c>
      <c r="H60" s="17">
        <f>IFERROR(__xludf.DUMMYFUNCTION("""COMPUTED_VALUE"""),391.5)</f>
        <v>391.5</v>
      </c>
      <c r="I60" s="16">
        <f>IFERROR(__xludf.DUMMYFUNCTION("""COMPUTED_VALUE"""),45827.6458333333)</f>
        <v>45827.6458333333</v>
      </c>
      <c r="J60" s="17">
        <f>IFERROR(__xludf.DUMMYFUNCTION("""COMPUTED_VALUE"""),383.5)</f>
        <v>383.5</v>
      </c>
      <c r="K60" s="3">
        <f t="shared" si="2"/>
        <v>0</v>
      </c>
      <c r="L60" s="3">
        <f t="shared" si="3"/>
        <v>384.25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IFERROR(__xludf.DUMMYFUNCTION("""COMPUTED_VALUE"""),389.05)</f>
        <v>389.05</v>
      </c>
      <c r="C61" s="16">
        <f>IFERROR(__xludf.DUMMYFUNCTION("""COMPUTED_VALUE"""),45828.6458333333)</f>
        <v>45828.6458333333</v>
      </c>
      <c r="D61" s="17">
        <f>IFERROR(__xludf.DUMMYFUNCTION("""COMPUTED_VALUE"""),384.2)</f>
        <v>384.2</v>
      </c>
      <c r="E61" s="16">
        <f>IFERROR(__xludf.DUMMYFUNCTION("""COMPUTED_VALUE"""),45828.6458333333)</f>
        <v>45828.6458333333</v>
      </c>
      <c r="F61" s="17">
        <f>IFERROR(__xludf.DUMMYFUNCTION("""COMPUTED_VALUE"""),6531957)</f>
        <v>6531957</v>
      </c>
      <c r="G61" s="16">
        <f>IFERROR(__xludf.DUMMYFUNCTION("""COMPUTED_VALUE"""),45828.6458333333)</f>
        <v>45828.6458333333</v>
      </c>
      <c r="H61" s="17">
        <f>IFERROR(__xludf.DUMMYFUNCTION("""COMPUTED_VALUE"""),391.8)</f>
        <v>391.8</v>
      </c>
      <c r="I61" s="16">
        <f>IFERROR(__xludf.DUMMYFUNCTION("""COMPUTED_VALUE"""),45828.6458333333)</f>
        <v>45828.6458333333</v>
      </c>
      <c r="J61" s="17">
        <f>IFERROR(__xludf.DUMMYFUNCTION("""COMPUTED_VALUE"""),384.15)</f>
        <v>384.15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IFERROR(__xludf.DUMMYFUNCTION("""COMPUTED_VALUE"""),392.5)</f>
        <v>392.5</v>
      </c>
      <c r="C62" s="16">
        <f>IFERROR(__xludf.DUMMYFUNCTION("""COMPUTED_VALUE"""),45831.6458333333)</f>
        <v>45831.6458333333</v>
      </c>
      <c r="D62" s="17">
        <f>IFERROR(__xludf.DUMMYFUNCTION("""COMPUTED_VALUE"""),387)</f>
        <v>387</v>
      </c>
      <c r="E62" s="16">
        <f>IFERROR(__xludf.DUMMYFUNCTION("""COMPUTED_VALUE"""),45831.6458333333)</f>
        <v>45831.6458333333</v>
      </c>
      <c r="F62" s="17">
        <f>IFERROR(__xludf.DUMMYFUNCTION("""COMPUTED_VALUE"""),3359491)</f>
        <v>3359491</v>
      </c>
      <c r="G62" s="16">
        <f>IFERROR(__xludf.DUMMYFUNCTION("""COMPUTED_VALUE"""),45831.6458333333)</f>
        <v>45831.6458333333</v>
      </c>
      <c r="H62" s="17">
        <f>IFERROR(__xludf.DUMMYFUNCTION("""COMPUTED_VALUE"""),393.1)</f>
        <v>393.1</v>
      </c>
      <c r="I62" s="16">
        <f>IFERROR(__xludf.DUMMYFUNCTION("""COMPUTED_VALUE"""),45831.6458333333)</f>
        <v>45831.6458333333</v>
      </c>
      <c r="J62" s="17">
        <f>IFERROR(__xludf.DUMMYFUNCTION("""COMPUTED_VALUE"""),384.7)</f>
        <v>384.7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IFERROR(__xludf.DUMMYFUNCTION("""COMPUTED_VALUE"""),392.65)</f>
        <v>392.65</v>
      </c>
      <c r="C63" s="16">
        <f>IFERROR(__xludf.DUMMYFUNCTION("""COMPUTED_VALUE"""),45832.6458333333)</f>
        <v>45832.6458333333</v>
      </c>
      <c r="D63" s="17">
        <f>IFERROR(__xludf.DUMMYFUNCTION("""COMPUTED_VALUE"""),394.45)</f>
        <v>394.45</v>
      </c>
      <c r="E63" s="16">
        <f>IFERROR(__xludf.DUMMYFUNCTION("""COMPUTED_VALUE"""),45832.6458333333)</f>
        <v>45832.6458333333</v>
      </c>
      <c r="F63" s="17">
        <f>IFERROR(__xludf.DUMMYFUNCTION("""COMPUTED_VALUE"""),4606984)</f>
        <v>4606984</v>
      </c>
      <c r="G63" s="16">
        <f>IFERROR(__xludf.DUMMYFUNCTION("""COMPUTED_VALUE"""),45832.6458333333)</f>
        <v>45832.6458333333</v>
      </c>
      <c r="H63" s="17">
        <f>IFERROR(__xludf.DUMMYFUNCTION("""COMPUTED_VALUE"""),395.4)</f>
        <v>395.4</v>
      </c>
      <c r="I63" s="16">
        <f>IFERROR(__xludf.DUMMYFUNCTION("""COMPUTED_VALUE"""),45832.6458333333)</f>
        <v>45832.6458333333</v>
      </c>
      <c r="J63" s="17">
        <f>IFERROR(__xludf.DUMMYFUNCTION("""COMPUTED_VALUE"""),390.7)</f>
        <v>390.7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IFERROR(__xludf.DUMMYFUNCTION("""COMPUTED_VALUE"""),391.75)</f>
        <v>391.75</v>
      </c>
      <c r="C64" s="16">
        <f>IFERROR(__xludf.DUMMYFUNCTION("""COMPUTED_VALUE"""),45833.6458333333)</f>
        <v>45833.6458333333</v>
      </c>
      <c r="D64" s="17">
        <f>IFERROR(__xludf.DUMMYFUNCTION("""COMPUTED_VALUE"""),393.85)</f>
        <v>393.85</v>
      </c>
      <c r="E64" s="16">
        <f>IFERROR(__xludf.DUMMYFUNCTION("""COMPUTED_VALUE"""),45833.6458333333)</f>
        <v>45833.6458333333</v>
      </c>
      <c r="F64" s="17">
        <f>IFERROR(__xludf.DUMMYFUNCTION("""COMPUTED_VALUE"""),4672204)</f>
        <v>4672204</v>
      </c>
      <c r="G64" s="16">
        <f>IFERROR(__xludf.DUMMYFUNCTION("""COMPUTED_VALUE"""),45833.6458333333)</f>
        <v>45833.6458333333</v>
      </c>
      <c r="H64" s="17">
        <f>IFERROR(__xludf.DUMMYFUNCTION("""COMPUTED_VALUE"""),395.4)</f>
        <v>395.4</v>
      </c>
      <c r="I64" s="16">
        <f>IFERROR(__xludf.DUMMYFUNCTION("""COMPUTED_VALUE"""),45833.6458333333)</f>
        <v>45833.6458333333</v>
      </c>
      <c r="J64" s="17">
        <f>IFERROR(__xludf.DUMMYFUNCTION("""COMPUTED_VALUE"""),391)</f>
        <v>391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IFERROR(__xludf.DUMMYFUNCTION("""COMPUTED_VALUE"""),394.15)</f>
        <v>394.15</v>
      </c>
      <c r="C65" s="16">
        <f>IFERROR(__xludf.DUMMYFUNCTION("""COMPUTED_VALUE"""),45834.6458333333)</f>
        <v>45834.6458333333</v>
      </c>
      <c r="D65" s="17">
        <f>IFERROR(__xludf.DUMMYFUNCTION("""COMPUTED_VALUE"""),392)</f>
        <v>392</v>
      </c>
      <c r="E65" s="16">
        <f>IFERROR(__xludf.DUMMYFUNCTION("""COMPUTED_VALUE"""),45834.6458333333)</f>
        <v>45834.6458333333</v>
      </c>
      <c r="F65" s="17">
        <f>IFERROR(__xludf.DUMMYFUNCTION("""COMPUTED_VALUE"""),5569101)</f>
        <v>5569101</v>
      </c>
      <c r="G65" s="16">
        <f>IFERROR(__xludf.DUMMYFUNCTION("""COMPUTED_VALUE"""),45834.6458333333)</f>
        <v>45834.6458333333</v>
      </c>
      <c r="H65" s="17">
        <f>IFERROR(__xludf.DUMMYFUNCTION("""COMPUTED_VALUE"""),394.7)</f>
        <v>394.7</v>
      </c>
      <c r="I65" s="16">
        <f>IFERROR(__xludf.DUMMYFUNCTION("""COMPUTED_VALUE"""),45834.6458333333)</f>
        <v>45834.6458333333</v>
      </c>
      <c r="J65" s="17">
        <f>IFERROR(__xludf.DUMMYFUNCTION("""COMPUTED_VALUE"""),390.65)</f>
        <v>390.65</v>
      </c>
      <c r="K65" s="3">
        <f t="shared" si="2"/>
        <v>394.15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IFERROR(__xludf.DUMMYFUNCTION("""COMPUTED_VALUE"""),394.15)</f>
        <v>394.15</v>
      </c>
      <c r="C66" s="16">
        <f>IFERROR(__xludf.DUMMYFUNCTION("""COMPUTED_VALUE"""),45835.6458333333)</f>
        <v>45835.6458333333</v>
      </c>
      <c r="D66" s="17">
        <f>IFERROR(__xludf.DUMMYFUNCTION("""COMPUTED_VALUE"""),395)</f>
        <v>395</v>
      </c>
      <c r="E66" s="16">
        <f>IFERROR(__xludf.DUMMYFUNCTION("""COMPUTED_VALUE"""),45835.6458333333)</f>
        <v>45835.6458333333</v>
      </c>
      <c r="F66" s="17">
        <f>IFERROR(__xludf.DUMMYFUNCTION("""COMPUTED_VALUE"""),16253653)</f>
        <v>16253653</v>
      </c>
      <c r="G66" s="16">
        <f>IFERROR(__xludf.DUMMYFUNCTION("""COMPUTED_VALUE"""),45835.6458333333)</f>
        <v>45835.6458333333</v>
      </c>
      <c r="H66" s="17">
        <f>IFERROR(__xludf.DUMMYFUNCTION("""COMPUTED_VALUE"""),397.7)</f>
        <v>397.7</v>
      </c>
      <c r="I66" s="16">
        <f>IFERROR(__xludf.DUMMYFUNCTION("""COMPUTED_VALUE"""),45835.6458333333)</f>
        <v>45835.6458333333</v>
      </c>
      <c r="J66" s="17">
        <f>IFERROR(__xludf.DUMMYFUNCTION("""COMPUTED_VALUE"""),392.1)</f>
        <v>392.1</v>
      </c>
      <c r="K66" s="3">
        <f t="shared" si="2"/>
        <v>394.15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IFERROR(__xludf.DUMMYFUNCTION("""COMPUTED_VALUE"""),391.95)</f>
        <v>391.95</v>
      </c>
      <c r="C67" s="16">
        <f>IFERROR(__xludf.DUMMYFUNCTION("""COMPUTED_VALUE"""),45838.6458333333)</f>
        <v>45838.6458333333</v>
      </c>
      <c r="D67" s="17">
        <f>IFERROR(__xludf.DUMMYFUNCTION("""COMPUTED_VALUE"""),395.5)</f>
        <v>395.5</v>
      </c>
      <c r="E67" s="16">
        <f>IFERROR(__xludf.DUMMYFUNCTION("""COMPUTED_VALUE"""),45838.6458333333)</f>
        <v>45838.6458333333</v>
      </c>
      <c r="F67" s="17">
        <f>IFERROR(__xludf.DUMMYFUNCTION("""COMPUTED_VALUE"""),4870935)</f>
        <v>4870935</v>
      </c>
      <c r="G67" s="16">
        <f>IFERROR(__xludf.DUMMYFUNCTION("""COMPUTED_VALUE"""),45838.6458333333)</f>
        <v>45838.6458333333</v>
      </c>
      <c r="H67" s="17">
        <f>IFERROR(__xludf.DUMMYFUNCTION("""COMPUTED_VALUE"""),397.4)</f>
        <v>397.4</v>
      </c>
      <c r="I67" s="16">
        <f>IFERROR(__xludf.DUMMYFUNCTION("""COMPUTED_VALUE"""),45838.6458333333)</f>
        <v>45838.6458333333</v>
      </c>
      <c r="J67" s="17">
        <f>IFERROR(__xludf.DUMMYFUNCTION("""COMPUTED_VALUE"""),390.8)</f>
        <v>390.8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IFERROR(__xludf.DUMMYFUNCTION("""COMPUTED_VALUE"""),389.75)</f>
        <v>389.75</v>
      </c>
      <c r="C68" s="16">
        <f>IFERROR(__xludf.DUMMYFUNCTION("""COMPUTED_VALUE"""),45839.6458333333)</f>
        <v>45839.6458333333</v>
      </c>
      <c r="D68" s="17">
        <f>IFERROR(__xludf.DUMMYFUNCTION("""COMPUTED_VALUE"""),392.5)</f>
        <v>392.5</v>
      </c>
      <c r="E68" s="16">
        <f>IFERROR(__xludf.DUMMYFUNCTION("""COMPUTED_VALUE"""),45839.6458333333)</f>
        <v>45839.6458333333</v>
      </c>
      <c r="F68" s="17">
        <f>IFERROR(__xludf.DUMMYFUNCTION("""COMPUTED_VALUE"""),5997283)</f>
        <v>5997283</v>
      </c>
      <c r="G68" s="16">
        <f>IFERROR(__xludf.DUMMYFUNCTION("""COMPUTED_VALUE"""),45839.6458333333)</f>
        <v>45839.6458333333</v>
      </c>
      <c r="H68" s="17">
        <f>IFERROR(__xludf.DUMMYFUNCTION("""COMPUTED_VALUE"""),393.9)</f>
        <v>393.9</v>
      </c>
      <c r="I68" s="16">
        <f>IFERROR(__xludf.DUMMYFUNCTION("""COMPUTED_VALUE"""),45839.6458333333)</f>
        <v>45839.6458333333</v>
      </c>
      <c r="J68" s="17">
        <f>IFERROR(__xludf.DUMMYFUNCTION("""COMPUTED_VALUE"""),389)</f>
        <v>389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IFERROR(__xludf.DUMMYFUNCTION("""COMPUTED_VALUE"""),386.9)</f>
        <v>386.9</v>
      </c>
      <c r="C69" s="16">
        <f>IFERROR(__xludf.DUMMYFUNCTION("""COMPUTED_VALUE"""),45840.6458333333)</f>
        <v>45840.6458333333</v>
      </c>
      <c r="D69" s="17">
        <f>IFERROR(__xludf.DUMMYFUNCTION("""COMPUTED_VALUE"""),390)</f>
        <v>390</v>
      </c>
      <c r="E69" s="16">
        <f>IFERROR(__xludf.DUMMYFUNCTION("""COMPUTED_VALUE"""),45840.6458333333)</f>
        <v>45840.6458333333</v>
      </c>
      <c r="F69" s="17">
        <f>IFERROR(__xludf.DUMMYFUNCTION("""COMPUTED_VALUE"""),7752338)</f>
        <v>7752338</v>
      </c>
      <c r="G69" s="16">
        <f>IFERROR(__xludf.DUMMYFUNCTION("""COMPUTED_VALUE"""),45840.6458333333)</f>
        <v>45840.6458333333</v>
      </c>
      <c r="H69" s="17">
        <f>IFERROR(__xludf.DUMMYFUNCTION("""COMPUTED_VALUE"""),391.7)</f>
        <v>391.7</v>
      </c>
      <c r="I69" s="16">
        <f>IFERROR(__xludf.DUMMYFUNCTION("""COMPUTED_VALUE"""),45840.6458333333)</f>
        <v>45840.6458333333</v>
      </c>
      <c r="J69" s="17">
        <f>IFERROR(__xludf.DUMMYFUNCTION("""COMPUTED_VALUE"""),385.45)</f>
        <v>385.45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IFERROR(__xludf.DUMMYFUNCTION("""COMPUTED_VALUE"""),386.45)</f>
        <v>386.45</v>
      </c>
      <c r="C70" s="16">
        <f>IFERROR(__xludf.DUMMYFUNCTION("""COMPUTED_VALUE"""),45841.6458333333)</f>
        <v>45841.6458333333</v>
      </c>
      <c r="D70" s="17">
        <f>IFERROR(__xludf.DUMMYFUNCTION("""COMPUTED_VALUE"""),387.9)</f>
        <v>387.9</v>
      </c>
      <c r="E70" s="16">
        <f>IFERROR(__xludf.DUMMYFUNCTION("""COMPUTED_VALUE"""),45841.6458333333)</f>
        <v>45841.6458333333</v>
      </c>
      <c r="F70" s="17">
        <f>IFERROR(__xludf.DUMMYFUNCTION("""COMPUTED_VALUE"""),3851213)</f>
        <v>3851213</v>
      </c>
      <c r="G70" s="16">
        <f>IFERROR(__xludf.DUMMYFUNCTION("""COMPUTED_VALUE"""),45841.6458333333)</f>
        <v>45841.6458333333</v>
      </c>
      <c r="H70" s="17">
        <f>IFERROR(__xludf.DUMMYFUNCTION("""COMPUTED_VALUE"""),389)</f>
        <v>389</v>
      </c>
      <c r="I70" s="16">
        <f>IFERROR(__xludf.DUMMYFUNCTION("""COMPUTED_VALUE"""),45841.6458333333)</f>
        <v>45841.6458333333</v>
      </c>
      <c r="J70" s="17">
        <f>IFERROR(__xludf.DUMMYFUNCTION("""COMPUTED_VALUE"""),385.5)</f>
        <v>385.5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IFERROR(__xludf.DUMMYFUNCTION("""COMPUTED_VALUE"""),386.1)</f>
        <v>386.1</v>
      </c>
      <c r="C71" s="16">
        <f>IFERROR(__xludf.DUMMYFUNCTION("""COMPUTED_VALUE"""),45842.6458333333)</f>
        <v>45842.6458333333</v>
      </c>
      <c r="D71" s="17">
        <f>IFERROR(__xludf.DUMMYFUNCTION("""COMPUTED_VALUE"""),387.7)</f>
        <v>387.7</v>
      </c>
      <c r="E71" s="16">
        <f>IFERROR(__xludf.DUMMYFUNCTION("""COMPUTED_VALUE"""),45842.6458333333)</f>
        <v>45842.6458333333</v>
      </c>
      <c r="F71" s="17">
        <f>IFERROR(__xludf.DUMMYFUNCTION("""COMPUTED_VALUE"""),3990767)</f>
        <v>3990767</v>
      </c>
      <c r="G71" s="16">
        <f>IFERROR(__xludf.DUMMYFUNCTION("""COMPUTED_VALUE"""),45842.6458333333)</f>
        <v>45842.6458333333</v>
      </c>
      <c r="H71" s="17">
        <f>IFERROR(__xludf.DUMMYFUNCTION("""COMPUTED_VALUE"""),387.9)</f>
        <v>387.9</v>
      </c>
      <c r="I71" s="16">
        <f>IFERROR(__xludf.DUMMYFUNCTION("""COMPUTED_VALUE"""),45842.6458333333)</f>
        <v>45842.6458333333</v>
      </c>
      <c r="J71" s="17">
        <f>IFERROR(__xludf.DUMMYFUNCTION("""COMPUTED_VALUE"""),383.4)</f>
        <v>383.4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IFERROR(__xludf.DUMMYFUNCTION("""COMPUTED_VALUE"""),384.25)</f>
        <v>384.25</v>
      </c>
      <c r="C72" s="16">
        <f>IFERROR(__xludf.DUMMYFUNCTION("""COMPUTED_VALUE"""),45845.6458333333)</f>
        <v>45845.6458333333</v>
      </c>
      <c r="D72" s="17">
        <f>IFERROR(__xludf.DUMMYFUNCTION("""COMPUTED_VALUE"""),386.5)</f>
        <v>386.5</v>
      </c>
      <c r="E72" s="16">
        <f>IFERROR(__xludf.DUMMYFUNCTION("""COMPUTED_VALUE"""),45845.6458333333)</f>
        <v>45845.6458333333</v>
      </c>
      <c r="F72" s="17">
        <f>IFERROR(__xludf.DUMMYFUNCTION("""COMPUTED_VALUE"""),2810768)</f>
        <v>2810768</v>
      </c>
      <c r="G72" s="16">
        <f>IFERROR(__xludf.DUMMYFUNCTION("""COMPUTED_VALUE"""),45845.6458333333)</f>
        <v>45845.6458333333</v>
      </c>
      <c r="H72" s="17">
        <f>IFERROR(__xludf.DUMMYFUNCTION("""COMPUTED_VALUE"""),386.5)</f>
        <v>386.5</v>
      </c>
      <c r="I72" s="16">
        <f>IFERROR(__xludf.DUMMYFUNCTION("""COMPUTED_VALUE"""),45845.6458333333)</f>
        <v>45845.6458333333</v>
      </c>
      <c r="J72" s="17">
        <f>IFERROR(__xludf.DUMMYFUNCTION("""COMPUTED_VALUE"""),384)</f>
        <v>384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IFERROR(__xludf.DUMMYFUNCTION("""COMPUTED_VALUE"""),382.85)</f>
        <v>382.85</v>
      </c>
      <c r="C73" s="16">
        <f>IFERROR(__xludf.DUMMYFUNCTION("""COMPUTED_VALUE"""),45846.6458333333)</f>
        <v>45846.6458333333</v>
      </c>
      <c r="D73" s="17">
        <f>IFERROR(__xludf.DUMMYFUNCTION("""COMPUTED_VALUE"""),384.95)</f>
        <v>384.95</v>
      </c>
      <c r="E73" s="16">
        <f>IFERROR(__xludf.DUMMYFUNCTION("""COMPUTED_VALUE"""),45846.6458333333)</f>
        <v>45846.6458333333</v>
      </c>
      <c r="F73" s="17">
        <f>IFERROR(__xludf.DUMMYFUNCTION("""COMPUTED_VALUE"""),5231160)</f>
        <v>5231160</v>
      </c>
      <c r="G73" s="16">
        <f>IFERROR(__xludf.DUMMYFUNCTION("""COMPUTED_VALUE"""),45846.6458333333)</f>
        <v>45846.6458333333</v>
      </c>
      <c r="H73" s="17">
        <f>IFERROR(__xludf.DUMMYFUNCTION("""COMPUTED_VALUE"""),385.5)</f>
        <v>385.5</v>
      </c>
      <c r="I73" s="16">
        <f>IFERROR(__xludf.DUMMYFUNCTION("""COMPUTED_VALUE"""),45846.6458333333)</f>
        <v>45846.6458333333</v>
      </c>
      <c r="J73" s="17">
        <f>IFERROR(__xludf.DUMMYFUNCTION("""COMPUTED_VALUE"""),382.3)</f>
        <v>382.3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IFERROR(__xludf.DUMMYFUNCTION("""COMPUTED_VALUE"""),387.45)</f>
        <v>387.45</v>
      </c>
      <c r="C74" s="16">
        <f>IFERROR(__xludf.DUMMYFUNCTION("""COMPUTED_VALUE"""),45847.6458333333)</f>
        <v>45847.6458333333</v>
      </c>
      <c r="D74" s="17">
        <f>IFERROR(__xludf.DUMMYFUNCTION("""COMPUTED_VALUE"""),383.05)</f>
        <v>383.05</v>
      </c>
      <c r="E74" s="16">
        <f>IFERROR(__xludf.DUMMYFUNCTION("""COMPUTED_VALUE"""),45847.6458333333)</f>
        <v>45847.6458333333</v>
      </c>
      <c r="F74" s="17">
        <f>IFERROR(__xludf.DUMMYFUNCTION("""COMPUTED_VALUE"""),4497121)</f>
        <v>4497121</v>
      </c>
      <c r="G74" s="16">
        <f>IFERROR(__xludf.DUMMYFUNCTION("""COMPUTED_VALUE"""),45847.6458333333)</f>
        <v>45847.6458333333</v>
      </c>
      <c r="H74" s="17">
        <f>IFERROR(__xludf.DUMMYFUNCTION("""COMPUTED_VALUE"""),388.15)</f>
        <v>388.15</v>
      </c>
      <c r="I74" s="16">
        <f>IFERROR(__xludf.DUMMYFUNCTION("""COMPUTED_VALUE"""),45847.6458333333)</f>
        <v>45847.6458333333</v>
      </c>
      <c r="J74" s="17">
        <f>IFERROR(__xludf.DUMMYFUNCTION("""COMPUTED_VALUE"""),382.85)</f>
        <v>382.85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IFERROR(__xludf.DUMMYFUNCTION("""COMPUTED_VALUE"""),384.05)</f>
        <v>384.05</v>
      </c>
      <c r="C75" s="16">
        <f>IFERROR(__xludf.DUMMYFUNCTION("""COMPUTED_VALUE"""),45848.6458333333)</f>
        <v>45848.6458333333</v>
      </c>
      <c r="D75" s="17">
        <f>IFERROR(__xludf.DUMMYFUNCTION("""COMPUTED_VALUE"""),388.05)</f>
        <v>388.05</v>
      </c>
      <c r="E75" s="16">
        <f>IFERROR(__xludf.DUMMYFUNCTION("""COMPUTED_VALUE"""),45848.6458333333)</f>
        <v>45848.6458333333</v>
      </c>
      <c r="F75" s="17">
        <f>IFERROR(__xludf.DUMMYFUNCTION("""COMPUTED_VALUE"""),4668066)</f>
        <v>4668066</v>
      </c>
      <c r="G75" s="16">
        <f>IFERROR(__xludf.DUMMYFUNCTION("""COMPUTED_VALUE"""),45848.6458333333)</f>
        <v>45848.6458333333</v>
      </c>
      <c r="H75" s="17">
        <f>IFERROR(__xludf.DUMMYFUNCTION("""COMPUTED_VALUE"""),388.85)</f>
        <v>388.85</v>
      </c>
      <c r="I75" s="16">
        <f>IFERROR(__xludf.DUMMYFUNCTION("""COMPUTED_VALUE"""),45848.6458333333)</f>
        <v>45848.6458333333</v>
      </c>
      <c r="J75" s="17">
        <f>IFERROR(__xludf.DUMMYFUNCTION("""COMPUTED_VALUE"""),382.55)</f>
        <v>382.55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IFERROR(__xludf.DUMMYFUNCTION("""COMPUTED_VALUE"""),380.95)</f>
        <v>380.95</v>
      </c>
      <c r="C76" s="16">
        <f>IFERROR(__xludf.DUMMYFUNCTION("""COMPUTED_VALUE"""),45849.6458333333)</f>
        <v>45849.6458333333</v>
      </c>
      <c r="D76" s="17">
        <f>IFERROR(__xludf.DUMMYFUNCTION("""COMPUTED_VALUE"""),384.05)</f>
        <v>384.05</v>
      </c>
      <c r="E76" s="16">
        <f>IFERROR(__xludf.DUMMYFUNCTION("""COMPUTED_VALUE"""),45849.6458333333)</f>
        <v>45849.6458333333</v>
      </c>
      <c r="F76" s="17">
        <f>IFERROR(__xludf.DUMMYFUNCTION("""COMPUTED_VALUE"""),4677164)</f>
        <v>4677164</v>
      </c>
      <c r="G76" s="16">
        <f>IFERROR(__xludf.DUMMYFUNCTION("""COMPUTED_VALUE"""),45849.6458333333)</f>
        <v>45849.6458333333</v>
      </c>
      <c r="H76" s="17">
        <f>IFERROR(__xludf.DUMMYFUNCTION("""COMPUTED_VALUE"""),384.3)</f>
        <v>384.3</v>
      </c>
      <c r="I76" s="16">
        <f>IFERROR(__xludf.DUMMYFUNCTION("""COMPUTED_VALUE"""),45849.6458333333)</f>
        <v>45849.6458333333</v>
      </c>
      <c r="J76" s="17">
        <f>IFERROR(__xludf.DUMMYFUNCTION("""COMPUTED_VALUE"""),380.6)</f>
        <v>380.6</v>
      </c>
      <c r="K76" s="3">
        <f t="shared" si="2"/>
        <v>0</v>
      </c>
      <c r="L76" s="3">
        <f t="shared" si="3"/>
        <v>380.95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IFERROR(__xludf.DUMMYFUNCTION("""COMPUTED_VALUE"""),383.85)</f>
        <v>383.85</v>
      </c>
      <c r="C77" s="16">
        <f>IFERROR(__xludf.DUMMYFUNCTION("""COMPUTED_VALUE"""),45852.6458333333)</f>
        <v>45852.6458333333</v>
      </c>
      <c r="D77" s="17">
        <f>IFERROR(__xludf.DUMMYFUNCTION("""COMPUTED_VALUE"""),382)</f>
        <v>382</v>
      </c>
      <c r="E77" s="16">
        <f>IFERROR(__xludf.DUMMYFUNCTION("""COMPUTED_VALUE"""),45852.6458333333)</f>
        <v>45852.6458333333</v>
      </c>
      <c r="F77" s="17">
        <f>IFERROR(__xludf.DUMMYFUNCTION("""COMPUTED_VALUE"""),5109504)</f>
        <v>5109504</v>
      </c>
      <c r="G77" s="16">
        <f>IFERROR(__xludf.DUMMYFUNCTION("""COMPUTED_VALUE"""),45852.6458333333)</f>
        <v>45852.6458333333</v>
      </c>
      <c r="H77" s="17">
        <f>IFERROR(__xludf.DUMMYFUNCTION("""COMPUTED_VALUE"""),385.9)</f>
        <v>385.9</v>
      </c>
      <c r="I77" s="16">
        <f>IFERROR(__xludf.DUMMYFUNCTION("""COMPUTED_VALUE"""),45852.6458333333)</f>
        <v>45852.6458333333</v>
      </c>
      <c r="J77" s="17">
        <f>IFERROR(__xludf.DUMMYFUNCTION("""COMPUTED_VALUE"""),381.5)</f>
        <v>381.5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IFERROR(__xludf.DUMMYFUNCTION("""COMPUTED_VALUE"""),386.45)</f>
        <v>386.45</v>
      </c>
      <c r="C78" s="16">
        <f>IFERROR(__xludf.DUMMYFUNCTION("""COMPUTED_VALUE"""),45853.6458333333)</f>
        <v>45853.6458333333</v>
      </c>
      <c r="D78" s="17">
        <f>IFERROR(__xludf.DUMMYFUNCTION("""COMPUTED_VALUE"""),383.9)</f>
        <v>383.9</v>
      </c>
      <c r="E78" s="16">
        <f>IFERROR(__xludf.DUMMYFUNCTION("""COMPUTED_VALUE"""),45853.6458333333)</f>
        <v>45853.6458333333</v>
      </c>
      <c r="F78" s="17">
        <f>IFERROR(__xludf.DUMMYFUNCTION("""COMPUTED_VALUE"""),4586811)</f>
        <v>4586811</v>
      </c>
      <c r="G78" s="16">
        <f>IFERROR(__xludf.DUMMYFUNCTION("""COMPUTED_VALUE"""),45853.6458333333)</f>
        <v>45853.6458333333</v>
      </c>
      <c r="H78" s="17">
        <f>IFERROR(__xludf.DUMMYFUNCTION("""COMPUTED_VALUE"""),387.25)</f>
        <v>387.25</v>
      </c>
      <c r="I78" s="16">
        <f>IFERROR(__xludf.DUMMYFUNCTION("""COMPUTED_VALUE"""),45853.6458333333)</f>
        <v>45853.6458333333</v>
      </c>
      <c r="J78" s="17">
        <f>IFERROR(__xludf.DUMMYFUNCTION("""COMPUTED_VALUE"""),383.45)</f>
        <v>383.45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IFERROR(__xludf.DUMMYFUNCTION("""COMPUTED_VALUE"""),386.45)</f>
        <v>386.45</v>
      </c>
      <c r="C79" s="16">
        <f>IFERROR(__xludf.DUMMYFUNCTION("""COMPUTED_VALUE"""),45854.6458333333)</f>
        <v>45854.6458333333</v>
      </c>
      <c r="D79" s="17">
        <f>IFERROR(__xludf.DUMMYFUNCTION("""COMPUTED_VALUE"""),386.65)</f>
        <v>386.65</v>
      </c>
      <c r="E79" s="16">
        <f>IFERROR(__xludf.DUMMYFUNCTION("""COMPUTED_VALUE"""),45854.6458333333)</f>
        <v>45854.6458333333</v>
      </c>
      <c r="F79" s="17">
        <f>IFERROR(__xludf.DUMMYFUNCTION("""COMPUTED_VALUE"""),5205724)</f>
        <v>5205724</v>
      </c>
      <c r="G79" s="16">
        <f>IFERROR(__xludf.DUMMYFUNCTION("""COMPUTED_VALUE"""),45854.6458333333)</f>
        <v>45854.6458333333</v>
      </c>
      <c r="H79" s="17">
        <f>IFERROR(__xludf.DUMMYFUNCTION("""COMPUTED_VALUE"""),388)</f>
        <v>388</v>
      </c>
      <c r="I79" s="16">
        <f>IFERROR(__xludf.DUMMYFUNCTION("""COMPUTED_VALUE"""),45854.6458333333)</f>
        <v>45854.6458333333</v>
      </c>
      <c r="J79" s="17">
        <f>IFERROR(__xludf.DUMMYFUNCTION("""COMPUTED_VALUE"""),384.95)</f>
        <v>384.95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IFERROR(__xludf.DUMMYFUNCTION("""COMPUTED_VALUE"""),385.9)</f>
        <v>385.9</v>
      </c>
      <c r="C80" s="16">
        <f>IFERROR(__xludf.DUMMYFUNCTION("""COMPUTED_VALUE"""),45855.6458333333)</f>
        <v>45855.6458333333</v>
      </c>
      <c r="D80" s="17">
        <f>IFERROR(__xludf.DUMMYFUNCTION("""COMPUTED_VALUE"""),387.05)</f>
        <v>387.05</v>
      </c>
      <c r="E80" s="16">
        <f>IFERROR(__xludf.DUMMYFUNCTION("""COMPUTED_VALUE"""),45855.6458333333)</f>
        <v>45855.6458333333</v>
      </c>
      <c r="F80" s="17">
        <f>IFERROR(__xludf.DUMMYFUNCTION("""COMPUTED_VALUE"""),3749218)</f>
        <v>3749218</v>
      </c>
      <c r="G80" s="16">
        <f>IFERROR(__xludf.DUMMYFUNCTION("""COMPUTED_VALUE"""),45855.6458333333)</f>
        <v>45855.6458333333</v>
      </c>
      <c r="H80" s="17">
        <f>IFERROR(__xludf.DUMMYFUNCTION("""COMPUTED_VALUE"""),388.2)</f>
        <v>388.2</v>
      </c>
      <c r="I80" s="16">
        <f>IFERROR(__xludf.DUMMYFUNCTION("""COMPUTED_VALUE"""),45855.6458333333)</f>
        <v>45855.6458333333</v>
      </c>
      <c r="J80" s="17">
        <f>IFERROR(__xludf.DUMMYFUNCTION("""COMPUTED_VALUE"""),384.9)</f>
        <v>384.9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IFERROR(__xludf.DUMMYFUNCTION("""COMPUTED_VALUE"""),388.5)</f>
        <v>388.5</v>
      </c>
      <c r="C81" s="16">
        <f>IFERROR(__xludf.DUMMYFUNCTION("""COMPUTED_VALUE"""),45856.6458333333)</f>
        <v>45856.6458333333</v>
      </c>
      <c r="D81" s="17">
        <f>IFERROR(__xludf.DUMMYFUNCTION("""COMPUTED_VALUE"""),387)</f>
        <v>387</v>
      </c>
      <c r="E81" s="16">
        <f>IFERROR(__xludf.DUMMYFUNCTION("""COMPUTED_VALUE"""),45856.6458333333)</f>
        <v>45856.6458333333</v>
      </c>
      <c r="F81" s="17">
        <f>IFERROR(__xludf.DUMMYFUNCTION("""COMPUTED_VALUE"""),5172481)</f>
        <v>5172481</v>
      </c>
      <c r="G81" s="16">
        <f>IFERROR(__xludf.DUMMYFUNCTION("""COMPUTED_VALUE"""),45856.6458333333)</f>
        <v>45856.6458333333</v>
      </c>
      <c r="H81" s="17">
        <f>IFERROR(__xludf.DUMMYFUNCTION("""COMPUTED_VALUE"""),389.25)</f>
        <v>389.25</v>
      </c>
      <c r="I81" s="16">
        <f>IFERROR(__xludf.DUMMYFUNCTION("""COMPUTED_VALUE"""),45856.6458333333)</f>
        <v>45856.6458333333</v>
      </c>
      <c r="J81" s="17">
        <f>IFERROR(__xludf.DUMMYFUNCTION("""COMPUTED_VALUE"""),384.1)</f>
        <v>384.1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IFERROR(__xludf.DUMMYFUNCTION("""COMPUTED_VALUE"""),386.8)</f>
        <v>386.8</v>
      </c>
      <c r="C82" s="16">
        <f>IFERROR(__xludf.DUMMYFUNCTION("""COMPUTED_VALUE"""),45859.6458333333)</f>
        <v>45859.6458333333</v>
      </c>
      <c r="D82" s="17">
        <f>IFERROR(__xludf.DUMMYFUNCTION("""COMPUTED_VALUE"""),389)</f>
        <v>389</v>
      </c>
      <c r="E82" s="16">
        <f>IFERROR(__xludf.DUMMYFUNCTION("""COMPUTED_VALUE"""),45859.6458333333)</f>
        <v>45859.6458333333</v>
      </c>
      <c r="F82" s="17">
        <f>IFERROR(__xludf.DUMMYFUNCTION("""COMPUTED_VALUE"""),4396850)</f>
        <v>4396850</v>
      </c>
      <c r="G82" s="16">
        <f>IFERROR(__xludf.DUMMYFUNCTION("""COMPUTED_VALUE"""),45859.6458333333)</f>
        <v>45859.6458333333</v>
      </c>
      <c r="H82" s="17">
        <f>IFERROR(__xludf.DUMMYFUNCTION("""COMPUTED_VALUE"""),389.4)</f>
        <v>389.4</v>
      </c>
      <c r="I82" s="16">
        <f>IFERROR(__xludf.DUMMYFUNCTION("""COMPUTED_VALUE"""),45859.6458333333)</f>
        <v>45859.6458333333</v>
      </c>
      <c r="J82" s="17">
        <f>IFERROR(__xludf.DUMMYFUNCTION("""COMPUTED_VALUE"""),385.4)</f>
        <v>385.4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IFERROR(__xludf.DUMMYFUNCTION("""COMPUTED_VALUE"""),389.1)</f>
        <v>389.1</v>
      </c>
      <c r="C83" s="16">
        <f>IFERROR(__xludf.DUMMYFUNCTION("""COMPUTED_VALUE"""),45860.6458333333)</f>
        <v>45860.6458333333</v>
      </c>
      <c r="D83" s="17">
        <f>IFERROR(__xludf.DUMMYFUNCTION("""COMPUTED_VALUE"""),386.8)</f>
        <v>386.8</v>
      </c>
      <c r="E83" s="16">
        <f>IFERROR(__xludf.DUMMYFUNCTION("""COMPUTED_VALUE"""),45860.6458333333)</f>
        <v>45860.6458333333</v>
      </c>
      <c r="F83" s="17">
        <f>IFERROR(__xludf.DUMMYFUNCTION("""COMPUTED_VALUE"""),5043629)</f>
        <v>5043629</v>
      </c>
      <c r="G83" s="16">
        <f>IFERROR(__xludf.DUMMYFUNCTION("""COMPUTED_VALUE"""),45860.6458333333)</f>
        <v>45860.6458333333</v>
      </c>
      <c r="H83" s="17">
        <f>IFERROR(__xludf.DUMMYFUNCTION("""COMPUTED_VALUE"""),391.75)</f>
        <v>391.75</v>
      </c>
      <c r="I83" s="16">
        <f>IFERROR(__xludf.DUMMYFUNCTION("""COMPUTED_VALUE"""),45860.6458333333)</f>
        <v>45860.6458333333</v>
      </c>
      <c r="J83" s="17">
        <f>IFERROR(__xludf.DUMMYFUNCTION("""COMPUTED_VALUE"""),385.5)</f>
        <v>385.5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IFERROR(__xludf.DUMMYFUNCTION("""COMPUTED_VALUE"""),390.75)</f>
        <v>390.75</v>
      </c>
      <c r="C84" s="16">
        <f>IFERROR(__xludf.DUMMYFUNCTION("""COMPUTED_VALUE"""),45861.6458333333)</f>
        <v>45861.6458333333</v>
      </c>
      <c r="D84" s="17">
        <f>IFERROR(__xludf.DUMMYFUNCTION("""COMPUTED_VALUE"""),389.4)</f>
        <v>389.4</v>
      </c>
      <c r="E84" s="16">
        <f>IFERROR(__xludf.DUMMYFUNCTION("""COMPUTED_VALUE"""),45861.6458333333)</f>
        <v>45861.6458333333</v>
      </c>
      <c r="F84" s="17">
        <f>IFERROR(__xludf.DUMMYFUNCTION("""COMPUTED_VALUE"""),3670943)</f>
        <v>3670943</v>
      </c>
      <c r="G84" s="16">
        <f>IFERROR(__xludf.DUMMYFUNCTION("""COMPUTED_VALUE"""),45861.6458333333)</f>
        <v>45861.6458333333</v>
      </c>
      <c r="H84" s="17">
        <f>IFERROR(__xludf.DUMMYFUNCTION("""COMPUTED_VALUE"""),392.45)</f>
        <v>392.45</v>
      </c>
      <c r="I84" s="16">
        <f>IFERROR(__xludf.DUMMYFUNCTION("""COMPUTED_VALUE"""),45861.6458333333)</f>
        <v>45861.6458333333</v>
      </c>
      <c r="J84" s="17">
        <f>IFERROR(__xludf.DUMMYFUNCTION("""COMPUTED_VALUE"""),388.85)</f>
        <v>388.85</v>
      </c>
      <c r="K84" s="3">
        <f t="shared" si="2"/>
        <v>390.75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IFERROR(__xludf.DUMMYFUNCTION("""COMPUTED_VALUE"""),385.55)</f>
        <v>385.55</v>
      </c>
      <c r="C85" s="16">
        <f>IFERROR(__xludf.DUMMYFUNCTION("""COMPUTED_VALUE"""),45862.6458333333)</f>
        <v>45862.6458333333</v>
      </c>
      <c r="D85" s="17">
        <f>IFERROR(__xludf.DUMMYFUNCTION("""COMPUTED_VALUE"""),390.1)</f>
        <v>390.1</v>
      </c>
      <c r="E85" s="16">
        <f>IFERROR(__xludf.DUMMYFUNCTION("""COMPUTED_VALUE"""),45862.6458333333)</f>
        <v>45862.6458333333</v>
      </c>
      <c r="F85" s="17">
        <f>IFERROR(__xludf.DUMMYFUNCTION("""COMPUTED_VALUE"""),4022204)</f>
        <v>4022204</v>
      </c>
      <c r="G85" s="16">
        <f>IFERROR(__xludf.DUMMYFUNCTION("""COMPUTED_VALUE"""),45862.6458333333)</f>
        <v>45862.6458333333</v>
      </c>
      <c r="H85" s="17">
        <f>IFERROR(__xludf.DUMMYFUNCTION("""COMPUTED_VALUE"""),390.75)</f>
        <v>390.75</v>
      </c>
      <c r="I85" s="16">
        <f>IFERROR(__xludf.DUMMYFUNCTION("""COMPUTED_VALUE"""),45862.6458333333)</f>
        <v>45862.6458333333</v>
      </c>
      <c r="J85" s="17">
        <f>IFERROR(__xludf.DUMMYFUNCTION("""COMPUTED_VALUE"""),383.9)</f>
        <v>383.9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IFERROR(__xludf.DUMMYFUNCTION("""COMPUTED_VALUE"""),380.8)</f>
        <v>380.8</v>
      </c>
      <c r="C86" s="16">
        <f>IFERROR(__xludf.DUMMYFUNCTION("""COMPUTED_VALUE"""),45863.6458333333)</f>
        <v>45863.6458333333</v>
      </c>
      <c r="D86" s="17">
        <f>IFERROR(__xludf.DUMMYFUNCTION("""COMPUTED_VALUE"""),385.55)</f>
        <v>385.55</v>
      </c>
      <c r="E86" s="16">
        <f>IFERROR(__xludf.DUMMYFUNCTION("""COMPUTED_VALUE"""),45863.6458333333)</f>
        <v>45863.6458333333</v>
      </c>
      <c r="F86" s="17">
        <f>IFERROR(__xludf.DUMMYFUNCTION("""COMPUTED_VALUE"""),4616856)</f>
        <v>4616856</v>
      </c>
      <c r="G86" s="16">
        <f>IFERROR(__xludf.DUMMYFUNCTION("""COMPUTED_VALUE"""),45863.6458333333)</f>
        <v>45863.6458333333</v>
      </c>
      <c r="H86" s="17">
        <f>IFERROR(__xludf.DUMMYFUNCTION("""COMPUTED_VALUE"""),385.9)</f>
        <v>385.9</v>
      </c>
      <c r="I86" s="16">
        <f>IFERROR(__xludf.DUMMYFUNCTION("""COMPUTED_VALUE"""),45863.6458333333)</f>
        <v>45863.6458333333</v>
      </c>
      <c r="J86" s="17">
        <f>IFERROR(__xludf.DUMMYFUNCTION("""COMPUTED_VALUE"""),380)</f>
        <v>380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IFERROR(__xludf.DUMMYFUNCTION("""COMPUTED_VALUE"""),378.35)</f>
        <v>378.35</v>
      </c>
      <c r="C87" s="16">
        <f>IFERROR(__xludf.DUMMYFUNCTION("""COMPUTED_VALUE"""),45866.6458333333)</f>
        <v>45866.6458333333</v>
      </c>
      <c r="D87" s="17">
        <f>IFERROR(__xludf.DUMMYFUNCTION("""COMPUTED_VALUE"""),381.2)</f>
        <v>381.2</v>
      </c>
      <c r="E87" s="16">
        <f>IFERROR(__xludf.DUMMYFUNCTION("""COMPUTED_VALUE"""),45866.6458333333)</f>
        <v>45866.6458333333</v>
      </c>
      <c r="F87" s="17">
        <f>IFERROR(__xludf.DUMMYFUNCTION("""COMPUTED_VALUE"""),4521716)</f>
        <v>4521716</v>
      </c>
      <c r="G87" s="16">
        <f>IFERROR(__xludf.DUMMYFUNCTION("""COMPUTED_VALUE"""),45866.6458333333)</f>
        <v>45866.6458333333</v>
      </c>
      <c r="H87" s="17">
        <f>IFERROR(__xludf.DUMMYFUNCTION("""COMPUTED_VALUE"""),383.85)</f>
        <v>383.85</v>
      </c>
      <c r="I87" s="16">
        <f>IFERROR(__xludf.DUMMYFUNCTION("""COMPUTED_VALUE"""),45866.6458333333)</f>
        <v>45866.6458333333</v>
      </c>
      <c r="J87" s="17">
        <f>IFERROR(__xludf.DUMMYFUNCTION("""COMPUTED_VALUE"""),377)</f>
        <v>377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IFERROR(__xludf.DUMMYFUNCTION("""COMPUTED_VALUE"""),383.65)</f>
        <v>383.65</v>
      </c>
      <c r="C88" s="16">
        <f>IFERROR(__xludf.DUMMYFUNCTION("""COMPUTED_VALUE"""),45867.6458333333)</f>
        <v>45867.6458333333</v>
      </c>
      <c r="D88" s="17">
        <f>IFERROR(__xludf.DUMMYFUNCTION("""COMPUTED_VALUE"""),376.95)</f>
        <v>376.95</v>
      </c>
      <c r="E88" s="16">
        <f>IFERROR(__xludf.DUMMYFUNCTION("""COMPUTED_VALUE"""),45867.6458333333)</f>
        <v>45867.6458333333</v>
      </c>
      <c r="F88" s="17">
        <f>IFERROR(__xludf.DUMMYFUNCTION("""COMPUTED_VALUE"""),4872086)</f>
        <v>4872086</v>
      </c>
      <c r="G88" s="16">
        <f>IFERROR(__xludf.DUMMYFUNCTION("""COMPUTED_VALUE"""),45867.6458333333)</f>
        <v>45867.6458333333</v>
      </c>
      <c r="H88" s="17">
        <f>IFERROR(__xludf.DUMMYFUNCTION("""COMPUTED_VALUE"""),384.25)</f>
        <v>384.25</v>
      </c>
      <c r="I88" s="16">
        <f>IFERROR(__xludf.DUMMYFUNCTION("""COMPUTED_VALUE"""),45867.6458333333)</f>
        <v>45867.6458333333</v>
      </c>
      <c r="J88" s="17">
        <f>IFERROR(__xludf.DUMMYFUNCTION("""COMPUTED_VALUE"""),376.95)</f>
        <v>376.95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IFERROR(__xludf.DUMMYFUNCTION("""COMPUTED_VALUE"""),379.9)</f>
        <v>379.9</v>
      </c>
      <c r="C89" s="16">
        <f>IFERROR(__xludf.DUMMYFUNCTION("""COMPUTED_VALUE"""),45868.6458333333)</f>
        <v>45868.6458333333</v>
      </c>
      <c r="D89" s="17">
        <f>IFERROR(__xludf.DUMMYFUNCTION("""COMPUTED_VALUE"""),384)</f>
        <v>384</v>
      </c>
      <c r="E89" s="16">
        <f>IFERROR(__xludf.DUMMYFUNCTION("""COMPUTED_VALUE"""),45868.6458333333)</f>
        <v>45868.6458333333</v>
      </c>
      <c r="F89" s="17">
        <f>IFERROR(__xludf.DUMMYFUNCTION("""COMPUTED_VALUE"""),5107774)</f>
        <v>5107774</v>
      </c>
      <c r="G89" s="16">
        <f>IFERROR(__xludf.DUMMYFUNCTION("""COMPUTED_VALUE"""),45868.6458333333)</f>
        <v>45868.6458333333</v>
      </c>
      <c r="H89" s="17">
        <f>IFERROR(__xludf.DUMMYFUNCTION("""COMPUTED_VALUE"""),384.05)</f>
        <v>384.05</v>
      </c>
      <c r="I89" s="16">
        <f>IFERROR(__xludf.DUMMYFUNCTION("""COMPUTED_VALUE"""),45868.6458333333)</f>
        <v>45868.6458333333</v>
      </c>
      <c r="J89" s="17">
        <f>IFERROR(__xludf.DUMMYFUNCTION("""COMPUTED_VALUE"""),379.05)</f>
        <v>379.05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IFERROR(__xludf.DUMMYFUNCTION("""COMPUTED_VALUE"""),376.35)</f>
        <v>376.35</v>
      </c>
      <c r="C90" s="16">
        <f>IFERROR(__xludf.DUMMYFUNCTION("""COMPUTED_VALUE"""),45869.6458333333)</f>
        <v>45869.6458333333</v>
      </c>
      <c r="D90" s="17">
        <f>IFERROR(__xludf.DUMMYFUNCTION("""COMPUTED_VALUE"""),378)</f>
        <v>378</v>
      </c>
      <c r="E90" s="16">
        <f>IFERROR(__xludf.DUMMYFUNCTION("""COMPUTED_VALUE"""),45869.6458333333)</f>
        <v>45869.6458333333</v>
      </c>
      <c r="F90" s="17">
        <f>IFERROR(__xludf.DUMMYFUNCTION("""COMPUTED_VALUE"""),6461803)</f>
        <v>6461803</v>
      </c>
      <c r="G90" s="16">
        <f>IFERROR(__xludf.DUMMYFUNCTION("""COMPUTED_VALUE"""),45869.6458333333)</f>
        <v>45869.6458333333</v>
      </c>
      <c r="H90" s="17">
        <f>IFERROR(__xludf.DUMMYFUNCTION("""COMPUTED_VALUE"""),379)</f>
        <v>379</v>
      </c>
      <c r="I90" s="16">
        <f>IFERROR(__xludf.DUMMYFUNCTION("""COMPUTED_VALUE"""),45869.6458333333)</f>
        <v>45869.6458333333</v>
      </c>
      <c r="J90" s="17">
        <f>IFERROR(__xludf.DUMMYFUNCTION("""COMPUTED_VALUE"""),374.7)</f>
        <v>374.7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IFERROR(__xludf.DUMMYFUNCTION("""COMPUTED_VALUE"""),372.5)</f>
        <v>372.5</v>
      </c>
      <c r="C91" s="16">
        <f>IFERROR(__xludf.DUMMYFUNCTION("""COMPUTED_VALUE"""),45870.6458333333)</f>
        <v>45870.6458333333</v>
      </c>
      <c r="D91" s="17">
        <f>IFERROR(__xludf.DUMMYFUNCTION("""COMPUTED_VALUE"""),375)</f>
        <v>375</v>
      </c>
      <c r="E91" s="16">
        <f>IFERROR(__xludf.DUMMYFUNCTION("""COMPUTED_VALUE"""),45870.6458333333)</f>
        <v>45870.6458333333</v>
      </c>
      <c r="F91" s="17">
        <f>IFERROR(__xludf.DUMMYFUNCTION("""COMPUTED_VALUE"""),13769152)</f>
        <v>13769152</v>
      </c>
      <c r="G91" s="16">
        <f>IFERROR(__xludf.DUMMYFUNCTION("""COMPUTED_VALUE"""),45870.6458333333)</f>
        <v>45870.6458333333</v>
      </c>
      <c r="H91" s="17">
        <f>IFERROR(__xludf.DUMMYFUNCTION("""COMPUTED_VALUE"""),381.15)</f>
        <v>381.15</v>
      </c>
      <c r="I91" s="16">
        <f>IFERROR(__xludf.DUMMYFUNCTION("""COMPUTED_VALUE"""),45870.6458333333)</f>
        <v>45870.6458333333</v>
      </c>
      <c r="J91" s="17">
        <f>IFERROR(__xludf.DUMMYFUNCTION("""COMPUTED_VALUE"""),370.7)</f>
        <v>370.7</v>
      </c>
      <c r="K91" s="3">
        <f t="shared" si="2"/>
        <v>0</v>
      </c>
      <c r="L91" s="3">
        <f t="shared" si="3"/>
        <v>372.5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IFERROR(__xludf.DUMMYFUNCTION("""COMPUTED_VALUE"""),374.7)</f>
        <v>374.7</v>
      </c>
      <c r="C92" s="16">
        <f>IFERROR(__xludf.DUMMYFUNCTION("""COMPUTED_VALUE"""),45873.6458333333)</f>
        <v>45873.6458333333</v>
      </c>
      <c r="D92" s="17">
        <f>IFERROR(__xludf.DUMMYFUNCTION("""COMPUTED_VALUE"""),372.45)</f>
        <v>372.45</v>
      </c>
      <c r="E92" s="16">
        <f>IFERROR(__xludf.DUMMYFUNCTION("""COMPUTED_VALUE"""),45873.6458333333)</f>
        <v>45873.6458333333</v>
      </c>
      <c r="F92" s="17">
        <f>IFERROR(__xludf.DUMMYFUNCTION("""COMPUTED_VALUE"""),19756930)</f>
        <v>19756930</v>
      </c>
      <c r="G92" s="16">
        <f>IFERROR(__xludf.DUMMYFUNCTION("""COMPUTED_VALUE"""),45873.6458333333)</f>
        <v>45873.6458333333</v>
      </c>
      <c r="H92" s="17">
        <f>IFERROR(__xludf.DUMMYFUNCTION("""COMPUTED_VALUE"""),378.75)</f>
        <v>378.75</v>
      </c>
      <c r="I92" s="16">
        <f>IFERROR(__xludf.DUMMYFUNCTION("""COMPUTED_VALUE"""),45873.6458333333)</f>
        <v>45873.6458333333</v>
      </c>
      <c r="J92" s="17">
        <f>IFERROR(__xludf.DUMMYFUNCTION("""COMPUTED_VALUE"""),370.2)</f>
        <v>370.2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IFERROR(__xludf.DUMMYFUNCTION("""COMPUTED_VALUE"""),379.5)</f>
        <v>379.5</v>
      </c>
      <c r="C93" s="16">
        <f>IFERROR(__xludf.DUMMYFUNCTION("""COMPUTED_VALUE"""),45874.6458333333)</f>
        <v>45874.6458333333</v>
      </c>
      <c r="D93" s="17">
        <f>IFERROR(__xludf.DUMMYFUNCTION("""COMPUTED_VALUE"""),376)</f>
        <v>376</v>
      </c>
      <c r="E93" s="16">
        <f>IFERROR(__xludf.DUMMYFUNCTION("""COMPUTED_VALUE"""),45874.6458333333)</f>
        <v>45874.6458333333</v>
      </c>
      <c r="F93" s="17">
        <f>IFERROR(__xludf.DUMMYFUNCTION("""COMPUTED_VALUE"""),6846687)</f>
        <v>6846687</v>
      </c>
      <c r="G93" s="16">
        <f>IFERROR(__xludf.DUMMYFUNCTION("""COMPUTED_VALUE"""),45874.6458333333)</f>
        <v>45874.6458333333</v>
      </c>
      <c r="H93" s="17">
        <f>IFERROR(__xludf.DUMMYFUNCTION("""COMPUTED_VALUE"""),380.7)</f>
        <v>380.7</v>
      </c>
      <c r="I93" s="16">
        <f>IFERROR(__xludf.DUMMYFUNCTION("""COMPUTED_VALUE"""),45874.6458333333)</f>
        <v>45874.6458333333</v>
      </c>
      <c r="J93" s="17">
        <f>IFERROR(__xludf.DUMMYFUNCTION("""COMPUTED_VALUE"""),374.5)</f>
        <v>374.5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IFERROR(__xludf.DUMMYFUNCTION("""COMPUTED_VALUE"""),376.85)</f>
        <v>376.85</v>
      </c>
      <c r="C94" s="16">
        <f>IFERROR(__xludf.DUMMYFUNCTION("""COMPUTED_VALUE"""),45875.6458333333)</f>
        <v>45875.6458333333</v>
      </c>
      <c r="D94" s="17">
        <f>IFERROR(__xludf.DUMMYFUNCTION("""COMPUTED_VALUE"""),374)</f>
        <v>374</v>
      </c>
      <c r="E94" s="16">
        <f>IFERROR(__xludf.DUMMYFUNCTION("""COMPUTED_VALUE"""),45875.6458333333)</f>
        <v>45875.6458333333</v>
      </c>
      <c r="F94" s="17">
        <f>IFERROR(__xludf.DUMMYFUNCTION("""COMPUTED_VALUE"""),5808208)</f>
        <v>5808208</v>
      </c>
      <c r="G94" s="16">
        <f>IFERROR(__xludf.DUMMYFUNCTION("""COMPUTED_VALUE"""),45875.6458333333)</f>
        <v>45875.6458333333</v>
      </c>
      <c r="H94" s="17">
        <f>IFERROR(__xludf.DUMMYFUNCTION("""COMPUTED_VALUE"""),378.05)</f>
        <v>378.05</v>
      </c>
      <c r="I94" s="16">
        <f>IFERROR(__xludf.DUMMYFUNCTION("""COMPUTED_VALUE"""),45875.6458333333)</f>
        <v>45875.6458333333</v>
      </c>
      <c r="J94" s="17">
        <f>IFERROR(__xludf.DUMMYFUNCTION("""COMPUTED_VALUE"""),373.55)</f>
        <v>373.55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IFERROR(__xludf.DUMMYFUNCTION("""COMPUTED_VALUE"""),379.55)</f>
        <v>379.55</v>
      </c>
      <c r="C95" s="16">
        <f>IFERROR(__xludf.DUMMYFUNCTION("""COMPUTED_VALUE"""),45876.6458333333)</f>
        <v>45876.6458333333</v>
      </c>
      <c r="D95" s="17">
        <f>IFERROR(__xludf.DUMMYFUNCTION("""COMPUTED_VALUE"""),375)</f>
        <v>375</v>
      </c>
      <c r="E95" s="16">
        <f>IFERROR(__xludf.DUMMYFUNCTION("""COMPUTED_VALUE"""),45876.6458333333)</f>
        <v>45876.6458333333</v>
      </c>
      <c r="F95" s="17">
        <f>IFERROR(__xludf.DUMMYFUNCTION("""COMPUTED_VALUE"""),3468573)</f>
        <v>3468573</v>
      </c>
      <c r="G95" s="16">
        <f>IFERROR(__xludf.DUMMYFUNCTION("""COMPUTED_VALUE"""),45876.6458333333)</f>
        <v>45876.6458333333</v>
      </c>
      <c r="H95" s="17">
        <f>IFERROR(__xludf.DUMMYFUNCTION("""COMPUTED_VALUE"""),380.25)</f>
        <v>380.25</v>
      </c>
      <c r="I95" s="16">
        <f>IFERROR(__xludf.DUMMYFUNCTION("""COMPUTED_VALUE"""),45876.6458333333)</f>
        <v>45876.6458333333</v>
      </c>
      <c r="J95" s="17">
        <f>IFERROR(__xludf.DUMMYFUNCTION("""COMPUTED_VALUE"""),373.6)</f>
        <v>373.6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IFERROR(__xludf.DUMMYFUNCTION("""COMPUTED_VALUE"""),379.7)</f>
        <v>379.7</v>
      </c>
      <c r="C96" s="16">
        <f>IFERROR(__xludf.DUMMYFUNCTION("""COMPUTED_VALUE"""),45877.6458333333)</f>
        <v>45877.6458333333</v>
      </c>
      <c r="D96" s="17">
        <f>IFERROR(__xludf.DUMMYFUNCTION("""COMPUTED_VALUE"""),379)</f>
        <v>379</v>
      </c>
      <c r="E96" s="16">
        <f>IFERROR(__xludf.DUMMYFUNCTION("""COMPUTED_VALUE"""),45877.6458333333)</f>
        <v>45877.6458333333</v>
      </c>
      <c r="F96" s="17">
        <f>IFERROR(__xludf.DUMMYFUNCTION("""COMPUTED_VALUE"""),4172600)</f>
        <v>4172600</v>
      </c>
      <c r="G96" s="16">
        <f>IFERROR(__xludf.DUMMYFUNCTION("""COMPUTED_VALUE"""),45877.6458333333)</f>
        <v>45877.6458333333</v>
      </c>
      <c r="H96" s="17">
        <f>IFERROR(__xludf.DUMMYFUNCTION("""COMPUTED_VALUE"""),382.1)</f>
        <v>382.1</v>
      </c>
      <c r="I96" s="16">
        <f>IFERROR(__xludf.DUMMYFUNCTION("""COMPUTED_VALUE"""),45877.6458333333)</f>
        <v>45877.6458333333</v>
      </c>
      <c r="J96" s="17">
        <f>IFERROR(__xludf.DUMMYFUNCTION("""COMPUTED_VALUE"""),378.15)</f>
        <v>378.15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IFERROR(__xludf.DUMMYFUNCTION("""COMPUTED_VALUE"""),382.5)</f>
        <v>382.5</v>
      </c>
      <c r="C97" s="16">
        <f>IFERROR(__xludf.DUMMYFUNCTION("""COMPUTED_VALUE"""),45880.6458333333)</f>
        <v>45880.6458333333</v>
      </c>
      <c r="D97" s="17">
        <f>IFERROR(__xludf.DUMMYFUNCTION("""COMPUTED_VALUE"""),378)</f>
        <v>378</v>
      </c>
      <c r="E97" s="16">
        <f>IFERROR(__xludf.DUMMYFUNCTION("""COMPUTED_VALUE"""),45880.6458333333)</f>
        <v>45880.6458333333</v>
      </c>
      <c r="F97" s="17">
        <f>IFERROR(__xludf.DUMMYFUNCTION("""COMPUTED_VALUE"""),5740719)</f>
        <v>5740719</v>
      </c>
      <c r="G97" s="16">
        <f>IFERROR(__xludf.DUMMYFUNCTION("""COMPUTED_VALUE"""),45880.6458333333)</f>
        <v>45880.6458333333</v>
      </c>
      <c r="H97" s="17">
        <f>IFERROR(__xludf.DUMMYFUNCTION("""COMPUTED_VALUE"""),384.7)</f>
        <v>384.7</v>
      </c>
      <c r="I97" s="16">
        <f>IFERROR(__xludf.DUMMYFUNCTION("""COMPUTED_VALUE"""),45880.6458333333)</f>
        <v>45880.6458333333</v>
      </c>
      <c r="J97" s="17">
        <f>IFERROR(__xludf.DUMMYFUNCTION("""COMPUTED_VALUE"""),376.55)</f>
        <v>376.55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IFERROR(__xludf.DUMMYFUNCTION("""COMPUTED_VALUE"""),385.35)</f>
        <v>385.35</v>
      </c>
      <c r="C98" s="16">
        <f>IFERROR(__xludf.DUMMYFUNCTION("""COMPUTED_VALUE"""),45881.6458333333)</f>
        <v>45881.6458333333</v>
      </c>
      <c r="D98" s="17">
        <f>IFERROR(__xludf.DUMMYFUNCTION("""COMPUTED_VALUE"""),381.55)</f>
        <v>381.55</v>
      </c>
      <c r="E98" s="16">
        <f>IFERROR(__xludf.DUMMYFUNCTION("""COMPUTED_VALUE"""),45881.6458333333)</f>
        <v>45881.6458333333</v>
      </c>
      <c r="F98" s="17">
        <f>IFERROR(__xludf.DUMMYFUNCTION("""COMPUTED_VALUE"""),4860757)</f>
        <v>4860757</v>
      </c>
      <c r="G98" s="16">
        <f>IFERROR(__xludf.DUMMYFUNCTION("""COMPUTED_VALUE"""),45881.6458333333)</f>
        <v>45881.6458333333</v>
      </c>
      <c r="H98" s="17">
        <f>IFERROR(__xludf.DUMMYFUNCTION("""COMPUTED_VALUE"""),386.45)</f>
        <v>386.45</v>
      </c>
      <c r="I98" s="16">
        <f>IFERROR(__xludf.DUMMYFUNCTION("""COMPUTED_VALUE"""),45881.6458333333)</f>
        <v>45881.6458333333</v>
      </c>
      <c r="J98" s="17">
        <f>IFERROR(__xludf.DUMMYFUNCTION("""COMPUTED_VALUE"""),381.2)</f>
        <v>381.2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IFERROR(__xludf.DUMMYFUNCTION("""COMPUTED_VALUE"""),386.1)</f>
        <v>386.1</v>
      </c>
      <c r="C99" s="16">
        <f>IFERROR(__xludf.DUMMYFUNCTION("""COMPUTED_VALUE"""),45882.6458333333)</f>
        <v>45882.6458333333</v>
      </c>
      <c r="D99" s="17">
        <f>IFERROR(__xludf.DUMMYFUNCTION("""COMPUTED_VALUE"""),385.95)</f>
        <v>385.95</v>
      </c>
      <c r="E99" s="16">
        <f>IFERROR(__xludf.DUMMYFUNCTION("""COMPUTED_VALUE"""),45882.6458333333)</f>
        <v>45882.6458333333</v>
      </c>
      <c r="F99" s="17">
        <f>IFERROR(__xludf.DUMMYFUNCTION("""COMPUTED_VALUE"""),4216888)</f>
        <v>4216888</v>
      </c>
      <c r="G99" s="16">
        <f>IFERROR(__xludf.DUMMYFUNCTION("""COMPUTED_VALUE"""),45882.6458333333)</f>
        <v>45882.6458333333</v>
      </c>
      <c r="H99" s="17">
        <f>IFERROR(__xludf.DUMMYFUNCTION("""COMPUTED_VALUE"""),388)</f>
        <v>388</v>
      </c>
      <c r="I99" s="16">
        <f>IFERROR(__xludf.DUMMYFUNCTION("""COMPUTED_VALUE"""),45882.6458333333)</f>
        <v>45882.6458333333</v>
      </c>
      <c r="J99" s="17">
        <f>IFERROR(__xludf.DUMMYFUNCTION("""COMPUTED_VALUE"""),385.1)</f>
        <v>385.1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IFERROR(__xludf.DUMMYFUNCTION("""COMPUTED_VALUE"""),384.45)</f>
        <v>384.45</v>
      </c>
      <c r="C100" s="16">
        <f>IFERROR(__xludf.DUMMYFUNCTION("""COMPUTED_VALUE"""),45883.6458333333)</f>
        <v>45883.6458333333</v>
      </c>
      <c r="D100" s="17">
        <f>IFERROR(__xludf.DUMMYFUNCTION("""COMPUTED_VALUE"""),386.1)</f>
        <v>386.1</v>
      </c>
      <c r="E100" s="16">
        <f>IFERROR(__xludf.DUMMYFUNCTION("""COMPUTED_VALUE"""),45883.6458333333)</f>
        <v>45883.6458333333</v>
      </c>
      <c r="F100" s="17">
        <f>IFERROR(__xludf.DUMMYFUNCTION("""COMPUTED_VALUE"""),4034887)</f>
        <v>4034887</v>
      </c>
      <c r="G100" s="16">
        <f>IFERROR(__xludf.DUMMYFUNCTION("""COMPUTED_VALUE"""),45883.6458333333)</f>
        <v>45883.6458333333</v>
      </c>
      <c r="H100" s="17">
        <f>IFERROR(__xludf.DUMMYFUNCTION("""COMPUTED_VALUE"""),386.85)</f>
        <v>386.85</v>
      </c>
      <c r="I100" s="16">
        <f>IFERROR(__xludf.DUMMYFUNCTION("""COMPUTED_VALUE"""),45883.6458333333)</f>
        <v>45883.6458333333</v>
      </c>
      <c r="J100" s="17">
        <f>IFERROR(__xludf.DUMMYFUNCTION("""COMPUTED_VALUE"""),382.55)</f>
        <v>382.55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IFERROR(__xludf.DUMMYFUNCTION("""COMPUTED_VALUE"""),387.8)</f>
        <v>387.8</v>
      </c>
      <c r="C101" s="16">
        <f>IFERROR(__xludf.DUMMYFUNCTION("""COMPUTED_VALUE"""),45887.6458333333)</f>
        <v>45887.6458333333</v>
      </c>
      <c r="D101" s="17">
        <f>IFERROR(__xludf.DUMMYFUNCTION("""COMPUTED_VALUE"""),386.65)</f>
        <v>386.65</v>
      </c>
      <c r="E101" s="16">
        <f>IFERROR(__xludf.DUMMYFUNCTION("""COMPUTED_VALUE"""),45887.6458333333)</f>
        <v>45887.6458333333</v>
      </c>
      <c r="F101" s="17">
        <f>IFERROR(__xludf.DUMMYFUNCTION("""COMPUTED_VALUE"""),3520271)</f>
        <v>3520271</v>
      </c>
      <c r="G101" s="16">
        <f>IFERROR(__xludf.DUMMYFUNCTION("""COMPUTED_VALUE"""),45887.6458333333)</f>
        <v>45887.6458333333</v>
      </c>
      <c r="H101" s="17">
        <f>IFERROR(__xludf.DUMMYFUNCTION("""COMPUTED_VALUE"""),388.55)</f>
        <v>388.55</v>
      </c>
      <c r="I101" s="16">
        <f>IFERROR(__xludf.DUMMYFUNCTION("""COMPUTED_VALUE"""),45887.6458333333)</f>
        <v>45887.6458333333</v>
      </c>
      <c r="J101" s="17">
        <f>IFERROR(__xludf.DUMMYFUNCTION("""COMPUTED_VALUE"""),384.05)</f>
        <v>384.05</v>
      </c>
      <c r="K101" s="3">
        <f t="shared" si="2"/>
        <v>387.8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IFERROR(__xludf.DUMMYFUNCTION("""COMPUTED_VALUE"""),385.35)</f>
        <v>385.35</v>
      </c>
      <c r="C102" s="16">
        <f>IFERROR(__xludf.DUMMYFUNCTION("""COMPUTED_VALUE"""),45888.6458333333)</f>
        <v>45888.6458333333</v>
      </c>
      <c r="D102" s="17">
        <f>IFERROR(__xludf.DUMMYFUNCTION("""COMPUTED_VALUE"""),388.5)</f>
        <v>388.5</v>
      </c>
      <c r="E102" s="16">
        <f>IFERROR(__xludf.DUMMYFUNCTION("""COMPUTED_VALUE"""),45888.6458333333)</f>
        <v>45888.6458333333</v>
      </c>
      <c r="F102" s="17">
        <f>IFERROR(__xludf.DUMMYFUNCTION("""COMPUTED_VALUE"""),5219052)</f>
        <v>5219052</v>
      </c>
      <c r="G102" s="16">
        <f>IFERROR(__xludf.DUMMYFUNCTION("""COMPUTED_VALUE"""),45888.6458333333)</f>
        <v>45888.6458333333</v>
      </c>
      <c r="H102" s="17">
        <f>IFERROR(__xludf.DUMMYFUNCTION("""COMPUTED_VALUE"""),388.5)</f>
        <v>388.5</v>
      </c>
      <c r="I102" s="16">
        <f>IFERROR(__xludf.DUMMYFUNCTION("""COMPUTED_VALUE"""),45888.6458333333)</f>
        <v>45888.6458333333</v>
      </c>
      <c r="J102" s="17">
        <f>IFERROR(__xludf.DUMMYFUNCTION("""COMPUTED_VALUE"""),384.25)</f>
        <v>384.25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IFERROR(__xludf.DUMMYFUNCTION("""COMPUTED_VALUE"""),384.7)</f>
        <v>384.7</v>
      </c>
      <c r="C103" s="16">
        <f>IFERROR(__xludf.DUMMYFUNCTION("""COMPUTED_VALUE"""),45889.6458333333)</f>
        <v>45889.6458333333</v>
      </c>
      <c r="D103" s="17">
        <f>IFERROR(__xludf.DUMMYFUNCTION("""COMPUTED_VALUE"""),386)</f>
        <v>386</v>
      </c>
      <c r="E103" s="16">
        <f>IFERROR(__xludf.DUMMYFUNCTION("""COMPUTED_VALUE"""),45889.6458333333)</f>
        <v>45889.6458333333</v>
      </c>
      <c r="F103" s="17">
        <f>IFERROR(__xludf.DUMMYFUNCTION("""COMPUTED_VALUE"""),4904231)</f>
        <v>4904231</v>
      </c>
      <c r="G103" s="16">
        <f>IFERROR(__xludf.DUMMYFUNCTION("""COMPUTED_VALUE"""),45889.6458333333)</f>
        <v>45889.6458333333</v>
      </c>
      <c r="H103" s="17">
        <f>IFERROR(__xludf.DUMMYFUNCTION("""COMPUTED_VALUE"""),386.85)</f>
        <v>386.85</v>
      </c>
      <c r="I103" s="16">
        <f>IFERROR(__xludf.DUMMYFUNCTION("""COMPUTED_VALUE"""),45889.6458333333)</f>
        <v>45889.6458333333</v>
      </c>
      <c r="J103" s="17">
        <f>IFERROR(__xludf.DUMMYFUNCTION("""COMPUTED_VALUE"""),383.55)</f>
        <v>383.55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IFERROR(__xludf.DUMMYFUNCTION("""COMPUTED_VALUE"""),378.15)</f>
        <v>378.15</v>
      </c>
      <c r="C104" s="16">
        <f>IFERROR(__xludf.DUMMYFUNCTION("""COMPUTED_VALUE"""),45890.6458333333)</f>
        <v>45890.6458333333</v>
      </c>
      <c r="D104" s="17">
        <f>IFERROR(__xludf.DUMMYFUNCTION("""COMPUTED_VALUE"""),380.95)</f>
        <v>380.95</v>
      </c>
      <c r="E104" s="16">
        <f>IFERROR(__xludf.DUMMYFUNCTION("""COMPUTED_VALUE"""),45890.6458333333)</f>
        <v>45890.6458333333</v>
      </c>
      <c r="F104" s="17">
        <f>IFERROR(__xludf.DUMMYFUNCTION("""COMPUTED_VALUE"""),6212604)</f>
        <v>6212604</v>
      </c>
      <c r="G104" s="16">
        <f>IFERROR(__xludf.DUMMYFUNCTION("""COMPUTED_VALUE"""),45890.6458333333)</f>
        <v>45890.6458333333</v>
      </c>
      <c r="H104" s="17">
        <f>IFERROR(__xludf.DUMMYFUNCTION("""COMPUTED_VALUE"""),381.55)</f>
        <v>381.55</v>
      </c>
      <c r="I104" s="16">
        <f>IFERROR(__xludf.DUMMYFUNCTION("""COMPUTED_VALUE"""),45890.6458333333)</f>
        <v>45890.6458333333</v>
      </c>
      <c r="J104" s="17">
        <f>IFERROR(__xludf.DUMMYFUNCTION("""COMPUTED_VALUE"""),377.25)</f>
        <v>377.25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IFERROR(__xludf.DUMMYFUNCTION("""COMPUTED_VALUE"""),374.45)</f>
        <v>374.45</v>
      </c>
      <c r="C105" s="16">
        <f>IFERROR(__xludf.DUMMYFUNCTION("""COMPUTED_VALUE"""),45891.6458333333)</f>
        <v>45891.6458333333</v>
      </c>
      <c r="D105" s="17">
        <f>IFERROR(__xludf.DUMMYFUNCTION("""COMPUTED_VALUE"""),378.15)</f>
        <v>378.15</v>
      </c>
      <c r="E105" s="16">
        <f>IFERROR(__xludf.DUMMYFUNCTION("""COMPUTED_VALUE"""),45891.6458333333)</f>
        <v>45891.6458333333</v>
      </c>
      <c r="F105" s="17">
        <f>IFERROR(__xludf.DUMMYFUNCTION("""COMPUTED_VALUE"""),4699261)</f>
        <v>4699261</v>
      </c>
      <c r="G105" s="16">
        <f>IFERROR(__xludf.DUMMYFUNCTION("""COMPUTED_VALUE"""),45891.6458333333)</f>
        <v>45891.6458333333</v>
      </c>
      <c r="H105" s="17">
        <f>IFERROR(__xludf.DUMMYFUNCTION("""COMPUTED_VALUE"""),379)</f>
        <v>379</v>
      </c>
      <c r="I105" s="16">
        <f>IFERROR(__xludf.DUMMYFUNCTION("""COMPUTED_VALUE"""),45891.6458333333)</f>
        <v>45891.6458333333</v>
      </c>
      <c r="J105" s="17">
        <f>IFERROR(__xludf.DUMMYFUNCTION("""COMPUTED_VALUE"""),374.05)</f>
        <v>374.05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IFERROR(__xludf.DUMMYFUNCTION("""COMPUTED_VALUE"""),380)</f>
        <v>380</v>
      </c>
      <c r="C106" s="16">
        <f>IFERROR(__xludf.DUMMYFUNCTION("""COMPUTED_VALUE"""),45894.6458333333)</f>
        <v>45894.6458333333</v>
      </c>
      <c r="D106" s="17">
        <f>IFERROR(__xludf.DUMMYFUNCTION("""COMPUTED_VALUE"""),375)</f>
        <v>375</v>
      </c>
      <c r="E106" s="16">
        <f>IFERROR(__xludf.DUMMYFUNCTION("""COMPUTED_VALUE"""),45894.6458333333)</f>
        <v>45894.6458333333</v>
      </c>
      <c r="F106" s="17">
        <f>IFERROR(__xludf.DUMMYFUNCTION("""COMPUTED_VALUE"""),4349832)</f>
        <v>4349832</v>
      </c>
      <c r="G106" s="16">
        <f>IFERROR(__xludf.DUMMYFUNCTION("""COMPUTED_VALUE"""),45894.6458333333)</f>
        <v>45894.6458333333</v>
      </c>
      <c r="H106" s="17">
        <f>IFERROR(__xludf.DUMMYFUNCTION("""COMPUTED_VALUE"""),380.75)</f>
        <v>380.75</v>
      </c>
      <c r="I106" s="16">
        <f>IFERROR(__xludf.DUMMYFUNCTION("""COMPUTED_VALUE"""),45894.6458333333)</f>
        <v>45894.6458333333</v>
      </c>
      <c r="J106" s="17">
        <f>IFERROR(__xludf.DUMMYFUNCTION("""COMPUTED_VALUE"""),374.8)</f>
        <v>374.8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IFERROR(__xludf.DUMMYFUNCTION("""COMPUTED_VALUE"""),372.45)</f>
        <v>372.45</v>
      </c>
      <c r="C107" s="16">
        <f>IFERROR(__xludf.DUMMYFUNCTION("""COMPUTED_VALUE"""),45895.6458333333)</f>
        <v>45895.6458333333</v>
      </c>
      <c r="D107" s="17">
        <f>IFERROR(__xludf.DUMMYFUNCTION("""COMPUTED_VALUE"""),379)</f>
        <v>379</v>
      </c>
      <c r="E107" s="16">
        <f>IFERROR(__xludf.DUMMYFUNCTION("""COMPUTED_VALUE"""),45895.6458333333)</f>
        <v>45895.6458333333</v>
      </c>
      <c r="F107" s="17">
        <f>IFERROR(__xludf.DUMMYFUNCTION("""COMPUTED_VALUE"""),6381642)</f>
        <v>6381642</v>
      </c>
      <c r="G107" s="16">
        <f>IFERROR(__xludf.DUMMYFUNCTION("""COMPUTED_VALUE"""),45895.6458333333)</f>
        <v>45895.6458333333</v>
      </c>
      <c r="H107" s="17">
        <f>IFERROR(__xludf.DUMMYFUNCTION("""COMPUTED_VALUE"""),379.85)</f>
        <v>379.85</v>
      </c>
      <c r="I107" s="16">
        <f>IFERROR(__xludf.DUMMYFUNCTION("""COMPUTED_VALUE"""),45895.6458333333)</f>
        <v>45895.6458333333</v>
      </c>
      <c r="J107" s="17">
        <f>IFERROR(__xludf.DUMMYFUNCTION("""COMPUTED_VALUE"""),371.4)</f>
        <v>371.4</v>
      </c>
      <c r="K107" s="3">
        <f t="shared" si="2"/>
        <v>0</v>
      </c>
      <c r="L107" s="3">
        <f t="shared" si="3"/>
        <v>372.45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IFERROR(__xludf.DUMMYFUNCTION("""COMPUTED_VALUE"""),374.3)</f>
        <v>374.3</v>
      </c>
      <c r="C108" s="16">
        <f>IFERROR(__xludf.DUMMYFUNCTION("""COMPUTED_VALUE"""),45897.6458333333)</f>
        <v>45897.6458333333</v>
      </c>
      <c r="D108" s="17">
        <f>IFERROR(__xludf.DUMMYFUNCTION("""COMPUTED_VALUE"""),372.5)</f>
        <v>372.5</v>
      </c>
      <c r="E108" s="16">
        <f>IFERROR(__xludf.DUMMYFUNCTION("""COMPUTED_VALUE"""),45897.6458333333)</f>
        <v>45897.6458333333</v>
      </c>
      <c r="F108" s="17">
        <f>IFERROR(__xludf.DUMMYFUNCTION("""COMPUTED_VALUE"""),4372269)</f>
        <v>4372269</v>
      </c>
      <c r="G108" s="16">
        <f>IFERROR(__xludf.DUMMYFUNCTION("""COMPUTED_VALUE"""),45897.6458333333)</f>
        <v>45897.6458333333</v>
      </c>
      <c r="H108" s="17">
        <f>IFERROR(__xludf.DUMMYFUNCTION("""COMPUTED_VALUE"""),375.9)</f>
        <v>375.9</v>
      </c>
      <c r="I108" s="16">
        <f>IFERROR(__xludf.DUMMYFUNCTION("""COMPUTED_VALUE"""),45897.6458333333)</f>
        <v>45897.6458333333</v>
      </c>
      <c r="J108" s="17">
        <f>IFERROR(__xludf.DUMMYFUNCTION("""COMPUTED_VALUE"""),368.65)</f>
        <v>368.65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IFERROR(__xludf.DUMMYFUNCTION("""COMPUTED_VALUE"""),374.8)</f>
        <v>374.8</v>
      </c>
      <c r="C109" s="16">
        <f>IFERROR(__xludf.DUMMYFUNCTION("""COMPUTED_VALUE"""),45898.6458333333)</f>
        <v>45898.6458333333</v>
      </c>
      <c r="D109" s="17">
        <f>IFERROR(__xludf.DUMMYFUNCTION("""COMPUTED_VALUE"""),372.65)</f>
        <v>372.65</v>
      </c>
      <c r="E109" s="16">
        <f>IFERROR(__xludf.DUMMYFUNCTION("""COMPUTED_VALUE"""),45898.6458333333)</f>
        <v>45898.6458333333</v>
      </c>
      <c r="F109" s="17">
        <f>IFERROR(__xludf.DUMMYFUNCTION("""COMPUTED_VALUE"""),4578400)</f>
        <v>4578400</v>
      </c>
      <c r="G109" s="16">
        <f>IFERROR(__xludf.DUMMYFUNCTION("""COMPUTED_VALUE"""),45898.6458333333)</f>
        <v>45898.6458333333</v>
      </c>
      <c r="H109" s="17">
        <f>IFERROR(__xludf.DUMMYFUNCTION("""COMPUTED_VALUE"""),379)</f>
        <v>379</v>
      </c>
      <c r="I109" s="16">
        <f>IFERROR(__xludf.DUMMYFUNCTION("""COMPUTED_VALUE"""),45898.6458333333)</f>
        <v>45898.6458333333</v>
      </c>
      <c r="J109" s="17">
        <f>IFERROR(__xludf.DUMMYFUNCTION("""COMPUTED_VALUE"""),372.65)</f>
        <v>372.65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IFERROR(__xludf.DUMMYFUNCTION("""COMPUTED_VALUE"""),377.9)</f>
        <v>377.9</v>
      </c>
      <c r="C110" s="16">
        <f>IFERROR(__xludf.DUMMYFUNCTION("""COMPUTED_VALUE"""),45901.6458333333)</f>
        <v>45901.6458333333</v>
      </c>
      <c r="D110" s="17">
        <f>IFERROR(__xludf.DUMMYFUNCTION("""COMPUTED_VALUE"""),375.3)</f>
        <v>375.3</v>
      </c>
      <c r="E110" s="16">
        <f>IFERROR(__xludf.DUMMYFUNCTION("""COMPUTED_VALUE"""),45901.6458333333)</f>
        <v>45901.6458333333</v>
      </c>
      <c r="F110" s="17">
        <f>IFERROR(__xludf.DUMMYFUNCTION("""COMPUTED_VALUE"""),2829114)</f>
        <v>2829114</v>
      </c>
      <c r="G110" s="16">
        <f>IFERROR(__xludf.DUMMYFUNCTION("""COMPUTED_VALUE"""),45901.6458333333)</f>
        <v>45901.6458333333</v>
      </c>
      <c r="H110" s="17">
        <f>IFERROR(__xludf.DUMMYFUNCTION("""COMPUTED_VALUE"""),378.6)</f>
        <v>378.6</v>
      </c>
      <c r="I110" s="16">
        <f>IFERROR(__xludf.DUMMYFUNCTION("""COMPUTED_VALUE"""),45901.6458333333)</f>
        <v>45901.6458333333</v>
      </c>
      <c r="J110" s="17">
        <f>IFERROR(__xludf.DUMMYFUNCTION("""COMPUTED_VALUE"""),375.1)</f>
        <v>375.1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IFERROR(__xludf.DUMMYFUNCTION("""COMPUTED_VALUE"""),380.1)</f>
        <v>380.1</v>
      </c>
      <c r="C111" s="16">
        <f>IFERROR(__xludf.DUMMYFUNCTION("""COMPUTED_VALUE"""),45902.6458333333)</f>
        <v>45902.6458333333</v>
      </c>
      <c r="D111" s="17">
        <f>IFERROR(__xludf.DUMMYFUNCTION("""COMPUTED_VALUE"""),381.15)</f>
        <v>381.15</v>
      </c>
      <c r="E111" s="16">
        <f>IFERROR(__xludf.DUMMYFUNCTION("""COMPUTED_VALUE"""),45902.6458333333)</f>
        <v>45902.6458333333</v>
      </c>
      <c r="F111" s="17">
        <f>IFERROR(__xludf.DUMMYFUNCTION("""COMPUTED_VALUE"""),7511709)</f>
        <v>7511709</v>
      </c>
      <c r="G111" s="16">
        <f>IFERROR(__xludf.DUMMYFUNCTION("""COMPUTED_VALUE"""),45902.6458333333)</f>
        <v>45902.6458333333</v>
      </c>
      <c r="H111" s="17">
        <f>IFERROR(__xludf.DUMMYFUNCTION("""COMPUTED_VALUE"""),385)</f>
        <v>385</v>
      </c>
      <c r="I111" s="16">
        <f>IFERROR(__xludf.DUMMYFUNCTION("""COMPUTED_VALUE"""),45902.6458333333)</f>
        <v>45902.6458333333</v>
      </c>
      <c r="J111" s="17">
        <f>IFERROR(__xludf.DUMMYFUNCTION("""COMPUTED_VALUE"""),379.05)</f>
        <v>379.05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IFERROR(__xludf.DUMMYFUNCTION("""COMPUTED_VALUE"""),389.8)</f>
        <v>389.8</v>
      </c>
      <c r="C112" s="16">
        <f>IFERROR(__xludf.DUMMYFUNCTION("""COMPUTED_VALUE"""),45903.6458333333)</f>
        <v>45903.6458333333</v>
      </c>
      <c r="D112" s="17">
        <f>IFERROR(__xludf.DUMMYFUNCTION("""COMPUTED_VALUE"""),380.95)</f>
        <v>380.95</v>
      </c>
      <c r="E112" s="16">
        <f>IFERROR(__xludf.DUMMYFUNCTION("""COMPUTED_VALUE"""),45903.6458333333)</f>
        <v>45903.6458333333</v>
      </c>
      <c r="F112" s="17">
        <f>IFERROR(__xludf.DUMMYFUNCTION("""COMPUTED_VALUE"""),8111851)</f>
        <v>8111851</v>
      </c>
      <c r="G112" s="16">
        <f>IFERROR(__xludf.DUMMYFUNCTION("""COMPUTED_VALUE"""),45903.6458333333)</f>
        <v>45903.6458333333</v>
      </c>
      <c r="H112" s="17">
        <f>IFERROR(__xludf.DUMMYFUNCTION("""COMPUTED_VALUE"""),393.3)</f>
        <v>393.3</v>
      </c>
      <c r="I112" s="16">
        <f>IFERROR(__xludf.DUMMYFUNCTION("""COMPUTED_VALUE"""),45903.6458333333)</f>
        <v>45903.6458333333</v>
      </c>
      <c r="J112" s="17">
        <f>IFERROR(__xludf.DUMMYFUNCTION("""COMPUTED_VALUE"""),380)</f>
        <v>380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IFERROR(__xludf.DUMMYFUNCTION("""COMPUTED_VALUE"""),391.45)</f>
        <v>391.45</v>
      </c>
      <c r="C113" s="16">
        <f>IFERROR(__xludf.DUMMYFUNCTION("""COMPUTED_VALUE"""),45904.6458333333)</f>
        <v>45904.6458333333</v>
      </c>
      <c r="D113" s="17">
        <f>IFERROR(__xludf.DUMMYFUNCTION("""COMPUTED_VALUE"""),391.8)</f>
        <v>391.8</v>
      </c>
      <c r="E113" s="16">
        <f>IFERROR(__xludf.DUMMYFUNCTION("""COMPUTED_VALUE"""),45904.6458333333)</f>
        <v>45904.6458333333</v>
      </c>
      <c r="F113" s="17">
        <f>IFERROR(__xludf.DUMMYFUNCTION("""COMPUTED_VALUE"""),5515006)</f>
        <v>5515006</v>
      </c>
      <c r="G113" s="16">
        <f>IFERROR(__xludf.DUMMYFUNCTION("""COMPUTED_VALUE"""),45904.6458333333)</f>
        <v>45904.6458333333</v>
      </c>
      <c r="H113" s="17">
        <f>IFERROR(__xludf.DUMMYFUNCTION("""COMPUTED_VALUE"""),392.1)</f>
        <v>392.1</v>
      </c>
      <c r="I113" s="16">
        <f>IFERROR(__xludf.DUMMYFUNCTION("""COMPUTED_VALUE"""),45904.6458333333)</f>
        <v>45904.6458333333</v>
      </c>
      <c r="J113" s="17">
        <f>IFERROR(__xludf.DUMMYFUNCTION("""COMPUTED_VALUE"""),385.7)</f>
        <v>385.7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IFERROR(__xludf.DUMMYFUNCTION("""COMPUTED_VALUE"""),392.65)</f>
        <v>392.65</v>
      </c>
      <c r="C114" s="16">
        <f>IFERROR(__xludf.DUMMYFUNCTION("""COMPUTED_VALUE"""),45905.6458333333)</f>
        <v>45905.6458333333</v>
      </c>
      <c r="D114" s="17">
        <f>IFERROR(__xludf.DUMMYFUNCTION("""COMPUTED_VALUE"""),392.4)</f>
        <v>392.4</v>
      </c>
      <c r="E114" s="16">
        <f>IFERROR(__xludf.DUMMYFUNCTION("""COMPUTED_VALUE"""),45905.6458333333)</f>
        <v>45905.6458333333</v>
      </c>
      <c r="F114" s="17">
        <f>IFERROR(__xludf.DUMMYFUNCTION("""COMPUTED_VALUE"""),4535470)</f>
        <v>4535470</v>
      </c>
      <c r="G114" s="16">
        <f>IFERROR(__xludf.DUMMYFUNCTION("""COMPUTED_VALUE"""),45905.6458333333)</f>
        <v>45905.6458333333</v>
      </c>
      <c r="H114" s="17">
        <f>IFERROR(__xludf.DUMMYFUNCTION("""COMPUTED_VALUE"""),393.25)</f>
        <v>393.25</v>
      </c>
      <c r="I114" s="16">
        <f>IFERROR(__xludf.DUMMYFUNCTION("""COMPUTED_VALUE"""),45905.6458333333)</f>
        <v>45905.6458333333</v>
      </c>
      <c r="J114" s="17">
        <f>IFERROR(__xludf.DUMMYFUNCTION("""COMPUTED_VALUE"""),389)</f>
        <v>389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IFERROR(__xludf.DUMMYFUNCTION("""COMPUTED_VALUE"""),387.05)</f>
        <v>387.05</v>
      </c>
      <c r="C115" s="16">
        <f>IFERROR(__xludf.DUMMYFUNCTION("""COMPUTED_VALUE"""),45908.6458333333)</f>
        <v>45908.6458333333</v>
      </c>
      <c r="D115" s="17">
        <f>IFERROR(__xludf.DUMMYFUNCTION("""COMPUTED_VALUE"""),394)</f>
        <v>394</v>
      </c>
      <c r="E115" s="16">
        <f>IFERROR(__xludf.DUMMYFUNCTION("""COMPUTED_VALUE"""),45908.6458333333)</f>
        <v>45908.6458333333</v>
      </c>
      <c r="F115" s="17">
        <f>IFERROR(__xludf.DUMMYFUNCTION("""COMPUTED_VALUE"""),4607020)</f>
        <v>4607020</v>
      </c>
      <c r="G115" s="16">
        <f>IFERROR(__xludf.DUMMYFUNCTION("""COMPUTED_VALUE"""),45908.6458333333)</f>
        <v>45908.6458333333</v>
      </c>
      <c r="H115" s="17">
        <f>IFERROR(__xludf.DUMMYFUNCTION("""COMPUTED_VALUE"""),395.9)</f>
        <v>395.9</v>
      </c>
      <c r="I115" s="16">
        <f>IFERROR(__xludf.DUMMYFUNCTION("""COMPUTED_VALUE"""),45908.6458333333)</f>
        <v>45908.6458333333</v>
      </c>
      <c r="J115" s="17">
        <f>IFERROR(__xludf.DUMMYFUNCTION("""COMPUTED_VALUE"""),386.3)</f>
        <v>386.3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IFERROR(__xludf.DUMMYFUNCTION("""COMPUTED_VALUE"""),387.95)</f>
        <v>387.95</v>
      </c>
      <c r="C116" s="16">
        <f>IFERROR(__xludf.DUMMYFUNCTION("""COMPUTED_VALUE"""),45909.6458333333)</f>
        <v>45909.6458333333</v>
      </c>
      <c r="D116" s="17">
        <f>IFERROR(__xludf.DUMMYFUNCTION("""COMPUTED_VALUE"""),388.7)</f>
        <v>388.7</v>
      </c>
      <c r="E116" s="16">
        <f>IFERROR(__xludf.DUMMYFUNCTION("""COMPUTED_VALUE"""),45909.6458333333)</f>
        <v>45909.6458333333</v>
      </c>
      <c r="F116" s="17">
        <f>IFERROR(__xludf.DUMMYFUNCTION("""COMPUTED_VALUE"""),4376579)</f>
        <v>4376579</v>
      </c>
      <c r="G116" s="16">
        <f>IFERROR(__xludf.DUMMYFUNCTION("""COMPUTED_VALUE"""),45909.6458333333)</f>
        <v>45909.6458333333</v>
      </c>
      <c r="H116" s="17">
        <f>IFERROR(__xludf.DUMMYFUNCTION("""COMPUTED_VALUE"""),389.4)</f>
        <v>389.4</v>
      </c>
      <c r="I116" s="16">
        <f>IFERROR(__xludf.DUMMYFUNCTION("""COMPUTED_VALUE"""),45909.6458333333)</f>
        <v>45909.6458333333</v>
      </c>
      <c r="J116" s="17">
        <f>IFERROR(__xludf.DUMMYFUNCTION("""COMPUTED_VALUE"""),386.75)</f>
        <v>386.75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IFERROR(__xludf.DUMMYFUNCTION("""COMPUTED_VALUE"""),391.9)</f>
        <v>391.9</v>
      </c>
      <c r="C117" s="16">
        <f>IFERROR(__xludf.DUMMYFUNCTION("""COMPUTED_VALUE"""),45910.6458333333)</f>
        <v>45910.6458333333</v>
      </c>
      <c r="D117" s="17">
        <f>IFERROR(__xludf.DUMMYFUNCTION("""COMPUTED_VALUE"""),388.5)</f>
        <v>388.5</v>
      </c>
      <c r="E117" s="16">
        <f>IFERROR(__xludf.DUMMYFUNCTION("""COMPUTED_VALUE"""),45910.6458333333)</f>
        <v>45910.6458333333</v>
      </c>
      <c r="F117" s="17">
        <f>IFERROR(__xludf.DUMMYFUNCTION("""COMPUTED_VALUE"""),4285507)</f>
        <v>4285507</v>
      </c>
      <c r="G117" s="16">
        <f>IFERROR(__xludf.DUMMYFUNCTION("""COMPUTED_VALUE"""),45910.6458333333)</f>
        <v>45910.6458333333</v>
      </c>
      <c r="H117" s="17">
        <f>IFERROR(__xludf.DUMMYFUNCTION("""COMPUTED_VALUE"""),392.65)</f>
        <v>392.65</v>
      </c>
      <c r="I117" s="16">
        <f>IFERROR(__xludf.DUMMYFUNCTION("""COMPUTED_VALUE"""),45910.6458333333)</f>
        <v>45910.6458333333</v>
      </c>
      <c r="J117" s="17">
        <f>IFERROR(__xludf.DUMMYFUNCTION("""COMPUTED_VALUE"""),388.05)</f>
        <v>388.05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IFERROR(__xludf.DUMMYFUNCTION("""COMPUTED_VALUE"""),393.35)</f>
        <v>393.35</v>
      </c>
      <c r="C118" s="16">
        <f>IFERROR(__xludf.DUMMYFUNCTION("""COMPUTED_VALUE"""),45911.6458333333)</f>
        <v>45911.6458333333</v>
      </c>
      <c r="D118" s="17">
        <f>IFERROR(__xludf.DUMMYFUNCTION("""COMPUTED_VALUE"""),393.65)</f>
        <v>393.65</v>
      </c>
      <c r="E118" s="16">
        <f>IFERROR(__xludf.DUMMYFUNCTION("""COMPUTED_VALUE"""),45911.6458333333)</f>
        <v>45911.6458333333</v>
      </c>
      <c r="F118" s="17">
        <f>IFERROR(__xludf.DUMMYFUNCTION("""COMPUTED_VALUE"""),3442373)</f>
        <v>3442373</v>
      </c>
      <c r="G118" s="16">
        <f>IFERROR(__xludf.DUMMYFUNCTION("""COMPUTED_VALUE"""),45911.6458333333)</f>
        <v>45911.6458333333</v>
      </c>
      <c r="H118" s="17">
        <f>IFERROR(__xludf.DUMMYFUNCTION("""COMPUTED_VALUE"""),394.5)</f>
        <v>394.5</v>
      </c>
      <c r="I118" s="16">
        <f>IFERROR(__xludf.DUMMYFUNCTION("""COMPUTED_VALUE"""),45911.6458333333)</f>
        <v>45911.6458333333</v>
      </c>
      <c r="J118" s="17">
        <f>IFERROR(__xludf.DUMMYFUNCTION("""COMPUTED_VALUE"""),390.5)</f>
        <v>390.5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IFERROR(__xludf.DUMMYFUNCTION("""COMPUTED_VALUE"""),394.35)</f>
        <v>394.35</v>
      </c>
      <c r="C119" s="16">
        <f>IFERROR(__xludf.DUMMYFUNCTION("""COMPUTED_VALUE"""),45912.6458333333)</f>
        <v>45912.6458333333</v>
      </c>
      <c r="D119" s="17">
        <f>IFERROR(__xludf.DUMMYFUNCTION("""COMPUTED_VALUE"""),393.55)</f>
        <v>393.55</v>
      </c>
      <c r="E119" s="16">
        <f>IFERROR(__xludf.DUMMYFUNCTION("""COMPUTED_VALUE"""),45912.6458333333)</f>
        <v>45912.6458333333</v>
      </c>
      <c r="F119" s="17">
        <f>IFERROR(__xludf.DUMMYFUNCTION("""COMPUTED_VALUE"""),4276055)</f>
        <v>4276055</v>
      </c>
      <c r="G119" s="16">
        <f>IFERROR(__xludf.DUMMYFUNCTION("""COMPUTED_VALUE"""),45912.6458333333)</f>
        <v>45912.6458333333</v>
      </c>
      <c r="H119" s="17">
        <f>IFERROR(__xludf.DUMMYFUNCTION("""COMPUTED_VALUE"""),396.2)</f>
        <v>396.2</v>
      </c>
      <c r="I119" s="16">
        <f>IFERROR(__xludf.DUMMYFUNCTION("""COMPUTED_VALUE"""),45912.6458333333)</f>
        <v>45912.6458333333</v>
      </c>
      <c r="J119" s="17">
        <f>IFERROR(__xludf.DUMMYFUNCTION("""COMPUTED_VALUE"""),393.2)</f>
        <v>393.2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IFERROR(__xludf.DUMMYFUNCTION("""COMPUTED_VALUE"""),394.75)</f>
        <v>394.75</v>
      </c>
      <c r="C120" s="16">
        <f>IFERROR(__xludf.DUMMYFUNCTION("""COMPUTED_VALUE"""),45915.6458333333)</f>
        <v>45915.6458333333</v>
      </c>
      <c r="D120" s="17">
        <f>IFERROR(__xludf.DUMMYFUNCTION("""COMPUTED_VALUE"""),394.35)</f>
        <v>394.35</v>
      </c>
      <c r="E120" s="16">
        <f>IFERROR(__xludf.DUMMYFUNCTION("""COMPUTED_VALUE"""),45915.6458333333)</f>
        <v>45915.6458333333</v>
      </c>
      <c r="F120" s="17">
        <f>IFERROR(__xludf.DUMMYFUNCTION("""COMPUTED_VALUE"""),4618798)</f>
        <v>4618798</v>
      </c>
      <c r="G120" s="16">
        <f>IFERROR(__xludf.DUMMYFUNCTION("""COMPUTED_VALUE"""),45915.6458333333)</f>
        <v>45915.6458333333</v>
      </c>
      <c r="H120" s="17">
        <f>IFERROR(__xludf.DUMMYFUNCTION("""COMPUTED_VALUE"""),400.65)</f>
        <v>400.65</v>
      </c>
      <c r="I120" s="16">
        <f>IFERROR(__xludf.DUMMYFUNCTION("""COMPUTED_VALUE"""),45915.6458333333)</f>
        <v>45915.6458333333</v>
      </c>
      <c r="J120" s="17">
        <f>IFERROR(__xludf.DUMMYFUNCTION("""COMPUTED_VALUE"""),394.3)</f>
        <v>394.3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IFERROR(__xludf.DUMMYFUNCTION("""COMPUTED_VALUE"""),395.8)</f>
        <v>395.8</v>
      </c>
      <c r="C121" s="16">
        <f>IFERROR(__xludf.DUMMYFUNCTION("""COMPUTED_VALUE"""),45916.6458333333)</f>
        <v>45916.6458333333</v>
      </c>
      <c r="D121" s="17">
        <f>IFERROR(__xludf.DUMMYFUNCTION("""COMPUTED_VALUE"""),395)</f>
        <v>395</v>
      </c>
      <c r="E121" s="16">
        <f>IFERROR(__xludf.DUMMYFUNCTION("""COMPUTED_VALUE"""),45916.6458333333)</f>
        <v>45916.6458333333</v>
      </c>
      <c r="F121" s="17">
        <f>IFERROR(__xludf.DUMMYFUNCTION("""COMPUTED_VALUE"""),2581384)</f>
        <v>2581384</v>
      </c>
      <c r="G121" s="16">
        <f>IFERROR(__xludf.DUMMYFUNCTION("""COMPUTED_VALUE"""),45916.6458333333)</f>
        <v>45916.6458333333</v>
      </c>
      <c r="H121" s="17">
        <f>IFERROR(__xludf.DUMMYFUNCTION("""COMPUTED_VALUE"""),397)</f>
        <v>397</v>
      </c>
      <c r="I121" s="16">
        <f>IFERROR(__xludf.DUMMYFUNCTION("""COMPUTED_VALUE"""),45916.6458333333)</f>
        <v>45916.6458333333</v>
      </c>
      <c r="J121" s="17">
        <f>IFERROR(__xludf.DUMMYFUNCTION("""COMPUTED_VALUE"""),394.05)</f>
        <v>394.05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IFERROR(__xludf.DUMMYFUNCTION("""COMPUTED_VALUE"""),399.75)</f>
        <v>399.75</v>
      </c>
      <c r="C122" s="16">
        <f>IFERROR(__xludf.DUMMYFUNCTION("""COMPUTED_VALUE"""),45917.6458333333)</f>
        <v>45917.6458333333</v>
      </c>
      <c r="D122" s="17">
        <f>IFERROR(__xludf.DUMMYFUNCTION("""COMPUTED_VALUE"""),402)</f>
        <v>402</v>
      </c>
      <c r="E122" s="16">
        <f>IFERROR(__xludf.DUMMYFUNCTION("""COMPUTED_VALUE"""),45917.6458333333)</f>
        <v>45917.6458333333</v>
      </c>
      <c r="F122" s="17">
        <f>IFERROR(__xludf.DUMMYFUNCTION("""COMPUTED_VALUE"""),5970395)</f>
        <v>5970395</v>
      </c>
      <c r="G122" s="16">
        <f>IFERROR(__xludf.DUMMYFUNCTION("""COMPUTED_VALUE"""),45917.6458333333)</f>
        <v>45917.6458333333</v>
      </c>
      <c r="H122" s="17">
        <f>IFERROR(__xludf.DUMMYFUNCTION("""COMPUTED_VALUE"""),402.45)</f>
        <v>402.45</v>
      </c>
      <c r="I122" s="16">
        <f>IFERROR(__xludf.DUMMYFUNCTION("""COMPUTED_VALUE"""),45917.6458333333)</f>
        <v>45917.6458333333</v>
      </c>
      <c r="J122" s="17">
        <f>IFERROR(__xludf.DUMMYFUNCTION("""COMPUTED_VALUE"""),397.5)</f>
        <v>397.5</v>
      </c>
      <c r="K122" s="3">
        <f t="shared" si="2"/>
        <v>399.75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IFERROR(__xludf.DUMMYFUNCTION("""COMPUTED_VALUE"""),393.15)</f>
        <v>393.15</v>
      </c>
      <c r="C123" s="16">
        <f>IFERROR(__xludf.DUMMYFUNCTION("""COMPUTED_VALUE"""),45918.6458333333)</f>
        <v>45918.6458333333</v>
      </c>
      <c r="D123" s="17">
        <f>IFERROR(__xludf.DUMMYFUNCTION("""COMPUTED_VALUE"""),400.5)</f>
        <v>400.5</v>
      </c>
      <c r="E123" s="16">
        <f>IFERROR(__xludf.DUMMYFUNCTION("""COMPUTED_VALUE"""),45918.6458333333)</f>
        <v>45918.6458333333</v>
      </c>
      <c r="F123" s="17">
        <f>IFERROR(__xludf.DUMMYFUNCTION("""COMPUTED_VALUE"""),5899621)</f>
        <v>5899621</v>
      </c>
      <c r="G123" s="16">
        <f>IFERROR(__xludf.DUMMYFUNCTION("""COMPUTED_VALUE"""),45918.6458333333)</f>
        <v>45918.6458333333</v>
      </c>
      <c r="H123" s="17">
        <f>IFERROR(__xludf.DUMMYFUNCTION("""COMPUTED_VALUE"""),400.75)</f>
        <v>400.75</v>
      </c>
      <c r="I123" s="16">
        <f>IFERROR(__xludf.DUMMYFUNCTION("""COMPUTED_VALUE"""),45918.6458333333)</f>
        <v>45918.6458333333</v>
      </c>
      <c r="J123" s="17">
        <f>IFERROR(__xludf.DUMMYFUNCTION("""COMPUTED_VALUE"""),390.6)</f>
        <v>390.6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IFERROR(__xludf.DUMMYFUNCTION("""COMPUTED_VALUE"""),394.5)</f>
        <v>394.5</v>
      </c>
      <c r="C124" s="16">
        <f>IFERROR(__xludf.DUMMYFUNCTION("""COMPUTED_VALUE"""),45919.6458333333)</f>
        <v>45919.6458333333</v>
      </c>
      <c r="D124" s="17">
        <f>IFERROR(__xludf.DUMMYFUNCTION("""COMPUTED_VALUE"""),394)</f>
        <v>394</v>
      </c>
      <c r="E124" s="16">
        <f>IFERROR(__xludf.DUMMYFUNCTION("""COMPUTED_VALUE"""),45919.6458333333)</f>
        <v>45919.6458333333</v>
      </c>
      <c r="F124" s="17">
        <f>IFERROR(__xludf.DUMMYFUNCTION("""COMPUTED_VALUE"""),5272435)</f>
        <v>5272435</v>
      </c>
      <c r="G124" s="16">
        <f>IFERROR(__xludf.DUMMYFUNCTION("""COMPUTED_VALUE"""),45919.6458333333)</f>
        <v>45919.6458333333</v>
      </c>
      <c r="H124" s="17">
        <f>IFERROR(__xludf.DUMMYFUNCTION("""COMPUTED_VALUE"""),395.2)</f>
        <v>395.2</v>
      </c>
      <c r="I124" s="16">
        <f>IFERROR(__xludf.DUMMYFUNCTION("""COMPUTED_VALUE"""),45919.6458333333)</f>
        <v>45919.6458333333</v>
      </c>
      <c r="J124" s="17">
        <f>IFERROR(__xludf.DUMMYFUNCTION("""COMPUTED_VALUE"""),391.5)</f>
        <v>391.5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IFERROR(__xludf.DUMMYFUNCTION("""COMPUTED_VALUE"""),394.7)</f>
        <v>394.7</v>
      </c>
      <c r="C125" s="16">
        <f>IFERROR(__xludf.DUMMYFUNCTION("""COMPUTED_VALUE"""),45922.6458333333)</f>
        <v>45922.6458333333</v>
      </c>
      <c r="D125" s="17">
        <f>IFERROR(__xludf.DUMMYFUNCTION("""COMPUTED_VALUE"""),394.5)</f>
        <v>394.5</v>
      </c>
      <c r="E125" s="16">
        <f>IFERROR(__xludf.DUMMYFUNCTION("""COMPUTED_VALUE"""),45922.6458333333)</f>
        <v>45922.6458333333</v>
      </c>
      <c r="F125" s="17">
        <f>IFERROR(__xludf.DUMMYFUNCTION("""COMPUTED_VALUE"""),3399517)</f>
        <v>3399517</v>
      </c>
      <c r="G125" s="16">
        <f>IFERROR(__xludf.DUMMYFUNCTION("""COMPUTED_VALUE"""),45922.6458333333)</f>
        <v>45922.6458333333</v>
      </c>
      <c r="H125" s="17">
        <f>IFERROR(__xludf.DUMMYFUNCTION("""COMPUTED_VALUE"""),396.95)</f>
        <v>396.95</v>
      </c>
      <c r="I125" s="16">
        <f>IFERROR(__xludf.DUMMYFUNCTION("""COMPUTED_VALUE"""),45922.6458333333)</f>
        <v>45922.6458333333</v>
      </c>
      <c r="J125" s="17">
        <f>IFERROR(__xludf.DUMMYFUNCTION("""COMPUTED_VALUE"""),393.35)</f>
        <v>393.35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IFERROR(__xludf.DUMMYFUNCTION("""COMPUTED_VALUE"""),394.05)</f>
        <v>394.05</v>
      </c>
      <c r="C126" s="16">
        <f>IFERROR(__xludf.DUMMYFUNCTION("""COMPUTED_VALUE"""),45923.6458333333)</f>
        <v>45923.6458333333</v>
      </c>
      <c r="D126" s="17">
        <f>IFERROR(__xludf.DUMMYFUNCTION("""COMPUTED_VALUE"""),394.75)</f>
        <v>394.75</v>
      </c>
      <c r="E126" s="16">
        <f>IFERROR(__xludf.DUMMYFUNCTION("""COMPUTED_VALUE"""),45923.6458333333)</f>
        <v>45923.6458333333</v>
      </c>
      <c r="F126" s="17">
        <f>IFERROR(__xludf.DUMMYFUNCTION("""COMPUTED_VALUE"""),4720322)</f>
        <v>4720322</v>
      </c>
      <c r="G126" s="16">
        <f>IFERROR(__xludf.DUMMYFUNCTION("""COMPUTED_VALUE"""),45923.6458333333)</f>
        <v>45923.6458333333</v>
      </c>
      <c r="H126" s="17">
        <f>IFERROR(__xludf.DUMMYFUNCTION("""COMPUTED_VALUE"""),395.75)</f>
        <v>395.75</v>
      </c>
      <c r="I126" s="16">
        <f>IFERROR(__xludf.DUMMYFUNCTION("""COMPUTED_VALUE"""),45923.6458333333)</f>
        <v>45923.6458333333</v>
      </c>
      <c r="J126" s="17">
        <f>IFERROR(__xludf.DUMMYFUNCTION("""COMPUTED_VALUE"""),392.1)</f>
        <v>392.1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IFERROR(__xludf.DUMMYFUNCTION("""COMPUTED_VALUE"""),392.85)</f>
        <v>392.85</v>
      </c>
      <c r="C127" s="16">
        <f>IFERROR(__xludf.DUMMYFUNCTION("""COMPUTED_VALUE"""),45924.6458333333)</f>
        <v>45924.6458333333</v>
      </c>
      <c r="D127" s="17">
        <f>IFERROR(__xludf.DUMMYFUNCTION("""COMPUTED_VALUE"""),394.5)</f>
        <v>394.5</v>
      </c>
      <c r="E127" s="16">
        <f>IFERROR(__xludf.DUMMYFUNCTION("""COMPUTED_VALUE"""),45924.6458333333)</f>
        <v>45924.6458333333</v>
      </c>
      <c r="F127" s="17">
        <f>IFERROR(__xludf.DUMMYFUNCTION("""COMPUTED_VALUE"""),5139791)</f>
        <v>5139791</v>
      </c>
      <c r="G127" s="16">
        <f>IFERROR(__xludf.DUMMYFUNCTION("""COMPUTED_VALUE"""),45924.6458333333)</f>
        <v>45924.6458333333</v>
      </c>
      <c r="H127" s="17">
        <f>IFERROR(__xludf.DUMMYFUNCTION("""COMPUTED_VALUE"""),395.6)</f>
        <v>395.6</v>
      </c>
      <c r="I127" s="16">
        <f>IFERROR(__xludf.DUMMYFUNCTION("""COMPUTED_VALUE"""),45924.6458333333)</f>
        <v>45924.6458333333</v>
      </c>
      <c r="J127" s="17">
        <f>IFERROR(__xludf.DUMMYFUNCTION("""COMPUTED_VALUE"""),391.75)</f>
        <v>391.75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IFERROR(__xludf.DUMMYFUNCTION("""COMPUTED_VALUE"""),392.5)</f>
        <v>392.5</v>
      </c>
      <c r="C128" s="16">
        <f>IFERROR(__xludf.DUMMYFUNCTION("""COMPUTED_VALUE"""),45925.6458333333)</f>
        <v>45925.6458333333</v>
      </c>
      <c r="D128" s="17">
        <f>IFERROR(__xludf.DUMMYFUNCTION("""COMPUTED_VALUE"""),392.05)</f>
        <v>392.05</v>
      </c>
      <c r="E128" s="16">
        <f>IFERROR(__xludf.DUMMYFUNCTION("""COMPUTED_VALUE"""),45925.6458333333)</f>
        <v>45925.6458333333</v>
      </c>
      <c r="F128" s="17">
        <f>IFERROR(__xludf.DUMMYFUNCTION("""COMPUTED_VALUE"""),4563970)</f>
        <v>4563970</v>
      </c>
      <c r="G128" s="16">
        <f>IFERROR(__xludf.DUMMYFUNCTION("""COMPUTED_VALUE"""),45925.6458333333)</f>
        <v>45925.6458333333</v>
      </c>
      <c r="H128" s="17">
        <f>IFERROR(__xludf.DUMMYFUNCTION("""COMPUTED_VALUE"""),395.2)</f>
        <v>395.2</v>
      </c>
      <c r="I128" s="16">
        <f>IFERROR(__xludf.DUMMYFUNCTION("""COMPUTED_VALUE"""),45925.6458333333)</f>
        <v>45925.6458333333</v>
      </c>
      <c r="J128" s="17">
        <f>IFERROR(__xludf.DUMMYFUNCTION("""COMPUTED_VALUE"""),391.65)</f>
        <v>391.65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IFERROR(__xludf.DUMMYFUNCTION("""COMPUTED_VALUE"""),389.15)</f>
        <v>389.15</v>
      </c>
      <c r="C129" s="47">
        <f>IFERROR(__xludf.DUMMYFUNCTION("""COMPUTED_VALUE"""),45926.6458333333)</f>
        <v>45926.6458333333</v>
      </c>
      <c r="D129" s="48">
        <f>IFERROR(__xludf.DUMMYFUNCTION("""COMPUTED_VALUE"""),392.5)</f>
        <v>392.5</v>
      </c>
      <c r="E129" s="47">
        <f>IFERROR(__xludf.DUMMYFUNCTION("""COMPUTED_VALUE"""),45926.6458333333)</f>
        <v>45926.6458333333</v>
      </c>
      <c r="F129" s="48">
        <f>IFERROR(__xludf.DUMMYFUNCTION("""COMPUTED_VALUE"""),4698693)</f>
        <v>4698693</v>
      </c>
      <c r="G129" s="47">
        <f>IFERROR(__xludf.DUMMYFUNCTION("""COMPUTED_VALUE"""),45926.6458333333)</f>
        <v>45926.6458333333</v>
      </c>
      <c r="H129" s="48">
        <f>IFERROR(__xludf.DUMMYFUNCTION("""COMPUTED_VALUE"""),392.95)</f>
        <v>392.95</v>
      </c>
      <c r="I129" s="47">
        <f>IFERROR(__xludf.DUMMYFUNCTION("""COMPUTED_VALUE"""),45926.6458333333)</f>
        <v>45926.6458333333</v>
      </c>
      <c r="J129" s="48">
        <f>IFERROR(__xludf.DUMMYFUNCTION("""COMPUTED_VALUE"""),388.05)</f>
        <v>388.05</v>
      </c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cols>
    <col min="19" max="19" width="14.7545454545455" customWidth="1"/>
  </cols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267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""price"")"),5675)</f>
        <v>5675</v>
      </c>
      <c r="I3" s="22" t="s">
        <v>269</v>
      </c>
      <c r="J3" s="23">
        <f>IFERROR(__xludf.DUMMYFUNCTION("GOOGLEFINANCE(L3, ""volume"")"),672699)</f>
        <v>672699</v>
      </c>
      <c r="K3" s="24" t="s">
        <v>270</v>
      </c>
      <c r="L3" s="25" t="str">
        <f>Mastersheet!B14</f>
        <v>NSE:DIVISLAB</v>
      </c>
      <c r="M3" s="26">
        <f>IFERROR(__xludf.DUMMYFUNCTION("""COMPUTED_VALUE"""),45926.6458333333)</f>
        <v>45926.6458333333</v>
      </c>
      <c r="N3" s="27">
        <f>IFERROR(__xludf.DUMMYFUNCTION("""COMPUTED_VALUE"""),5689.5)</f>
        <v>5689.5</v>
      </c>
      <c r="O3" s="26">
        <f>IFERROR(__xludf.DUMMYFUNCTION("""COMPUTED_VALUE"""),45926.6458333333)</f>
        <v>45926.6458333333</v>
      </c>
      <c r="P3" s="27">
        <f>IFERROR(__xludf.DUMMYFUNCTION("""COMPUTED_VALUE"""),5824)</f>
        <v>5824</v>
      </c>
      <c r="Q3" s="16">
        <f>IFERROR(__xludf.DUMMYFUNCTION("""COMPUTED_VALUE"""),45926.6458333333)</f>
        <v>45926.6458333333</v>
      </c>
      <c r="R3" s="17">
        <f>IFERROR(__xludf.DUMMYFUNCTION("""COMPUTED_VALUE"""),5824)</f>
        <v>5824</v>
      </c>
      <c r="S3" s="16">
        <f>IFERROR(__xludf.DUMMYFUNCTION("""COMPUTED_VALUE"""),45926.6458333333)</f>
        <v>45926.6458333333</v>
      </c>
      <c r="T3" s="17">
        <f>IFERROR(__xludf.DUMMYFUNCTION("""COMPUTED_VALUE"""),5656.5)</f>
        <v>5656.5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IFERROR(__xludf.DUMMYFUNCTION("""COMPUTED_VALUE"""),5872.65)</f>
        <v>5872.65</v>
      </c>
      <c r="C5" s="14">
        <f>IFERROR(__xludf.DUMMYFUNCTION("""COMPUTED_VALUE"""),45743.6458333333)</f>
        <v>45743.6458333333</v>
      </c>
      <c r="D5" s="15">
        <f>IFERROR(__xludf.DUMMYFUNCTION("""COMPUTED_VALUE"""),5838)</f>
        <v>5838</v>
      </c>
      <c r="E5" s="14">
        <f>IFERROR(__xludf.DUMMYFUNCTION("""COMPUTED_VALUE"""),45743.6458333333)</f>
        <v>45743.6458333333</v>
      </c>
      <c r="F5" s="15">
        <f>IFERROR(__xludf.DUMMYFUNCTION("""COMPUTED_VALUE"""),385946)</f>
        <v>385946</v>
      </c>
      <c r="G5" s="14">
        <f>IFERROR(__xludf.DUMMYFUNCTION("""COMPUTED_VALUE"""),45743.6458333333)</f>
        <v>45743.6458333333</v>
      </c>
      <c r="H5" s="15">
        <f>IFERROR(__xludf.DUMMYFUNCTION("""COMPUTED_VALUE"""),5893.75)</f>
        <v>5893.75</v>
      </c>
      <c r="I5" s="30">
        <f>IFERROR(__xludf.DUMMYFUNCTION("""COMPUTED_VALUE"""),45743.6458333333)</f>
        <v>45743.6458333333</v>
      </c>
      <c r="J5" s="3">
        <f>IFERROR(__xludf.DUMMYFUNCTION("""COMPUTED_VALUE"""),5727.2)</f>
        <v>5727.2</v>
      </c>
      <c r="K5" s="5"/>
      <c r="L5" s="5"/>
      <c r="M5" s="3">
        <f t="array" ref="M5">INDEX(K11:K124,MATCH(SMALL(ABS(K11:K124-H3),1),ABS(K11:K124-H3),0))</f>
        <v>6200</v>
      </c>
      <c r="N5" s="3">
        <f t="array" ref="N5">INDEX(K11:K124,MATCH(SMALL(ABS(K11:K124-H3),2),ABS(K11:K124-H3),0))</f>
        <v>6215.5</v>
      </c>
      <c r="O5" s="3">
        <f t="array" ref="O5">INDEX(L11:L124,MATCH(SMALL(ABS(L11:L124-H3),1),ABS(L11:L124-H3),0))</f>
        <v>5914.5</v>
      </c>
      <c r="P5" s="3">
        <f t="array" ref="P5">INDEX(L11:L124,MATCH(SMALL(ABS(L11:L124-H3),2),ABS(L11:L124-H3),0))</f>
        <v>5942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0</v>
      </c>
      <c r="T5" s="17">
        <f ca="1">IF(AND(H3&gt;=Mastersheet!I3*S5,H3&lt;=Mastersheet!J3*S5),1,0)</f>
        <v>0</v>
      </c>
      <c r="U5" s="36">
        <f>(N3+P3)/2</f>
        <v>5756.75</v>
      </c>
      <c r="V5" s="17">
        <f>(N3+P3+R3+T3)/4</f>
        <v>5748.5</v>
      </c>
      <c r="W5" s="17">
        <f>IF(V5&gt;U5,1,0)</f>
        <v>0</v>
      </c>
      <c r="X5" s="17">
        <f>IF(V5&gt;U5,0,1)</f>
        <v>1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IFERROR(__xludf.DUMMYFUNCTION("""COMPUTED_VALUE"""),5775.45)</f>
        <v>5775.45</v>
      </c>
      <c r="C6" s="16">
        <f>IFERROR(__xludf.DUMMYFUNCTION("""COMPUTED_VALUE"""),45744.6458333333)</f>
        <v>45744.6458333333</v>
      </c>
      <c r="D6" s="17">
        <f>IFERROR(__xludf.DUMMYFUNCTION("""COMPUTED_VALUE"""),5850)</f>
        <v>5850</v>
      </c>
      <c r="E6" s="16">
        <f>IFERROR(__xludf.DUMMYFUNCTION("""COMPUTED_VALUE"""),45744.6458333333)</f>
        <v>45744.6458333333</v>
      </c>
      <c r="F6" s="17">
        <f>IFERROR(__xludf.DUMMYFUNCTION("""COMPUTED_VALUE"""),291524)</f>
        <v>291524</v>
      </c>
      <c r="G6" s="16">
        <f>IFERROR(__xludf.DUMMYFUNCTION("""COMPUTED_VALUE"""),45744.6458333333)</f>
        <v>45744.6458333333</v>
      </c>
      <c r="H6" s="17">
        <f>IFERROR(__xludf.DUMMYFUNCTION("""COMPUTED_VALUE"""),5885)</f>
        <v>5885</v>
      </c>
      <c r="I6" s="16">
        <f>IFERROR(__xludf.DUMMYFUNCTION("""COMPUTED_VALUE"""),45744.6458333333)</f>
        <v>45744.6458333333</v>
      </c>
      <c r="J6" s="17">
        <f>IFERROR(__xludf.DUMMYFUNCTION("""COMPUTED_VALUE"""),5738)</f>
        <v>5738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1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IFERROR(__xludf.DUMMYFUNCTION("""COMPUTED_VALUE"""),5549.7)</f>
        <v>5549.7</v>
      </c>
      <c r="C7" s="16">
        <f>IFERROR(__xludf.DUMMYFUNCTION("""COMPUTED_VALUE"""),45748.6458333333)</f>
        <v>45748.6458333333</v>
      </c>
      <c r="D7" s="17">
        <f>IFERROR(__xludf.DUMMYFUNCTION("""COMPUTED_VALUE"""),5749.5)</f>
        <v>5749.5</v>
      </c>
      <c r="E7" s="16">
        <f>IFERROR(__xludf.DUMMYFUNCTION("""COMPUTED_VALUE"""),45748.6458333333)</f>
        <v>45748.6458333333</v>
      </c>
      <c r="F7" s="17">
        <f>IFERROR(__xludf.DUMMYFUNCTION("""COMPUTED_VALUE"""),341053)</f>
        <v>341053</v>
      </c>
      <c r="G7" s="16">
        <f>IFERROR(__xludf.DUMMYFUNCTION("""COMPUTED_VALUE"""),45748.6458333333)</f>
        <v>45748.6458333333</v>
      </c>
      <c r="H7" s="17">
        <f>IFERROR(__xludf.DUMMYFUNCTION("""COMPUTED_VALUE"""),5818.5)</f>
        <v>5818.5</v>
      </c>
      <c r="I7" s="16">
        <f>IFERROR(__xludf.DUMMYFUNCTION("""COMPUTED_VALUE"""),45748.6458333333)</f>
        <v>45748.6458333333</v>
      </c>
      <c r="J7" s="17">
        <f>IFERROR(__xludf.DUMMYFUNCTION("""COMPUTED_VALUE"""),5521)</f>
        <v>5521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IFERROR(__xludf.DUMMYFUNCTION("""COMPUTED_VALUE"""),5666)</f>
        <v>5666</v>
      </c>
      <c r="C8" s="16">
        <f>IFERROR(__xludf.DUMMYFUNCTION("""COMPUTED_VALUE"""),45749.6458333333)</f>
        <v>45749.6458333333</v>
      </c>
      <c r="D8" s="17">
        <f>IFERROR(__xludf.DUMMYFUNCTION("""COMPUTED_VALUE"""),5550.55)</f>
        <v>5550.55</v>
      </c>
      <c r="E8" s="16">
        <f>IFERROR(__xludf.DUMMYFUNCTION("""COMPUTED_VALUE"""),45749.6458333333)</f>
        <v>45749.6458333333</v>
      </c>
      <c r="F8" s="17">
        <f>IFERROR(__xludf.DUMMYFUNCTION("""COMPUTED_VALUE"""),316866)</f>
        <v>316866</v>
      </c>
      <c r="G8" s="16">
        <f>IFERROR(__xludf.DUMMYFUNCTION("""COMPUTED_VALUE"""),45749.6458333333)</f>
        <v>45749.6458333333</v>
      </c>
      <c r="H8" s="17">
        <f>IFERROR(__xludf.DUMMYFUNCTION("""COMPUTED_VALUE"""),5681.45)</f>
        <v>5681.45</v>
      </c>
      <c r="I8" s="16">
        <f>IFERROR(__xludf.DUMMYFUNCTION("""COMPUTED_VALUE"""),45749.6458333333)</f>
        <v>45749.6458333333</v>
      </c>
      <c r="J8" s="17">
        <f>IFERROR(__xludf.DUMMYFUNCTION("""COMPUTED_VALUE"""),5535)</f>
        <v>5535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IFERROR(__xludf.DUMMYFUNCTION("""COMPUTED_VALUE"""),5763)</f>
        <v>5763</v>
      </c>
      <c r="C9" s="16">
        <f>IFERROR(__xludf.DUMMYFUNCTION("""COMPUTED_VALUE"""),45750.6458333333)</f>
        <v>45750.6458333333</v>
      </c>
      <c r="D9" s="17">
        <f>IFERROR(__xludf.DUMMYFUNCTION("""COMPUTED_VALUE"""),5889.95)</f>
        <v>5889.95</v>
      </c>
      <c r="E9" s="16">
        <f>IFERROR(__xludf.DUMMYFUNCTION("""COMPUTED_VALUE"""),45750.6458333333)</f>
        <v>45750.6458333333</v>
      </c>
      <c r="F9" s="17">
        <f>IFERROR(__xludf.DUMMYFUNCTION("""COMPUTED_VALUE"""),537669)</f>
        <v>537669</v>
      </c>
      <c r="G9" s="16">
        <f>IFERROR(__xludf.DUMMYFUNCTION("""COMPUTED_VALUE"""),45750.6458333333)</f>
        <v>45750.6458333333</v>
      </c>
      <c r="H9" s="17">
        <f>IFERROR(__xludf.DUMMYFUNCTION("""COMPUTED_VALUE"""),5970)</f>
        <v>5970</v>
      </c>
      <c r="I9" s="16">
        <f>IFERROR(__xludf.DUMMYFUNCTION("""COMPUTED_VALUE"""),45750.6458333333)</f>
        <v>45750.6458333333</v>
      </c>
      <c r="J9" s="17">
        <f>IFERROR(__xludf.DUMMYFUNCTION("""COMPUTED_VALUE"""),5729.35)</f>
        <v>5729.35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IFERROR(__xludf.DUMMYFUNCTION("""COMPUTED_VALUE"""),5482.85)</f>
        <v>5482.85</v>
      </c>
      <c r="C10" s="16">
        <f>IFERROR(__xludf.DUMMYFUNCTION("""COMPUTED_VALUE"""),45751.6458333333)</f>
        <v>45751.6458333333</v>
      </c>
      <c r="D10" s="17">
        <f>IFERROR(__xludf.DUMMYFUNCTION("""COMPUTED_VALUE"""),5760)</f>
        <v>5760</v>
      </c>
      <c r="E10" s="16">
        <f>IFERROR(__xludf.DUMMYFUNCTION("""COMPUTED_VALUE"""),45751.6458333333)</f>
        <v>45751.6458333333</v>
      </c>
      <c r="F10" s="17">
        <f>IFERROR(__xludf.DUMMYFUNCTION("""COMPUTED_VALUE"""),681423)</f>
        <v>681423</v>
      </c>
      <c r="G10" s="16">
        <f>IFERROR(__xludf.DUMMYFUNCTION("""COMPUTED_VALUE"""),45751.6458333333)</f>
        <v>45751.6458333333</v>
      </c>
      <c r="H10" s="17">
        <f>IFERROR(__xludf.DUMMYFUNCTION("""COMPUTED_VALUE"""),5762.65)</f>
        <v>5762.65</v>
      </c>
      <c r="I10" s="16">
        <f>IFERROR(__xludf.DUMMYFUNCTION("""COMPUTED_VALUE"""),45751.6458333333)</f>
        <v>45751.6458333333</v>
      </c>
      <c r="J10" s="17">
        <f>IFERROR(__xludf.DUMMYFUNCTION("""COMPUTED_VALUE"""),5384.95)</f>
        <v>5384.95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IFERROR(__xludf.DUMMYFUNCTION("""COMPUTED_VALUE"""),5258.95)</f>
        <v>5258.95</v>
      </c>
      <c r="C11" s="16">
        <f>IFERROR(__xludf.DUMMYFUNCTION("""COMPUTED_VALUE"""),45754.6458333333)</f>
        <v>45754.6458333333</v>
      </c>
      <c r="D11" s="17">
        <f>IFERROR(__xludf.DUMMYFUNCTION("""COMPUTED_VALUE"""),4955)</f>
        <v>4955</v>
      </c>
      <c r="E11" s="16">
        <f>IFERROR(__xludf.DUMMYFUNCTION("""COMPUTED_VALUE"""),45754.6458333333)</f>
        <v>45754.6458333333</v>
      </c>
      <c r="F11" s="17">
        <f>IFERROR(__xludf.DUMMYFUNCTION("""COMPUTED_VALUE"""),565168)</f>
        <v>565168</v>
      </c>
      <c r="G11" s="16">
        <f>IFERROR(__xludf.DUMMYFUNCTION("""COMPUTED_VALUE"""),45754.6458333333)</f>
        <v>45754.6458333333</v>
      </c>
      <c r="H11" s="17">
        <f>IFERROR(__xludf.DUMMYFUNCTION("""COMPUTED_VALUE"""),5358.85)</f>
        <v>5358.85</v>
      </c>
      <c r="I11" s="16">
        <f>IFERROR(__xludf.DUMMYFUNCTION("""COMPUTED_VALUE"""),45754.6458333333)</f>
        <v>45754.6458333333</v>
      </c>
      <c r="J11" s="17">
        <f>IFERROR(__xludf.DUMMYFUNCTION("""COMPUTED_VALUE"""),4955)</f>
        <v>4955</v>
      </c>
      <c r="K11" s="3">
        <f t="shared" ref="K11:K125" si="2">IF(B11=MAX(B5:B17),B11,0)</f>
        <v>0</v>
      </c>
      <c r="L11" s="3">
        <f t="shared" ref="L11:L125" si="3">IF(B11=MIN(B5:B17),B11,0)</f>
        <v>5258.95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IFERROR(__xludf.DUMMYFUNCTION("""COMPUTED_VALUE"""),5387.3)</f>
        <v>5387.3</v>
      </c>
      <c r="C12" s="16">
        <f>IFERROR(__xludf.DUMMYFUNCTION("""COMPUTED_VALUE"""),45755.6458333333)</f>
        <v>45755.6458333333</v>
      </c>
      <c r="D12" s="17">
        <f>IFERROR(__xludf.DUMMYFUNCTION("""COMPUTED_VALUE"""),5347.1)</f>
        <v>5347.1</v>
      </c>
      <c r="E12" s="16">
        <f>IFERROR(__xludf.DUMMYFUNCTION("""COMPUTED_VALUE"""),45755.6458333333)</f>
        <v>45755.6458333333</v>
      </c>
      <c r="F12" s="17">
        <f>IFERROR(__xludf.DUMMYFUNCTION("""COMPUTED_VALUE"""),369634)</f>
        <v>369634</v>
      </c>
      <c r="G12" s="16">
        <f>IFERROR(__xludf.DUMMYFUNCTION("""COMPUTED_VALUE"""),45755.6458333333)</f>
        <v>45755.6458333333</v>
      </c>
      <c r="H12" s="17">
        <f>IFERROR(__xludf.DUMMYFUNCTION("""COMPUTED_VALUE"""),5475)</f>
        <v>5475</v>
      </c>
      <c r="I12" s="16">
        <f>IFERROR(__xludf.DUMMYFUNCTION("""COMPUTED_VALUE"""),45755.6458333333)</f>
        <v>45755.6458333333</v>
      </c>
      <c r="J12" s="17">
        <f>IFERROR(__xludf.DUMMYFUNCTION("""COMPUTED_VALUE"""),5303)</f>
        <v>5303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IFERROR(__xludf.DUMMYFUNCTION("""COMPUTED_VALUE"""),5386.15)</f>
        <v>5386.15</v>
      </c>
      <c r="C13" s="16">
        <f>IFERROR(__xludf.DUMMYFUNCTION("""COMPUTED_VALUE"""),45756.6458333333)</f>
        <v>45756.6458333333</v>
      </c>
      <c r="D13" s="17">
        <f>IFERROR(__xludf.DUMMYFUNCTION("""COMPUTED_VALUE"""),5300)</f>
        <v>5300</v>
      </c>
      <c r="E13" s="16">
        <f>IFERROR(__xludf.DUMMYFUNCTION("""COMPUTED_VALUE"""),45756.6458333333)</f>
        <v>45756.6458333333</v>
      </c>
      <c r="F13" s="17">
        <f>IFERROR(__xludf.DUMMYFUNCTION("""COMPUTED_VALUE"""),458062)</f>
        <v>458062</v>
      </c>
      <c r="G13" s="16">
        <f>IFERROR(__xludf.DUMMYFUNCTION("""COMPUTED_VALUE"""),45756.6458333333)</f>
        <v>45756.6458333333</v>
      </c>
      <c r="H13" s="17">
        <f>IFERROR(__xludf.DUMMYFUNCTION("""COMPUTED_VALUE"""),5429.6)</f>
        <v>5429.6</v>
      </c>
      <c r="I13" s="16">
        <f>IFERROR(__xludf.DUMMYFUNCTION("""COMPUTED_VALUE"""),45756.6458333333)</f>
        <v>45756.6458333333</v>
      </c>
      <c r="J13" s="17">
        <f>IFERROR(__xludf.DUMMYFUNCTION("""COMPUTED_VALUE"""),5231.6)</f>
        <v>5231.6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IFERROR(__xludf.DUMMYFUNCTION("""COMPUTED_VALUE"""),5589.3)</f>
        <v>5589.3</v>
      </c>
      <c r="C14" s="16">
        <f>IFERROR(__xludf.DUMMYFUNCTION("""COMPUTED_VALUE"""),45758.6458333333)</f>
        <v>45758.6458333333</v>
      </c>
      <c r="D14" s="17">
        <f>IFERROR(__xludf.DUMMYFUNCTION("""COMPUTED_VALUE"""),5550)</f>
        <v>5550</v>
      </c>
      <c r="E14" s="16">
        <f>IFERROR(__xludf.DUMMYFUNCTION("""COMPUTED_VALUE"""),45758.6458333333)</f>
        <v>45758.6458333333</v>
      </c>
      <c r="F14" s="17">
        <f>IFERROR(__xludf.DUMMYFUNCTION("""COMPUTED_VALUE"""),794543)</f>
        <v>794543</v>
      </c>
      <c r="G14" s="16">
        <f>IFERROR(__xludf.DUMMYFUNCTION("""COMPUTED_VALUE"""),45758.6458333333)</f>
        <v>45758.6458333333</v>
      </c>
      <c r="H14" s="17">
        <f>IFERROR(__xludf.DUMMYFUNCTION("""COMPUTED_VALUE"""),5625)</f>
        <v>5625</v>
      </c>
      <c r="I14" s="16">
        <f>IFERROR(__xludf.DUMMYFUNCTION("""COMPUTED_VALUE"""),45758.6458333333)</f>
        <v>45758.6458333333</v>
      </c>
      <c r="J14" s="17">
        <f>IFERROR(__xludf.DUMMYFUNCTION("""COMPUTED_VALUE"""),5386.15)</f>
        <v>5386.15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IFERROR(__xludf.DUMMYFUNCTION("""COMPUTED_VALUE"""),5734.5)</f>
        <v>5734.5</v>
      </c>
      <c r="C15" s="16">
        <f>IFERROR(__xludf.DUMMYFUNCTION("""COMPUTED_VALUE"""),45762.6458333333)</f>
        <v>45762.6458333333</v>
      </c>
      <c r="D15" s="17">
        <f>IFERROR(__xludf.DUMMYFUNCTION("""COMPUTED_VALUE"""),5638.5)</f>
        <v>5638.5</v>
      </c>
      <c r="E15" s="16">
        <f>IFERROR(__xludf.DUMMYFUNCTION("""COMPUTED_VALUE"""),45762.6458333333)</f>
        <v>45762.6458333333</v>
      </c>
      <c r="F15" s="17">
        <f>IFERROR(__xludf.DUMMYFUNCTION("""COMPUTED_VALUE"""),586197)</f>
        <v>586197</v>
      </c>
      <c r="G15" s="16">
        <f>IFERROR(__xludf.DUMMYFUNCTION("""COMPUTED_VALUE"""),45762.6458333333)</f>
        <v>45762.6458333333</v>
      </c>
      <c r="H15" s="17">
        <f>IFERROR(__xludf.DUMMYFUNCTION("""COMPUTED_VALUE"""),5767.5)</f>
        <v>5767.5</v>
      </c>
      <c r="I15" s="16">
        <f>IFERROR(__xludf.DUMMYFUNCTION("""COMPUTED_VALUE"""),45762.6458333333)</f>
        <v>45762.6458333333</v>
      </c>
      <c r="J15" s="17">
        <f>IFERROR(__xludf.DUMMYFUNCTION("""COMPUTED_VALUE"""),5605)</f>
        <v>5605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IFERROR(__xludf.DUMMYFUNCTION("""COMPUTED_VALUE"""),5754)</f>
        <v>5754</v>
      </c>
      <c r="C16" s="16">
        <f>IFERROR(__xludf.DUMMYFUNCTION("""COMPUTED_VALUE"""),45763.6458333333)</f>
        <v>45763.6458333333</v>
      </c>
      <c r="D16" s="17">
        <f>IFERROR(__xludf.DUMMYFUNCTION("""COMPUTED_VALUE"""),5715)</f>
        <v>5715</v>
      </c>
      <c r="E16" s="16">
        <f>IFERROR(__xludf.DUMMYFUNCTION("""COMPUTED_VALUE"""),45763.6458333333)</f>
        <v>45763.6458333333</v>
      </c>
      <c r="F16" s="17">
        <f>IFERROR(__xludf.DUMMYFUNCTION("""COMPUTED_VALUE"""),280947)</f>
        <v>280947</v>
      </c>
      <c r="G16" s="16">
        <f>IFERROR(__xludf.DUMMYFUNCTION("""COMPUTED_VALUE"""),45763.6458333333)</f>
        <v>45763.6458333333</v>
      </c>
      <c r="H16" s="17">
        <f>IFERROR(__xludf.DUMMYFUNCTION("""COMPUTED_VALUE"""),5805.5)</f>
        <v>5805.5</v>
      </c>
      <c r="I16" s="16">
        <f>IFERROR(__xludf.DUMMYFUNCTION("""COMPUTED_VALUE"""),45763.6458333333)</f>
        <v>45763.6458333333</v>
      </c>
      <c r="J16" s="17">
        <f>IFERROR(__xludf.DUMMYFUNCTION("""COMPUTED_VALUE"""),5685)</f>
        <v>5685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IFERROR(__xludf.DUMMYFUNCTION("""COMPUTED_VALUE"""),5640)</f>
        <v>5640</v>
      </c>
      <c r="C17" s="16">
        <f>IFERROR(__xludf.DUMMYFUNCTION("""COMPUTED_VALUE"""),45764.6458333333)</f>
        <v>45764.6458333333</v>
      </c>
      <c r="D17" s="17">
        <f>IFERROR(__xludf.DUMMYFUNCTION("""COMPUTED_VALUE"""),5750)</f>
        <v>5750</v>
      </c>
      <c r="E17" s="16">
        <f>IFERROR(__xludf.DUMMYFUNCTION("""COMPUTED_VALUE"""),45764.6458333333)</f>
        <v>45764.6458333333</v>
      </c>
      <c r="F17" s="17">
        <f>IFERROR(__xludf.DUMMYFUNCTION("""COMPUTED_VALUE"""),531948)</f>
        <v>531948</v>
      </c>
      <c r="G17" s="16">
        <f>IFERROR(__xludf.DUMMYFUNCTION("""COMPUTED_VALUE"""),45764.6458333333)</f>
        <v>45764.6458333333</v>
      </c>
      <c r="H17" s="17">
        <f>IFERROR(__xludf.DUMMYFUNCTION("""COMPUTED_VALUE"""),5798)</f>
        <v>5798</v>
      </c>
      <c r="I17" s="16">
        <f>IFERROR(__xludf.DUMMYFUNCTION("""COMPUTED_VALUE"""),45764.6458333333)</f>
        <v>45764.6458333333</v>
      </c>
      <c r="J17" s="17">
        <f>IFERROR(__xludf.DUMMYFUNCTION("""COMPUTED_VALUE"""),5596)</f>
        <v>5596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IFERROR(__xludf.DUMMYFUNCTION("""COMPUTED_VALUE"""),5891.5)</f>
        <v>5891.5</v>
      </c>
      <c r="C18" s="16">
        <f>IFERROR(__xludf.DUMMYFUNCTION("""COMPUTED_VALUE"""),45768.6458333333)</f>
        <v>45768.6458333333</v>
      </c>
      <c r="D18" s="17">
        <f>IFERROR(__xludf.DUMMYFUNCTION("""COMPUTED_VALUE"""),5850)</f>
        <v>5850</v>
      </c>
      <c r="E18" s="16">
        <f>IFERROR(__xludf.DUMMYFUNCTION("""COMPUTED_VALUE"""),45768.6458333333)</f>
        <v>45768.6458333333</v>
      </c>
      <c r="F18" s="17">
        <f>IFERROR(__xludf.DUMMYFUNCTION("""COMPUTED_VALUE"""),717346)</f>
        <v>717346</v>
      </c>
      <c r="G18" s="16">
        <f>IFERROR(__xludf.DUMMYFUNCTION("""COMPUTED_VALUE"""),45768.6458333333)</f>
        <v>45768.6458333333</v>
      </c>
      <c r="H18" s="17">
        <f>IFERROR(__xludf.DUMMYFUNCTION("""COMPUTED_VALUE"""),5920)</f>
        <v>5920</v>
      </c>
      <c r="I18" s="16">
        <f>IFERROR(__xludf.DUMMYFUNCTION("""COMPUTED_VALUE"""),45768.6458333333)</f>
        <v>45768.6458333333</v>
      </c>
      <c r="J18" s="17">
        <f>IFERROR(__xludf.DUMMYFUNCTION("""COMPUTED_VALUE"""),5799)</f>
        <v>5799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IFERROR(__xludf.DUMMYFUNCTION("""COMPUTED_VALUE"""),5911.5)</f>
        <v>5911.5</v>
      </c>
      <c r="C19" s="16">
        <f>IFERROR(__xludf.DUMMYFUNCTION("""COMPUTED_VALUE"""),45769.6458333333)</f>
        <v>45769.6458333333</v>
      </c>
      <c r="D19" s="17">
        <f>IFERROR(__xludf.DUMMYFUNCTION("""COMPUTED_VALUE"""),5884.5)</f>
        <v>5884.5</v>
      </c>
      <c r="E19" s="16">
        <f>IFERROR(__xludf.DUMMYFUNCTION("""COMPUTED_VALUE"""),45769.6458333333)</f>
        <v>45769.6458333333</v>
      </c>
      <c r="F19" s="17">
        <f>IFERROR(__xludf.DUMMYFUNCTION("""COMPUTED_VALUE"""),666774)</f>
        <v>666774</v>
      </c>
      <c r="G19" s="16">
        <f>IFERROR(__xludf.DUMMYFUNCTION("""COMPUTED_VALUE"""),45769.6458333333)</f>
        <v>45769.6458333333</v>
      </c>
      <c r="H19" s="17">
        <f>IFERROR(__xludf.DUMMYFUNCTION("""COMPUTED_VALUE"""),6018.5)</f>
        <v>6018.5</v>
      </c>
      <c r="I19" s="16">
        <f>IFERROR(__xludf.DUMMYFUNCTION("""COMPUTED_VALUE"""),45769.6458333333)</f>
        <v>45769.6458333333</v>
      </c>
      <c r="J19" s="17">
        <f>IFERROR(__xludf.DUMMYFUNCTION("""COMPUTED_VALUE"""),5823)</f>
        <v>5823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IFERROR(__xludf.DUMMYFUNCTION("""COMPUTED_VALUE"""),5924.5)</f>
        <v>5924.5</v>
      </c>
      <c r="C20" s="16">
        <f>IFERROR(__xludf.DUMMYFUNCTION("""COMPUTED_VALUE"""),45770.6458333333)</f>
        <v>45770.6458333333</v>
      </c>
      <c r="D20" s="17">
        <f>IFERROR(__xludf.DUMMYFUNCTION("""COMPUTED_VALUE"""),5927)</f>
        <v>5927</v>
      </c>
      <c r="E20" s="16">
        <f>IFERROR(__xludf.DUMMYFUNCTION("""COMPUTED_VALUE"""),45770.6458333333)</f>
        <v>45770.6458333333</v>
      </c>
      <c r="F20" s="17">
        <f>IFERROR(__xludf.DUMMYFUNCTION("""COMPUTED_VALUE"""),637067)</f>
        <v>637067</v>
      </c>
      <c r="G20" s="16">
        <f>IFERROR(__xludf.DUMMYFUNCTION("""COMPUTED_VALUE"""),45770.6458333333)</f>
        <v>45770.6458333333</v>
      </c>
      <c r="H20" s="17">
        <f>IFERROR(__xludf.DUMMYFUNCTION("""COMPUTED_VALUE"""),5975)</f>
        <v>5975</v>
      </c>
      <c r="I20" s="16">
        <f>IFERROR(__xludf.DUMMYFUNCTION("""COMPUTED_VALUE"""),45770.6458333333)</f>
        <v>45770.6458333333</v>
      </c>
      <c r="J20" s="17">
        <f>IFERROR(__xludf.DUMMYFUNCTION("""COMPUTED_VALUE"""),5891.5)</f>
        <v>5891.5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IFERROR(__xludf.DUMMYFUNCTION("""COMPUTED_VALUE"""),6215.5)</f>
        <v>6215.5</v>
      </c>
      <c r="C21" s="16">
        <f>IFERROR(__xludf.DUMMYFUNCTION("""COMPUTED_VALUE"""),45771.6458333333)</f>
        <v>45771.6458333333</v>
      </c>
      <c r="D21" s="17">
        <f>IFERROR(__xludf.DUMMYFUNCTION("""COMPUTED_VALUE"""),5982.5)</f>
        <v>5982.5</v>
      </c>
      <c r="E21" s="16">
        <f>IFERROR(__xludf.DUMMYFUNCTION("""COMPUTED_VALUE"""),45771.6458333333)</f>
        <v>45771.6458333333</v>
      </c>
      <c r="F21" s="17">
        <f>IFERROR(__xludf.DUMMYFUNCTION("""COMPUTED_VALUE"""),2081063)</f>
        <v>2081063</v>
      </c>
      <c r="G21" s="16">
        <f>IFERROR(__xludf.DUMMYFUNCTION("""COMPUTED_VALUE"""),45771.6458333333)</f>
        <v>45771.6458333333</v>
      </c>
      <c r="H21" s="17">
        <f>IFERROR(__xludf.DUMMYFUNCTION("""COMPUTED_VALUE"""),6308.5)</f>
        <v>6308.5</v>
      </c>
      <c r="I21" s="16">
        <f>IFERROR(__xludf.DUMMYFUNCTION("""COMPUTED_VALUE"""),45771.6458333333)</f>
        <v>45771.6458333333</v>
      </c>
      <c r="J21" s="17">
        <f>IFERROR(__xludf.DUMMYFUNCTION("""COMPUTED_VALUE"""),5953.5)</f>
        <v>5953.5</v>
      </c>
      <c r="K21" s="3">
        <f t="shared" si="2"/>
        <v>6215.5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IFERROR(__xludf.DUMMYFUNCTION("""COMPUTED_VALUE"""),6012.5)</f>
        <v>6012.5</v>
      </c>
      <c r="C22" s="16">
        <f>IFERROR(__xludf.DUMMYFUNCTION("""COMPUTED_VALUE"""),45772.6458333333)</f>
        <v>45772.6458333333</v>
      </c>
      <c r="D22" s="17">
        <f>IFERROR(__xludf.DUMMYFUNCTION("""COMPUTED_VALUE"""),6240)</f>
        <v>6240</v>
      </c>
      <c r="E22" s="16">
        <f>IFERROR(__xludf.DUMMYFUNCTION("""COMPUTED_VALUE"""),45772.6458333333)</f>
        <v>45772.6458333333</v>
      </c>
      <c r="F22" s="17">
        <f>IFERROR(__xludf.DUMMYFUNCTION("""COMPUTED_VALUE"""),964571)</f>
        <v>964571</v>
      </c>
      <c r="G22" s="16">
        <f>IFERROR(__xludf.DUMMYFUNCTION("""COMPUTED_VALUE"""),45772.6458333333)</f>
        <v>45772.6458333333</v>
      </c>
      <c r="H22" s="17">
        <f>IFERROR(__xludf.DUMMYFUNCTION("""COMPUTED_VALUE"""),6285)</f>
        <v>6285</v>
      </c>
      <c r="I22" s="16">
        <f>IFERROR(__xludf.DUMMYFUNCTION("""COMPUTED_VALUE"""),45772.6458333333)</f>
        <v>45772.6458333333</v>
      </c>
      <c r="J22" s="17">
        <f>IFERROR(__xludf.DUMMYFUNCTION("""COMPUTED_VALUE"""),5964.5)</f>
        <v>5964.5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IFERROR(__xludf.DUMMYFUNCTION("""COMPUTED_VALUE"""),6026.5)</f>
        <v>6026.5</v>
      </c>
      <c r="C23" s="16">
        <f>IFERROR(__xludf.DUMMYFUNCTION("""COMPUTED_VALUE"""),45775.6458333333)</f>
        <v>45775.6458333333</v>
      </c>
      <c r="D23" s="17">
        <f>IFERROR(__xludf.DUMMYFUNCTION("""COMPUTED_VALUE"""),6015)</f>
        <v>6015</v>
      </c>
      <c r="E23" s="16">
        <f>IFERROR(__xludf.DUMMYFUNCTION("""COMPUTED_VALUE"""),45775.6458333333)</f>
        <v>45775.6458333333</v>
      </c>
      <c r="F23" s="17">
        <f>IFERROR(__xludf.DUMMYFUNCTION("""COMPUTED_VALUE"""),317230)</f>
        <v>317230</v>
      </c>
      <c r="G23" s="16">
        <f>IFERROR(__xludf.DUMMYFUNCTION("""COMPUTED_VALUE"""),45775.6458333333)</f>
        <v>45775.6458333333</v>
      </c>
      <c r="H23" s="17">
        <f>IFERROR(__xludf.DUMMYFUNCTION("""COMPUTED_VALUE"""),6125)</f>
        <v>6125</v>
      </c>
      <c r="I23" s="16">
        <f>IFERROR(__xludf.DUMMYFUNCTION("""COMPUTED_VALUE"""),45775.6458333333)</f>
        <v>45775.6458333333</v>
      </c>
      <c r="J23" s="17">
        <f>IFERROR(__xludf.DUMMYFUNCTION("""COMPUTED_VALUE"""),5992)</f>
        <v>5992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IFERROR(__xludf.DUMMYFUNCTION("""COMPUTED_VALUE"""),6108)</f>
        <v>6108</v>
      </c>
      <c r="C24" s="16">
        <f>IFERROR(__xludf.DUMMYFUNCTION("""COMPUTED_VALUE"""),45776.6458333333)</f>
        <v>45776.6458333333</v>
      </c>
      <c r="D24" s="17">
        <f>IFERROR(__xludf.DUMMYFUNCTION("""COMPUTED_VALUE"""),6055)</f>
        <v>6055</v>
      </c>
      <c r="E24" s="16">
        <f>IFERROR(__xludf.DUMMYFUNCTION("""COMPUTED_VALUE"""),45776.6458333333)</f>
        <v>45776.6458333333</v>
      </c>
      <c r="F24" s="17">
        <f>IFERROR(__xludf.DUMMYFUNCTION("""COMPUTED_VALUE"""),640125)</f>
        <v>640125</v>
      </c>
      <c r="G24" s="16">
        <f>IFERROR(__xludf.DUMMYFUNCTION("""COMPUTED_VALUE"""),45776.6458333333)</f>
        <v>45776.6458333333</v>
      </c>
      <c r="H24" s="17">
        <f>IFERROR(__xludf.DUMMYFUNCTION("""COMPUTED_VALUE"""),6130)</f>
        <v>6130</v>
      </c>
      <c r="I24" s="16">
        <f>IFERROR(__xludf.DUMMYFUNCTION("""COMPUTED_VALUE"""),45776.6458333333)</f>
        <v>45776.6458333333</v>
      </c>
      <c r="J24" s="17">
        <f>IFERROR(__xludf.DUMMYFUNCTION("""COMPUTED_VALUE"""),5916)</f>
        <v>5916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IFERROR(__xludf.DUMMYFUNCTION("""COMPUTED_VALUE"""),6087)</f>
        <v>6087</v>
      </c>
      <c r="C25" s="16">
        <f>IFERROR(__xludf.DUMMYFUNCTION("""COMPUTED_VALUE"""),45777.6458333333)</f>
        <v>45777.6458333333</v>
      </c>
      <c r="D25" s="17">
        <f>IFERROR(__xludf.DUMMYFUNCTION("""COMPUTED_VALUE"""),6115.5)</f>
        <v>6115.5</v>
      </c>
      <c r="E25" s="16">
        <f>IFERROR(__xludf.DUMMYFUNCTION("""COMPUTED_VALUE"""),45777.6458333333)</f>
        <v>45777.6458333333</v>
      </c>
      <c r="F25" s="17">
        <f>IFERROR(__xludf.DUMMYFUNCTION("""COMPUTED_VALUE"""),489551)</f>
        <v>489551</v>
      </c>
      <c r="G25" s="16">
        <f>IFERROR(__xludf.DUMMYFUNCTION("""COMPUTED_VALUE"""),45777.6458333333)</f>
        <v>45777.6458333333</v>
      </c>
      <c r="H25" s="17">
        <f>IFERROR(__xludf.DUMMYFUNCTION("""COMPUTED_VALUE"""),6136)</f>
        <v>6136</v>
      </c>
      <c r="I25" s="16">
        <f>IFERROR(__xludf.DUMMYFUNCTION("""COMPUTED_VALUE"""),45777.6458333333)</f>
        <v>45777.6458333333</v>
      </c>
      <c r="J25" s="17">
        <f>IFERROR(__xludf.DUMMYFUNCTION("""COMPUTED_VALUE"""),6015.5)</f>
        <v>6015.5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IFERROR(__xludf.DUMMYFUNCTION("""COMPUTED_VALUE"""),6104)</f>
        <v>6104</v>
      </c>
      <c r="C26" s="16">
        <f>IFERROR(__xludf.DUMMYFUNCTION("""COMPUTED_VALUE"""),45779.6458333333)</f>
        <v>45779.6458333333</v>
      </c>
      <c r="D26" s="17">
        <f>IFERROR(__xludf.DUMMYFUNCTION("""COMPUTED_VALUE"""),6080)</f>
        <v>6080</v>
      </c>
      <c r="E26" s="16">
        <f>IFERROR(__xludf.DUMMYFUNCTION("""COMPUTED_VALUE"""),45779.6458333333)</f>
        <v>45779.6458333333</v>
      </c>
      <c r="F26" s="17">
        <f>IFERROR(__xludf.DUMMYFUNCTION("""COMPUTED_VALUE"""),957962)</f>
        <v>957962</v>
      </c>
      <c r="G26" s="16">
        <f>IFERROR(__xludf.DUMMYFUNCTION("""COMPUTED_VALUE"""),45779.6458333333)</f>
        <v>45779.6458333333</v>
      </c>
      <c r="H26" s="17">
        <f>IFERROR(__xludf.DUMMYFUNCTION("""COMPUTED_VALUE"""),6153)</f>
        <v>6153</v>
      </c>
      <c r="I26" s="16">
        <f>IFERROR(__xludf.DUMMYFUNCTION("""COMPUTED_VALUE"""),45779.6458333333)</f>
        <v>45779.6458333333</v>
      </c>
      <c r="J26" s="17">
        <f>IFERROR(__xludf.DUMMYFUNCTION("""COMPUTED_VALUE"""),6045.5)</f>
        <v>6045.5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IFERROR(__xludf.DUMMYFUNCTION("""COMPUTED_VALUE"""),6124.5)</f>
        <v>6124.5</v>
      </c>
      <c r="C27" s="16">
        <f>IFERROR(__xludf.DUMMYFUNCTION("""COMPUTED_VALUE"""),45782.6458333333)</f>
        <v>45782.6458333333</v>
      </c>
      <c r="D27" s="17">
        <f>IFERROR(__xludf.DUMMYFUNCTION("""COMPUTED_VALUE"""),6205.5)</f>
        <v>6205.5</v>
      </c>
      <c r="E27" s="16">
        <f>IFERROR(__xludf.DUMMYFUNCTION("""COMPUTED_VALUE"""),45782.6458333333)</f>
        <v>45782.6458333333</v>
      </c>
      <c r="F27" s="17">
        <f>IFERROR(__xludf.DUMMYFUNCTION("""COMPUTED_VALUE"""),399200)</f>
        <v>399200</v>
      </c>
      <c r="G27" s="16">
        <f>IFERROR(__xludf.DUMMYFUNCTION("""COMPUTED_VALUE"""),45782.6458333333)</f>
        <v>45782.6458333333</v>
      </c>
      <c r="H27" s="17">
        <f>IFERROR(__xludf.DUMMYFUNCTION("""COMPUTED_VALUE"""),6208)</f>
        <v>6208</v>
      </c>
      <c r="I27" s="16">
        <f>IFERROR(__xludf.DUMMYFUNCTION("""COMPUTED_VALUE"""),45782.6458333333)</f>
        <v>45782.6458333333</v>
      </c>
      <c r="J27" s="17">
        <f>IFERROR(__xludf.DUMMYFUNCTION("""COMPUTED_VALUE"""),6096)</f>
        <v>6096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IFERROR(__xludf.DUMMYFUNCTION("""COMPUTED_VALUE"""),6161)</f>
        <v>6161</v>
      </c>
      <c r="C28" s="16">
        <f>IFERROR(__xludf.DUMMYFUNCTION("""COMPUTED_VALUE"""),45783.6458333333)</f>
        <v>45783.6458333333</v>
      </c>
      <c r="D28" s="17">
        <f>IFERROR(__xludf.DUMMYFUNCTION("""COMPUTED_VALUE"""),6110)</f>
        <v>6110</v>
      </c>
      <c r="E28" s="16">
        <f>IFERROR(__xludf.DUMMYFUNCTION("""COMPUTED_VALUE"""),45783.6458333333)</f>
        <v>45783.6458333333</v>
      </c>
      <c r="F28" s="17">
        <f>IFERROR(__xludf.DUMMYFUNCTION("""COMPUTED_VALUE"""),344379)</f>
        <v>344379</v>
      </c>
      <c r="G28" s="16">
        <f>IFERROR(__xludf.DUMMYFUNCTION("""COMPUTED_VALUE"""),45783.6458333333)</f>
        <v>45783.6458333333</v>
      </c>
      <c r="H28" s="17">
        <f>IFERROR(__xludf.DUMMYFUNCTION("""COMPUTED_VALUE"""),6178.5)</f>
        <v>6178.5</v>
      </c>
      <c r="I28" s="16">
        <f>IFERROR(__xludf.DUMMYFUNCTION("""COMPUTED_VALUE"""),45783.6458333333)</f>
        <v>45783.6458333333</v>
      </c>
      <c r="J28" s="17">
        <f>IFERROR(__xludf.DUMMYFUNCTION("""COMPUTED_VALUE"""),5970)</f>
        <v>5970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IFERROR(__xludf.DUMMYFUNCTION("""COMPUTED_VALUE"""),6148)</f>
        <v>6148</v>
      </c>
      <c r="C29" s="16">
        <f>IFERROR(__xludf.DUMMYFUNCTION("""COMPUTED_VALUE"""),45784.6458333333)</f>
        <v>45784.6458333333</v>
      </c>
      <c r="D29" s="17">
        <f>IFERROR(__xludf.DUMMYFUNCTION("""COMPUTED_VALUE"""),6085)</f>
        <v>6085</v>
      </c>
      <c r="E29" s="16">
        <f>IFERROR(__xludf.DUMMYFUNCTION("""COMPUTED_VALUE"""),45784.6458333333)</f>
        <v>45784.6458333333</v>
      </c>
      <c r="F29" s="17">
        <f>IFERROR(__xludf.DUMMYFUNCTION("""COMPUTED_VALUE"""),346799)</f>
        <v>346799</v>
      </c>
      <c r="G29" s="16">
        <f>IFERROR(__xludf.DUMMYFUNCTION("""COMPUTED_VALUE"""),45784.6458333333)</f>
        <v>45784.6458333333</v>
      </c>
      <c r="H29" s="17">
        <f>IFERROR(__xludf.DUMMYFUNCTION("""COMPUTED_VALUE"""),6170)</f>
        <v>6170</v>
      </c>
      <c r="I29" s="16">
        <f>IFERROR(__xludf.DUMMYFUNCTION("""COMPUTED_VALUE"""),45784.6458333333)</f>
        <v>45784.6458333333</v>
      </c>
      <c r="J29" s="17">
        <f>IFERROR(__xludf.DUMMYFUNCTION("""COMPUTED_VALUE"""),6059.5)</f>
        <v>6059.5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IFERROR(__xludf.DUMMYFUNCTION("""COMPUTED_VALUE"""),5960.5)</f>
        <v>5960.5</v>
      </c>
      <c r="C30" s="16">
        <f>IFERROR(__xludf.DUMMYFUNCTION("""COMPUTED_VALUE"""),45785.6458333333)</f>
        <v>45785.6458333333</v>
      </c>
      <c r="D30" s="17">
        <f>IFERROR(__xludf.DUMMYFUNCTION("""COMPUTED_VALUE"""),6172.5)</f>
        <v>6172.5</v>
      </c>
      <c r="E30" s="16">
        <f>IFERROR(__xludf.DUMMYFUNCTION("""COMPUTED_VALUE"""),45785.6458333333)</f>
        <v>45785.6458333333</v>
      </c>
      <c r="F30" s="17">
        <f>IFERROR(__xludf.DUMMYFUNCTION("""COMPUTED_VALUE"""),364862)</f>
        <v>364862</v>
      </c>
      <c r="G30" s="16">
        <f>IFERROR(__xludf.DUMMYFUNCTION("""COMPUTED_VALUE"""),45785.6458333333)</f>
        <v>45785.6458333333</v>
      </c>
      <c r="H30" s="17">
        <f>IFERROR(__xludf.DUMMYFUNCTION("""COMPUTED_VALUE"""),6184)</f>
        <v>6184</v>
      </c>
      <c r="I30" s="16">
        <f>IFERROR(__xludf.DUMMYFUNCTION("""COMPUTED_VALUE"""),45785.6458333333)</f>
        <v>45785.6458333333</v>
      </c>
      <c r="J30" s="17">
        <f>IFERROR(__xludf.DUMMYFUNCTION("""COMPUTED_VALUE"""),5920)</f>
        <v>5920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IFERROR(__xludf.DUMMYFUNCTION("""COMPUTED_VALUE"""),6025.5)</f>
        <v>6025.5</v>
      </c>
      <c r="C31" s="16">
        <f>IFERROR(__xludf.DUMMYFUNCTION("""COMPUTED_VALUE"""),45786.6458333333)</f>
        <v>45786.6458333333</v>
      </c>
      <c r="D31" s="17">
        <f>IFERROR(__xludf.DUMMYFUNCTION("""COMPUTED_VALUE"""),5841.5)</f>
        <v>5841.5</v>
      </c>
      <c r="E31" s="16">
        <f>IFERROR(__xludf.DUMMYFUNCTION("""COMPUTED_VALUE"""),45786.6458333333)</f>
        <v>45786.6458333333</v>
      </c>
      <c r="F31" s="17">
        <f>IFERROR(__xludf.DUMMYFUNCTION("""COMPUTED_VALUE"""),449984)</f>
        <v>449984</v>
      </c>
      <c r="G31" s="16">
        <f>IFERROR(__xludf.DUMMYFUNCTION("""COMPUTED_VALUE"""),45786.6458333333)</f>
        <v>45786.6458333333</v>
      </c>
      <c r="H31" s="17">
        <f>IFERROR(__xludf.DUMMYFUNCTION("""COMPUTED_VALUE"""),6055.5)</f>
        <v>6055.5</v>
      </c>
      <c r="I31" s="16">
        <f>IFERROR(__xludf.DUMMYFUNCTION("""COMPUTED_VALUE"""),45786.6458333333)</f>
        <v>45786.6458333333</v>
      </c>
      <c r="J31" s="17">
        <f>IFERROR(__xludf.DUMMYFUNCTION("""COMPUTED_VALUE"""),5841.5)</f>
        <v>5841.5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IFERROR(__xludf.DUMMYFUNCTION("""COMPUTED_VALUE"""),5942)</f>
        <v>5942</v>
      </c>
      <c r="C32" s="16">
        <f>IFERROR(__xludf.DUMMYFUNCTION("""COMPUTED_VALUE"""),45789.6458333333)</f>
        <v>45789.6458333333</v>
      </c>
      <c r="D32" s="17">
        <f>IFERROR(__xludf.DUMMYFUNCTION("""COMPUTED_VALUE"""),6035)</f>
        <v>6035</v>
      </c>
      <c r="E32" s="16">
        <f>IFERROR(__xludf.DUMMYFUNCTION("""COMPUTED_VALUE"""),45789.6458333333)</f>
        <v>45789.6458333333</v>
      </c>
      <c r="F32" s="17">
        <f>IFERROR(__xludf.DUMMYFUNCTION("""COMPUTED_VALUE"""),705516)</f>
        <v>705516</v>
      </c>
      <c r="G32" s="16">
        <f>IFERROR(__xludf.DUMMYFUNCTION("""COMPUTED_VALUE"""),45789.6458333333)</f>
        <v>45789.6458333333</v>
      </c>
      <c r="H32" s="17">
        <f>IFERROR(__xludf.DUMMYFUNCTION("""COMPUTED_VALUE"""),6044)</f>
        <v>6044</v>
      </c>
      <c r="I32" s="16">
        <f>IFERROR(__xludf.DUMMYFUNCTION("""COMPUTED_VALUE"""),45789.6458333333)</f>
        <v>45789.6458333333</v>
      </c>
      <c r="J32" s="17">
        <f>IFERROR(__xludf.DUMMYFUNCTION("""COMPUTED_VALUE"""),5878.5)</f>
        <v>5878.5</v>
      </c>
      <c r="K32" s="3">
        <f t="shared" si="2"/>
        <v>0</v>
      </c>
      <c r="L32" s="3">
        <f t="shared" si="3"/>
        <v>5942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IFERROR(__xludf.DUMMYFUNCTION("""COMPUTED_VALUE"""),6076.5)</f>
        <v>6076.5</v>
      </c>
      <c r="C33" s="16">
        <f>IFERROR(__xludf.DUMMYFUNCTION("""COMPUTED_VALUE"""),45790.6458333333)</f>
        <v>45790.6458333333</v>
      </c>
      <c r="D33" s="17">
        <f>IFERROR(__xludf.DUMMYFUNCTION("""COMPUTED_VALUE"""),5955.5)</f>
        <v>5955.5</v>
      </c>
      <c r="E33" s="16">
        <f>IFERROR(__xludf.DUMMYFUNCTION("""COMPUTED_VALUE"""),45790.6458333333)</f>
        <v>45790.6458333333</v>
      </c>
      <c r="F33" s="17">
        <f>IFERROR(__xludf.DUMMYFUNCTION("""COMPUTED_VALUE"""),759310)</f>
        <v>759310</v>
      </c>
      <c r="G33" s="16">
        <f>IFERROR(__xludf.DUMMYFUNCTION("""COMPUTED_VALUE"""),45790.6458333333)</f>
        <v>45790.6458333333</v>
      </c>
      <c r="H33" s="17">
        <f>IFERROR(__xludf.DUMMYFUNCTION("""COMPUTED_VALUE"""),6147.5)</f>
        <v>6147.5</v>
      </c>
      <c r="I33" s="16">
        <f>IFERROR(__xludf.DUMMYFUNCTION("""COMPUTED_VALUE"""),45790.6458333333)</f>
        <v>45790.6458333333</v>
      </c>
      <c r="J33" s="17">
        <f>IFERROR(__xludf.DUMMYFUNCTION("""COMPUTED_VALUE"""),5955)</f>
        <v>5955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IFERROR(__xludf.DUMMYFUNCTION("""COMPUTED_VALUE"""),6215.5)</f>
        <v>6215.5</v>
      </c>
      <c r="C34" s="16">
        <f>IFERROR(__xludf.DUMMYFUNCTION("""COMPUTED_VALUE"""),45791.6458333333)</f>
        <v>45791.6458333333</v>
      </c>
      <c r="D34" s="17">
        <f>IFERROR(__xludf.DUMMYFUNCTION("""COMPUTED_VALUE"""),6100)</f>
        <v>6100</v>
      </c>
      <c r="E34" s="16">
        <f>IFERROR(__xludf.DUMMYFUNCTION("""COMPUTED_VALUE"""),45791.6458333333)</f>
        <v>45791.6458333333</v>
      </c>
      <c r="F34" s="17">
        <f>IFERROR(__xludf.DUMMYFUNCTION("""COMPUTED_VALUE"""),576348)</f>
        <v>576348</v>
      </c>
      <c r="G34" s="16">
        <f>IFERROR(__xludf.DUMMYFUNCTION("""COMPUTED_VALUE"""),45791.6458333333)</f>
        <v>45791.6458333333</v>
      </c>
      <c r="H34" s="17">
        <f>IFERROR(__xludf.DUMMYFUNCTION("""COMPUTED_VALUE"""),6282.5)</f>
        <v>6282.5</v>
      </c>
      <c r="I34" s="16">
        <f>IFERROR(__xludf.DUMMYFUNCTION("""COMPUTED_VALUE"""),45791.6458333333)</f>
        <v>45791.6458333333</v>
      </c>
      <c r="J34" s="17">
        <f>IFERROR(__xludf.DUMMYFUNCTION("""COMPUTED_VALUE"""),6055.5)</f>
        <v>6055.5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IFERROR(__xludf.DUMMYFUNCTION("""COMPUTED_VALUE"""),6214.5)</f>
        <v>6214.5</v>
      </c>
      <c r="C35" s="16">
        <f>IFERROR(__xludf.DUMMYFUNCTION("""COMPUTED_VALUE"""),45792.6458333333)</f>
        <v>45792.6458333333</v>
      </c>
      <c r="D35" s="17">
        <f>IFERROR(__xludf.DUMMYFUNCTION("""COMPUTED_VALUE"""),6198.5)</f>
        <v>6198.5</v>
      </c>
      <c r="E35" s="16">
        <f>IFERROR(__xludf.DUMMYFUNCTION("""COMPUTED_VALUE"""),45792.6458333333)</f>
        <v>45792.6458333333</v>
      </c>
      <c r="F35" s="17">
        <f>IFERROR(__xludf.DUMMYFUNCTION("""COMPUTED_VALUE"""),462230)</f>
        <v>462230</v>
      </c>
      <c r="G35" s="16">
        <f>IFERROR(__xludf.DUMMYFUNCTION("""COMPUTED_VALUE"""),45792.6458333333)</f>
        <v>45792.6458333333</v>
      </c>
      <c r="H35" s="17">
        <f>IFERROR(__xludf.DUMMYFUNCTION("""COMPUTED_VALUE"""),6259.5)</f>
        <v>6259.5</v>
      </c>
      <c r="I35" s="16">
        <f>IFERROR(__xludf.DUMMYFUNCTION("""COMPUTED_VALUE"""),45792.6458333333)</f>
        <v>45792.6458333333</v>
      </c>
      <c r="J35" s="17">
        <f>IFERROR(__xludf.DUMMYFUNCTION("""COMPUTED_VALUE"""),6163.5)</f>
        <v>6163.5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IFERROR(__xludf.DUMMYFUNCTION("""COMPUTED_VALUE"""),6279.5)</f>
        <v>6279.5</v>
      </c>
      <c r="C36" s="16">
        <f>IFERROR(__xludf.DUMMYFUNCTION("""COMPUTED_VALUE"""),45793.6458333333)</f>
        <v>45793.6458333333</v>
      </c>
      <c r="D36" s="17">
        <f>IFERROR(__xludf.DUMMYFUNCTION("""COMPUTED_VALUE"""),6239)</f>
        <v>6239</v>
      </c>
      <c r="E36" s="16">
        <f>IFERROR(__xludf.DUMMYFUNCTION("""COMPUTED_VALUE"""),45793.6458333333)</f>
        <v>45793.6458333333</v>
      </c>
      <c r="F36" s="17">
        <f>IFERROR(__xludf.DUMMYFUNCTION("""COMPUTED_VALUE"""),556329)</f>
        <v>556329</v>
      </c>
      <c r="G36" s="16">
        <f>IFERROR(__xludf.DUMMYFUNCTION("""COMPUTED_VALUE"""),45793.6458333333)</f>
        <v>45793.6458333333</v>
      </c>
      <c r="H36" s="17">
        <f>IFERROR(__xludf.DUMMYFUNCTION("""COMPUTED_VALUE"""),6323)</f>
        <v>6323</v>
      </c>
      <c r="I36" s="16">
        <f>IFERROR(__xludf.DUMMYFUNCTION("""COMPUTED_VALUE"""),45793.6458333333)</f>
        <v>45793.6458333333</v>
      </c>
      <c r="J36" s="17">
        <f>IFERROR(__xludf.DUMMYFUNCTION("""COMPUTED_VALUE"""),6162)</f>
        <v>6162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IFERROR(__xludf.DUMMYFUNCTION("""COMPUTED_VALUE"""),6580)</f>
        <v>6580</v>
      </c>
      <c r="C37" s="16">
        <f>IFERROR(__xludf.DUMMYFUNCTION("""COMPUTED_VALUE"""),45796.6458333333)</f>
        <v>45796.6458333333</v>
      </c>
      <c r="D37" s="17">
        <f>IFERROR(__xludf.DUMMYFUNCTION("""COMPUTED_VALUE"""),6400)</f>
        <v>6400</v>
      </c>
      <c r="E37" s="16">
        <f>IFERROR(__xludf.DUMMYFUNCTION("""COMPUTED_VALUE"""),45796.6458333333)</f>
        <v>45796.6458333333</v>
      </c>
      <c r="F37" s="17">
        <f>IFERROR(__xludf.DUMMYFUNCTION("""COMPUTED_VALUE"""),2712326)</f>
        <v>2712326</v>
      </c>
      <c r="G37" s="16">
        <f>IFERROR(__xludf.DUMMYFUNCTION("""COMPUTED_VALUE"""),45796.6458333333)</f>
        <v>45796.6458333333</v>
      </c>
      <c r="H37" s="17">
        <f>IFERROR(__xludf.DUMMYFUNCTION("""COMPUTED_VALUE"""),6705)</f>
        <v>6705</v>
      </c>
      <c r="I37" s="16">
        <f>IFERROR(__xludf.DUMMYFUNCTION("""COMPUTED_VALUE"""),45796.6458333333)</f>
        <v>45796.6458333333</v>
      </c>
      <c r="J37" s="17">
        <f>IFERROR(__xludf.DUMMYFUNCTION("""COMPUTED_VALUE"""),6333.5)</f>
        <v>6333.5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IFERROR(__xludf.DUMMYFUNCTION("""COMPUTED_VALUE"""),6452.5)</f>
        <v>6452.5</v>
      </c>
      <c r="C38" s="16">
        <f>IFERROR(__xludf.DUMMYFUNCTION("""COMPUTED_VALUE"""),45797.6458333333)</f>
        <v>45797.6458333333</v>
      </c>
      <c r="D38" s="17">
        <f>IFERROR(__xludf.DUMMYFUNCTION("""COMPUTED_VALUE"""),6580)</f>
        <v>6580</v>
      </c>
      <c r="E38" s="16">
        <f>IFERROR(__xludf.DUMMYFUNCTION("""COMPUTED_VALUE"""),45797.6458333333)</f>
        <v>45797.6458333333</v>
      </c>
      <c r="F38" s="17">
        <f>IFERROR(__xludf.DUMMYFUNCTION("""COMPUTED_VALUE"""),448280)</f>
        <v>448280</v>
      </c>
      <c r="G38" s="16">
        <f>IFERROR(__xludf.DUMMYFUNCTION("""COMPUTED_VALUE"""),45797.6458333333)</f>
        <v>45797.6458333333</v>
      </c>
      <c r="H38" s="17">
        <f>IFERROR(__xludf.DUMMYFUNCTION("""COMPUTED_VALUE"""),6595)</f>
        <v>6595</v>
      </c>
      <c r="I38" s="16">
        <f>IFERROR(__xludf.DUMMYFUNCTION("""COMPUTED_VALUE"""),45797.6458333333)</f>
        <v>45797.6458333333</v>
      </c>
      <c r="J38" s="17">
        <f>IFERROR(__xludf.DUMMYFUNCTION("""COMPUTED_VALUE"""),6433)</f>
        <v>6433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IFERROR(__xludf.DUMMYFUNCTION("""COMPUTED_VALUE"""),6552)</f>
        <v>6552</v>
      </c>
      <c r="C39" s="16">
        <f>IFERROR(__xludf.DUMMYFUNCTION("""COMPUTED_VALUE"""),45798.6458333333)</f>
        <v>45798.6458333333</v>
      </c>
      <c r="D39" s="17">
        <f>IFERROR(__xludf.DUMMYFUNCTION("""COMPUTED_VALUE"""),6454)</f>
        <v>6454</v>
      </c>
      <c r="E39" s="16">
        <f>IFERROR(__xludf.DUMMYFUNCTION("""COMPUTED_VALUE"""),45798.6458333333)</f>
        <v>45798.6458333333</v>
      </c>
      <c r="F39" s="17">
        <f>IFERROR(__xludf.DUMMYFUNCTION("""COMPUTED_VALUE"""),510445)</f>
        <v>510445</v>
      </c>
      <c r="G39" s="16">
        <f>IFERROR(__xludf.DUMMYFUNCTION("""COMPUTED_VALUE"""),45798.6458333333)</f>
        <v>45798.6458333333</v>
      </c>
      <c r="H39" s="17">
        <f>IFERROR(__xludf.DUMMYFUNCTION("""COMPUTED_VALUE"""),6596.5)</f>
        <v>6596.5</v>
      </c>
      <c r="I39" s="16">
        <f>IFERROR(__xludf.DUMMYFUNCTION("""COMPUTED_VALUE"""),45798.6458333333)</f>
        <v>45798.6458333333</v>
      </c>
      <c r="J39" s="17">
        <f>IFERROR(__xludf.DUMMYFUNCTION("""COMPUTED_VALUE"""),6454)</f>
        <v>6454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IFERROR(__xludf.DUMMYFUNCTION("""COMPUTED_VALUE"""),6538)</f>
        <v>6538</v>
      </c>
      <c r="C40" s="16">
        <f>IFERROR(__xludf.DUMMYFUNCTION("""COMPUTED_VALUE"""),45799.6458333333)</f>
        <v>45799.6458333333</v>
      </c>
      <c r="D40" s="17">
        <f>IFERROR(__xludf.DUMMYFUNCTION("""COMPUTED_VALUE"""),6540)</f>
        <v>6540</v>
      </c>
      <c r="E40" s="16">
        <f>IFERROR(__xludf.DUMMYFUNCTION("""COMPUTED_VALUE"""),45799.6458333333)</f>
        <v>45799.6458333333</v>
      </c>
      <c r="F40" s="17">
        <f>IFERROR(__xludf.DUMMYFUNCTION("""COMPUTED_VALUE"""),326992)</f>
        <v>326992</v>
      </c>
      <c r="G40" s="16">
        <f>IFERROR(__xludf.DUMMYFUNCTION("""COMPUTED_VALUE"""),45799.6458333333)</f>
        <v>45799.6458333333</v>
      </c>
      <c r="H40" s="17">
        <f>IFERROR(__xludf.DUMMYFUNCTION("""COMPUTED_VALUE"""),6570)</f>
        <v>6570</v>
      </c>
      <c r="I40" s="16">
        <f>IFERROR(__xludf.DUMMYFUNCTION("""COMPUTED_VALUE"""),45799.6458333333)</f>
        <v>45799.6458333333</v>
      </c>
      <c r="J40" s="17">
        <f>IFERROR(__xludf.DUMMYFUNCTION("""COMPUTED_VALUE"""),6458)</f>
        <v>6458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IFERROR(__xludf.DUMMYFUNCTION("""COMPUTED_VALUE"""),6483)</f>
        <v>6483</v>
      </c>
      <c r="C41" s="16">
        <f>IFERROR(__xludf.DUMMYFUNCTION("""COMPUTED_VALUE"""),45800.6458333333)</f>
        <v>45800.6458333333</v>
      </c>
      <c r="D41" s="17">
        <f>IFERROR(__xludf.DUMMYFUNCTION("""COMPUTED_VALUE"""),6560)</f>
        <v>6560</v>
      </c>
      <c r="E41" s="16">
        <f>IFERROR(__xludf.DUMMYFUNCTION("""COMPUTED_VALUE"""),45800.6458333333)</f>
        <v>45800.6458333333</v>
      </c>
      <c r="F41" s="17">
        <f>IFERROR(__xludf.DUMMYFUNCTION("""COMPUTED_VALUE"""),224119)</f>
        <v>224119</v>
      </c>
      <c r="G41" s="16">
        <f>IFERROR(__xludf.DUMMYFUNCTION("""COMPUTED_VALUE"""),45800.6458333333)</f>
        <v>45800.6458333333</v>
      </c>
      <c r="H41" s="17">
        <f>IFERROR(__xludf.DUMMYFUNCTION("""COMPUTED_VALUE"""),6560)</f>
        <v>6560</v>
      </c>
      <c r="I41" s="16">
        <f>IFERROR(__xludf.DUMMYFUNCTION("""COMPUTED_VALUE"""),45800.6458333333)</f>
        <v>45800.6458333333</v>
      </c>
      <c r="J41" s="17">
        <f>IFERROR(__xludf.DUMMYFUNCTION("""COMPUTED_VALUE"""),6457)</f>
        <v>6457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IFERROR(__xludf.DUMMYFUNCTION("""COMPUTED_VALUE"""),6737)</f>
        <v>6737</v>
      </c>
      <c r="C42" s="16">
        <f>IFERROR(__xludf.DUMMYFUNCTION("""COMPUTED_VALUE"""),45803.6458333333)</f>
        <v>45803.6458333333</v>
      </c>
      <c r="D42" s="17">
        <f>IFERROR(__xludf.DUMMYFUNCTION("""COMPUTED_VALUE"""),6640)</f>
        <v>6640</v>
      </c>
      <c r="E42" s="16">
        <f>IFERROR(__xludf.DUMMYFUNCTION("""COMPUTED_VALUE"""),45803.6458333333)</f>
        <v>45803.6458333333</v>
      </c>
      <c r="F42" s="17">
        <f>IFERROR(__xludf.DUMMYFUNCTION("""COMPUTED_VALUE"""),1467231)</f>
        <v>1467231</v>
      </c>
      <c r="G42" s="16">
        <f>IFERROR(__xludf.DUMMYFUNCTION("""COMPUTED_VALUE"""),45803.6458333333)</f>
        <v>45803.6458333333</v>
      </c>
      <c r="H42" s="17">
        <f>IFERROR(__xludf.DUMMYFUNCTION("""COMPUTED_VALUE"""),6764)</f>
        <v>6764</v>
      </c>
      <c r="I42" s="16">
        <f>IFERROR(__xludf.DUMMYFUNCTION("""COMPUTED_VALUE"""),45803.6458333333)</f>
        <v>45803.6458333333</v>
      </c>
      <c r="J42" s="17">
        <f>IFERROR(__xludf.DUMMYFUNCTION("""COMPUTED_VALUE"""),6592.5)</f>
        <v>6592.5</v>
      </c>
      <c r="K42" s="3">
        <f t="shared" si="2"/>
        <v>6737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IFERROR(__xludf.DUMMYFUNCTION("""COMPUTED_VALUE"""),6698)</f>
        <v>6698</v>
      </c>
      <c r="C43" s="16">
        <f>IFERROR(__xludf.DUMMYFUNCTION("""COMPUTED_VALUE"""),45804.6458333333)</f>
        <v>45804.6458333333</v>
      </c>
      <c r="D43" s="17">
        <f>IFERROR(__xludf.DUMMYFUNCTION("""COMPUTED_VALUE"""),6725)</f>
        <v>6725</v>
      </c>
      <c r="E43" s="16">
        <f>IFERROR(__xludf.DUMMYFUNCTION("""COMPUTED_VALUE"""),45804.6458333333)</f>
        <v>45804.6458333333</v>
      </c>
      <c r="F43" s="17">
        <f>IFERROR(__xludf.DUMMYFUNCTION("""COMPUTED_VALUE"""),294304)</f>
        <v>294304</v>
      </c>
      <c r="G43" s="16">
        <f>IFERROR(__xludf.DUMMYFUNCTION("""COMPUTED_VALUE"""),45804.6458333333)</f>
        <v>45804.6458333333</v>
      </c>
      <c r="H43" s="17">
        <f>IFERROR(__xludf.DUMMYFUNCTION("""COMPUTED_VALUE"""),6760.5)</f>
        <v>6760.5</v>
      </c>
      <c r="I43" s="16">
        <f>IFERROR(__xludf.DUMMYFUNCTION("""COMPUTED_VALUE"""),45804.6458333333)</f>
        <v>45804.6458333333</v>
      </c>
      <c r="J43" s="17">
        <f>IFERROR(__xludf.DUMMYFUNCTION("""COMPUTED_VALUE"""),6684)</f>
        <v>6684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IFERROR(__xludf.DUMMYFUNCTION("""COMPUTED_VALUE"""),6636)</f>
        <v>6636</v>
      </c>
      <c r="C44" s="16">
        <f>IFERROR(__xludf.DUMMYFUNCTION("""COMPUTED_VALUE"""),45805.6458333333)</f>
        <v>45805.6458333333</v>
      </c>
      <c r="D44" s="17">
        <f>IFERROR(__xludf.DUMMYFUNCTION("""COMPUTED_VALUE"""),6730)</f>
        <v>6730</v>
      </c>
      <c r="E44" s="16">
        <f>IFERROR(__xludf.DUMMYFUNCTION("""COMPUTED_VALUE"""),45805.6458333333)</f>
        <v>45805.6458333333</v>
      </c>
      <c r="F44" s="17">
        <f>IFERROR(__xludf.DUMMYFUNCTION("""COMPUTED_VALUE"""),312692)</f>
        <v>312692</v>
      </c>
      <c r="G44" s="16">
        <f>IFERROR(__xludf.DUMMYFUNCTION("""COMPUTED_VALUE"""),45805.6458333333)</f>
        <v>45805.6458333333</v>
      </c>
      <c r="H44" s="17">
        <f>IFERROR(__xludf.DUMMYFUNCTION("""COMPUTED_VALUE"""),6750)</f>
        <v>6750</v>
      </c>
      <c r="I44" s="16">
        <f>IFERROR(__xludf.DUMMYFUNCTION("""COMPUTED_VALUE"""),45805.6458333333)</f>
        <v>45805.6458333333</v>
      </c>
      <c r="J44" s="17">
        <f>IFERROR(__xludf.DUMMYFUNCTION("""COMPUTED_VALUE"""),6620)</f>
        <v>6620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IFERROR(__xludf.DUMMYFUNCTION("""COMPUTED_VALUE"""),6631.5)</f>
        <v>6631.5</v>
      </c>
      <c r="C45" s="16">
        <f>IFERROR(__xludf.DUMMYFUNCTION("""COMPUTED_VALUE"""),45806.6458333333)</f>
        <v>45806.6458333333</v>
      </c>
      <c r="D45" s="17">
        <f>IFERROR(__xludf.DUMMYFUNCTION("""COMPUTED_VALUE"""),6645)</f>
        <v>6645</v>
      </c>
      <c r="E45" s="16">
        <f>IFERROR(__xludf.DUMMYFUNCTION("""COMPUTED_VALUE"""),45806.6458333333)</f>
        <v>45806.6458333333</v>
      </c>
      <c r="F45" s="17">
        <f>IFERROR(__xludf.DUMMYFUNCTION("""COMPUTED_VALUE"""),364770)</f>
        <v>364770</v>
      </c>
      <c r="G45" s="16">
        <f>IFERROR(__xludf.DUMMYFUNCTION("""COMPUTED_VALUE"""),45806.6458333333)</f>
        <v>45806.6458333333</v>
      </c>
      <c r="H45" s="17">
        <f>IFERROR(__xludf.DUMMYFUNCTION("""COMPUTED_VALUE"""),6670.5)</f>
        <v>6670.5</v>
      </c>
      <c r="I45" s="16">
        <f>IFERROR(__xludf.DUMMYFUNCTION("""COMPUTED_VALUE"""),45806.6458333333)</f>
        <v>45806.6458333333</v>
      </c>
      <c r="J45" s="17">
        <f>IFERROR(__xludf.DUMMYFUNCTION("""COMPUTED_VALUE"""),6603)</f>
        <v>6603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IFERROR(__xludf.DUMMYFUNCTION("""COMPUTED_VALUE"""),6612)</f>
        <v>6612</v>
      </c>
      <c r="C46" s="16">
        <f>IFERROR(__xludf.DUMMYFUNCTION("""COMPUTED_VALUE"""),45807.6458333333)</f>
        <v>45807.6458333333</v>
      </c>
      <c r="D46" s="17">
        <f>IFERROR(__xludf.DUMMYFUNCTION("""COMPUTED_VALUE"""),6601.5)</f>
        <v>6601.5</v>
      </c>
      <c r="E46" s="16">
        <f>IFERROR(__xludf.DUMMYFUNCTION("""COMPUTED_VALUE"""),45807.6458333333)</f>
        <v>45807.6458333333</v>
      </c>
      <c r="F46" s="17">
        <f>IFERROR(__xludf.DUMMYFUNCTION("""COMPUTED_VALUE"""),786589)</f>
        <v>786589</v>
      </c>
      <c r="G46" s="16">
        <f>IFERROR(__xludf.DUMMYFUNCTION("""COMPUTED_VALUE"""),45807.6458333333)</f>
        <v>45807.6458333333</v>
      </c>
      <c r="H46" s="17">
        <f>IFERROR(__xludf.DUMMYFUNCTION("""COMPUTED_VALUE"""),6667.5)</f>
        <v>6667.5</v>
      </c>
      <c r="I46" s="16">
        <f>IFERROR(__xludf.DUMMYFUNCTION("""COMPUTED_VALUE"""),45807.6458333333)</f>
        <v>45807.6458333333</v>
      </c>
      <c r="J46" s="17">
        <f>IFERROR(__xludf.DUMMYFUNCTION("""COMPUTED_VALUE"""),6541)</f>
        <v>6541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IFERROR(__xludf.DUMMYFUNCTION("""COMPUTED_VALUE"""),6539)</f>
        <v>6539</v>
      </c>
      <c r="C47" s="16">
        <f>IFERROR(__xludf.DUMMYFUNCTION("""COMPUTED_VALUE"""),45810.6458333333)</f>
        <v>45810.6458333333</v>
      </c>
      <c r="D47" s="17">
        <f>IFERROR(__xludf.DUMMYFUNCTION("""COMPUTED_VALUE"""),6614.5)</f>
        <v>6614.5</v>
      </c>
      <c r="E47" s="16">
        <f>IFERROR(__xludf.DUMMYFUNCTION("""COMPUTED_VALUE"""),45810.6458333333)</f>
        <v>45810.6458333333</v>
      </c>
      <c r="F47" s="17">
        <f>IFERROR(__xludf.DUMMYFUNCTION("""COMPUTED_VALUE"""),283232)</f>
        <v>283232</v>
      </c>
      <c r="G47" s="16">
        <f>IFERROR(__xludf.DUMMYFUNCTION("""COMPUTED_VALUE"""),45810.6458333333)</f>
        <v>45810.6458333333</v>
      </c>
      <c r="H47" s="17">
        <f>IFERROR(__xludf.DUMMYFUNCTION("""COMPUTED_VALUE"""),6631)</f>
        <v>6631</v>
      </c>
      <c r="I47" s="16">
        <f>IFERROR(__xludf.DUMMYFUNCTION("""COMPUTED_VALUE"""),45810.6458333333)</f>
        <v>45810.6458333333</v>
      </c>
      <c r="J47" s="17">
        <f>IFERROR(__xludf.DUMMYFUNCTION("""COMPUTED_VALUE"""),6520)</f>
        <v>6520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IFERROR(__xludf.DUMMYFUNCTION("""COMPUTED_VALUE"""),6530)</f>
        <v>6530</v>
      </c>
      <c r="C48" s="16">
        <f>IFERROR(__xludf.DUMMYFUNCTION("""COMPUTED_VALUE"""),45811.6458333333)</f>
        <v>45811.6458333333</v>
      </c>
      <c r="D48" s="17">
        <f>IFERROR(__xludf.DUMMYFUNCTION("""COMPUTED_VALUE"""),6544)</f>
        <v>6544</v>
      </c>
      <c r="E48" s="16">
        <f>IFERROR(__xludf.DUMMYFUNCTION("""COMPUTED_VALUE"""),45811.6458333333)</f>
        <v>45811.6458333333</v>
      </c>
      <c r="F48" s="17">
        <f>IFERROR(__xludf.DUMMYFUNCTION("""COMPUTED_VALUE"""),398776)</f>
        <v>398776</v>
      </c>
      <c r="G48" s="16">
        <f>IFERROR(__xludf.DUMMYFUNCTION("""COMPUTED_VALUE"""),45811.6458333333)</f>
        <v>45811.6458333333</v>
      </c>
      <c r="H48" s="17">
        <f>IFERROR(__xludf.DUMMYFUNCTION("""COMPUTED_VALUE"""),6600)</f>
        <v>6600</v>
      </c>
      <c r="I48" s="16">
        <f>IFERROR(__xludf.DUMMYFUNCTION("""COMPUTED_VALUE"""),45811.6458333333)</f>
        <v>45811.6458333333</v>
      </c>
      <c r="J48" s="17">
        <f>IFERROR(__xludf.DUMMYFUNCTION("""COMPUTED_VALUE"""),6514.5)</f>
        <v>6514.5</v>
      </c>
      <c r="K48" s="3">
        <f t="shared" si="2"/>
        <v>0</v>
      </c>
      <c r="L48" s="3">
        <f t="shared" si="3"/>
        <v>6530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IFERROR(__xludf.DUMMYFUNCTION("""COMPUTED_VALUE"""),6618)</f>
        <v>6618</v>
      </c>
      <c r="C49" s="16">
        <f>IFERROR(__xludf.DUMMYFUNCTION("""COMPUTED_VALUE"""),45812.6458333333)</f>
        <v>45812.6458333333</v>
      </c>
      <c r="D49" s="17">
        <f>IFERROR(__xludf.DUMMYFUNCTION("""COMPUTED_VALUE"""),6550)</f>
        <v>6550</v>
      </c>
      <c r="E49" s="16">
        <f>IFERROR(__xludf.DUMMYFUNCTION("""COMPUTED_VALUE"""),45812.6458333333)</f>
        <v>45812.6458333333</v>
      </c>
      <c r="F49" s="17">
        <f>IFERROR(__xludf.DUMMYFUNCTION("""COMPUTED_VALUE"""),407206)</f>
        <v>407206</v>
      </c>
      <c r="G49" s="16">
        <f>IFERROR(__xludf.DUMMYFUNCTION("""COMPUTED_VALUE"""),45812.6458333333)</f>
        <v>45812.6458333333</v>
      </c>
      <c r="H49" s="17">
        <f>IFERROR(__xludf.DUMMYFUNCTION("""COMPUTED_VALUE"""),6649.5)</f>
        <v>6649.5</v>
      </c>
      <c r="I49" s="16">
        <f>IFERROR(__xludf.DUMMYFUNCTION("""COMPUTED_VALUE"""),45812.6458333333)</f>
        <v>45812.6458333333</v>
      </c>
      <c r="J49" s="17">
        <f>IFERROR(__xludf.DUMMYFUNCTION("""COMPUTED_VALUE"""),6530)</f>
        <v>6530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IFERROR(__xludf.DUMMYFUNCTION("""COMPUTED_VALUE"""),6628.5)</f>
        <v>6628.5</v>
      </c>
      <c r="C50" s="16">
        <f>IFERROR(__xludf.DUMMYFUNCTION("""COMPUTED_VALUE"""),45813.6458333333)</f>
        <v>45813.6458333333</v>
      </c>
      <c r="D50" s="17">
        <f>IFERROR(__xludf.DUMMYFUNCTION("""COMPUTED_VALUE"""),6628)</f>
        <v>6628</v>
      </c>
      <c r="E50" s="16">
        <f>IFERROR(__xludf.DUMMYFUNCTION("""COMPUTED_VALUE"""),45813.6458333333)</f>
        <v>45813.6458333333</v>
      </c>
      <c r="F50" s="17">
        <f>IFERROR(__xludf.DUMMYFUNCTION("""COMPUTED_VALUE"""),200706)</f>
        <v>200706</v>
      </c>
      <c r="G50" s="16">
        <f>IFERROR(__xludf.DUMMYFUNCTION("""COMPUTED_VALUE"""),45813.6458333333)</f>
        <v>45813.6458333333</v>
      </c>
      <c r="H50" s="17">
        <f>IFERROR(__xludf.DUMMYFUNCTION("""COMPUTED_VALUE"""),6679)</f>
        <v>6679</v>
      </c>
      <c r="I50" s="16">
        <f>IFERROR(__xludf.DUMMYFUNCTION("""COMPUTED_VALUE"""),45813.6458333333)</f>
        <v>45813.6458333333</v>
      </c>
      <c r="J50" s="17">
        <f>IFERROR(__xludf.DUMMYFUNCTION("""COMPUTED_VALUE"""),6608)</f>
        <v>6608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IFERROR(__xludf.DUMMYFUNCTION("""COMPUTED_VALUE"""),6544.5)</f>
        <v>6544.5</v>
      </c>
      <c r="C51" s="16">
        <f>IFERROR(__xludf.DUMMYFUNCTION("""COMPUTED_VALUE"""),45814.6458333333)</f>
        <v>45814.6458333333</v>
      </c>
      <c r="D51" s="17">
        <f>IFERROR(__xludf.DUMMYFUNCTION("""COMPUTED_VALUE"""),6630)</f>
        <v>6630</v>
      </c>
      <c r="E51" s="16">
        <f>IFERROR(__xludf.DUMMYFUNCTION("""COMPUTED_VALUE"""),45814.6458333333)</f>
        <v>45814.6458333333</v>
      </c>
      <c r="F51" s="17">
        <f>IFERROR(__xludf.DUMMYFUNCTION("""COMPUTED_VALUE"""),361092)</f>
        <v>361092</v>
      </c>
      <c r="G51" s="16">
        <f>IFERROR(__xludf.DUMMYFUNCTION("""COMPUTED_VALUE"""),45814.6458333333)</f>
        <v>45814.6458333333</v>
      </c>
      <c r="H51" s="17">
        <f>IFERROR(__xludf.DUMMYFUNCTION("""COMPUTED_VALUE"""),6630)</f>
        <v>6630</v>
      </c>
      <c r="I51" s="16">
        <f>IFERROR(__xludf.DUMMYFUNCTION("""COMPUTED_VALUE"""),45814.6458333333)</f>
        <v>45814.6458333333</v>
      </c>
      <c r="J51" s="17">
        <f>IFERROR(__xludf.DUMMYFUNCTION("""COMPUTED_VALUE"""),6505)</f>
        <v>6505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IFERROR(__xludf.DUMMYFUNCTION("""COMPUTED_VALUE"""),6633)</f>
        <v>6633</v>
      </c>
      <c r="C52" s="16">
        <f>IFERROR(__xludf.DUMMYFUNCTION("""COMPUTED_VALUE"""),45817.6458333333)</f>
        <v>45817.6458333333</v>
      </c>
      <c r="D52" s="17">
        <f>IFERROR(__xludf.DUMMYFUNCTION("""COMPUTED_VALUE"""),6557.5)</f>
        <v>6557.5</v>
      </c>
      <c r="E52" s="16">
        <f>IFERROR(__xludf.DUMMYFUNCTION("""COMPUTED_VALUE"""),45817.6458333333)</f>
        <v>45817.6458333333</v>
      </c>
      <c r="F52" s="17">
        <f>IFERROR(__xludf.DUMMYFUNCTION("""COMPUTED_VALUE"""),254156)</f>
        <v>254156</v>
      </c>
      <c r="G52" s="16">
        <f>IFERROR(__xludf.DUMMYFUNCTION("""COMPUTED_VALUE"""),45817.6458333333)</f>
        <v>45817.6458333333</v>
      </c>
      <c r="H52" s="17">
        <f>IFERROR(__xludf.DUMMYFUNCTION("""COMPUTED_VALUE"""),6654.5)</f>
        <v>6654.5</v>
      </c>
      <c r="I52" s="16">
        <f>IFERROR(__xludf.DUMMYFUNCTION("""COMPUTED_VALUE"""),45817.6458333333)</f>
        <v>45817.6458333333</v>
      </c>
      <c r="J52" s="17">
        <f>IFERROR(__xludf.DUMMYFUNCTION("""COMPUTED_VALUE"""),6547.5)</f>
        <v>6547.5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IFERROR(__xludf.DUMMYFUNCTION("""COMPUTED_VALUE"""),6674)</f>
        <v>6674</v>
      </c>
      <c r="C53" s="16">
        <f>IFERROR(__xludf.DUMMYFUNCTION("""COMPUTED_VALUE"""),45818.6458333333)</f>
        <v>45818.6458333333</v>
      </c>
      <c r="D53" s="17">
        <f>IFERROR(__xludf.DUMMYFUNCTION("""COMPUTED_VALUE"""),6644.5)</f>
        <v>6644.5</v>
      </c>
      <c r="E53" s="16">
        <f>IFERROR(__xludf.DUMMYFUNCTION("""COMPUTED_VALUE"""),45818.6458333333)</f>
        <v>45818.6458333333</v>
      </c>
      <c r="F53" s="17">
        <f>IFERROR(__xludf.DUMMYFUNCTION("""COMPUTED_VALUE"""),288574)</f>
        <v>288574</v>
      </c>
      <c r="G53" s="16">
        <f>IFERROR(__xludf.DUMMYFUNCTION("""COMPUTED_VALUE"""),45818.6458333333)</f>
        <v>45818.6458333333</v>
      </c>
      <c r="H53" s="17">
        <f>IFERROR(__xludf.DUMMYFUNCTION("""COMPUTED_VALUE"""),6697)</f>
        <v>6697</v>
      </c>
      <c r="I53" s="16">
        <f>IFERROR(__xludf.DUMMYFUNCTION("""COMPUTED_VALUE"""),45818.6458333333)</f>
        <v>45818.6458333333</v>
      </c>
      <c r="J53" s="17">
        <f>IFERROR(__xludf.DUMMYFUNCTION("""COMPUTED_VALUE"""),6611)</f>
        <v>6611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IFERROR(__xludf.DUMMYFUNCTION("""COMPUTED_VALUE"""),6719)</f>
        <v>6719</v>
      </c>
      <c r="C54" s="16">
        <f>IFERROR(__xludf.DUMMYFUNCTION("""COMPUTED_VALUE"""),45819.6458333333)</f>
        <v>45819.6458333333</v>
      </c>
      <c r="D54" s="17">
        <f>IFERROR(__xludf.DUMMYFUNCTION("""COMPUTED_VALUE"""),6680)</f>
        <v>6680</v>
      </c>
      <c r="E54" s="16">
        <f>IFERROR(__xludf.DUMMYFUNCTION("""COMPUTED_VALUE"""),45819.6458333333)</f>
        <v>45819.6458333333</v>
      </c>
      <c r="F54" s="17">
        <f>IFERROR(__xludf.DUMMYFUNCTION("""COMPUTED_VALUE"""),539922)</f>
        <v>539922</v>
      </c>
      <c r="G54" s="16">
        <f>IFERROR(__xludf.DUMMYFUNCTION("""COMPUTED_VALUE"""),45819.6458333333)</f>
        <v>45819.6458333333</v>
      </c>
      <c r="H54" s="17">
        <f>IFERROR(__xludf.DUMMYFUNCTION("""COMPUTED_VALUE"""),6766)</f>
        <v>6766</v>
      </c>
      <c r="I54" s="16">
        <f>IFERROR(__xludf.DUMMYFUNCTION("""COMPUTED_VALUE"""),45819.6458333333)</f>
        <v>45819.6458333333</v>
      </c>
      <c r="J54" s="17">
        <f>IFERROR(__xludf.DUMMYFUNCTION("""COMPUTED_VALUE"""),6680)</f>
        <v>6680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IFERROR(__xludf.DUMMYFUNCTION("""COMPUTED_VALUE"""),6725)</f>
        <v>6725</v>
      </c>
      <c r="C55" s="16">
        <f>IFERROR(__xludf.DUMMYFUNCTION("""COMPUTED_VALUE"""),45820.6458333333)</f>
        <v>45820.6458333333</v>
      </c>
      <c r="D55" s="17">
        <f>IFERROR(__xludf.DUMMYFUNCTION("""COMPUTED_VALUE"""),6719)</f>
        <v>6719</v>
      </c>
      <c r="E55" s="16">
        <f>IFERROR(__xludf.DUMMYFUNCTION("""COMPUTED_VALUE"""),45820.6458333333)</f>
        <v>45820.6458333333</v>
      </c>
      <c r="F55" s="17">
        <f>IFERROR(__xludf.DUMMYFUNCTION("""COMPUTED_VALUE"""),647651)</f>
        <v>647651</v>
      </c>
      <c r="G55" s="16">
        <f>IFERROR(__xludf.DUMMYFUNCTION("""COMPUTED_VALUE"""),45820.6458333333)</f>
        <v>45820.6458333333</v>
      </c>
      <c r="H55" s="17">
        <f>IFERROR(__xludf.DUMMYFUNCTION("""COMPUTED_VALUE"""),6862.5)</f>
        <v>6862.5</v>
      </c>
      <c r="I55" s="16">
        <f>IFERROR(__xludf.DUMMYFUNCTION("""COMPUTED_VALUE"""),45820.6458333333)</f>
        <v>45820.6458333333</v>
      </c>
      <c r="J55" s="17">
        <f>IFERROR(__xludf.DUMMYFUNCTION("""COMPUTED_VALUE"""),6706)</f>
        <v>6706</v>
      </c>
      <c r="K55" s="3">
        <f t="shared" si="2"/>
        <v>6725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IFERROR(__xludf.DUMMYFUNCTION("""COMPUTED_VALUE"""),6667)</f>
        <v>6667</v>
      </c>
      <c r="C56" s="16">
        <f>IFERROR(__xludf.DUMMYFUNCTION("""COMPUTED_VALUE"""),45821.6458333333)</f>
        <v>45821.6458333333</v>
      </c>
      <c r="D56" s="17">
        <f>IFERROR(__xludf.DUMMYFUNCTION("""COMPUTED_VALUE"""),6700)</f>
        <v>6700</v>
      </c>
      <c r="E56" s="16">
        <f>IFERROR(__xludf.DUMMYFUNCTION("""COMPUTED_VALUE"""),45821.6458333333)</f>
        <v>45821.6458333333</v>
      </c>
      <c r="F56" s="17">
        <f>IFERROR(__xludf.DUMMYFUNCTION("""COMPUTED_VALUE"""),431430)</f>
        <v>431430</v>
      </c>
      <c r="G56" s="16">
        <f>IFERROR(__xludf.DUMMYFUNCTION("""COMPUTED_VALUE"""),45821.6458333333)</f>
        <v>45821.6458333333</v>
      </c>
      <c r="H56" s="17">
        <f>IFERROR(__xludf.DUMMYFUNCTION("""COMPUTED_VALUE"""),6720.5)</f>
        <v>6720.5</v>
      </c>
      <c r="I56" s="16">
        <f>IFERROR(__xludf.DUMMYFUNCTION("""COMPUTED_VALUE"""),45821.6458333333)</f>
        <v>45821.6458333333</v>
      </c>
      <c r="J56" s="17">
        <f>IFERROR(__xludf.DUMMYFUNCTION("""COMPUTED_VALUE"""),6611)</f>
        <v>6611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IFERROR(__xludf.DUMMYFUNCTION("""COMPUTED_VALUE"""),6687.5)</f>
        <v>6687.5</v>
      </c>
      <c r="C57" s="16">
        <f>IFERROR(__xludf.DUMMYFUNCTION("""COMPUTED_VALUE"""),45824.6458333333)</f>
        <v>45824.6458333333</v>
      </c>
      <c r="D57" s="17">
        <f>IFERROR(__xludf.DUMMYFUNCTION("""COMPUTED_VALUE"""),6632)</f>
        <v>6632</v>
      </c>
      <c r="E57" s="16">
        <f>IFERROR(__xludf.DUMMYFUNCTION("""COMPUTED_VALUE"""),45824.6458333333)</f>
        <v>45824.6458333333</v>
      </c>
      <c r="F57" s="17">
        <f>IFERROR(__xludf.DUMMYFUNCTION("""COMPUTED_VALUE"""),166374)</f>
        <v>166374</v>
      </c>
      <c r="G57" s="16">
        <f>IFERROR(__xludf.DUMMYFUNCTION("""COMPUTED_VALUE"""),45824.6458333333)</f>
        <v>45824.6458333333</v>
      </c>
      <c r="H57" s="17">
        <f>IFERROR(__xludf.DUMMYFUNCTION("""COMPUTED_VALUE"""),6698)</f>
        <v>6698</v>
      </c>
      <c r="I57" s="16">
        <f>IFERROR(__xludf.DUMMYFUNCTION("""COMPUTED_VALUE"""),45824.6458333333)</f>
        <v>45824.6458333333</v>
      </c>
      <c r="J57" s="17">
        <f>IFERROR(__xludf.DUMMYFUNCTION("""COMPUTED_VALUE"""),6615)</f>
        <v>6615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IFERROR(__xludf.DUMMYFUNCTION("""COMPUTED_VALUE"""),6538)</f>
        <v>6538</v>
      </c>
      <c r="C58" s="16">
        <f>IFERROR(__xludf.DUMMYFUNCTION("""COMPUTED_VALUE"""),45825.6458333333)</f>
        <v>45825.6458333333</v>
      </c>
      <c r="D58" s="17">
        <f>IFERROR(__xludf.DUMMYFUNCTION("""COMPUTED_VALUE"""),6690)</f>
        <v>6690</v>
      </c>
      <c r="E58" s="16">
        <f>IFERROR(__xludf.DUMMYFUNCTION("""COMPUTED_VALUE"""),45825.6458333333)</f>
        <v>45825.6458333333</v>
      </c>
      <c r="F58" s="17">
        <f>IFERROR(__xludf.DUMMYFUNCTION("""COMPUTED_VALUE"""),341004)</f>
        <v>341004</v>
      </c>
      <c r="G58" s="16">
        <f>IFERROR(__xludf.DUMMYFUNCTION("""COMPUTED_VALUE"""),45825.6458333333)</f>
        <v>45825.6458333333</v>
      </c>
      <c r="H58" s="17">
        <f>IFERROR(__xludf.DUMMYFUNCTION("""COMPUTED_VALUE"""),6702.5)</f>
        <v>6702.5</v>
      </c>
      <c r="I58" s="16">
        <f>IFERROR(__xludf.DUMMYFUNCTION("""COMPUTED_VALUE"""),45825.6458333333)</f>
        <v>45825.6458333333</v>
      </c>
      <c r="J58" s="17">
        <f>IFERROR(__xludf.DUMMYFUNCTION("""COMPUTED_VALUE"""),6490.5)</f>
        <v>6490.5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IFERROR(__xludf.DUMMYFUNCTION("""COMPUTED_VALUE"""),6549)</f>
        <v>6549</v>
      </c>
      <c r="C59" s="16">
        <f>IFERROR(__xludf.DUMMYFUNCTION("""COMPUTED_VALUE"""),45826.6458333333)</f>
        <v>45826.6458333333</v>
      </c>
      <c r="D59" s="17">
        <f>IFERROR(__xludf.DUMMYFUNCTION("""COMPUTED_VALUE"""),6548)</f>
        <v>6548</v>
      </c>
      <c r="E59" s="16">
        <f>IFERROR(__xludf.DUMMYFUNCTION("""COMPUTED_VALUE"""),45826.6458333333)</f>
        <v>45826.6458333333</v>
      </c>
      <c r="F59" s="17">
        <f>IFERROR(__xludf.DUMMYFUNCTION("""COMPUTED_VALUE"""),447218)</f>
        <v>447218</v>
      </c>
      <c r="G59" s="16">
        <f>IFERROR(__xludf.DUMMYFUNCTION("""COMPUTED_VALUE"""),45826.6458333333)</f>
        <v>45826.6458333333</v>
      </c>
      <c r="H59" s="17">
        <f>IFERROR(__xludf.DUMMYFUNCTION("""COMPUTED_VALUE"""),6649)</f>
        <v>6649</v>
      </c>
      <c r="I59" s="16">
        <f>IFERROR(__xludf.DUMMYFUNCTION("""COMPUTED_VALUE"""),45826.6458333333)</f>
        <v>45826.6458333333</v>
      </c>
      <c r="J59" s="17">
        <f>IFERROR(__xludf.DUMMYFUNCTION("""COMPUTED_VALUE"""),6513)</f>
        <v>6513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IFERROR(__xludf.DUMMYFUNCTION("""COMPUTED_VALUE"""),6493)</f>
        <v>6493</v>
      </c>
      <c r="C60" s="16">
        <f>IFERROR(__xludf.DUMMYFUNCTION("""COMPUTED_VALUE"""),45827.6458333333)</f>
        <v>45827.6458333333</v>
      </c>
      <c r="D60" s="17">
        <f>IFERROR(__xludf.DUMMYFUNCTION("""COMPUTED_VALUE"""),6545)</f>
        <v>6545</v>
      </c>
      <c r="E60" s="16">
        <f>IFERROR(__xludf.DUMMYFUNCTION("""COMPUTED_VALUE"""),45827.6458333333)</f>
        <v>45827.6458333333</v>
      </c>
      <c r="F60" s="17">
        <f>IFERROR(__xludf.DUMMYFUNCTION("""COMPUTED_VALUE"""),240502)</f>
        <v>240502</v>
      </c>
      <c r="G60" s="16">
        <f>IFERROR(__xludf.DUMMYFUNCTION("""COMPUTED_VALUE"""),45827.6458333333)</f>
        <v>45827.6458333333</v>
      </c>
      <c r="H60" s="17">
        <f>IFERROR(__xludf.DUMMYFUNCTION("""COMPUTED_VALUE"""),6566.5)</f>
        <v>6566.5</v>
      </c>
      <c r="I60" s="16">
        <f>IFERROR(__xludf.DUMMYFUNCTION("""COMPUTED_VALUE"""),45827.6458333333)</f>
        <v>45827.6458333333</v>
      </c>
      <c r="J60" s="17">
        <f>IFERROR(__xludf.DUMMYFUNCTION("""COMPUTED_VALUE"""),6480)</f>
        <v>6480</v>
      </c>
      <c r="K60" s="3">
        <f t="shared" si="2"/>
        <v>0</v>
      </c>
      <c r="L60" s="3">
        <f t="shared" si="3"/>
        <v>6493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IFERROR(__xludf.DUMMYFUNCTION("""COMPUTED_VALUE"""),6592)</f>
        <v>6592</v>
      </c>
      <c r="C61" s="16">
        <f>IFERROR(__xludf.DUMMYFUNCTION("""COMPUTED_VALUE"""),45828.6458333333)</f>
        <v>45828.6458333333</v>
      </c>
      <c r="D61" s="17">
        <f>IFERROR(__xludf.DUMMYFUNCTION("""COMPUTED_VALUE"""),6500)</f>
        <v>6500</v>
      </c>
      <c r="E61" s="16">
        <f>IFERROR(__xludf.DUMMYFUNCTION("""COMPUTED_VALUE"""),45828.6458333333)</f>
        <v>45828.6458333333</v>
      </c>
      <c r="F61" s="17">
        <f>IFERROR(__xludf.DUMMYFUNCTION("""COMPUTED_VALUE"""),560932)</f>
        <v>560932</v>
      </c>
      <c r="G61" s="16">
        <f>IFERROR(__xludf.DUMMYFUNCTION("""COMPUTED_VALUE"""),45828.6458333333)</f>
        <v>45828.6458333333</v>
      </c>
      <c r="H61" s="17">
        <f>IFERROR(__xludf.DUMMYFUNCTION("""COMPUTED_VALUE"""),6602.5)</f>
        <v>6602.5</v>
      </c>
      <c r="I61" s="16">
        <f>IFERROR(__xludf.DUMMYFUNCTION("""COMPUTED_VALUE"""),45828.6458333333)</f>
        <v>45828.6458333333</v>
      </c>
      <c r="J61" s="17">
        <f>IFERROR(__xludf.DUMMYFUNCTION("""COMPUTED_VALUE"""),6455.5)</f>
        <v>6455.5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IFERROR(__xludf.DUMMYFUNCTION("""COMPUTED_VALUE"""),6636)</f>
        <v>6636</v>
      </c>
      <c r="C62" s="16">
        <f>IFERROR(__xludf.DUMMYFUNCTION("""COMPUTED_VALUE"""),45831.6458333333)</f>
        <v>45831.6458333333</v>
      </c>
      <c r="D62" s="17">
        <f>IFERROR(__xludf.DUMMYFUNCTION("""COMPUTED_VALUE"""),6570)</f>
        <v>6570</v>
      </c>
      <c r="E62" s="16">
        <f>IFERROR(__xludf.DUMMYFUNCTION("""COMPUTED_VALUE"""),45831.6458333333)</f>
        <v>45831.6458333333</v>
      </c>
      <c r="F62" s="17">
        <f>IFERROR(__xludf.DUMMYFUNCTION("""COMPUTED_VALUE"""),478962)</f>
        <v>478962</v>
      </c>
      <c r="G62" s="16">
        <f>IFERROR(__xludf.DUMMYFUNCTION("""COMPUTED_VALUE"""),45831.6458333333)</f>
        <v>45831.6458333333</v>
      </c>
      <c r="H62" s="17">
        <f>IFERROR(__xludf.DUMMYFUNCTION("""COMPUTED_VALUE"""),6664.5)</f>
        <v>6664.5</v>
      </c>
      <c r="I62" s="16">
        <f>IFERROR(__xludf.DUMMYFUNCTION("""COMPUTED_VALUE"""),45831.6458333333)</f>
        <v>45831.6458333333</v>
      </c>
      <c r="J62" s="17">
        <f>IFERROR(__xludf.DUMMYFUNCTION("""COMPUTED_VALUE"""),6560)</f>
        <v>6560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IFERROR(__xludf.DUMMYFUNCTION("""COMPUTED_VALUE"""),6565.5)</f>
        <v>6565.5</v>
      </c>
      <c r="C63" s="16">
        <f>IFERROR(__xludf.DUMMYFUNCTION("""COMPUTED_VALUE"""),45832.6458333333)</f>
        <v>45832.6458333333</v>
      </c>
      <c r="D63" s="17">
        <f>IFERROR(__xludf.DUMMYFUNCTION("""COMPUTED_VALUE"""),6680)</f>
        <v>6680</v>
      </c>
      <c r="E63" s="16">
        <f>IFERROR(__xludf.DUMMYFUNCTION("""COMPUTED_VALUE"""),45832.6458333333)</f>
        <v>45832.6458333333</v>
      </c>
      <c r="F63" s="17">
        <f>IFERROR(__xludf.DUMMYFUNCTION("""COMPUTED_VALUE"""),270144)</f>
        <v>270144</v>
      </c>
      <c r="G63" s="16">
        <f>IFERROR(__xludf.DUMMYFUNCTION("""COMPUTED_VALUE"""),45832.6458333333)</f>
        <v>45832.6458333333</v>
      </c>
      <c r="H63" s="17">
        <f>IFERROR(__xludf.DUMMYFUNCTION("""COMPUTED_VALUE"""),6680)</f>
        <v>6680</v>
      </c>
      <c r="I63" s="16">
        <f>IFERROR(__xludf.DUMMYFUNCTION("""COMPUTED_VALUE"""),45832.6458333333)</f>
        <v>45832.6458333333</v>
      </c>
      <c r="J63" s="17">
        <f>IFERROR(__xludf.DUMMYFUNCTION("""COMPUTED_VALUE"""),6555)</f>
        <v>6555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IFERROR(__xludf.DUMMYFUNCTION("""COMPUTED_VALUE"""),6586.5)</f>
        <v>6586.5</v>
      </c>
      <c r="C64" s="16">
        <f>IFERROR(__xludf.DUMMYFUNCTION("""COMPUTED_VALUE"""),45833.6458333333)</f>
        <v>45833.6458333333</v>
      </c>
      <c r="D64" s="17">
        <f>IFERROR(__xludf.DUMMYFUNCTION("""COMPUTED_VALUE"""),6585)</f>
        <v>6585</v>
      </c>
      <c r="E64" s="16">
        <f>IFERROR(__xludf.DUMMYFUNCTION("""COMPUTED_VALUE"""),45833.6458333333)</f>
        <v>45833.6458333333</v>
      </c>
      <c r="F64" s="17">
        <f>IFERROR(__xludf.DUMMYFUNCTION("""COMPUTED_VALUE"""),234226)</f>
        <v>234226</v>
      </c>
      <c r="G64" s="16">
        <f>IFERROR(__xludf.DUMMYFUNCTION("""COMPUTED_VALUE"""),45833.6458333333)</f>
        <v>45833.6458333333</v>
      </c>
      <c r="H64" s="17">
        <f>IFERROR(__xludf.DUMMYFUNCTION("""COMPUTED_VALUE"""),6607.5)</f>
        <v>6607.5</v>
      </c>
      <c r="I64" s="16">
        <f>IFERROR(__xludf.DUMMYFUNCTION("""COMPUTED_VALUE"""),45833.6458333333)</f>
        <v>45833.6458333333</v>
      </c>
      <c r="J64" s="17">
        <f>IFERROR(__xludf.DUMMYFUNCTION("""COMPUTED_VALUE"""),6520)</f>
        <v>6520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IFERROR(__xludf.DUMMYFUNCTION("""COMPUTED_VALUE"""),6616)</f>
        <v>6616</v>
      </c>
      <c r="C65" s="16">
        <f>IFERROR(__xludf.DUMMYFUNCTION("""COMPUTED_VALUE"""),45834.6458333333)</f>
        <v>45834.6458333333</v>
      </c>
      <c r="D65" s="17">
        <f>IFERROR(__xludf.DUMMYFUNCTION("""COMPUTED_VALUE"""),6589)</f>
        <v>6589</v>
      </c>
      <c r="E65" s="16">
        <f>IFERROR(__xludf.DUMMYFUNCTION("""COMPUTED_VALUE"""),45834.6458333333)</f>
        <v>45834.6458333333</v>
      </c>
      <c r="F65" s="17">
        <f>IFERROR(__xludf.DUMMYFUNCTION("""COMPUTED_VALUE"""),404238)</f>
        <v>404238</v>
      </c>
      <c r="G65" s="16">
        <f>IFERROR(__xludf.DUMMYFUNCTION("""COMPUTED_VALUE"""),45834.6458333333)</f>
        <v>45834.6458333333</v>
      </c>
      <c r="H65" s="17">
        <f>IFERROR(__xludf.DUMMYFUNCTION("""COMPUTED_VALUE"""),6628)</f>
        <v>6628</v>
      </c>
      <c r="I65" s="16">
        <f>IFERROR(__xludf.DUMMYFUNCTION("""COMPUTED_VALUE"""),45834.6458333333)</f>
        <v>45834.6458333333</v>
      </c>
      <c r="J65" s="17">
        <f>IFERROR(__xludf.DUMMYFUNCTION("""COMPUTED_VALUE"""),6539)</f>
        <v>6539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IFERROR(__xludf.DUMMYFUNCTION("""COMPUTED_VALUE"""),6658)</f>
        <v>6658</v>
      </c>
      <c r="C66" s="16">
        <f>IFERROR(__xludf.DUMMYFUNCTION("""COMPUTED_VALUE"""),45835.6458333333)</f>
        <v>45835.6458333333</v>
      </c>
      <c r="D66" s="17">
        <f>IFERROR(__xludf.DUMMYFUNCTION("""COMPUTED_VALUE"""),6551)</f>
        <v>6551</v>
      </c>
      <c r="E66" s="16">
        <f>IFERROR(__xludf.DUMMYFUNCTION("""COMPUTED_VALUE"""),45835.6458333333)</f>
        <v>45835.6458333333</v>
      </c>
      <c r="F66" s="17">
        <f>IFERROR(__xludf.DUMMYFUNCTION("""COMPUTED_VALUE"""),545217)</f>
        <v>545217</v>
      </c>
      <c r="G66" s="16">
        <f>IFERROR(__xludf.DUMMYFUNCTION("""COMPUTED_VALUE"""),45835.6458333333)</f>
        <v>45835.6458333333</v>
      </c>
      <c r="H66" s="17">
        <f>IFERROR(__xludf.DUMMYFUNCTION("""COMPUTED_VALUE"""),6694)</f>
        <v>6694</v>
      </c>
      <c r="I66" s="16">
        <f>IFERROR(__xludf.DUMMYFUNCTION("""COMPUTED_VALUE"""),45835.6458333333)</f>
        <v>45835.6458333333</v>
      </c>
      <c r="J66" s="17">
        <f>IFERROR(__xludf.DUMMYFUNCTION("""COMPUTED_VALUE"""),6551)</f>
        <v>6551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IFERROR(__xludf.DUMMYFUNCTION("""COMPUTED_VALUE"""),6809.5)</f>
        <v>6809.5</v>
      </c>
      <c r="C67" s="16">
        <f>IFERROR(__xludf.DUMMYFUNCTION("""COMPUTED_VALUE"""),45838.6458333333)</f>
        <v>45838.6458333333</v>
      </c>
      <c r="D67" s="17">
        <f>IFERROR(__xludf.DUMMYFUNCTION("""COMPUTED_VALUE"""),6680)</f>
        <v>6680</v>
      </c>
      <c r="E67" s="16">
        <f>IFERROR(__xludf.DUMMYFUNCTION("""COMPUTED_VALUE"""),45838.6458333333)</f>
        <v>45838.6458333333</v>
      </c>
      <c r="F67" s="17">
        <f>IFERROR(__xludf.DUMMYFUNCTION("""COMPUTED_VALUE"""),599664)</f>
        <v>599664</v>
      </c>
      <c r="G67" s="16">
        <f>IFERROR(__xludf.DUMMYFUNCTION("""COMPUTED_VALUE"""),45838.6458333333)</f>
        <v>45838.6458333333</v>
      </c>
      <c r="H67" s="17">
        <f>IFERROR(__xludf.DUMMYFUNCTION("""COMPUTED_VALUE"""),6829)</f>
        <v>6829</v>
      </c>
      <c r="I67" s="16">
        <f>IFERROR(__xludf.DUMMYFUNCTION("""COMPUTED_VALUE"""),45838.6458333333)</f>
        <v>45838.6458333333</v>
      </c>
      <c r="J67" s="17">
        <f>IFERROR(__xludf.DUMMYFUNCTION("""COMPUTED_VALUE"""),6666)</f>
        <v>6666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IFERROR(__xludf.DUMMYFUNCTION("""COMPUTED_VALUE"""),6856.5)</f>
        <v>6856.5</v>
      </c>
      <c r="C68" s="16">
        <f>IFERROR(__xludf.DUMMYFUNCTION("""COMPUTED_VALUE"""),45839.6458333333)</f>
        <v>45839.6458333333</v>
      </c>
      <c r="D68" s="17">
        <f>IFERROR(__xludf.DUMMYFUNCTION("""COMPUTED_VALUE"""),6828.5)</f>
        <v>6828.5</v>
      </c>
      <c r="E68" s="16">
        <f>IFERROR(__xludf.DUMMYFUNCTION("""COMPUTED_VALUE"""),45839.6458333333)</f>
        <v>45839.6458333333</v>
      </c>
      <c r="F68" s="17">
        <f>IFERROR(__xludf.DUMMYFUNCTION("""COMPUTED_VALUE"""),385716)</f>
        <v>385716</v>
      </c>
      <c r="G68" s="16">
        <f>IFERROR(__xludf.DUMMYFUNCTION("""COMPUTED_VALUE"""),45839.6458333333)</f>
        <v>45839.6458333333</v>
      </c>
      <c r="H68" s="17">
        <f>IFERROR(__xludf.DUMMYFUNCTION("""COMPUTED_VALUE"""),6875)</f>
        <v>6875</v>
      </c>
      <c r="I68" s="16">
        <f>IFERROR(__xludf.DUMMYFUNCTION("""COMPUTED_VALUE"""),45839.6458333333)</f>
        <v>45839.6458333333</v>
      </c>
      <c r="J68" s="17">
        <f>IFERROR(__xludf.DUMMYFUNCTION("""COMPUTED_VALUE"""),6696)</f>
        <v>6696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IFERROR(__xludf.DUMMYFUNCTION("""COMPUTED_VALUE"""),6859.5)</f>
        <v>6859.5</v>
      </c>
      <c r="C69" s="16">
        <f>IFERROR(__xludf.DUMMYFUNCTION("""COMPUTED_VALUE"""),45840.6458333333)</f>
        <v>45840.6458333333</v>
      </c>
      <c r="D69" s="17">
        <f>IFERROR(__xludf.DUMMYFUNCTION("""COMPUTED_VALUE"""),6856.5)</f>
        <v>6856.5</v>
      </c>
      <c r="E69" s="16">
        <f>IFERROR(__xludf.DUMMYFUNCTION("""COMPUTED_VALUE"""),45840.6458333333)</f>
        <v>45840.6458333333</v>
      </c>
      <c r="F69" s="17">
        <f>IFERROR(__xludf.DUMMYFUNCTION("""COMPUTED_VALUE"""),437491)</f>
        <v>437491</v>
      </c>
      <c r="G69" s="16">
        <f>IFERROR(__xludf.DUMMYFUNCTION("""COMPUTED_VALUE"""),45840.6458333333)</f>
        <v>45840.6458333333</v>
      </c>
      <c r="H69" s="17">
        <f>IFERROR(__xludf.DUMMYFUNCTION("""COMPUTED_VALUE"""),6885.5)</f>
        <v>6885.5</v>
      </c>
      <c r="I69" s="16">
        <f>IFERROR(__xludf.DUMMYFUNCTION("""COMPUTED_VALUE"""),45840.6458333333)</f>
        <v>45840.6458333333</v>
      </c>
      <c r="J69" s="17">
        <f>IFERROR(__xludf.DUMMYFUNCTION("""COMPUTED_VALUE"""),6743)</f>
        <v>6743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IFERROR(__xludf.DUMMYFUNCTION("""COMPUTED_VALUE"""),6876)</f>
        <v>6876</v>
      </c>
      <c r="C70" s="16">
        <f>IFERROR(__xludf.DUMMYFUNCTION("""COMPUTED_VALUE"""),45841.6458333333)</f>
        <v>45841.6458333333</v>
      </c>
      <c r="D70" s="17">
        <f>IFERROR(__xludf.DUMMYFUNCTION("""COMPUTED_VALUE"""),6888)</f>
        <v>6888</v>
      </c>
      <c r="E70" s="16">
        <f>IFERROR(__xludf.DUMMYFUNCTION("""COMPUTED_VALUE"""),45841.6458333333)</f>
        <v>45841.6458333333</v>
      </c>
      <c r="F70" s="17">
        <f>IFERROR(__xludf.DUMMYFUNCTION("""COMPUTED_VALUE"""),302964)</f>
        <v>302964</v>
      </c>
      <c r="G70" s="16">
        <f>IFERROR(__xludf.DUMMYFUNCTION("""COMPUTED_VALUE"""),45841.6458333333)</f>
        <v>45841.6458333333</v>
      </c>
      <c r="H70" s="17">
        <f>IFERROR(__xludf.DUMMYFUNCTION("""COMPUTED_VALUE"""),6940)</f>
        <v>6940</v>
      </c>
      <c r="I70" s="16">
        <f>IFERROR(__xludf.DUMMYFUNCTION("""COMPUTED_VALUE"""),45841.6458333333)</f>
        <v>45841.6458333333</v>
      </c>
      <c r="J70" s="17">
        <f>IFERROR(__xludf.DUMMYFUNCTION("""COMPUTED_VALUE"""),6853)</f>
        <v>6853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IFERROR(__xludf.DUMMYFUNCTION("""COMPUTED_VALUE"""),6906.5)</f>
        <v>6906.5</v>
      </c>
      <c r="C71" s="16">
        <f>IFERROR(__xludf.DUMMYFUNCTION("""COMPUTED_VALUE"""),45842.6458333333)</f>
        <v>45842.6458333333</v>
      </c>
      <c r="D71" s="17">
        <f>IFERROR(__xludf.DUMMYFUNCTION("""COMPUTED_VALUE"""),6880)</f>
        <v>6880</v>
      </c>
      <c r="E71" s="16">
        <f>IFERROR(__xludf.DUMMYFUNCTION("""COMPUTED_VALUE"""),45842.6458333333)</f>
        <v>45842.6458333333</v>
      </c>
      <c r="F71" s="17">
        <f>IFERROR(__xludf.DUMMYFUNCTION("""COMPUTED_VALUE"""),243498)</f>
        <v>243498</v>
      </c>
      <c r="G71" s="16">
        <f>IFERROR(__xludf.DUMMYFUNCTION("""COMPUTED_VALUE"""),45842.6458333333)</f>
        <v>45842.6458333333</v>
      </c>
      <c r="H71" s="17">
        <f>IFERROR(__xludf.DUMMYFUNCTION("""COMPUTED_VALUE"""),6945)</f>
        <v>6945</v>
      </c>
      <c r="I71" s="16">
        <f>IFERROR(__xludf.DUMMYFUNCTION("""COMPUTED_VALUE"""),45842.6458333333)</f>
        <v>45842.6458333333</v>
      </c>
      <c r="J71" s="17">
        <f>IFERROR(__xludf.DUMMYFUNCTION("""COMPUTED_VALUE"""),6870)</f>
        <v>6870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IFERROR(__xludf.DUMMYFUNCTION("""COMPUTED_VALUE"""),6888.5)</f>
        <v>6888.5</v>
      </c>
      <c r="C72" s="16">
        <f>IFERROR(__xludf.DUMMYFUNCTION("""COMPUTED_VALUE"""),45845.6458333333)</f>
        <v>45845.6458333333</v>
      </c>
      <c r="D72" s="17">
        <f>IFERROR(__xludf.DUMMYFUNCTION("""COMPUTED_VALUE"""),6915)</f>
        <v>6915</v>
      </c>
      <c r="E72" s="16">
        <f>IFERROR(__xludf.DUMMYFUNCTION("""COMPUTED_VALUE"""),45845.6458333333)</f>
        <v>45845.6458333333</v>
      </c>
      <c r="F72" s="17">
        <f>IFERROR(__xludf.DUMMYFUNCTION("""COMPUTED_VALUE"""),85574)</f>
        <v>85574</v>
      </c>
      <c r="G72" s="16">
        <f>IFERROR(__xludf.DUMMYFUNCTION("""COMPUTED_VALUE"""),45845.6458333333)</f>
        <v>45845.6458333333</v>
      </c>
      <c r="H72" s="17">
        <f>IFERROR(__xludf.DUMMYFUNCTION("""COMPUTED_VALUE"""),6931)</f>
        <v>6931</v>
      </c>
      <c r="I72" s="16">
        <f>IFERROR(__xludf.DUMMYFUNCTION("""COMPUTED_VALUE"""),45845.6458333333)</f>
        <v>45845.6458333333</v>
      </c>
      <c r="J72" s="17">
        <f>IFERROR(__xludf.DUMMYFUNCTION("""COMPUTED_VALUE"""),6861)</f>
        <v>6861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IFERROR(__xludf.DUMMYFUNCTION("""COMPUTED_VALUE"""),6938)</f>
        <v>6938</v>
      </c>
      <c r="C73" s="16">
        <f>IFERROR(__xludf.DUMMYFUNCTION("""COMPUTED_VALUE"""),45846.6458333333)</f>
        <v>45846.6458333333</v>
      </c>
      <c r="D73" s="17">
        <f>IFERROR(__xludf.DUMMYFUNCTION("""COMPUTED_VALUE"""),7002)</f>
        <v>7002</v>
      </c>
      <c r="E73" s="16">
        <f>IFERROR(__xludf.DUMMYFUNCTION("""COMPUTED_VALUE"""),45846.6458333333)</f>
        <v>45846.6458333333</v>
      </c>
      <c r="F73" s="17">
        <f>IFERROR(__xludf.DUMMYFUNCTION("""COMPUTED_VALUE"""),531444)</f>
        <v>531444</v>
      </c>
      <c r="G73" s="16">
        <f>IFERROR(__xludf.DUMMYFUNCTION("""COMPUTED_VALUE"""),45846.6458333333)</f>
        <v>45846.6458333333</v>
      </c>
      <c r="H73" s="17">
        <f>IFERROR(__xludf.DUMMYFUNCTION("""COMPUTED_VALUE"""),7071.5)</f>
        <v>7071.5</v>
      </c>
      <c r="I73" s="16">
        <f>IFERROR(__xludf.DUMMYFUNCTION("""COMPUTED_VALUE"""),45846.6458333333)</f>
        <v>45846.6458333333</v>
      </c>
      <c r="J73" s="17">
        <f>IFERROR(__xludf.DUMMYFUNCTION("""COMPUTED_VALUE"""),6911)</f>
        <v>6911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IFERROR(__xludf.DUMMYFUNCTION("""COMPUTED_VALUE"""),6983.5)</f>
        <v>6983.5</v>
      </c>
      <c r="C74" s="16">
        <f>IFERROR(__xludf.DUMMYFUNCTION("""COMPUTED_VALUE"""),45847.6458333333)</f>
        <v>45847.6458333333</v>
      </c>
      <c r="D74" s="17">
        <f>IFERROR(__xludf.DUMMYFUNCTION("""COMPUTED_VALUE"""),6930)</f>
        <v>6930</v>
      </c>
      <c r="E74" s="16">
        <f>IFERROR(__xludf.DUMMYFUNCTION("""COMPUTED_VALUE"""),45847.6458333333)</f>
        <v>45847.6458333333</v>
      </c>
      <c r="F74" s="17">
        <f>IFERROR(__xludf.DUMMYFUNCTION("""COMPUTED_VALUE"""),382020)</f>
        <v>382020</v>
      </c>
      <c r="G74" s="16">
        <f>IFERROR(__xludf.DUMMYFUNCTION("""COMPUTED_VALUE"""),45847.6458333333)</f>
        <v>45847.6458333333</v>
      </c>
      <c r="H74" s="17">
        <f>IFERROR(__xludf.DUMMYFUNCTION("""COMPUTED_VALUE"""),7009.5)</f>
        <v>7009.5</v>
      </c>
      <c r="I74" s="16">
        <f>IFERROR(__xludf.DUMMYFUNCTION("""COMPUTED_VALUE"""),45847.6458333333)</f>
        <v>45847.6458333333</v>
      </c>
      <c r="J74" s="17">
        <f>IFERROR(__xludf.DUMMYFUNCTION("""COMPUTED_VALUE"""),6920)</f>
        <v>6920</v>
      </c>
      <c r="K74" s="3">
        <f t="shared" si="2"/>
        <v>6983.5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IFERROR(__xludf.DUMMYFUNCTION("""COMPUTED_VALUE"""),6844.5)</f>
        <v>6844.5</v>
      </c>
      <c r="C75" s="16">
        <f>IFERROR(__xludf.DUMMYFUNCTION("""COMPUTED_VALUE"""),45848.6458333333)</f>
        <v>45848.6458333333</v>
      </c>
      <c r="D75" s="17">
        <f>IFERROR(__xludf.DUMMYFUNCTION("""COMPUTED_VALUE"""),6960)</f>
        <v>6960</v>
      </c>
      <c r="E75" s="16">
        <f>IFERROR(__xludf.DUMMYFUNCTION("""COMPUTED_VALUE"""),45848.6458333333)</f>
        <v>45848.6458333333</v>
      </c>
      <c r="F75" s="17">
        <f>IFERROR(__xludf.DUMMYFUNCTION("""COMPUTED_VALUE"""),183664)</f>
        <v>183664</v>
      </c>
      <c r="G75" s="16">
        <f>IFERROR(__xludf.DUMMYFUNCTION("""COMPUTED_VALUE"""),45848.6458333333)</f>
        <v>45848.6458333333</v>
      </c>
      <c r="H75" s="17">
        <f>IFERROR(__xludf.DUMMYFUNCTION("""COMPUTED_VALUE"""),6982.5)</f>
        <v>6982.5</v>
      </c>
      <c r="I75" s="16">
        <f>IFERROR(__xludf.DUMMYFUNCTION("""COMPUTED_VALUE"""),45848.6458333333)</f>
        <v>45848.6458333333</v>
      </c>
      <c r="J75" s="17">
        <f>IFERROR(__xludf.DUMMYFUNCTION("""COMPUTED_VALUE"""),6830)</f>
        <v>6830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IFERROR(__xludf.DUMMYFUNCTION("""COMPUTED_VALUE"""),6835)</f>
        <v>6835</v>
      </c>
      <c r="C76" s="16">
        <f>IFERROR(__xludf.DUMMYFUNCTION("""COMPUTED_VALUE"""),45849.6458333333)</f>
        <v>45849.6458333333</v>
      </c>
      <c r="D76" s="17">
        <f>IFERROR(__xludf.DUMMYFUNCTION("""COMPUTED_VALUE"""),6830)</f>
        <v>6830</v>
      </c>
      <c r="E76" s="16">
        <f>IFERROR(__xludf.DUMMYFUNCTION("""COMPUTED_VALUE"""),45849.6458333333)</f>
        <v>45849.6458333333</v>
      </c>
      <c r="F76" s="17">
        <f>IFERROR(__xludf.DUMMYFUNCTION("""COMPUTED_VALUE"""),224031)</f>
        <v>224031</v>
      </c>
      <c r="G76" s="16">
        <f>IFERROR(__xludf.DUMMYFUNCTION("""COMPUTED_VALUE"""),45849.6458333333)</f>
        <v>45849.6458333333</v>
      </c>
      <c r="H76" s="17">
        <f>IFERROR(__xludf.DUMMYFUNCTION("""COMPUTED_VALUE"""),6905.5)</f>
        <v>6905.5</v>
      </c>
      <c r="I76" s="16">
        <f>IFERROR(__xludf.DUMMYFUNCTION("""COMPUTED_VALUE"""),45849.6458333333)</f>
        <v>45849.6458333333</v>
      </c>
      <c r="J76" s="17">
        <f>IFERROR(__xludf.DUMMYFUNCTION("""COMPUTED_VALUE"""),6825)</f>
        <v>6825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IFERROR(__xludf.DUMMYFUNCTION("""COMPUTED_VALUE"""),6778.5)</f>
        <v>6778.5</v>
      </c>
      <c r="C77" s="16">
        <f>IFERROR(__xludf.DUMMYFUNCTION("""COMPUTED_VALUE"""),45852.6458333333)</f>
        <v>45852.6458333333</v>
      </c>
      <c r="D77" s="17">
        <f>IFERROR(__xludf.DUMMYFUNCTION("""COMPUTED_VALUE"""),6650)</f>
        <v>6650</v>
      </c>
      <c r="E77" s="16">
        <f>IFERROR(__xludf.DUMMYFUNCTION("""COMPUTED_VALUE"""),45852.6458333333)</f>
        <v>45852.6458333333</v>
      </c>
      <c r="F77" s="17">
        <f>IFERROR(__xludf.DUMMYFUNCTION("""COMPUTED_VALUE"""),968781)</f>
        <v>968781</v>
      </c>
      <c r="G77" s="16">
        <f>IFERROR(__xludf.DUMMYFUNCTION("""COMPUTED_VALUE"""),45852.6458333333)</f>
        <v>45852.6458333333</v>
      </c>
      <c r="H77" s="17">
        <f>IFERROR(__xludf.DUMMYFUNCTION("""COMPUTED_VALUE"""),6825.5)</f>
        <v>6825.5</v>
      </c>
      <c r="I77" s="16">
        <f>IFERROR(__xludf.DUMMYFUNCTION("""COMPUTED_VALUE"""),45852.6458333333)</f>
        <v>45852.6458333333</v>
      </c>
      <c r="J77" s="17">
        <f>IFERROR(__xludf.DUMMYFUNCTION("""COMPUTED_VALUE"""),6545)</f>
        <v>6545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IFERROR(__xludf.DUMMYFUNCTION("""COMPUTED_VALUE"""),6790)</f>
        <v>6790</v>
      </c>
      <c r="C78" s="16">
        <f>IFERROR(__xludf.DUMMYFUNCTION("""COMPUTED_VALUE"""),45853.6458333333)</f>
        <v>45853.6458333333</v>
      </c>
      <c r="D78" s="17">
        <f>IFERROR(__xludf.DUMMYFUNCTION("""COMPUTED_VALUE"""),6800)</f>
        <v>6800</v>
      </c>
      <c r="E78" s="16">
        <f>IFERROR(__xludf.DUMMYFUNCTION("""COMPUTED_VALUE"""),45853.6458333333)</f>
        <v>45853.6458333333</v>
      </c>
      <c r="F78" s="17">
        <f>IFERROR(__xludf.DUMMYFUNCTION("""COMPUTED_VALUE"""),132235)</f>
        <v>132235</v>
      </c>
      <c r="G78" s="16">
        <f>IFERROR(__xludf.DUMMYFUNCTION("""COMPUTED_VALUE"""),45853.6458333333)</f>
        <v>45853.6458333333</v>
      </c>
      <c r="H78" s="17">
        <f>IFERROR(__xludf.DUMMYFUNCTION("""COMPUTED_VALUE"""),6818.5)</f>
        <v>6818.5</v>
      </c>
      <c r="I78" s="16">
        <f>IFERROR(__xludf.DUMMYFUNCTION("""COMPUTED_VALUE"""),45853.6458333333)</f>
        <v>45853.6458333333</v>
      </c>
      <c r="J78" s="17">
        <f>IFERROR(__xludf.DUMMYFUNCTION("""COMPUTED_VALUE"""),6734.5)</f>
        <v>6734.5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IFERROR(__xludf.DUMMYFUNCTION("""COMPUTED_VALUE"""),6831)</f>
        <v>6831</v>
      </c>
      <c r="C79" s="16">
        <f>IFERROR(__xludf.DUMMYFUNCTION("""COMPUTED_VALUE"""),45854.6458333333)</f>
        <v>45854.6458333333</v>
      </c>
      <c r="D79" s="17">
        <f>IFERROR(__xludf.DUMMYFUNCTION("""COMPUTED_VALUE"""),6790)</f>
        <v>6790</v>
      </c>
      <c r="E79" s="16">
        <f>IFERROR(__xludf.DUMMYFUNCTION("""COMPUTED_VALUE"""),45854.6458333333)</f>
        <v>45854.6458333333</v>
      </c>
      <c r="F79" s="17">
        <f>IFERROR(__xludf.DUMMYFUNCTION("""COMPUTED_VALUE"""),327289)</f>
        <v>327289</v>
      </c>
      <c r="G79" s="16">
        <f>IFERROR(__xludf.DUMMYFUNCTION("""COMPUTED_VALUE"""),45854.6458333333)</f>
        <v>45854.6458333333</v>
      </c>
      <c r="H79" s="17">
        <f>IFERROR(__xludf.DUMMYFUNCTION("""COMPUTED_VALUE"""),6859.5)</f>
        <v>6859.5</v>
      </c>
      <c r="I79" s="16">
        <f>IFERROR(__xludf.DUMMYFUNCTION("""COMPUTED_VALUE"""),45854.6458333333)</f>
        <v>45854.6458333333</v>
      </c>
      <c r="J79" s="17">
        <f>IFERROR(__xludf.DUMMYFUNCTION("""COMPUTED_VALUE"""),6751)</f>
        <v>6751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IFERROR(__xludf.DUMMYFUNCTION("""COMPUTED_VALUE"""),6790.5)</f>
        <v>6790.5</v>
      </c>
      <c r="C80" s="16">
        <f>IFERROR(__xludf.DUMMYFUNCTION("""COMPUTED_VALUE"""),45855.6458333333)</f>
        <v>45855.6458333333</v>
      </c>
      <c r="D80" s="17">
        <f>IFERROR(__xludf.DUMMYFUNCTION("""COMPUTED_VALUE"""),6830.5)</f>
        <v>6830.5</v>
      </c>
      <c r="E80" s="16">
        <f>IFERROR(__xludf.DUMMYFUNCTION("""COMPUTED_VALUE"""),45855.6458333333)</f>
        <v>45855.6458333333</v>
      </c>
      <c r="F80" s="17">
        <f>IFERROR(__xludf.DUMMYFUNCTION("""COMPUTED_VALUE"""),291956)</f>
        <v>291956</v>
      </c>
      <c r="G80" s="16">
        <f>IFERROR(__xludf.DUMMYFUNCTION("""COMPUTED_VALUE"""),45855.6458333333)</f>
        <v>45855.6458333333</v>
      </c>
      <c r="H80" s="17">
        <f>IFERROR(__xludf.DUMMYFUNCTION("""COMPUTED_VALUE"""),6881)</f>
        <v>6881</v>
      </c>
      <c r="I80" s="16">
        <f>IFERROR(__xludf.DUMMYFUNCTION("""COMPUTED_VALUE"""),45855.6458333333)</f>
        <v>45855.6458333333</v>
      </c>
      <c r="J80" s="17">
        <f>IFERROR(__xludf.DUMMYFUNCTION("""COMPUTED_VALUE"""),6763)</f>
        <v>6763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IFERROR(__xludf.DUMMYFUNCTION("""COMPUTED_VALUE"""),6731.5)</f>
        <v>6731.5</v>
      </c>
      <c r="C81" s="16">
        <f>IFERROR(__xludf.DUMMYFUNCTION("""COMPUTED_VALUE"""),45856.6458333333)</f>
        <v>45856.6458333333</v>
      </c>
      <c r="D81" s="17">
        <f>IFERROR(__xludf.DUMMYFUNCTION("""COMPUTED_VALUE"""),6780)</f>
        <v>6780</v>
      </c>
      <c r="E81" s="16">
        <f>IFERROR(__xludf.DUMMYFUNCTION("""COMPUTED_VALUE"""),45856.6458333333)</f>
        <v>45856.6458333333</v>
      </c>
      <c r="F81" s="17">
        <f>IFERROR(__xludf.DUMMYFUNCTION("""COMPUTED_VALUE"""),196816)</f>
        <v>196816</v>
      </c>
      <c r="G81" s="16">
        <f>IFERROR(__xludf.DUMMYFUNCTION("""COMPUTED_VALUE"""),45856.6458333333)</f>
        <v>45856.6458333333</v>
      </c>
      <c r="H81" s="17">
        <f>IFERROR(__xludf.DUMMYFUNCTION("""COMPUTED_VALUE"""),6781.5)</f>
        <v>6781.5</v>
      </c>
      <c r="I81" s="16">
        <f>IFERROR(__xludf.DUMMYFUNCTION("""COMPUTED_VALUE"""),45856.6458333333)</f>
        <v>45856.6458333333</v>
      </c>
      <c r="J81" s="17">
        <f>IFERROR(__xludf.DUMMYFUNCTION("""COMPUTED_VALUE"""),6682.5)</f>
        <v>6682.5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IFERROR(__xludf.DUMMYFUNCTION("""COMPUTED_VALUE"""),6688)</f>
        <v>6688</v>
      </c>
      <c r="C82" s="16">
        <f>IFERROR(__xludf.DUMMYFUNCTION("""COMPUTED_VALUE"""),45859.6458333333)</f>
        <v>45859.6458333333</v>
      </c>
      <c r="D82" s="17">
        <f>IFERROR(__xludf.DUMMYFUNCTION("""COMPUTED_VALUE"""),6742)</f>
        <v>6742</v>
      </c>
      <c r="E82" s="16">
        <f>IFERROR(__xludf.DUMMYFUNCTION("""COMPUTED_VALUE"""),45859.6458333333)</f>
        <v>45859.6458333333</v>
      </c>
      <c r="F82" s="17">
        <f>IFERROR(__xludf.DUMMYFUNCTION("""COMPUTED_VALUE"""),152442)</f>
        <v>152442</v>
      </c>
      <c r="G82" s="16">
        <f>IFERROR(__xludf.DUMMYFUNCTION("""COMPUTED_VALUE"""),45859.6458333333)</f>
        <v>45859.6458333333</v>
      </c>
      <c r="H82" s="17">
        <f>IFERROR(__xludf.DUMMYFUNCTION("""COMPUTED_VALUE"""),6746)</f>
        <v>6746</v>
      </c>
      <c r="I82" s="16">
        <f>IFERROR(__xludf.DUMMYFUNCTION("""COMPUTED_VALUE"""),45859.6458333333)</f>
        <v>45859.6458333333</v>
      </c>
      <c r="J82" s="17">
        <f>IFERROR(__xludf.DUMMYFUNCTION("""COMPUTED_VALUE"""),6663.5)</f>
        <v>6663.5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IFERROR(__xludf.DUMMYFUNCTION("""COMPUTED_VALUE"""),6613)</f>
        <v>6613</v>
      </c>
      <c r="C83" s="16">
        <f>IFERROR(__xludf.DUMMYFUNCTION("""COMPUTED_VALUE"""),45860.6458333333)</f>
        <v>45860.6458333333</v>
      </c>
      <c r="D83" s="17">
        <f>IFERROR(__xludf.DUMMYFUNCTION("""COMPUTED_VALUE"""),6685)</f>
        <v>6685</v>
      </c>
      <c r="E83" s="16">
        <f>IFERROR(__xludf.DUMMYFUNCTION("""COMPUTED_VALUE"""),45860.6458333333)</f>
        <v>45860.6458333333</v>
      </c>
      <c r="F83" s="17">
        <f>IFERROR(__xludf.DUMMYFUNCTION("""COMPUTED_VALUE"""),272172)</f>
        <v>272172</v>
      </c>
      <c r="G83" s="16">
        <f>IFERROR(__xludf.DUMMYFUNCTION("""COMPUTED_VALUE"""),45860.6458333333)</f>
        <v>45860.6458333333</v>
      </c>
      <c r="H83" s="17">
        <f>IFERROR(__xludf.DUMMYFUNCTION("""COMPUTED_VALUE"""),6685)</f>
        <v>6685</v>
      </c>
      <c r="I83" s="16">
        <f>IFERROR(__xludf.DUMMYFUNCTION("""COMPUTED_VALUE"""),45860.6458333333)</f>
        <v>45860.6458333333</v>
      </c>
      <c r="J83" s="17">
        <f>IFERROR(__xludf.DUMMYFUNCTION("""COMPUTED_VALUE"""),6579.5)</f>
        <v>6579.5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IFERROR(__xludf.DUMMYFUNCTION("""COMPUTED_VALUE"""),6653)</f>
        <v>6653</v>
      </c>
      <c r="C84" s="16">
        <f>IFERROR(__xludf.DUMMYFUNCTION("""COMPUTED_VALUE"""),45861.6458333333)</f>
        <v>45861.6458333333</v>
      </c>
      <c r="D84" s="17">
        <f>IFERROR(__xludf.DUMMYFUNCTION("""COMPUTED_VALUE"""),6641)</f>
        <v>6641</v>
      </c>
      <c r="E84" s="16">
        <f>IFERROR(__xludf.DUMMYFUNCTION("""COMPUTED_VALUE"""),45861.6458333333)</f>
        <v>45861.6458333333</v>
      </c>
      <c r="F84" s="17">
        <f>IFERROR(__xludf.DUMMYFUNCTION("""COMPUTED_VALUE"""),206835)</f>
        <v>206835</v>
      </c>
      <c r="G84" s="16">
        <f>IFERROR(__xludf.DUMMYFUNCTION("""COMPUTED_VALUE"""),45861.6458333333)</f>
        <v>45861.6458333333</v>
      </c>
      <c r="H84" s="17">
        <f>IFERROR(__xludf.DUMMYFUNCTION("""COMPUTED_VALUE"""),6679)</f>
        <v>6679</v>
      </c>
      <c r="I84" s="16">
        <f>IFERROR(__xludf.DUMMYFUNCTION("""COMPUTED_VALUE"""),45861.6458333333)</f>
        <v>45861.6458333333</v>
      </c>
      <c r="J84" s="17">
        <f>IFERROR(__xludf.DUMMYFUNCTION("""COMPUTED_VALUE"""),6616)</f>
        <v>6616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IFERROR(__xludf.DUMMYFUNCTION("""COMPUTED_VALUE"""),6618.5)</f>
        <v>6618.5</v>
      </c>
      <c r="C85" s="16">
        <f>IFERROR(__xludf.DUMMYFUNCTION("""COMPUTED_VALUE"""),45862.6458333333)</f>
        <v>45862.6458333333</v>
      </c>
      <c r="D85" s="17">
        <f>IFERROR(__xludf.DUMMYFUNCTION("""COMPUTED_VALUE"""),6653)</f>
        <v>6653</v>
      </c>
      <c r="E85" s="16">
        <f>IFERROR(__xludf.DUMMYFUNCTION("""COMPUTED_VALUE"""),45862.6458333333)</f>
        <v>45862.6458333333</v>
      </c>
      <c r="F85" s="17">
        <f>IFERROR(__xludf.DUMMYFUNCTION("""COMPUTED_VALUE"""),183852)</f>
        <v>183852</v>
      </c>
      <c r="G85" s="16">
        <f>IFERROR(__xludf.DUMMYFUNCTION("""COMPUTED_VALUE"""),45862.6458333333)</f>
        <v>45862.6458333333</v>
      </c>
      <c r="H85" s="17">
        <f>IFERROR(__xludf.DUMMYFUNCTION("""COMPUTED_VALUE"""),6683.5)</f>
        <v>6683.5</v>
      </c>
      <c r="I85" s="16">
        <f>IFERROR(__xludf.DUMMYFUNCTION("""COMPUTED_VALUE"""),45862.6458333333)</f>
        <v>45862.6458333333</v>
      </c>
      <c r="J85" s="17">
        <f>IFERROR(__xludf.DUMMYFUNCTION("""COMPUTED_VALUE"""),6600)</f>
        <v>6600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IFERROR(__xludf.DUMMYFUNCTION("""COMPUTED_VALUE"""),6616.5)</f>
        <v>6616.5</v>
      </c>
      <c r="C86" s="16">
        <f>IFERROR(__xludf.DUMMYFUNCTION("""COMPUTED_VALUE"""),45863.6458333333)</f>
        <v>45863.6458333333</v>
      </c>
      <c r="D86" s="17">
        <f>IFERROR(__xludf.DUMMYFUNCTION("""COMPUTED_VALUE"""),6598)</f>
        <v>6598</v>
      </c>
      <c r="E86" s="16">
        <f>IFERROR(__xludf.DUMMYFUNCTION("""COMPUTED_VALUE"""),45863.6458333333)</f>
        <v>45863.6458333333</v>
      </c>
      <c r="F86" s="17">
        <f>IFERROR(__xludf.DUMMYFUNCTION("""COMPUTED_VALUE"""),179064)</f>
        <v>179064</v>
      </c>
      <c r="G86" s="16">
        <f>IFERROR(__xludf.DUMMYFUNCTION("""COMPUTED_VALUE"""),45863.6458333333)</f>
        <v>45863.6458333333</v>
      </c>
      <c r="H86" s="17">
        <f>IFERROR(__xludf.DUMMYFUNCTION("""COMPUTED_VALUE"""),6652)</f>
        <v>6652</v>
      </c>
      <c r="I86" s="16">
        <f>IFERROR(__xludf.DUMMYFUNCTION("""COMPUTED_VALUE"""),45863.6458333333)</f>
        <v>45863.6458333333</v>
      </c>
      <c r="J86" s="17">
        <f>IFERROR(__xludf.DUMMYFUNCTION("""COMPUTED_VALUE"""),6569)</f>
        <v>6569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IFERROR(__xludf.DUMMYFUNCTION("""COMPUTED_VALUE"""),6584)</f>
        <v>6584</v>
      </c>
      <c r="C87" s="16">
        <f>IFERROR(__xludf.DUMMYFUNCTION("""COMPUTED_VALUE"""),45866.6458333333)</f>
        <v>45866.6458333333</v>
      </c>
      <c r="D87" s="17">
        <f>IFERROR(__xludf.DUMMYFUNCTION("""COMPUTED_VALUE"""),6616.5)</f>
        <v>6616.5</v>
      </c>
      <c r="E87" s="16">
        <f>IFERROR(__xludf.DUMMYFUNCTION("""COMPUTED_VALUE"""),45866.6458333333)</f>
        <v>45866.6458333333</v>
      </c>
      <c r="F87" s="17">
        <f>IFERROR(__xludf.DUMMYFUNCTION("""COMPUTED_VALUE"""),155158)</f>
        <v>155158</v>
      </c>
      <c r="G87" s="16">
        <f>IFERROR(__xludf.DUMMYFUNCTION("""COMPUTED_VALUE"""),45866.6458333333)</f>
        <v>45866.6458333333</v>
      </c>
      <c r="H87" s="17">
        <f>IFERROR(__xludf.DUMMYFUNCTION("""COMPUTED_VALUE"""),6713.5)</f>
        <v>6713.5</v>
      </c>
      <c r="I87" s="16">
        <f>IFERROR(__xludf.DUMMYFUNCTION("""COMPUTED_VALUE"""),45866.6458333333)</f>
        <v>45866.6458333333</v>
      </c>
      <c r="J87" s="17">
        <f>IFERROR(__xludf.DUMMYFUNCTION("""COMPUTED_VALUE"""),6555.5)</f>
        <v>6555.5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IFERROR(__xludf.DUMMYFUNCTION("""COMPUTED_VALUE"""),6676.5)</f>
        <v>6676.5</v>
      </c>
      <c r="C88" s="16">
        <f>IFERROR(__xludf.DUMMYFUNCTION("""COMPUTED_VALUE"""),45867.6458333333)</f>
        <v>45867.6458333333</v>
      </c>
      <c r="D88" s="17">
        <f>IFERROR(__xludf.DUMMYFUNCTION("""COMPUTED_VALUE"""),6580)</f>
        <v>6580</v>
      </c>
      <c r="E88" s="16">
        <f>IFERROR(__xludf.DUMMYFUNCTION("""COMPUTED_VALUE"""),45867.6458333333)</f>
        <v>45867.6458333333</v>
      </c>
      <c r="F88" s="17">
        <f>IFERROR(__xludf.DUMMYFUNCTION("""COMPUTED_VALUE"""),207710)</f>
        <v>207710</v>
      </c>
      <c r="G88" s="16">
        <f>IFERROR(__xludf.DUMMYFUNCTION("""COMPUTED_VALUE"""),45867.6458333333)</f>
        <v>45867.6458333333</v>
      </c>
      <c r="H88" s="17">
        <f>IFERROR(__xludf.DUMMYFUNCTION("""COMPUTED_VALUE"""),6688)</f>
        <v>6688</v>
      </c>
      <c r="I88" s="16">
        <f>IFERROR(__xludf.DUMMYFUNCTION("""COMPUTED_VALUE"""),45867.6458333333)</f>
        <v>45867.6458333333</v>
      </c>
      <c r="J88" s="17">
        <f>IFERROR(__xludf.DUMMYFUNCTION("""COMPUTED_VALUE"""),6473)</f>
        <v>6473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IFERROR(__xludf.DUMMYFUNCTION("""COMPUTED_VALUE"""),6650)</f>
        <v>6650</v>
      </c>
      <c r="C89" s="16">
        <f>IFERROR(__xludf.DUMMYFUNCTION("""COMPUTED_VALUE"""),45868.6458333333)</f>
        <v>45868.6458333333</v>
      </c>
      <c r="D89" s="17">
        <f>IFERROR(__xludf.DUMMYFUNCTION("""COMPUTED_VALUE"""),6643.5)</f>
        <v>6643.5</v>
      </c>
      <c r="E89" s="16">
        <f>IFERROR(__xludf.DUMMYFUNCTION("""COMPUTED_VALUE"""),45868.6458333333)</f>
        <v>45868.6458333333</v>
      </c>
      <c r="F89" s="17">
        <f>IFERROR(__xludf.DUMMYFUNCTION("""COMPUTED_VALUE"""),226974)</f>
        <v>226974</v>
      </c>
      <c r="G89" s="16">
        <f>IFERROR(__xludf.DUMMYFUNCTION("""COMPUTED_VALUE"""),45868.6458333333)</f>
        <v>45868.6458333333</v>
      </c>
      <c r="H89" s="17">
        <f>IFERROR(__xludf.DUMMYFUNCTION("""COMPUTED_VALUE"""),6733.5)</f>
        <v>6733.5</v>
      </c>
      <c r="I89" s="16">
        <f>IFERROR(__xludf.DUMMYFUNCTION("""COMPUTED_VALUE"""),45868.6458333333)</f>
        <v>45868.6458333333</v>
      </c>
      <c r="J89" s="17">
        <f>IFERROR(__xludf.DUMMYFUNCTION("""COMPUTED_VALUE"""),6601.5)</f>
        <v>6601.5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IFERROR(__xludf.DUMMYFUNCTION("""COMPUTED_VALUE"""),6595.5)</f>
        <v>6595.5</v>
      </c>
      <c r="C90" s="16">
        <f>IFERROR(__xludf.DUMMYFUNCTION("""COMPUTED_VALUE"""),45869.6458333333)</f>
        <v>45869.6458333333</v>
      </c>
      <c r="D90" s="17">
        <f>IFERROR(__xludf.DUMMYFUNCTION("""COMPUTED_VALUE"""),6556)</f>
        <v>6556</v>
      </c>
      <c r="E90" s="16">
        <f>IFERROR(__xludf.DUMMYFUNCTION("""COMPUTED_VALUE"""),45869.6458333333)</f>
        <v>45869.6458333333</v>
      </c>
      <c r="F90" s="17">
        <f>IFERROR(__xludf.DUMMYFUNCTION("""COMPUTED_VALUE"""),208301)</f>
        <v>208301</v>
      </c>
      <c r="G90" s="16">
        <f>IFERROR(__xludf.DUMMYFUNCTION("""COMPUTED_VALUE"""),45869.6458333333)</f>
        <v>45869.6458333333</v>
      </c>
      <c r="H90" s="17">
        <f>IFERROR(__xludf.DUMMYFUNCTION("""COMPUTED_VALUE"""),6662.5)</f>
        <v>6662.5</v>
      </c>
      <c r="I90" s="16">
        <f>IFERROR(__xludf.DUMMYFUNCTION("""COMPUTED_VALUE"""),45869.6458333333)</f>
        <v>45869.6458333333</v>
      </c>
      <c r="J90" s="17">
        <f>IFERROR(__xludf.DUMMYFUNCTION("""COMPUTED_VALUE"""),6552)</f>
        <v>6552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IFERROR(__xludf.DUMMYFUNCTION("""COMPUTED_VALUE"""),6361.5)</f>
        <v>6361.5</v>
      </c>
      <c r="C91" s="16">
        <f>IFERROR(__xludf.DUMMYFUNCTION("""COMPUTED_VALUE"""),45870.6458333333)</f>
        <v>45870.6458333333</v>
      </c>
      <c r="D91" s="17">
        <f>IFERROR(__xludf.DUMMYFUNCTION("""COMPUTED_VALUE"""),6598)</f>
        <v>6598</v>
      </c>
      <c r="E91" s="16">
        <f>IFERROR(__xludf.DUMMYFUNCTION("""COMPUTED_VALUE"""),45870.6458333333)</f>
        <v>45870.6458333333</v>
      </c>
      <c r="F91" s="17">
        <f>IFERROR(__xludf.DUMMYFUNCTION("""COMPUTED_VALUE"""),467222)</f>
        <v>467222</v>
      </c>
      <c r="G91" s="16">
        <f>IFERROR(__xludf.DUMMYFUNCTION("""COMPUTED_VALUE"""),45870.6458333333)</f>
        <v>45870.6458333333</v>
      </c>
      <c r="H91" s="17">
        <f>IFERROR(__xludf.DUMMYFUNCTION("""COMPUTED_VALUE"""),6598)</f>
        <v>6598</v>
      </c>
      <c r="I91" s="16">
        <f>IFERROR(__xludf.DUMMYFUNCTION("""COMPUTED_VALUE"""),45870.6458333333)</f>
        <v>45870.6458333333</v>
      </c>
      <c r="J91" s="17">
        <f>IFERROR(__xludf.DUMMYFUNCTION("""COMPUTED_VALUE"""),6335.5)</f>
        <v>6335.5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IFERROR(__xludf.DUMMYFUNCTION("""COMPUTED_VALUE"""),6489.5)</f>
        <v>6489.5</v>
      </c>
      <c r="C92" s="16">
        <f>IFERROR(__xludf.DUMMYFUNCTION("""COMPUTED_VALUE"""),45873.6458333333)</f>
        <v>45873.6458333333</v>
      </c>
      <c r="D92" s="17">
        <f>IFERROR(__xludf.DUMMYFUNCTION("""COMPUTED_VALUE"""),6372)</f>
        <v>6372</v>
      </c>
      <c r="E92" s="16">
        <f>IFERROR(__xludf.DUMMYFUNCTION("""COMPUTED_VALUE"""),45873.6458333333)</f>
        <v>45873.6458333333</v>
      </c>
      <c r="F92" s="17">
        <f>IFERROR(__xludf.DUMMYFUNCTION("""COMPUTED_VALUE"""),351237)</f>
        <v>351237</v>
      </c>
      <c r="G92" s="16">
        <f>IFERROR(__xludf.DUMMYFUNCTION("""COMPUTED_VALUE"""),45873.6458333333)</f>
        <v>45873.6458333333</v>
      </c>
      <c r="H92" s="17">
        <f>IFERROR(__xludf.DUMMYFUNCTION("""COMPUTED_VALUE"""),6513.5)</f>
        <v>6513.5</v>
      </c>
      <c r="I92" s="16">
        <f>IFERROR(__xludf.DUMMYFUNCTION("""COMPUTED_VALUE"""),45873.6458333333)</f>
        <v>45873.6458333333</v>
      </c>
      <c r="J92" s="17">
        <f>IFERROR(__xludf.DUMMYFUNCTION("""COMPUTED_VALUE"""),6343)</f>
        <v>6343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IFERROR(__xludf.DUMMYFUNCTION("""COMPUTED_VALUE"""),6409)</f>
        <v>6409</v>
      </c>
      <c r="C93" s="16">
        <f>IFERROR(__xludf.DUMMYFUNCTION("""COMPUTED_VALUE"""),45874.6458333333)</f>
        <v>45874.6458333333</v>
      </c>
      <c r="D93" s="17">
        <f>IFERROR(__xludf.DUMMYFUNCTION("""COMPUTED_VALUE"""),6489.5)</f>
        <v>6489.5</v>
      </c>
      <c r="E93" s="16">
        <f>IFERROR(__xludf.DUMMYFUNCTION("""COMPUTED_VALUE"""),45874.6458333333)</f>
        <v>45874.6458333333</v>
      </c>
      <c r="F93" s="17">
        <f>IFERROR(__xludf.DUMMYFUNCTION("""COMPUTED_VALUE"""),377699)</f>
        <v>377699</v>
      </c>
      <c r="G93" s="16">
        <f>IFERROR(__xludf.DUMMYFUNCTION("""COMPUTED_VALUE"""),45874.6458333333)</f>
        <v>45874.6458333333</v>
      </c>
      <c r="H93" s="17">
        <f>IFERROR(__xludf.DUMMYFUNCTION("""COMPUTED_VALUE"""),6530.5)</f>
        <v>6530.5</v>
      </c>
      <c r="I93" s="16">
        <f>IFERROR(__xludf.DUMMYFUNCTION("""COMPUTED_VALUE"""),45874.6458333333)</f>
        <v>45874.6458333333</v>
      </c>
      <c r="J93" s="17">
        <f>IFERROR(__xludf.DUMMYFUNCTION("""COMPUTED_VALUE"""),6363.5)</f>
        <v>6363.5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IFERROR(__xludf.DUMMYFUNCTION("""COMPUTED_VALUE"""),6133.5)</f>
        <v>6133.5</v>
      </c>
      <c r="C94" s="16">
        <f>IFERROR(__xludf.DUMMYFUNCTION("""COMPUTED_VALUE"""),45875.6458333333)</f>
        <v>45875.6458333333</v>
      </c>
      <c r="D94" s="17">
        <f>IFERROR(__xludf.DUMMYFUNCTION("""COMPUTED_VALUE"""),6410.5)</f>
        <v>6410.5</v>
      </c>
      <c r="E94" s="16">
        <f>IFERROR(__xludf.DUMMYFUNCTION("""COMPUTED_VALUE"""),45875.6458333333)</f>
        <v>45875.6458333333</v>
      </c>
      <c r="F94" s="17">
        <f>IFERROR(__xludf.DUMMYFUNCTION("""COMPUTED_VALUE"""),984259)</f>
        <v>984259</v>
      </c>
      <c r="G94" s="16">
        <f>IFERROR(__xludf.DUMMYFUNCTION("""COMPUTED_VALUE"""),45875.6458333333)</f>
        <v>45875.6458333333</v>
      </c>
      <c r="H94" s="17">
        <f>IFERROR(__xludf.DUMMYFUNCTION("""COMPUTED_VALUE"""),6449)</f>
        <v>6449</v>
      </c>
      <c r="I94" s="16">
        <f>IFERROR(__xludf.DUMMYFUNCTION("""COMPUTED_VALUE"""),45875.6458333333)</f>
        <v>45875.6458333333</v>
      </c>
      <c r="J94" s="17">
        <f>IFERROR(__xludf.DUMMYFUNCTION("""COMPUTED_VALUE"""),6054.5)</f>
        <v>6054.5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IFERROR(__xludf.DUMMYFUNCTION("""COMPUTED_VALUE"""),6131.5)</f>
        <v>6131.5</v>
      </c>
      <c r="C95" s="16">
        <f>IFERROR(__xludf.DUMMYFUNCTION("""COMPUTED_VALUE"""),45876.6458333333)</f>
        <v>45876.6458333333</v>
      </c>
      <c r="D95" s="17">
        <f>IFERROR(__xludf.DUMMYFUNCTION("""COMPUTED_VALUE"""),6150)</f>
        <v>6150</v>
      </c>
      <c r="E95" s="16">
        <f>IFERROR(__xludf.DUMMYFUNCTION("""COMPUTED_VALUE"""),45876.6458333333)</f>
        <v>45876.6458333333</v>
      </c>
      <c r="F95" s="17">
        <f>IFERROR(__xludf.DUMMYFUNCTION("""COMPUTED_VALUE"""),1004420)</f>
        <v>1004420</v>
      </c>
      <c r="G95" s="16">
        <f>IFERROR(__xludf.DUMMYFUNCTION("""COMPUTED_VALUE"""),45876.6458333333)</f>
        <v>45876.6458333333</v>
      </c>
      <c r="H95" s="17">
        <f>IFERROR(__xludf.DUMMYFUNCTION("""COMPUTED_VALUE"""),6174.5)</f>
        <v>6174.5</v>
      </c>
      <c r="I95" s="16">
        <f>IFERROR(__xludf.DUMMYFUNCTION("""COMPUTED_VALUE"""),45876.6458333333)</f>
        <v>45876.6458333333</v>
      </c>
      <c r="J95" s="17">
        <f>IFERROR(__xludf.DUMMYFUNCTION("""COMPUTED_VALUE"""),5960.5)</f>
        <v>5960.5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IFERROR(__xludf.DUMMYFUNCTION("""COMPUTED_VALUE"""),5914.5)</f>
        <v>5914.5</v>
      </c>
      <c r="C96" s="16">
        <f>IFERROR(__xludf.DUMMYFUNCTION("""COMPUTED_VALUE"""),45877.6458333333)</f>
        <v>45877.6458333333</v>
      </c>
      <c r="D96" s="17">
        <f>IFERROR(__xludf.DUMMYFUNCTION("""COMPUTED_VALUE"""),6100)</f>
        <v>6100</v>
      </c>
      <c r="E96" s="16">
        <f>IFERROR(__xludf.DUMMYFUNCTION("""COMPUTED_VALUE"""),45877.6458333333)</f>
        <v>45877.6458333333</v>
      </c>
      <c r="F96" s="17">
        <f>IFERROR(__xludf.DUMMYFUNCTION("""COMPUTED_VALUE"""),541367)</f>
        <v>541367</v>
      </c>
      <c r="G96" s="16">
        <f>IFERROR(__xludf.DUMMYFUNCTION("""COMPUTED_VALUE"""),45877.6458333333)</f>
        <v>45877.6458333333</v>
      </c>
      <c r="H96" s="17">
        <f>IFERROR(__xludf.DUMMYFUNCTION("""COMPUTED_VALUE"""),6118)</f>
        <v>6118</v>
      </c>
      <c r="I96" s="16">
        <f>IFERROR(__xludf.DUMMYFUNCTION("""COMPUTED_VALUE"""),45877.6458333333)</f>
        <v>45877.6458333333</v>
      </c>
      <c r="J96" s="17">
        <f>IFERROR(__xludf.DUMMYFUNCTION("""COMPUTED_VALUE"""),5893.5)</f>
        <v>5893.5</v>
      </c>
      <c r="K96" s="3">
        <f t="shared" si="2"/>
        <v>0</v>
      </c>
      <c r="L96" s="3">
        <f t="shared" si="3"/>
        <v>5914.5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IFERROR(__xludf.DUMMYFUNCTION("""COMPUTED_VALUE"""),5992)</f>
        <v>5992</v>
      </c>
      <c r="C97" s="16">
        <f>IFERROR(__xludf.DUMMYFUNCTION("""COMPUTED_VALUE"""),45880.6458333333)</f>
        <v>45880.6458333333</v>
      </c>
      <c r="D97" s="17">
        <f>IFERROR(__xludf.DUMMYFUNCTION("""COMPUTED_VALUE"""),5891)</f>
        <v>5891</v>
      </c>
      <c r="E97" s="16">
        <f>IFERROR(__xludf.DUMMYFUNCTION("""COMPUTED_VALUE"""),45880.6458333333)</f>
        <v>45880.6458333333</v>
      </c>
      <c r="F97" s="17">
        <f>IFERROR(__xludf.DUMMYFUNCTION("""COMPUTED_VALUE"""),677693)</f>
        <v>677693</v>
      </c>
      <c r="G97" s="16">
        <f>IFERROR(__xludf.DUMMYFUNCTION("""COMPUTED_VALUE"""),45880.6458333333)</f>
        <v>45880.6458333333</v>
      </c>
      <c r="H97" s="17">
        <f>IFERROR(__xludf.DUMMYFUNCTION("""COMPUTED_VALUE"""),6016)</f>
        <v>6016</v>
      </c>
      <c r="I97" s="16">
        <f>IFERROR(__xludf.DUMMYFUNCTION("""COMPUTED_VALUE"""),45880.6458333333)</f>
        <v>45880.6458333333</v>
      </c>
      <c r="J97" s="17">
        <f>IFERROR(__xludf.DUMMYFUNCTION("""COMPUTED_VALUE"""),5856.5)</f>
        <v>5856.5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IFERROR(__xludf.DUMMYFUNCTION("""COMPUTED_VALUE"""),5961)</f>
        <v>5961</v>
      </c>
      <c r="C98" s="16">
        <f>IFERROR(__xludf.DUMMYFUNCTION("""COMPUTED_VALUE"""),45881.6458333333)</f>
        <v>45881.6458333333</v>
      </c>
      <c r="D98" s="17">
        <f>IFERROR(__xludf.DUMMYFUNCTION("""COMPUTED_VALUE"""),5992)</f>
        <v>5992</v>
      </c>
      <c r="E98" s="16">
        <f>IFERROR(__xludf.DUMMYFUNCTION("""COMPUTED_VALUE"""),45881.6458333333)</f>
        <v>45881.6458333333</v>
      </c>
      <c r="F98" s="17">
        <f>IFERROR(__xludf.DUMMYFUNCTION("""COMPUTED_VALUE"""),477759)</f>
        <v>477759</v>
      </c>
      <c r="G98" s="16">
        <f>IFERROR(__xludf.DUMMYFUNCTION("""COMPUTED_VALUE"""),45881.6458333333)</f>
        <v>45881.6458333333</v>
      </c>
      <c r="H98" s="17">
        <f>IFERROR(__xludf.DUMMYFUNCTION("""COMPUTED_VALUE"""),6015)</f>
        <v>6015</v>
      </c>
      <c r="I98" s="16">
        <f>IFERROR(__xludf.DUMMYFUNCTION("""COMPUTED_VALUE"""),45881.6458333333)</f>
        <v>45881.6458333333</v>
      </c>
      <c r="J98" s="17">
        <f>IFERROR(__xludf.DUMMYFUNCTION("""COMPUTED_VALUE"""),5947)</f>
        <v>5947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IFERROR(__xludf.DUMMYFUNCTION("""COMPUTED_VALUE"""),6100.5)</f>
        <v>6100.5</v>
      </c>
      <c r="C99" s="16">
        <f>IFERROR(__xludf.DUMMYFUNCTION("""COMPUTED_VALUE"""),45882.6458333333)</f>
        <v>45882.6458333333</v>
      </c>
      <c r="D99" s="17">
        <f>IFERROR(__xludf.DUMMYFUNCTION("""COMPUTED_VALUE"""),5971)</f>
        <v>5971</v>
      </c>
      <c r="E99" s="16">
        <f>IFERROR(__xludf.DUMMYFUNCTION("""COMPUTED_VALUE"""),45882.6458333333)</f>
        <v>45882.6458333333</v>
      </c>
      <c r="F99" s="17">
        <f>IFERROR(__xludf.DUMMYFUNCTION("""COMPUTED_VALUE"""),394932)</f>
        <v>394932</v>
      </c>
      <c r="G99" s="16">
        <f>IFERROR(__xludf.DUMMYFUNCTION("""COMPUTED_VALUE"""),45882.6458333333)</f>
        <v>45882.6458333333</v>
      </c>
      <c r="H99" s="17">
        <f>IFERROR(__xludf.DUMMYFUNCTION("""COMPUTED_VALUE"""),6150)</f>
        <v>6150</v>
      </c>
      <c r="I99" s="16">
        <f>IFERROR(__xludf.DUMMYFUNCTION("""COMPUTED_VALUE"""),45882.6458333333)</f>
        <v>45882.6458333333</v>
      </c>
      <c r="J99" s="17">
        <f>IFERROR(__xludf.DUMMYFUNCTION("""COMPUTED_VALUE"""),5970)</f>
        <v>5970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IFERROR(__xludf.DUMMYFUNCTION("""COMPUTED_VALUE"""),6132.5)</f>
        <v>6132.5</v>
      </c>
      <c r="C100" s="16">
        <f>IFERROR(__xludf.DUMMYFUNCTION("""COMPUTED_VALUE"""),45883.6458333333)</f>
        <v>45883.6458333333</v>
      </c>
      <c r="D100" s="17">
        <f>IFERROR(__xludf.DUMMYFUNCTION("""COMPUTED_VALUE"""),6155)</f>
        <v>6155</v>
      </c>
      <c r="E100" s="16">
        <f>IFERROR(__xludf.DUMMYFUNCTION("""COMPUTED_VALUE"""),45883.6458333333)</f>
        <v>45883.6458333333</v>
      </c>
      <c r="F100" s="17">
        <f>IFERROR(__xludf.DUMMYFUNCTION("""COMPUTED_VALUE"""),407062)</f>
        <v>407062</v>
      </c>
      <c r="G100" s="16">
        <f>IFERROR(__xludf.DUMMYFUNCTION("""COMPUTED_VALUE"""),45883.6458333333)</f>
        <v>45883.6458333333</v>
      </c>
      <c r="H100" s="17">
        <f>IFERROR(__xludf.DUMMYFUNCTION("""COMPUTED_VALUE"""),6205)</f>
        <v>6205</v>
      </c>
      <c r="I100" s="16">
        <f>IFERROR(__xludf.DUMMYFUNCTION("""COMPUTED_VALUE"""),45883.6458333333)</f>
        <v>45883.6458333333</v>
      </c>
      <c r="J100" s="17">
        <f>IFERROR(__xludf.DUMMYFUNCTION("""COMPUTED_VALUE"""),6091)</f>
        <v>6091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IFERROR(__xludf.DUMMYFUNCTION("""COMPUTED_VALUE"""),6164.5)</f>
        <v>6164.5</v>
      </c>
      <c r="C101" s="16">
        <f>IFERROR(__xludf.DUMMYFUNCTION("""COMPUTED_VALUE"""),45887.6458333333)</f>
        <v>45887.6458333333</v>
      </c>
      <c r="D101" s="17">
        <f>IFERROR(__xludf.DUMMYFUNCTION("""COMPUTED_VALUE"""),6148)</f>
        <v>6148</v>
      </c>
      <c r="E101" s="16">
        <f>IFERROR(__xludf.DUMMYFUNCTION("""COMPUTED_VALUE"""),45887.6458333333)</f>
        <v>45887.6458333333</v>
      </c>
      <c r="F101" s="17">
        <f>IFERROR(__xludf.DUMMYFUNCTION("""COMPUTED_VALUE"""),362833)</f>
        <v>362833</v>
      </c>
      <c r="G101" s="16">
        <f>IFERROR(__xludf.DUMMYFUNCTION("""COMPUTED_VALUE"""),45887.6458333333)</f>
        <v>45887.6458333333</v>
      </c>
      <c r="H101" s="17">
        <f>IFERROR(__xludf.DUMMYFUNCTION("""COMPUTED_VALUE"""),6211.5)</f>
        <v>6211.5</v>
      </c>
      <c r="I101" s="16">
        <f>IFERROR(__xludf.DUMMYFUNCTION("""COMPUTED_VALUE"""),45887.6458333333)</f>
        <v>45887.6458333333</v>
      </c>
      <c r="J101" s="17">
        <f>IFERROR(__xludf.DUMMYFUNCTION("""COMPUTED_VALUE"""),6092.5)</f>
        <v>6092.5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IFERROR(__xludf.DUMMYFUNCTION("""COMPUTED_VALUE"""),6079.5)</f>
        <v>6079.5</v>
      </c>
      <c r="C102" s="16">
        <f>IFERROR(__xludf.DUMMYFUNCTION("""COMPUTED_VALUE"""),45888.6458333333)</f>
        <v>45888.6458333333</v>
      </c>
      <c r="D102" s="17">
        <f>IFERROR(__xludf.DUMMYFUNCTION("""COMPUTED_VALUE"""),6165)</f>
        <v>6165</v>
      </c>
      <c r="E102" s="16">
        <f>IFERROR(__xludf.DUMMYFUNCTION("""COMPUTED_VALUE"""),45888.6458333333)</f>
        <v>45888.6458333333</v>
      </c>
      <c r="F102" s="17">
        <f>IFERROR(__xludf.DUMMYFUNCTION("""COMPUTED_VALUE"""),246497)</f>
        <v>246497</v>
      </c>
      <c r="G102" s="16">
        <f>IFERROR(__xludf.DUMMYFUNCTION("""COMPUTED_VALUE"""),45888.6458333333)</f>
        <v>45888.6458333333</v>
      </c>
      <c r="H102" s="17">
        <f>IFERROR(__xludf.DUMMYFUNCTION("""COMPUTED_VALUE"""),6170.5)</f>
        <v>6170.5</v>
      </c>
      <c r="I102" s="16">
        <f>IFERROR(__xludf.DUMMYFUNCTION("""COMPUTED_VALUE"""),45888.6458333333)</f>
        <v>45888.6458333333</v>
      </c>
      <c r="J102" s="17">
        <f>IFERROR(__xludf.DUMMYFUNCTION("""COMPUTED_VALUE"""),6075)</f>
        <v>6075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IFERROR(__xludf.DUMMYFUNCTION("""COMPUTED_VALUE"""),6005)</f>
        <v>6005</v>
      </c>
      <c r="C103" s="16">
        <f>IFERROR(__xludf.DUMMYFUNCTION("""COMPUTED_VALUE"""),45889.6458333333)</f>
        <v>45889.6458333333</v>
      </c>
      <c r="D103" s="17">
        <f>IFERROR(__xludf.DUMMYFUNCTION("""COMPUTED_VALUE"""),6084)</f>
        <v>6084</v>
      </c>
      <c r="E103" s="16">
        <f>IFERROR(__xludf.DUMMYFUNCTION("""COMPUTED_VALUE"""),45889.6458333333)</f>
        <v>45889.6458333333</v>
      </c>
      <c r="F103" s="17">
        <f>IFERROR(__xludf.DUMMYFUNCTION("""COMPUTED_VALUE"""),544008)</f>
        <v>544008</v>
      </c>
      <c r="G103" s="16">
        <f>IFERROR(__xludf.DUMMYFUNCTION("""COMPUTED_VALUE"""),45889.6458333333)</f>
        <v>45889.6458333333</v>
      </c>
      <c r="H103" s="17">
        <f>IFERROR(__xludf.DUMMYFUNCTION("""COMPUTED_VALUE"""),6096)</f>
        <v>6096</v>
      </c>
      <c r="I103" s="16">
        <f>IFERROR(__xludf.DUMMYFUNCTION("""COMPUTED_VALUE"""),45889.6458333333)</f>
        <v>45889.6458333333</v>
      </c>
      <c r="J103" s="17">
        <f>IFERROR(__xludf.DUMMYFUNCTION("""COMPUTED_VALUE"""),5952.5)</f>
        <v>5952.5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IFERROR(__xludf.DUMMYFUNCTION("""COMPUTED_VALUE"""),6028)</f>
        <v>6028</v>
      </c>
      <c r="C104" s="16">
        <f>IFERROR(__xludf.DUMMYFUNCTION("""COMPUTED_VALUE"""),45890.6458333333)</f>
        <v>45890.6458333333</v>
      </c>
      <c r="D104" s="17">
        <f>IFERROR(__xludf.DUMMYFUNCTION("""COMPUTED_VALUE"""),6005)</f>
        <v>6005</v>
      </c>
      <c r="E104" s="16">
        <f>IFERROR(__xludf.DUMMYFUNCTION("""COMPUTED_VALUE"""),45890.6458333333)</f>
        <v>45890.6458333333</v>
      </c>
      <c r="F104" s="17">
        <f>IFERROR(__xludf.DUMMYFUNCTION("""COMPUTED_VALUE"""),219909)</f>
        <v>219909</v>
      </c>
      <c r="G104" s="16">
        <f>IFERROR(__xludf.DUMMYFUNCTION("""COMPUTED_VALUE"""),45890.6458333333)</f>
        <v>45890.6458333333</v>
      </c>
      <c r="H104" s="17">
        <f>IFERROR(__xludf.DUMMYFUNCTION("""COMPUTED_VALUE"""),6060)</f>
        <v>6060</v>
      </c>
      <c r="I104" s="16">
        <f>IFERROR(__xludf.DUMMYFUNCTION("""COMPUTED_VALUE"""),45890.6458333333)</f>
        <v>45890.6458333333</v>
      </c>
      <c r="J104" s="17">
        <f>IFERROR(__xludf.DUMMYFUNCTION("""COMPUTED_VALUE"""),5988)</f>
        <v>5988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IFERROR(__xludf.DUMMYFUNCTION("""COMPUTED_VALUE"""),6151.5)</f>
        <v>6151.5</v>
      </c>
      <c r="C105" s="16">
        <f>IFERROR(__xludf.DUMMYFUNCTION("""COMPUTED_VALUE"""),45891.6458333333)</f>
        <v>45891.6458333333</v>
      </c>
      <c r="D105" s="17">
        <f>IFERROR(__xludf.DUMMYFUNCTION("""COMPUTED_VALUE"""),6088)</f>
        <v>6088</v>
      </c>
      <c r="E105" s="16">
        <f>IFERROR(__xludf.DUMMYFUNCTION("""COMPUTED_VALUE"""),45891.6458333333)</f>
        <v>45891.6458333333</v>
      </c>
      <c r="F105" s="17">
        <f>IFERROR(__xludf.DUMMYFUNCTION("""COMPUTED_VALUE"""),681524)</f>
        <v>681524</v>
      </c>
      <c r="G105" s="16">
        <f>IFERROR(__xludf.DUMMYFUNCTION("""COMPUTED_VALUE"""),45891.6458333333)</f>
        <v>45891.6458333333</v>
      </c>
      <c r="H105" s="17">
        <f>IFERROR(__xludf.DUMMYFUNCTION("""COMPUTED_VALUE"""),6188)</f>
        <v>6188</v>
      </c>
      <c r="I105" s="16">
        <f>IFERROR(__xludf.DUMMYFUNCTION("""COMPUTED_VALUE"""),45891.6458333333)</f>
        <v>45891.6458333333</v>
      </c>
      <c r="J105" s="17">
        <f>IFERROR(__xludf.DUMMYFUNCTION("""COMPUTED_VALUE"""),6088)</f>
        <v>6088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IFERROR(__xludf.DUMMYFUNCTION("""COMPUTED_VALUE"""),6248.5)</f>
        <v>6248.5</v>
      </c>
      <c r="C106" s="16">
        <f>IFERROR(__xludf.DUMMYFUNCTION("""COMPUTED_VALUE"""),45894.6458333333)</f>
        <v>45894.6458333333</v>
      </c>
      <c r="D106" s="17">
        <f>IFERROR(__xludf.DUMMYFUNCTION("""COMPUTED_VALUE"""),6255)</f>
        <v>6255</v>
      </c>
      <c r="E106" s="16">
        <f>IFERROR(__xludf.DUMMYFUNCTION("""COMPUTED_VALUE"""),45894.6458333333)</f>
        <v>45894.6458333333</v>
      </c>
      <c r="F106" s="17">
        <f>IFERROR(__xludf.DUMMYFUNCTION("""COMPUTED_VALUE"""),439686)</f>
        <v>439686</v>
      </c>
      <c r="G106" s="16">
        <f>IFERROR(__xludf.DUMMYFUNCTION("""COMPUTED_VALUE"""),45894.6458333333)</f>
        <v>45894.6458333333</v>
      </c>
      <c r="H106" s="17">
        <f>IFERROR(__xludf.DUMMYFUNCTION("""COMPUTED_VALUE"""),6314.5)</f>
        <v>6314.5</v>
      </c>
      <c r="I106" s="16">
        <f>IFERROR(__xludf.DUMMYFUNCTION("""COMPUTED_VALUE"""),45894.6458333333)</f>
        <v>45894.6458333333</v>
      </c>
      <c r="J106" s="17">
        <f>IFERROR(__xludf.DUMMYFUNCTION("""COMPUTED_VALUE"""),6204)</f>
        <v>6204</v>
      </c>
      <c r="K106" s="3">
        <f t="shared" si="2"/>
        <v>6248.5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IFERROR(__xludf.DUMMYFUNCTION("""COMPUTED_VALUE"""),6190.5)</f>
        <v>6190.5</v>
      </c>
      <c r="C107" s="16">
        <f>IFERROR(__xludf.DUMMYFUNCTION("""COMPUTED_VALUE"""),45895.6458333333)</f>
        <v>45895.6458333333</v>
      </c>
      <c r="D107" s="17">
        <f>IFERROR(__xludf.DUMMYFUNCTION("""COMPUTED_VALUE"""),6260)</f>
        <v>6260</v>
      </c>
      <c r="E107" s="16">
        <f>IFERROR(__xludf.DUMMYFUNCTION("""COMPUTED_VALUE"""),45895.6458333333)</f>
        <v>45895.6458333333</v>
      </c>
      <c r="F107" s="17">
        <f>IFERROR(__xludf.DUMMYFUNCTION("""COMPUTED_VALUE"""),546739)</f>
        <v>546739</v>
      </c>
      <c r="G107" s="16">
        <f>IFERROR(__xludf.DUMMYFUNCTION("""COMPUTED_VALUE"""),45895.6458333333)</f>
        <v>45895.6458333333</v>
      </c>
      <c r="H107" s="17">
        <f>IFERROR(__xludf.DUMMYFUNCTION("""COMPUTED_VALUE"""),6260)</f>
        <v>6260</v>
      </c>
      <c r="I107" s="16">
        <f>IFERROR(__xludf.DUMMYFUNCTION("""COMPUTED_VALUE"""),45895.6458333333)</f>
        <v>45895.6458333333</v>
      </c>
      <c r="J107" s="17">
        <f>IFERROR(__xludf.DUMMYFUNCTION("""COMPUTED_VALUE"""),6120)</f>
        <v>6120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IFERROR(__xludf.DUMMYFUNCTION("""COMPUTED_VALUE"""),6132)</f>
        <v>6132</v>
      </c>
      <c r="C108" s="16">
        <f>IFERROR(__xludf.DUMMYFUNCTION("""COMPUTED_VALUE"""),45897.6458333333)</f>
        <v>45897.6458333333</v>
      </c>
      <c r="D108" s="17">
        <f>IFERROR(__xludf.DUMMYFUNCTION("""COMPUTED_VALUE"""),6275)</f>
        <v>6275</v>
      </c>
      <c r="E108" s="16">
        <f>IFERROR(__xludf.DUMMYFUNCTION("""COMPUTED_VALUE"""),45897.6458333333)</f>
        <v>45897.6458333333</v>
      </c>
      <c r="F108" s="17">
        <f>IFERROR(__xludf.DUMMYFUNCTION("""COMPUTED_VALUE"""),415482)</f>
        <v>415482</v>
      </c>
      <c r="G108" s="16">
        <f>IFERROR(__xludf.DUMMYFUNCTION("""COMPUTED_VALUE"""),45897.6458333333)</f>
        <v>45897.6458333333</v>
      </c>
      <c r="H108" s="17">
        <f>IFERROR(__xludf.DUMMYFUNCTION("""COMPUTED_VALUE"""),6275)</f>
        <v>6275</v>
      </c>
      <c r="I108" s="16">
        <f>IFERROR(__xludf.DUMMYFUNCTION("""COMPUTED_VALUE"""),45897.6458333333)</f>
        <v>45897.6458333333</v>
      </c>
      <c r="J108" s="17">
        <f>IFERROR(__xludf.DUMMYFUNCTION("""COMPUTED_VALUE"""),6108.5)</f>
        <v>6108.5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IFERROR(__xludf.DUMMYFUNCTION("""COMPUTED_VALUE"""),6131.5)</f>
        <v>6131.5</v>
      </c>
      <c r="C109" s="16">
        <f>IFERROR(__xludf.DUMMYFUNCTION("""COMPUTED_VALUE"""),45898.6458333333)</f>
        <v>45898.6458333333</v>
      </c>
      <c r="D109" s="17">
        <f>IFERROR(__xludf.DUMMYFUNCTION("""COMPUTED_VALUE"""),6132)</f>
        <v>6132</v>
      </c>
      <c r="E109" s="16">
        <f>IFERROR(__xludf.DUMMYFUNCTION("""COMPUTED_VALUE"""),45898.6458333333)</f>
        <v>45898.6458333333</v>
      </c>
      <c r="F109" s="17">
        <f>IFERROR(__xludf.DUMMYFUNCTION("""COMPUTED_VALUE"""),283850)</f>
        <v>283850</v>
      </c>
      <c r="G109" s="16">
        <f>IFERROR(__xludf.DUMMYFUNCTION("""COMPUTED_VALUE"""),45898.6458333333)</f>
        <v>45898.6458333333</v>
      </c>
      <c r="H109" s="17">
        <f>IFERROR(__xludf.DUMMYFUNCTION("""COMPUTED_VALUE"""),6177.5)</f>
        <v>6177.5</v>
      </c>
      <c r="I109" s="16">
        <f>IFERROR(__xludf.DUMMYFUNCTION("""COMPUTED_VALUE"""),45898.6458333333)</f>
        <v>45898.6458333333</v>
      </c>
      <c r="J109" s="17">
        <f>IFERROR(__xludf.DUMMYFUNCTION("""COMPUTED_VALUE"""),6092)</f>
        <v>6092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IFERROR(__xludf.DUMMYFUNCTION("""COMPUTED_VALUE"""),6093)</f>
        <v>6093</v>
      </c>
      <c r="C110" s="16">
        <f>IFERROR(__xludf.DUMMYFUNCTION("""COMPUTED_VALUE"""),45901.6458333333)</f>
        <v>45901.6458333333</v>
      </c>
      <c r="D110" s="17">
        <f>IFERROR(__xludf.DUMMYFUNCTION("""COMPUTED_VALUE"""),6131.5)</f>
        <v>6131.5</v>
      </c>
      <c r="E110" s="16">
        <f>IFERROR(__xludf.DUMMYFUNCTION("""COMPUTED_VALUE"""),45901.6458333333)</f>
        <v>45901.6458333333</v>
      </c>
      <c r="F110" s="17">
        <f>IFERROR(__xludf.DUMMYFUNCTION("""COMPUTED_VALUE"""),192062)</f>
        <v>192062</v>
      </c>
      <c r="G110" s="16">
        <f>IFERROR(__xludf.DUMMYFUNCTION("""COMPUTED_VALUE"""),45901.6458333333)</f>
        <v>45901.6458333333</v>
      </c>
      <c r="H110" s="17">
        <f>IFERROR(__xludf.DUMMYFUNCTION("""COMPUTED_VALUE"""),6135)</f>
        <v>6135</v>
      </c>
      <c r="I110" s="16">
        <f>IFERROR(__xludf.DUMMYFUNCTION("""COMPUTED_VALUE"""),45901.6458333333)</f>
        <v>45901.6458333333</v>
      </c>
      <c r="J110" s="17">
        <f>IFERROR(__xludf.DUMMYFUNCTION("""COMPUTED_VALUE"""),6064)</f>
        <v>6064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IFERROR(__xludf.DUMMYFUNCTION("""COMPUTED_VALUE"""),6120.5)</f>
        <v>6120.5</v>
      </c>
      <c r="C111" s="16">
        <f>IFERROR(__xludf.DUMMYFUNCTION("""COMPUTED_VALUE"""),45902.6458333333)</f>
        <v>45902.6458333333</v>
      </c>
      <c r="D111" s="17">
        <f>IFERROR(__xludf.DUMMYFUNCTION("""COMPUTED_VALUE"""),6093)</f>
        <v>6093</v>
      </c>
      <c r="E111" s="16">
        <f>IFERROR(__xludf.DUMMYFUNCTION("""COMPUTED_VALUE"""),45902.6458333333)</f>
        <v>45902.6458333333</v>
      </c>
      <c r="F111" s="17">
        <f>IFERROR(__xludf.DUMMYFUNCTION("""COMPUTED_VALUE"""),307162)</f>
        <v>307162</v>
      </c>
      <c r="G111" s="16">
        <f>IFERROR(__xludf.DUMMYFUNCTION("""COMPUTED_VALUE"""),45902.6458333333)</f>
        <v>45902.6458333333</v>
      </c>
      <c r="H111" s="17">
        <f>IFERROR(__xludf.DUMMYFUNCTION("""COMPUTED_VALUE"""),6148.5)</f>
        <v>6148.5</v>
      </c>
      <c r="I111" s="16">
        <f>IFERROR(__xludf.DUMMYFUNCTION("""COMPUTED_VALUE"""),45902.6458333333)</f>
        <v>45902.6458333333</v>
      </c>
      <c r="J111" s="17">
        <f>IFERROR(__xludf.DUMMYFUNCTION("""COMPUTED_VALUE"""),6059.5)</f>
        <v>6059.5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IFERROR(__xludf.DUMMYFUNCTION("""COMPUTED_VALUE"""),6164)</f>
        <v>6164</v>
      </c>
      <c r="C112" s="16">
        <f>IFERROR(__xludf.DUMMYFUNCTION("""COMPUTED_VALUE"""),45903.6458333333)</f>
        <v>45903.6458333333</v>
      </c>
      <c r="D112" s="17">
        <f>IFERROR(__xludf.DUMMYFUNCTION("""COMPUTED_VALUE"""),6145)</f>
        <v>6145</v>
      </c>
      <c r="E112" s="16">
        <f>IFERROR(__xludf.DUMMYFUNCTION("""COMPUTED_VALUE"""),45903.6458333333)</f>
        <v>45903.6458333333</v>
      </c>
      <c r="F112" s="17">
        <f>IFERROR(__xludf.DUMMYFUNCTION("""COMPUTED_VALUE"""),281110)</f>
        <v>281110</v>
      </c>
      <c r="G112" s="16">
        <f>IFERROR(__xludf.DUMMYFUNCTION("""COMPUTED_VALUE"""),45903.6458333333)</f>
        <v>45903.6458333333</v>
      </c>
      <c r="H112" s="17">
        <f>IFERROR(__xludf.DUMMYFUNCTION("""COMPUTED_VALUE"""),6188)</f>
        <v>6188</v>
      </c>
      <c r="I112" s="16">
        <f>IFERROR(__xludf.DUMMYFUNCTION("""COMPUTED_VALUE"""),45903.6458333333)</f>
        <v>45903.6458333333</v>
      </c>
      <c r="J112" s="17">
        <f>IFERROR(__xludf.DUMMYFUNCTION("""COMPUTED_VALUE"""),6097)</f>
        <v>6097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IFERROR(__xludf.DUMMYFUNCTION("""COMPUTED_VALUE"""),6133.5)</f>
        <v>6133.5</v>
      </c>
      <c r="C113" s="16">
        <f>IFERROR(__xludf.DUMMYFUNCTION("""COMPUTED_VALUE"""),45904.6458333333)</f>
        <v>45904.6458333333</v>
      </c>
      <c r="D113" s="17">
        <f>IFERROR(__xludf.DUMMYFUNCTION("""COMPUTED_VALUE"""),6163)</f>
        <v>6163</v>
      </c>
      <c r="E113" s="16">
        <f>IFERROR(__xludf.DUMMYFUNCTION("""COMPUTED_VALUE"""),45904.6458333333)</f>
        <v>45904.6458333333</v>
      </c>
      <c r="F113" s="17">
        <f>IFERROR(__xludf.DUMMYFUNCTION("""COMPUTED_VALUE"""),294429)</f>
        <v>294429</v>
      </c>
      <c r="G113" s="16">
        <f>IFERROR(__xludf.DUMMYFUNCTION("""COMPUTED_VALUE"""),45904.6458333333)</f>
        <v>45904.6458333333</v>
      </c>
      <c r="H113" s="17">
        <f>IFERROR(__xludf.DUMMYFUNCTION("""COMPUTED_VALUE"""),6197.5)</f>
        <v>6197.5</v>
      </c>
      <c r="I113" s="16">
        <f>IFERROR(__xludf.DUMMYFUNCTION("""COMPUTED_VALUE"""),45904.6458333333)</f>
        <v>45904.6458333333</v>
      </c>
      <c r="J113" s="17">
        <f>IFERROR(__xludf.DUMMYFUNCTION("""COMPUTED_VALUE"""),6093.5)</f>
        <v>6093.5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IFERROR(__xludf.DUMMYFUNCTION("""COMPUTED_VALUE"""),6009)</f>
        <v>6009</v>
      </c>
      <c r="C114" s="16">
        <f>IFERROR(__xludf.DUMMYFUNCTION("""COMPUTED_VALUE"""),45905.6458333333)</f>
        <v>45905.6458333333</v>
      </c>
      <c r="D114" s="17">
        <f>IFERROR(__xludf.DUMMYFUNCTION("""COMPUTED_VALUE"""),6133.5)</f>
        <v>6133.5</v>
      </c>
      <c r="E114" s="16">
        <f>IFERROR(__xludf.DUMMYFUNCTION("""COMPUTED_VALUE"""),45905.6458333333)</f>
        <v>45905.6458333333</v>
      </c>
      <c r="F114" s="17">
        <f>IFERROR(__xludf.DUMMYFUNCTION("""COMPUTED_VALUE"""),213926)</f>
        <v>213926</v>
      </c>
      <c r="G114" s="16">
        <f>IFERROR(__xludf.DUMMYFUNCTION("""COMPUTED_VALUE"""),45905.6458333333)</f>
        <v>45905.6458333333</v>
      </c>
      <c r="H114" s="17">
        <f>IFERROR(__xludf.DUMMYFUNCTION("""COMPUTED_VALUE"""),6177.5)</f>
        <v>6177.5</v>
      </c>
      <c r="I114" s="16">
        <f>IFERROR(__xludf.DUMMYFUNCTION("""COMPUTED_VALUE"""),45905.6458333333)</f>
        <v>45905.6458333333</v>
      </c>
      <c r="J114" s="17">
        <f>IFERROR(__xludf.DUMMYFUNCTION("""COMPUTED_VALUE"""),6002.5)</f>
        <v>6002.5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IFERROR(__xludf.DUMMYFUNCTION("""COMPUTED_VALUE"""),6027.5)</f>
        <v>6027.5</v>
      </c>
      <c r="C115" s="16">
        <f>IFERROR(__xludf.DUMMYFUNCTION("""COMPUTED_VALUE"""),45908.6458333333)</f>
        <v>45908.6458333333</v>
      </c>
      <c r="D115" s="17">
        <f>IFERROR(__xludf.DUMMYFUNCTION("""COMPUTED_VALUE"""),6029)</f>
        <v>6029</v>
      </c>
      <c r="E115" s="16">
        <f>IFERROR(__xludf.DUMMYFUNCTION("""COMPUTED_VALUE"""),45908.6458333333)</f>
        <v>45908.6458333333</v>
      </c>
      <c r="F115" s="17">
        <f>IFERROR(__xludf.DUMMYFUNCTION("""COMPUTED_VALUE"""),519368)</f>
        <v>519368</v>
      </c>
      <c r="G115" s="16">
        <f>IFERROR(__xludf.DUMMYFUNCTION("""COMPUTED_VALUE"""),45908.6458333333)</f>
        <v>45908.6458333333</v>
      </c>
      <c r="H115" s="17">
        <f>IFERROR(__xludf.DUMMYFUNCTION("""COMPUTED_VALUE"""),6066)</f>
        <v>6066</v>
      </c>
      <c r="I115" s="16">
        <f>IFERROR(__xludf.DUMMYFUNCTION("""COMPUTED_VALUE"""),45908.6458333333)</f>
        <v>45908.6458333333</v>
      </c>
      <c r="J115" s="17">
        <f>IFERROR(__xludf.DUMMYFUNCTION("""COMPUTED_VALUE"""),5940)</f>
        <v>5940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IFERROR(__xludf.DUMMYFUNCTION("""COMPUTED_VALUE"""),6002.5)</f>
        <v>6002.5</v>
      </c>
      <c r="C116" s="16">
        <f>IFERROR(__xludf.DUMMYFUNCTION("""COMPUTED_VALUE"""),45909.6458333333)</f>
        <v>45909.6458333333</v>
      </c>
      <c r="D116" s="17">
        <f>IFERROR(__xludf.DUMMYFUNCTION("""COMPUTED_VALUE"""),6025)</f>
        <v>6025</v>
      </c>
      <c r="E116" s="16">
        <f>IFERROR(__xludf.DUMMYFUNCTION("""COMPUTED_VALUE"""),45909.6458333333)</f>
        <v>45909.6458333333</v>
      </c>
      <c r="F116" s="17">
        <f>IFERROR(__xludf.DUMMYFUNCTION("""COMPUTED_VALUE"""),254569)</f>
        <v>254569</v>
      </c>
      <c r="G116" s="16">
        <f>IFERROR(__xludf.DUMMYFUNCTION("""COMPUTED_VALUE"""),45909.6458333333)</f>
        <v>45909.6458333333</v>
      </c>
      <c r="H116" s="17">
        <f>IFERROR(__xludf.DUMMYFUNCTION("""COMPUTED_VALUE"""),6050)</f>
        <v>6050</v>
      </c>
      <c r="I116" s="16">
        <f>IFERROR(__xludf.DUMMYFUNCTION("""COMPUTED_VALUE"""),45909.6458333333)</f>
        <v>45909.6458333333</v>
      </c>
      <c r="J116" s="17">
        <f>IFERROR(__xludf.DUMMYFUNCTION("""COMPUTED_VALUE"""),5997.5)</f>
        <v>5997.5</v>
      </c>
      <c r="K116" s="3">
        <f t="shared" si="2"/>
        <v>0</v>
      </c>
      <c r="L116" s="3">
        <f t="shared" si="3"/>
        <v>6002.5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IFERROR(__xludf.DUMMYFUNCTION("""COMPUTED_VALUE"""),6031.5)</f>
        <v>6031.5</v>
      </c>
      <c r="C117" s="16">
        <f>IFERROR(__xludf.DUMMYFUNCTION("""COMPUTED_VALUE"""),45910.6458333333)</f>
        <v>45910.6458333333</v>
      </c>
      <c r="D117" s="17">
        <f>IFERROR(__xludf.DUMMYFUNCTION("""COMPUTED_VALUE"""),6015)</f>
        <v>6015</v>
      </c>
      <c r="E117" s="16">
        <f>IFERROR(__xludf.DUMMYFUNCTION("""COMPUTED_VALUE"""),45910.6458333333)</f>
        <v>45910.6458333333</v>
      </c>
      <c r="F117" s="17">
        <f>IFERROR(__xludf.DUMMYFUNCTION("""COMPUTED_VALUE"""),810989)</f>
        <v>810989</v>
      </c>
      <c r="G117" s="16">
        <f>IFERROR(__xludf.DUMMYFUNCTION("""COMPUTED_VALUE"""),45910.6458333333)</f>
        <v>45910.6458333333</v>
      </c>
      <c r="H117" s="17">
        <f>IFERROR(__xludf.DUMMYFUNCTION("""COMPUTED_VALUE"""),6043)</f>
        <v>6043</v>
      </c>
      <c r="I117" s="16">
        <f>IFERROR(__xludf.DUMMYFUNCTION("""COMPUTED_VALUE"""),45910.6458333333)</f>
        <v>45910.6458333333</v>
      </c>
      <c r="J117" s="17">
        <f>IFERROR(__xludf.DUMMYFUNCTION("""COMPUTED_VALUE"""),5896.5)</f>
        <v>5896.5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IFERROR(__xludf.DUMMYFUNCTION("""COMPUTED_VALUE"""),6015.5)</f>
        <v>6015.5</v>
      </c>
      <c r="C118" s="16">
        <f>IFERROR(__xludf.DUMMYFUNCTION("""COMPUTED_VALUE"""),45911.6458333333)</f>
        <v>45911.6458333333</v>
      </c>
      <c r="D118" s="17">
        <f>IFERROR(__xludf.DUMMYFUNCTION("""COMPUTED_VALUE"""),6035)</f>
        <v>6035</v>
      </c>
      <c r="E118" s="16">
        <f>IFERROR(__xludf.DUMMYFUNCTION("""COMPUTED_VALUE"""),45911.6458333333)</f>
        <v>45911.6458333333</v>
      </c>
      <c r="F118" s="17">
        <f>IFERROR(__xludf.DUMMYFUNCTION("""COMPUTED_VALUE"""),258301)</f>
        <v>258301</v>
      </c>
      <c r="G118" s="16">
        <f>IFERROR(__xludf.DUMMYFUNCTION("""COMPUTED_VALUE"""),45911.6458333333)</f>
        <v>45911.6458333333</v>
      </c>
      <c r="H118" s="17">
        <f>IFERROR(__xludf.DUMMYFUNCTION("""COMPUTED_VALUE"""),6075)</f>
        <v>6075</v>
      </c>
      <c r="I118" s="16">
        <f>IFERROR(__xludf.DUMMYFUNCTION("""COMPUTED_VALUE"""),45911.6458333333)</f>
        <v>45911.6458333333</v>
      </c>
      <c r="J118" s="17">
        <f>IFERROR(__xludf.DUMMYFUNCTION("""COMPUTED_VALUE"""),5996)</f>
        <v>5996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IFERROR(__xludf.DUMMYFUNCTION("""COMPUTED_VALUE"""),6026.5)</f>
        <v>6026.5</v>
      </c>
      <c r="C119" s="16">
        <f>IFERROR(__xludf.DUMMYFUNCTION("""COMPUTED_VALUE"""),45912.6458333333)</f>
        <v>45912.6458333333</v>
      </c>
      <c r="D119" s="17">
        <f>IFERROR(__xludf.DUMMYFUNCTION("""COMPUTED_VALUE"""),6025)</f>
        <v>6025</v>
      </c>
      <c r="E119" s="16">
        <f>IFERROR(__xludf.DUMMYFUNCTION("""COMPUTED_VALUE"""),45912.6458333333)</f>
        <v>45912.6458333333</v>
      </c>
      <c r="F119" s="17">
        <f>IFERROR(__xludf.DUMMYFUNCTION("""COMPUTED_VALUE"""),487571)</f>
        <v>487571</v>
      </c>
      <c r="G119" s="16">
        <f>IFERROR(__xludf.DUMMYFUNCTION("""COMPUTED_VALUE"""),45912.6458333333)</f>
        <v>45912.6458333333</v>
      </c>
      <c r="H119" s="17">
        <f>IFERROR(__xludf.DUMMYFUNCTION("""COMPUTED_VALUE"""),6083.5)</f>
        <v>6083.5</v>
      </c>
      <c r="I119" s="16">
        <f>IFERROR(__xludf.DUMMYFUNCTION("""COMPUTED_VALUE"""),45912.6458333333)</f>
        <v>45912.6458333333</v>
      </c>
      <c r="J119" s="17">
        <f>IFERROR(__xludf.DUMMYFUNCTION("""COMPUTED_VALUE"""),6004)</f>
        <v>6004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IFERROR(__xludf.DUMMYFUNCTION("""COMPUTED_VALUE"""),6057)</f>
        <v>6057</v>
      </c>
      <c r="C120" s="16">
        <f>IFERROR(__xludf.DUMMYFUNCTION("""COMPUTED_VALUE"""),45915.6458333333)</f>
        <v>45915.6458333333</v>
      </c>
      <c r="D120" s="17">
        <f>IFERROR(__xludf.DUMMYFUNCTION("""COMPUTED_VALUE"""),6011)</f>
        <v>6011</v>
      </c>
      <c r="E120" s="16">
        <f>IFERROR(__xludf.DUMMYFUNCTION("""COMPUTED_VALUE"""),45915.6458333333)</f>
        <v>45915.6458333333</v>
      </c>
      <c r="F120" s="17">
        <f>IFERROR(__xludf.DUMMYFUNCTION("""COMPUTED_VALUE"""),152355)</f>
        <v>152355</v>
      </c>
      <c r="G120" s="16">
        <f>IFERROR(__xludf.DUMMYFUNCTION("""COMPUTED_VALUE"""),45915.6458333333)</f>
        <v>45915.6458333333</v>
      </c>
      <c r="H120" s="17">
        <f>IFERROR(__xludf.DUMMYFUNCTION("""COMPUTED_VALUE"""),6065.5)</f>
        <v>6065.5</v>
      </c>
      <c r="I120" s="16">
        <f>IFERROR(__xludf.DUMMYFUNCTION("""COMPUTED_VALUE"""),45915.6458333333)</f>
        <v>45915.6458333333</v>
      </c>
      <c r="J120" s="17">
        <f>IFERROR(__xludf.DUMMYFUNCTION("""COMPUTED_VALUE"""),5974)</f>
        <v>5974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IFERROR(__xludf.DUMMYFUNCTION("""COMPUTED_VALUE"""),6099.5)</f>
        <v>6099.5</v>
      </c>
      <c r="C121" s="16">
        <f>IFERROR(__xludf.DUMMYFUNCTION("""COMPUTED_VALUE"""),45916.6458333333)</f>
        <v>45916.6458333333</v>
      </c>
      <c r="D121" s="17">
        <f>IFERROR(__xludf.DUMMYFUNCTION("""COMPUTED_VALUE"""),6125)</f>
        <v>6125</v>
      </c>
      <c r="E121" s="16">
        <f>IFERROR(__xludf.DUMMYFUNCTION("""COMPUTED_VALUE"""),45916.6458333333)</f>
        <v>45916.6458333333</v>
      </c>
      <c r="F121" s="17">
        <f>IFERROR(__xludf.DUMMYFUNCTION("""COMPUTED_VALUE"""),285215)</f>
        <v>285215</v>
      </c>
      <c r="G121" s="16">
        <f>IFERROR(__xludf.DUMMYFUNCTION("""COMPUTED_VALUE"""),45916.6458333333)</f>
        <v>45916.6458333333</v>
      </c>
      <c r="H121" s="17">
        <f>IFERROR(__xludf.DUMMYFUNCTION("""COMPUTED_VALUE"""),6175)</f>
        <v>6175</v>
      </c>
      <c r="I121" s="16">
        <f>IFERROR(__xludf.DUMMYFUNCTION("""COMPUTED_VALUE"""),45916.6458333333)</f>
        <v>45916.6458333333</v>
      </c>
      <c r="J121" s="17">
        <f>IFERROR(__xludf.DUMMYFUNCTION("""COMPUTED_VALUE"""),6060.5)</f>
        <v>6060.5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IFERROR(__xludf.DUMMYFUNCTION("""COMPUTED_VALUE"""),6051.5)</f>
        <v>6051.5</v>
      </c>
      <c r="C122" s="16">
        <f>IFERROR(__xludf.DUMMYFUNCTION("""COMPUTED_VALUE"""),45917.6458333333)</f>
        <v>45917.6458333333</v>
      </c>
      <c r="D122" s="17">
        <f>IFERROR(__xludf.DUMMYFUNCTION("""COMPUTED_VALUE"""),6089)</f>
        <v>6089</v>
      </c>
      <c r="E122" s="16">
        <f>IFERROR(__xludf.DUMMYFUNCTION("""COMPUTED_VALUE"""),45917.6458333333)</f>
        <v>45917.6458333333</v>
      </c>
      <c r="F122" s="17">
        <f>IFERROR(__xludf.DUMMYFUNCTION("""COMPUTED_VALUE"""),413995)</f>
        <v>413995</v>
      </c>
      <c r="G122" s="16">
        <f>IFERROR(__xludf.DUMMYFUNCTION("""COMPUTED_VALUE"""),45917.6458333333)</f>
        <v>45917.6458333333</v>
      </c>
      <c r="H122" s="17">
        <f>IFERROR(__xludf.DUMMYFUNCTION("""COMPUTED_VALUE"""),6138.5)</f>
        <v>6138.5</v>
      </c>
      <c r="I122" s="16">
        <f>IFERROR(__xludf.DUMMYFUNCTION("""COMPUTED_VALUE"""),45917.6458333333)</f>
        <v>45917.6458333333</v>
      </c>
      <c r="J122" s="17">
        <f>IFERROR(__xludf.DUMMYFUNCTION("""COMPUTED_VALUE"""),6037)</f>
        <v>6037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IFERROR(__xludf.DUMMYFUNCTION("""COMPUTED_VALUE"""),6112)</f>
        <v>6112</v>
      </c>
      <c r="C123" s="16">
        <f>IFERROR(__xludf.DUMMYFUNCTION("""COMPUTED_VALUE"""),45918.6458333333)</f>
        <v>45918.6458333333</v>
      </c>
      <c r="D123" s="17">
        <f>IFERROR(__xludf.DUMMYFUNCTION("""COMPUTED_VALUE"""),6052)</f>
        <v>6052</v>
      </c>
      <c r="E123" s="16">
        <f>IFERROR(__xludf.DUMMYFUNCTION("""COMPUTED_VALUE"""),45918.6458333333)</f>
        <v>45918.6458333333</v>
      </c>
      <c r="F123" s="17">
        <f>IFERROR(__xludf.DUMMYFUNCTION("""COMPUTED_VALUE"""),480382)</f>
        <v>480382</v>
      </c>
      <c r="G123" s="16">
        <f>IFERROR(__xludf.DUMMYFUNCTION("""COMPUTED_VALUE"""),45918.6458333333)</f>
        <v>45918.6458333333</v>
      </c>
      <c r="H123" s="17">
        <f>IFERROR(__xludf.DUMMYFUNCTION("""COMPUTED_VALUE"""),6129.5)</f>
        <v>6129.5</v>
      </c>
      <c r="I123" s="16">
        <f>IFERROR(__xludf.DUMMYFUNCTION("""COMPUTED_VALUE"""),45918.6458333333)</f>
        <v>45918.6458333333</v>
      </c>
      <c r="J123" s="17">
        <f>IFERROR(__xludf.DUMMYFUNCTION("""COMPUTED_VALUE"""),6042)</f>
        <v>6042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IFERROR(__xludf.DUMMYFUNCTION("""COMPUTED_VALUE"""),6200)</f>
        <v>6200</v>
      </c>
      <c r="C124" s="16">
        <f>IFERROR(__xludf.DUMMYFUNCTION("""COMPUTED_VALUE"""),45919.6458333333)</f>
        <v>45919.6458333333</v>
      </c>
      <c r="D124" s="17">
        <f>IFERROR(__xludf.DUMMYFUNCTION("""COMPUTED_VALUE"""),6187)</f>
        <v>6187</v>
      </c>
      <c r="E124" s="16">
        <f>IFERROR(__xludf.DUMMYFUNCTION("""COMPUTED_VALUE"""),45919.6458333333)</f>
        <v>45919.6458333333</v>
      </c>
      <c r="F124" s="17">
        <f>IFERROR(__xludf.DUMMYFUNCTION("""COMPUTED_VALUE"""),734989)</f>
        <v>734989</v>
      </c>
      <c r="G124" s="16">
        <f>IFERROR(__xludf.DUMMYFUNCTION("""COMPUTED_VALUE"""),45919.6458333333)</f>
        <v>45919.6458333333</v>
      </c>
      <c r="H124" s="17">
        <f>IFERROR(__xludf.DUMMYFUNCTION("""COMPUTED_VALUE"""),6280)</f>
        <v>6280</v>
      </c>
      <c r="I124" s="16">
        <f>IFERROR(__xludf.DUMMYFUNCTION("""COMPUTED_VALUE"""),45919.6458333333)</f>
        <v>45919.6458333333</v>
      </c>
      <c r="J124" s="17">
        <f>IFERROR(__xludf.DUMMYFUNCTION("""COMPUTED_VALUE"""),6156.5)</f>
        <v>6156.5</v>
      </c>
      <c r="K124" s="3">
        <f t="shared" si="2"/>
        <v>6200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IFERROR(__xludf.DUMMYFUNCTION("""COMPUTED_VALUE"""),6092.5)</f>
        <v>6092.5</v>
      </c>
      <c r="C125" s="16">
        <f>IFERROR(__xludf.DUMMYFUNCTION("""COMPUTED_VALUE"""),45922.6458333333)</f>
        <v>45922.6458333333</v>
      </c>
      <c r="D125" s="17">
        <f>IFERROR(__xludf.DUMMYFUNCTION("""COMPUTED_VALUE"""),6200)</f>
        <v>6200</v>
      </c>
      <c r="E125" s="16">
        <f>IFERROR(__xludf.DUMMYFUNCTION("""COMPUTED_VALUE"""),45922.6458333333)</f>
        <v>45922.6458333333</v>
      </c>
      <c r="F125" s="17">
        <f>IFERROR(__xludf.DUMMYFUNCTION("""COMPUTED_VALUE"""),290634)</f>
        <v>290634</v>
      </c>
      <c r="G125" s="16">
        <f>IFERROR(__xludf.DUMMYFUNCTION("""COMPUTED_VALUE"""),45922.6458333333)</f>
        <v>45922.6458333333</v>
      </c>
      <c r="H125" s="17">
        <f>IFERROR(__xludf.DUMMYFUNCTION("""COMPUTED_VALUE"""),6201)</f>
        <v>6201</v>
      </c>
      <c r="I125" s="16">
        <f>IFERROR(__xludf.DUMMYFUNCTION("""COMPUTED_VALUE"""),45922.6458333333)</f>
        <v>45922.6458333333</v>
      </c>
      <c r="J125" s="17">
        <f>IFERROR(__xludf.DUMMYFUNCTION("""COMPUTED_VALUE"""),6081)</f>
        <v>6081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IFERROR(__xludf.DUMMYFUNCTION("""COMPUTED_VALUE"""),6051)</f>
        <v>6051</v>
      </c>
      <c r="C126" s="16">
        <f>IFERROR(__xludf.DUMMYFUNCTION("""COMPUTED_VALUE"""),45923.6458333333)</f>
        <v>45923.6458333333</v>
      </c>
      <c r="D126" s="17">
        <f>IFERROR(__xludf.DUMMYFUNCTION("""COMPUTED_VALUE"""),6092.5)</f>
        <v>6092.5</v>
      </c>
      <c r="E126" s="16">
        <f>IFERROR(__xludf.DUMMYFUNCTION("""COMPUTED_VALUE"""),45923.6458333333)</f>
        <v>45923.6458333333</v>
      </c>
      <c r="F126" s="17">
        <f>IFERROR(__xludf.DUMMYFUNCTION("""COMPUTED_VALUE"""),264356)</f>
        <v>264356</v>
      </c>
      <c r="G126" s="16">
        <f>IFERROR(__xludf.DUMMYFUNCTION("""COMPUTED_VALUE"""),45923.6458333333)</f>
        <v>45923.6458333333</v>
      </c>
      <c r="H126" s="17">
        <f>IFERROR(__xludf.DUMMYFUNCTION("""COMPUTED_VALUE"""),6128)</f>
        <v>6128</v>
      </c>
      <c r="I126" s="16">
        <f>IFERROR(__xludf.DUMMYFUNCTION("""COMPUTED_VALUE"""),45923.6458333333)</f>
        <v>45923.6458333333</v>
      </c>
      <c r="J126" s="17">
        <f>IFERROR(__xludf.DUMMYFUNCTION("""COMPUTED_VALUE"""),6006.5)</f>
        <v>6006.5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IFERROR(__xludf.DUMMYFUNCTION("""COMPUTED_VALUE"""),5984)</f>
        <v>5984</v>
      </c>
      <c r="C127" s="16">
        <f>IFERROR(__xludf.DUMMYFUNCTION("""COMPUTED_VALUE"""),45924.6458333333)</f>
        <v>45924.6458333333</v>
      </c>
      <c r="D127" s="17">
        <f>IFERROR(__xludf.DUMMYFUNCTION("""COMPUTED_VALUE"""),6037)</f>
        <v>6037</v>
      </c>
      <c r="E127" s="16">
        <f>IFERROR(__xludf.DUMMYFUNCTION("""COMPUTED_VALUE"""),45924.6458333333)</f>
        <v>45924.6458333333</v>
      </c>
      <c r="F127" s="17">
        <f>IFERROR(__xludf.DUMMYFUNCTION("""COMPUTED_VALUE"""),253046)</f>
        <v>253046</v>
      </c>
      <c r="G127" s="16">
        <f>IFERROR(__xludf.DUMMYFUNCTION("""COMPUTED_VALUE"""),45924.6458333333)</f>
        <v>45924.6458333333</v>
      </c>
      <c r="H127" s="17">
        <f>IFERROR(__xludf.DUMMYFUNCTION("""COMPUTED_VALUE"""),6078.5)</f>
        <v>6078.5</v>
      </c>
      <c r="I127" s="16">
        <f>IFERROR(__xludf.DUMMYFUNCTION("""COMPUTED_VALUE"""),45924.6458333333)</f>
        <v>45924.6458333333</v>
      </c>
      <c r="J127" s="17">
        <f>IFERROR(__xludf.DUMMYFUNCTION("""COMPUTED_VALUE"""),5965)</f>
        <v>5965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IFERROR(__xludf.DUMMYFUNCTION("""COMPUTED_VALUE"""),5897)</f>
        <v>5897</v>
      </c>
      <c r="C128" s="16">
        <f>IFERROR(__xludf.DUMMYFUNCTION("""COMPUTED_VALUE"""),45925.6458333333)</f>
        <v>45925.6458333333</v>
      </c>
      <c r="D128" s="17">
        <f>IFERROR(__xludf.DUMMYFUNCTION("""COMPUTED_VALUE"""),5985)</f>
        <v>5985</v>
      </c>
      <c r="E128" s="16">
        <f>IFERROR(__xludf.DUMMYFUNCTION("""COMPUTED_VALUE"""),45925.6458333333)</f>
        <v>45925.6458333333</v>
      </c>
      <c r="F128" s="17">
        <f>IFERROR(__xludf.DUMMYFUNCTION("""COMPUTED_VALUE"""),210498)</f>
        <v>210498</v>
      </c>
      <c r="G128" s="16">
        <f>IFERROR(__xludf.DUMMYFUNCTION("""COMPUTED_VALUE"""),45925.6458333333)</f>
        <v>45925.6458333333</v>
      </c>
      <c r="H128" s="17">
        <f>IFERROR(__xludf.DUMMYFUNCTION("""COMPUTED_VALUE"""),6011)</f>
        <v>6011</v>
      </c>
      <c r="I128" s="16">
        <f>IFERROR(__xludf.DUMMYFUNCTION("""COMPUTED_VALUE"""),45925.6458333333)</f>
        <v>45925.6458333333</v>
      </c>
      <c r="J128" s="17">
        <f>IFERROR(__xludf.DUMMYFUNCTION("""COMPUTED_VALUE"""),5885)</f>
        <v>5885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IFERROR(__xludf.DUMMYFUNCTION("""COMPUTED_VALUE"""),5689.5)</f>
        <v>5689.5</v>
      </c>
      <c r="C129" s="47">
        <f>IFERROR(__xludf.DUMMYFUNCTION("""COMPUTED_VALUE"""),45926.6458333333)</f>
        <v>45926.6458333333</v>
      </c>
      <c r="D129" s="48">
        <f>IFERROR(__xludf.DUMMYFUNCTION("""COMPUTED_VALUE"""),5824)</f>
        <v>5824</v>
      </c>
      <c r="E129" s="47">
        <f>IFERROR(__xludf.DUMMYFUNCTION("""COMPUTED_VALUE"""),45926.6458333333)</f>
        <v>45926.6458333333</v>
      </c>
      <c r="F129" s="48">
        <f>IFERROR(__xludf.DUMMYFUNCTION("""COMPUTED_VALUE"""),672699)</f>
        <v>672699</v>
      </c>
      <c r="G129" s="47">
        <f>IFERROR(__xludf.DUMMYFUNCTION("""COMPUTED_VALUE"""),45926.6458333333)</f>
        <v>45926.6458333333</v>
      </c>
      <c r="H129" s="48">
        <f>IFERROR(__xludf.DUMMYFUNCTION("""COMPUTED_VALUE"""),5824)</f>
        <v>5824</v>
      </c>
      <c r="I129" s="47">
        <f>IFERROR(__xludf.DUMMYFUNCTION("""COMPUTED_VALUE"""),45926.6458333333)</f>
        <v>45926.6458333333</v>
      </c>
      <c r="J129" s="48">
        <f>IFERROR(__xludf.DUMMYFUNCTION("""COMPUTED_VALUE"""),5656.5)</f>
        <v>5656.5</v>
      </c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8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38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""price"")"),1254)</f>
        <v>1254</v>
      </c>
      <c r="I3" s="22" t="s">
        <v>269</v>
      </c>
      <c r="J3" s="23">
        <f>IFERROR(__xludf.DUMMYFUNCTION("GOOGLEFINANCE(L3, ""volume"")"),2284377)</f>
        <v>2284377</v>
      </c>
      <c r="K3" s="24" t="s">
        <v>270</v>
      </c>
      <c r="L3" s="25" t="str">
        <f>Mastersheet!B15</f>
        <v>NSE:DRREDDY</v>
      </c>
      <c r="M3" s="26">
        <f>IFERROR(__xludf.DUMMYFUNCTION("""COMPUTED_VALUE"""),45926.6458333333)</f>
        <v>45926.6458333333</v>
      </c>
      <c r="N3" s="27">
        <f>IFERROR(__xludf.DUMMYFUNCTION("""COMPUTED_VALUE"""),1253.1)</f>
        <v>1253.1</v>
      </c>
      <c r="O3" s="26">
        <f>IFERROR(__xludf.DUMMYFUNCTION("""COMPUTED_VALUE"""),45926.6458333333)</f>
        <v>45926.6458333333</v>
      </c>
      <c r="P3" s="27">
        <f>IFERROR(__xludf.DUMMYFUNCTION("""COMPUTED_VALUE"""),1250)</f>
        <v>1250</v>
      </c>
      <c r="Q3" s="16">
        <f>IFERROR(__xludf.DUMMYFUNCTION("""COMPUTED_VALUE"""),45926.6458333333)</f>
        <v>45926.6458333333</v>
      </c>
      <c r="R3" s="17">
        <f>IFERROR(__xludf.DUMMYFUNCTION("""COMPUTED_VALUE"""),1278.5)</f>
        <v>1278.5</v>
      </c>
      <c r="S3" s="83">
        <f>IFERROR(__xludf.DUMMYFUNCTION("""COMPUTED_VALUE"""),45926.6458333333)</f>
        <v>45926.6458333333</v>
      </c>
      <c r="T3" s="31">
        <f>IFERROR(__xludf.DUMMYFUNCTION("""COMPUTED_VALUE"""),1246.2)</f>
        <v>1246.2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IFERROR(__xludf.DUMMYFUNCTION("""COMPUTED_VALUE"""),1162.2)</f>
        <v>1162.2</v>
      </c>
      <c r="C5" s="14">
        <f>IFERROR(__xludf.DUMMYFUNCTION("""COMPUTED_VALUE"""),45743.6458333333)</f>
        <v>45743.6458333333</v>
      </c>
      <c r="D5" s="15">
        <f>IFERROR(__xludf.DUMMYFUNCTION("""COMPUTED_VALUE"""),1160)</f>
        <v>1160</v>
      </c>
      <c r="E5" s="14">
        <f>IFERROR(__xludf.DUMMYFUNCTION("""COMPUTED_VALUE"""),45743.6458333333)</f>
        <v>45743.6458333333</v>
      </c>
      <c r="F5" s="15">
        <f>IFERROR(__xludf.DUMMYFUNCTION("""COMPUTED_VALUE"""),4460409)</f>
        <v>4460409</v>
      </c>
      <c r="G5" s="14">
        <f>IFERROR(__xludf.DUMMYFUNCTION("""COMPUTED_VALUE"""),45743.6458333333)</f>
        <v>45743.6458333333</v>
      </c>
      <c r="H5" s="15">
        <f>IFERROR(__xludf.DUMMYFUNCTION("""COMPUTED_VALUE"""),1172.4)</f>
        <v>1172.4</v>
      </c>
      <c r="I5" s="30">
        <f>IFERROR(__xludf.DUMMYFUNCTION("""COMPUTED_VALUE"""),45743.6458333333)</f>
        <v>45743.6458333333</v>
      </c>
      <c r="J5" s="3">
        <f>IFERROR(__xludf.DUMMYFUNCTION("""COMPUTED_VALUE"""),1144)</f>
        <v>1144</v>
      </c>
      <c r="K5" s="5"/>
      <c r="L5" s="5"/>
      <c r="M5" s="3">
        <f t="array" ref="M5">INDEX(K11:K124,MATCH(SMALL(ABS(K11:K124-H3),1),ABS(K11:K124-H3),0))</f>
        <v>1236.3</v>
      </c>
      <c r="N5" s="3">
        <f t="array" ref="N5">INDEX(K11:K124,MATCH(SMALL(ABS(K11:K124-H3),2),ABS(K11:K124-H3),0))</f>
        <v>1283.9</v>
      </c>
      <c r="O5" s="3">
        <f t="array" ref="O5">INDEX(L11:L124,MATCH(SMALL(ABS(L11:L124-H3),1),ABS(L11:L124-H3),0))</f>
        <v>1250.6</v>
      </c>
      <c r="P5" s="3">
        <f t="array" ref="P5">INDEX(L11:L124,MATCH(SMALL(ABS(L11:L124-H3),2),ABS(L11:L124-H3),0))</f>
        <v>1240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1250.6</v>
      </c>
      <c r="R5" s="31"/>
      <c r="S5" s="35">
        <f>IF(Q5&gt;0,Q5,S5)</f>
        <v>1250.6</v>
      </c>
      <c r="T5" s="17">
        <f>IF(AND(H3&gt;=Mastersheet!I3*S5,H3&lt;=Mastersheet!J3*S5),1,0)</f>
        <v>0</v>
      </c>
      <c r="U5" s="36">
        <f>(N3+P3)/2</f>
        <v>1251.55</v>
      </c>
      <c r="V5" s="17">
        <f>(N3+P3+R3+T3)/4</f>
        <v>1256.95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IFERROR(__xludf.DUMMYFUNCTION("""COMPUTED_VALUE"""),1144.2)</f>
        <v>1144.2</v>
      </c>
      <c r="C6" s="16">
        <f>IFERROR(__xludf.DUMMYFUNCTION("""COMPUTED_VALUE"""),45744.6458333333)</f>
        <v>45744.6458333333</v>
      </c>
      <c r="D6" s="17">
        <f>IFERROR(__xludf.DUMMYFUNCTION("""COMPUTED_VALUE"""),1159.25)</f>
        <v>1159.25</v>
      </c>
      <c r="E6" s="16">
        <f>IFERROR(__xludf.DUMMYFUNCTION("""COMPUTED_VALUE"""),45744.6458333333)</f>
        <v>45744.6458333333</v>
      </c>
      <c r="F6" s="17">
        <f>IFERROR(__xludf.DUMMYFUNCTION("""COMPUTED_VALUE"""),2762934)</f>
        <v>2762934</v>
      </c>
      <c r="G6" s="16">
        <f>IFERROR(__xludf.DUMMYFUNCTION("""COMPUTED_VALUE"""),45744.6458333333)</f>
        <v>45744.6458333333</v>
      </c>
      <c r="H6" s="17">
        <f>IFERROR(__xludf.DUMMYFUNCTION("""COMPUTED_VALUE"""),1159.25)</f>
        <v>1159.25</v>
      </c>
      <c r="I6" s="16">
        <f>IFERROR(__xludf.DUMMYFUNCTION("""COMPUTED_VALUE"""),45744.6458333333)</f>
        <v>45744.6458333333</v>
      </c>
      <c r="J6" s="17">
        <f>IFERROR(__xludf.DUMMYFUNCTION("""COMPUTED_VALUE"""),1140.75)</f>
        <v>1140.75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IFERROR(__xludf.DUMMYFUNCTION("""COMPUTED_VALUE"""),1152.2)</f>
        <v>1152.2</v>
      </c>
      <c r="C7" s="16">
        <f>IFERROR(__xludf.DUMMYFUNCTION("""COMPUTED_VALUE"""),45748.6458333333)</f>
        <v>45748.6458333333</v>
      </c>
      <c r="D7" s="17">
        <f>IFERROR(__xludf.DUMMYFUNCTION("""COMPUTED_VALUE"""),1144.2)</f>
        <v>1144.2</v>
      </c>
      <c r="E7" s="16">
        <f>IFERROR(__xludf.DUMMYFUNCTION("""COMPUTED_VALUE"""),45748.6458333333)</f>
        <v>45748.6458333333</v>
      </c>
      <c r="F7" s="17">
        <f>IFERROR(__xludf.DUMMYFUNCTION("""COMPUTED_VALUE"""),4158012)</f>
        <v>4158012</v>
      </c>
      <c r="G7" s="16">
        <f>IFERROR(__xludf.DUMMYFUNCTION("""COMPUTED_VALUE"""),45748.6458333333)</f>
        <v>45748.6458333333</v>
      </c>
      <c r="H7" s="17">
        <f>IFERROR(__xludf.DUMMYFUNCTION("""COMPUTED_VALUE"""),1164.4)</f>
        <v>1164.4</v>
      </c>
      <c r="I7" s="16">
        <f>IFERROR(__xludf.DUMMYFUNCTION("""COMPUTED_VALUE"""),45748.6458333333)</f>
        <v>45748.6458333333</v>
      </c>
      <c r="J7" s="17">
        <f>IFERROR(__xludf.DUMMYFUNCTION("""COMPUTED_VALUE"""),1136.05)</f>
        <v>1136.05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IFERROR(__xludf.DUMMYFUNCTION("""COMPUTED_VALUE"""),1150)</f>
        <v>1150</v>
      </c>
      <c r="C8" s="16">
        <f>IFERROR(__xludf.DUMMYFUNCTION("""COMPUTED_VALUE"""),45749.6458333333)</f>
        <v>45749.6458333333</v>
      </c>
      <c r="D8" s="17">
        <f>IFERROR(__xludf.DUMMYFUNCTION("""COMPUTED_VALUE"""),1150)</f>
        <v>1150</v>
      </c>
      <c r="E8" s="16">
        <f>IFERROR(__xludf.DUMMYFUNCTION("""COMPUTED_VALUE"""),45749.6458333333)</f>
        <v>45749.6458333333</v>
      </c>
      <c r="F8" s="17">
        <f>IFERROR(__xludf.DUMMYFUNCTION("""COMPUTED_VALUE"""),2071245)</f>
        <v>2071245</v>
      </c>
      <c r="G8" s="16">
        <f>IFERROR(__xludf.DUMMYFUNCTION("""COMPUTED_VALUE"""),45749.6458333333)</f>
        <v>45749.6458333333</v>
      </c>
      <c r="H8" s="17">
        <f>IFERROR(__xludf.DUMMYFUNCTION("""COMPUTED_VALUE"""),1152.7)</f>
        <v>1152.7</v>
      </c>
      <c r="I8" s="16">
        <f>IFERROR(__xludf.DUMMYFUNCTION("""COMPUTED_VALUE"""),45749.6458333333)</f>
        <v>45749.6458333333</v>
      </c>
      <c r="J8" s="17">
        <f>IFERROR(__xludf.DUMMYFUNCTION("""COMPUTED_VALUE"""),1135)</f>
        <v>1135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IFERROR(__xludf.DUMMYFUNCTION("""COMPUTED_VALUE"""),1151.45)</f>
        <v>1151.45</v>
      </c>
      <c r="C9" s="16">
        <f>IFERROR(__xludf.DUMMYFUNCTION("""COMPUTED_VALUE"""),45750.6458333333)</f>
        <v>45750.6458333333</v>
      </c>
      <c r="D9" s="17">
        <f>IFERROR(__xludf.DUMMYFUNCTION("""COMPUTED_VALUE"""),1190.5)</f>
        <v>1190.5</v>
      </c>
      <c r="E9" s="16">
        <f>IFERROR(__xludf.DUMMYFUNCTION("""COMPUTED_VALUE"""),45750.6458333333)</f>
        <v>45750.6458333333</v>
      </c>
      <c r="F9" s="17">
        <f>IFERROR(__xludf.DUMMYFUNCTION("""COMPUTED_VALUE"""),6324685)</f>
        <v>6324685</v>
      </c>
      <c r="G9" s="16">
        <f>IFERROR(__xludf.DUMMYFUNCTION("""COMPUTED_VALUE"""),45750.6458333333)</f>
        <v>45750.6458333333</v>
      </c>
      <c r="H9" s="17">
        <f>IFERROR(__xludf.DUMMYFUNCTION("""COMPUTED_VALUE"""),1226.9)</f>
        <v>1226.9</v>
      </c>
      <c r="I9" s="16">
        <f>IFERROR(__xludf.DUMMYFUNCTION("""COMPUTED_VALUE"""),45750.6458333333)</f>
        <v>45750.6458333333</v>
      </c>
      <c r="J9" s="17">
        <f>IFERROR(__xludf.DUMMYFUNCTION("""COMPUTED_VALUE"""),1149.05)</f>
        <v>1149.05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IFERROR(__xludf.DUMMYFUNCTION("""COMPUTED_VALUE"""),1109.95)</f>
        <v>1109.95</v>
      </c>
      <c r="C10" s="16">
        <f>IFERROR(__xludf.DUMMYFUNCTION("""COMPUTED_VALUE"""),45751.6458333333)</f>
        <v>45751.6458333333</v>
      </c>
      <c r="D10" s="17">
        <f>IFERROR(__xludf.DUMMYFUNCTION("""COMPUTED_VALUE"""),1151.8)</f>
        <v>1151.8</v>
      </c>
      <c r="E10" s="16">
        <f>IFERROR(__xludf.DUMMYFUNCTION("""COMPUTED_VALUE"""),45751.6458333333)</f>
        <v>45751.6458333333</v>
      </c>
      <c r="F10" s="17">
        <f>IFERROR(__xludf.DUMMYFUNCTION("""COMPUTED_VALUE"""),5423861)</f>
        <v>5423861</v>
      </c>
      <c r="G10" s="16">
        <f>IFERROR(__xludf.DUMMYFUNCTION("""COMPUTED_VALUE"""),45751.6458333333)</f>
        <v>45751.6458333333</v>
      </c>
      <c r="H10" s="17">
        <f>IFERROR(__xludf.DUMMYFUNCTION("""COMPUTED_VALUE"""),1157.45)</f>
        <v>1157.45</v>
      </c>
      <c r="I10" s="16">
        <f>IFERROR(__xludf.DUMMYFUNCTION("""COMPUTED_VALUE"""),45751.6458333333)</f>
        <v>45751.6458333333</v>
      </c>
      <c r="J10" s="17">
        <f>IFERROR(__xludf.DUMMYFUNCTION("""COMPUTED_VALUE"""),1076.2)</f>
        <v>1076.2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IFERROR(__xludf.DUMMYFUNCTION("""COMPUTED_VALUE"""),1087.9)</f>
        <v>1087.9</v>
      </c>
      <c r="C11" s="16">
        <f>IFERROR(__xludf.DUMMYFUNCTION("""COMPUTED_VALUE"""),45754.6458333333)</f>
        <v>45754.6458333333</v>
      </c>
      <c r="D11" s="17">
        <f>IFERROR(__xludf.DUMMYFUNCTION("""COMPUTED_VALUE"""),1020)</f>
        <v>1020</v>
      </c>
      <c r="E11" s="16">
        <f>IFERROR(__xludf.DUMMYFUNCTION("""COMPUTED_VALUE"""),45754.6458333333)</f>
        <v>45754.6458333333</v>
      </c>
      <c r="F11" s="17">
        <f>IFERROR(__xludf.DUMMYFUNCTION("""COMPUTED_VALUE"""),3888037)</f>
        <v>3888037</v>
      </c>
      <c r="G11" s="16">
        <f>IFERROR(__xludf.DUMMYFUNCTION("""COMPUTED_VALUE"""),45754.6458333333)</f>
        <v>45754.6458333333</v>
      </c>
      <c r="H11" s="17">
        <f>IFERROR(__xludf.DUMMYFUNCTION("""COMPUTED_VALUE"""),1098.85)</f>
        <v>1098.85</v>
      </c>
      <c r="I11" s="16">
        <f>IFERROR(__xludf.DUMMYFUNCTION("""COMPUTED_VALUE"""),45754.6458333333)</f>
        <v>45754.6458333333</v>
      </c>
      <c r="J11" s="17">
        <f>IFERROR(__xludf.DUMMYFUNCTION("""COMPUTED_VALUE"""),1020)</f>
        <v>1020</v>
      </c>
      <c r="K11" s="3">
        <f t="shared" ref="K11:K125" si="2">IF(B11=MAX(B5:B17),B11,0)</f>
        <v>0</v>
      </c>
      <c r="L11" s="3">
        <f t="shared" ref="L11:L125" si="3">IF(B11=MIN(B5:B17),B11,0)</f>
        <v>1087.9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IFERROR(__xludf.DUMMYFUNCTION("""COMPUTED_VALUE"""),1107.95)</f>
        <v>1107.95</v>
      </c>
      <c r="C12" s="16">
        <f>IFERROR(__xludf.DUMMYFUNCTION("""COMPUTED_VALUE"""),45755.6458333333)</f>
        <v>45755.6458333333</v>
      </c>
      <c r="D12" s="17">
        <f>IFERROR(__xludf.DUMMYFUNCTION("""COMPUTED_VALUE"""),1100)</f>
        <v>1100</v>
      </c>
      <c r="E12" s="16">
        <f>IFERROR(__xludf.DUMMYFUNCTION("""COMPUTED_VALUE"""),45755.6458333333)</f>
        <v>45755.6458333333</v>
      </c>
      <c r="F12" s="17">
        <f>IFERROR(__xludf.DUMMYFUNCTION("""COMPUTED_VALUE"""),1577632)</f>
        <v>1577632</v>
      </c>
      <c r="G12" s="16">
        <f>IFERROR(__xludf.DUMMYFUNCTION("""COMPUTED_VALUE"""),45755.6458333333)</f>
        <v>45755.6458333333</v>
      </c>
      <c r="H12" s="17">
        <f>IFERROR(__xludf.DUMMYFUNCTION("""COMPUTED_VALUE"""),1113.65)</f>
        <v>1113.65</v>
      </c>
      <c r="I12" s="16">
        <f>IFERROR(__xludf.DUMMYFUNCTION("""COMPUTED_VALUE"""),45755.6458333333)</f>
        <v>45755.6458333333</v>
      </c>
      <c r="J12" s="17">
        <f>IFERROR(__xludf.DUMMYFUNCTION("""COMPUTED_VALUE"""),1088.7)</f>
        <v>1088.7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IFERROR(__xludf.DUMMYFUNCTION("""COMPUTED_VALUE"""),1094.05)</f>
        <v>1094.05</v>
      </c>
      <c r="C13" s="16">
        <f>IFERROR(__xludf.DUMMYFUNCTION("""COMPUTED_VALUE"""),45756.6458333333)</f>
        <v>45756.6458333333</v>
      </c>
      <c r="D13" s="17">
        <f>IFERROR(__xludf.DUMMYFUNCTION("""COMPUTED_VALUE"""),1094.5)</f>
        <v>1094.5</v>
      </c>
      <c r="E13" s="16">
        <f>IFERROR(__xludf.DUMMYFUNCTION("""COMPUTED_VALUE"""),45756.6458333333)</f>
        <v>45756.6458333333</v>
      </c>
      <c r="F13" s="17">
        <f>IFERROR(__xludf.DUMMYFUNCTION("""COMPUTED_VALUE"""),5511474)</f>
        <v>5511474</v>
      </c>
      <c r="G13" s="16">
        <f>IFERROR(__xludf.DUMMYFUNCTION("""COMPUTED_VALUE"""),45756.6458333333)</f>
        <v>45756.6458333333</v>
      </c>
      <c r="H13" s="17">
        <f>IFERROR(__xludf.DUMMYFUNCTION("""COMPUTED_VALUE"""),1103.25)</f>
        <v>1103.25</v>
      </c>
      <c r="I13" s="16">
        <f>IFERROR(__xludf.DUMMYFUNCTION("""COMPUTED_VALUE"""),45756.6458333333)</f>
        <v>45756.6458333333</v>
      </c>
      <c r="J13" s="17">
        <f>IFERROR(__xludf.DUMMYFUNCTION("""COMPUTED_VALUE"""),1061.65)</f>
        <v>1061.65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IFERROR(__xludf.DUMMYFUNCTION("""COMPUTED_VALUE"""),1109.5)</f>
        <v>1109.5</v>
      </c>
      <c r="C14" s="16">
        <f>IFERROR(__xludf.DUMMYFUNCTION("""COMPUTED_VALUE"""),45758.6458333333)</f>
        <v>45758.6458333333</v>
      </c>
      <c r="D14" s="17">
        <f>IFERROR(__xludf.DUMMYFUNCTION("""COMPUTED_VALUE"""),1139.9)</f>
        <v>1139.9</v>
      </c>
      <c r="E14" s="16">
        <f>IFERROR(__xludf.DUMMYFUNCTION("""COMPUTED_VALUE"""),45758.6458333333)</f>
        <v>45758.6458333333</v>
      </c>
      <c r="F14" s="17">
        <f>IFERROR(__xludf.DUMMYFUNCTION("""COMPUTED_VALUE"""),2740831)</f>
        <v>2740831</v>
      </c>
      <c r="G14" s="16">
        <f>IFERROR(__xludf.DUMMYFUNCTION("""COMPUTED_VALUE"""),45758.6458333333)</f>
        <v>45758.6458333333</v>
      </c>
      <c r="H14" s="17">
        <f>IFERROR(__xludf.DUMMYFUNCTION("""COMPUTED_VALUE"""),1139.9)</f>
        <v>1139.9</v>
      </c>
      <c r="I14" s="16">
        <f>IFERROR(__xludf.DUMMYFUNCTION("""COMPUTED_VALUE"""),45758.6458333333)</f>
        <v>45758.6458333333</v>
      </c>
      <c r="J14" s="17">
        <f>IFERROR(__xludf.DUMMYFUNCTION("""COMPUTED_VALUE"""),1102.25)</f>
        <v>1102.25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IFERROR(__xludf.DUMMYFUNCTION("""COMPUTED_VALUE"""),1154.9)</f>
        <v>1154.9</v>
      </c>
      <c r="C15" s="16">
        <f>IFERROR(__xludf.DUMMYFUNCTION("""COMPUTED_VALUE"""),45762.6458333333)</f>
        <v>45762.6458333333</v>
      </c>
      <c r="D15" s="17">
        <f>IFERROR(__xludf.DUMMYFUNCTION("""COMPUTED_VALUE"""),1140.9)</f>
        <v>1140.9</v>
      </c>
      <c r="E15" s="16">
        <f>IFERROR(__xludf.DUMMYFUNCTION("""COMPUTED_VALUE"""),45762.6458333333)</f>
        <v>45762.6458333333</v>
      </c>
      <c r="F15" s="17">
        <f>IFERROR(__xludf.DUMMYFUNCTION("""COMPUTED_VALUE"""),2683350)</f>
        <v>2683350</v>
      </c>
      <c r="G15" s="16">
        <f>IFERROR(__xludf.DUMMYFUNCTION("""COMPUTED_VALUE"""),45762.6458333333)</f>
        <v>45762.6458333333</v>
      </c>
      <c r="H15" s="17">
        <f>IFERROR(__xludf.DUMMYFUNCTION("""COMPUTED_VALUE"""),1158.1)</f>
        <v>1158.1</v>
      </c>
      <c r="I15" s="16">
        <f>IFERROR(__xludf.DUMMYFUNCTION("""COMPUTED_VALUE"""),45762.6458333333)</f>
        <v>45762.6458333333</v>
      </c>
      <c r="J15" s="17">
        <f>IFERROR(__xludf.DUMMYFUNCTION("""COMPUTED_VALUE"""),1129)</f>
        <v>1129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IFERROR(__xludf.DUMMYFUNCTION("""COMPUTED_VALUE"""),1158.4)</f>
        <v>1158.4</v>
      </c>
      <c r="C16" s="16">
        <f>IFERROR(__xludf.DUMMYFUNCTION("""COMPUTED_VALUE"""),45763.6458333333)</f>
        <v>45763.6458333333</v>
      </c>
      <c r="D16" s="17">
        <f>IFERROR(__xludf.DUMMYFUNCTION("""COMPUTED_VALUE"""),1150.2)</f>
        <v>1150.2</v>
      </c>
      <c r="E16" s="16">
        <f>IFERROR(__xludf.DUMMYFUNCTION("""COMPUTED_VALUE"""),45763.6458333333)</f>
        <v>45763.6458333333</v>
      </c>
      <c r="F16" s="17">
        <f>IFERROR(__xludf.DUMMYFUNCTION("""COMPUTED_VALUE"""),1451875)</f>
        <v>1451875</v>
      </c>
      <c r="G16" s="16">
        <f>IFERROR(__xludf.DUMMYFUNCTION("""COMPUTED_VALUE"""),45763.6458333333)</f>
        <v>45763.6458333333</v>
      </c>
      <c r="H16" s="17">
        <f>IFERROR(__xludf.DUMMYFUNCTION("""COMPUTED_VALUE"""),1161.4)</f>
        <v>1161.4</v>
      </c>
      <c r="I16" s="16">
        <f>IFERROR(__xludf.DUMMYFUNCTION("""COMPUTED_VALUE"""),45763.6458333333)</f>
        <v>45763.6458333333</v>
      </c>
      <c r="J16" s="17">
        <f>IFERROR(__xludf.DUMMYFUNCTION("""COMPUTED_VALUE"""),1143.7)</f>
        <v>1143.7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IFERROR(__xludf.DUMMYFUNCTION("""COMPUTED_VALUE"""),1163.6)</f>
        <v>1163.6</v>
      </c>
      <c r="C17" s="16">
        <f>IFERROR(__xludf.DUMMYFUNCTION("""COMPUTED_VALUE"""),45764.6458333333)</f>
        <v>45764.6458333333</v>
      </c>
      <c r="D17" s="17">
        <f>IFERROR(__xludf.DUMMYFUNCTION("""COMPUTED_VALUE"""),1150.1)</f>
        <v>1150.1</v>
      </c>
      <c r="E17" s="16">
        <f>IFERROR(__xludf.DUMMYFUNCTION("""COMPUTED_VALUE"""),45764.6458333333)</f>
        <v>45764.6458333333</v>
      </c>
      <c r="F17" s="17">
        <f>IFERROR(__xludf.DUMMYFUNCTION("""COMPUTED_VALUE"""),2788024)</f>
        <v>2788024</v>
      </c>
      <c r="G17" s="16">
        <f>IFERROR(__xludf.DUMMYFUNCTION("""COMPUTED_VALUE"""),45764.6458333333)</f>
        <v>45764.6458333333</v>
      </c>
      <c r="H17" s="17">
        <f>IFERROR(__xludf.DUMMYFUNCTION("""COMPUTED_VALUE"""),1173.6)</f>
        <v>1173.6</v>
      </c>
      <c r="I17" s="16">
        <f>IFERROR(__xludf.DUMMYFUNCTION("""COMPUTED_VALUE"""),45764.6458333333)</f>
        <v>45764.6458333333</v>
      </c>
      <c r="J17" s="17">
        <f>IFERROR(__xludf.DUMMYFUNCTION("""COMPUTED_VALUE"""),1150.1)</f>
        <v>1150.1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IFERROR(__xludf.DUMMYFUNCTION("""COMPUTED_VALUE"""),1177.4)</f>
        <v>1177.4</v>
      </c>
      <c r="C18" s="16">
        <f>IFERROR(__xludf.DUMMYFUNCTION("""COMPUTED_VALUE"""),45768.6458333333)</f>
        <v>45768.6458333333</v>
      </c>
      <c r="D18" s="17">
        <f>IFERROR(__xludf.DUMMYFUNCTION("""COMPUTED_VALUE"""),1163.4)</f>
        <v>1163.4</v>
      </c>
      <c r="E18" s="16">
        <f>IFERROR(__xludf.DUMMYFUNCTION("""COMPUTED_VALUE"""),45768.6458333333)</f>
        <v>45768.6458333333</v>
      </c>
      <c r="F18" s="17">
        <f>IFERROR(__xludf.DUMMYFUNCTION("""COMPUTED_VALUE"""),1938756)</f>
        <v>1938756</v>
      </c>
      <c r="G18" s="16">
        <f>IFERROR(__xludf.DUMMYFUNCTION("""COMPUTED_VALUE"""),45768.6458333333)</f>
        <v>45768.6458333333</v>
      </c>
      <c r="H18" s="17">
        <f>IFERROR(__xludf.DUMMYFUNCTION("""COMPUTED_VALUE"""),1179.7)</f>
        <v>1179.7</v>
      </c>
      <c r="I18" s="16">
        <f>IFERROR(__xludf.DUMMYFUNCTION("""COMPUTED_VALUE"""),45768.6458333333)</f>
        <v>45768.6458333333</v>
      </c>
      <c r="J18" s="17">
        <f>IFERROR(__xludf.DUMMYFUNCTION("""COMPUTED_VALUE"""),1155)</f>
        <v>1155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IFERROR(__xludf.DUMMYFUNCTION("""COMPUTED_VALUE"""),1175)</f>
        <v>1175</v>
      </c>
      <c r="C19" s="16">
        <f>IFERROR(__xludf.DUMMYFUNCTION("""COMPUTED_VALUE"""),45769.6458333333)</f>
        <v>45769.6458333333</v>
      </c>
      <c r="D19" s="17">
        <f>IFERROR(__xludf.DUMMYFUNCTION("""COMPUTED_VALUE"""),1173.9)</f>
        <v>1173.9</v>
      </c>
      <c r="E19" s="16">
        <f>IFERROR(__xludf.DUMMYFUNCTION("""COMPUTED_VALUE"""),45769.6458333333)</f>
        <v>45769.6458333333</v>
      </c>
      <c r="F19" s="17">
        <f>IFERROR(__xludf.DUMMYFUNCTION("""COMPUTED_VALUE"""),1313400)</f>
        <v>1313400</v>
      </c>
      <c r="G19" s="16">
        <f>IFERROR(__xludf.DUMMYFUNCTION("""COMPUTED_VALUE"""),45769.6458333333)</f>
        <v>45769.6458333333</v>
      </c>
      <c r="H19" s="17">
        <f>IFERROR(__xludf.DUMMYFUNCTION("""COMPUTED_VALUE"""),1180.5)</f>
        <v>1180.5</v>
      </c>
      <c r="I19" s="16">
        <f>IFERROR(__xludf.DUMMYFUNCTION("""COMPUTED_VALUE"""),45769.6458333333)</f>
        <v>45769.6458333333</v>
      </c>
      <c r="J19" s="17">
        <f>IFERROR(__xludf.DUMMYFUNCTION("""COMPUTED_VALUE"""),1162.3)</f>
        <v>1162.3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IFERROR(__xludf.DUMMYFUNCTION("""COMPUTED_VALUE"""),1186)</f>
        <v>1186</v>
      </c>
      <c r="C20" s="16">
        <f>IFERROR(__xludf.DUMMYFUNCTION("""COMPUTED_VALUE"""),45770.6458333333)</f>
        <v>45770.6458333333</v>
      </c>
      <c r="D20" s="17">
        <f>IFERROR(__xludf.DUMMYFUNCTION("""COMPUTED_VALUE"""),1185.1)</f>
        <v>1185.1</v>
      </c>
      <c r="E20" s="16">
        <f>IFERROR(__xludf.DUMMYFUNCTION("""COMPUTED_VALUE"""),45770.6458333333)</f>
        <v>45770.6458333333</v>
      </c>
      <c r="F20" s="17">
        <f>IFERROR(__xludf.DUMMYFUNCTION("""COMPUTED_VALUE"""),3192132)</f>
        <v>3192132</v>
      </c>
      <c r="G20" s="16">
        <f>IFERROR(__xludf.DUMMYFUNCTION("""COMPUTED_VALUE"""),45770.6458333333)</f>
        <v>45770.6458333333</v>
      </c>
      <c r="H20" s="17">
        <f>IFERROR(__xludf.DUMMYFUNCTION("""COMPUTED_VALUE"""),1191.8)</f>
        <v>1191.8</v>
      </c>
      <c r="I20" s="16">
        <f>IFERROR(__xludf.DUMMYFUNCTION("""COMPUTED_VALUE"""),45770.6458333333)</f>
        <v>45770.6458333333</v>
      </c>
      <c r="J20" s="17">
        <f>IFERROR(__xludf.DUMMYFUNCTION("""COMPUTED_VALUE"""),1175.9)</f>
        <v>1175.9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IFERROR(__xludf.DUMMYFUNCTION("""COMPUTED_VALUE"""),1200.5)</f>
        <v>1200.5</v>
      </c>
      <c r="C21" s="16">
        <f>IFERROR(__xludf.DUMMYFUNCTION("""COMPUTED_VALUE"""),45771.6458333333)</f>
        <v>45771.6458333333</v>
      </c>
      <c r="D21" s="17">
        <f>IFERROR(__xludf.DUMMYFUNCTION("""COMPUTED_VALUE"""),1179)</f>
        <v>1179</v>
      </c>
      <c r="E21" s="16">
        <f>IFERROR(__xludf.DUMMYFUNCTION("""COMPUTED_VALUE"""),45771.6458333333)</f>
        <v>45771.6458333333</v>
      </c>
      <c r="F21" s="17">
        <f>IFERROR(__xludf.DUMMYFUNCTION("""COMPUTED_VALUE"""),4819678)</f>
        <v>4819678</v>
      </c>
      <c r="G21" s="16">
        <f>IFERROR(__xludf.DUMMYFUNCTION("""COMPUTED_VALUE"""),45771.6458333333)</f>
        <v>45771.6458333333</v>
      </c>
      <c r="H21" s="17">
        <f>IFERROR(__xludf.DUMMYFUNCTION("""COMPUTED_VALUE"""),1210)</f>
        <v>1210</v>
      </c>
      <c r="I21" s="16">
        <f>IFERROR(__xludf.DUMMYFUNCTION("""COMPUTED_VALUE"""),45771.6458333333)</f>
        <v>45771.6458333333</v>
      </c>
      <c r="J21" s="17">
        <f>IFERROR(__xludf.DUMMYFUNCTION("""COMPUTED_VALUE"""),1176.3)</f>
        <v>1176.3</v>
      </c>
      <c r="K21" s="3">
        <f t="shared" si="2"/>
        <v>1200.5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IFERROR(__xludf.DUMMYFUNCTION("""COMPUTED_VALUE"""),1174.8)</f>
        <v>1174.8</v>
      </c>
      <c r="C22" s="16">
        <f>IFERROR(__xludf.DUMMYFUNCTION("""COMPUTED_VALUE"""),45772.6458333333)</f>
        <v>45772.6458333333</v>
      </c>
      <c r="D22" s="17">
        <f>IFERROR(__xludf.DUMMYFUNCTION("""COMPUTED_VALUE"""),1203.9)</f>
        <v>1203.9</v>
      </c>
      <c r="E22" s="16">
        <f>IFERROR(__xludf.DUMMYFUNCTION("""COMPUTED_VALUE"""),45772.6458333333)</f>
        <v>45772.6458333333</v>
      </c>
      <c r="F22" s="17">
        <f>IFERROR(__xludf.DUMMYFUNCTION("""COMPUTED_VALUE"""),1286573)</f>
        <v>1286573</v>
      </c>
      <c r="G22" s="16">
        <f>IFERROR(__xludf.DUMMYFUNCTION("""COMPUTED_VALUE"""),45772.6458333333)</f>
        <v>45772.6458333333</v>
      </c>
      <c r="H22" s="17">
        <f>IFERROR(__xludf.DUMMYFUNCTION("""COMPUTED_VALUE"""),1210.5)</f>
        <v>1210.5</v>
      </c>
      <c r="I22" s="16">
        <f>IFERROR(__xludf.DUMMYFUNCTION("""COMPUTED_VALUE"""),45772.6458333333)</f>
        <v>45772.6458333333</v>
      </c>
      <c r="J22" s="17">
        <f>IFERROR(__xludf.DUMMYFUNCTION("""COMPUTED_VALUE"""),1159.7)</f>
        <v>1159.7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IFERROR(__xludf.DUMMYFUNCTION("""COMPUTED_VALUE"""),1198.7)</f>
        <v>1198.7</v>
      </c>
      <c r="C23" s="16">
        <f>IFERROR(__xludf.DUMMYFUNCTION("""COMPUTED_VALUE"""),45775.6458333333)</f>
        <v>45775.6458333333</v>
      </c>
      <c r="D23" s="17">
        <f>IFERROR(__xludf.DUMMYFUNCTION("""COMPUTED_VALUE"""),1176.3)</f>
        <v>1176.3</v>
      </c>
      <c r="E23" s="16">
        <f>IFERROR(__xludf.DUMMYFUNCTION("""COMPUTED_VALUE"""),45775.6458333333)</f>
        <v>45775.6458333333</v>
      </c>
      <c r="F23" s="17">
        <f>IFERROR(__xludf.DUMMYFUNCTION("""COMPUTED_VALUE"""),1236678)</f>
        <v>1236678</v>
      </c>
      <c r="G23" s="16">
        <f>IFERROR(__xludf.DUMMYFUNCTION("""COMPUTED_VALUE"""),45775.6458333333)</f>
        <v>45775.6458333333</v>
      </c>
      <c r="H23" s="17">
        <f>IFERROR(__xludf.DUMMYFUNCTION("""COMPUTED_VALUE"""),1205)</f>
        <v>1205</v>
      </c>
      <c r="I23" s="16">
        <f>IFERROR(__xludf.DUMMYFUNCTION("""COMPUTED_VALUE"""),45775.6458333333)</f>
        <v>45775.6458333333</v>
      </c>
      <c r="J23" s="17">
        <f>IFERROR(__xludf.DUMMYFUNCTION("""COMPUTED_VALUE"""),1176.3)</f>
        <v>1176.3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IFERROR(__xludf.DUMMYFUNCTION("""COMPUTED_VALUE"""),1176)</f>
        <v>1176</v>
      </c>
      <c r="C24" s="16">
        <f>IFERROR(__xludf.DUMMYFUNCTION("""COMPUTED_VALUE"""),45776.6458333333)</f>
        <v>45776.6458333333</v>
      </c>
      <c r="D24" s="17">
        <f>IFERROR(__xludf.DUMMYFUNCTION("""COMPUTED_VALUE"""),1204.4)</f>
        <v>1204.4</v>
      </c>
      <c r="E24" s="16">
        <f>IFERROR(__xludf.DUMMYFUNCTION("""COMPUTED_VALUE"""),45776.6458333333)</f>
        <v>45776.6458333333</v>
      </c>
      <c r="F24" s="17">
        <f>IFERROR(__xludf.DUMMYFUNCTION("""COMPUTED_VALUE"""),1663018)</f>
        <v>1663018</v>
      </c>
      <c r="G24" s="16">
        <f>IFERROR(__xludf.DUMMYFUNCTION("""COMPUTED_VALUE"""),45776.6458333333)</f>
        <v>45776.6458333333</v>
      </c>
      <c r="H24" s="17">
        <f>IFERROR(__xludf.DUMMYFUNCTION("""COMPUTED_VALUE"""),1204.4)</f>
        <v>1204.4</v>
      </c>
      <c r="I24" s="16">
        <f>IFERROR(__xludf.DUMMYFUNCTION("""COMPUTED_VALUE"""),45776.6458333333)</f>
        <v>45776.6458333333</v>
      </c>
      <c r="J24" s="17">
        <f>IFERROR(__xludf.DUMMYFUNCTION("""COMPUTED_VALUE"""),1169)</f>
        <v>1169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IFERROR(__xludf.DUMMYFUNCTION("""COMPUTED_VALUE"""),1183.9)</f>
        <v>1183.9</v>
      </c>
      <c r="C25" s="16">
        <f>IFERROR(__xludf.DUMMYFUNCTION("""COMPUTED_VALUE"""),45777.6458333333)</f>
        <v>45777.6458333333</v>
      </c>
      <c r="D25" s="17">
        <f>IFERROR(__xludf.DUMMYFUNCTION("""COMPUTED_VALUE"""),1176.2)</f>
        <v>1176.2</v>
      </c>
      <c r="E25" s="16">
        <f>IFERROR(__xludf.DUMMYFUNCTION("""COMPUTED_VALUE"""),45777.6458333333)</f>
        <v>45777.6458333333</v>
      </c>
      <c r="F25" s="17">
        <f>IFERROR(__xludf.DUMMYFUNCTION("""COMPUTED_VALUE"""),1604442)</f>
        <v>1604442</v>
      </c>
      <c r="G25" s="16">
        <f>IFERROR(__xludf.DUMMYFUNCTION("""COMPUTED_VALUE"""),45777.6458333333)</f>
        <v>45777.6458333333</v>
      </c>
      <c r="H25" s="17">
        <f>IFERROR(__xludf.DUMMYFUNCTION("""COMPUTED_VALUE"""),1196.6)</f>
        <v>1196.6</v>
      </c>
      <c r="I25" s="16">
        <f>IFERROR(__xludf.DUMMYFUNCTION("""COMPUTED_VALUE"""),45777.6458333333)</f>
        <v>45777.6458333333</v>
      </c>
      <c r="J25" s="17">
        <f>IFERROR(__xludf.DUMMYFUNCTION("""COMPUTED_VALUE"""),1175.9)</f>
        <v>1175.9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IFERROR(__xludf.DUMMYFUNCTION("""COMPUTED_VALUE"""),1182.9)</f>
        <v>1182.9</v>
      </c>
      <c r="C26" s="16">
        <f>IFERROR(__xludf.DUMMYFUNCTION("""COMPUTED_VALUE"""),45779.6458333333)</f>
        <v>45779.6458333333</v>
      </c>
      <c r="D26" s="17">
        <f>IFERROR(__xludf.DUMMYFUNCTION("""COMPUTED_VALUE"""),1176.1)</f>
        <v>1176.1</v>
      </c>
      <c r="E26" s="16">
        <f>IFERROR(__xludf.DUMMYFUNCTION("""COMPUTED_VALUE"""),45779.6458333333)</f>
        <v>45779.6458333333</v>
      </c>
      <c r="F26" s="17">
        <f>IFERROR(__xludf.DUMMYFUNCTION("""COMPUTED_VALUE"""),910973)</f>
        <v>910973</v>
      </c>
      <c r="G26" s="16">
        <f>IFERROR(__xludf.DUMMYFUNCTION("""COMPUTED_VALUE"""),45779.6458333333)</f>
        <v>45779.6458333333</v>
      </c>
      <c r="H26" s="17">
        <f>IFERROR(__xludf.DUMMYFUNCTION("""COMPUTED_VALUE"""),1194.8)</f>
        <v>1194.8</v>
      </c>
      <c r="I26" s="16">
        <f>IFERROR(__xludf.DUMMYFUNCTION("""COMPUTED_VALUE"""),45779.6458333333)</f>
        <v>45779.6458333333</v>
      </c>
      <c r="J26" s="17">
        <f>IFERROR(__xludf.DUMMYFUNCTION("""COMPUTED_VALUE"""),1171.4)</f>
        <v>1171.4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IFERROR(__xludf.DUMMYFUNCTION("""COMPUTED_VALUE"""),1171.3)</f>
        <v>1171.3</v>
      </c>
      <c r="C27" s="16">
        <f>IFERROR(__xludf.DUMMYFUNCTION("""COMPUTED_VALUE"""),45782.6458333333)</f>
        <v>45782.6458333333</v>
      </c>
      <c r="D27" s="17">
        <f>IFERROR(__xludf.DUMMYFUNCTION("""COMPUTED_VALUE"""),1188.7)</f>
        <v>1188.7</v>
      </c>
      <c r="E27" s="16">
        <f>IFERROR(__xludf.DUMMYFUNCTION("""COMPUTED_VALUE"""),45782.6458333333)</f>
        <v>45782.6458333333</v>
      </c>
      <c r="F27" s="17">
        <f>IFERROR(__xludf.DUMMYFUNCTION("""COMPUTED_VALUE"""),1893680)</f>
        <v>1893680</v>
      </c>
      <c r="G27" s="16">
        <f>IFERROR(__xludf.DUMMYFUNCTION("""COMPUTED_VALUE"""),45782.6458333333)</f>
        <v>45782.6458333333</v>
      </c>
      <c r="H27" s="17">
        <f>IFERROR(__xludf.DUMMYFUNCTION("""COMPUTED_VALUE"""),1193.9)</f>
        <v>1193.9</v>
      </c>
      <c r="I27" s="16">
        <f>IFERROR(__xludf.DUMMYFUNCTION("""COMPUTED_VALUE"""),45782.6458333333)</f>
        <v>45782.6458333333</v>
      </c>
      <c r="J27" s="17">
        <f>IFERROR(__xludf.DUMMYFUNCTION("""COMPUTED_VALUE"""),1154.5)</f>
        <v>1154.5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IFERROR(__xludf.DUMMYFUNCTION("""COMPUTED_VALUE"""),1160.4)</f>
        <v>1160.4</v>
      </c>
      <c r="C28" s="16">
        <f>IFERROR(__xludf.DUMMYFUNCTION("""COMPUTED_VALUE"""),45783.6458333333)</f>
        <v>45783.6458333333</v>
      </c>
      <c r="D28" s="17">
        <f>IFERROR(__xludf.DUMMYFUNCTION("""COMPUTED_VALUE"""),1172.2)</f>
        <v>1172.2</v>
      </c>
      <c r="E28" s="16">
        <f>IFERROR(__xludf.DUMMYFUNCTION("""COMPUTED_VALUE"""),45783.6458333333)</f>
        <v>45783.6458333333</v>
      </c>
      <c r="F28" s="17">
        <f>IFERROR(__xludf.DUMMYFUNCTION("""COMPUTED_VALUE"""),1990745)</f>
        <v>1990745</v>
      </c>
      <c r="G28" s="16">
        <f>IFERROR(__xludf.DUMMYFUNCTION("""COMPUTED_VALUE"""),45783.6458333333)</f>
        <v>45783.6458333333</v>
      </c>
      <c r="H28" s="17">
        <f>IFERROR(__xludf.DUMMYFUNCTION("""COMPUTED_VALUE"""),1175)</f>
        <v>1175</v>
      </c>
      <c r="I28" s="16">
        <f>IFERROR(__xludf.DUMMYFUNCTION("""COMPUTED_VALUE"""),45783.6458333333)</f>
        <v>45783.6458333333</v>
      </c>
      <c r="J28" s="17">
        <f>IFERROR(__xludf.DUMMYFUNCTION("""COMPUTED_VALUE"""),1129.4)</f>
        <v>1129.4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IFERROR(__xludf.DUMMYFUNCTION("""COMPUTED_VALUE"""),1160.7)</f>
        <v>1160.7</v>
      </c>
      <c r="C29" s="16">
        <f>IFERROR(__xludf.DUMMYFUNCTION("""COMPUTED_VALUE"""),45784.6458333333)</f>
        <v>45784.6458333333</v>
      </c>
      <c r="D29" s="17">
        <f>IFERROR(__xludf.DUMMYFUNCTION("""COMPUTED_VALUE"""),1143.4)</f>
        <v>1143.4</v>
      </c>
      <c r="E29" s="16">
        <f>IFERROR(__xludf.DUMMYFUNCTION("""COMPUTED_VALUE"""),45784.6458333333)</f>
        <v>45784.6458333333</v>
      </c>
      <c r="F29" s="17">
        <f>IFERROR(__xludf.DUMMYFUNCTION("""COMPUTED_VALUE"""),1421366)</f>
        <v>1421366</v>
      </c>
      <c r="G29" s="16">
        <f>IFERROR(__xludf.DUMMYFUNCTION("""COMPUTED_VALUE"""),45784.6458333333)</f>
        <v>45784.6458333333</v>
      </c>
      <c r="H29" s="17">
        <f>IFERROR(__xludf.DUMMYFUNCTION("""COMPUTED_VALUE"""),1164.6)</f>
        <v>1164.6</v>
      </c>
      <c r="I29" s="16">
        <f>IFERROR(__xludf.DUMMYFUNCTION("""COMPUTED_VALUE"""),45784.6458333333)</f>
        <v>45784.6458333333</v>
      </c>
      <c r="J29" s="17">
        <f>IFERROR(__xludf.DUMMYFUNCTION("""COMPUTED_VALUE"""),1143.4)</f>
        <v>1143.4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IFERROR(__xludf.DUMMYFUNCTION("""COMPUTED_VALUE"""),1148)</f>
        <v>1148</v>
      </c>
      <c r="C30" s="16">
        <f>IFERROR(__xludf.DUMMYFUNCTION("""COMPUTED_VALUE"""),45785.6458333333)</f>
        <v>45785.6458333333</v>
      </c>
      <c r="D30" s="17">
        <f>IFERROR(__xludf.DUMMYFUNCTION("""COMPUTED_VALUE"""),1152.7)</f>
        <v>1152.7</v>
      </c>
      <c r="E30" s="16">
        <f>IFERROR(__xludf.DUMMYFUNCTION("""COMPUTED_VALUE"""),45785.6458333333)</f>
        <v>45785.6458333333</v>
      </c>
      <c r="F30" s="17">
        <f>IFERROR(__xludf.DUMMYFUNCTION("""COMPUTED_VALUE"""),2616533)</f>
        <v>2616533</v>
      </c>
      <c r="G30" s="16">
        <f>IFERROR(__xludf.DUMMYFUNCTION("""COMPUTED_VALUE"""),45785.6458333333)</f>
        <v>45785.6458333333</v>
      </c>
      <c r="H30" s="17">
        <f>IFERROR(__xludf.DUMMYFUNCTION("""COMPUTED_VALUE"""),1161.4)</f>
        <v>1161.4</v>
      </c>
      <c r="I30" s="16">
        <f>IFERROR(__xludf.DUMMYFUNCTION("""COMPUTED_VALUE"""),45785.6458333333)</f>
        <v>45785.6458333333</v>
      </c>
      <c r="J30" s="17">
        <f>IFERROR(__xludf.DUMMYFUNCTION("""COMPUTED_VALUE"""),1142)</f>
        <v>1142</v>
      </c>
      <c r="K30" s="3">
        <f t="shared" si="2"/>
        <v>0</v>
      </c>
      <c r="L30" s="3">
        <f t="shared" si="3"/>
        <v>1148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IFERROR(__xludf.DUMMYFUNCTION("""COMPUTED_VALUE"""),1155.9)</f>
        <v>1155.9</v>
      </c>
      <c r="C31" s="16">
        <f>IFERROR(__xludf.DUMMYFUNCTION("""COMPUTED_VALUE"""),45786.6458333333)</f>
        <v>45786.6458333333</v>
      </c>
      <c r="D31" s="17">
        <f>IFERROR(__xludf.DUMMYFUNCTION("""COMPUTED_VALUE"""),1142.5)</f>
        <v>1142.5</v>
      </c>
      <c r="E31" s="16">
        <f>IFERROR(__xludf.DUMMYFUNCTION("""COMPUTED_VALUE"""),45786.6458333333)</f>
        <v>45786.6458333333</v>
      </c>
      <c r="F31" s="17">
        <f>IFERROR(__xludf.DUMMYFUNCTION("""COMPUTED_VALUE"""),1248574)</f>
        <v>1248574</v>
      </c>
      <c r="G31" s="16">
        <f>IFERROR(__xludf.DUMMYFUNCTION("""COMPUTED_VALUE"""),45786.6458333333)</f>
        <v>45786.6458333333</v>
      </c>
      <c r="H31" s="17">
        <f>IFERROR(__xludf.DUMMYFUNCTION("""COMPUTED_VALUE"""),1167)</f>
        <v>1167</v>
      </c>
      <c r="I31" s="16">
        <f>IFERROR(__xludf.DUMMYFUNCTION("""COMPUTED_VALUE"""),45786.6458333333)</f>
        <v>45786.6458333333</v>
      </c>
      <c r="J31" s="17">
        <f>IFERROR(__xludf.DUMMYFUNCTION("""COMPUTED_VALUE"""),1138.5)</f>
        <v>1138.5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IFERROR(__xludf.DUMMYFUNCTION("""COMPUTED_VALUE"""),1195.6)</f>
        <v>1195.6</v>
      </c>
      <c r="C32" s="16">
        <f>IFERROR(__xludf.DUMMYFUNCTION("""COMPUTED_VALUE"""),45789.6458333333)</f>
        <v>45789.6458333333</v>
      </c>
      <c r="D32" s="17">
        <f>IFERROR(__xludf.DUMMYFUNCTION("""COMPUTED_VALUE"""),1155.9)</f>
        <v>1155.9</v>
      </c>
      <c r="E32" s="16">
        <f>IFERROR(__xludf.DUMMYFUNCTION("""COMPUTED_VALUE"""),45789.6458333333)</f>
        <v>45789.6458333333</v>
      </c>
      <c r="F32" s="17">
        <f>IFERROR(__xludf.DUMMYFUNCTION("""COMPUTED_VALUE"""),5065176)</f>
        <v>5065176</v>
      </c>
      <c r="G32" s="16">
        <f>IFERROR(__xludf.DUMMYFUNCTION("""COMPUTED_VALUE"""),45789.6458333333)</f>
        <v>45789.6458333333</v>
      </c>
      <c r="H32" s="17">
        <f>IFERROR(__xludf.DUMMYFUNCTION("""COMPUTED_VALUE"""),1204)</f>
        <v>1204</v>
      </c>
      <c r="I32" s="16">
        <f>IFERROR(__xludf.DUMMYFUNCTION("""COMPUTED_VALUE"""),45789.6458333333)</f>
        <v>45789.6458333333</v>
      </c>
      <c r="J32" s="17">
        <f>IFERROR(__xludf.DUMMYFUNCTION("""COMPUTED_VALUE"""),1143.9)</f>
        <v>1143.9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IFERROR(__xludf.DUMMYFUNCTION("""COMPUTED_VALUE"""),1207.1)</f>
        <v>1207.1</v>
      </c>
      <c r="C33" s="16">
        <f>IFERROR(__xludf.DUMMYFUNCTION("""COMPUTED_VALUE"""),45790.6458333333)</f>
        <v>45790.6458333333</v>
      </c>
      <c r="D33" s="17">
        <f>IFERROR(__xludf.DUMMYFUNCTION("""COMPUTED_VALUE"""),1196)</f>
        <v>1196</v>
      </c>
      <c r="E33" s="16">
        <f>IFERROR(__xludf.DUMMYFUNCTION("""COMPUTED_VALUE"""),45790.6458333333)</f>
        <v>45790.6458333333</v>
      </c>
      <c r="F33" s="17">
        <f>IFERROR(__xludf.DUMMYFUNCTION("""COMPUTED_VALUE"""),3134295)</f>
        <v>3134295</v>
      </c>
      <c r="G33" s="16">
        <f>IFERROR(__xludf.DUMMYFUNCTION("""COMPUTED_VALUE"""),45790.6458333333)</f>
        <v>45790.6458333333</v>
      </c>
      <c r="H33" s="17">
        <f>IFERROR(__xludf.DUMMYFUNCTION("""COMPUTED_VALUE"""),1241)</f>
        <v>1241</v>
      </c>
      <c r="I33" s="16">
        <f>IFERROR(__xludf.DUMMYFUNCTION("""COMPUTED_VALUE"""),45790.6458333333)</f>
        <v>45790.6458333333</v>
      </c>
      <c r="J33" s="17">
        <f>IFERROR(__xludf.DUMMYFUNCTION("""COMPUTED_VALUE"""),1196)</f>
        <v>1196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IFERROR(__xludf.DUMMYFUNCTION("""COMPUTED_VALUE"""),1220)</f>
        <v>1220</v>
      </c>
      <c r="C34" s="16">
        <f>IFERROR(__xludf.DUMMYFUNCTION("""COMPUTED_VALUE"""),45791.6458333333)</f>
        <v>45791.6458333333</v>
      </c>
      <c r="D34" s="17">
        <f>IFERROR(__xludf.DUMMYFUNCTION("""COMPUTED_VALUE"""),1213.3)</f>
        <v>1213.3</v>
      </c>
      <c r="E34" s="16">
        <f>IFERROR(__xludf.DUMMYFUNCTION("""COMPUTED_VALUE"""),45791.6458333333)</f>
        <v>45791.6458333333</v>
      </c>
      <c r="F34" s="17">
        <f>IFERROR(__xludf.DUMMYFUNCTION("""COMPUTED_VALUE"""),1197152)</f>
        <v>1197152</v>
      </c>
      <c r="G34" s="16">
        <f>IFERROR(__xludf.DUMMYFUNCTION("""COMPUTED_VALUE"""),45791.6458333333)</f>
        <v>45791.6458333333</v>
      </c>
      <c r="H34" s="17">
        <f>IFERROR(__xludf.DUMMYFUNCTION("""COMPUTED_VALUE"""),1223.3)</f>
        <v>1223.3</v>
      </c>
      <c r="I34" s="16">
        <f>IFERROR(__xludf.DUMMYFUNCTION("""COMPUTED_VALUE"""),45791.6458333333)</f>
        <v>45791.6458333333</v>
      </c>
      <c r="J34" s="17">
        <f>IFERROR(__xludf.DUMMYFUNCTION("""COMPUTED_VALUE"""),1193.2)</f>
        <v>1193.2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IFERROR(__xludf.DUMMYFUNCTION("""COMPUTED_VALUE"""),1236.3)</f>
        <v>1236.3</v>
      </c>
      <c r="C35" s="16">
        <f>IFERROR(__xludf.DUMMYFUNCTION("""COMPUTED_VALUE"""),45792.6458333333)</f>
        <v>45792.6458333333</v>
      </c>
      <c r="D35" s="17">
        <f>IFERROR(__xludf.DUMMYFUNCTION("""COMPUTED_VALUE"""),1214)</f>
        <v>1214</v>
      </c>
      <c r="E35" s="16">
        <f>IFERROR(__xludf.DUMMYFUNCTION("""COMPUTED_VALUE"""),45792.6458333333)</f>
        <v>45792.6458333333</v>
      </c>
      <c r="F35" s="17">
        <f>IFERROR(__xludf.DUMMYFUNCTION("""COMPUTED_VALUE"""),2053553)</f>
        <v>2053553</v>
      </c>
      <c r="G35" s="16">
        <f>IFERROR(__xludf.DUMMYFUNCTION("""COMPUTED_VALUE"""),45792.6458333333)</f>
        <v>45792.6458333333</v>
      </c>
      <c r="H35" s="17">
        <f>IFERROR(__xludf.DUMMYFUNCTION("""COMPUTED_VALUE"""),1239.8)</f>
        <v>1239.8</v>
      </c>
      <c r="I35" s="16">
        <f>IFERROR(__xludf.DUMMYFUNCTION("""COMPUTED_VALUE"""),45792.6458333333)</f>
        <v>45792.6458333333</v>
      </c>
      <c r="J35" s="17">
        <f>IFERROR(__xludf.DUMMYFUNCTION("""COMPUTED_VALUE"""),1200.2)</f>
        <v>1200.2</v>
      </c>
      <c r="K35" s="3">
        <f t="shared" si="2"/>
        <v>1236.3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IFERROR(__xludf.DUMMYFUNCTION("""COMPUTED_VALUE"""),1230.7)</f>
        <v>1230.7</v>
      </c>
      <c r="C36" s="16">
        <f>IFERROR(__xludf.DUMMYFUNCTION("""COMPUTED_VALUE"""),45793.6458333333)</f>
        <v>45793.6458333333</v>
      </c>
      <c r="D36" s="17">
        <f>IFERROR(__xludf.DUMMYFUNCTION("""COMPUTED_VALUE"""),1238.9)</f>
        <v>1238.9</v>
      </c>
      <c r="E36" s="16">
        <f>IFERROR(__xludf.DUMMYFUNCTION("""COMPUTED_VALUE"""),45793.6458333333)</f>
        <v>45793.6458333333</v>
      </c>
      <c r="F36" s="17">
        <f>IFERROR(__xludf.DUMMYFUNCTION("""COMPUTED_VALUE"""),882873)</f>
        <v>882873</v>
      </c>
      <c r="G36" s="16">
        <f>IFERROR(__xludf.DUMMYFUNCTION("""COMPUTED_VALUE"""),45793.6458333333)</f>
        <v>45793.6458333333</v>
      </c>
      <c r="H36" s="17">
        <f>IFERROR(__xludf.DUMMYFUNCTION("""COMPUTED_VALUE"""),1238.9)</f>
        <v>1238.9</v>
      </c>
      <c r="I36" s="16">
        <f>IFERROR(__xludf.DUMMYFUNCTION("""COMPUTED_VALUE"""),45793.6458333333)</f>
        <v>45793.6458333333</v>
      </c>
      <c r="J36" s="17">
        <f>IFERROR(__xludf.DUMMYFUNCTION("""COMPUTED_VALUE"""),1221)</f>
        <v>1221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IFERROR(__xludf.DUMMYFUNCTION("""COMPUTED_VALUE"""),1219)</f>
        <v>1219</v>
      </c>
      <c r="C37" s="16">
        <f>IFERROR(__xludf.DUMMYFUNCTION("""COMPUTED_VALUE"""),45796.6458333333)</f>
        <v>45796.6458333333</v>
      </c>
      <c r="D37" s="17">
        <f>IFERROR(__xludf.DUMMYFUNCTION("""COMPUTED_VALUE"""),1228.3)</f>
        <v>1228.3</v>
      </c>
      <c r="E37" s="16">
        <f>IFERROR(__xludf.DUMMYFUNCTION("""COMPUTED_VALUE"""),45796.6458333333)</f>
        <v>45796.6458333333</v>
      </c>
      <c r="F37" s="17">
        <f>IFERROR(__xludf.DUMMYFUNCTION("""COMPUTED_VALUE"""),2235758)</f>
        <v>2235758</v>
      </c>
      <c r="G37" s="16">
        <f>IFERROR(__xludf.DUMMYFUNCTION("""COMPUTED_VALUE"""),45796.6458333333)</f>
        <v>45796.6458333333</v>
      </c>
      <c r="H37" s="17">
        <f>IFERROR(__xludf.DUMMYFUNCTION("""COMPUTED_VALUE"""),1241.8)</f>
        <v>1241.8</v>
      </c>
      <c r="I37" s="16">
        <f>IFERROR(__xludf.DUMMYFUNCTION("""COMPUTED_VALUE"""),45796.6458333333)</f>
        <v>45796.6458333333</v>
      </c>
      <c r="J37" s="17">
        <f>IFERROR(__xludf.DUMMYFUNCTION("""COMPUTED_VALUE"""),1214.2)</f>
        <v>1214.2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IFERROR(__xludf.DUMMYFUNCTION("""COMPUTED_VALUE"""),1224.2)</f>
        <v>1224.2</v>
      </c>
      <c r="C38" s="16">
        <f>IFERROR(__xludf.DUMMYFUNCTION("""COMPUTED_VALUE"""),45797.6458333333)</f>
        <v>45797.6458333333</v>
      </c>
      <c r="D38" s="17">
        <f>IFERROR(__xludf.DUMMYFUNCTION("""COMPUTED_VALUE"""),1222)</f>
        <v>1222</v>
      </c>
      <c r="E38" s="16">
        <f>IFERROR(__xludf.DUMMYFUNCTION("""COMPUTED_VALUE"""),45797.6458333333)</f>
        <v>45797.6458333333</v>
      </c>
      <c r="F38" s="17">
        <f>IFERROR(__xludf.DUMMYFUNCTION("""COMPUTED_VALUE"""),1385750)</f>
        <v>1385750</v>
      </c>
      <c r="G38" s="16">
        <f>IFERROR(__xludf.DUMMYFUNCTION("""COMPUTED_VALUE"""),45797.6458333333)</f>
        <v>45797.6458333333</v>
      </c>
      <c r="H38" s="17">
        <f>IFERROR(__xludf.DUMMYFUNCTION("""COMPUTED_VALUE"""),1234.4)</f>
        <v>1234.4</v>
      </c>
      <c r="I38" s="16">
        <f>IFERROR(__xludf.DUMMYFUNCTION("""COMPUTED_VALUE"""),45797.6458333333)</f>
        <v>45797.6458333333</v>
      </c>
      <c r="J38" s="17">
        <f>IFERROR(__xludf.DUMMYFUNCTION("""COMPUTED_VALUE"""),1216.6)</f>
        <v>1216.6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IFERROR(__xludf.DUMMYFUNCTION("""COMPUTED_VALUE"""),1224.7)</f>
        <v>1224.7</v>
      </c>
      <c r="C39" s="16">
        <f>IFERROR(__xludf.DUMMYFUNCTION("""COMPUTED_VALUE"""),45798.6458333333)</f>
        <v>45798.6458333333</v>
      </c>
      <c r="D39" s="17">
        <f>IFERROR(__xludf.DUMMYFUNCTION("""COMPUTED_VALUE"""),1225.1)</f>
        <v>1225.1</v>
      </c>
      <c r="E39" s="16">
        <f>IFERROR(__xludf.DUMMYFUNCTION("""COMPUTED_VALUE"""),45798.6458333333)</f>
        <v>45798.6458333333</v>
      </c>
      <c r="F39" s="17">
        <f>IFERROR(__xludf.DUMMYFUNCTION("""COMPUTED_VALUE"""),2615092)</f>
        <v>2615092</v>
      </c>
      <c r="G39" s="16">
        <f>IFERROR(__xludf.DUMMYFUNCTION("""COMPUTED_VALUE"""),45798.6458333333)</f>
        <v>45798.6458333333</v>
      </c>
      <c r="H39" s="17">
        <f>IFERROR(__xludf.DUMMYFUNCTION("""COMPUTED_VALUE"""),1256.6)</f>
        <v>1256.6</v>
      </c>
      <c r="I39" s="16">
        <f>IFERROR(__xludf.DUMMYFUNCTION("""COMPUTED_VALUE"""),45798.6458333333)</f>
        <v>45798.6458333333</v>
      </c>
      <c r="J39" s="17">
        <f>IFERROR(__xludf.DUMMYFUNCTION("""COMPUTED_VALUE"""),1220.1)</f>
        <v>1220.1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IFERROR(__xludf.DUMMYFUNCTION("""COMPUTED_VALUE"""),1222.2)</f>
        <v>1222.2</v>
      </c>
      <c r="C40" s="16">
        <f>IFERROR(__xludf.DUMMYFUNCTION("""COMPUTED_VALUE"""),45799.6458333333)</f>
        <v>45799.6458333333</v>
      </c>
      <c r="D40" s="17">
        <f>IFERROR(__xludf.DUMMYFUNCTION("""COMPUTED_VALUE"""),1224.7)</f>
        <v>1224.7</v>
      </c>
      <c r="E40" s="16">
        <f>IFERROR(__xludf.DUMMYFUNCTION("""COMPUTED_VALUE"""),45799.6458333333)</f>
        <v>45799.6458333333</v>
      </c>
      <c r="F40" s="17">
        <f>IFERROR(__xludf.DUMMYFUNCTION("""COMPUTED_VALUE"""),2260610)</f>
        <v>2260610</v>
      </c>
      <c r="G40" s="16">
        <f>IFERROR(__xludf.DUMMYFUNCTION("""COMPUTED_VALUE"""),45799.6458333333)</f>
        <v>45799.6458333333</v>
      </c>
      <c r="H40" s="17">
        <f>IFERROR(__xludf.DUMMYFUNCTION("""COMPUTED_VALUE"""),1229.8)</f>
        <v>1229.8</v>
      </c>
      <c r="I40" s="16">
        <f>IFERROR(__xludf.DUMMYFUNCTION("""COMPUTED_VALUE"""),45799.6458333333)</f>
        <v>45799.6458333333</v>
      </c>
      <c r="J40" s="17">
        <f>IFERROR(__xludf.DUMMYFUNCTION("""COMPUTED_VALUE"""),1211.4)</f>
        <v>1211.4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IFERROR(__xludf.DUMMYFUNCTION("""COMPUTED_VALUE"""),1230.1)</f>
        <v>1230.1</v>
      </c>
      <c r="C41" s="16">
        <f>IFERROR(__xludf.DUMMYFUNCTION("""COMPUTED_VALUE"""),45800.6458333333)</f>
        <v>45800.6458333333</v>
      </c>
      <c r="D41" s="17">
        <f>IFERROR(__xludf.DUMMYFUNCTION("""COMPUTED_VALUE"""),1228)</f>
        <v>1228</v>
      </c>
      <c r="E41" s="16">
        <f>IFERROR(__xludf.DUMMYFUNCTION("""COMPUTED_VALUE"""),45800.6458333333)</f>
        <v>45800.6458333333</v>
      </c>
      <c r="F41" s="17">
        <f>IFERROR(__xludf.DUMMYFUNCTION("""COMPUTED_VALUE"""),734297)</f>
        <v>734297</v>
      </c>
      <c r="G41" s="16">
        <f>IFERROR(__xludf.DUMMYFUNCTION("""COMPUTED_VALUE"""),45800.6458333333)</f>
        <v>45800.6458333333</v>
      </c>
      <c r="H41" s="17">
        <f>IFERROR(__xludf.DUMMYFUNCTION("""COMPUTED_VALUE"""),1234.9)</f>
        <v>1234.9</v>
      </c>
      <c r="I41" s="16">
        <f>IFERROR(__xludf.DUMMYFUNCTION("""COMPUTED_VALUE"""),45800.6458333333)</f>
        <v>45800.6458333333</v>
      </c>
      <c r="J41" s="17">
        <f>IFERROR(__xludf.DUMMYFUNCTION("""COMPUTED_VALUE"""),1216)</f>
        <v>1216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IFERROR(__xludf.DUMMYFUNCTION("""COMPUTED_VALUE"""),1240.9)</f>
        <v>1240.9</v>
      </c>
      <c r="C42" s="16">
        <f>IFERROR(__xludf.DUMMYFUNCTION("""COMPUTED_VALUE"""),45803.6458333333)</f>
        <v>45803.6458333333</v>
      </c>
      <c r="D42" s="17">
        <f>IFERROR(__xludf.DUMMYFUNCTION("""COMPUTED_VALUE"""),1229.9)</f>
        <v>1229.9</v>
      </c>
      <c r="E42" s="16">
        <f>IFERROR(__xludf.DUMMYFUNCTION("""COMPUTED_VALUE"""),45803.6458333333)</f>
        <v>45803.6458333333</v>
      </c>
      <c r="F42" s="17">
        <f>IFERROR(__xludf.DUMMYFUNCTION("""COMPUTED_VALUE"""),985434)</f>
        <v>985434</v>
      </c>
      <c r="G42" s="16">
        <f>IFERROR(__xludf.DUMMYFUNCTION("""COMPUTED_VALUE"""),45803.6458333333)</f>
        <v>45803.6458333333</v>
      </c>
      <c r="H42" s="17">
        <f>IFERROR(__xludf.DUMMYFUNCTION("""COMPUTED_VALUE"""),1247.9)</f>
        <v>1247.9</v>
      </c>
      <c r="I42" s="16">
        <f>IFERROR(__xludf.DUMMYFUNCTION("""COMPUTED_VALUE"""),45803.6458333333)</f>
        <v>45803.6458333333</v>
      </c>
      <c r="J42" s="17">
        <f>IFERROR(__xludf.DUMMYFUNCTION("""COMPUTED_VALUE"""),1228.7)</f>
        <v>1228.7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IFERROR(__xludf.DUMMYFUNCTION("""COMPUTED_VALUE"""),1243.2)</f>
        <v>1243.2</v>
      </c>
      <c r="C43" s="16">
        <f>IFERROR(__xludf.DUMMYFUNCTION("""COMPUTED_VALUE"""),45804.6458333333)</f>
        <v>45804.6458333333</v>
      </c>
      <c r="D43" s="17">
        <f>IFERROR(__xludf.DUMMYFUNCTION("""COMPUTED_VALUE"""),1243.9)</f>
        <v>1243.9</v>
      </c>
      <c r="E43" s="16">
        <f>IFERROR(__xludf.DUMMYFUNCTION("""COMPUTED_VALUE"""),45804.6458333333)</f>
        <v>45804.6458333333</v>
      </c>
      <c r="F43" s="17">
        <f>IFERROR(__xludf.DUMMYFUNCTION("""COMPUTED_VALUE"""),1145000)</f>
        <v>1145000</v>
      </c>
      <c r="G43" s="16">
        <f>IFERROR(__xludf.DUMMYFUNCTION("""COMPUTED_VALUE"""),45804.6458333333)</f>
        <v>45804.6458333333</v>
      </c>
      <c r="H43" s="17">
        <f>IFERROR(__xludf.DUMMYFUNCTION("""COMPUTED_VALUE"""),1249)</f>
        <v>1249</v>
      </c>
      <c r="I43" s="16">
        <f>IFERROR(__xludf.DUMMYFUNCTION("""COMPUTED_VALUE"""),45804.6458333333)</f>
        <v>45804.6458333333</v>
      </c>
      <c r="J43" s="17">
        <f>IFERROR(__xludf.DUMMYFUNCTION("""COMPUTED_VALUE"""),1237.3)</f>
        <v>1237.3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IFERROR(__xludf.DUMMYFUNCTION("""COMPUTED_VALUE"""),1242.6)</f>
        <v>1242.6</v>
      </c>
      <c r="C44" s="16">
        <f>IFERROR(__xludf.DUMMYFUNCTION("""COMPUTED_VALUE"""),45805.6458333333)</f>
        <v>45805.6458333333</v>
      </c>
      <c r="D44" s="17">
        <f>IFERROR(__xludf.DUMMYFUNCTION("""COMPUTED_VALUE"""),1247.8)</f>
        <v>1247.8</v>
      </c>
      <c r="E44" s="16">
        <f>IFERROR(__xludf.DUMMYFUNCTION("""COMPUTED_VALUE"""),45805.6458333333)</f>
        <v>45805.6458333333</v>
      </c>
      <c r="F44" s="17">
        <f>IFERROR(__xludf.DUMMYFUNCTION("""COMPUTED_VALUE"""),766968)</f>
        <v>766968</v>
      </c>
      <c r="G44" s="16">
        <f>IFERROR(__xludf.DUMMYFUNCTION("""COMPUTED_VALUE"""),45805.6458333333)</f>
        <v>45805.6458333333</v>
      </c>
      <c r="H44" s="17">
        <f>IFERROR(__xludf.DUMMYFUNCTION("""COMPUTED_VALUE"""),1252.2)</f>
        <v>1252.2</v>
      </c>
      <c r="I44" s="16">
        <f>IFERROR(__xludf.DUMMYFUNCTION("""COMPUTED_VALUE"""),45805.6458333333)</f>
        <v>45805.6458333333</v>
      </c>
      <c r="J44" s="17">
        <f>IFERROR(__xludf.DUMMYFUNCTION("""COMPUTED_VALUE"""),1237)</f>
        <v>1237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IFERROR(__xludf.DUMMYFUNCTION("""COMPUTED_VALUE"""),1248.2)</f>
        <v>1248.2</v>
      </c>
      <c r="C45" s="16">
        <f>IFERROR(__xludf.DUMMYFUNCTION("""COMPUTED_VALUE"""),45806.6458333333)</f>
        <v>45806.6458333333</v>
      </c>
      <c r="D45" s="17">
        <f>IFERROR(__xludf.DUMMYFUNCTION("""COMPUTED_VALUE"""),1245.4)</f>
        <v>1245.4</v>
      </c>
      <c r="E45" s="16">
        <f>IFERROR(__xludf.DUMMYFUNCTION("""COMPUTED_VALUE"""),45806.6458333333)</f>
        <v>45806.6458333333</v>
      </c>
      <c r="F45" s="17">
        <f>IFERROR(__xludf.DUMMYFUNCTION("""COMPUTED_VALUE"""),1791885)</f>
        <v>1791885</v>
      </c>
      <c r="G45" s="16">
        <f>IFERROR(__xludf.DUMMYFUNCTION("""COMPUTED_VALUE"""),45806.6458333333)</f>
        <v>45806.6458333333</v>
      </c>
      <c r="H45" s="17">
        <f>IFERROR(__xludf.DUMMYFUNCTION("""COMPUTED_VALUE"""),1253.4)</f>
        <v>1253.4</v>
      </c>
      <c r="I45" s="16">
        <f>IFERROR(__xludf.DUMMYFUNCTION("""COMPUTED_VALUE"""),45806.6458333333)</f>
        <v>45806.6458333333</v>
      </c>
      <c r="J45" s="17">
        <f>IFERROR(__xludf.DUMMYFUNCTION("""COMPUTED_VALUE"""),1240.4)</f>
        <v>1240.4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IFERROR(__xludf.DUMMYFUNCTION("""COMPUTED_VALUE"""),1251.2)</f>
        <v>1251.2</v>
      </c>
      <c r="C46" s="16">
        <f>IFERROR(__xludf.DUMMYFUNCTION("""COMPUTED_VALUE"""),45807.6458333333)</f>
        <v>45807.6458333333</v>
      </c>
      <c r="D46" s="17">
        <f>IFERROR(__xludf.DUMMYFUNCTION("""COMPUTED_VALUE"""),1248.2)</f>
        <v>1248.2</v>
      </c>
      <c r="E46" s="16">
        <f>IFERROR(__xludf.DUMMYFUNCTION("""COMPUTED_VALUE"""),45807.6458333333)</f>
        <v>45807.6458333333</v>
      </c>
      <c r="F46" s="17">
        <f>IFERROR(__xludf.DUMMYFUNCTION("""COMPUTED_VALUE"""),3161983)</f>
        <v>3161983</v>
      </c>
      <c r="G46" s="16">
        <f>IFERROR(__xludf.DUMMYFUNCTION("""COMPUTED_VALUE"""),45807.6458333333)</f>
        <v>45807.6458333333</v>
      </c>
      <c r="H46" s="17">
        <f>IFERROR(__xludf.DUMMYFUNCTION("""COMPUTED_VALUE"""),1257.6)</f>
        <v>1257.6</v>
      </c>
      <c r="I46" s="16">
        <f>IFERROR(__xludf.DUMMYFUNCTION("""COMPUTED_VALUE"""),45807.6458333333)</f>
        <v>45807.6458333333</v>
      </c>
      <c r="J46" s="17">
        <f>IFERROR(__xludf.DUMMYFUNCTION("""COMPUTED_VALUE"""),1241)</f>
        <v>1241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IFERROR(__xludf.DUMMYFUNCTION("""COMPUTED_VALUE"""),1247.7)</f>
        <v>1247.7</v>
      </c>
      <c r="C47" s="16">
        <f>IFERROR(__xludf.DUMMYFUNCTION("""COMPUTED_VALUE"""),45810.6458333333)</f>
        <v>45810.6458333333</v>
      </c>
      <c r="D47" s="17">
        <f>IFERROR(__xludf.DUMMYFUNCTION("""COMPUTED_VALUE"""),1251)</f>
        <v>1251</v>
      </c>
      <c r="E47" s="16">
        <f>IFERROR(__xludf.DUMMYFUNCTION("""COMPUTED_VALUE"""),45810.6458333333)</f>
        <v>45810.6458333333</v>
      </c>
      <c r="F47" s="17">
        <f>IFERROR(__xludf.DUMMYFUNCTION("""COMPUTED_VALUE"""),1139977)</f>
        <v>1139977</v>
      </c>
      <c r="G47" s="16">
        <f>IFERROR(__xludf.DUMMYFUNCTION("""COMPUTED_VALUE"""),45810.6458333333)</f>
        <v>45810.6458333333</v>
      </c>
      <c r="H47" s="17">
        <f>IFERROR(__xludf.DUMMYFUNCTION("""COMPUTED_VALUE"""),1251.5)</f>
        <v>1251.5</v>
      </c>
      <c r="I47" s="16">
        <f>IFERROR(__xludf.DUMMYFUNCTION("""COMPUTED_VALUE"""),45810.6458333333)</f>
        <v>45810.6458333333</v>
      </c>
      <c r="J47" s="17">
        <f>IFERROR(__xludf.DUMMYFUNCTION("""COMPUTED_VALUE"""),1232.5)</f>
        <v>1232.5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IFERROR(__xludf.DUMMYFUNCTION("""COMPUTED_VALUE"""),1248.3)</f>
        <v>1248.3</v>
      </c>
      <c r="C48" s="16">
        <f>IFERROR(__xludf.DUMMYFUNCTION("""COMPUTED_VALUE"""),45811.6458333333)</f>
        <v>45811.6458333333</v>
      </c>
      <c r="D48" s="17">
        <f>IFERROR(__xludf.DUMMYFUNCTION("""COMPUTED_VALUE"""),1250)</f>
        <v>1250</v>
      </c>
      <c r="E48" s="16">
        <f>IFERROR(__xludf.DUMMYFUNCTION("""COMPUTED_VALUE"""),45811.6458333333)</f>
        <v>45811.6458333333</v>
      </c>
      <c r="F48" s="17">
        <f>IFERROR(__xludf.DUMMYFUNCTION("""COMPUTED_VALUE"""),811620)</f>
        <v>811620</v>
      </c>
      <c r="G48" s="16">
        <f>IFERROR(__xludf.DUMMYFUNCTION("""COMPUTED_VALUE"""),45811.6458333333)</f>
        <v>45811.6458333333</v>
      </c>
      <c r="H48" s="17">
        <f>IFERROR(__xludf.DUMMYFUNCTION("""COMPUTED_VALUE"""),1253.4)</f>
        <v>1253.4</v>
      </c>
      <c r="I48" s="16">
        <f>IFERROR(__xludf.DUMMYFUNCTION("""COMPUTED_VALUE"""),45811.6458333333)</f>
        <v>45811.6458333333</v>
      </c>
      <c r="J48" s="17">
        <f>IFERROR(__xludf.DUMMYFUNCTION("""COMPUTED_VALUE"""),1240.8)</f>
        <v>1240.8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IFERROR(__xludf.DUMMYFUNCTION("""COMPUTED_VALUE"""),1251.9)</f>
        <v>1251.9</v>
      </c>
      <c r="C49" s="16">
        <f>IFERROR(__xludf.DUMMYFUNCTION("""COMPUTED_VALUE"""),45812.6458333333)</f>
        <v>45812.6458333333</v>
      </c>
      <c r="D49" s="17">
        <f>IFERROR(__xludf.DUMMYFUNCTION("""COMPUTED_VALUE"""),1248.3)</f>
        <v>1248.3</v>
      </c>
      <c r="E49" s="16">
        <f>IFERROR(__xludf.DUMMYFUNCTION("""COMPUTED_VALUE"""),45812.6458333333)</f>
        <v>45812.6458333333</v>
      </c>
      <c r="F49" s="17">
        <f>IFERROR(__xludf.DUMMYFUNCTION("""COMPUTED_VALUE"""),1387633)</f>
        <v>1387633</v>
      </c>
      <c r="G49" s="16">
        <f>IFERROR(__xludf.DUMMYFUNCTION("""COMPUTED_VALUE"""),45812.6458333333)</f>
        <v>45812.6458333333</v>
      </c>
      <c r="H49" s="17">
        <f>IFERROR(__xludf.DUMMYFUNCTION("""COMPUTED_VALUE"""),1266)</f>
        <v>1266</v>
      </c>
      <c r="I49" s="16">
        <f>IFERROR(__xludf.DUMMYFUNCTION("""COMPUTED_VALUE"""),45812.6458333333)</f>
        <v>45812.6458333333</v>
      </c>
      <c r="J49" s="17">
        <f>IFERROR(__xludf.DUMMYFUNCTION("""COMPUTED_VALUE"""),1246.3)</f>
        <v>1246.3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IFERROR(__xludf.DUMMYFUNCTION("""COMPUTED_VALUE"""),1290.6)</f>
        <v>1290.6</v>
      </c>
      <c r="C50" s="16">
        <f>IFERROR(__xludf.DUMMYFUNCTION("""COMPUTED_VALUE"""),45813.6458333333)</f>
        <v>45813.6458333333</v>
      </c>
      <c r="D50" s="17">
        <f>IFERROR(__xludf.DUMMYFUNCTION("""COMPUTED_VALUE"""),1264.2)</f>
        <v>1264.2</v>
      </c>
      <c r="E50" s="16">
        <f>IFERROR(__xludf.DUMMYFUNCTION("""COMPUTED_VALUE"""),45813.6458333333)</f>
        <v>45813.6458333333</v>
      </c>
      <c r="F50" s="17">
        <f>IFERROR(__xludf.DUMMYFUNCTION("""COMPUTED_VALUE"""),3834672)</f>
        <v>3834672</v>
      </c>
      <c r="G50" s="16">
        <f>IFERROR(__xludf.DUMMYFUNCTION("""COMPUTED_VALUE"""),45813.6458333333)</f>
        <v>45813.6458333333</v>
      </c>
      <c r="H50" s="17">
        <f>IFERROR(__xludf.DUMMYFUNCTION("""COMPUTED_VALUE"""),1303.4)</f>
        <v>1303.4</v>
      </c>
      <c r="I50" s="16">
        <f>IFERROR(__xludf.DUMMYFUNCTION("""COMPUTED_VALUE"""),45813.6458333333)</f>
        <v>45813.6458333333</v>
      </c>
      <c r="J50" s="17">
        <f>IFERROR(__xludf.DUMMYFUNCTION("""COMPUTED_VALUE"""),1264.2)</f>
        <v>1264.2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IFERROR(__xludf.DUMMYFUNCTION("""COMPUTED_VALUE"""),1320.9)</f>
        <v>1320.9</v>
      </c>
      <c r="C51" s="16">
        <f>IFERROR(__xludf.DUMMYFUNCTION("""COMPUTED_VALUE"""),45814.6458333333)</f>
        <v>45814.6458333333</v>
      </c>
      <c r="D51" s="17">
        <f>IFERROR(__xludf.DUMMYFUNCTION("""COMPUTED_VALUE"""),1295.1)</f>
        <v>1295.1</v>
      </c>
      <c r="E51" s="16">
        <f>IFERROR(__xludf.DUMMYFUNCTION("""COMPUTED_VALUE"""),45814.6458333333)</f>
        <v>45814.6458333333</v>
      </c>
      <c r="F51" s="17">
        <f>IFERROR(__xludf.DUMMYFUNCTION("""COMPUTED_VALUE"""),2158757)</f>
        <v>2158757</v>
      </c>
      <c r="G51" s="16">
        <f>IFERROR(__xludf.DUMMYFUNCTION("""COMPUTED_VALUE"""),45814.6458333333)</f>
        <v>45814.6458333333</v>
      </c>
      <c r="H51" s="17">
        <f>IFERROR(__xludf.DUMMYFUNCTION("""COMPUTED_VALUE"""),1322.9)</f>
        <v>1322.9</v>
      </c>
      <c r="I51" s="16">
        <f>IFERROR(__xludf.DUMMYFUNCTION("""COMPUTED_VALUE"""),45814.6458333333)</f>
        <v>45814.6458333333</v>
      </c>
      <c r="J51" s="17">
        <f>IFERROR(__xludf.DUMMYFUNCTION("""COMPUTED_VALUE"""),1295)</f>
        <v>1295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IFERROR(__xludf.DUMMYFUNCTION("""COMPUTED_VALUE"""),1319.1)</f>
        <v>1319.1</v>
      </c>
      <c r="C52" s="16">
        <f>IFERROR(__xludf.DUMMYFUNCTION("""COMPUTED_VALUE"""),45817.6458333333)</f>
        <v>45817.6458333333</v>
      </c>
      <c r="D52" s="17">
        <f>IFERROR(__xludf.DUMMYFUNCTION("""COMPUTED_VALUE"""),1327.4)</f>
        <v>1327.4</v>
      </c>
      <c r="E52" s="16">
        <f>IFERROR(__xludf.DUMMYFUNCTION("""COMPUTED_VALUE"""),45817.6458333333)</f>
        <v>45817.6458333333</v>
      </c>
      <c r="F52" s="17">
        <f>IFERROR(__xludf.DUMMYFUNCTION("""COMPUTED_VALUE"""),1227356)</f>
        <v>1227356</v>
      </c>
      <c r="G52" s="16">
        <f>IFERROR(__xludf.DUMMYFUNCTION("""COMPUTED_VALUE"""),45817.6458333333)</f>
        <v>45817.6458333333</v>
      </c>
      <c r="H52" s="17">
        <f>IFERROR(__xludf.DUMMYFUNCTION("""COMPUTED_VALUE"""),1329)</f>
        <v>1329</v>
      </c>
      <c r="I52" s="16">
        <f>IFERROR(__xludf.DUMMYFUNCTION("""COMPUTED_VALUE"""),45817.6458333333)</f>
        <v>45817.6458333333</v>
      </c>
      <c r="J52" s="17">
        <f>IFERROR(__xludf.DUMMYFUNCTION("""COMPUTED_VALUE"""),1308.6)</f>
        <v>1308.6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IFERROR(__xludf.DUMMYFUNCTION("""COMPUTED_VALUE"""),1348.8)</f>
        <v>1348.8</v>
      </c>
      <c r="C53" s="16">
        <f>IFERROR(__xludf.DUMMYFUNCTION("""COMPUTED_VALUE"""),45818.6458333333)</f>
        <v>45818.6458333333</v>
      </c>
      <c r="D53" s="17">
        <f>IFERROR(__xludf.DUMMYFUNCTION("""COMPUTED_VALUE"""),1321)</f>
        <v>1321</v>
      </c>
      <c r="E53" s="16">
        <f>IFERROR(__xludf.DUMMYFUNCTION("""COMPUTED_VALUE"""),45818.6458333333)</f>
        <v>45818.6458333333</v>
      </c>
      <c r="F53" s="17">
        <f>IFERROR(__xludf.DUMMYFUNCTION("""COMPUTED_VALUE"""),3022355)</f>
        <v>3022355</v>
      </c>
      <c r="G53" s="16">
        <f>IFERROR(__xludf.DUMMYFUNCTION("""COMPUTED_VALUE"""),45818.6458333333)</f>
        <v>45818.6458333333</v>
      </c>
      <c r="H53" s="17">
        <f>IFERROR(__xludf.DUMMYFUNCTION("""COMPUTED_VALUE"""),1362.6)</f>
        <v>1362.6</v>
      </c>
      <c r="I53" s="16">
        <f>IFERROR(__xludf.DUMMYFUNCTION("""COMPUTED_VALUE"""),45818.6458333333)</f>
        <v>45818.6458333333</v>
      </c>
      <c r="J53" s="17">
        <f>IFERROR(__xludf.DUMMYFUNCTION("""COMPUTED_VALUE"""),1321)</f>
        <v>1321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IFERROR(__xludf.DUMMYFUNCTION("""COMPUTED_VALUE"""),1351.1)</f>
        <v>1351.1</v>
      </c>
      <c r="C54" s="16">
        <f>IFERROR(__xludf.DUMMYFUNCTION("""COMPUTED_VALUE"""),45819.6458333333)</f>
        <v>45819.6458333333</v>
      </c>
      <c r="D54" s="17">
        <f>IFERROR(__xludf.DUMMYFUNCTION("""COMPUTED_VALUE"""),1350)</f>
        <v>1350</v>
      </c>
      <c r="E54" s="16">
        <f>IFERROR(__xludf.DUMMYFUNCTION("""COMPUTED_VALUE"""),45819.6458333333)</f>
        <v>45819.6458333333</v>
      </c>
      <c r="F54" s="17">
        <f>IFERROR(__xludf.DUMMYFUNCTION("""COMPUTED_VALUE"""),1094247)</f>
        <v>1094247</v>
      </c>
      <c r="G54" s="16">
        <f>IFERROR(__xludf.DUMMYFUNCTION("""COMPUTED_VALUE"""),45819.6458333333)</f>
        <v>45819.6458333333</v>
      </c>
      <c r="H54" s="17">
        <f>IFERROR(__xludf.DUMMYFUNCTION("""COMPUTED_VALUE"""),1355.4)</f>
        <v>1355.4</v>
      </c>
      <c r="I54" s="16">
        <f>IFERROR(__xludf.DUMMYFUNCTION("""COMPUTED_VALUE"""),45819.6458333333)</f>
        <v>45819.6458333333</v>
      </c>
      <c r="J54" s="17">
        <f>IFERROR(__xludf.DUMMYFUNCTION("""COMPUTED_VALUE"""),1340.2)</f>
        <v>1340.2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IFERROR(__xludf.DUMMYFUNCTION("""COMPUTED_VALUE"""),1362.7)</f>
        <v>1362.7</v>
      </c>
      <c r="C55" s="16">
        <f>IFERROR(__xludf.DUMMYFUNCTION("""COMPUTED_VALUE"""),45820.6458333333)</f>
        <v>45820.6458333333</v>
      </c>
      <c r="D55" s="17">
        <f>IFERROR(__xludf.DUMMYFUNCTION("""COMPUTED_VALUE"""),1360)</f>
        <v>1360</v>
      </c>
      <c r="E55" s="16">
        <f>IFERROR(__xludf.DUMMYFUNCTION("""COMPUTED_VALUE"""),45820.6458333333)</f>
        <v>45820.6458333333</v>
      </c>
      <c r="F55" s="17">
        <f>IFERROR(__xludf.DUMMYFUNCTION("""COMPUTED_VALUE"""),2625058)</f>
        <v>2625058</v>
      </c>
      <c r="G55" s="16">
        <f>IFERROR(__xludf.DUMMYFUNCTION("""COMPUTED_VALUE"""),45820.6458333333)</f>
        <v>45820.6458333333</v>
      </c>
      <c r="H55" s="17">
        <f>IFERROR(__xludf.DUMMYFUNCTION("""COMPUTED_VALUE"""),1379.7)</f>
        <v>1379.7</v>
      </c>
      <c r="I55" s="16">
        <f>IFERROR(__xludf.DUMMYFUNCTION("""COMPUTED_VALUE"""),45820.6458333333)</f>
        <v>45820.6458333333</v>
      </c>
      <c r="J55" s="17">
        <f>IFERROR(__xludf.DUMMYFUNCTION("""COMPUTED_VALUE"""),1343.5)</f>
        <v>1343.5</v>
      </c>
      <c r="K55" s="3">
        <f t="shared" si="2"/>
        <v>1362.7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IFERROR(__xludf.DUMMYFUNCTION("""COMPUTED_VALUE"""),1362.5)</f>
        <v>1362.5</v>
      </c>
      <c r="C56" s="16">
        <f>IFERROR(__xludf.DUMMYFUNCTION("""COMPUTED_VALUE"""),45821.6458333333)</f>
        <v>45821.6458333333</v>
      </c>
      <c r="D56" s="17">
        <f>IFERROR(__xludf.DUMMYFUNCTION("""COMPUTED_VALUE"""),1355)</f>
        <v>1355</v>
      </c>
      <c r="E56" s="16">
        <f>IFERROR(__xludf.DUMMYFUNCTION("""COMPUTED_VALUE"""),45821.6458333333)</f>
        <v>45821.6458333333</v>
      </c>
      <c r="F56" s="17">
        <f>IFERROR(__xludf.DUMMYFUNCTION("""COMPUTED_VALUE"""),1419556)</f>
        <v>1419556</v>
      </c>
      <c r="G56" s="16">
        <f>IFERROR(__xludf.DUMMYFUNCTION("""COMPUTED_VALUE"""),45821.6458333333)</f>
        <v>45821.6458333333</v>
      </c>
      <c r="H56" s="17">
        <f>IFERROR(__xludf.DUMMYFUNCTION("""COMPUTED_VALUE"""),1366.8)</f>
        <v>1366.8</v>
      </c>
      <c r="I56" s="16">
        <f>IFERROR(__xludf.DUMMYFUNCTION("""COMPUTED_VALUE"""),45821.6458333333)</f>
        <v>45821.6458333333</v>
      </c>
      <c r="J56" s="17">
        <f>IFERROR(__xludf.DUMMYFUNCTION("""COMPUTED_VALUE"""),1345)</f>
        <v>1345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IFERROR(__xludf.DUMMYFUNCTION("""COMPUTED_VALUE"""),1346.8)</f>
        <v>1346.8</v>
      </c>
      <c r="C57" s="16">
        <f>IFERROR(__xludf.DUMMYFUNCTION("""COMPUTED_VALUE"""),45824.6458333333)</f>
        <v>45824.6458333333</v>
      </c>
      <c r="D57" s="17">
        <f>IFERROR(__xludf.DUMMYFUNCTION("""COMPUTED_VALUE"""),1359.8)</f>
        <v>1359.8</v>
      </c>
      <c r="E57" s="16">
        <f>IFERROR(__xludf.DUMMYFUNCTION("""COMPUTED_VALUE"""),45824.6458333333)</f>
        <v>45824.6458333333</v>
      </c>
      <c r="F57" s="17">
        <f>IFERROR(__xludf.DUMMYFUNCTION("""COMPUTED_VALUE"""),1294663)</f>
        <v>1294663</v>
      </c>
      <c r="G57" s="16">
        <f>IFERROR(__xludf.DUMMYFUNCTION("""COMPUTED_VALUE"""),45824.6458333333)</f>
        <v>45824.6458333333</v>
      </c>
      <c r="H57" s="17">
        <f>IFERROR(__xludf.DUMMYFUNCTION("""COMPUTED_VALUE"""),1359.8)</f>
        <v>1359.8</v>
      </c>
      <c r="I57" s="16">
        <f>IFERROR(__xludf.DUMMYFUNCTION("""COMPUTED_VALUE"""),45824.6458333333)</f>
        <v>45824.6458333333</v>
      </c>
      <c r="J57" s="17">
        <f>IFERROR(__xludf.DUMMYFUNCTION("""COMPUTED_VALUE"""),1342.2)</f>
        <v>1342.2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IFERROR(__xludf.DUMMYFUNCTION("""COMPUTED_VALUE"""),1318.8)</f>
        <v>1318.8</v>
      </c>
      <c r="C58" s="16">
        <f>IFERROR(__xludf.DUMMYFUNCTION("""COMPUTED_VALUE"""),45825.6458333333)</f>
        <v>45825.6458333333</v>
      </c>
      <c r="D58" s="17">
        <f>IFERROR(__xludf.DUMMYFUNCTION("""COMPUTED_VALUE"""),1348.3)</f>
        <v>1348.3</v>
      </c>
      <c r="E58" s="16">
        <f>IFERROR(__xludf.DUMMYFUNCTION("""COMPUTED_VALUE"""),45825.6458333333)</f>
        <v>45825.6458333333</v>
      </c>
      <c r="F58" s="17">
        <f>IFERROR(__xludf.DUMMYFUNCTION("""COMPUTED_VALUE"""),1649457)</f>
        <v>1649457</v>
      </c>
      <c r="G58" s="16">
        <f>IFERROR(__xludf.DUMMYFUNCTION("""COMPUTED_VALUE"""),45825.6458333333)</f>
        <v>45825.6458333333</v>
      </c>
      <c r="H58" s="17">
        <f>IFERROR(__xludf.DUMMYFUNCTION("""COMPUTED_VALUE"""),1349.7)</f>
        <v>1349.7</v>
      </c>
      <c r="I58" s="16">
        <f>IFERROR(__xludf.DUMMYFUNCTION("""COMPUTED_VALUE"""),45825.6458333333)</f>
        <v>45825.6458333333</v>
      </c>
      <c r="J58" s="17">
        <f>IFERROR(__xludf.DUMMYFUNCTION("""COMPUTED_VALUE"""),1302.6)</f>
        <v>1302.6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IFERROR(__xludf.DUMMYFUNCTION("""COMPUTED_VALUE"""),1313.3)</f>
        <v>1313.3</v>
      </c>
      <c r="C59" s="16">
        <f>IFERROR(__xludf.DUMMYFUNCTION("""COMPUTED_VALUE"""),45826.6458333333)</f>
        <v>45826.6458333333</v>
      </c>
      <c r="D59" s="17">
        <f>IFERROR(__xludf.DUMMYFUNCTION("""COMPUTED_VALUE"""),1311.1)</f>
        <v>1311.1</v>
      </c>
      <c r="E59" s="16">
        <f>IFERROR(__xludf.DUMMYFUNCTION("""COMPUTED_VALUE"""),45826.6458333333)</f>
        <v>45826.6458333333</v>
      </c>
      <c r="F59" s="17">
        <f>IFERROR(__xludf.DUMMYFUNCTION("""COMPUTED_VALUE"""),728945)</f>
        <v>728945</v>
      </c>
      <c r="G59" s="16">
        <f>IFERROR(__xludf.DUMMYFUNCTION("""COMPUTED_VALUE"""),45826.6458333333)</f>
        <v>45826.6458333333</v>
      </c>
      <c r="H59" s="17">
        <f>IFERROR(__xludf.DUMMYFUNCTION("""COMPUTED_VALUE"""),1324.8)</f>
        <v>1324.8</v>
      </c>
      <c r="I59" s="16">
        <f>IFERROR(__xludf.DUMMYFUNCTION("""COMPUTED_VALUE"""),45826.6458333333)</f>
        <v>45826.6458333333</v>
      </c>
      <c r="J59" s="17">
        <f>IFERROR(__xludf.DUMMYFUNCTION("""COMPUTED_VALUE"""),1308.8)</f>
        <v>1308.8</v>
      </c>
      <c r="K59" s="3">
        <f t="shared" si="2"/>
        <v>0</v>
      </c>
      <c r="L59" s="3">
        <f t="shared" si="3"/>
        <v>1313.3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IFERROR(__xludf.DUMMYFUNCTION("""COMPUTED_VALUE"""),1326.1)</f>
        <v>1326.1</v>
      </c>
      <c r="C60" s="16">
        <f>IFERROR(__xludf.DUMMYFUNCTION("""COMPUTED_VALUE"""),45827.6458333333)</f>
        <v>45827.6458333333</v>
      </c>
      <c r="D60" s="17">
        <f>IFERROR(__xludf.DUMMYFUNCTION("""COMPUTED_VALUE"""),1305)</f>
        <v>1305</v>
      </c>
      <c r="E60" s="16">
        <f>IFERROR(__xludf.DUMMYFUNCTION("""COMPUTED_VALUE"""),45827.6458333333)</f>
        <v>45827.6458333333</v>
      </c>
      <c r="F60" s="17">
        <f>IFERROR(__xludf.DUMMYFUNCTION("""COMPUTED_VALUE"""),1654212)</f>
        <v>1654212</v>
      </c>
      <c r="G60" s="16">
        <f>IFERROR(__xludf.DUMMYFUNCTION("""COMPUTED_VALUE"""),45827.6458333333)</f>
        <v>45827.6458333333</v>
      </c>
      <c r="H60" s="17">
        <f>IFERROR(__xludf.DUMMYFUNCTION("""COMPUTED_VALUE"""),1332)</f>
        <v>1332</v>
      </c>
      <c r="I60" s="16">
        <f>IFERROR(__xludf.DUMMYFUNCTION("""COMPUTED_VALUE"""),45827.6458333333)</f>
        <v>45827.6458333333</v>
      </c>
      <c r="J60" s="17">
        <f>IFERROR(__xludf.DUMMYFUNCTION("""COMPUTED_VALUE"""),1304.3)</f>
        <v>1304.3</v>
      </c>
      <c r="K60" s="3">
        <f t="shared" si="2"/>
        <v>0</v>
      </c>
      <c r="L60" s="3">
        <f t="shared" si="3"/>
        <v>0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IFERROR(__xludf.DUMMYFUNCTION("""COMPUTED_VALUE"""),1325.3)</f>
        <v>1325.3</v>
      </c>
      <c r="C61" s="16">
        <f>IFERROR(__xludf.DUMMYFUNCTION("""COMPUTED_VALUE"""),45828.6458333333)</f>
        <v>45828.6458333333</v>
      </c>
      <c r="D61" s="17">
        <f>IFERROR(__xludf.DUMMYFUNCTION("""COMPUTED_VALUE"""),1332.4)</f>
        <v>1332.4</v>
      </c>
      <c r="E61" s="16">
        <f>IFERROR(__xludf.DUMMYFUNCTION("""COMPUTED_VALUE"""),45828.6458333333)</f>
        <v>45828.6458333333</v>
      </c>
      <c r="F61" s="17">
        <f>IFERROR(__xludf.DUMMYFUNCTION("""COMPUTED_VALUE"""),1843895)</f>
        <v>1843895</v>
      </c>
      <c r="G61" s="16">
        <f>IFERROR(__xludf.DUMMYFUNCTION("""COMPUTED_VALUE"""),45828.6458333333)</f>
        <v>45828.6458333333</v>
      </c>
      <c r="H61" s="17">
        <f>IFERROR(__xludf.DUMMYFUNCTION("""COMPUTED_VALUE"""),1335)</f>
        <v>1335</v>
      </c>
      <c r="I61" s="16">
        <f>IFERROR(__xludf.DUMMYFUNCTION("""COMPUTED_VALUE"""),45828.6458333333)</f>
        <v>45828.6458333333</v>
      </c>
      <c r="J61" s="17">
        <f>IFERROR(__xludf.DUMMYFUNCTION("""COMPUTED_VALUE"""),1318.2)</f>
        <v>1318.2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IFERROR(__xludf.DUMMYFUNCTION("""COMPUTED_VALUE"""),1317.9)</f>
        <v>1317.9</v>
      </c>
      <c r="C62" s="16">
        <f>IFERROR(__xludf.DUMMYFUNCTION("""COMPUTED_VALUE"""),45831.6458333333)</f>
        <v>45831.6458333333</v>
      </c>
      <c r="D62" s="17">
        <f>IFERROR(__xludf.DUMMYFUNCTION("""COMPUTED_VALUE"""),1318.9)</f>
        <v>1318.9</v>
      </c>
      <c r="E62" s="16">
        <f>IFERROR(__xludf.DUMMYFUNCTION("""COMPUTED_VALUE"""),45831.6458333333)</f>
        <v>45831.6458333333</v>
      </c>
      <c r="F62" s="17">
        <f>IFERROR(__xludf.DUMMYFUNCTION("""COMPUTED_VALUE"""),843945)</f>
        <v>843945</v>
      </c>
      <c r="G62" s="16">
        <f>IFERROR(__xludf.DUMMYFUNCTION("""COMPUTED_VALUE"""),45831.6458333333)</f>
        <v>45831.6458333333</v>
      </c>
      <c r="H62" s="17">
        <f>IFERROR(__xludf.DUMMYFUNCTION("""COMPUTED_VALUE"""),1323)</f>
        <v>1323</v>
      </c>
      <c r="I62" s="16">
        <f>IFERROR(__xludf.DUMMYFUNCTION("""COMPUTED_VALUE"""),45831.6458333333)</f>
        <v>45831.6458333333</v>
      </c>
      <c r="J62" s="17">
        <f>IFERROR(__xludf.DUMMYFUNCTION("""COMPUTED_VALUE"""),1302.1)</f>
        <v>1302.1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IFERROR(__xludf.DUMMYFUNCTION("""COMPUTED_VALUE"""),1337.3)</f>
        <v>1337.3</v>
      </c>
      <c r="C63" s="16">
        <f>IFERROR(__xludf.DUMMYFUNCTION("""COMPUTED_VALUE"""),45832.6458333333)</f>
        <v>45832.6458333333</v>
      </c>
      <c r="D63" s="17">
        <f>IFERROR(__xludf.DUMMYFUNCTION("""COMPUTED_VALUE"""),1317.9)</f>
        <v>1317.9</v>
      </c>
      <c r="E63" s="16">
        <f>IFERROR(__xludf.DUMMYFUNCTION("""COMPUTED_VALUE"""),45832.6458333333)</f>
        <v>45832.6458333333</v>
      </c>
      <c r="F63" s="17">
        <f>IFERROR(__xludf.DUMMYFUNCTION("""COMPUTED_VALUE"""),1011128)</f>
        <v>1011128</v>
      </c>
      <c r="G63" s="16">
        <f>IFERROR(__xludf.DUMMYFUNCTION("""COMPUTED_VALUE"""),45832.6458333333)</f>
        <v>45832.6458333333</v>
      </c>
      <c r="H63" s="17">
        <f>IFERROR(__xludf.DUMMYFUNCTION("""COMPUTED_VALUE"""),1353.7)</f>
        <v>1353.7</v>
      </c>
      <c r="I63" s="16">
        <f>IFERROR(__xludf.DUMMYFUNCTION("""COMPUTED_VALUE"""),45832.6458333333)</f>
        <v>45832.6458333333</v>
      </c>
      <c r="J63" s="17">
        <f>IFERROR(__xludf.DUMMYFUNCTION("""COMPUTED_VALUE"""),1309.1)</f>
        <v>1309.1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IFERROR(__xludf.DUMMYFUNCTION("""COMPUTED_VALUE"""),1341.6)</f>
        <v>1341.6</v>
      </c>
      <c r="C64" s="16">
        <f>IFERROR(__xludf.DUMMYFUNCTION("""COMPUTED_VALUE"""),45833.6458333333)</f>
        <v>45833.6458333333</v>
      </c>
      <c r="D64" s="17">
        <f>IFERROR(__xludf.DUMMYFUNCTION("""COMPUTED_VALUE"""),1348.3)</f>
        <v>1348.3</v>
      </c>
      <c r="E64" s="16">
        <f>IFERROR(__xludf.DUMMYFUNCTION("""COMPUTED_VALUE"""),45833.6458333333)</f>
        <v>45833.6458333333</v>
      </c>
      <c r="F64" s="17">
        <f>IFERROR(__xludf.DUMMYFUNCTION("""COMPUTED_VALUE"""),833145)</f>
        <v>833145</v>
      </c>
      <c r="G64" s="16">
        <f>IFERROR(__xludf.DUMMYFUNCTION("""COMPUTED_VALUE"""),45833.6458333333)</f>
        <v>45833.6458333333</v>
      </c>
      <c r="H64" s="17">
        <f>IFERROR(__xludf.DUMMYFUNCTION("""COMPUTED_VALUE"""),1348.3)</f>
        <v>1348.3</v>
      </c>
      <c r="I64" s="16">
        <f>IFERROR(__xludf.DUMMYFUNCTION("""COMPUTED_VALUE"""),45833.6458333333)</f>
        <v>45833.6458333333</v>
      </c>
      <c r="J64" s="17">
        <f>IFERROR(__xludf.DUMMYFUNCTION("""COMPUTED_VALUE"""),1336)</f>
        <v>1336</v>
      </c>
      <c r="K64" s="3">
        <f t="shared" si="2"/>
        <v>1341.6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IFERROR(__xludf.DUMMYFUNCTION("""COMPUTED_VALUE"""),1321.5)</f>
        <v>1321.5</v>
      </c>
      <c r="C65" s="16">
        <f>IFERROR(__xludf.DUMMYFUNCTION("""COMPUTED_VALUE"""),45834.6458333333)</f>
        <v>45834.6458333333</v>
      </c>
      <c r="D65" s="17">
        <f>IFERROR(__xludf.DUMMYFUNCTION("""COMPUTED_VALUE"""),1326)</f>
        <v>1326</v>
      </c>
      <c r="E65" s="16">
        <f>IFERROR(__xludf.DUMMYFUNCTION("""COMPUTED_VALUE"""),45834.6458333333)</f>
        <v>45834.6458333333</v>
      </c>
      <c r="F65" s="17">
        <f>IFERROR(__xludf.DUMMYFUNCTION("""COMPUTED_VALUE"""),2373431)</f>
        <v>2373431</v>
      </c>
      <c r="G65" s="16">
        <f>IFERROR(__xludf.DUMMYFUNCTION("""COMPUTED_VALUE"""),45834.6458333333)</f>
        <v>45834.6458333333</v>
      </c>
      <c r="H65" s="17">
        <f>IFERROR(__xludf.DUMMYFUNCTION("""COMPUTED_VALUE"""),1333.7)</f>
        <v>1333.7</v>
      </c>
      <c r="I65" s="16">
        <f>IFERROR(__xludf.DUMMYFUNCTION("""COMPUTED_VALUE"""),45834.6458333333)</f>
        <v>45834.6458333333</v>
      </c>
      <c r="J65" s="17">
        <f>IFERROR(__xludf.DUMMYFUNCTION("""COMPUTED_VALUE"""),1314.6)</f>
        <v>1314.6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IFERROR(__xludf.DUMMYFUNCTION("""COMPUTED_VALUE"""),1301)</f>
        <v>1301</v>
      </c>
      <c r="C66" s="16">
        <f>IFERROR(__xludf.DUMMYFUNCTION("""COMPUTED_VALUE"""),45835.6458333333)</f>
        <v>45835.6458333333</v>
      </c>
      <c r="D66" s="17">
        <f>IFERROR(__xludf.DUMMYFUNCTION("""COMPUTED_VALUE"""),1328.9)</f>
        <v>1328.9</v>
      </c>
      <c r="E66" s="16">
        <f>IFERROR(__xludf.DUMMYFUNCTION("""COMPUTED_VALUE"""),45835.6458333333)</f>
        <v>45835.6458333333</v>
      </c>
      <c r="F66" s="17">
        <f>IFERROR(__xludf.DUMMYFUNCTION("""COMPUTED_VALUE"""),1770595)</f>
        <v>1770595</v>
      </c>
      <c r="G66" s="16">
        <f>IFERROR(__xludf.DUMMYFUNCTION("""COMPUTED_VALUE"""),45835.6458333333)</f>
        <v>45835.6458333333</v>
      </c>
      <c r="H66" s="17">
        <f>IFERROR(__xludf.DUMMYFUNCTION("""COMPUTED_VALUE"""),1331.6)</f>
        <v>1331.6</v>
      </c>
      <c r="I66" s="16">
        <f>IFERROR(__xludf.DUMMYFUNCTION("""COMPUTED_VALUE"""),45835.6458333333)</f>
        <v>45835.6458333333</v>
      </c>
      <c r="J66" s="17">
        <f>IFERROR(__xludf.DUMMYFUNCTION("""COMPUTED_VALUE"""),1298.4)</f>
        <v>1298.4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IFERROR(__xludf.DUMMYFUNCTION("""COMPUTED_VALUE"""),1283.3)</f>
        <v>1283.3</v>
      </c>
      <c r="C67" s="16">
        <f>IFERROR(__xludf.DUMMYFUNCTION("""COMPUTED_VALUE"""),45838.6458333333)</f>
        <v>45838.6458333333</v>
      </c>
      <c r="D67" s="17">
        <f>IFERROR(__xludf.DUMMYFUNCTION("""COMPUTED_VALUE"""),1302.9)</f>
        <v>1302.9</v>
      </c>
      <c r="E67" s="16">
        <f>IFERROR(__xludf.DUMMYFUNCTION("""COMPUTED_VALUE"""),45838.6458333333)</f>
        <v>45838.6458333333</v>
      </c>
      <c r="F67" s="17">
        <f>IFERROR(__xludf.DUMMYFUNCTION("""COMPUTED_VALUE"""),2224279)</f>
        <v>2224279</v>
      </c>
      <c r="G67" s="16">
        <f>IFERROR(__xludf.DUMMYFUNCTION("""COMPUTED_VALUE"""),45838.6458333333)</f>
        <v>45838.6458333333</v>
      </c>
      <c r="H67" s="17">
        <f>IFERROR(__xludf.DUMMYFUNCTION("""COMPUTED_VALUE"""),1305)</f>
        <v>1305</v>
      </c>
      <c r="I67" s="16">
        <f>IFERROR(__xludf.DUMMYFUNCTION("""COMPUTED_VALUE"""),45838.6458333333)</f>
        <v>45838.6458333333</v>
      </c>
      <c r="J67" s="17">
        <f>IFERROR(__xludf.DUMMYFUNCTION("""COMPUTED_VALUE"""),1272.5)</f>
        <v>1272.5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IFERROR(__xludf.DUMMYFUNCTION("""COMPUTED_VALUE"""),1276.8)</f>
        <v>1276.8</v>
      </c>
      <c r="C68" s="16">
        <f>IFERROR(__xludf.DUMMYFUNCTION("""COMPUTED_VALUE"""),45839.6458333333)</f>
        <v>45839.6458333333</v>
      </c>
      <c r="D68" s="17">
        <f>IFERROR(__xludf.DUMMYFUNCTION("""COMPUTED_VALUE"""),1286.3)</f>
        <v>1286.3</v>
      </c>
      <c r="E68" s="16">
        <f>IFERROR(__xludf.DUMMYFUNCTION("""COMPUTED_VALUE"""),45839.6458333333)</f>
        <v>45839.6458333333</v>
      </c>
      <c r="F68" s="17">
        <f>IFERROR(__xludf.DUMMYFUNCTION("""COMPUTED_VALUE"""),1851442)</f>
        <v>1851442</v>
      </c>
      <c r="G68" s="16">
        <f>IFERROR(__xludf.DUMMYFUNCTION("""COMPUTED_VALUE"""),45839.6458333333)</f>
        <v>45839.6458333333</v>
      </c>
      <c r="H68" s="17">
        <f>IFERROR(__xludf.DUMMYFUNCTION("""COMPUTED_VALUE"""),1294.9)</f>
        <v>1294.9</v>
      </c>
      <c r="I68" s="16">
        <f>IFERROR(__xludf.DUMMYFUNCTION("""COMPUTED_VALUE"""),45839.6458333333)</f>
        <v>45839.6458333333</v>
      </c>
      <c r="J68" s="17">
        <f>IFERROR(__xludf.DUMMYFUNCTION("""COMPUTED_VALUE"""),1273.3)</f>
        <v>1273.3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IFERROR(__xludf.DUMMYFUNCTION("""COMPUTED_VALUE"""),1270.8)</f>
        <v>1270.8</v>
      </c>
      <c r="C69" s="16">
        <f>IFERROR(__xludf.DUMMYFUNCTION("""COMPUTED_VALUE"""),45840.6458333333)</f>
        <v>45840.6458333333</v>
      </c>
      <c r="D69" s="17">
        <f>IFERROR(__xludf.DUMMYFUNCTION("""COMPUTED_VALUE"""),1276)</f>
        <v>1276</v>
      </c>
      <c r="E69" s="16">
        <f>IFERROR(__xludf.DUMMYFUNCTION("""COMPUTED_VALUE"""),45840.6458333333)</f>
        <v>45840.6458333333</v>
      </c>
      <c r="F69" s="17">
        <f>IFERROR(__xludf.DUMMYFUNCTION("""COMPUTED_VALUE"""),2027306)</f>
        <v>2027306</v>
      </c>
      <c r="G69" s="16">
        <f>IFERROR(__xludf.DUMMYFUNCTION("""COMPUTED_VALUE"""),45840.6458333333)</f>
        <v>45840.6458333333</v>
      </c>
      <c r="H69" s="17">
        <f>IFERROR(__xludf.DUMMYFUNCTION("""COMPUTED_VALUE"""),1280.9)</f>
        <v>1280.9</v>
      </c>
      <c r="I69" s="16">
        <f>IFERROR(__xludf.DUMMYFUNCTION("""COMPUTED_VALUE"""),45840.6458333333)</f>
        <v>45840.6458333333</v>
      </c>
      <c r="J69" s="17">
        <f>IFERROR(__xludf.DUMMYFUNCTION("""COMPUTED_VALUE"""),1263.7)</f>
        <v>1263.7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IFERROR(__xludf.DUMMYFUNCTION("""COMPUTED_VALUE"""),1291.3)</f>
        <v>1291.3</v>
      </c>
      <c r="C70" s="16">
        <f>IFERROR(__xludf.DUMMYFUNCTION("""COMPUTED_VALUE"""),45841.6458333333)</f>
        <v>45841.6458333333</v>
      </c>
      <c r="D70" s="17">
        <f>IFERROR(__xludf.DUMMYFUNCTION("""COMPUTED_VALUE"""),1274.9)</f>
        <v>1274.9</v>
      </c>
      <c r="E70" s="16">
        <f>IFERROR(__xludf.DUMMYFUNCTION("""COMPUTED_VALUE"""),45841.6458333333)</f>
        <v>45841.6458333333</v>
      </c>
      <c r="F70" s="17">
        <f>IFERROR(__xludf.DUMMYFUNCTION("""COMPUTED_VALUE"""),1918977)</f>
        <v>1918977</v>
      </c>
      <c r="G70" s="16">
        <f>IFERROR(__xludf.DUMMYFUNCTION("""COMPUTED_VALUE"""),45841.6458333333)</f>
        <v>45841.6458333333</v>
      </c>
      <c r="H70" s="17">
        <f>IFERROR(__xludf.DUMMYFUNCTION("""COMPUTED_VALUE"""),1297.6)</f>
        <v>1297.6</v>
      </c>
      <c r="I70" s="16">
        <f>IFERROR(__xludf.DUMMYFUNCTION("""COMPUTED_VALUE"""),45841.6458333333)</f>
        <v>45841.6458333333</v>
      </c>
      <c r="J70" s="17">
        <f>IFERROR(__xludf.DUMMYFUNCTION("""COMPUTED_VALUE"""),1270)</f>
        <v>1270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IFERROR(__xludf.DUMMYFUNCTION("""COMPUTED_VALUE"""),1307.4)</f>
        <v>1307.4</v>
      </c>
      <c r="C71" s="16">
        <f>IFERROR(__xludf.DUMMYFUNCTION("""COMPUTED_VALUE"""),45842.6458333333)</f>
        <v>45842.6458333333</v>
      </c>
      <c r="D71" s="17">
        <f>IFERROR(__xludf.DUMMYFUNCTION("""COMPUTED_VALUE"""),1303)</f>
        <v>1303</v>
      </c>
      <c r="E71" s="16">
        <f>IFERROR(__xludf.DUMMYFUNCTION("""COMPUTED_VALUE"""),45842.6458333333)</f>
        <v>45842.6458333333</v>
      </c>
      <c r="F71" s="17">
        <f>IFERROR(__xludf.DUMMYFUNCTION("""COMPUTED_VALUE"""),1466009)</f>
        <v>1466009</v>
      </c>
      <c r="G71" s="16">
        <f>IFERROR(__xludf.DUMMYFUNCTION("""COMPUTED_VALUE"""),45842.6458333333)</f>
        <v>45842.6458333333</v>
      </c>
      <c r="H71" s="17">
        <f>IFERROR(__xludf.DUMMYFUNCTION("""COMPUTED_VALUE"""),1313)</f>
        <v>1313</v>
      </c>
      <c r="I71" s="16">
        <f>IFERROR(__xludf.DUMMYFUNCTION("""COMPUTED_VALUE"""),45842.6458333333)</f>
        <v>45842.6458333333</v>
      </c>
      <c r="J71" s="17">
        <f>IFERROR(__xludf.DUMMYFUNCTION("""COMPUTED_VALUE"""),1287.2)</f>
        <v>1287.2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IFERROR(__xludf.DUMMYFUNCTION("""COMPUTED_VALUE"""),1310.5)</f>
        <v>1310.5</v>
      </c>
      <c r="C72" s="16">
        <f>IFERROR(__xludf.DUMMYFUNCTION("""COMPUTED_VALUE"""),45845.6458333333)</f>
        <v>45845.6458333333</v>
      </c>
      <c r="D72" s="17">
        <f>IFERROR(__xludf.DUMMYFUNCTION("""COMPUTED_VALUE"""),1307.9)</f>
        <v>1307.9</v>
      </c>
      <c r="E72" s="16">
        <f>IFERROR(__xludf.DUMMYFUNCTION("""COMPUTED_VALUE"""),45845.6458333333)</f>
        <v>45845.6458333333</v>
      </c>
      <c r="F72" s="17">
        <f>IFERROR(__xludf.DUMMYFUNCTION("""COMPUTED_VALUE"""),569025)</f>
        <v>569025</v>
      </c>
      <c r="G72" s="16">
        <f>IFERROR(__xludf.DUMMYFUNCTION("""COMPUTED_VALUE"""),45845.6458333333)</f>
        <v>45845.6458333333</v>
      </c>
      <c r="H72" s="17">
        <f>IFERROR(__xludf.DUMMYFUNCTION("""COMPUTED_VALUE"""),1313.4)</f>
        <v>1313.4</v>
      </c>
      <c r="I72" s="16">
        <f>IFERROR(__xludf.DUMMYFUNCTION("""COMPUTED_VALUE"""),45845.6458333333)</f>
        <v>45845.6458333333</v>
      </c>
      <c r="J72" s="17">
        <f>IFERROR(__xludf.DUMMYFUNCTION("""COMPUTED_VALUE"""),1298.1)</f>
        <v>1298.1</v>
      </c>
      <c r="K72" s="3">
        <f t="shared" si="2"/>
        <v>1310.5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IFERROR(__xludf.DUMMYFUNCTION("""COMPUTED_VALUE"""),1283.8)</f>
        <v>1283.8</v>
      </c>
      <c r="C73" s="16">
        <f>IFERROR(__xludf.DUMMYFUNCTION("""COMPUTED_VALUE"""),45846.6458333333)</f>
        <v>45846.6458333333</v>
      </c>
      <c r="D73" s="17">
        <f>IFERROR(__xludf.DUMMYFUNCTION("""COMPUTED_VALUE"""),1310.3)</f>
        <v>1310.3</v>
      </c>
      <c r="E73" s="16">
        <f>IFERROR(__xludf.DUMMYFUNCTION("""COMPUTED_VALUE"""),45846.6458333333)</f>
        <v>45846.6458333333</v>
      </c>
      <c r="F73" s="17">
        <f>IFERROR(__xludf.DUMMYFUNCTION("""COMPUTED_VALUE"""),1602620)</f>
        <v>1602620</v>
      </c>
      <c r="G73" s="16">
        <f>IFERROR(__xludf.DUMMYFUNCTION("""COMPUTED_VALUE"""),45846.6458333333)</f>
        <v>45846.6458333333</v>
      </c>
      <c r="H73" s="17">
        <f>IFERROR(__xludf.DUMMYFUNCTION("""COMPUTED_VALUE"""),1310.3)</f>
        <v>1310.3</v>
      </c>
      <c r="I73" s="16">
        <f>IFERROR(__xludf.DUMMYFUNCTION("""COMPUTED_VALUE"""),45846.6458333333)</f>
        <v>45846.6458333333</v>
      </c>
      <c r="J73" s="17">
        <f>IFERROR(__xludf.DUMMYFUNCTION("""COMPUTED_VALUE"""),1273.6)</f>
        <v>1273.6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IFERROR(__xludf.DUMMYFUNCTION("""COMPUTED_VALUE"""),1269.4)</f>
        <v>1269.4</v>
      </c>
      <c r="C74" s="16">
        <f>IFERROR(__xludf.DUMMYFUNCTION("""COMPUTED_VALUE"""),45847.6458333333)</f>
        <v>45847.6458333333</v>
      </c>
      <c r="D74" s="17">
        <f>IFERROR(__xludf.DUMMYFUNCTION("""COMPUTED_VALUE"""),1280)</f>
        <v>1280</v>
      </c>
      <c r="E74" s="16">
        <f>IFERROR(__xludf.DUMMYFUNCTION("""COMPUTED_VALUE"""),45847.6458333333)</f>
        <v>45847.6458333333</v>
      </c>
      <c r="F74" s="17">
        <f>IFERROR(__xludf.DUMMYFUNCTION("""COMPUTED_VALUE"""),1494337)</f>
        <v>1494337</v>
      </c>
      <c r="G74" s="16">
        <f>IFERROR(__xludf.DUMMYFUNCTION("""COMPUTED_VALUE"""),45847.6458333333)</f>
        <v>45847.6458333333</v>
      </c>
      <c r="H74" s="17">
        <f>IFERROR(__xludf.DUMMYFUNCTION("""COMPUTED_VALUE"""),1285.7)</f>
        <v>1285.7</v>
      </c>
      <c r="I74" s="16">
        <f>IFERROR(__xludf.DUMMYFUNCTION("""COMPUTED_VALUE"""),45847.6458333333)</f>
        <v>45847.6458333333</v>
      </c>
      <c r="J74" s="17">
        <f>IFERROR(__xludf.DUMMYFUNCTION("""COMPUTED_VALUE"""),1266.9)</f>
        <v>1266.9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IFERROR(__xludf.DUMMYFUNCTION("""COMPUTED_VALUE"""),1262.6)</f>
        <v>1262.6</v>
      </c>
      <c r="C75" s="16">
        <f>IFERROR(__xludf.DUMMYFUNCTION("""COMPUTED_VALUE"""),45848.6458333333)</f>
        <v>45848.6458333333</v>
      </c>
      <c r="D75" s="17">
        <f>IFERROR(__xludf.DUMMYFUNCTION("""COMPUTED_VALUE"""),1262.9)</f>
        <v>1262.9</v>
      </c>
      <c r="E75" s="16">
        <f>IFERROR(__xludf.DUMMYFUNCTION("""COMPUTED_VALUE"""),45848.6458333333)</f>
        <v>45848.6458333333</v>
      </c>
      <c r="F75" s="17">
        <f>IFERROR(__xludf.DUMMYFUNCTION("""COMPUTED_VALUE"""),1246082)</f>
        <v>1246082</v>
      </c>
      <c r="G75" s="16">
        <f>IFERROR(__xludf.DUMMYFUNCTION("""COMPUTED_VALUE"""),45848.6458333333)</f>
        <v>45848.6458333333</v>
      </c>
      <c r="H75" s="17">
        <f>IFERROR(__xludf.DUMMYFUNCTION("""COMPUTED_VALUE"""),1269.9)</f>
        <v>1269.9</v>
      </c>
      <c r="I75" s="16">
        <f>IFERROR(__xludf.DUMMYFUNCTION("""COMPUTED_VALUE"""),45848.6458333333)</f>
        <v>45848.6458333333</v>
      </c>
      <c r="J75" s="17">
        <f>IFERROR(__xludf.DUMMYFUNCTION("""COMPUTED_VALUE"""),1252.1)</f>
        <v>1252.1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IFERROR(__xludf.DUMMYFUNCTION("""COMPUTED_VALUE"""),1254.7)</f>
        <v>1254.7</v>
      </c>
      <c r="C76" s="16">
        <f>IFERROR(__xludf.DUMMYFUNCTION("""COMPUTED_VALUE"""),45849.6458333333)</f>
        <v>45849.6458333333</v>
      </c>
      <c r="D76" s="17">
        <f>IFERROR(__xludf.DUMMYFUNCTION("""COMPUTED_VALUE"""),1263)</f>
        <v>1263</v>
      </c>
      <c r="E76" s="16">
        <f>IFERROR(__xludf.DUMMYFUNCTION("""COMPUTED_VALUE"""),45849.6458333333)</f>
        <v>45849.6458333333</v>
      </c>
      <c r="F76" s="17">
        <f>IFERROR(__xludf.DUMMYFUNCTION("""COMPUTED_VALUE"""),895466)</f>
        <v>895466</v>
      </c>
      <c r="G76" s="16">
        <f>IFERROR(__xludf.DUMMYFUNCTION("""COMPUTED_VALUE"""),45849.6458333333)</f>
        <v>45849.6458333333</v>
      </c>
      <c r="H76" s="17">
        <f>IFERROR(__xludf.DUMMYFUNCTION("""COMPUTED_VALUE"""),1272)</f>
        <v>1272</v>
      </c>
      <c r="I76" s="16">
        <f>IFERROR(__xludf.DUMMYFUNCTION("""COMPUTED_VALUE"""),45849.6458333333)</f>
        <v>45849.6458333333</v>
      </c>
      <c r="J76" s="17">
        <f>IFERROR(__xludf.DUMMYFUNCTION("""COMPUTED_VALUE"""),1251.3)</f>
        <v>1251.3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IFERROR(__xludf.DUMMYFUNCTION("""COMPUTED_VALUE"""),1250.6)</f>
        <v>1250.6</v>
      </c>
      <c r="C77" s="16">
        <f>IFERROR(__xludf.DUMMYFUNCTION("""COMPUTED_VALUE"""),45852.6458333333)</f>
        <v>45852.6458333333</v>
      </c>
      <c r="D77" s="17">
        <f>IFERROR(__xludf.DUMMYFUNCTION("""COMPUTED_VALUE"""),1254.7)</f>
        <v>1254.7</v>
      </c>
      <c r="E77" s="16">
        <f>IFERROR(__xludf.DUMMYFUNCTION("""COMPUTED_VALUE"""),45852.6458333333)</f>
        <v>45852.6458333333</v>
      </c>
      <c r="F77" s="17">
        <f>IFERROR(__xludf.DUMMYFUNCTION("""COMPUTED_VALUE"""),1035555)</f>
        <v>1035555</v>
      </c>
      <c r="G77" s="16">
        <f>IFERROR(__xludf.DUMMYFUNCTION("""COMPUTED_VALUE"""),45852.6458333333)</f>
        <v>45852.6458333333</v>
      </c>
      <c r="H77" s="17">
        <f>IFERROR(__xludf.DUMMYFUNCTION("""COMPUTED_VALUE"""),1261.4)</f>
        <v>1261.4</v>
      </c>
      <c r="I77" s="16">
        <f>IFERROR(__xludf.DUMMYFUNCTION("""COMPUTED_VALUE"""),45852.6458333333)</f>
        <v>45852.6458333333</v>
      </c>
      <c r="J77" s="17">
        <f>IFERROR(__xludf.DUMMYFUNCTION("""COMPUTED_VALUE"""),1245.3)</f>
        <v>1245.3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IFERROR(__xludf.DUMMYFUNCTION("""COMPUTED_VALUE"""),1260.9)</f>
        <v>1260.9</v>
      </c>
      <c r="C78" s="16">
        <f>IFERROR(__xludf.DUMMYFUNCTION("""COMPUTED_VALUE"""),45853.6458333333)</f>
        <v>45853.6458333333</v>
      </c>
      <c r="D78" s="17">
        <f>IFERROR(__xludf.DUMMYFUNCTION("""COMPUTED_VALUE"""),1254.8)</f>
        <v>1254.8</v>
      </c>
      <c r="E78" s="16">
        <f>IFERROR(__xludf.DUMMYFUNCTION("""COMPUTED_VALUE"""),45853.6458333333)</f>
        <v>45853.6458333333</v>
      </c>
      <c r="F78" s="17">
        <f>IFERROR(__xludf.DUMMYFUNCTION("""COMPUTED_VALUE"""),1183659)</f>
        <v>1183659</v>
      </c>
      <c r="G78" s="16">
        <f>IFERROR(__xludf.DUMMYFUNCTION("""COMPUTED_VALUE"""),45853.6458333333)</f>
        <v>45853.6458333333</v>
      </c>
      <c r="H78" s="17">
        <f>IFERROR(__xludf.DUMMYFUNCTION("""COMPUTED_VALUE"""),1264.5)</f>
        <v>1264.5</v>
      </c>
      <c r="I78" s="16">
        <f>IFERROR(__xludf.DUMMYFUNCTION("""COMPUTED_VALUE"""),45853.6458333333)</f>
        <v>45853.6458333333</v>
      </c>
      <c r="J78" s="17">
        <f>IFERROR(__xludf.DUMMYFUNCTION("""COMPUTED_VALUE"""),1241)</f>
        <v>1241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IFERROR(__xludf.DUMMYFUNCTION("""COMPUTED_VALUE"""),1259.4)</f>
        <v>1259.4</v>
      </c>
      <c r="C79" s="16">
        <f>IFERROR(__xludf.DUMMYFUNCTION("""COMPUTED_VALUE"""),45854.6458333333)</f>
        <v>45854.6458333333</v>
      </c>
      <c r="D79" s="17">
        <f>IFERROR(__xludf.DUMMYFUNCTION("""COMPUTED_VALUE"""),1260.9)</f>
        <v>1260.9</v>
      </c>
      <c r="E79" s="16">
        <f>IFERROR(__xludf.DUMMYFUNCTION("""COMPUTED_VALUE"""),45854.6458333333)</f>
        <v>45854.6458333333</v>
      </c>
      <c r="F79" s="17">
        <f>IFERROR(__xludf.DUMMYFUNCTION("""COMPUTED_VALUE"""),1159859)</f>
        <v>1159859</v>
      </c>
      <c r="G79" s="16">
        <f>IFERROR(__xludf.DUMMYFUNCTION("""COMPUTED_VALUE"""),45854.6458333333)</f>
        <v>45854.6458333333</v>
      </c>
      <c r="H79" s="17">
        <f>IFERROR(__xludf.DUMMYFUNCTION("""COMPUTED_VALUE"""),1262)</f>
        <v>1262</v>
      </c>
      <c r="I79" s="16">
        <f>IFERROR(__xludf.DUMMYFUNCTION("""COMPUTED_VALUE"""),45854.6458333333)</f>
        <v>45854.6458333333</v>
      </c>
      <c r="J79" s="17">
        <f>IFERROR(__xludf.DUMMYFUNCTION("""COMPUTED_VALUE"""),1250)</f>
        <v>1250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IFERROR(__xludf.DUMMYFUNCTION("""COMPUTED_VALUE"""),1263.1)</f>
        <v>1263.1</v>
      </c>
      <c r="C80" s="16">
        <f>IFERROR(__xludf.DUMMYFUNCTION("""COMPUTED_VALUE"""),45855.6458333333)</f>
        <v>45855.6458333333</v>
      </c>
      <c r="D80" s="17">
        <f>IFERROR(__xludf.DUMMYFUNCTION("""COMPUTED_VALUE"""),1259.4)</f>
        <v>1259.4</v>
      </c>
      <c r="E80" s="16">
        <f>IFERROR(__xludf.DUMMYFUNCTION("""COMPUTED_VALUE"""),45855.6458333333)</f>
        <v>45855.6458333333</v>
      </c>
      <c r="F80" s="17">
        <f>IFERROR(__xludf.DUMMYFUNCTION("""COMPUTED_VALUE"""),709420)</f>
        <v>709420</v>
      </c>
      <c r="G80" s="16">
        <f>IFERROR(__xludf.DUMMYFUNCTION("""COMPUTED_VALUE"""),45855.6458333333)</f>
        <v>45855.6458333333</v>
      </c>
      <c r="H80" s="17">
        <f>IFERROR(__xludf.DUMMYFUNCTION("""COMPUTED_VALUE"""),1274.8)</f>
        <v>1274.8</v>
      </c>
      <c r="I80" s="16">
        <f>IFERROR(__xludf.DUMMYFUNCTION("""COMPUTED_VALUE"""),45855.6458333333)</f>
        <v>45855.6458333333</v>
      </c>
      <c r="J80" s="17">
        <f>IFERROR(__xludf.DUMMYFUNCTION("""COMPUTED_VALUE"""),1255.5)</f>
        <v>1255.5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IFERROR(__xludf.DUMMYFUNCTION("""COMPUTED_VALUE"""),1257.5)</f>
        <v>1257.5</v>
      </c>
      <c r="C81" s="16">
        <f>IFERROR(__xludf.DUMMYFUNCTION("""COMPUTED_VALUE"""),45856.6458333333)</f>
        <v>45856.6458333333</v>
      </c>
      <c r="D81" s="17">
        <f>IFERROR(__xludf.DUMMYFUNCTION("""COMPUTED_VALUE"""),1265)</f>
        <v>1265</v>
      </c>
      <c r="E81" s="16">
        <f>IFERROR(__xludf.DUMMYFUNCTION("""COMPUTED_VALUE"""),45856.6458333333)</f>
        <v>45856.6458333333</v>
      </c>
      <c r="F81" s="17">
        <f>IFERROR(__xludf.DUMMYFUNCTION("""COMPUTED_VALUE"""),690731)</f>
        <v>690731</v>
      </c>
      <c r="G81" s="16">
        <f>IFERROR(__xludf.DUMMYFUNCTION("""COMPUTED_VALUE"""),45856.6458333333)</f>
        <v>45856.6458333333</v>
      </c>
      <c r="H81" s="17">
        <f>IFERROR(__xludf.DUMMYFUNCTION("""COMPUTED_VALUE"""),1270.6)</f>
        <v>1270.6</v>
      </c>
      <c r="I81" s="16">
        <f>IFERROR(__xludf.DUMMYFUNCTION("""COMPUTED_VALUE"""),45856.6458333333)</f>
        <v>45856.6458333333</v>
      </c>
      <c r="J81" s="17">
        <f>IFERROR(__xludf.DUMMYFUNCTION("""COMPUTED_VALUE"""),1251.1)</f>
        <v>1251.1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IFERROR(__xludf.DUMMYFUNCTION("""COMPUTED_VALUE"""),1259.3)</f>
        <v>1259.3</v>
      </c>
      <c r="C82" s="16">
        <f>IFERROR(__xludf.DUMMYFUNCTION("""COMPUTED_VALUE"""),45859.6458333333)</f>
        <v>45859.6458333333</v>
      </c>
      <c r="D82" s="17">
        <f>IFERROR(__xludf.DUMMYFUNCTION("""COMPUTED_VALUE"""),1250.2)</f>
        <v>1250.2</v>
      </c>
      <c r="E82" s="16">
        <f>IFERROR(__xludf.DUMMYFUNCTION("""COMPUTED_VALUE"""),45859.6458333333)</f>
        <v>45859.6458333333</v>
      </c>
      <c r="F82" s="17">
        <f>IFERROR(__xludf.DUMMYFUNCTION("""COMPUTED_VALUE"""),1065189)</f>
        <v>1065189</v>
      </c>
      <c r="G82" s="16">
        <f>IFERROR(__xludf.DUMMYFUNCTION("""COMPUTED_VALUE"""),45859.6458333333)</f>
        <v>45859.6458333333</v>
      </c>
      <c r="H82" s="17">
        <f>IFERROR(__xludf.DUMMYFUNCTION("""COMPUTED_VALUE"""),1262.4)</f>
        <v>1262.4</v>
      </c>
      <c r="I82" s="16">
        <f>IFERROR(__xludf.DUMMYFUNCTION("""COMPUTED_VALUE"""),45859.6458333333)</f>
        <v>45859.6458333333</v>
      </c>
      <c r="J82" s="17">
        <f>IFERROR(__xludf.DUMMYFUNCTION("""COMPUTED_VALUE"""),1245.2)</f>
        <v>1245.2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IFERROR(__xludf.DUMMYFUNCTION("""COMPUTED_VALUE"""),1240)</f>
        <v>1240</v>
      </c>
      <c r="C83" s="16">
        <f>IFERROR(__xludf.DUMMYFUNCTION("""COMPUTED_VALUE"""),45860.6458333333)</f>
        <v>45860.6458333333</v>
      </c>
      <c r="D83" s="17">
        <f>IFERROR(__xludf.DUMMYFUNCTION("""COMPUTED_VALUE"""),1261)</f>
        <v>1261</v>
      </c>
      <c r="E83" s="16">
        <f>IFERROR(__xludf.DUMMYFUNCTION("""COMPUTED_VALUE"""),45860.6458333333)</f>
        <v>45860.6458333333</v>
      </c>
      <c r="F83" s="17">
        <f>IFERROR(__xludf.DUMMYFUNCTION("""COMPUTED_VALUE"""),1304352)</f>
        <v>1304352</v>
      </c>
      <c r="G83" s="16">
        <f>IFERROR(__xludf.DUMMYFUNCTION("""COMPUTED_VALUE"""),45860.6458333333)</f>
        <v>45860.6458333333</v>
      </c>
      <c r="H83" s="17">
        <f>IFERROR(__xludf.DUMMYFUNCTION("""COMPUTED_VALUE"""),1263.6)</f>
        <v>1263.6</v>
      </c>
      <c r="I83" s="16">
        <f>IFERROR(__xludf.DUMMYFUNCTION("""COMPUTED_VALUE"""),45860.6458333333)</f>
        <v>45860.6458333333</v>
      </c>
      <c r="J83" s="17">
        <f>IFERROR(__xludf.DUMMYFUNCTION("""COMPUTED_VALUE"""),1236)</f>
        <v>1236</v>
      </c>
      <c r="K83" s="3">
        <f t="shared" si="2"/>
        <v>0</v>
      </c>
      <c r="L83" s="3">
        <f t="shared" si="3"/>
        <v>1240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IFERROR(__xludf.DUMMYFUNCTION("""COMPUTED_VALUE"""),1247.4)</f>
        <v>1247.4</v>
      </c>
      <c r="C84" s="16">
        <f>IFERROR(__xludf.DUMMYFUNCTION("""COMPUTED_VALUE"""),45861.6458333333)</f>
        <v>45861.6458333333</v>
      </c>
      <c r="D84" s="17">
        <f>IFERROR(__xludf.DUMMYFUNCTION("""COMPUTED_VALUE"""),1240.2)</f>
        <v>1240.2</v>
      </c>
      <c r="E84" s="16">
        <f>IFERROR(__xludf.DUMMYFUNCTION("""COMPUTED_VALUE"""),45861.6458333333)</f>
        <v>45861.6458333333</v>
      </c>
      <c r="F84" s="17">
        <f>IFERROR(__xludf.DUMMYFUNCTION("""COMPUTED_VALUE"""),1088262)</f>
        <v>1088262</v>
      </c>
      <c r="G84" s="16">
        <f>IFERROR(__xludf.DUMMYFUNCTION("""COMPUTED_VALUE"""),45861.6458333333)</f>
        <v>45861.6458333333</v>
      </c>
      <c r="H84" s="17">
        <f>IFERROR(__xludf.DUMMYFUNCTION("""COMPUTED_VALUE"""),1252.1)</f>
        <v>1252.1</v>
      </c>
      <c r="I84" s="16">
        <f>IFERROR(__xludf.DUMMYFUNCTION("""COMPUTED_VALUE"""),45861.6458333333)</f>
        <v>45861.6458333333</v>
      </c>
      <c r="J84" s="17">
        <f>IFERROR(__xludf.DUMMYFUNCTION("""COMPUTED_VALUE"""),1231)</f>
        <v>1231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IFERROR(__xludf.DUMMYFUNCTION("""COMPUTED_VALUE"""),1265.5)</f>
        <v>1265.5</v>
      </c>
      <c r="C85" s="16">
        <f>IFERROR(__xludf.DUMMYFUNCTION("""COMPUTED_VALUE"""),45862.6458333333)</f>
        <v>45862.6458333333</v>
      </c>
      <c r="D85" s="17">
        <f>IFERROR(__xludf.DUMMYFUNCTION("""COMPUTED_VALUE"""),1261.1)</f>
        <v>1261.1</v>
      </c>
      <c r="E85" s="16">
        <f>IFERROR(__xludf.DUMMYFUNCTION("""COMPUTED_VALUE"""),45862.6458333333)</f>
        <v>45862.6458333333</v>
      </c>
      <c r="F85" s="17">
        <f>IFERROR(__xludf.DUMMYFUNCTION("""COMPUTED_VALUE"""),3809212)</f>
        <v>3809212</v>
      </c>
      <c r="G85" s="16">
        <f>IFERROR(__xludf.DUMMYFUNCTION("""COMPUTED_VALUE"""),45862.6458333333)</f>
        <v>45862.6458333333</v>
      </c>
      <c r="H85" s="17">
        <f>IFERROR(__xludf.DUMMYFUNCTION("""COMPUTED_VALUE"""),1287.9)</f>
        <v>1287.9</v>
      </c>
      <c r="I85" s="16">
        <f>IFERROR(__xludf.DUMMYFUNCTION("""COMPUTED_VALUE"""),45862.6458333333)</f>
        <v>45862.6458333333</v>
      </c>
      <c r="J85" s="17">
        <f>IFERROR(__xludf.DUMMYFUNCTION("""COMPUTED_VALUE"""),1256.1)</f>
        <v>1256.1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IFERROR(__xludf.DUMMYFUNCTION("""COMPUTED_VALUE"""),1277.9)</f>
        <v>1277.9</v>
      </c>
      <c r="C86" s="16">
        <f>IFERROR(__xludf.DUMMYFUNCTION("""COMPUTED_VALUE"""),45863.6458333333)</f>
        <v>45863.6458333333</v>
      </c>
      <c r="D86" s="17">
        <f>IFERROR(__xludf.DUMMYFUNCTION("""COMPUTED_VALUE"""),1266)</f>
        <v>1266</v>
      </c>
      <c r="E86" s="16">
        <f>IFERROR(__xludf.DUMMYFUNCTION("""COMPUTED_VALUE"""),45863.6458333333)</f>
        <v>45863.6458333333</v>
      </c>
      <c r="F86" s="17">
        <f>IFERROR(__xludf.DUMMYFUNCTION("""COMPUTED_VALUE"""),1621138)</f>
        <v>1621138</v>
      </c>
      <c r="G86" s="16">
        <f>IFERROR(__xludf.DUMMYFUNCTION("""COMPUTED_VALUE"""),45863.6458333333)</f>
        <v>45863.6458333333</v>
      </c>
      <c r="H86" s="17">
        <f>IFERROR(__xludf.DUMMYFUNCTION("""COMPUTED_VALUE"""),1288.5)</f>
        <v>1288.5</v>
      </c>
      <c r="I86" s="16">
        <f>IFERROR(__xludf.DUMMYFUNCTION("""COMPUTED_VALUE"""),45863.6458333333)</f>
        <v>45863.6458333333</v>
      </c>
      <c r="J86" s="17">
        <f>IFERROR(__xludf.DUMMYFUNCTION("""COMPUTED_VALUE"""),1261.2)</f>
        <v>1261.2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IFERROR(__xludf.DUMMYFUNCTION("""COMPUTED_VALUE"""),1287.4)</f>
        <v>1287.4</v>
      </c>
      <c r="C87" s="16">
        <f>IFERROR(__xludf.DUMMYFUNCTION("""COMPUTED_VALUE"""),45866.6458333333)</f>
        <v>45866.6458333333</v>
      </c>
      <c r="D87" s="17">
        <f>IFERROR(__xludf.DUMMYFUNCTION("""COMPUTED_VALUE"""),1280)</f>
        <v>1280</v>
      </c>
      <c r="E87" s="16">
        <f>IFERROR(__xludf.DUMMYFUNCTION("""COMPUTED_VALUE"""),45866.6458333333)</f>
        <v>45866.6458333333</v>
      </c>
      <c r="F87" s="17">
        <f>IFERROR(__xludf.DUMMYFUNCTION("""COMPUTED_VALUE"""),1553778)</f>
        <v>1553778</v>
      </c>
      <c r="G87" s="16">
        <f>IFERROR(__xludf.DUMMYFUNCTION("""COMPUTED_VALUE"""),45866.6458333333)</f>
        <v>45866.6458333333</v>
      </c>
      <c r="H87" s="17">
        <f>IFERROR(__xludf.DUMMYFUNCTION("""COMPUTED_VALUE"""),1290)</f>
        <v>1290</v>
      </c>
      <c r="I87" s="16">
        <f>IFERROR(__xludf.DUMMYFUNCTION("""COMPUTED_VALUE"""),45866.6458333333)</f>
        <v>45866.6458333333</v>
      </c>
      <c r="J87" s="17">
        <f>IFERROR(__xludf.DUMMYFUNCTION("""COMPUTED_VALUE"""),1271.6)</f>
        <v>1271.6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IFERROR(__xludf.DUMMYFUNCTION("""COMPUTED_VALUE"""),1299.8)</f>
        <v>1299.8</v>
      </c>
      <c r="C88" s="16">
        <f>IFERROR(__xludf.DUMMYFUNCTION("""COMPUTED_VALUE"""),45867.6458333333)</f>
        <v>45867.6458333333</v>
      </c>
      <c r="D88" s="17">
        <f>IFERROR(__xludf.DUMMYFUNCTION("""COMPUTED_VALUE"""),1287)</f>
        <v>1287</v>
      </c>
      <c r="E88" s="16">
        <f>IFERROR(__xludf.DUMMYFUNCTION("""COMPUTED_VALUE"""),45867.6458333333)</f>
        <v>45867.6458333333</v>
      </c>
      <c r="F88" s="17">
        <f>IFERROR(__xludf.DUMMYFUNCTION("""COMPUTED_VALUE"""),1943466)</f>
        <v>1943466</v>
      </c>
      <c r="G88" s="16">
        <f>IFERROR(__xludf.DUMMYFUNCTION("""COMPUTED_VALUE"""),45867.6458333333)</f>
        <v>45867.6458333333</v>
      </c>
      <c r="H88" s="17">
        <f>IFERROR(__xludf.DUMMYFUNCTION("""COMPUTED_VALUE"""),1302)</f>
        <v>1302</v>
      </c>
      <c r="I88" s="16">
        <f>IFERROR(__xludf.DUMMYFUNCTION("""COMPUTED_VALUE"""),45867.6458333333)</f>
        <v>45867.6458333333</v>
      </c>
      <c r="J88" s="17">
        <f>IFERROR(__xludf.DUMMYFUNCTION("""COMPUTED_VALUE"""),1282.8)</f>
        <v>1282.8</v>
      </c>
      <c r="K88" s="3">
        <f t="shared" si="2"/>
        <v>1299.8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IFERROR(__xludf.DUMMYFUNCTION("""COMPUTED_VALUE"""),1292.1)</f>
        <v>1292.1</v>
      </c>
      <c r="C89" s="16">
        <f>IFERROR(__xludf.DUMMYFUNCTION("""COMPUTED_VALUE"""),45868.6458333333)</f>
        <v>45868.6458333333</v>
      </c>
      <c r="D89" s="17">
        <f>IFERROR(__xludf.DUMMYFUNCTION("""COMPUTED_VALUE"""),1298.1)</f>
        <v>1298.1</v>
      </c>
      <c r="E89" s="16">
        <f>IFERROR(__xludf.DUMMYFUNCTION("""COMPUTED_VALUE"""),45868.6458333333)</f>
        <v>45868.6458333333</v>
      </c>
      <c r="F89" s="17">
        <f>IFERROR(__xludf.DUMMYFUNCTION("""COMPUTED_VALUE"""),1387013)</f>
        <v>1387013</v>
      </c>
      <c r="G89" s="16">
        <f>IFERROR(__xludf.DUMMYFUNCTION("""COMPUTED_VALUE"""),45868.6458333333)</f>
        <v>45868.6458333333</v>
      </c>
      <c r="H89" s="17">
        <f>IFERROR(__xludf.DUMMYFUNCTION("""COMPUTED_VALUE"""),1298.1)</f>
        <v>1298.1</v>
      </c>
      <c r="I89" s="16">
        <f>IFERROR(__xludf.DUMMYFUNCTION("""COMPUTED_VALUE"""),45868.6458333333)</f>
        <v>45868.6458333333</v>
      </c>
      <c r="J89" s="17">
        <f>IFERROR(__xludf.DUMMYFUNCTION("""COMPUTED_VALUE"""),1277.7)</f>
        <v>1277.7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IFERROR(__xludf.DUMMYFUNCTION("""COMPUTED_VALUE"""),1270.3)</f>
        <v>1270.3</v>
      </c>
      <c r="C90" s="16">
        <f>IFERROR(__xludf.DUMMYFUNCTION("""COMPUTED_VALUE"""),45869.6458333333)</f>
        <v>45869.6458333333</v>
      </c>
      <c r="D90" s="17">
        <f>IFERROR(__xludf.DUMMYFUNCTION("""COMPUTED_VALUE"""),1274.5)</f>
        <v>1274.5</v>
      </c>
      <c r="E90" s="16">
        <f>IFERROR(__xludf.DUMMYFUNCTION("""COMPUTED_VALUE"""),45869.6458333333)</f>
        <v>45869.6458333333</v>
      </c>
      <c r="F90" s="17">
        <f>IFERROR(__xludf.DUMMYFUNCTION("""COMPUTED_VALUE"""),1968821)</f>
        <v>1968821</v>
      </c>
      <c r="G90" s="16">
        <f>IFERROR(__xludf.DUMMYFUNCTION("""COMPUTED_VALUE"""),45869.6458333333)</f>
        <v>45869.6458333333</v>
      </c>
      <c r="H90" s="17">
        <f>IFERROR(__xludf.DUMMYFUNCTION("""COMPUTED_VALUE"""),1285)</f>
        <v>1285</v>
      </c>
      <c r="I90" s="16">
        <f>IFERROR(__xludf.DUMMYFUNCTION("""COMPUTED_VALUE"""),45869.6458333333)</f>
        <v>45869.6458333333</v>
      </c>
      <c r="J90" s="17">
        <f>IFERROR(__xludf.DUMMYFUNCTION("""COMPUTED_VALUE"""),1257)</f>
        <v>1257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IFERROR(__xludf.DUMMYFUNCTION("""COMPUTED_VALUE"""),1220.6)</f>
        <v>1220.6</v>
      </c>
      <c r="C91" s="16">
        <f>IFERROR(__xludf.DUMMYFUNCTION("""COMPUTED_VALUE"""),45870.6458333333)</f>
        <v>45870.6458333333</v>
      </c>
      <c r="D91" s="17">
        <f>IFERROR(__xludf.DUMMYFUNCTION("""COMPUTED_VALUE"""),1258)</f>
        <v>1258</v>
      </c>
      <c r="E91" s="16">
        <f>IFERROR(__xludf.DUMMYFUNCTION("""COMPUTED_VALUE"""),45870.6458333333)</f>
        <v>45870.6458333333</v>
      </c>
      <c r="F91" s="17">
        <f>IFERROR(__xludf.DUMMYFUNCTION("""COMPUTED_VALUE"""),2525210)</f>
        <v>2525210</v>
      </c>
      <c r="G91" s="16">
        <f>IFERROR(__xludf.DUMMYFUNCTION("""COMPUTED_VALUE"""),45870.6458333333)</f>
        <v>45870.6458333333</v>
      </c>
      <c r="H91" s="17">
        <f>IFERROR(__xludf.DUMMYFUNCTION("""COMPUTED_VALUE"""),1259)</f>
        <v>1259</v>
      </c>
      <c r="I91" s="16">
        <f>IFERROR(__xludf.DUMMYFUNCTION("""COMPUTED_VALUE"""),45870.6458333333)</f>
        <v>45870.6458333333</v>
      </c>
      <c r="J91" s="17">
        <f>IFERROR(__xludf.DUMMYFUNCTION("""COMPUTED_VALUE"""),1213.7)</f>
        <v>1213.7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IFERROR(__xludf.DUMMYFUNCTION("""COMPUTED_VALUE"""),1225)</f>
        <v>1225</v>
      </c>
      <c r="C92" s="16">
        <f>IFERROR(__xludf.DUMMYFUNCTION("""COMPUTED_VALUE"""),45873.6458333333)</f>
        <v>45873.6458333333</v>
      </c>
      <c r="D92" s="17">
        <f>IFERROR(__xludf.DUMMYFUNCTION("""COMPUTED_VALUE"""),1225.1)</f>
        <v>1225.1</v>
      </c>
      <c r="E92" s="16">
        <f>IFERROR(__xludf.DUMMYFUNCTION("""COMPUTED_VALUE"""),45873.6458333333)</f>
        <v>45873.6458333333</v>
      </c>
      <c r="F92" s="17">
        <f>IFERROR(__xludf.DUMMYFUNCTION("""COMPUTED_VALUE"""),767310)</f>
        <v>767310</v>
      </c>
      <c r="G92" s="16">
        <f>IFERROR(__xludf.DUMMYFUNCTION("""COMPUTED_VALUE"""),45873.6458333333)</f>
        <v>45873.6458333333</v>
      </c>
      <c r="H92" s="17">
        <f>IFERROR(__xludf.DUMMYFUNCTION("""COMPUTED_VALUE"""),1232.2)</f>
        <v>1232.2</v>
      </c>
      <c r="I92" s="16">
        <f>IFERROR(__xludf.DUMMYFUNCTION("""COMPUTED_VALUE"""),45873.6458333333)</f>
        <v>45873.6458333333</v>
      </c>
      <c r="J92" s="17">
        <f>IFERROR(__xludf.DUMMYFUNCTION("""COMPUTED_VALUE"""),1219.2)</f>
        <v>1219.2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IFERROR(__xludf.DUMMYFUNCTION("""COMPUTED_VALUE"""),1214.8)</f>
        <v>1214.8</v>
      </c>
      <c r="C93" s="16">
        <f>IFERROR(__xludf.DUMMYFUNCTION("""COMPUTED_VALUE"""),45874.6458333333)</f>
        <v>45874.6458333333</v>
      </c>
      <c r="D93" s="17">
        <f>IFERROR(__xludf.DUMMYFUNCTION("""COMPUTED_VALUE"""),1225)</f>
        <v>1225</v>
      </c>
      <c r="E93" s="16">
        <f>IFERROR(__xludf.DUMMYFUNCTION("""COMPUTED_VALUE"""),45874.6458333333)</f>
        <v>45874.6458333333</v>
      </c>
      <c r="F93" s="17">
        <f>IFERROR(__xludf.DUMMYFUNCTION("""COMPUTED_VALUE"""),956582)</f>
        <v>956582</v>
      </c>
      <c r="G93" s="16">
        <f>IFERROR(__xludf.DUMMYFUNCTION("""COMPUTED_VALUE"""),45874.6458333333)</f>
        <v>45874.6458333333</v>
      </c>
      <c r="H93" s="17">
        <f>IFERROR(__xludf.DUMMYFUNCTION("""COMPUTED_VALUE"""),1232)</f>
        <v>1232</v>
      </c>
      <c r="I93" s="16">
        <f>IFERROR(__xludf.DUMMYFUNCTION("""COMPUTED_VALUE"""),45874.6458333333)</f>
        <v>45874.6458333333</v>
      </c>
      <c r="J93" s="17">
        <f>IFERROR(__xludf.DUMMYFUNCTION("""COMPUTED_VALUE"""),1205)</f>
        <v>1205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IFERROR(__xludf.DUMMYFUNCTION("""COMPUTED_VALUE"""),1196.7)</f>
        <v>1196.7</v>
      </c>
      <c r="C94" s="16">
        <f>IFERROR(__xludf.DUMMYFUNCTION("""COMPUTED_VALUE"""),45875.6458333333)</f>
        <v>45875.6458333333</v>
      </c>
      <c r="D94" s="17">
        <f>IFERROR(__xludf.DUMMYFUNCTION("""COMPUTED_VALUE"""),1214.8)</f>
        <v>1214.8</v>
      </c>
      <c r="E94" s="16">
        <f>IFERROR(__xludf.DUMMYFUNCTION("""COMPUTED_VALUE"""),45875.6458333333)</f>
        <v>45875.6458333333</v>
      </c>
      <c r="F94" s="17">
        <f>IFERROR(__xludf.DUMMYFUNCTION("""COMPUTED_VALUE"""),1701845)</f>
        <v>1701845</v>
      </c>
      <c r="G94" s="16">
        <f>IFERROR(__xludf.DUMMYFUNCTION("""COMPUTED_VALUE"""),45875.6458333333)</f>
        <v>45875.6458333333</v>
      </c>
      <c r="H94" s="17">
        <f>IFERROR(__xludf.DUMMYFUNCTION("""COMPUTED_VALUE"""),1217.8)</f>
        <v>1217.8</v>
      </c>
      <c r="I94" s="16">
        <f>IFERROR(__xludf.DUMMYFUNCTION("""COMPUTED_VALUE"""),45875.6458333333)</f>
        <v>45875.6458333333</v>
      </c>
      <c r="J94" s="17">
        <f>IFERROR(__xludf.DUMMYFUNCTION("""COMPUTED_VALUE"""),1187.5)</f>
        <v>1187.5</v>
      </c>
      <c r="K94" s="3">
        <f t="shared" si="2"/>
        <v>0</v>
      </c>
      <c r="L94" s="3">
        <f t="shared" si="3"/>
        <v>1196.7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IFERROR(__xludf.DUMMYFUNCTION("""COMPUTED_VALUE"""),1200.8)</f>
        <v>1200.8</v>
      </c>
      <c r="C95" s="16">
        <f>IFERROR(__xludf.DUMMYFUNCTION("""COMPUTED_VALUE"""),45876.6458333333)</f>
        <v>45876.6458333333</v>
      </c>
      <c r="D95" s="17">
        <f>IFERROR(__xludf.DUMMYFUNCTION("""COMPUTED_VALUE"""),1184)</f>
        <v>1184</v>
      </c>
      <c r="E95" s="16">
        <f>IFERROR(__xludf.DUMMYFUNCTION("""COMPUTED_VALUE"""),45876.6458333333)</f>
        <v>45876.6458333333</v>
      </c>
      <c r="F95" s="17">
        <f>IFERROR(__xludf.DUMMYFUNCTION("""COMPUTED_VALUE"""),1246560)</f>
        <v>1246560</v>
      </c>
      <c r="G95" s="16">
        <f>IFERROR(__xludf.DUMMYFUNCTION("""COMPUTED_VALUE"""),45876.6458333333)</f>
        <v>45876.6458333333</v>
      </c>
      <c r="H95" s="17">
        <f>IFERROR(__xludf.DUMMYFUNCTION("""COMPUTED_VALUE"""),1210)</f>
        <v>1210</v>
      </c>
      <c r="I95" s="16">
        <f>IFERROR(__xludf.DUMMYFUNCTION("""COMPUTED_VALUE"""),45876.6458333333)</f>
        <v>45876.6458333333</v>
      </c>
      <c r="J95" s="17">
        <f>IFERROR(__xludf.DUMMYFUNCTION("""COMPUTED_VALUE"""),1183.4)</f>
        <v>1183.4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IFERROR(__xludf.DUMMYFUNCTION("""COMPUTED_VALUE"""),1211.4)</f>
        <v>1211.4</v>
      </c>
      <c r="C96" s="16">
        <f>IFERROR(__xludf.DUMMYFUNCTION("""COMPUTED_VALUE"""),45877.6458333333)</f>
        <v>45877.6458333333</v>
      </c>
      <c r="D96" s="17">
        <f>IFERROR(__xludf.DUMMYFUNCTION("""COMPUTED_VALUE"""),1200.8)</f>
        <v>1200.8</v>
      </c>
      <c r="E96" s="16">
        <f>IFERROR(__xludf.DUMMYFUNCTION("""COMPUTED_VALUE"""),45877.6458333333)</f>
        <v>45877.6458333333</v>
      </c>
      <c r="F96" s="17">
        <f>IFERROR(__xludf.DUMMYFUNCTION("""COMPUTED_VALUE"""),2389106)</f>
        <v>2389106</v>
      </c>
      <c r="G96" s="16">
        <f>IFERROR(__xludf.DUMMYFUNCTION("""COMPUTED_VALUE"""),45877.6458333333)</f>
        <v>45877.6458333333</v>
      </c>
      <c r="H96" s="17">
        <f>IFERROR(__xludf.DUMMYFUNCTION("""COMPUTED_VALUE"""),1215)</f>
        <v>1215</v>
      </c>
      <c r="I96" s="16">
        <f>IFERROR(__xludf.DUMMYFUNCTION("""COMPUTED_VALUE"""),45877.6458333333)</f>
        <v>45877.6458333333</v>
      </c>
      <c r="J96" s="17">
        <f>IFERROR(__xludf.DUMMYFUNCTION("""COMPUTED_VALUE"""),1195.4)</f>
        <v>1195.4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IFERROR(__xludf.DUMMYFUNCTION("""COMPUTED_VALUE"""),1219.5)</f>
        <v>1219.5</v>
      </c>
      <c r="C97" s="16">
        <f>IFERROR(__xludf.DUMMYFUNCTION("""COMPUTED_VALUE"""),45880.6458333333)</f>
        <v>45880.6458333333</v>
      </c>
      <c r="D97" s="17">
        <f>IFERROR(__xludf.DUMMYFUNCTION("""COMPUTED_VALUE"""),1212.5)</f>
        <v>1212.5</v>
      </c>
      <c r="E97" s="16">
        <f>IFERROR(__xludf.DUMMYFUNCTION("""COMPUTED_VALUE"""),45880.6458333333)</f>
        <v>45880.6458333333</v>
      </c>
      <c r="F97" s="17">
        <f>IFERROR(__xludf.DUMMYFUNCTION("""COMPUTED_VALUE"""),1246374)</f>
        <v>1246374</v>
      </c>
      <c r="G97" s="16">
        <f>IFERROR(__xludf.DUMMYFUNCTION("""COMPUTED_VALUE"""),45880.6458333333)</f>
        <v>45880.6458333333</v>
      </c>
      <c r="H97" s="17">
        <f>IFERROR(__xludf.DUMMYFUNCTION("""COMPUTED_VALUE"""),1237)</f>
        <v>1237</v>
      </c>
      <c r="I97" s="16">
        <f>IFERROR(__xludf.DUMMYFUNCTION("""COMPUTED_VALUE"""),45880.6458333333)</f>
        <v>45880.6458333333</v>
      </c>
      <c r="J97" s="17">
        <f>IFERROR(__xludf.DUMMYFUNCTION("""COMPUTED_VALUE"""),1208.6)</f>
        <v>1208.6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IFERROR(__xludf.DUMMYFUNCTION("""COMPUTED_VALUE"""),1220.3)</f>
        <v>1220.3</v>
      </c>
      <c r="C98" s="16">
        <f>IFERROR(__xludf.DUMMYFUNCTION("""COMPUTED_VALUE"""),45881.6458333333)</f>
        <v>45881.6458333333</v>
      </c>
      <c r="D98" s="17">
        <f>IFERROR(__xludf.DUMMYFUNCTION("""COMPUTED_VALUE"""),1210)</f>
        <v>1210</v>
      </c>
      <c r="E98" s="16">
        <f>IFERROR(__xludf.DUMMYFUNCTION("""COMPUTED_VALUE"""),45881.6458333333)</f>
        <v>45881.6458333333</v>
      </c>
      <c r="F98" s="17">
        <f>IFERROR(__xludf.DUMMYFUNCTION("""COMPUTED_VALUE"""),922461)</f>
        <v>922461</v>
      </c>
      <c r="G98" s="16">
        <f>IFERROR(__xludf.DUMMYFUNCTION("""COMPUTED_VALUE"""),45881.6458333333)</f>
        <v>45881.6458333333</v>
      </c>
      <c r="H98" s="17">
        <f>IFERROR(__xludf.DUMMYFUNCTION("""COMPUTED_VALUE"""),1227.2)</f>
        <v>1227.2</v>
      </c>
      <c r="I98" s="16">
        <f>IFERROR(__xludf.DUMMYFUNCTION("""COMPUTED_VALUE"""),45881.6458333333)</f>
        <v>45881.6458333333</v>
      </c>
      <c r="J98" s="17">
        <f>IFERROR(__xludf.DUMMYFUNCTION("""COMPUTED_VALUE"""),1204.1)</f>
        <v>1204.1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IFERROR(__xludf.DUMMYFUNCTION("""COMPUTED_VALUE"""),1253.4)</f>
        <v>1253.4</v>
      </c>
      <c r="C99" s="16">
        <f>IFERROR(__xludf.DUMMYFUNCTION("""COMPUTED_VALUE"""),45882.6458333333)</f>
        <v>45882.6458333333</v>
      </c>
      <c r="D99" s="17">
        <f>IFERROR(__xludf.DUMMYFUNCTION("""COMPUTED_VALUE"""),1220.3)</f>
        <v>1220.3</v>
      </c>
      <c r="E99" s="16">
        <f>IFERROR(__xludf.DUMMYFUNCTION("""COMPUTED_VALUE"""),45882.6458333333)</f>
        <v>45882.6458333333</v>
      </c>
      <c r="F99" s="17">
        <f>IFERROR(__xludf.DUMMYFUNCTION("""COMPUTED_VALUE"""),1192506)</f>
        <v>1192506</v>
      </c>
      <c r="G99" s="16">
        <f>IFERROR(__xludf.DUMMYFUNCTION("""COMPUTED_VALUE"""),45882.6458333333)</f>
        <v>45882.6458333333</v>
      </c>
      <c r="H99" s="17">
        <f>IFERROR(__xludf.DUMMYFUNCTION("""COMPUTED_VALUE"""),1255.5)</f>
        <v>1255.5</v>
      </c>
      <c r="I99" s="16">
        <f>IFERROR(__xludf.DUMMYFUNCTION("""COMPUTED_VALUE"""),45882.6458333333)</f>
        <v>45882.6458333333</v>
      </c>
      <c r="J99" s="17">
        <f>IFERROR(__xludf.DUMMYFUNCTION("""COMPUTED_VALUE"""),1219.8)</f>
        <v>1219.8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IFERROR(__xludf.DUMMYFUNCTION("""COMPUTED_VALUE"""),1260.4)</f>
        <v>1260.4</v>
      </c>
      <c r="C100" s="16">
        <f>IFERROR(__xludf.DUMMYFUNCTION("""COMPUTED_VALUE"""),45883.6458333333)</f>
        <v>45883.6458333333</v>
      </c>
      <c r="D100" s="17">
        <f>IFERROR(__xludf.DUMMYFUNCTION("""COMPUTED_VALUE"""),1255.1)</f>
        <v>1255.1</v>
      </c>
      <c r="E100" s="16">
        <f>IFERROR(__xludf.DUMMYFUNCTION("""COMPUTED_VALUE"""),45883.6458333333)</f>
        <v>45883.6458333333</v>
      </c>
      <c r="F100" s="17">
        <f>IFERROR(__xludf.DUMMYFUNCTION("""COMPUTED_VALUE"""),1603933)</f>
        <v>1603933</v>
      </c>
      <c r="G100" s="16">
        <f>IFERROR(__xludf.DUMMYFUNCTION("""COMPUTED_VALUE"""),45883.6458333333)</f>
        <v>45883.6458333333</v>
      </c>
      <c r="H100" s="17">
        <f>IFERROR(__xludf.DUMMYFUNCTION("""COMPUTED_VALUE"""),1266)</f>
        <v>1266</v>
      </c>
      <c r="I100" s="16">
        <f>IFERROR(__xludf.DUMMYFUNCTION("""COMPUTED_VALUE"""),45883.6458333333)</f>
        <v>45883.6458333333</v>
      </c>
      <c r="J100" s="17">
        <f>IFERROR(__xludf.DUMMYFUNCTION("""COMPUTED_VALUE"""),1250.2)</f>
        <v>1250.2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IFERROR(__xludf.DUMMYFUNCTION("""COMPUTED_VALUE"""),1262.7)</f>
        <v>1262.7</v>
      </c>
      <c r="C101" s="16">
        <f>IFERROR(__xludf.DUMMYFUNCTION("""COMPUTED_VALUE"""),45887.6458333333)</f>
        <v>45887.6458333333</v>
      </c>
      <c r="D101" s="17">
        <f>IFERROR(__xludf.DUMMYFUNCTION("""COMPUTED_VALUE"""),1270)</f>
        <v>1270</v>
      </c>
      <c r="E101" s="16">
        <f>IFERROR(__xludf.DUMMYFUNCTION("""COMPUTED_VALUE"""),45887.6458333333)</f>
        <v>45887.6458333333</v>
      </c>
      <c r="F101" s="17">
        <f>IFERROR(__xludf.DUMMYFUNCTION("""COMPUTED_VALUE"""),1648543)</f>
        <v>1648543</v>
      </c>
      <c r="G101" s="16">
        <f>IFERROR(__xludf.DUMMYFUNCTION("""COMPUTED_VALUE"""),45887.6458333333)</f>
        <v>45887.6458333333</v>
      </c>
      <c r="H101" s="17">
        <f>IFERROR(__xludf.DUMMYFUNCTION("""COMPUTED_VALUE"""),1270.6)</f>
        <v>1270.6</v>
      </c>
      <c r="I101" s="16">
        <f>IFERROR(__xludf.DUMMYFUNCTION("""COMPUTED_VALUE"""),45887.6458333333)</f>
        <v>45887.6458333333</v>
      </c>
      <c r="J101" s="17">
        <f>IFERROR(__xludf.DUMMYFUNCTION("""COMPUTED_VALUE"""),1241.1)</f>
        <v>1241.1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IFERROR(__xludf.DUMMYFUNCTION("""COMPUTED_VALUE"""),1244.2)</f>
        <v>1244.2</v>
      </c>
      <c r="C102" s="16">
        <f>IFERROR(__xludf.DUMMYFUNCTION("""COMPUTED_VALUE"""),45888.6458333333)</f>
        <v>45888.6458333333</v>
      </c>
      <c r="D102" s="17">
        <f>IFERROR(__xludf.DUMMYFUNCTION("""COMPUTED_VALUE"""),1263)</f>
        <v>1263</v>
      </c>
      <c r="E102" s="16">
        <f>IFERROR(__xludf.DUMMYFUNCTION("""COMPUTED_VALUE"""),45888.6458333333)</f>
        <v>45888.6458333333</v>
      </c>
      <c r="F102" s="17">
        <f>IFERROR(__xludf.DUMMYFUNCTION("""COMPUTED_VALUE"""),1061816)</f>
        <v>1061816</v>
      </c>
      <c r="G102" s="16">
        <f>IFERROR(__xludf.DUMMYFUNCTION("""COMPUTED_VALUE"""),45888.6458333333)</f>
        <v>45888.6458333333</v>
      </c>
      <c r="H102" s="17">
        <f>IFERROR(__xludf.DUMMYFUNCTION("""COMPUTED_VALUE"""),1263.8)</f>
        <v>1263.8</v>
      </c>
      <c r="I102" s="16">
        <f>IFERROR(__xludf.DUMMYFUNCTION("""COMPUTED_VALUE"""),45888.6458333333)</f>
        <v>45888.6458333333</v>
      </c>
      <c r="J102" s="17">
        <f>IFERROR(__xludf.DUMMYFUNCTION("""COMPUTED_VALUE"""),1241.9)</f>
        <v>1241.9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IFERROR(__xludf.DUMMYFUNCTION("""COMPUTED_VALUE"""),1245.4)</f>
        <v>1245.4</v>
      </c>
      <c r="C103" s="16">
        <f>IFERROR(__xludf.DUMMYFUNCTION("""COMPUTED_VALUE"""),45889.6458333333)</f>
        <v>45889.6458333333</v>
      </c>
      <c r="D103" s="17">
        <f>IFERROR(__xludf.DUMMYFUNCTION("""COMPUTED_VALUE"""),1244)</f>
        <v>1244</v>
      </c>
      <c r="E103" s="16">
        <f>IFERROR(__xludf.DUMMYFUNCTION("""COMPUTED_VALUE"""),45889.6458333333)</f>
        <v>45889.6458333333</v>
      </c>
      <c r="F103" s="17">
        <f>IFERROR(__xludf.DUMMYFUNCTION("""COMPUTED_VALUE"""),685379)</f>
        <v>685379</v>
      </c>
      <c r="G103" s="16">
        <f>IFERROR(__xludf.DUMMYFUNCTION("""COMPUTED_VALUE"""),45889.6458333333)</f>
        <v>45889.6458333333</v>
      </c>
      <c r="H103" s="17">
        <f>IFERROR(__xludf.DUMMYFUNCTION("""COMPUTED_VALUE"""),1250.7)</f>
        <v>1250.7</v>
      </c>
      <c r="I103" s="16">
        <f>IFERROR(__xludf.DUMMYFUNCTION("""COMPUTED_VALUE"""),45889.6458333333)</f>
        <v>45889.6458333333</v>
      </c>
      <c r="J103" s="17">
        <f>IFERROR(__xludf.DUMMYFUNCTION("""COMPUTED_VALUE"""),1238)</f>
        <v>1238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IFERROR(__xludf.DUMMYFUNCTION("""COMPUTED_VALUE"""),1276.6)</f>
        <v>1276.6</v>
      </c>
      <c r="C104" s="16">
        <f>IFERROR(__xludf.DUMMYFUNCTION("""COMPUTED_VALUE"""),45890.6458333333)</f>
        <v>45890.6458333333</v>
      </c>
      <c r="D104" s="17">
        <f>IFERROR(__xludf.DUMMYFUNCTION("""COMPUTED_VALUE"""),1245.4)</f>
        <v>1245.4</v>
      </c>
      <c r="E104" s="16">
        <f>IFERROR(__xludf.DUMMYFUNCTION("""COMPUTED_VALUE"""),45890.6458333333)</f>
        <v>45890.6458333333</v>
      </c>
      <c r="F104" s="17">
        <f>IFERROR(__xludf.DUMMYFUNCTION("""COMPUTED_VALUE"""),2008295)</f>
        <v>2008295</v>
      </c>
      <c r="G104" s="16">
        <f>IFERROR(__xludf.DUMMYFUNCTION("""COMPUTED_VALUE"""),45890.6458333333)</f>
        <v>45890.6458333333</v>
      </c>
      <c r="H104" s="17">
        <f>IFERROR(__xludf.DUMMYFUNCTION("""COMPUTED_VALUE"""),1281.8)</f>
        <v>1281.8</v>
      </c>
      <c r="I104" s="16">
        <f>IFERROR(__xludf.DUMMYFUNCTION("""COMPUTED_VALUE"""),45890.6458333333)</f>
        <v>45890.6458333333</v>
      </c>
      <c r="J104" s="17">
        <f>IFERROR(__xludf.DUMMYFUNCTION("""COMPUTED_VALUE"""),1240.3)</f>
        <v>1240.3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IFERROR(__xludf.DUMMYFUNCTION("""COMPUTED_VALUE"""),1277.6)</f>
        <v>1277.6</v>
      </c>
      <c r="C105" s="16">
        <f>IFERROR(__xludf.DUMMYFUNCTION("""COMPUTED_VALUE"""),45891.6458333333)</f>
        <v>45891.6458333333</v>
      </c>
      <c r="D105" s="17">
        <f>IFERROR(__xludf.DUMMYFUNCTION("""COMPUTED_VALUE"""),1274.1)</f>
        <v>1274.1</v>
      </c>
      <c r="E105" s="16">
        <f>IFERROR(__xludf.DUMMYFUNCTION("""COMPUTED_VALUE"""),45891.6458333333)</f>
        <v>45891.6458333333</v>
      </c>
      <c r="F105" s="17">
        <f>IFERROR(__xludf.DUMMYFUNCTION("""COMPUTED_VALUE"""),1229920)</f>
        <v>1229920</v>
      </c>
      <c r="G105" s="16">
        <f>IFERROR(__xludf.DUMMYFUNCTION("""COMPUTED_VALUE"""),45891.6458333333)</f>
        <v>45891.6458333333</v>
      </c>
      <c r="H105" s="17">
        <f>IFERROR(__xludf.DUMMYFUNCTION("""COMPUTED_VALUE"""),1284.1)</f>
        <v>1284.1</v>
      </c>
      <c r="I105" s="16">
        <f>IFERROR(__xludf.DUMMYFUNCTION("""COMPUTED_VALUE"""),45891.6458333333)</f>
        <v>45891.6458333333</v>
      </c>
      <c r="J105" s="17">
        <f>IFERROR(__xludf.DUMMYFUNCTION("""COMPUTED_VALUE"""),1265.6)</f>
        <v>1265.6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IFERROR(__xludf.DUMMYFUNCTION("""COMPUTED_VALUE"""),1283.9)</f>
        <v>1283.9</v>
      </c>
      <c r="C106" s="16">
        <f>IFERROR(__xludf.DUMMYFUNCTION("""COMPUTED_VALUE"""),45894.6458333333)</f>
        <v>45894.6458333333</v>
      </c>
      <c r="D106" s="17">
        <f>IFERROR(__xludf.DUMMYFUNCTION("""COMPUTED_VALUE"""),1277.7)</f>
        <v>1277.7</v>
      </c>
      <c r="E106" s="16">
        <f>IFERROR(__xludf.DUMMYFUNCTION("""COMPUTED_VALUE"""),45894.6458333333)</f>
        <v>45894.6458333333</v>
      </c>
      <c r="F106" s="17">
        <f>IFERROR(__xludf.DUMMYFUNCTION("""COMPUTED_VALUE"""),967056)</f>
        <v>967056</v>
      </c>
      <c r="G106" s="16">
        <f>IFERROR(__xludf.DUMMYFUNCTION("""COMPUTED_VALUE"""),45894.6458333333)</f>
        <v>45894.6458333333</v>
      </c>
      <c r="H106" s="17">
        <f>IFERROR(__xludf.DUMMYFUNCTION("""COMPUTED_VALUE"""),1288.9)</f>
        <v>1288.9</v>
      </c>
      <c r="I106" s="16">
        <f>IFERROR(__xludf.DUMMYFUNCTION("""COMPUTED_VALUE"""),45894.6458333333)</f>
        <v>45894.6458333333</v>
      </c>
      <c r="J106" s="17">
        <f>IFERROR(__xludf.DUMMYFUNCTION("""COMPUTED_VALUE"""),1275.3)</f>
        <v>1275.3</v>
      </c>
      <c r="K106" s="3">
        <f t="shared" si="2"/>
        <v>1283.9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IFERROR(__xludf.DUMMYFUNCTION("""COMPUTED_VALUE"""),1263.2)</f>
        <v>1263.2</v>
      </c>
      <c r="C107" s="16">
        <f>IFERROR(__xludf.DUMMYFUNCTION("""COMPUTED_VALUE"""),45895.6458333333)</f>
        <v>45895.6458333333</v>
      </c>
      <c r="D107" s="17">
        <f>IFERROR(__xludf.DUMMYFUNCTION("""COMPUTED_VALUE"""),1276)</f>
        <v>1276</v>
      </c>
      <c r="E107" s="16">
        <f>IFERROR(__xludf.DUMMYFUNCTION("""COMPUTED_VALUE"""),45895.6458333333)</f>
        <v>45895.6458333333</v>
      </c>
      <c r="F107" s="17">
        <f>IFERROR(__xludf.DUMMYFUNCTION("""COMPUTED_VALUE"""),2798216)</f>
        <v>2798216</v>
      </c>
      <c r="G107" s="16">
        <f>IFERROR(__xludf.DUMMYFUNCTION("""COMPUTED_VALUE"""),45895.6458333333)</f>
        <v>45895.6458333333</v>
      </c>
      <c r="H107" s="17">
        <f>IFERROR(__xludf.DUMMYFUNCTION("""COMPUTED_VALUE"""),1279.6)</f>
        <v>1279.6</v>
      </c>
      <c r="I107" s="16">
        <f>IFERROR(__xludf.DUMMYFUNCTION("""COMPUTED_VALUE"""),45895.6458333333)</f>
        <v>45895.6458333333</v>
      </c>
      <c r="J107" s="17">
        <f>IFERROR(__xludf.DUMMYFUNCTION("""COMPUTED_VALUE"""),1259)</f>
        <v>1259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IFERROR(__xludf.DUMMYFUNCTION("""COMPUTED_VALUE"""),1259.8)</f>
        <v>1259.8</v>
      </c>
      <c r="C108" s="16">
        <f>IFERROR(__xludf.DUMMYFUNCTION("""COMPUTED_VALUE"""),45897.6458333333)</f>
        <v>45897.6458333333</v>
      </c>
      <c r="D108" s="17">
        <f>IFERROR(__xludf.DUMMYFUNCTION("""COMPUTED_VALUE"""),1263.2)</f>
        <v>1263.2</v>
      </c>
      <c r="E108" s="16">
        <f>IFERROR(__xludf.DUMMYFUNCTION("""COMPUTED_VALUE"""),45897.6458333333)</f>
        <v>45897.6458333333</v>
      </c>
      <c r="F108" s="17">
        <f>IFERROR(__xludf.DUMMYFUNCTION("""COMPUTED_VALUE"""),1827890)</f>
        <v>1827890</v>
      </c>
      <c r="G108" s="16">
        <f>IFERROR(__xludf.DUMMYFUNCTION("""COMPUTED_VALUE"""),45897.6458333333)</f>
        <v>45897.6458333333</v>
      </c>
      <c r="H108" s="17">
        <f>IFERROR(__xludf.DUMMYFUNCTION("""COMPUTED_VALUE"""),1267.4)</f>
        <v>1267.4</v>
      </c>
      <c r="I108" s="16">
        <f>IFERROR(__xludf.DUMMYFUNCTION("""COMPUTED_VALUE"""),45897.6458333333)</f>
        <v>45897.6458333333</v>
      </c>
      <c r="J108" s="17">
        <f>IFERROR(__xludf.DUMMYFUNCTION("""COMPUTED_VALUE"""),1248.5)</f>
        <v>1248.5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IFERROR(__xludf.DUMMYFUNCTION("""COMPUTED_VALUE"""),1260.1)</f>
        <v>1260.1</v>
      </c>
      <c r="C109" s="16">
        <f>IFERROR(__xludf.DUMMYFUNCTION("""COMPUTED_VALUE"""),45898.6458333333)</f>
        <v>45898.6458333333</v>
      </c>
      <c r="D109" s="17">
        <f>IFERROR(__xludf.DUMMYFUNCTION("""COMPUTED_VALUE"""),1259)</f>
        <v>1259</v>
      </c>
      <c r="E109" s="16">
        <f>IFERROR(__xludf.DUMMYFUNCTION("""COMPUTED_VALUE"""),45898.6458333333)</f>
        <v>45898.6458333333</v>
      </c>
      <c r="F109" s="17">
        <f>IFERROR(__xludf.DUMMYFUNCTION("""COMPUTED_VALUE"""),2422956)</f>
        <v>2422956</v>
      </c>
      <c r="G109" s="16">
        <f>IFERROR(__xludf.DUMMYFUNCTION("""COMPUTED_VALUE"""),45898.6458333333)</f>
        <v>45898.6458333333</v>
      </c>
      <c r="H109" s="17">
        <f>IFERROR(__xludf.DUMMYFUNCTION("""COMPUTED_VALUE"""),1266.4)</f>
        <v>1266.4</v>
      </c>
      <c r="I109" s="16">
        <f>IFERROR(__xludf.DUMMYFUNCTION("""COMPUTED_VALUE"""),45898.6458333333)</f>
        <v>45898.6458333333</v>
      </c>
      <c r="J109" s="17">
        <f>IFERROR(__xludf.DUMMYFUNCTION("""COMPUTED_VALUE"""),1240.8)</f>
        <v>1240.8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IFERROR(__xludf.DUMMYFUNCTION("""COMPUTED_VALUE"""),1279.9)</f>
        <v>1279.9</v>
      </c>
      <c r="C110" s="16">
        <f>IFERROR(__xludf.DUMMYFUNCTION("""COMPUTED_VALUE"""),45901.6458333333)</f>
        <v>45901.6458333333</v>
      </c>
      <c r="D110" s="17">
        <f>IFERROR(__xludf.DUMMYFUNCTION("""COMPUTED_VALUE"""),1260.1)</f>
        <v>1260.1</v>
      </c>
      <c r="E110" s="16">
        <f>IFERROR(__xludf.DUMMYFUNCTION("""COMPUTED_VALUE"""),45901.6458333333)</f>
        <v>45901.6458333333</v>
      </c>
      <c r="F110" s="17">
        <f>IFERROR(__xludf.DUMMYFUNCTION("""COMPUTED_VALUE"""),1273903)</f>
        <v>1273903</v>
      </c>
      <c r="G110" s="16">
        <f>IFERROR(__xludf.DUMMYFUNCTION("""COMPUTED_VALUE"""),45901.6458333333)</f>
        <v>45901.6458333333</v>
      </c>
      <c r="H110" s="17">
        <f>IFERROR(__xludf.DUMMYFUNCTION("""COMPUTED_VALUE"""),1285)</f>
        <v>1285</v>
      </c>
      <c r="I110" s="16">
        <f>IFERROR(__xludf.DUMMYFUNCTION("""COMPUTED_VALUE"""),45901.6458333333)</f>
        <v>45901.6458333333</v>
      </c>
      <c r="J110" s="17">
        <f>IFERROR(__xludf.DUMMYFUNCTION("""COMPUTED_VALUE"""),1260.1)</f>
        <v>1260.1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IFERROR(__xludf.DUMMYFUNCTION("""COMPUTED_VALUE"""),1253.7)</f>
        <v>1253.7</v>
      </c>
      <c r="C111" s="16">
        <f>IFERROR(__xludf.DUMMYFUNCTION("""COMPUTED_VALUE"""),45902.6458333333)</f>
        <v>45902.6458333333</v>
      </c>
      <c r="D111" s="17">
        <f>IFERROR(__xludf.DUMMYFUNCTION("""COMPUTED_VALUE"""),1279.9)</f>
        <v>1279.9</v>
      </c>
      <c r="E111" s="16">
        <f>IFERROR(__xludf.DUMMYFUNCTION("""COMPUTED_VALUE"""),45902.6458333333)</f>
        <v>45902.6458333333</v>
      </c>
      <c r="F111" s="17">
        <f>IFERROR(__xludf.DUMMYFUNCTION("""COMPUTED_VALUE"""),1632660)</f>
        <v>1632660</v>
      </c>
      <c r="G111" s="16">
        <f>IFERROR(__xludf.DUMMYFUNCTION("""COMPUTED_VALUE"""),45902.6458333333)</f>
        <v>45902.6458333333</v>
      </c>
      <c r="H111" s="17">
        <f>IFERROR(__xludf.DUMMYFUNCTION("""COMPUTED_VALUE"""),1283.4)</f>
        <v>1283.4</v>
      </c>
      <c r="I111" s="16">
        <f>IFERROR(__xludf.DUMMYFUNCTION("""COMPUTED_VALUE"""),45902.6458333333)</f>
        <v>45902.6458333333</v>
      </c>
      <c r="J111" s="17">
        <f>IFERROR(__xludf.DUMMYFUNCTION("""COMPUTED_VALUE"""),1248)</f>
        <v>1248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IFERROR(__xludf.DUMMYFUNCTION("""COMPUTED_VALUE"""),1262.2)</f>
        <v>1262.2</v>
      </c>
      <c r="C112" s="16">
        <f>IFERROR(__xludf.DUMMYFUNCTION("""COMPUTED_VALUE"""),45903.6458333333)</f>
        <v>45903.6458333333</v>
      </c>
      <c r="D112" s="17">
        <f>IFERROR(__xludf.DUMMYFUNCTION("""COMPUTED_VALUE"""),1250)</f>
        <v>1250</v>
      </c>
      <c r="E112" s="16">
        <f>IFERROR(__xludf.DUMMYFUNCTION("""COMPUTED_VALUE"""),45903.6458333333)</f>
        <v>45903.6458333333</v>
      </c>
      <c r="F112" s="17">
        <f>IFERROR(__xludf.DUMMYFUNCTION("""COMPUTED_VALUE"""),1294925)</f>
        <v>1294925</v>
      </c>
      <c r="G112" s="16">
        <f>IFERROR(__xludf.DUMMYFUNCTION("""COMPUTED_VALUE"""),45903.6458333333)</f>
        <v>45903.6458333333</v>
      </c>
      <c r="H112" s="17">
        <f>IFERROR(__xludf.DUMMYFUNCTION("""COMPUTED_VALUE"""),1265.9)</f>
        <v>1265.9</v>
      </c>
      <c r="I112" s="16">
        <f>IFERROR(__xludf.DUMMYFUNCTION("""COMPUTED_VALUE"""),45903.6458333333)</f>
        <v>45903.6458333333</v>
      </c>
      <c r="J112" s="17">
        <f>IFERROR(__xludf.DUMMYFUNCTION("""COMPUTED_VALUE"""),1247.6)</f>
        <v>1247.6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IFERROR(__xludf.DUMMYFUNCTION("""COMPUTED_VALUE"""),1253)</f>
        <v>1253</v>
      </c>
      <c r="C113" s="16">
        <f>IFERROR(__xludf.DUMMYFUNCTION("""COMPUTED_VALUE"""),45904.6458333333)</f>
        <v>45904.6458333333</v>
      </c>
      <c r="D113" s="17">
        <f>IFERROR(__xludf.DUMMYFUNCTION("""COMPUTED_VALUE"""),1268)</f>
        <v>1268</v>
      </c>
      <c r="E113" s="16">
        <f>IFERROR(__xludf.DUMMYFUNCTION("""COMPUTED_VALUE"""),45904.6458333333)</f>
        <v>45904.6458333333</v>
      </c>
      <c r="F113" s="17">
        <f>IFERROR(__xludf.DUMMYFUNCTION("""COMPUTED_VALUE"""),1230934)</f>
        <v>1230934</v>
      </c>
      <c r="G113" s="16">
        <f>IFERROR(__xludf.DUMMYFUNCTION("""COMPUTED_VALUE"""),45904.6458333333)</f>
        <v>45904.6458333333</v>
      </c>
      <c r="H113" s="17">
        <f>IFERROR(__xludf.DUMMYFUNCTION("""COMPUTED_VALUE"""),1274.7)</f>
        <v>1274.7</v>
      </c>
      <c r="I113" s="16">
        <f>IFERROR(__xludf.DUMMYFUNCTION("""COMPUTED_VALUE"""),45904.6458333333)</f>
        <v>45904.6458333333</v>
      </c>
      <c r="J113" s="17">
        <f>IFERROR(__xludf.DUMMYFUNCTION("""COMPUTED_VALUE"""),1249)</f>
        <v>1249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IFERROR(__xludf.DUMMYFUNCTION("""COMPUTED_VALUE"""),1268.1)</f>
        <v>1268.1</v>
      </c>
      <c r="C114" s="16">
        <f>IFERROR(__xludf.DUMMYFUNCTION("""COMPUTED_VALUE"""),45905.6458333333)</f>
        <v>45905.6458333333</v>
      </c>
      <c r="D114" s="17">
        <f>IFERROR(__xludf.DUMMYFUNCTION("""COMPUTED_VALUE"""),1254.3)</f>
        <v>1254.3</v>
      </c>
      <c r="E114" s="16">
        <f>IFERROR(__xludf.DUMMYFUNCTION("""COMPUTED_VALUE"""),45905.6458333333)</f>
        <v>45905.6458333333</v>
      </c>
      <c r="F114" s="17">
        <f>IFERROR(__xludf.DUMMYFUNCTION("""COMPUTED_VALUE"""),769861)</f>
        <v>769861</v>
      </c>
      <c r="G114" s="16">
        <f>IFERROR(__xludf.DUMMYFUNCTION("""COMPUTED_VALUE"""),45905.6458333333)</f>
        <v>45905.6458333333</v>
      </c>
      <c r="H114" s="17">
        <f>IFERROR(__xludf.DUMMYFUNCTION("""COMPUTED_VALUE"""),1271.7)</f>
        <v>1271.7</v>
      </c>
      <c r="I114" s="16">
        <f>IFERROR(__xludf.DUMMYFUNCTION("""COMPUTED_VALUE"""),45905.6458333333)</f>
        <v>45905.6458333333</v>
      </c>
      <c r="J114" s="17">
        <f>IFERROR(__xludf.DUMMYFUNCTION("""COMPUTED_VALUE"""),1253.6)</f>
        <v>1253.6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IFERROR(__xludf.DUMMYFUNCTION("""COMPUTED_VALUE"""),1250.6)</f>
        <v>1250.6</v>
      </c>
      <c r="C115" s="16">
        <f>IFERROR(__xludf.DUMMYFUNCTION("""COMPUTED_VALUE"""),45908.6458333333)</f>
        <v>45908.6458333333</v>
      </c>
      <c r="D115" s="17">
        <f>IFERROR(__xludf.DUMMYFUNCTION("""COMPUTED_VALUE"""),1269)</f>
        <v>1269</v>
      </c>
      <c r="E115" s="16">
        <f>IFERROR(__xludf.DUMMYFUNCTION("""COMPUTED_VALUE"""),45908.6458333333)</f>
        <v>45908.6458333333</v>
      </c>
      <c r="F115" s="17">
        <f>IFERROR(__xludf.DUMMYFUNCTION("""COMPUTED_VALUE"""),969297)</f>
        <v>969297</v>
      </c>
      <c r="G115" s="16">
        <f>IFERROR(__xludf.DUMMYFUNCTION("""COMPUTED_VALUE"""),45908.6458333333)</f>
        <v>45908.6458333333</v>
      </c>
      <c r="H115" s="17">
        <f>IFERROR(__xludf.DUMMYFUNCTION("""COMPUTED_VALUE"""),1277)</f>
        <v>1277</v>
      </c>
      <c r="I115" s="16">
        <f>IFERROR(__xludf.DUMMYFUNCTION("""COMPUTED_VALUE"""),45908.6458333333)</f>
        <v>45908.6458333333</v>
      </c>
      <c r="J115" s="17">
        <f>IFERROR(__xludf.DUMMYFUNCTION("""COMPUTED_VALUE"""),1248.7)</f>
        <v>1248.7</v>
      </c>
      <c r="K115" s="3">
        <f t="shared" si="2"/>
        <v>0</v>
      </c>
      <c r="L115" s="3">
        <f t="shared" si="3"/>
        <v>1250.6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IFERROR(__xludf.DUMMYFUNCTION("""COMPUTED_VALUE"""),1291.3)</f>
        <v>1291.3</v>
      </c>
      <c r="C116" s="16">
        <f>IFERROR(__xludf.DUMMYFUNCTION("""COMPUTED_VALUE"""),45909.6458333333)</f>
        <v>45909.6458333333</v>
      </c>
      <c r="D116" s="17">
        <f>IFERROR(__xludf.DUMMYFUNCTION("""COMPUTED_VALUE"""),1257.5)</f>
        <v>1257.5</v>
      </c>
      <c r="E116" s="16">
        <f>IFERROR(__xludf.DUMMYFUNCTION("""COMPUTED_VALUE"""),45909.6458333333)</f>
        <v>45909.6458333333</v>
      </c>
      <c r="F116" s="17">
        <f>IFERROR(__xludf.DUMMYFUNCTION("""COMPUTED_VALUE"""),1643726)</f>
        <v>1643726</v>
      </c>
      <c r="G116" s="16">
        <f>IFERROR(__xludf.DUMMYFUNCTION("""COMPUTED_VALUE"""),45909.6458333333)</f>
        <v>45909.6458333333</v>
      </c>
      <c r="H116" s="17">
        <f>IFERROR(__xludf.DUMMYFUNCTION("""COMPUTED_VALUE"""),1295.8)</f>
        <v>1295.8</v>
      </c>
      <c r="I116" s="16">
        <f>IFERROR(__xludf.DUMMYFUNCTION("""COMPUTED_VALUE"""),45909.6458333333)</f>
        <v>45909.6458333333</v>
      </c>
      <c r="J116" s="17">
        <f>IFERROR(__xludf.DUMMYFUNCTION("""COMPUTED_VALUE"""),1256.8)</f>
        <v>1256.8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IFERROR(__xludf.DUMMYFUNCTION("""COMPUTED_VALUE"""),1304.2)</f>
        <v>1304.2</v>
      </c>
      <c r="C117" s="16">
        <f>IFERROR(__xludf.DUMMYFUNCTION("""COMPUTED_VALUE"""),45910.6458333333)</f>
        <v>45910.6458333333</v>
      </c>
      <c r="D117" s="17">
        <f>IFERROR(__xludf.DUMMYFUNCTION("""COMPUTED_VALUE"""),1294.4)</f>
        <v>1294.4</v>
      </c>
      <c r="E117" s="16">
        <f>IFERROR(__xludf.DUMMYFUNCTION("""COMPUTED_VALUE"""),45910.6458333333)</f>
        <v>45910.6458333333</v>
      </c>
      <c r="F117" s="17">
        <f>IFERROR(__xludf.DUMMYFUNCTION("""COMPUTED_VALUE"""),1232984)</f>
        <v>1232984</v>
      </c>
      <c r="G117" s="16">
        <f>IFERROR(__xludf.DUMMYFUNCTION("""COMPUTED_VALUE"""),45910.6458333333)</f>
        <v>45910.6458333333</v>
      </c>
      <c r="H117" s="17">
        <f>IFERROR(__xludf.DUMMYFUNCTION("""COMPUTED_VALUE"""),1310)</f>
        <v>1310</v>
      </c>
      <c r="I117" s="16">
        <f>IFERROR(__xludf.DUMMYFUNCTION("""COMPUTED_VALUE"""),45910.6458333333)</f>
        <v>45910.6458333333</v>
      </c>
      <c r="J117" s="17">
        <f>IFERROR(__xludf.DUMMYFUNCTION("""COMPUTED_VALUE"""),1293.7)</f>
        <v>1293.7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IFERROR(__xludf.DUMMYFUNCTION("""COMPUTED_VALUE"""),1303.1)</f>
        <v>1303.1</v>
      </c>
      <c r="C118" s="16">
        <f>IFERROR(__xludf.DUMMYFUNCTION("""COMPUTED_VALUE"""),45911.6458333333)</f>
        <v>45911.6458333333</v>
      </c>
      <c r="D118" s="17">
        <f>IFERROR(__xludf.DUMMYFUNCTION("""COMPUTED_VALUE"""),1304)</f>
        <v>1304</v>
      </c>
      <c r="E118" s="16">
        <f>IFERROR(__xludf.DUMMYFUNCTION("""COMPUTED_VALUE"""),45911.6458333333)</f>
        <v>45911.6458333333</v>
      </c>
      <c r="F118" s="17">
        <f>IFERROR(__xludf.DUMMYFUNCTION("""COMPUTED_VALUE"""),1349391)</f>
        <v>1349391</v>
      </c>
      <c r="G118" s="16">
        <f>IFERROR(__xludf.DUMMYFUNCTION("""COMPUTED_VALUE"""),45911.6458333333)</f>
        <v>45911.6458333333</v>
      </c>
      <c r="H118" s="17">
        <f>IFERROR(__xludf.DUMMYFUNCTION("""COMPUTED_VALUE"""),1311)</f>
        <v>1311</v>
      </c>
      <c r="I118" s="16">
        <f>IFERROR(__xludf.DUMMYFUNCTION("""COMPUTED_VALUE"""),45911.6458333333)</f>
        <v>45911.6458333333</v>
      </c>
      <c r="J118" s="17">
        <f>IFERROR(__xludf.DUMMYFUNCTION("""COMPUTED_VALUE"""),1283)</f>
        <v>1283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IFERROR(__xludf.DUMMYFUNCTION("""COMPUTED_VALUE"""),1316.7)</f>
        <v>1316.7</v>
      </c>
      <c r="C119" s="16">
        <f>IFERROR(__xludf.DUMMYFUNCTION("""COMPUTED_VALUE"""),45912.6458333333)</f>
        <v>45912.6458333333</v>
      </c>
      <c r="D119" s="17">
        <f>IFERROR(__xludf.DUMMYFUNCTION("""COMPUTED_VALUE"""),1303.1)</f>
        <v>1303.1</v>
      </c>
      <c r="E119" s="16">
        <f>IFERROR(__xludf.DUMMYFUNCTION("""COMPUTED_VALUE"""),45912.6458333333)</f>
        <v>45912.6458333333</v>
      </c>
      <c r="F119" s="17">
        <f>IFERROR(__xludf.DUMMYFUNCTION("""COMPUTED_VALUE"""),1042942)</f>
        <v>1042942</v>
      </c>
      <c r="G119" s="16">
        <f>IFERROR(__xludf.DUMMYFUNCTION("""COMPUTED_VALUE"""),45912.6458333333)</f>
        <v>45912.6458333333</v>
      </c>
      <c r="H119" s="17">
        <f>IFERROR(__xludf.DUMMYFUNCTION("""COMPUTED_VALUE"""),1321)</f>
        <v>1321</v>
      </c>
      <c r="I119" s="16">
        <f>IFERROR(__xludf.DUMMYFUNCTION("""COMPUTED_VALUE"""),45912.6458333333)</f>
        <v>45912.6458333333</v>
      </c>
      <c r="J119" s="17">
        <f>IFERROR(__xludf.DUMMYFUNCTION("""COMPUTED_VALUE"""),1302.8)</f>
        <v>1302.8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IFERROR(__xludf.DUMMYFUNCTION("""COMPUTED_VALUE"""),1300.8)</f>
        <v>1300.8</v>
      </c>
      <c r="C120" s="16">
        <f>IFERROR(__xludf.DUMMYFUNCTION("""COMPUTED_VALUE"""),45915.6458333333)</f>
        <v>45915.6458333333</v>
      </c>
      <c r="D120" s="17">
        <f>IFERROR(__xludf.DUMMYFUNCTION("""COMPUTED_VALUE"""),1308.9)</f>
        <v>1308.9</v>
      </c>
      <c r="E120" s="16">
        <f>IFERROR(__xludf.DUMMYFUNCTION("""COMPUTED_VALUE"""),45915.6458333333)</f>
        <v>45915.6458333333</v>
      </c>
      <c r="F120" s="17">
        <f>IFERROR(__xludf.DUMMYFUNCTION("""COMPUTED_VALUE"""),1331182)</f>
        <v>1331182</v>
      </c>
      <c r="G120" s="16">
        <f>IFERROR(__xludf.DUMMYFUNCTION("""COMPUTED_VALUE"""),45915.6458333333)</f>
        <v>45915.6458333333</v>
      </c>
      <c r="H120" s="17">
        <f>IFERROR(__xludf.DUMMYFUNCTION("""COMPUTED_VALUE"""),1311.8)</f>
        <v>1311.8</v>
      </c>
      <c r="I120" s="16">
        <f>IFERROR(__xludf.DUMMYFUNCTION("""COMPUTED_VALUE"""),45915.6458333333)</f>
        <v>45915.6458333333</v>
      </c>
      <c r="J120" s="17">
        <f>IFERROR(__xludf.DUMMYFUNCTION("""COMPUTED_VALUE"""),1292.5)</f>
        <v>1292.5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IFERROR(__xludf.DUMMYFUNCTION("""COMPUTED_VALUE"""),1310.4)</f>
        <v>1310.4</v>
      </c>
      <c r="C121" s="16">
        <f>IFERROR(__xludf.DUMMYFUNCTION("""COMPUTED_VALUE"""),45916.6458333333)</f>
        <v>45916.6458333333</v>
      </c>
      <c r="D121" s="17">
        <f>IFERROR(__xludf.DUMMYFUNCTION("""COMPUTED_VALUE"""),1300)</f>
        <v>1300</v>
      </c>
      <c r="E121" s="16">
        <f>IFERROR(__xludf.DUMMYFUNCTION("""COMPUTED_VALUE"""),45916.6458333333)</f>
        <v>45916.6458333333</v>
      </c>
      <c r="F121" s="17">
        <f>IFERROR(__xludf.DUMMYFUNCTION("""COMPUTED_VALUE"""),1034369)</f>
        <v>1034369</v>
      </c>
      <c r="G121" s="16">
        <f>IFERROR(__xludf.DUMMYFUNCTION("""COMPUTED_VALUE"""),45916.6458333333)</f>
        <v>45916.6458333333</v>
      </c>
      <c r="H121" s="17">
        <f>IFERROR(__xludf.DUMMYFUNCTION("""COMPUTED_VALUE"""),1312.5)</f>
        <v>1312.5</v>
      </c>
      <c r="I121" s="16">
        <f>IFERROR(__xludf.DUMMYFUNCTION("""COMPUTED_VALUE"""),45916.6458333333)</f>
        <v>45916.6458333333</v>
      </c>
      <c r="J121" s="17">
        <f>IFERROR(__xludf.DUMMYFUNCTION("""COMPUTED_VALUE"""),1296.4)</f>
        <v>1296.4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IFERROR(__xludf.DUMMYFUNCTION("""COMPUTED_VALUE"""),1311.4)</f>
        <v>1311.4</v>
      </c>
      <c r="C122" s="16">
        <f>IFERROR(__xludf.DUMMYFUNCTION("""COMPUTED_VALUE"""),45917.6458333333)</f>
        <v>45917.6458333333</v>
      </c>
      <c r="D122" s="17">
        <f>IFERROR(__xludf.DUMMYFUNCTION("""COMPUTED_VALUE"""),1317)</f>
        <v>1317</v>
      </c>
      <c r="E122" s="16">
        <f>IFERROR(__xludf.DUMMYFUNCTION("""COMPUTED_VALUE"""),45917.6458333333)</f>
        <v>45917.6458333333</v>
      </c>
      <c r="F122" s="17">
        <f>IFERROR(__xludf.DUMMYFUNCTION("""COMPUTED_VALUE"""),716840)</f>
        <v>716840</v>
      </c>
      <c r="G122" s="16">
        <f>IFERROR(__xludf.DUMMYFUNCTION("""COMPUTED_VALUE"""),45917.6458333333)</f>
        <v>45917.6458333333</v>
      </c>
      <c r="H122" s="17">
        <f>IFERROR(__xludf.DUMMYFUNCTION("""COMPUTED_VALUE"""),1318.2)</f>
        <v>1318.2</v>
      </c>
      <c r="I122" s="16">
        <f>IFERROR(__xludf.DUMMYFUNCTION("""COMPUTED_VALUE"""),45917.6458333333)</f>
        <v>45917.6458333333</v>
      </c>
      <c r="J122" s="17">
        <f>IFERROR(__xludf.DUMMYFUNCTION("""COMPUTED_VALUE"""),1305.2)</f>
        <v>1305.2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IFERROR(__xludf.DUMMYFUNCTION("""COMPUTED_VALUE"""),1322.7)</f>
        <v>1322.7</v>
      </c>
      <c r="C123" s="16">
        <f>IFERROR(__xludf.DUMMYFUNCTION("""COMPUTED_VALUE"""),45918.6458333333)</f>
        <v>45918.6458333333</v>
      </c>
      <c r="D123" s="17">
        <f>IFERROR(__xludf.DUMMYFUNCTION("""COMPUTED_VALUE"""),1312.1)</f>
        <v>1312.1</v>
      </c>
      <c r="E123" s="16">
        <f>IFERROR(__xludf.DUMMYFUNCTION("""COMPUTED_VALUE"""),45918.6458333333)</f>
        <v>45918.6458333333</v>
      </c>
      <c r="F123" s="17">
        <f>IFERROR(__xludf.DUMMYFUNCTION("""COMPUTED_VALUE"""),822010)</f>
        <v>822010</v>
      </c>
      <c r="G123" s="16">
        <f>IFERROR(__xludf.DUMMYFUNCTION("""COMPUTED_VALUE"""),45918.6458333333)</f>
        <v>45918.6458333333</v>
      </c>
      <c r="H123" s="17">
        <f>IFERROR(__xludf.DUMMYFUNCTION("""COMPUTED_VALUE"""),1325.8)</f>
        <v>1325.8</v>
      </c>
      <c r="I123" s="16">
        <f>IFERROR(__xludf.DUMMYFUNCTION("""COMPUTED_VALUE"""),45918.6458333333)</f>
        <v>45918.6458333333</v>
      </c>
      <c r="J123" s="17">
        <f>IFERROR(__xludf.DUMMYFUNCTION("""COMPUTED_VALUE"""),1305.7)</f>
        <v>1305.7</v>
      </c>
      <c r="K123" s="3">
        <f t="shared" si="2"/>
        <v>1322.7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IFERROR(__xludf.DUMMYFUNCTION("""COMPUTED_VALUE"""),1321.7)</f>
        <v>1321.7</v>
      </c>
      <c r="C124" s="16">
        <f>IFERROR(__xludf.DUMMYFUNCTION("""COMPUTED_VALUE"""),45919.6458333333)</f>
        <v>45919.6458333333</v>
      </c>
      <c r="D124" s="17">
        <f>IFERROR(__xludf.DUMMYFUNCTION("""COMPUTED_VALUE"""),1324.7)</f>
        <v>1324.7</v>
      </c>
      <c r="E124" s="16">
        <f>IFERROR(__xludf.DUMMYFUNCTION("""COMPUTED_VALUE"""),45919.6458333333)</f>
        <v>45919.6458333333</v>
      </c>
      <c r="F124" s="17">
        <f>IFERROR(__xludf.DUMMYFUNCTION("""COMPUTED_VALUE"""),1409571)</f>
        <v>1409571</v>
      </c>
      <c r="G124" s="16">
        <f>IFERROR(__xludf.DUMMYFUNCTION("""COMPUTED_VALUE"""),45919.6458333333)</f>
        <v>45919.6458333333</v>
      </c>
      <c r="H124" s="17">
        <f>IFERROR(__xludf.DUMMYFUNCTION("""COMPUTED_VALUE"""),1326.8)</f>
        <v>1326.8</v>
      </c>
      <c r="I124" s="16">
        <f>IFERROR(__xludf.DUMMYFUNCTION("""COMPUTED_VALUE"""),45919.6458333333)</f>
        <v>45919.6458333333</v>
      </c>
      <c r="J124" s="17">
        <f>IFERROR(__xludf.DUMMYFUNCTION("""COMPUTED_VALUE"""),1312)</f>
        <v>1312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IFERROR(__xludf.DUMMYFUNCTION("""COMPUTED_VALUE"""),1301.4)</f>
        <v>1301.4</v>
      </c>
      <c r="C125" s="16">
        <f>IFERROR(__xludf.DUMMYFUNCTION("""COMPUTED_VALUE"""),45922.6458333333)</f>
        <v>45922.6458333333</v>
      </c>
      <c r="D125" s="17">
        <f>IFERROR(__xludf.DUMMYFUNCTION("""COMPUTED_VALUE"""),1320.9)</f>
        <v>1320.9</v>
      </c>
      <c r="E125" s="16">
        <f>IFERROR(__xludf.DUMMYFUNCTION("""COMPUTED_VALUE"""),45922.6458333333)</f>
        <v>45922.6458333333</v>
      </c>
      <c r="F125" s="17">
        <f>IFERROR(__xludf.DUMMYFUNCTION("""COMPUTED_VALUE"""),1399531)</f>
        <v>1399531</v>
      </c>
      <c r="G125" s="16">
        <f>IFERROR(__xludf.DUMMYFUNCTION("""COMPUTED_VALUE"""),45922.6458333333)</f>
        <v>45922.6458333333</v>
      </c>
      <c r="H125" s="17">
        <f>IFERROR(__xludf.DUMMYFUNCTION("""COMPUTED_VALUE"""),1320.9)</f>
        <v>1320.9</v>
      </c>
      <c r="I125" s="16">
        <f>IFERROR(__xludf.DUMMYFUNCTION("""COMPUTED_VALUE"""),45922.6458333333)</f>
        <v>45922.6458333333</v>
      </c>
      <c r="J125" s="17">
        <f>IFERROR(__xludf.DUMMYFUNCTION("""COMPUTED_VALUE"""),1293.5)</f>
        <v>1293.5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IFERROR(__xludf.DUMMYFUNCTION("""COMPUTED_VALUE"""),1308.4)</f>
        <v>1308.4</v>
      </c>
      <c r="C126" s="16">
        <f>IFERROR(__xludf.DUMMYFUNCTION("""COMPUTED_VALUE"""),45923.6458333333)</f>
        <v>45923.6458333333</v>
      </c>
      <c r="D126" s="17">
        <f>IFERROR(__xludf.DUMMYFUNCTION("""COMPUTED_VALUE"""),1300)</f>
        <v>1300</v>
      </c>
      <c r="E126" s="16">
        <f>IFERROR(__xludf.DUMMYFUNCTION("""COMPUTED_VALUE"""),45923.6458333333)</f>
        <v>45923.6458333333</v>
      </c>
      <c r="F126" s="17">
        <f>IFERROR(__xludf.DUMMYFUNCTION("""COMPUTED_VALUE"""),1271238)</f>
        <v>1271238</v>
      </c>
      <c r="G126" s="16">
        <f>IFERROR(__xludf.DUMMYFUNCTION("""COMPUTED_VALUE"""),45923.6458333333)</f>
        <v>45923.6458333333</v>
      </c>
      <c r="H126" s="17">
        <f>IFERROR(__xludf.DUMMYFUNCTION("""COMPUTED_VALUE"""),1311.9)</f>
        <v>1311.9</v>
      </c>
      <c r="I126" s="16">
        <f>IFERROR(__xludf.DUMMYFUNCTION("""COMPUTED_VALUE"""),45923.6458333333)</f>
        <v>45923.6458333333</v>
      </c>
      <c r="J126" s="17">
        <f>IFERROR(__xludf.DUMMYFUNCTION("""COMPUTED_VALUE"""),1295.2)</f>
        <v>1295.2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IFERROR(__xludf.DUMMYFUNCTION("""COMPUTED_VALUE"""),1298.1)</f>
        <v>1298.1</v>
      </c>
      <c r="C127" s="16">
        <f>IFERROR(__xludf.DUMMYFUNCTION("""COMPUTED_VALUE"""),45924.6458333333)</f>
        <v>45924.6458333333</v>
      </c>
      <c r="D127" s="17">
        <f>IFERROR(__xludf.DUMMYFUNCTION("""COMPUTED_VALUE"""),1303.3)</f>
        <v>1303.3</v>
      </c>
      <c r="E127" s="16">
        <f>IFERROR(__xludf.DUMMYFUNCTION("""COMPUTED_VALUE"""),45924.6458333333)</f>
        <v>45924.6458333333</v>
      </c>
      <c r="F127" s="17">
        <f>IFERROR(__xludf.DUMMYFUNCTION("""COMPUTED_VALUE"""),750456)</f>
        <v>750456</v>
      </c>
      <c r="G127" s="16">
        <f>IFERROR(__xludf.DUMMYFUNCTION("""COMPUTED_VALUE"""),45924.6458333333)</f>
        <v>45924.6458333333</v>
      </c>
      <c r="H127" s="17">
        <f>IFERROR(__xludf.DUMMYFUNCTION("""COMPUTED_VALUE"""),1308.3)</f>
        <v>1308.3</v>
      </c>
      <c r="I127" s="16">
        <f>IFERROR(__xludf.DUMMYFUNCTION("""COMPUTED_VALUE"""),45924.6458333333)</f>
        <v>45924.6458333333</v>
      </c>
      <c r="J127" s="17">
        <f>IFERROR(__xludf.DUMMYFUNCTION("""COMPUTED_VALUE"""),1294.4)</f>
        <v>1294.4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IFERROR(__xludf.DUMMYFUNCTION("""COMPUTED_VALUE"""),1275.2)</f>
        <v>1275.2</v>
      </c>
      <c r="C128" s="16">
        <f>IFERROR(__xludf.DUMMYFUNCTION("""COMPUTED_VALUE"""),45925.6458333333)</f>
        <v>45925.6458333333</v>
      </c>
      <c r="D128" s="17">
        <f>IFERROR(__xludf.DUMMYFUNCTION("""COMPUTED_VALUE"""),1298.3)</f>
        <v>1298.3</v>
      </c>
      <c r="E128" s="16">
        <f>IFERROR(__xludf.DUMMYFUNCTION("""COMPUTED_VALUE"""),45925.6458333333)</f>
        <v>45925.6458333333</v>
      </c>
      <c r="F128" s="17">
        <f>IFERROR(__xludf.DUMMYFUNCTION("""COMPUTED_VALUE"""),1241492)</f>
        <v>1241492</v>
      </c>
      <c r="G128" s="16">
        <f>IFERROR(__xludf.DUMMYFUNCTION("""COMPUTED_VALUE"""),45925.6458333333)</f>
        <v>45925.6458333333</v>
      </c>
      <c r="H128" s="17">
        <f>IFERROR(__xludf.DUMMYFUNCTION("""COMPUTED_VALUE"""),1307.3)</f>
        <v>1307.3</v>
      </c>
      <c r="I128" s="16">
        <f>IFERROR(__xludf.DUMMYFUNCTION("""COMPUTED_VALUE"""),45925.6458333333)</f>
        <v>45925.6458333333</v>
      </c>
      <c r="J128" s="17">
        <f>IFERROR(__xludf.DUMMYFUNCTION("""COMPUTED_VALUE"""),1268)</f>
        <v>1268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IFERROR(__xludf.DUMMYFUNCTION("""COMPUTED_VALUE"""),1253.1)</f>
        <v>1253.1</v>
      </c>
      <c r="C129" s="47">
        <f>IFERROR(__xludf.DUMMYFUNCTION("""COMPUTED_VALUE"""),45926.6458333333)</f>
        <v>45926.6458333333</v>
      </c>
      <c r="D129" s="48">
        <f>IFERROR(__xludf.DUMMYFUNCTION("""COMPUTED_VALUE"""),1250)</f>
        <v>1250</v>
      </c>
      <c r="E129" s="47">
        <f>IFERROR(__xludf.DUMMYFUNCTION("""COMPUTED_VALUE"""),45926.6458333333)</f>
        <v>45926.6458333333</v>
      </c>
      <c r="F129" s="48">
        <f>IFERROR(__xludf.DUMMYFUNCTION("""COMPUTED_VALUE"""),2284377)</f>
        <v>2284377</v>
      </c>
      <c r="G129" s="47">
        <f>IFERROR(__xludf.DUMMYFUNCTION("""COMPUTED_VALUE"""),45926.6458333333)</f>
        <v>45926.6458333333</v>
      </c>
      <c r="H129" s="48">
        <f>IFERROR(__xludf.DUMMYFUNCTION("""COMPUTED_VALUE"""),1278.5)</f>
        <v>1278.5</v>
      </c>
      <c r="I129" s="47">
        <f>IFERROR(__xludf.DUMMYFUNCTION("""COMPUTED_VALUE"""),45926.6458333333)</f>
        <v>45926.6458333333</v>
      </c>
      <c r="J129" s="48">
        <f>IFERROR(__xludf.DUMMYFUNCTION("""COMPUTED_VALUE"""),1246.2)</f>
        <v>1246.2</v>
      </c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40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""price"")"),7035)</f>
        <v>7035</v>
      </c>
      <c r="I3" s="22" t="s">
        <v>269</v>
      </c>
      <c r="J3" s="23">
        <f>IFERROR(__xludf.DUMMYFUNCTION("GOOGLEFINANCE(L3, ""volume"")"),679362)</f>
        <v>679362</v>
      </c>
      <c r="K3" s="24" t="s">
        <v>270</v>
      </c>
      <c r="L3" s="25" t="str">
        <f>Mastersheet!B16</f>
        <v>NSE:EICHERMOT</v>
      </c>
      <c r="M3" s="26">
        <f>IFERROR(__xludf.DUMMYFUNCTION("""COMPUTED_VALUE"""),45926.6458333333)</f>
        <v>45926.6458333333</v>
      </c>
      <c r="N3" s="27">
        <f>IFERROR(__xludf.DUMMYFUNCTION("""COMPUTED_VALUE"""),7047)</f>
        <v>7047</v>
      </c>
      <c r="O3" s="26">
        <f>IFERROR(__xludf.DUMMYFUNCTION("""COMPUTED_VALUE"""),45926.6458333333)</f>
        <v>45926.6458333333</v>
      </c>
      <c r="P3" s="27">
        <f>IFERROR(__xludf.DUMMYFUNCTION("""COMPUTED_VALUE"""),6980)</f>
        <v>6980</v>
      </c>
      <c r="Q3" s="16">
        <f>IFERROR(__xludf.DUMMYFUNCTION("""COMPUTED_VALUE"""),45926.6458333333)</f>
        <v>45926.6458333333</v>
      </c>
      <c r="R3" s="17">
        <f>IFERROR(__xludf.DUMMYFUNCTION("""COMPUTED_VALUE"""),7091)</f>
        <v>7091</v>
      </c>
      <c r="S3" s="16">
        <f>IFERROR(__xludf.DUMMYFUNCTION("""COMPUTED_VALUE"""),45926.6458333333)</f>
        <v>45926.6458333333</v>
      </c>
      <c r="T3" s="17">
        <f>IFERROR(__xludf.DUMMYFUNCTION("""COMPUTED_VALUE"""),6965.5)</f>
        <v>6965.5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IFERROR(__xludf.DUMMYFUNCTION("""COMPUTED_VALUE"""),5345.75)</f>
        <v>5345.75</v>
      </c>
      <c r="C5" s="14">
        <f>IFERROR(__xludf.DUMMYFUNCTION("""COMPUTED_VALUE"""),45743.6458333333)</f>
        <v>45743.6458333333</v>
      </c>
      <c r="D5" s="15">
        <f>IFERROR(__xludf.DUMMYFUNCTION("""COMPUTED_VALUE"""),5329.45)</f>
        <v>5329.45</v>
      </c>
      <c r="E5" s="14">
        <f>IFERROR(__xludf.DUMMYFUNCTION("""COMPUTED_VALUE"""),45743.6458333333)</f>
        <v>45743.6458333333</v>
      </c>
      <c r="F5" s="15">
        <f>IFERROR(__xludf.DUMMYFUNCTION("""COMPUTED_VALUE"""),603145)</f>
        <v>603145</v>
      </c>
      <c r="G5" s="14">
        <f>IFERROR(__xludf.DUMMYFUNCTION("""COMPUTED_VALUE"""),45743.6458333333)</f>
        <v>45743.6458333333</v>
      </c>
      <c r="H5" s="15">
        <f>IFERROR(__xludf.DUMMYFUNCTION("""COMPUTED_VALUE"""),5405)</f>
        <v>5405</v>
      </c>
      <c r="I5" s="30">
        <f>IFERROR(__xludf.DUMMYFUNCTION("""COMPUTED_VALUE"""),45743.6458333333)</f>
        <v>45743.6458333333</v>
      </c>
      <c r="J5" s="3">
        <f>IFERROR(__xludf.DUMMYFUNCTION("""COMPUTED_VALUE"""),5300)</f>
        <v>5300</v>
      </c>
      <c r="K5" s="5"/>
      <c r="L5" s="5"/>
      <c r="M5" s="3">
        <f t="array" ref="M5">INDEX(K11:K124,MATCH(SMALL(ABS(K11:K124-H3),1),ABS(K11:K124-H3),0))</f>
        <v>5810.5</v>
      </c>
      <c r="N5" s="3">
        <f t="array" ref="N5">INDEX(K11:K124,MATCH(SMALL(ABS(K11:K124-H3),2),ABS(K11:K124-H3),0))</f>
        <v>5722.5</v>
      </c>
      <c r="O5" s="3">
        <f t="array" ref="O5">INDEX(L11:L124,MATCH(SMALL(ABS(L11:L124-H3),1),ABS(L11:L124-H3),0))</f>
        <v>5386</v>
      </c>
      <c r="P5" s="3">
        <f t="array" ref="P5">INDEX(L11:L124,MATCH(SMALL(ABS(L11:L124-H3),2),ABS(L11:L124-H3),0))</f>
        <v>5324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0</v>
      </c>
      <c r="T5" s="17">
        <f ca="1">IF(AND(H3&gt;=Mastersheet!I3*S5,H3&lt;=Mastersheet!J3*S5),1,0)</f>
        <v>0</v>
      </c>
      <c r="U5" s="36">
        <f>(N3+P3)/2</f>
        <v>7013.5</v>
      </c>
      <c r="V5" s="17">
        <f>(N3+P3+R3+T3)/4</f>
        <v>7020.875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IFERROR(__xludf.DUMMYFUNCTION("""COMPUTED_VALUE"""),5347.7)</f>
        <v>5347.7</v>
      </c>
      <c r="C6" s="16">
        <f>IFERROR(__xludf.DUMMYFUNCTION("""COMPUTED_VALUE"""),45744.6458333333)</f>
        <v>45744.6458333333</v>
      </c>
      <c r="D6" s="17">
        <f>IFERROR(__xludf.DUMMYFUNCTION("""COMPUTED_VALUE"""),5363)</f>
        <v>5363</v>
      </c>
      <c r="E6" s="16">
        <f>IFERROR(__xludf.DUMMYFUNCTION("""COMPUTED_VALUE"""),45744.6458333333)</f>
        <v>45744.6458333333</v>
      </c>
      <c r="F6" s="17">
        <f>IFERROR(__xludf.DUMMYFUNCTION("""COMPUTED_VALUE"""),286609)</f>
        <v>286609</v>
      </c>
      <c r="G6" s="16">
        <f>IFERROR(__xludf.DUMMYFUNCTION("""COMPUTED_VALUE"""),45744.6458333333)</f>
        <v>45744.6458333333</v>
      </c>
      <c r="H6" s="17">
        <f>IFERROR(__xludf.DUMMYFUNCTION("""COMPUTED_VALUE"""),5408.35)</f>
        <v>5408.35</v>
      </c>
      <c r="I6" s="16">
        <f>IFERROR(__xludf.DUMMYFUNCTION("""COMPUTED_VALUE"""),45744.6458333333)</f>
        <v>45744.6458333333</v>
      </c>
      <c r="J6" s="17">
        <f>IFERROR(__xludf.DUMMYFUNCTION("""COMPUTED_VALUE"""),5322.45)</f>
        <v>5322.45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IFERROR(__xludf.DUMMYFUNCTION("""COMPUTED_VALUE"""),5307.2)</f>
        <v>5307.2</v>
      </c>
      <c r="C7" s="16">
        <f>IFERROR(__xludf.DUMMYFUNCTION("""COMPUTED_VALUE"""),45748.6458333333)</f>
        <v>45748.6458333333</v>
      </c>
      <c r="D7" s="17">
        <f>IFERROR(__xludf.DUMMYFUNCTION("""COMPUTED_VALUE"""),5365.55)</f>
        <v>5365.55</v>
      </c>
      <c r="E7" s="16">
        <f>IFERROR(__xludf.DUMMYFUNCTION("""COMPUTED_VALUE"""),45748.6458333333)</f>
        <v>45748.6458333333</v>
      </c>
      <c r="F7" s="17">
        <f>IFERROR(__xludf.DUMMYFUNCTION("""COMPUTED_VALUE"""),562006)</f>
        <v>562006</v>
      </c>
      <c r="G7" s="16">
        <f>IFERROR(__xludf.DUMMYFUNCTION("""COMPUTED_VALUE"""),45748.6458333333)</f>
        <v>45748.6458333333</v>
      </c>
      <c r="H7" s="17">
        <f>IFERROR(__xludf.DUMMYFUNCTION("""COMPUTED_VALUE"""),5525)</f>
        <v>5525</v>
      </c>
      <c r="I7" s="16">
        <f>IFERROR(__xludf.DUMMYFUNCTION("""COMPUTED_VALUE"""),45748.6458333333)</f>
        <v>45748.6458333333</v>
      </c>
      <c r="J7" s="17">
        <f>IFERROR(__xludf.DUMMYFUNCTION("""COMPUTED_VALUE"""),5266.1)</f>
        <v>5266.1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IFERROR(__xludf.DUMMYFUNCTION("""COMPUTED_VALUE"""),5355.5)</f>
        <v>5355.5</v>
      </c>
      <c r="C8" s="16">
        <f>IFERROR(__xludf.DUMMYFUNCTION("""COMPUTED_VALUE"""),45749.6458333333)</f>
        <v>45749.6458333333</v>
      </c>
      <c r="D8" s="17">
        <f>IFERROR(__xludf.DUMMYFUNCTION("""COMPUTED_VALUE"""),5361.7)</f>
        <v>5361.7</v>
      </c>
      <c r="E8" s="16">
        <f>IFERROR(__xludf.DUMMYFUNCTION("""COMPUTED_VALUE"""),45749.6458333333)</f>
        <v>45749.6458333333</v>
      </c>
      <c r="F8" s="17">
        <f>IFERROR(__xludf.DUMMYFUNCTION("""COMPUTED_VALUE"""),365908)</f>
        <v>365908</v>
      </c>
      <c r="G8" s="16">
        <f>IFERROR(__xludf.DUMMYFUNCTION("""COMPUTED_VALUE"""),45749.6458333333)</f>
        <v>45749.6458333333</v>
      </c>
      <c r="H8" s="17">
        <f>IFERROR(__xludf.DUMMYFUNCTION("""COMPUTED_VALUE"""),5393.95)</f>
        <v>5393.95</v>
      </c>
      <c r="I8" s="16">
        <f>IFERROR(__xludf.DUMMYFUNCTION("""COMPUTED_VALUE"""),45749.6458333333)</f>
        <v>45749.6458333333</v>
      </c>
      <c r="J8" s="17">
        <f>IFERROR(__xludf.DUMMYFUNCTION("""COMPUTED_VALUE"""),5311.25)</f>
        <v>5311.25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IFERROR(__xludf.DUMMYFUNCTION("""COMPUTED_VALUE"""),5379.15)</f>
        <v>5379.15</v>
      </c>
      <c r="C9" s="16">
        <f>IFERROR(__xludf.DUMMYFUNCTION("""COMPUTED_VALUE"""),45750.6458333333)</f>
        <v>45750.6458333333</v>
      </c>
      <c r="D9" s="17">
        <f>IFERROR(__xludf.DUMMYFUNCTION("""COMPUTED_VALUE"""),5265)</f>
        <v>5265</v>
      </c>
      <c r="E9" s="16">
        <f>IFERROR(__xludf.DUMMYFUNCTION("""COMPUTED_VALUE"""),45750.6458333333)</f>
        <v>45750.6458333333</v>
      </c>
      <c r="F9" s="17">
        <f>IFERROR(__xludf.DUMMYFUNCTION("""COMPUTED_VALUE"""),224286)</f>
        <v>224286</v>
      </c>
      <c r="G9" s="16">
        <f>IFERROR(__xludf.DUMMYFUNCTION("""COMPUTED_VALUE"""),45750.6458333333)</f>
        <v>45750.6458333333</v>
      </c>
      <c r="H9" s="17">
        <f>IFERROR(__xludf.DUMMYFUNCTION("""COMPUTED_VALUE"""),5408.3)</f>
        <v>5408.3</v>
      </c>
      <c r="I9" s="16">
        <f>IFERROR(__xludf.DUMMYFUNCTION("""COMPUTED_VALUE"""),45750.6458333333)</f>
        <v>45750.6458333333</v>
      </c>
      <c r="J9" s="17">
        <f>IFERROR(__xludf.DUMMYFUNCTION("""COMPUTED_VALUE"""),5265)</f>
        <v>5265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IFERROR(__xludf.DUMMYFUNCTION("""COMPUTED_VALUE"""),5247.9)</f>
        <v>5247.9</v>
      </c>
      <c r="C10" s="16">
        <f>IFERROR(__xludf.DUMMYFUNCTION("""COMPUTED_VALUE"""),45751.6458333333)</f>
        <v>45751.6458333333</v>
      </c>
      <c r="D10" s="17">
        <f>IFERROR(__xludf.DUMMYFUNCTION("""COMPUTED_VALUE"""),5350.95)</f>
        <v>5350.95</v>
      </c>
      <c r="E10" s="16">
        <f>IFERROR(__xludf.DUMMYFUNCTION("""COMPUTED_VALUE"""),45751.6458333333)</f>
        <v>45751.6458333333</v>
      </c>
      <c r="F10" s="17">
        <f>IFERROR(__xludf.DUMMYFUNCTION("""COMPUTED_VALUE"""),261887)</f>
        <v>261887</v>
      </c>
      <c r="G10" s="16">
        <f>IFERROR(__xludf.DUMMYFUNCTION("""COMPUTED_VALUE"""),45751.6458333333)</f>
        <v>45751.6458333333</v>
      </c>
      <c r="H10" s="17">
        <f>IFERROR(__xludf.DUMMYFUNCTION("""COMPUTED_VALUE"""),5355.1)</f>
        <v>5355.1</v>
      </c>
      <c r="I10" s="16">
        <f>IFERROR(__xludf.DUMMYFUNCTION("""COMPUTED_VALUE"""),45751.6458333333)</f>
        <v>45751.6458333333</v>
      </c>
      <c r="J10" s="17">
        <f>IFERROR(__xludf.DUMMYFUNCTION("""COMPUTED_VALUE"""),5230)</f>
        <v>5230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IFERROR(__xludf.DUMMYFUNCTION("""COMPUTED_VALUE"""),5065.25)</f>
        <v>5065.25</v>
      </c>
      <c r="C11" s="16">
        <f>IFERROR(__xludf.DUMMYFUNCTION("""COMPUTED_VALUE"""),45754.6458333333)</f>
        <v>45754.6458333333</v>
      </c>
      <c r="D11" s="17">
        <f>IFERROR(__xludf.DUMMYFUNCTION("""COMPUTED_VALUE"""),5000)</f>
        <v>5000</v>
      </c>
      <c r="E11" s="16">
        <f>IFERROR(__xludf.DUMMYFUNCTION("""COMPUTED_VALUE"""),45754.6458333333)</f>
        <v>45754.6458333333</v>
      </c>
      <c r="F11" s="17">
        <f>IFERROR(__xludf.DUMMYFUNCTION("""COMPUTED_VALUE"""),519173)</f>
        <v>519173</v>
      </c>
      <c r="G11" s="16">
        <f>IFERROR(__xludf.DUMMYFUNCTION("""COMPUTED_VALUE"""),45754.6458333333)</f>
        <v>45754.6458333333</v>
      </c>
      <c r="H11" s="17">
        <f>IFERROR(__xludf.DUMMYFUNCTION("""COMPUTED_VALUE"""),5167.4)</f>
        <v>5167.4</v>
      </c>
      <c r="I11" s="16">
        <f>IFERROR(__xludf.DUMMYFUNCTION("""COMPUTED_VALUE"""),45754.6458333333)</f>
        <v>45754.6458333333</v>
      </c>
      <c r="J11" s="17">
        <f>IFERROR(__xludf.DUMMYFUNCTION("""COMPUTED_VALUE"""),4999.95)</f>
        <v>4999.95</v>
      </c>
      <c r="K11" s="3">
        <f t="shared" ref="K11:K125" si="2">IF(B11=MAX(B5:B17),B11,0)</f>
        <v>0</v>
      </c>
      <c r="L11" s="3">
        <f t="shared" ref="L11:L125" si="3">IF(B11=MIN(B5:B17),B11,0)</f>
        <v>5065.25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IFERROR(__xludf.DUMMYFUNCTION("""COMPUTED_VALUE"""),5231.35)</f>
        <v>5231.35</v>
      </c>
      <c r="C12" s="16">
        <f>IFERROR(__xludf.DUMMYFUNCTION("""COMPUTED_VALUE"""),45755.6458333333)</f>
        <v>45755.6458333333</v>
      </c>
      <c r="D12" s="17">
        <f>IFERROR(__xludf.DUMMYFUNCTION("""COMPUTED_VALUE"""),5165.55)</f>
        <v>5165.55</v>
      </c>
      <c r="E12" s="16">
        <f>IFERROR(__xludf.DUMMYFUNCTION("""COMPUTED_VALUE"""),45755.6458333333)</f>
        <v>45755.6458333333</v>
      </c>
      <c r="F12" s="17">
        <f>IFERROR(__xludf.DUMMYFUNCTION("""COMPUTED_VALUE"""),355195)</f>
        <v>355195</v>
      </c>
      <c r="G12" s="16">
        <f>IFERROR(__xludf.DUMMYFUNCTION("""COMPUTED_VALUE"""),45755.6458333333)</f>
        <v>45755.6458333333</v>
      </c>
      <c r="H12" s="17">
        <f>IFERROR(__xludf.DUMMYFUNCTION("""COMPUTED_VALUE"""),5269)</f>
        <v>5269</v>
      </c>
      <c r="I12" s="16">
        <f>IFERROR(__xludf.DUMMYFUNCTION("""COMPUTED_VALUE"""),45755.6458333333)</f>
        <v>45755.6458333333</v>
      </c>
      <c r="J12" s="17">
        <f>IFERROR(__xludf.DUMMYFUNCTION("""COMPUTED_VALUE"""),5109.8)</f>
        <v>5109.8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IFERROR(__xludf.DUMMYFUNCTION("""COMPUTED_VALUE"""),5258.3)</f>
        <v>5258.3</v>
      </c>
      <c r="C13" s="16">
        <f>IFERROR(__xludf.DUMMYFUNCTION("""COMPUTED_VALUE"""),45756.6458333333)</f>
        <v>45756.6458333333</v>
      </c>
      <c r="D13" s="17">
        <f>IFERROR(__xludf.DUMMYFUNCTION("""COMPUTED_VALUE"""),5270.55)</f>
        <v>5270.55</v>
      </c>
      <c r="E13" s="16">
        <f>IFERROR(__xludf.DUMMYFUNCTION("""COMPUTED_VALUE"""),45756.6458333333)</f>
        <v>45756.6458333333</v>
      </c>
      <c r="F13" s="17">
        <f>IFERROR(__xludf.DUMMYFUNCTION("""COMPUTED_VALUE"""),472302)</f>
        <v>472302</v>
      </c>
      <c r="G13" s="16">
        <f>IFERROR(__xludf.DUMMYFUNCTION("""COMPUTED_VALUE"""),45756.6458333333)</f>
        <v>45756.6458333333</v>
      </c>
      <c r="H13" s="17">
        <f>IFERROR(__xludf.DUMMYFUNCTION("""COMPUTED_VALUE"""),5324)</f>
        <v>5324</v>
      </c>
      <c r="I13" s="16">
        <f>IFERROR(__xludf.DUMMYFUNCTION("""COMPUTED_VALUE"""),45756.6458333333)</f>
        <v>45756.6458333333</v>
      </c>
      <c r="J13" s="17">
        <f>IFERROR(__xludf.DUMMYFUNCTION("""COMPUTED_VALUE"""),5182.35)</f>
        <v>5182.35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IFERROR(__xludf.DUMMYFUNCTION("""COMPUTED_VALUE"""),5350.9)</f>
        <v>5350.9</v>
      </c>
      <c r="C14" s="16">
        <f>IFERROR(__xludf.DUMMYFUNCTION("""COMPUTED_VALUE"""),45758.6458333333)</f>
        <v>45758.6458333333</v>
      </c>
      <c r="D14" s="17">
        <f>IFERROR(__xludf.DUMMYFUNCTION("""COMPUTED_VALUE"""),5290)</f>
        <v>5290</v>
      </c>
      <c r="E14" s="16">
        <f>IFERROR(__xludf.DUMMYFUNCTION("""COMPUTED_VALUE"""),45758.6458333333)</f>
        <v>45758.6458333333</v>
      </c>
      <c r="F14" s="17">
        <f>IFERROR(__xludf.DUMMYFUNCTION("""COMPUTED_VALUE"""),500528)</f>
        <v>500528</v>
      </c>
      <c r="G14" s="16">
        <f>IFERROR(__xludf.DUMMYFUNCTION("""COMPUTED_VALUE"""),45758.6458333333)</f>
        <v>45758.6458333333</v>
      </c>
      <c r="H14" s="17">
        <f>IFERROR(__xludf.DUMMYFUNCTION("""COMPUTED_VALUE"""),5409)</f>
        <v>5409</v>
      </c>
      <c r="I14" s="16">
        <f>IFERROR(__xludf.DUMMYFUNCTION("""COMPUTED_VALUE"""),45758.6458333333)</f>
        <v>45758.6458333333</v>
      </c>
      <c r="J14" s="17">
        <f>IFERROR(__xludf.DUMMYFUNCTION("""COMPUTED_VALUE"""),5290)</f>
        <v>5290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IFERROR(__xludf.DUMMYFUNCTION("""COMPUTED_VALUE"""),5529)</f>
        <v>5529</v>
      </c>
      <c r="C15" s="16">
        <f>IFERROR(__xludf.DUMMYFUNCTION("""COMPUTED_VALUE"""),45762.6458333333)</f>
        <v>45762.6458333333</v>
      </c>
      <c r="D15" s="17">
        <f>IFERROR(__xludf.DUMMYFUNCTION("""COMPUTED_VALUE"""),5464)</f>
        <v>5464</v>
      </c>
      <c r="E15" s="16">
        <f>IFERROR(__xludf.DUMMYFUNCTION("""COMPUTED_VALUE"""),45762.6458333333)</f>
        <v>45762.6458333333</v>
      </c>
      <c r="F15" s="17">
        <f>IFERROR(__xludf.DUMMYFUNCTION("""COMPUTED_VALUE"""),542322)</f>
        <v>542322</v>
      </c>
      <c r="G15" s="16">
        <f>IFERROR(__xludf.DUMMYFUNCTION("""COMPUTED_VALUE"""),45762.6458333333)</f>
        <v>45762.6458333333</v>
      </c>
      <c r="H15" s="17">
        <f>IFERROR(__xludf.DUMMYFUNCTION("""COMPUTED_VALUE"""),5557)</f>
        <v>5557</v>
      </c>
      <c r="I15" s="16">
        <f>IFERROR(__xludf.DUMMYFUNCTION("""COMPUTED_VALUE"""),45762.6458333333)</f>
        <v>45762.6458333333</v>
      </c>
      <c r="J15" s="17">
        <f>IFERROR(__xludf.DUMMYFUNCTION("""COMPUTED_VALUE"""),5399)</f>
        <v>5399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IFERROR(__xludf.DUMMYFUNCTION("""COMPUTED_VALUE"""),5615.5)</f>
        <v>5615.5</v>
      </c>
      <c r="C16" s="16">
        <f>IFERROR(__xludf.DUMMYFUNCTION("""COMPUTED_VALUE"""),45763.6458333333)</f>
        <v>45763.6458333333</v>
      </c>
      <c r="D16" s="17">
        <f>IFERROR(__xludf.DUMMYFUNCTION("""COMPUTED_VALUE"""),5549)</f>
        <v>5549</v>
      </c>
      <c r="E16" s="16">
        <f>IFERROR(__xludf.DUMMYFUNCTION("""COMPUTED_VALUE"""),45763.6458333333)</f>
        <v>45763.6458333333</v>
      </c>
      <c r="F16" s="17">
        <f>IFERROR(__xludf.DUMMYFUNCTION("""COMPUTED_VALUE"""),734279)</f>
        <v>734279</v>
      </c>
      <c r="G16" s="16">
        <f>IFERROR(__xludf.DUMMYFUNCTION("""COMPUTED_VALUE"""),45763.6458333333)</f>
        <v>45763.6458333333</v>
      </c>
      <c r="H16" s="17">
        <f>IFERROR(__xludf.DUMMYFUNCTION("""COMPUTED_VALUE"""),5630)</f>
        <v>5630</v>
      </c>
      <c r="I16" s="16">
        <f>IFERROR(__xludf.DUMMYFUNCTION("""COMPUTED_VALUE"""),45763.6458333333)</f>
        <v>45763.6458333333</v>
      </c>
      <c r="J16" s="17">
        <f>IFERROR(__xludf.DUMMYFUNCTION("""COMPUTED_VALUE"""),5539)</f>
        <v>5539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IFERROR(__xludf.DUMMYFUNCTION("""COMPUTED_VALUE"""),5678.5)</f>
        <v>5678.5</v>
      </c>
      <c r="C17" s="16">
        <f>IFERROR(__xludf.DUMMYFUNCTION("""COMPUTED_VALUE"""),45764.6458333333)</f>
        <v>45764.6458333333</v>
      </c>
      <c r="D17" s="17">
        <f>IFERROR(__xludf.DUMMYFUNCTION("""COMPUTED_VALUE"""),5615.5)</f>
        <v>5615.5</v>
      </c>
      <c r="E17" s="16">
        <f>IFERROR(__xludf.DUMMYFUNCTION("""COMPUTED_VALUE"""),45764.6458333333)</f>
        <v>45764.6458333333</v>
      </c>
      <c r="F17" s="17">
        <f>IFERROR(__xludf.DUMMYFUNCTION("""COMPUTED_VALUE"""),564357)</f>
        <v>564357</v>
      </c>
      <c r="G17" s="16">
        <f>IFERROR(__xludf.DUMMYFUNCTION("""COMPUTED_VALUE"""),45764.6458333333)</f>
        <v>45764.6458333333</v>
      </c>
      <c r="H17" s="17">
        <f>IFERROR(__xludf.DUMMYFUNCTION("""COMPUTED_VALUE"""),5715.5)</f>
        <v>5715.5</v>
      </c>
      <c r="I17" s="16">
        <f>IFERROR(__xludf.DUMMYFUNCTION("""COMPUTED_VALUE"""),45764.6458333333)</f>
        <v>45764.6458333333</v>
      </c>
      <c r="J17" s="17">
        <f>IFERROR(__xludf.DUMMYFUNCTION("""COMPUTED_VALUE"""),5576)</f>
        <v>5576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IFERROR(__xludf.DUMMYFUNCTION("""COMPUTED_VALUE"""),5810.5)</f>
        <v>5810.5</v>
      </c>
      <c r="C18" s="16">
        <f>IFERROR(__xludf.DUMMYFUNCTION("""COMPUTED_VALUE"""),45768.6458333333)</f>
        <v>45768.6458333333</v>
      </c>
      <c r="D18" s="17">
        <f>IFERROR(__xludf.DUMMYFUNCTION("""COMPUTED_VALUE"""),5695.5)</f>
        <v>5695.5</v>
      </c>
      <c r="E18" s="16">
        <f>IFERROR(__xludf.DUMMYFUNCTION("""COMPUTED_VALUE"""),45768.6458333333)</f>
        <v>45768.6458333333</v>
      </c>
      <c r="F18" s="17">
        <f>IFERROR(__xludf.DUMMYFUNCTION("""COMPUTED_VALUE"""),551547)</f>
        <v>551547</v>
      </c>
      <c r="G18" s="16">
        <f>IFERROR(__xludf.DUMMYFUNCTION("""COMPUTED_VALUE"""),45768.6458333333)</f>
        <v>45768.6458333333</v>
      </c>
      <c r="H18" s="17">
        <f>IFERROR(__xludf.DUMMYFUNCTION("""COMPUTED_VALUE"""),5857.5)</f>
        <v>5857.5</v>
      </c>
      <c r="I18" s="16">
        <f>IFERROR(__xludf.DUMMYFUNCTION("""COMPUTED_VALUE"""),45768.6458333333)</f>
        <v>45768.6458333333</v>
      </c>
      <c r="J18" s="17">
        <f>IFERROR(__xludf.DUMMYFUNCTION("""COMPUTED_VALUE"""),5643.5)</f>
        <v>5643.5</v>
      </c>
      <c r="K18" s="3">
        <f t="shared" si="2"/>
        <v>5810.5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IFERROR(__xludf.DUMMYFUNCTION("""COMPUTED_VALUE"""),5784)</f>
        <v>5784</v>
      </c>
      <c r="C19" s="16">
        <f>IFERROR(__xludf.DUMMYFUNCTION("""COMPUTED_VALUE"""),45769.6458333333)</f>
        <v>45769.6458333333</v>
      </c>
      <c r="D19" s="17">
        <f>IFERROR(__xludf.DUMMYFUNCTION("""COMPUTED_VALUE"""),5811)</f>
        <v>5811</v>
      </c>
      <c r="E19" s="16">
        <f>IFERROR(__xludf.DUMMYFUNCTION("""COMPUTED_VALUE"""),45769.6458333333)</f>
        <v>45769.6458333333</v>
      </c>
      <c r="F19" s="17">
        <f>IFERROR(__xludf.DUMMYFUNCTION("""COMPUTED_VALUE"""),459537)</f>
        <v>459537</v>
      </c>
      <c r="G19" s="16">
        <f>IFERROR(__xludf.DUMMYFUNCTION("""COMPUTED_VALUE"""),45769.6458333333)</f>
        <v>45769.6458333333</v>
      </c>
      <c r="H19" s="17">
        <f>IFERROR(__xludf.DUMMYFUNCTION("""COMPUTED_VALUE"""),5906.5)</f>
        <v>5906.5</v>
      </c>
      <c r="I19" s="16">
        <f>IFERROR(__xludf.DUMMYFUNCTION("""COMPUTED_VALUE"""),45769.6458333333)</f>
        <v>45769.6458333333</v>
      </c>
      <c r="J19" s="17">
        <f>IFERROR(__xludf.DUMMYFUNCTION("""COMPUTED_VALUE"""),5766.5)</f>
        <v>5766.5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IFERROR(__xludf.DUMMYFUNCTION("""COMPUTED_VALUE"""),5740)</f>
        <v>5740</v>
      </c>
      <c r="C20" s="16">
        <f>IFERROR(__xludf.DUMMYFUNCTION("""COMPUTED_VALUE"""),45770.6458333333)</f>
        <v>45770.6458333333</v>
      </c>
      <c r="D20" s="17">
        <f>IFERROR(__xludf.DUMMYFUNCTION("""COMPUTED_VALUE"""),5789)</f>
        <v>5789</v>
      </c>
      <c r="E20" s="16">
        <f>IFERROR(__xludf.DUMMYFUNCTION("""COMPUTED_VALUE"""),45770.6458333333)</f>
        <v>45770.6458333333</v>
      </c>
      <c r="F20" s="17">
        <f>IFERROR(__xludf.DUMMYFUNCTION("""COMPUTED_VALUE"""),582611)</f>
        <v>582611</v>
      </c>
      <c r="G20" s="16">
        <f>IFERROR(__xludf.DUMMYFUNCTION("""COMPUTED_VALUE"""),45770.6458333333)</f>
        <v>45770.6458333333</v>
      </c>
      <c r="H20" s="17">
        <f>IFERROR(__xludf.DUMMYFUNCTION("""COMPUTED_VALUE"""),5816.5)</f>
        <v>5816.5</v>
      </c>
      <c r="I20" s="16">
        <f>IFERROR(__xludf.DUMMYFUNCTION("""COMPUTED_VALUE"""),45770.6458333333)</f>
        <v>45770.6458333333</v>
      </c>
      <c r="J20" s="17">
        <f>IFERROR(__xludf.DUMMYFUNCTION("""COMPUTED_VALUE"""),5605.5)</f>
        <v>5605.5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IFERROR(__xludf.DUMMYFUNCTION("""COMPUTED_VALUE"""),5650.5)</f>
        <v>5650.5</v>
      </c>
      <c r="C21" s="16">
        <f>IFERROR(__xludf.DUMMYFUNCTION("""COMPUTED_VALUE"""),45771.6458333333)</f>
        <v>45771.6458333333</v>
      </c>
      <c r="D21" s="17">
        <f>IFERROR(__xludf.DUMMYFUNCTION("""COMPUTED_VALUE"""),5736)</f>
        <v>5736</v>
      </c>
      <c r="E21" s="16">
        <f>IFERROR(__xludf.DUMMYFUNCTION("""COMPUTED_VALUE"""),45771.6458333333)</f>
        <v>45771.6458333333</v>
      </c>
      <c r="F21" s="17">
        <f>IFERROR(__xludf.DUMMYFUNCTION("""COMPUTED_VALUE"""),503663)</f>
        <v>503663</v>
      </c>
      <c r="G21" s="16">
        <f>IFERROR(__xludf.DUMMYFUNCTION("""COMPUTED_VALUE"""),45771.6458333333)</f>
        <v>45771.6458333333</v>
      </c>
      <c r="H21" s="17">
        <f>IFERROR(__xludf.DUMMYFUNCTION("""COMPUTED_VALUE"""),5774.5)</f>
        <v>5774.5</v>
      </c>
      <c r="I21" s="16">
        <f>IFERROR(__xludf.DUMMYFUNCTION("""COMPUTED_VALUE"""),45771.6458333333)</f>
        <v>45771.6458333333</v>
      </c>
      <c r="J21" s="17">
        <f>IFERROR(__xludf.DUMMYFUNCTION("""COMPUTED_VALUE"""),5620)</f>
        <v>5620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IFERROR(__xludf.DUMMYFUNCTION("""COMPUTED_VALUE"""),5575.5)</f>
        <v>5575.5</v>
      </c>
      <c r="C22" s="16">
        <f>IFERROR(__xludf.DUMMYFUNCTION("""COMPUTED_VALUE"""),45772.6458333333)</f>
        <v>45772.6458333333</v>
      </c>
      <c r="D22" s="17">
        <f>IFERROR(__xludf.DUMMYFUNCTION("""COMPUTED_VALUE"""),5662.5)</f>
        <v>5662.5</v>
      </c>
      <c r="E22" s="16">
        <f>IFERROR(__xludf.DUMMYFUNCTION("""COMPUTED_VALUE"""),45772.6458333333)</f>
        <v>45772.6458333333</v>
      </c>
      <c r="F22" s="17">
        <f>IFERROR(__xludf.DUMMYFUNCTION("""COMPUTED_VALUE"""),457510)</f>
        <v>457510</v>
      </c>
      <c r="G22" s="16">
        <f>IFERROR(__xludf.DUMMYFUNCTION("""COMPUTED_VALUE"""),45772.6458333333)</f>
        <v>45772.6458333333</v>
      </c>
      <c r="H22" s="17">
        <f>IFERROR(__xludf.DUMMYFUNCTION("""COMPUTED_VALUE"""),5668)</f>
        <v>5668</v>
      </c>
      <c r="I22" s="16">
        <f>IFERROR(__xludf.DUMMYFUNCTION("""COMPUTED_VALUE"""),45772.6458333333)</f>
        <v>45772.6458333333</v>
      </c>
      <c r="J22" s="17">
        <f>IFERROR(__xludf.DUMMYFUNCTION("""COMPUTED_VALUE"""),5517.5)</f>
        <v>5517.5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IFERROR(__xludf.DUMMYFUNCTION("""COMPUTED_VALUE"""),5622)</f>
        <v>5622</v>
      </c>
      <c r="C23" s="16">
        <f>IFERROR(__xludf.DUMMYFUNCTION("""COMPUTED_VALUE"""),45775.6458333333)</f>
        <v>45775.6458333333</v>
      </c>
      <c r="D23" s="17">
        <f>IFERROR(__xludf.DUMMYFUNCTION("""COMPUTED_VALUE"""),5580.5)</f>
        <v>5580.5</v>
      </c>
      <c r="E23" s="16">
        <f>IFERROR(__xludf.DUMMYFUNCTION("""COMPUTED_VALUE"""),45775.6458333333)</f>
        <v>45775.6458333333</v>
      </c>
      <c r="F23" s="17">
        <f>IFERROR(__xludf.DUMMYFUNCTION("""COMPUTED_VALUE"""),403569)</f>
        <v>403569</v>
      </c>
      <c r="G23" s="16">
        <f>IFERROR(__xludf.DUMMYFUNCTION("""COMPUTED_VALUE"""),45775.6458333333)</f>
        <v>45775.6458333333</v>
      </c>
      <c r="H23" s="17">
        <f>IFERROR(__xludf.DUMMYFUNCTION("""COMPUTED_VALUE"""),5658)</f>
        <v>5658</v>
      </c>
      <c r="I23" s="16">
        <f>IFERROR(__xludf.DUMMYFUNCTION("""COMPUTED_VALUE"""),45775.6458333333)</f>
        <v>45775.6458333333</v>
      </c>
      <c r="J23" s="17">
        <f>IFERROR(__xludf.DUMMYFUNCTION("""COMPUTED_VALUE"""),5550.5)</f>
        <v>5550.5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IFERROR(__xludf.DUMMYFUNCTION("""COMPUTED_VALUE"""),5579)</f>
        <v>5579</v>
      </c>
      <c r="C24" s="16">
        <f>IFERROR(__xludf.DUMMYFUNCTION("""COMPUTED_VALUE"""),45776.6458333333)</f>
        <v>45776.6458333333</v>
      </c>
      <c r="D24" s="17">
        <f>IFERROR(__xludf.DUMMYFUNCTION("""COMPUTED_VALUE"""),5626.5)</f>
        <v>5626.5</v>
      </c>
      <c r="E24" s="16">
        <f>IFERROR(__xludf.DUMMYFUNCTION("""COMPUTED_VALUE"""),45776.6458333333)</f>
        <v>45776.6458333333</v>
      </c>
      <c r="F24" s="17">
        <f>IFERROR(__xludf.DUMMYFUNCTION("""COMPUTED_VALUE"""),309552)</f>
        <v>309552</v>
      </c>
      <c r="G24" s="16">
        <f>IFERROR(__xludf.DUMMYFUNCTION("""COMPUTED_VALUE"""),45776.6458333333)</f>
        <v>45776.6458333333</v>
      </c>
      <c r="H24" s="17">
        <f>IFERROR(__xludf.DUMMYFUNCTION("""COMPUTED_VALUE"""),5691.5)</f>
        <v>5691.5</v>
      </c>
      <c r="I24" s="16">
        <f>IFERROR(__xludf.DUMMYFUNCTION("""COMPUTED_VALUE"""),45776.6458333333)</f>
        <v>45776.6458333333</v>
      </c>
      <c r="J24" s="17">
        <f>IFERROR(__xludf.DUMMYFUNCTION("""COMPUTED_VALUE"""),5508)</f>
        <v>5508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IFERROR(__xludf.DUMMYFUNCTION("""COMPUTED_VALUE"""),5567)</f>
        <v>5567</v>
      </c>
      <c r="C25" s="16">
        <f>IFERROR(__xludf.DUMMYFUNCTION("""COMPUTED_VALUE"""),45777.6458333333)</f>
        <v>45777.6458333333</v>
      </c>
      <c r="D25" s="17">
        <f>IFERROR(__xludf.DUMMYFUNCTION("""COMPUTED_VALUE"""),5605)</f>
        <v>5605</v>
      </c>
      <c r="E25" s="16">
        <f>IFERROR(__xludf.DUMMYFUNCTION("""COMPUTED_VALUE"""),45777.6458333333)</f>
        <v>45777.6458333333</v>
      </c>
      <c r="F25" s="17">
        <f>IFERROR(__xludf.DUMMYFUNCTION("""COMPUTED_VALUE"""),509786)</f>
        <v>509786</v>
      </c>
      <c r="G25" s="16">
        <f>IFERROR(__xludf.DUMMYFUNCTION("""COMPUTED_VALUE"""),45777.6458333333)</f>
        <v>45777.6458333333</v>
      </c>
      <c r="H25" s="17">
        <f>IFERROR(__xludf.DUMMYFUNCTION("""COMPUTED_VALUE"""),5605)</f>
        <v>5605</v>
      </c>
      <c r="I25" s="16">
        <f>IFERROR(__xludf.DUMMYFUNCTION("""COMPUTED_VALUE"""),45777.6458333333)</f>
        <v>45777.6458333333</v>
      </c>
      <c r="J25" s="17">
        <f>IFERROR(__xludf.DUMMYFUNCTION("""COMPUTED_VALUE"""),5505.5)</f>
        <v>5505.5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IFERROR(__xludf.DUMMYFUNCTION("""COMPUTED_VALUE"""),5437.5)</f>
        <v>5437.5</v>
      </c>
      <c r="C26" s="16">
        <f>IFERROR(__xludf.DUMMYFUNCTION("""COMPUTED_VALUE"""),45779.6458333333)</f>
        <v>45779.6458333333</v>
      </c>
      <c r="D26" s="17">
        <f>IFERROR(__xludf.DUMMYFUNCTION("""COMPUTED_VALUE"""),5560)</f>
        <v>5560</v>
      </c>
      <c r="E26" s="16">
        <f>IFERROR(__xludf.DUMMYFUNCTION("""COMPUTED_VALUE"""),45779.6458333333)</f>
        <v>45779.6458333333</v>
      </c>
      <c r="F26" s="17">
        <f>IFERROR(__xludf.DUMMYFUNCTION("""COMPUTED_VALUE"""),634482)</f>
        <v>634482</v>
      </c>
      <c r="G26" s="16">
        <f>IFERROR(__xludf.DUMMYFUNCTION("""COMPUTED_VALUE"""),45779.6458333333)</f>
        <v>45779.6458333333</v>
      </c>
      <c r="H26" s="17">
        <f>IFERROR(__xludf.DUMMYFUNCTION("""COMPUTED_VALUE"""),5560)</f>
        <v>5560</v>
      </c>
      <c r="I26" s="16">
        <f>IFERROR(__xludf.DUMMYFUNCTION("""COMPUTED_VALUE"""),45779.6458333333)</f>
        <v>45779.6458333333</v>
      </c>
      <c r="J26" s="17">
        <f>IFERROR(__xludf.DUMMYFUNCTION("""COMPUTED_VALUE"""),5376)</f>
        <v>5376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IFERROR(__xludf.DUMMYFUNCTION("""COMPUTED_VALUE"""),5460.5)</f>
        <v>5460.5</v>
      </c>
      <c r="C27" s="16">
        <f>IFERROR(__xludf.DUMMYFUNCTION("""COMPUTED_VALUE"""),45782.6458333333)</f>
        <v>45782.6458333333</v>
      </c>
      <c r="D27" s="17">
        <f>IFERROR(__xludf.DUMMYFUNCTION("""COMPUTED_VALUE"""),5469.5)</f>
        <v>5469.5</v>
      </c>
      <c r="E27" s="16">
        <f>IFERROR(__xludf.DUMMYFUNCTION("""COMPUTED_VALUE"""),45782.6458333333)</f>
        <v>45782.6458333333</v>
      </c>
      <c r="F27" s="17">
        <f>IFERROR(__xludf.DUMMYFUNCTION("""COMPUTED_VALUE"""),320466)</f>
        <v>320466</v>
      </c>
      <c r="G27" s="16">
        <f>IFERROR(__xludf.DUMMYFUNCTION("""COMPUTED_VALUE"""),45782.6458333333)</f>
        <v>45782.6458333333</v>
      </c>
      <c r="H27" s="17">
        <f>IFERROR(__xludf.DUMMYFUNCTION("""COMPUTED_VALUE"""),5480)</f>
        <v>5480</v>
      </c>
      <c r="I27" s="16">
        <f>IFERROR(__xludf.DUMMYFUNCTION("""COMPUTED_VALUE"""),45782.6458333333)</f>
        <v>45782.6458333333</v>
      </c>
      <c r="J27" s="17">
        <f>IFERROR(__xludf.DUMMYFUNCTION("""COMPUTED_VALUE"""),5411)</f>
        <v>5411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IFERROR(__xludf.DUMMYFUNCTION("""COMPUTED_VALUE"""),5515)</f>
        <v>5515</v>
      </c>
      <c r="C28" s="16">
        <f>IFERROR(__xludf.DUMMYFUNCTION("""COMPUTED_VALUE"""),45783.6458333333)</f>
        <v>45783.6458333333</v>
      </c>
      <c r="D28" s="17">
        <f>IFERROR(__xludf.DUMMYFUNCTION("""COMPUTED_VALUE"""),5460.5)</f>
        <v>5460.5</v>
      </c>
      <c r="E28" s="16">
        <f>IFERROR(__xludf.DUMMYFUNCTION("""COMPUTED_VALUE"""),45783.6458333333)</f>
        <v>45783.6458333333</v>
      </c>
      <c r="F28" s="17">
        <f>IFERROR(__xludf.DUMMYFUNCTION("""COMPUTED_VALUE"""),514699)</f>
        <v>514699</v>
      </c>
      <c r="G28" s="16">
        <f>IFERROR(__xludf.DUMMYFUNCTION("""COMPUTED_VALUE"""),45783.6458333333)</f>
        <v>45783.6458333333</v>
      </c>
      <c r="H28" s="17">
        <f>IFERROR(__xludf.DUMMYFUNCTION("""COMPUTED_VALUE"""),5597)</f>
        <v>5597</v>
      </c>
      <c r="I28" s="16">
        <f>IFERROR(__xludf.DUMMYFUNCTION("""COMPUTED_VALUE"""),45783.6458333333)</f>
        <v>45783.6458333333</v>
      </c>
      <c r="J28" s="17">
        <f>IFERROR(__xludf.DUMMYFUNCTION("""COMPUTED_VALUE"""),5440.5)</f>
        <v>5440.5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IFERROR(__xludf.DUMMYFUNCTION("""COMPUTED_VALUE"""),5489)</f>
        <v>5489</v>
      </c>
      <c r="C29" s="16">
        <f>IFERROR(__xludf.DUMMYFUNCTION("""COMPUTED_VALUE"""),45784.6458333333)</f>
        <v>45784.6458333333</v>
      </c>
      <c r="D29" s="17">
        <f>IFERROR(__xludf.DUMMYFUNCTION("""COMPUTED_VALUE"""),5460.5)</f>
        <v>5460.5</v>
      </c>
      <c r="E29" s="16">
        <f>IFERROR(__xludf.DUMMYFUNCTION("""COMPUTED_VALUE"""),45784.6458333333)</f>
        <v>45784.6458333333</v>
      </c>
      <c r="F29" s="17">
        <f>IFERROR(__xludf.DUMMYFUNCTION("""COMPUTED_VALUE"""),349955)</f>
        <v>349955</v>
      </c>
      <c r="G29" s="16">
        <f>IFERROR(__xludf.DUMMYFUNCTION("""COMPUTED_VALUE"""),45784.6458333333)</f>
        <v>45784.6458333333</v>
      </c>
      <c r="H29" s="17">
        <f>IFERROR(__xludf.DUMMYFUNCTION("""COMPUTED_VALUE"""),5571)</f>
        <v>5571</v>
      </c>
      <c r="I29" s="16">
        <f>IFERROR(__xludf.DUMMYFUNCTION("""COMPUTED_VALUE"""),45784.6458333333)</f>
        <v>45784.6458333333</v>
      </c>
      <c r="J29" s="17">
        <f>IFERROR(__xludf.DUMMYFUNCTION("""COMPUTED_VALUE"""),5452.5)</f>
        <v>5452.5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IFERROR(__xludf.DUMMYFUNCTION("""COMPUTED_VALUE"""),5372.5)</f>
        <v>5372.5</v>
      </c>
      <c r="C30" s="16">
        <f>IFERROR(__xludf.DUMMYFUNCTION("""COMPUTED_VALUE"""),45785.6458333333)</f>
        <v>45785.6458333333</v>
      </c>
      <c r="D30" s="17">
        <f>IFERROR(__xludf.DUMMYFUNCTION("""COMPUTED_VALUE"""),5463.5)</f>
        <v>5463.5</v>
      </c>
      <c r="E30" s="16">
        <f>IFERROR(__xludf.DUMMYFUNCTION("""COMPUTED_VALUE"""),45785.6458333333)</f>
        <v>45785.6458333333</v>
      </c>
      <c r="F30" s="17">
        <f>IFERROR(__xludf.DUMMYFUNCTION("""COMPUTED_VALUE"""),609858)</f>
        <v>609858</v>
      </c>
      <c r="G30" s="16">
        <f>IFERROR(__xludf.DUMMYFUNCTION("""COMPUTED_VALUE"""),45785.6458333333)</f>
        <v>45785.6458333333</v>
      </c>
      <c r="H30" s="17">
        <f>IFERROR(__xludf.DUMMYFUNCTION("""COMPUTED_VALUE"""),5488.5)</f>
        <v>5488.5</v>
      </c>
      <c r="I30" s="16">
        <f>IFERROR(__xludf.DUMMYFUNCTION("""COMPUTED_VALUE"""),45785.6458333333)</f>
        <v>45785.6458333333</v>
      </c>
      <c r="J30" s="17">
        <f>IFERROR(__xludf.DUMMYFUNCTION("""COMPUTED_VALUE"""),5339.5)</f>
        <v>5339.5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IFERROR(__xludf.DUMMYFUNCTION("""COMPUTED_VALUE"""),5324)</f>
        <v>5324</v>
      </c>
      <c r="C31" s="16">
        <f>IFERROR(__xludf.DUMMYFUNCTION("""COMPUTED_VALUE"""),45786.6458333333)</f>
        <v>45786.6458333333</v>
      </c>
      <c r="D31" s="17">
        <f>IFERROR(__xludf.DUMMYFUNCTION("""COMPUTED_VALUE"""),5295)</f>
        <v>5295</v>
      </c>
      <c r="E31" s="16">
        <f>IFERROR(__xludf.DUMMYFUNCTION("""COMPUTED_VALUE"""),45786.6458333333)</f>
        <v>45786.6458333333</v>
      </c>
      <c r="F31" s="17">
        <f>IFERROR(__xludf.DUMMYFUNCTION("""COMPUTED_VALUE"""),412056)</f>
        <v>412056</v>
      </c>
      <c r="G31" s="16">
        <f>IFERROR(__xludf.DUMMYFUNCTION("""COMPUTED_VALUE"""),45786.6458333333)</f>
        <v>45786.6458333333</v>
      </c>
      <c r="H31" s="17">
        <f>IFERROR(__xludf.DUMMYFUNCTION("""COMPUTED_VALUE"""),5340.5)</f>
        <v>5340.5</v>
      </c>
      <c r="I31" s="16">
        <f>IFERROR(__xludf.DUMMYFUNCTION("""COMPUTED_VALUE"""),45786.6458333333)</f>
        <v>45786.6458333333</v>
      </c>
      <c r="J31" s="17">
        <f>IFERROR(__xludf.DUMMYFUNCTION("""COMPUTED_VALUE"""),5260.5)</f>
        <v>5260.5</v>
      </c>
      <c r="K31" s="3">
        <f t="shared" si="2"/>
        <v>0</v>
      </c>
      <c r="L31" s="3">
        <f t="shared" si="3"/>
        <v>5324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IFERROR(__xludf.DUMMYFUNCTION("""COMPUTED_VALUE"""),5520)</f>
        <v>5520</v>
      </c>
      <c r="C32" s="16">
        <f>IFERROR(__xludf.DUMMYFUNCTION("""COMPUTED_VALUE"""),45789.6458333333)</f>
        <v>45789.6458333333</v>
      </c>
      <c r="D32" s="17">
        <f>IFERROR(__xludf.DUMMYFUNCTION("""COMPUTED_VALUE"""),5505)</f>
        <v>5505</v>
      </c>
      <c r="E32" s="16">
        <f>IFERROR(__xludf.DUMMYFUNCTION("""COMPUTED_VALUE"""),45789.6458333333)</f>
        <v>45789.6458333333</v>
      </c>
      <c r="F32" s="17">
        <f>IFERROR(__xludf.DUMMYFUNCTION("""COMPUTED_VALUE"""),327631)</f>
        <v>327631</v>
      </c>
      <c r="G32" s="16">
        <f>IFERROR(__xludf.DUMMYFUNCTION("""COMPUTED_VALUE"""),45789.6458333333)</f>
        <v>45789.6458333333</v>
      </c>
      <c r="H32" s="17">
        <f>IFERROR(__xludf.DUMMYFUNCTION("""COMPUTED_VALUE"""),5541)</f>
        <v>5541</v>
      </c>
      <c r="I32" s="16">
        <f>IFERROR(__xludf.DUMMYFUNCTION("""COMPUTED_VALUE"""),45789.6458333333)</f>
        <v>45789.6458333333</v>
      </c>
      <c r="J32" s="17">
        <f>IFERROR(__xludf.DUMMYFUNCTION("""COMPUTED_VALUE"""),5414)</f>
        <v>5414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IFERROR(__xludf.DUMMYFUNCTION("""COMPUTED_VALUE"""),5419)</f>
        <v>5419</v>
      </c>
      <c r="C33" s="16">
        <f>IFERROR(__xludf.DUMMYFUNCTION("""COMPUTED_VALUE"""),45790.6458333333)</f>
        <v>45790.6458333333</v>
      </c>
      <c r="D33" s="17">
        <f>IFERROR(__xludf.DUMMYFUNCTION("""COMPUTED_VALUE"""),5506.5)</f>
        <v>5506.5</v>
      </c>
      <c r="E33" s="16">
        <f>IFERROR(__xludf.DUMMYFUNCTION("""COMPUTED_VALUE"""),45790.6458333333)</f>
        <v>45790.6458333333</v>
      </c>
      <c r="F33" s="17">
        <f>IFERROR(__xludf.DUMMYFUNCTION("""COMPUTED_VALUE"""),416275)</f>
        <v>416275</v>
      </c>
      <c r="G33" s="16">
        <f>IFERROR(__xludf.DUMMYFUNCTION("""COMPUTED_VALUE"""),45790.6458333333)</f>
        <v>45790.6458333333</v>
      </c>
      <c r="H33" s="17">
        <f>IFERROR(__xludf.DUMMYFUNCTION("""COMPUTED_VALUE"""),5553.5)</f>
        <v>5553.5</v>
      </c>
      <c r="I33" s="16">
        <f>IFERROR(__xludf.DUMMYFUNCTION("""COMPUTED_VALUE"""),45790.6458333333)</f>
        <v>45790.6458333333</v>
      </c>
      <c r="J33" s="17">
        <f>IFERROR(__xludf.DUMMYFUNCTION("""COMPUTED_VALUE"""),5392.5)</f>
        <v>5392.5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IFERROR(__xludf.DUMMYFUNCTION("""COMPUTED_VALUE"""),5446.5)</f>
        <v>5446.5</v>
      </c>
      <c r="C34" s="16">
        <f>IFERROR(__xludf.DUMMYFUNCTION("""COMPUTED_VALUE"""),45791.6458333333)</f>
        <v>45791.6458333333</v>
      </c>
      <c r="D34" s="17">
        <f>IFERROR(__xludf.DUMMYFUNCTION("""COMPUTED_VALUE"""),5430)</f>
        <v>5430</v>
      </c>
      <c r="E34" s="16">
        <f>IFERROR(__xludf.DUMMYFUNCTION("""COMPUTED_VALUE"""),45791.6458333333)</f>
        <v>45791.6458333333</v>
      </c>
      <c r="F34" s="17">
        <f>IFERROR(__xludf.DUMMYFUNCTION("""COMPUTED_VALUE"""),315866)</f>
        <v>315866</v>
      </c>
      <c r="G34" s="16">
        <f>IFERROR(__xludf.DUMMYFUNCTION("""COMPUTED_VALUE"""),45791.6458333333)</f>
        <v>45791.6458333333</v>
      </c>
      <c r="H34" s="17">
        <f>IFERROR(__xludf.DUMMYFUNCTION("""COMPUTED_VALUE"""),5477.5)</f>
        <v>5477.5</v>
      </c>
      <c r="I34" s="16">
        <f>IFERROR(__xludf.DUMMYFUNCTION("""COMPUTED_VALUE"""),45791.6458333333)</f>
        <v>45791.6458333333</v>
      </c>
      <c r="J34" s="17">
        <f>IFERROR(__xludf.DUMMYFUNCTION("""COMPUTED_VALUE"""),5360)</f>
        <v>5360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IFERROR(__xludf.DUMMYFUNCTION("""COMPUTED_VALUE"""),5466)</f>
        <v>5466</v>
      </c>
      <c r="C35" s="16">
        <f>IFERROR(__xludf.DUMMYFUNCTION("""COMPUTED_VALUE"""),45792.6458333333)</f>
        <v>45792.6458333333</v>
      </c>
      <c r="D35" s="17">
        <f>IFERROR(__xludf.DUMMYFUNCTION("""COMPUTED_VALUE"""),5500)</f>
        <v>5500</v>
      </c>
      <c r="E35" s="16">
        <f>IFERROR(__xludf.DUMMYFUNCTION("""COMPUTED_VALUE"""),45792.6458333333)</f>
        <v>45792.6458333333</v>
      </c>
      <c r="F35" s="17">
        <f>IFERROR(__xludf.DUMMYFUNCTION("""COMPUTED_VALUE"""),1930277)</f>
        <v>1930277</v>
      </c>
      <c r="G35" s="16">
        <f>IFERROR(__xludf.DUMMYFUNCTION("""COMPUTED_VALUE"""),45792.6458333333)</f>
        <v>45792.6458333333</v>
      </c>
      <c r="H35" s="17">
        <f>IFERROR(__xludf.DUMMYFUNCTION("""COMPUTED_VALUE"""),5548)</f>
        <v>5548</v>
      </c>
      <c r="I35" s="16">
        <f>IFERROR(__xludf.DUMMYFUNCTION("""COMPUTED_VALUE"""),45792.6458333333)</f>
        <v>45792.6458333333</v>
      </c>
      <c r="J35" s="17">
        <f>IFERROR(__xludf.DUMMYFUNCTION("""COMPUTED_VALUE"""),5360)</f>
        <v>5360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IFERROR(__xludf.DUMMYFUNCTION("""COMPUTED_VALUE"""),5509.5)</f>
        <v>5509.5</v>
      </c>
      <c r="C36" s="16">
        <f>IFERROR(__xludf.DUMMYFUNCTION("""COMPUTED_VALUE"""),45793.6458333333)</f>
        <v>45793.6458333333</v>
      </c>
      <c r="D36" s="17">
        <f>IFERROR(__xludf.DUMMYFUNCTION("""COMPUTED_VALUE"""),5504)</f>
        <v>5504</v>
      </c>
      <c r="E36" s="16">
        <f>IFERROR(__xludf.DUMMYFUNCTION("""COMPUTED_VALUE"""),45793.6458333333)</f>
        <v>45793.6458333333</v>
      </c>
      <c r="F36" s="17">
        <f>IFERROR(__xludf.DUMMYFUNCTION("""COMPUTED_VALUE"""),638327)</f>
        <v>638327</v>
      </c>
      <c r="G36" s="16">
        <f>IFERROR(__xludf.DUMMYFUNCTION("""COMPUTED_VALUE"""),45793.6458333333)</f>
        <v>45793.6458333333</v>
      </c>
      <c r="H36" s="17">
        <f>IFERROR(__xludf.DUMMYFUNCTION("""COMPUTED_VALUE"""),5585.5)</f>
        <v>5585.5</v>
      </c>
      <c r="I36" s="16">
        <f>IFERROR(__xludf.DUMMYFUNCTION("""COMPUTED_VALUE"""),45793.6458333333)</f>
        <v>45793.6458333333</v>
      </c>
      <c r="J36" s="17">
        <f>IFERROR(__xludf.DUMMYFUNCTION("""COMPUTED_VALUE"""),5491)</f>
        <v>5491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IFERROR(__xludf.DUMMYFUNCTION("""COMPUTED_VALUE"""),5530)</f>
        <v>5530</v>
      </c>
      <c r="C37" s="16">
        <f>IFERROR(__xludf.DUMMYFUNCTION("""COMPUTED_VALUE"""),45796.6458333333)</f>
        <v>45796.6458333333</v>
      </c>
      <c r="D37" s="17">
        <f>IFERROR(__xludf.DUMMYFUNCTION("""COMPUTED_VALUE"""),5510)</f>
        <v>5510</v>
      </c>
      <c r="E37" s="16">
        <f>IFERROR(__xludf.DUMMYFUNCTION("""COMPUTED_VALUE"""),45796.6458333333)</f>
        <v>45796.6458333333</v>
      </c>
      <c r="F37" s="17">
        <f>IFERROR(__xludf.DUMMYFUNCTION("""COMPUTED_VALUE"""),654074)</f>
        <v>654074</v>
      </c>
      <c r="G37" s="16">
        <f>IFERROR(__xludf.DUMMYFUNCTION("""COMPUTED_VALUE"""),45796.6458333333)</f>
        <v>45796.6458333333</v>
      </c>
      <c r="H37" s="17">
        <f>IFERROR(__xludf.DUMMYFUNCTION("""COMPUTED_VALUE"""),5628)</f>
        <v>5628</v>
      </c>
      <c r="I37" s="16">
        <f>IFERROR(__xludf.DUMMYFUNCTION("""COMPUTED_VALUE"""),45796.6458333333)</f>
        <v>45796.6458333333</v>
      </c>
      <c r="J37" s="17">
        <f>IFERROR(__xludf.DUMMYFUNCTION("""COMPUTED_VALUE"""),5509.5)</f>
        <v>5509.5</v>
      </c>
      <c r="K37" s="3">
        <f t="shared" si="2"/>
        <v>5530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IFERROR(__xludf.DUMMYFUNCTION("""COMPUTED_VALUE"""),5387.5)</f>
        <v>5387.5</v>
      </c>
      <c r="C38" s="16">
        <f>IFERROR(__xludf.DUMMYFUNCTION("""COMPUTED_VALUE"""),45797.6458333333)</f>
        <v>45797.6458333333</v>
      </c>
      <c r="D38" s="17">
        <f>IFERROR(__xludf.DUMMYFUNCTION("""COMPUTED_VALUE"""),5550)</f>
        <v>5550</v>
      </c>
      <c r="E38" s="16">
        <f>IFERROR(__xludf.DUMMYFUNCTION("""COMPUTED_VALUE"""),45797.6458333333)</f>
        <v>45797.6458333333</v>
      </c>
      <c r="F38" s="17">
        <f>IFERROR(__xludf.DUMMYFUNCTION("""COMPUTED_VALUE"""),402780)</f>
        <v>402780</v>
      </c>
      <c r="G38" s="16">
        <f>IFERROR(__xludf.DUMMYFUNCTION("""COMPUTED_VALUE"""),45797.6458333333)</f>
        <v>45797.6458333333</v>
      </c>
      <c r="H38" s="17">
        <f>IFERROR(__xludf.DUMMYFUNCTION("""COMPUTED_VALUE"""),5557.5)</f>
        <v>5557.5</v>
      </c>
      <c r="I38" s="16">
        <f>IFERROR(__xludf.DUMMYFUNCTION("""COMPUTED_VALUE"""),45797.6458333333)</f>
        <v>45797.6458333333</v>
      </c>
      <c r="J38" s="17">
        <f>IFERROR(__xludf.DUMMYFUNCTION("""COMPUTED_VALUE"""),5380)</f>
        <v>5380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IFERROR(__xludf.DUMMYFUNCTION("""COMPUTED_VALUE"""),5409)</f>
        <v>5409</v>
      </c>
      <c r="C39" s="16">
        <f>IFERROR(__xludf.DUMMYFUNCTION("""COMPUTED_VALUE"""),45798.6458333333)</f>
        <v>45798.6458333333</v>
      </c>
      <c r="D39" s="17">
        <f>IFERROR(__xludf.DUMMYFUNCTION("""COMPUTED_VALUE"""),5410)</f>
        <v>5410</v>
      </c>
      <c r="E39" s="16">
        <f>IFERROR(__xludf.DUMMYFUNCTION("""COMPUTED_VALUE"""),45798.6458333333)</f>
        <v>45798.6458333333</v>
      </c>
      <c r="F39" s="17">
        <f>IFERROR(__xludf.DUMMYFUNCTION("""COMPUTED_VALUE"""),300888)</f>
        <v>300888</v>
      </c>
      <c r="G39" s="16">
        <f>IFERROR(__xludf.DUMMYFUNCTION("""COMPUTED_VALUE"""),45798.6458333333)</f>
        <v>45798.6458333333</v>
      </c>
      <c r="H39" s="17">
        <f>IFERROR(__xludf.DUMMYFUNCTION("""COMPUTED_VALUE"""),5477.5)</f>
        <v>5477.5</v>
      </c>
      <c r="I39" s="16">
        <f>IFERROR(__xludf.DUMMYFUNCTION("""COMPUTED_VALUE"""),45798.6458333333)</f>
        <v>45798.6458333333</v>
      </c>
      <c r="J39" s="17">
        <f>IFERROR(__xludf.DUMMYFUNCTION("""COMPUTED_VALUE"""),5385)</f>
        <v>5385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IFERROR(__xludf.DUMMYFUNCTION("""COMPUTED_VALUE"""),5387)</f>
        <v>5387</v>
      </c>
      <c r="C40" s="16">
        <f>IFERROR(__xludf.DUMMYFUNCTION("""COMPUTED_VALUE"""),45799.6458333333)</f>
        <v>45799.6458333333</v>
      </c>
      <c r="D40" s="17">
        <f>IFERROR(__xludf.DUMMYFUNCTION("""COMPUTED_VALUE"""),5382)</f>
        <v>5382</v>
      </c>
      <c r="E40" s="16">
        <f>IFERROR(__xludf.DUMMYFUNCTION("""COMPUTED_VALUE"""),45799.6458333333)</f>
        <v>45799.6458333333</v>
      </c>
      <c r="F40" s="17">
        <f>IFERROR(__xludf.DUMMYFUNCTION("""COMPUTED_VALUE"""),461736)</f>
        <v>461736</v>
      </c>
      <c r="G40" s="16">
        <f>IFERROR(__xludf.DUMMYFUNCTION("""COMPUTED_VALUE"""),45799.6458333333)</f>
        <v>45799.6458333333</v>
      </c>
      <c r="H40" s="17">
        <f>IFERROR(__xludf.DUMMYFUNCTION("""COMPUTED_VALUE"""),5410)</f>
        <v>5410</v>
      </c>
      <c r="I40" s="16">
        <f>IFERROR(__xludf.DUMMYFUNCTION("""COMPUTED_VALUE"""),45799.6458333333)</f>
        <v>45799.6458333333</v>
      </c>
      <c r="J40" s="17">
        <f>IFERROR(__xludf.DUMMYFUNCTION("""COMPUTED_VALUE"""),5320)</f>
        <v>5320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IFERROR(__xludf.DUMMYFUNCTION("""COMPUTED_VALUE"""),5400)</f>
        <v>5400</v>
      </c>
      <c r="C41" s="16">
        <f>IFERROR(__xludf.DUMMYFUNCTION("""COMPUTED_VALUE"""),45800.6458333333)</f>
        <v>45800.6458333333</v>
      </c>
      <c r="D41" s="17">
        <f>IFERROR(__xludf.DUMMYFUNCTION("""COMPUTED_VALUE"""),5390)</f>
        <v>5390</v>
      </c>
      <c r="E41" s="16">
        <f>IFERROR(__xludf.DUMMYFUNCTION("""COMPUTED_VALUE"""),45800.6458333333)</f>
        <v>45800.6458333333</v>
      </c>
      <c r="F41" s="17">
        <f>IFERROR(__xludf.DUMMYFUNCTION("""COMPUTED_VALUE"""),282287)</f>
        <v>282287</v>
      </c>
      <c r="G41" s="16">
        <f>IFERROR(__xludf.DUMMYFUNCTION("""COMPUTED_VALUE"""),45800.6458333333)</f>
        <v>45800.6458333333</v>
      </c>
      <c r="H41" s="17">
        <f>IFERROR(__xludf.DUMMYFUNCTION("""COMPUTED_VALUE"""),5437.5)</f>
        <v>5437.5</v>
      </c>
      <c r="I41" s="16">
        <f>IFERROR(__xludf.DUMMYFUNCTION("""COMPUTED_VALUE"""),45800.6458333333)</f>
        <v>45800.6458333333</v>
      </c>
      <c r="J41" s="17">
        <f>IFERROR(__xludf.DUMMYFUNCTION("""COMPUTED_VALUE"""),5376)</f>
        <v>5376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IFERROR(__xludf.DUMMYFUNCTION("""COMPUTED_VALUE"""),5427.5)</f>
        <v>5427.5</v>
      </c>
      <c r="C42" s="16">
        <f>IFERROR(__xludf.DUMMYFUNCTION("""COMPUTED_VALUE"""),45803.6458333333)</f>
        <v>45803.6458333333</v>
      </c>
      <c r="D42" s="17">
        <f>IFERROR(__xludf.DUMMYFUNCTION("""COMPUTED_VALUE"""),5403)</f>
        <v>5403</v>
      </c>
      <c r="E42" s="16">
        <f>IFERROR(__xludf.DUMMYFUNCTION("""COMPUTED_VALUE"""),45803.6458333333)</f>
        <v>45803.6458333333</v>
      </c>
      <c r="F42" s="17">
        <f>IFERROR(__xludf.DUMMYFUNCTION("""COMPUTED_VALUE"""),337099)</f>
        <v>337099</v>
      </c>
      <c r="G42" s="16">
        <f>IFERROR(__xludf.DUMMYFUNCTION("""COMPUTED_VALUE"""),45803.6458333333)</f>
        <v>45803.6458333333</v>
      </c>
      <c r="H42" s="17">
        <f>IFERROR(__xludf.DUMMYFUNCTION("""COMPUTED_VALUE"""),5473)</f>
        <v>5473</v>
      </c>
      <c r="I42" s="16">
        <f>IFERROR(__xludf.DUMMYFUNCTION("""COMPUTED_VALUE"""),45803.6458333333)</f>
        <v>45803.6458333333</v>
      </c>
      <c r="J42" s="17">
        <f>IFERROR(__xludf.DUMMYFUNCTION("""COMPUTED_VALUE"""),5400.5)</f>
        <v>5400.5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IFERROR(__xludf.DUMMYFUNCTION("""COMPUTED_VALUE"""),5389.5)</f>
        <v>5389.5</v>
      </c>
      <c r="C43" s="16">
        <f>IFERROR(__xludf.DUMMYFUNCTION("""COMPUTED_VALUE"""),45804.6458333333)</f>
        <v>45804.6458333333</v>
      </c>
      <c r="D43" s="17">
        <f>IFERROR(__xludf.DUMMYFUNCTION("""COMPUTED_VALUE"""),5420)</f>
        <v>5420</v>
      </c>
      <c r="E43" s="16">
        <f>IFERROR(__xludf.DUMMYFUNCTION("""COMPUTED_VALUE"""),45804.6458333333)</f>
        <v>45804.6458333333</v>
      </c>
      <c r="F43" s="17">
        <f>IFERROR(__xludf.DUMMYFUNCTION("""COMPUTED_VALUE"""),452769)</f>
        <v>452769</v>
      </c>
      <c r="G43" s="16">
        <f>IFERROR(__xludf.DUMMYFUNCTION("""COMPUTED_VALUE"""),45804.6458333333)</f>
        <v>45804.6458333333</v>
      </c>
      <c r="H43" s="17">
        <f>IFERROR(__xludf.DUMMYFUNCTION("""COMPUTED_VALUE"""),5445)</f>
        <v>5445</v>
      </c>
      <c r="I43" s="16">
        <f>IFERROR(__xludf.DUMMYFUNCTION("""COMPUTED_VALUE"""),45804.6458333333)</f>
        <v>45804.6458333333</v>
      </c>
      <c r="J43" s="17">
        <f>IFERROR(__xludf.DUMMYFUNCTION("""COMPUTED_VALUE"""),5376)</f>
        <v>5376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IFERROR(__xludf.DUMMYFUNCTION("""COMPUTED_VALUE"""),5326.5)</f>
        <v>5326.5</v>
      </c>
      <c r="C44" s="16">
        <f>IFERROR(__xludf.DUMMYFUNCTION("""COMPUTED_VALUE"""),45805.6458333333)</f>
        <v>45805.6458333333</v>
      </c>
      <c r="D44" s="17">
        <f>IFERROR(__xludf.DUMMYFUNCTION("""COMPUTED_VALUE"""),5405)</f>
        <v>5405</v>
      </c>
      <c r="E44" s="16">
        <f>IFERROR(__xludf.DUMMYFUNCTION("""COMPUTED_VALUE"""),45805.6458333333)</f>
        <v>45805.6458333333</v>
      </c>
      <c r="F44" s="17">
        <f>IFERROR(__xludf.DUMMYFUNCTION("""COMPUTED_VALUE"""),380066)</f>
        <v>380066</v>
      </c>
      <c r="G44" s="16">
        <f>IFERROR(__xludf.DUMMYFUNCTION("""COMPUTED_VALUE"""),45805.6458333333)</f>
        <v>45805.6458333333</v>
      </c>
      <c r="H44" s="17">
        <f>IFERROR(__xludf.DUMMYFUNCTION("""COMPUTED_VALUE"""),5409.5)</f>
        <v>5409.5</v>
      </c>
      <c r="I44" s="16">
        <f>IFERROR(__xludf.DUMMYFUNCTION("""COMPUTED_VALUE"""),45805.6458333333)</f>
        <v>45805.6458333333</v>
      </c>
      <c r="J44" s="17">
        <f>IFERROR(__xludf.DUMMYFUNCTION("""COMPUTED_VALUE"""),5314)</f>
        <v>5314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IFERROR(__xludf.DUMMYFUNCTION("""COMPUTED_VALUE"""),5379)</f>
        <v>5379</v>
      </c>
      <c r="C45" s="16">
        <f>IFERROR(__xludf.DUMMYFUNCTION("""COMPUTED_VALUE"""),45806.6458333333)</f>
        <v>45806.6458333333</v>
      </c>
      <c r="D45" s="17">
        <f>IFERROR(__xludf.DUMMYFUNCTION("""COMPUTED_VALUE"""),5328.5)</f>
        <v>5328.5</v>
      </c>
      <c r="E45" s="16">
        <f>IFERROR(__xludf.DUMMYFUNCTION("""COMPUTED_VALUE"""),45806.6458333333)</f>
        <v>45806.6458333333</v>
      </c>
      <c r="F45" s="17">
        <f>IFERROR(__xludf.DUMMYFUNCTION("""COMPUTED_VALUE"""),704795)</f>
        <v>704795</v>
      </c>
      <c r="G45" s="16">
        <f>IFERROR(__xludf.DUMMYFUNCTION("""COMPUTED_VALUE"""),45806.6458333333)</f>
        <v>45806.6458333333</v>
      </c>
      <c r="H45" s="17">
        <f>IFERROR(__xludf.DUMMYFUNCTION("""COMPUTED_VALUE"""),5396.5)</f>
        <v>5396.5</v>
      </c>
      <c r="I45" s="16">
        <f>IFERROR(__xludf.DUMMYFUNCTION("""COMPUTED_VALUE"""),45806.6458333333)</f>
        <v>45806.6458333333</v>
      </c>
      <c r="J45" s="17">
        <f>IFERROR(__xludf.DUMMYFUNCTION("""COMPUTED_VALUE"""),5287)</f>
        <v>5287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IFERROR(__xludf.DUMMYFUNCTION("""COMPUTED_VALUE"""),5333.5)</f>
        <v>5333.5</v>
      </c>
      <c r="C46" s="16">
        <f>IFERROR(__xludf.DUMMYFUNCTION("""COMPUTED_VALUE"""),45807.6458333333)</f>
        <v>45807.6458333333</v>
      </c>
      <c r="D46" s="17">
        <f>IFERROR(__xludf.DUMMYFUNCTION("""COMPUTED_VALUE"""),5378)</f>
        <v>5378</v>
      </c>
      <c r="E46" s="16">
        <f>IFERROR(__xludf.DUMMYFUNCTION("""COMPUTED_VALUE"""),45807.6458333333)</f>
        <v>45807.6458333333</v>
      </c>
      <c r="F46" s="17">
        <f>IFERROR(__xludf.DUMMYFUNCTION("""COMPUTED_VALUE"""),915804)</f>
        <v>915804</v>
      </c>
      <c r="G46" s="16">
        <f>IFERROR(__xludf.DUMMYFUNCTION("""COMPUTED_VALUE"""),45807.6458333333)</f>
        <v>45807.6458333333</v>
      </c>
      <c r="H46" s="17">
        <f>IFERROR(__xludf.DUMMYFUNCTION("""COMPUTED_VALUE"""),5403)</f>
        <v>5403</v>
      </c>
      <c r="I46" s="16">
        <f>IFERROR(__xludf.DUMMYFUNCTION("""COMPUTED_VALUE"""),45807.6458333333)</f>
        <v>45807.6458333333</v>
      </c>
      <c r="J46" s="17">
        <f>IFERROR(__xludf.DUMMYFUNCTION("""COMPUTED_VALUE"""),5319.5)</f>
        <v>5319.5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IFERROR(__xludf.DUMMYFUNCTION("""COMPUTED_VALUE"""),5361)</f>
        <v>5361</v>
      </c>
      <c r="C47" s="16">
        <f>IFERROR(__xludf.DUMMYFUNCTION("""COMPUTED_VALUE"""),45810.6458333333)</f>
        <v>45810.6458333333</v>
      </c>
      <c r="D47" s="17">
        <f>IFERROR(__xludf.DUMMYFUNCTION("""COMPUTED_VALUE"""),5340)</f>
        <v>5340</v>
      </c>
      <c r="E47" s="16">
        <f>IFERROR(__xludf.DUMMYFUNCTION("""COMPUTED_VALUE"""),45810.6458333333)</f>
        <v>45810.6458333333</v>
      </c>
      <c r="F47" s="17">
        <f>IFERROR(__xludf.DUMMYFUNCTION("""COMPUTED_VALUE"""),475698)</f>
        <v>475698</v>
      </c>
      <c r="G47" s="16">
        <f>IFERROR(__xludf.DUMMYFUNCTION("""COMPUTED_VALUE"""),45810.6458333333)</f>
        <v>45810.6458333333</v>
      </c>
      <c r="H47" s="17">
        <f>IFERROR(__xludf.DUMMYFUNCTION("""COMPUTED_VALUE"""),5385)</f>
        <v>5385</v>
      </c>
      <c r="I47" s="16">
        <f>IFERROR(__xludf.DUMMYFUNCTION("""COMPUTED_VALUE"""),45810.6458333333)</f>
        <v>45810.6458333333</v>
      </c>
      <c r="J47" s="17">
        <f>IFERROR(__xludf.DUMMYFUNCTION("""COMPUTED_VALUE"""),5316.5)</f>
        <v>5316.5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IFERROR(__xludf.DUMMYFUNCTION("""COMPUTED_VALUE"""),5354)</f>
        <v>5354</v>
      </c>
      <c r="C48" s="16">
        <f>IFERROR(__xludf.DUMMYFUNCTION("""COMPUTED_VALUE"""),45811.6458333333)</f>
        <v>45811.6458333333</v>
      </c>
      <c r="D48" s="17">
        <f>IFERROR(__xludf.DUMMYFUNCTION("""COMPUTED_VALUE"""),5414)</f>
        <v>5414</v>
      </c>
      <c r="E48" s="16">
        <f>IFERROR(__xludf.DUMMYFUNCTION("""COMPUTED_VALUE"""),45811.6458333333)</f>
        <v>45811.6458333333</v>
      </c>
      <c r="F48" s="17">
        <f>IFERROR(__xludf.DUMMYFUNCTION("""COMPUTED_VALUE"""),479572)</f>
        <v>479572</v>
      </c>
      <c r="G48" s="16">
        <f>IFERROR(__xludf.DUMMYFUNCTION("""COMPUTED_VALUE"""),45811.6458333333)</f>
        <v>45811.6458333333</v>
      </c>
      <c r="H48" s="17">
        <f>IFERROR(__xludf.DUMMYFUNCTION("""COMPUTED_VALUE"""),5414)</f>
        <v>5414</v>
      </c>
      <c r="I48" s="16">
        <f>IFERROR(__xludf.DUMMYFUNCTION("""COMPUTED_VALUE"""),45811.6458333333)</f>
        <v>45811.6458333333</v>
      </c>
      <c r="J48" s="17">
        <f>IFERROR(__xludf.DUMMYFUNCTION("""COMPUTED_VALUE"""),5296)</f>
        <v>5296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IFERROR(__xludf.DUMMYFUNCTION("""COMPUTED_VALUE"""),5319.5)</f>
        <v>5319.5</v>
      </c>
      <c r="C49" s="16">
        <f>IFERROR(__xludf.DUMMYFUNCTION("""COMPUTED_VALUE"""),45812.6458333333)</f>
        <v>45812.6458333333</v>
      </c>
      <c r="D49" s="17">
        <f>IFERROR(__xludf.DUMMYFUNCTION("""COMPUTED_VALUE"""),5340)</f>
        <v>5340</v>
      </c>
      <c r="E49" s="16">
        <f>IFERROR(__xludf.DUMMYFUNCTION("""COMPUTED_VALUE"""),45812.6458333333)</f>
        <v>45812.6458333333</v>
      </c>
      <c r="F49" s="17">
        <f>IFERROR(__xludf.DUMMYFUNCTION("""COMPUTED_VALUE"""),321913)</f>
        <v>321913</v>
      </c>
      <c r="G49" s="16">
        <f>IFERROR(__xludf.DUMMYFUNCTION("""COMPUTED_VALUE"""),45812.6458333333)</f>
        <v>45812.6458333333</v>
      </c>
      <c r="H49" s="17">
        <f>IFERROR(__xludf.DUMMYFUNCTION("""COMPUTED_VALUE"""),5385.5)</f>
        <v>5385.5</v>
      </c>
      <c r="I49" s="16">
        <f>IFERROR(__xludf.DUMMYFUNCTION("""COMPUTED_VALUE"""),45812.6458333333)</f>
        <v>45812.6458333333</v>
      </c>
      <c r="J49" s="17">
        <f>IFERROR(__xludf.DUMMYFUNCTION("""COMPUTED_VALUE"""),5296.5)</f>
        <v>5296.5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IFERROR(__xludf.DUMMYFUNCTION("""COMPUTED_VALUE"""),5308.5)</f>
        <v>5308.5</v>
      </c>
      <c r="C50" s="16">
        <f>IFERROR(__xludf.DUMMYFUNCTION("""COMPUTED_VALUE"""),45813.6458333333)</f>
        <v>45813.6458333333</v>
      </c>
      <c r="D50" s="17">
        <f>IFERROR(__xludf.DUMMYFUNCTION("""COMPUTED_VALUE"""),5331.5)</f>
        <v>5331.5</v>
      </c>
      <c r="E50" s="16">
        <f>IFERROR(__xludf.DUMMYFUNCTION("""COMPUTED_VALUE"""),45813.6458333333)</f>
        <v>45813.6458333333</v>
      </c>
      <c r="F50" s="17">
        <f>IFERROR(__xludf.DUMMYFUNCTION("""COMPUTED_VALUE"""),459910)</f>
        <v>459910</v>
      </c>
      <c r="G50" s="16">
        <f>IFERROR(__xludf.DUMMYFUNCTION("""COMPUTED_VALUE"""),45813.6458333333)</f>
        <v>45813.6458333333</v>
      </c>
      <c r="H50" s="17">
        <f>IFERROR(__xludf.DUMMYFUNCTION("""COMPUTED_VALUE"""),5338)</f>
        <v>5338</v>
      </c>
      <c r="I50" s="16">
        <f>IFERROR(__xludf.DUMMYFUNCTION("""COMPUTED_VALUE"""),45813.6458333333)</f>
        <v>45813.6458333333</v>
      </c>
      <c r="J50" s="17">
        <f>IFERROR(__xludf.DUMMYFUNCTION("""COMPUTED_VALUE"""),5284)</f>
        <v>5284</v>
      </c>
      <c r="K50" s="3">
        <f t="shared" si="2"/>
        <v>0</v>
      </c>
      <c r="L50" s="3">
        <f t="shared" si="3"/>
        <v>5308.5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IFERROR(__xludf.DUMMYFUNCTION("""COMPUTED_VALUE"""),5394)</f>
        <v>5394</v>
      </c>
      <c r="C51" s="16">
        <f>IFERROR(__xludf.DUMMYFUNCTION("""COMPUTED_VALUE"""),45814.6458333333)</f>
        <v>45814.6458333333</v>
      </c>
      <c r="D51" s="17">
        <f>IFERROR(__xludf.DUMMYFUNCTION("""COMPUTED_VALUE"""),5290.5)</f>
        <v>5290.5</v>
      </c>
      <c r="E51" s="16">
        <f>IFERROR(__xludf.DUMMYFUNCTION("""COMPUTED_VALUE"""),45814.6458333333)</f>
        <v>45814.6458333333</v>
      </c>
      <c r="F51" s="17">
        <f>IFERROR(__xludf.DUMMYFUNCTION("""COMPUTED_VALUE"""),538092)</f>
        <v>538092</v>
      </c>
      <c r="G51" s="16">
        <f>IFERROR(__xludf.DUMMYFUNCTION("""COMPUTED_VALUE"""),45814.6458333333)</f>
        <v>45814.6458333333</v>
      </c>
      <c r="H51" s="17">
        <f>IFERROR(__xludf.DUMMYFUNCTION("""COMPUTED_VALUE"""),5405)</f>
        <v>5405</v>
      </c>
      <c r="I51" s="16">
        <f>IFERROR(__xludf.DUMMYFUNCTION("""COMPUTED_VALUE"""),45814.6458333333)</f>
        <v>45814.6458333333</v>
      </c>
      <c r="J51" s="17">
        <f>IFERROR(__xludf.DUMMYFUNCTION("""COMPUTED_VALUE"""),5261.5)</f>
        <v>5261.5</v>
      </c>
      <c r="K51" s="3">
        <f t="shared" si="2"/>
        <v>5394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IFERROR(__xludf.DUMMYFUNCTION("""COMPUTED_VALUE"""),5391)</f>
        <v>5391</v>
      </c>
      <c r="C52" s="16">
        <f>IFERROR(__xludf.DUMMYFUNCTION("""COMPUTED_VALUE"""),45817.6458333333)</f>
        <v>45817.6458333333</v>
      </c>
      <c r="D52" s="17">
        <f>IFERROR(__xludf.DUMMYFUNCTION("""COMPUTED_VALUE"""),5422)</f>
        <v>5422</v>
      </c>
      <c r="E52" s="16">
        <f>IFERROR(__xludf.DUMMYFUNCTION("""COMPUTED_VALUE"""),45817.6458333333)</f>
        <v>45817.6458333333</v>
      </c>
      <c r="F52" s="17">
        <f>IFERROR(__xludf.DUMMYFUNCTION("""COMPUTED_VALUE"""),270949)</f>
        <v>270949</v>
      </c>
      <c r="G52" s="16">
        <f>IFERROR(__xludf.DUMMYFUNCTION("""COMPUTED_VALUE"""),45817.6458333333)</f>
        <v>45817.6458333333</v>
      </c>
      <c r="H52" s="17">
        <f>IFERROR(__xludf.DUMMYFUNCTION("""COMPUTED_VALUE"""),5444)</f>
        <v>5444</v>
      </c>
      <c r="I52" s="16">
        <f>IFERROR(__xludf.DUMMYFUNCTION("""COMPUTED_VALUE"""),45817.6458333333)</f>
        <v>45817.6458333333</v>
      </c>
      <c r="J52" s="17">
        <f>IFERROR(__xludf.DUMMYFUNCTION("""COMPUTED_VALUE"""),5377.5)</f>
        <v>5377.5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IFERROR(__xludf.DUMMYFUNCTION("""COMPUTED_VALUE"""),5377.5)</f>
        <v>5377.5</v>
      </c>
      <c r="C53" s="16">
        <f>IFERROR(__xludf.DUMMYFUNCTION("""COMPUTED_VALUE"""),45818.6458333333)</f>
        <v>45818.6458333333</v>
      </c>
      <c r="D53" s="17">
        <f>IFERROR(__xludf.DUMMYFUNCTION("""COMPUTED_VALUE"""),5426)</f>
        <v>5426</v>
      </c>
      <c r="E53" s="16">
        <f>IFERROR(__xludf.DUMMYFUNCTION("""COMPUTED_VALUE"""),45818.6458333333)</f>
        <v>45818.6458333333</v>
      </c>
      <c r="F53" s="17">
        <f>IFERROR(__xludf.DUMMYFUNCTION("""COMPUTED_VALUE"""),330659)</f>
        <v>330659</v>
      </c>
      <c r="G53" s="16">
        <f>IFERROR(__xludf.DUMMYFUNCTION("""COMPUTED_VALUE"""),45818.6458333333)</f>
        <v>45818.6458333333</v>
      </c>
      <c r="H53" s="17">
        <f>IFERROR(__xludf.DUMMYFUNCTION("""COMPUTED_VALUE"""),5426)</f>
        <v>5426</v>
      </c>
      <c r="I53" s="16">
        <f>IFERROR(__xludf.DUMMYFUNCTION("""COMPUTED_VALUE"""),45818.6458333333)</f>
        <v>45818.6458333333</v>
      </c>
      <c r="J53" s="17">
        <f>IFERROR(__xludf.DUMMYFUNCTION("""COMPUTED_VALUE"""),5370.5)</f>
        <v>5370.5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IFERROR(__xludf.DUMMYFUNCTION("""COMPUTED_VALUE"""),5352)</f>
        <v>5352</v>
      </c>
      <c r="C54" s="16">
        <f>IFERROR(__xludf.DUMMYFUNCTION("""COMPUTED_VALUE"""),45819.6458333333)</f>
        <v>45819.6458333333</v>
      </c>
      <c r="D54" s="17">
        <f>IFERROR(__xludf.DUMMYFUNCTION("""COMPUTED_VALUE"""),5370)</f>
        <v>5370</v>
      </c>
      <c r="E54" s="16">
        <f>IFERROR(__xludf.DUMMYFUNCTION("""COMPUTED_VALUE"""),45819.6458333333)</f>
        <v>45819.6458333333</v>
      </c>
      <c r="F54" s="17">
        <f>IFERROR(__xludf.DUMMYFUNCTION("""COMPUTED_VALUE"""),366787)</f>
        <v>366787</v>
      </c>
      <c r="G54" s="16">
        <f>IFERROR(__xludf.DUMMYFUNCTION("""COMPUTED_VALUE"""),45819.6458333333)</f>
        <v>45819.6458333333</v>
      </c>
      <c r="H54" s="17">
        <f>IFERROR(__xludf.DUMMYFUNCTION("""COMPUTED_VALUE"""),5434.5)</f>
        <v>5434.5</v>
      </c>
      <c r="I54" s="16">
        <f>IFERROR(__xludf.DUMMYFUNCTION("""COMPUTED_VALUE"""),45819.6458333333)</f>
        <v>45819.6458333333</v>
      </c>
      <c r="J54" s="17">
        <f>IFERROR(__xludf.DUMMYFUNCTION("""COMPUTED_VALUE"""),5342.5)</f>
        <v>5342.5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IFERROR(__xludf.DUMMYFUNCTION("""COMPUTED_VALUE"""),5315.5)</f>
        <v>5315.5</v>
      </c>
      <c r="C55" s="16">
        <f>IFERROR(__xludf.DUMMYFUNCTION("""COMPUTED_VALUE"""),45820.6458333333)</f>
        <v>45820.6458333333</v>
      </c>
      <c r="D55" s="17">
        <f>IFERROR(__xludf.DUMMYFUNCTION("""COMPUTED_VALUE"""),5351)</f>
        <v>5351</v>
      </c>
      <c r="E55" s="16">
        <f>IFERROR(__xludf.DUMMYFUNCTION("""COMPUTED_VALUE"""),45820.6458333333)</f>
        <v>45820.6458333333</v>
      </c>
      <c r="F55" s="17">
        <f>IFERROR(__xludf.DUMMYFUNCTION("""COMPUTED_VALUE"""),337217)</f>
        <v>337217</v>
      </c>
      <c r="G55" s="16">
        <f>IFERROR(__xludf.DUMMYFUNCTION("""COMPUTED_VALUE"""),45820.6458333333)</f>
        <v>45820.6458333333</v>
      </c>
      <c r="H55" s="17">
        <f>IFERROR(__xludf.DUMMYFUNCTION("""COMPUTED_VALUE"""),5375)</f>
        <v>5375</v>
      </c>
      <c r="I55" s="16">
        <f>IFERROR(__xludf.DUMMYFUNCTION("""COMPUTED_VALUE"""),45820.6458333333)</f>
        <v>45820.6458333333</v>
      </c>
      <c r="J55" s="17">
        <f>IFERROR(__xludf.DUMMYFUNCTION("""COMPUTED_VALUE"""),5302)</f>
        <v>5302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IFERROR(__xludf.DUMMYFUNCTION("""COMPUTED_VALUE"""),5319)</f>
        <v>5319</v>
      </c>
      <c r="C56" s="16">
        <f>IFERROR(__xludf.DUMMYFUNCTION("""COMPUTED_VALUE"""),45821.6458333333)</f>
        <v>45821.6458333333</v>
      </c>
      <c r="D56" s="17">
        <f>IFERROR(__xludf.DUMMYFUNCTION("""COMPUTED_VALUE"""),5280)</f>
        <v>5280</v>
      </c>
      <c r="E56" s="16">
        <f>IFERROR(__xludf.DUMMYFUNCTION("""COMPUTED_VALUE"""),45821.6458333333)</f>
        <v>45821.6458333333</v>
      </c>
      <c r="F56" s="17">
        <f>IFERROR(__xludf.DUMMYFUNCTION("""COMPUTED_VALUE"""),414671)</f>
        <v>414671</v>
      </c>
      <c r="G56" s="16">
        <f>IFERROR(__xludf.DUMMYFUNCTION("""COMPUTED_VALUE"""),45821.6458333333)</f>
        <v>45821.6458333333</v>
      </c>
      <c r="H56" s="17">
        <f>IFERROR(__xludf.DUMMYFUNCTION("""COMPUTED_VALUE"""),5333.5)</f>
        <v>5333.5</v>
      </c>
      <c r="I56" s="16">
        <f>IFERROR(__xludf.DUMMYFUNCTION("""COMPUTED_VALUE"""),45821.6458333333)</f>
        <v>45821.6458333333</v>
      </c>
      <c r="J56" s="17">
        <f>IFERROR(__xludf.DUMMYFUNCTION("""COMPUTED_VALUE"""),5219.5)</f>
        <v>5219.5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IFERROR(__xludf.DUMMYFUNCTION("""COMPUTED_VALUE"""),5365)</f>
        <v>5365</v>
      </c>
      <c r="C57" s="16">
        <f>IFERROR(__xludf.DUMMYFUNCTION("""COMPUTED_VALUE"""),45824.6458333333)</f>
        <v>45824.6458333333</v>
      </c>
      <c r="D57" s="17">
        <f>IFERROR(__xludf.DUMMYFUNCTION("""COMPUTED_VALUE"""),5305)</f>
        <v>5305</v>
      </c>
      <c r="E57" s="16">
        <f>IFERROR(__xludf.DUMMYFUNCTION("""COMPUTED_VALUE"""),45824.6458333333)</f>
        <v>45824.6458333333</v>
      </c>
      <c r="F57" s="17">
        <f>IFERROR(__xludf.DUMMYFUNCTION("""COMPUTED_VALUE"""),294926)</f>
        <v>294926</v>
      </c>
      <c r="G57" s="16">
        <f>IFERROR(__xludf.DUMMYFUNCTION("""COMPUTED_VALUE"""),45824.6458333333)</f>
        <v>45824.6458333333</v>
      </c>
      <c r="H57" s="17">
        <f>IFERROR(__xludf.DUMMYFUNCTION("""COMPUTED_VALUE"""),5381.5)</f>
        <v>5381.5</v>
      </c>
      <c r="I57" s="16">
        <f>IFERROR(__xludf.DUMMYFUNCTION("""COMPUTED_VALUE"""),45824.6458333333)</f>
        <v>45824.6458333333</v>
      </c>
      <c r="J57" s="17">
        <f>IFERROR(__xludf.DUMMYFUNCTION("""COMPUTED_VALUE"""),5305)</f>
        <v>5305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IFERROR(__xludf.DUMMYFUNCTION("""COMPUTED_VALUE"""),5341)</f>
        <v>5341</v>
      </c>
      <c r="C58" s="16">
        <f>IFERROR(__xludf.DUMMYFUNCTION("""COMPUTED_VALUE"""),45825.6458333333)</f>
        <v>45825.6458333333</v>
      </c>
      <c r="D58" s="17">
        <f>IFERROR(__xludf.DUMMYFUNCTION("""COMPUTED_VALUE"""),5381)</f>
        <v>5381</v>
      </c>
      <c r="E58" s="16">
        <f>IFERROR(__xludf.DUMMYFUNCTION("""COMPUTED_VALUE"""),45825.6458333333)</f>
        <v>45825.6458333333</v>
      </c>
      <c r="F58" s="17">
        <f>IFERROR(__xludf.DUMMYFUNCTION("""COMPUTED_VALUE"""),710729)</f>
        <v>710729</v>
      </c>
      <c r="G58" s="16">
        <f>IFERROR(__xludf.DUMMYFUNCTION("""COMPUTED_VALUE"""),45825.6458333333)</f>
        <v>45825.6458333333</v>
      </c>
      <c r="H58" s="17">
        <f>IFERROR(__xludf.DUMMYFUNCTION("""COMPUTED_VALUE"""),5391)</f>
        <v>5391</v>
      </c>
      <c r="I58" s="16">
        <f>IFERROR(__xludf.DUMMYFUNCTION("""COMPUTED_VALUE"""),45825.6458333333)</f>
        <v>45825.6458333333</v>
      </c>
      <c r="J58" s="17">
        <f>IFERROR(__xludf.DUMMYFUNCTION("""COMPUTED_VALUE"""),5311)</f>
        <v>5311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IFERROR(__xludf.DUMMYFUNCTION("""COMPUTED_VALUE"""),5393)</f>
        <v>5393</v>
      </c>
      <c r="C59" s="16">
        <f>IFERROR(__xludf.DUMMYFUNCTION("""COMPUTED_VALUE"""),45826.6458333333)</f>
        <v>45826.6458333333</v>
      </c>
      <c r="D59" s="17">
        <f>IFERROR(__xludf.DUMMYFUNCTION("""COMPUTED_VALUE"""),5334)</f>
        <v>5334</v>
      </c>
      <c r="E59" s="16">
        <f>IFERROR(__xludf.DUMMYFUNCTION("""COMPUTED_VALUE"""),45826.6458333333)</f>
        <v>45826.6458333333</v>
      </c>
      <c r="F59" s="17">
        <f>IFERROR(__xludf.DUMMYFUNCTION("""COMPUTED_VALUE"""),774670)</f>
        <v>774670</v>
      </c>
      <c r="G59" s="16">
        <f>IFERROR(__xludf.DUMMYFUNCTION("""COMPUTED_VALUE"""),45826.6458333333)</f>
        <v>45826.6458333333</v>
      </c>
      <c r="H59" s="17">
        <f>IFERROR(__xludf.DUMMYFUNCTION("""COMPUTED_VALUE"""),5463)</f>
        <v>5463</v>
      </c>
      <c r="I59" s="16">
        <f>IFERROR(__xludf.DUMMYFUNCTION("""COMPUTED_VALUE"""),45826.6458333333)</f>
        <v>45826.6458333333</v>
      </c>
      <c r="J59" s="17">
        <f>IFERROR(__xludf.DUMMYFUNCTION("""COMPUTED_VALUE"""),5307.5)</f>
        <v>5307.5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IFERROR(__xludf.DUMMYFUNCTION("""COMPUTED_VALUE"""),5493.5)</f>
        <v>5493.5</v>
      </c>
      <c r="C60" s="16">
        <f>IFERROR(__xludf.DUMMYFUNCTION("""COMPUTED_VALUE"""),45827.6458333333)</f>
        <v>45827.6458333333</v>
      </c>
      <c r="D60" s="17">
        <f>IFERROR(__xludf.DUMMYFUNCTION("""COMPUTED_VALUE"""),5410)</f>
        <v>5410</v>
      </c>
      <c r="E60" s="16">
        <f>IFERROR(__xludf.DUMMYFUNCTION("""COMPUTED_VALUE"""),45827.6458333333)</f>
        <v>45827.6458333333</v>
      </c>
      <c r="F60" s="17">
        <f>IFERROR(__xludf.DUMMYFUNCTION("""COMPUTED_VALUE"""),923400)</f>
        <v>923400</v>
      </c>
      <c r="G60" s="16">
        <f>IFERROR(__xludf.DUMMYFUNCTION("""COMPUTED_VALUE"""),45827.6458333333)</f>
        <v>45827.6458333333</v>
      </c>
      <c r="H60" s="17">
        <f>IFERROR(__xludf.DUMMYFUNCTION("""COMPUTED_VALUE"""),5506.5)</f>
        <v>5506.5</v>
      </c>
      <c r="I60" s="16">
        <f>IFERROR(__xludf.DUMMYFUNCTION("""COMPUTED_VALUE"""),45827.6458333333)</f>
        <v>45827.6458333333</v>
      </c>
      <c r="J60" s="17">
        <f>IFERROR(__xludf.DUMMYFUNCTION("""COMPUTED_VALUE"""),5405)</f>
        <v>5405</v>
      </c>
      <c r="K60" s="3">
        <f t="shared" si="2"/>
        <v>0</v>
      </c>
      <c r="L60" s="3">
        <f t="shared" si="3"/>
        <v>0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IFERROR(__xludf.DUMMYFUNCTION("""COMPUTED_VALUE"""),5525)</f>
        <v>5525</v>
      </c>
      <c r="C61" s="16">
        <f>IFERROR(__xludf.DUMMYFUNCTION("""COMPUTED_VALUE"""),45828.6458333333)</f>
        <v>45828.6458333333</v>
      </c>
      <c r="D61" s="17">
        <f>IFERROR(__xludf.DUMMYFUNCTION("""COMPUTED_VALUE"""),5530)</f>
        <v>5530</v>
      </c>
      <c r="E61" s="16">
        <f>IFERROR(__xludf.DUMMYFUNCTION("""COMPUTED_VALUE"""),45828.6458333333)</f>
        <v>45828.6458333333</v>
      </c>
      <c r="F61" s="17">
        <f>IFERROR(__xludf.DUMMYFUNCTION("""COMPUTED_VALUE"""),776879)</f>
        <v>776879</v>
      </c>
      <c r="G61" s="16">
        <f>IFERROR(__xludf.DUMMYFUNCTION("""COMPUTED_VALUE"""),45828.6458333333)</f>
        <v>45828.6458333333</v>
      </c>
      <c r="H61" s="17">
        <f>IFERROR(__xludf.DUMMYFUNCTION("""COMPUTED_VALUE"""),5542)</f>
        <v>5542</v>
      </c>
      <c r="I61" s="16">
        <f>IFERROR(__xludf.DUMMYFUNCTION("""COMPUTED_VALUE"""),45828.6458333333)</f>
        <v>45828.6458333333</v>
      </c>
      <c r="J61" s="17">
        <f>IFERROR(__xludf.DUMMYFUNCTION("""COMPUTED_VALUE"""),5495)</f>
        <v>5495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IFERROR(__xludf.DUMMYFUNCTION("""COMPUTED_VALUE"""),5552.5)</f>
        <v>5552.5</v>
      </c>
      <c r="C62" s="16">
        <f>IFERROR(__xludf.DUMMYFUNCTION("""COMPUTED_VALUE"""),45831.6458333333)</f>
        <v>45831.6458333333</v>
      </c>
      <c r="D62" s="17">
        <f>IFERROR(__xludf.DUMMYFUNCTION("""COMPUTED_VALUE"""),5495)</f>
        <v>5495</v>
      </c>
      <c r="E62" s="16">
        <f>IFERROR(__xludf.DUMMYFUNCTION("""COMPUTED_VALUE"""),45831.6458333333)</f>
        <v>45831.6458333333</v>
      </c>
      <c r="F62" s="17">
        <f>IFERROR(__xludf.DUMMYFUNCTION("""COMPUTED_VALUE"""),247519)</f>
        <v>247519</v>
      </c>
      <c r="G62" s="16">
        <f>IFERROR(__xludf.DUMMYFUNCTION("""COMPUTED_VALUE"""),45831.6458333333)</f>
        <v>45831.6458333333</v>
      </c>
      <c r="H62" s="17">
        <f>IFERROR(__xludf.DUMMYFUNCTION("""COMPUTED_VALUE"""),5560)</f>
        <v>5560</v>
      </c>
      <c r="I62" s="16">
        <f>IFERROR(__xludf.DUMMYFUNCTION("""COMPUTED_VALUE"""),45831.6458333333)</f>
        <v>45831.6458333333</v>
      </c>
      <c r="J62" s="17">
        <f>IFERROR(__xludf.DUMMYFUNCTION("""COMPUTED_VALUE"""),5479.5)</f>
        <v>5479.5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IFERROR(__xludf.DUMMYFUNCTION("""COMPUTED_VALUE"""),5629)</f>
        <v>5629</v>
      </c>
      <c r="C63" s="16">
        <f>IFERROR(__xludf.DUMMYFUNCTION("""COMPUTED_VALUE"""),45832.6458333333)</f>
        <v>45832.6458333333</v>
      </c>
      <c r="D63" s="17">
        <f>IFERROR(__xludf.DUMMYFUNCTION("""COMPUTED_VALUE"""),5589)</f>
        <v>5589</v>
      </c>
      <c r="E63" s="16">
        <f>IFERROR(__xludf.DUMMYFUNCTION("""COMPUTED_VALUE"""),45832.6458333333)</f>
        <v>45832.6458333333</v>
      </c>
      <c r="F63" s="17">
        <f>IFERROR(__xludf.DUMMYFUNCTION("""COMPUTED_VALUE"""),579369)</f>
        <v>579369</v>
      </c>
      <c r="G63" s="16">
        <f>IFERROR(__xludf.DUMMYFUNCTION("""COMPUTED_VALUE"""),45832.6458333333)</f>
        <v>45832.6458333333</v>
      </c>
      <c r="H63" s="17">
        <f>IFERROR(__xludf.DUMMYFUNCTION("""COMPUTED_VALUE"""),5639.5)</f>
        <v>5639.5</v>
      </c>
      <c r="I63" s="16">
        <f>IFERROR(__xludf.DUMMYFUNCTION("""COMPUTED_VALUE"""),45832.6458333333)</f>
        <v>45832.6458333333</v>
      </c>
      <c r="J63" s="17">
        <f>IFERROR(__xludf.DUMMYFUNCTION("""COMPUTED_VALUE"""),5560)</f>
        <v>5560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IFERROR(__xludf.DUMMYFUNCTION("""COMPUTED_VALUE"""),5576)</f>
        <v>5576</v>
      </c>
      <c r="C64" s="16">
        <f>IFERROR(__xludf.DUMMYFUNCTION("""COMPUTED_VALUE"""),45833.6458333333)</f>
        <v>45833.6458333333</v>
      </c>
      <c r="D64" s="17">
        <f>IFERROR(__xludf.DUMMYFUNCTION("""COMPUTED_VALUE"""),5632)</f>
        <v>5632</v>
      </c>
      <c r="E64" s="16">
        <f>IFERROR(__xludf.DUMMYFUNCTION("""COMPUTED_VALUE"""),45833.6458333333)</f>
        <v>45833.6458333333</v>
      </c>
      <c r="F64" s="17">
        <f>IFERROR(__xludf.DUMMYFUNCTION("""COMPUTED_VALUE"""),449222)</f>
        <v>449222</v>
      </c>
      <c r="G64" s="16">
        <f>IFERROR(__xludf.DUMMYFUNCTION("""COMPUTED_VALUE"""),45833.6458333333)</f>
        <v>45833.6458333333</v>
      </c>
      <c r="H64" s="17">
        <f>IFERROR(__xludf.DUMMYFUNCTION("""COMPUTED_VALUE"""),5652.5)</f>
        <v>5652.5</v>
      </c>
      <c r="I64" s="16">
        <f>IFERROR(__xludf.DUMMYFUNCTION("""COMPUTED_VALUE"""),45833.6458333333)</f>
        <v>45833.6458333333</v>
      </c>
      <c r="J64" s="17">
        <f>IFERROR(__xludf.DUMMYFUNCTION("""COMPUTED_VALUE"""),5567.5)</f>
        <v>5567.5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IFERROR(__xludf.DUMMYFUNCTION("""COMPUTED_VALUE"""),5611.5)</f>
        <v>5611.5</v>
      </c>
      <c r="C65" s="16">
        <f>IFERROR(__xludf.DUMMYFUNCTION("""COMPUTED_VALUE"""),45834.6458333333)</f>
        <v>45834.6458333333</v>
      </c>
      <c r="D65" s="17">
        <f>IFERROR(__xludf.DUMMYFUNCTION("""COMPUTED_VALUE"""),5576.5)</f>
        <v>5576.5</v>
      </c>
      <c r="E65" s="16">
        <f>IFERROR(__xludf.DUMMYFUNCTION("""COMPUTED_VALUE"""),45834.6458333333)</f>
        <v>45834.6458333333</v>
      </c>
      <c r="F65" s="17">
        <f>IFERROR(__xludf.DUMMYFUNCTION("""COMPUTED_VALUE"""),788150)</f>
        <v>788150</v>
      </c>
      <c r="G65" s="16">
        <f>IFERROR(__xludf.DUMMYFUNCTION("""COMPUTED_VALUE"""),45834.6458333333)</f>
        <v>45834.6458333333</v>
      </c>
      <c r="H65" s="17">
        <f>IFERROR(__xludf.DUMMYFUNCTION("""COMPUTED_VALUE"""),5622.5)</f>
        <v>5622.5</v>
      </c>
      <c r="I65" s="16">
        <f>IFERROR(__xludf.DUMMYFUNCTION("""COMPUTED_VALUE"""),45834.6458333333)</f>
        <v>45834.6458333333</v>
      </c>
      <c r="J65" s="17">
        <f>IFERROR(__xludf.DUMMYFUNCTION("""COMPUTED_VALUE"""),5512)</f>
        <v>5512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IFERROR(__xludf.DUMMYFUNCTION("""COMPUTED_VALUE"""),5660)</f>
        <v>5660</v>
      </c>
      <c r="C66" s="16">
        <f>IFERROR(__xludf.DUMMYFUNCTION("""COMPUTED_VALUE"""),45835.6458333333)</f>
        <v>45835.6458333333</v>
      </c>
      <c r="D66" s="17">
        <f>IFERROR(__xludf.DUMMYFUNCTION("""COMPUTED_VALUE"""),5615)</f>
        <v>5615</v>
      </c>
      <c r="E66" s="16">
        <f>IFERROR(__xludf.DUMMYFUNCTION("""COMPUTED_VALUE"""),45835.6458333333)</f>
        <v>45835.6458333333</v>
      </c>
      <c r="F66" s="17">
        <f>IFERROR(__xludf.DUMMYFUNCTION("""COMPUTED_VALUE"""),413724)</f>
        <v>413724</v>
      </c>
      <c r="G66" s="16">
        <f>IFERROR(__xludf.DUMMYFUNCTION("""COMPUTED_VALUE"""),45835.6458333333)</f>
        <v>45835.6458333333</v>
      </c>
      <c r="H66" s="17">
        <f>IFERROR(__xludf.DUMMYFUNCTION("""COMPUTED_VALUE"""),5685)</f>
        <v>5685</v>
      </c>
      <c r="I66" s="16">
        <f>IFERROR(__xludf.DUMMYFUNCTION("""COMPUTED_VALUE"""),45835.6458333333)</f>
        <v>45835.6458333333</v>
      </c>
      <c r="J66" s="17">
        <f>IFERROR(__xludf.DUMMYFUNCTION("""COMPUTED_VALUE"""),5595)</f>
        <v>5595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IFERROR(__xludf.DUMMYFUNCTION("""COMPUTED_VALUE"""),5656.5)</f>
        <v>5656.5</v>
      </c>
      <c r="C67" s="16">
        <f>IFERROR(__xludf.DUMMYFUNCTION("""COMPUTED_VALUE"""),45838.6458333333)</f>
        <v>45838.6458333333</v>
      </c>
      <c r="D67" s="17">
        <f>IFERROR(__xludf.DUMMYFUNCTION("""COMPUTED_VALUE"""),5660)</f>
        <v>5660</v>
      </c>
      <c r="E67" s="16">
        <f>IFERROR(__xludf.DUMMYFUNCTION("""COMPUTED_VALUE"""),45838.6458333333)</f>
        <v>45838.6458333333</v>
      </c>
      <c r="F67" s="17">
        <f>IFERROR(__xludf.DUMMYFUNCTION("""COMPUTED_VALUE"""),340049)</f>
        <v>340049</v>
      </c>
      <c r="G67" s="16">
        <f>IFERROR(__xludf.DUMMYFUNCTION("""COMPUTED_VALUE"""),45838.6458333333)</f>
        <v>45838.6458333333</v>
      </c>
      <c r="H67" s="17">
        <f>IFERROR(__xludf.DUMMYFUNCTION("""COMPUTED_VALUE"""),5683.5)</f>
        <v>5683.5</v>
      </c>
      <c r="I67" s="16">
        <f>IFERROR(__xludf.DUMMYFUNCTION("""COMPUTED_VALUE"""),45838.6458333333)</f>
        <v>45838.6458333333</v>
      </c>
      <c r="J67" s="17">
        <f>IFERROR(__xludf.DUMMYFUNCTION("""COMPUTED_VALUE"""),5613)</f>
        <v>5613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IFERROR(__xludf.DUMMYFUNCTION("""COMPUTED_VALUE"""),5715.5)</f>
        <v>5715.5</v>
      </c>
      <c r="C68" s="16">
        <f>IFERROR(__xludf.DUMMYFUNCTION("""COMPUTED_VALUE"""),45839.6458333333)</f>
        <v>45839.6458333333</v>
      </c>
      <c r="D68" s="17">
        <f>IFERROR(__xludf.DUMMYFUNCTION("""COMPUTED_VALUE"""),5656.5)</f>
        <v>5656.5</v>
      </c>
      <c r="E68" s="16">
        <f>IFERROR(__xludf.DUMMYFUNCTION("""COMPUTED_VALUE"""),45839.6458333333)</f>
        <v>45839.6458333333</v>
      </c>
      <c r="F68" s="17">
        <f>IFERROR(__xludf.DUMMYFUNCTION("""COMPUTED_VALUE"""),534027)</f>
        <v>534027</v>
      </c>
      <c r="G68" s="16">
        <f>IFERROR(__xludf.DUMMYFUNCTION("""COMPUTED_VALUE"""),45839.6458333333)</f>
        <v>45839.6458333333</v>
      </c>
      <c r="H68" s="17">
        <f>IFERROR(__xludf.DUMMYFUNCTION("""COMPUTED_VALUE"""),5749)</f>
        <v>5749</v>
      </c>
      <c r="I68" s="16">
        <f>IFERROR(__xludf.DUMMYFUNCTION("""COMPUTED_VALUE"""),45839.6458333333)</f>
        <v>45839.6458333333</v>
      </c>
      <c r="J68" s="17">
        <f>IFERROR(__xludf.DUMMYFUNCTION("""COMPUTED_VALUE"""),5632.5)</f>
        <v>5632.5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IFERROR(__xludf.DUMMYFUNCTION("""COMPUTED_VALUE"""),5722.5)</f>
        <v>5722.5</v>
      </c>
      <c r="C69" s="16">
        <f>IFERROR(__xludf.DUMMYFUNCTION("""COMPUTED_VALUE"""),45840.6458333333)</f>
        <v>45840.6458333333</v>
      </c>
      <c r="D69" s="17">
        <f>IFERROR(__xludf.DUMMYFUNCTION("""COMPUTED_VALUE"""),5687)</f>
        <v>5687</v>
      </c>
      <c r="E69" s="16">
        <f>IFERROR(__xludf.DUMMYFUNCTION("""COMPUTED_VALUE"""),45840.6458333333)</f>
        <v>45840.6458333333</v>
      </c>
      <c r="F69" s="17">
        <f>IFERROR(__xludf.DUMMYFUNCTION("""COMPUTED_VALUE"""),299925)</f>
        <v>299925</v>
      </c>
      <c r="G69" s="16">
        <f>IFERROR(__xludf.DUMMYFUNCTION("""COMPUTED_VALUE"""),45840.6458333333)</f>
        <v>45840.6458333333</v>
      </c>
      <c r="H69" s="17">
        <f>IFERROR(__xludf.DUMMYFUNCTION("""COMPUTED_VALUE"""),5745)</f>
        <v>5745</v>
      </c>
      <c r="I69" s="16">
        <f>IFERROR(__xludf.DUMMYFUNCTION("""COMPUTED_VALUE"""),45840.6458333333)</f>
        <v>45840.6458333333</v>
      </c>
      <c r="J69" s="17">
        <f>IFERROR(__xludf.DUMMYFUNCTION("""COMPUTED_VALUE"""),5687)</f>
        <v>5687</v>
      </c>
      <c r="K69" s="3">
        <f t="shared" si="2"/>
        <v>5722.5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IFERROR(__xludf.DUMMYFUNCTION("""COMPUTED_VALUE"""),5716)</f>
        <v>5716</v>
      </c>
      <c r="C70" s="16">
        <f>IFERROR(__xludf.DUMMYFUNCTION("""COMPUTED_VALUE"""),45841.6458333333)</f>
        <v>45841.6458333333</v>
      </c>
      <c r="D70" s="17">
        <f>IFERROR(__xludf.DUMMYFUNCTION("""COMPUTED_VALUE"""),5710)</f>
        <v>5710</v>
      </c>
      <c r="E70" s="16">
        <f>IFERROR(__xludf.DUMMYFUNCTION("""COMPUTED_VALUE"""),45841.6458333333)</f>
        <v>45841.6458333333</v>
      </c>
      <c r="F70" s="17">
        <f>IFERROR(__xludf.DUMMYFUNCTION("""COMPUTED_VALUE"""),335537)</f>
        <v>335537</v>
      </c>
      <c r="G70" s="16">
        <f>IFERROR(__xludf.DUMMYFUNCTION("""COMPUTED_VALUE"""),45841.6458333333)</f>
        <v>45841.6458333333</v>
      </c>
      <c r="H70" s="17">
        <f>IFERROR(__xludf.DUMMYFUNCTION("""COMPUTED_VALUE"""),5774.5)</f>
        <v>5774.5</v>
      </c>
      <c r="I70" s="16">
        <f>IFERROR(__xludf.DUMMYFUNCTION("""COMPUTED_VALUE"""),45841.6458333333)</f>
        <v>45841.6458333333</v>
      </c>
      <c r="J70" s="17">
        <f>IFERROR(__xludf.DUMMYFUNCTION("""COMPUTED_VALUE"""),5700)</f>
        <v>5700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IFERROR(__xludf.DUMMYFUNCTION("""COMPUTED_VALUE"""),5629)</f>
        <v>5629</v>
      </c>
      <c r="C71" s="16">
        <f>IFERROR(__xludf.DUMMYFUNCTION("""COMPUTED_VALUE"""),45842.6458333333)</f>
        <v>45842.6458333333</v>
      </c>
      <c r="D71" s="17">
        <f>IFERROR(__xludf.DUMMYFUNCTION("""COMPUTED_VALUE"""),5715.5)</f>
        <v>5715.5</v>
      </c>
      <c r="E71" s="16">
        <f>IFERROR(__xludf.DUMMYFUNCTION("""COMPUTED_VALUE"""),45842.6458333333)</f>
        <v>45842.6458333333</v>
      </c>
      <c r="F71" s="17">
        <f>IFERROR(__xludf.DUMMYFUNCTION("""COMPUTED_VALUE"""),185006)</f>
        <v>185006</v>
      </c>
      <c r="G71" s="16">
        <f>IFERROR(__xludf.DUMMYFUNCTION("""COMPUTED_VALUE"""),45842.6458333333)</f>
        <v>45842.6458333333</v>
      </c>
      <c r="H71" s="17">
        <f>IFERROR(__xludf.DUMMYFUNCTION("""COMPUTED_VALUE"""),5715.5)</f>
        <v>5715.5</v>
      </c>
      <c r="I71" s="16">
        <f>IFERROR(__xludf.DUMMYFUNCTION("""COMPUTED_VALUE"""),45842.6458333333)</f>
        <v>45842.6458333333</v>
      </c>
      <c r="J71" s="17">
        <f>IFERROR(__xludf.DUMMYFUNCTION("""COMPUTED_VALUE"""),5620)</f>
        <v>5620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IFERROR(__xludf.DUMMYFUNCTION("""COMPUTED_VALUE"""),5682.5)</f>
        <v>5682.5</v>
      </c>
      <c r="C72" s="16">
        <f>IFERROR(__xludf.DUMMYFUNCTION("""COMPUTED_VALUE"""),45845.6458333333)</f>
        <v>45845.6458333333</v>
      </c>
      <c r="D72" s="17">
        <f>IFERROR(__xludf.DUMMYFUNCTION("""COMPUTED_VALUE"""),5630)</f>
        <v>5630</v>
      </c>
      <c r="E72" s="16">
        <f>IFERROR(__xludf.DUMMYFUNCTION("""COMPUTED_VALUE"""),45845.6458333333)</f>
        <v>45845.6458333333</v>
      </c>
      <c r="F72" s="17">
        <f>IFERROR(__xludf.DUMMYFUNCTION("""COMPUTED_VALUE"""),227078)</f>
        <v>227078</v>
      </c>
      <c r="G72" s="16">
        <f>IFERROR(__xludf.DUMMYFUNCTION("""COMPUTED_VALUE"""),45845.6458333333)</f>
        <v>45845.6458333333</v>
      </c>
      <c r="H72" s="17">
        <f>IFERROR(__xludf.DUMMYFUNCTION("""COMPUTED_VALUE"""),5700)</f>
        <v>5700</v>
      </c>
      <c r="I72" s="16">
        <f>IFERROR(__xludf.DUMMYFUNCTION("""COMPUTED_VALUE"""),45845.6458333333)</f>
        <v>45845.6458333333</v>
      </c>
      <c r="J72" s="17">
        <f>IFERROR(__xludf.DUMMYFUNCTION("""COMPUTED_VALUE"""),5625)</f>
        <v>5625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IFERROR(__xludf.DUMMYFUNCTION("""COMPUTED_VALUE"""),5679.5)</f>
        <v>5679.5</v>
      </c>
      <c r="C73" s="16">
        <f>IFERROR(__xludf.DUMMYFUNCTION("""COMPUTED_VALUE"""),45846.6458333333)</f>
        <v>45846.6458333333</v>
      </c>
      <c r="D73" s="17">
        <f>IFERROR(__xludf.DUMMYFUNCTION("""COMPUTED_VALUE"""),5705)</f>
        <v>5705</v>
      </c>
      <c r="E73" s="16">
        <f>IFERROR(__xludf.DUMMYFUNCTION("""COMPUTED_VALUE"""),45846.6458333333)</f>
        <v>45846.6458333333</v>
      </c>
      <c r="F73" s="17">
        <f>IFERROR(__xludf.DUMMYFUNCTION("""COMPUTED_VALUE"""),180630)</f>
        <v>180630</v>
      </c>
      <c r="G73" s="16">
        <f>IFERROR(__xludf.DUMMYFUNCTION("""COMPUTED_VALUE"""),45846.6458333333)</f>
        <v>45846.6458333333</v>
      </c>
      <c r="H73" s="17">
        <f>IFERROR(__xludf.DUMMYFUNCTION("""COMPUTED_VALUE"""),5705)</f>
        <v>5705</v>
      </c>
      <c r="I73" s="16">
        <f>IFERROR(__xludf.DUMMYFUNCTION("""COMPUTED_VALUE"""),45846.6458333333)</f>
        <v>45846.6458333333</v>
      </c>
      <c r="J73" s="17">
        <f>IFERROR(__xludf.DUMMYFUNCTION("""COMPUTED_VALUE"""),5648.5)</f>
        <v>5648.5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IFERROR(__xludf.DUMMYFUNCTION("""COMPUTED_VALUE"""),5695)</f>
        <v>5695</v>
      </c>
      <c r="C74" s="16">
        <f>IFERROR(__xludf.DUMMYFUNCTION("""COMPUTED_VALUE"""),45847.6458333333)</f>
        <v>45847.6458333333</v>
      </c>
      <c r="D74" s="17">
        <f>IFERROR(__xludf.DUMMYFUNCTION("""COMPUTED_VALUE"""),5671)</f>
        <v>5671</v>
      </c>
      <c r="E74" s="16">
        <f>IFERROR(__xludf.DUMMYFUNCTION("""COMPUTED_VALUE"""),45847.6458333333)</f>
        <v>45847.6458333333</v>
      </c>
      <c r="F74" s="17">
        <f>IFERROR(__xludf.DUMMYFUNCTION("""COMPUTED_VALUE"""),177978)</f>
        <v>177978</v>
      </c>
      <c r="G74" s="16">
        <f>IFERROR(__xludf.DUMMYFUNCTION("""COMPUTED_VALUE"""),45847.6458333333)</f>
        <v>45847.6458333333</v>
      </c>
      <c r="H74" s="17">
        <f>IFERROR(__xludf.DUMMYFUNCTION("""COMPUTED_VALUE"""),5718.5)</f>
        <v>5718.5</v>
      </c>
      <c r="I74" s="16">
        <f>IFERROR(__xludf.DUMMYFUNCTION("""COMPUTED_VALUE"""),45847.6458333333)</f>
        <v>45847.6458333333</v>
      </c>
      <c r="J74" s="17">
        <f>IFERROR(__xludf.DUMMYFUNCTION("""COMPUTED_VALUE"""),5669.5)</f>
        <v>5669.5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IFERROR(__xludf.DUMMYFUNCTION("""COMPUTED_VALUE"""),5652)</f>
        <v>5652</v>
      </c>
      <c r="C75" s="16">
        <f>IFERROR(__xludf.DUMMYFUNCTION("""COMPUTED_VALUE"""),45848.6458333333)</f>
        <v>45848.6458333333</v>
      </c>
      <c r="D75" s="17">
        <f>IFERROR(__xludf.DUMMYFUNCTION("""COMPUTED_VALUE"""),5692)</f>
        <v>5692</v>
      </c>
      <c r="E75" s="16">
        <f>IFERROR(__xludf.DUMMYFUNCTION("""COMPUTED_VALUE"""),45848.6458333333)</f>
        <v>45848.6458333333</v>
      </c>
      <c r="F75" s="17">
        <f>IFERROR(__xludf.DUMMYFUNCTION("""COMPUTED_VALUE"""),189074)</f>
        <v>189074</v>
      </c>
      <c r="G75" s="16">
        <f>IFERROR(__xludf.DUMMYFUNCTION("""COMPUTED_VALUE"""),45848.6458333333)</f>
        <v>45848.6458333333</v>
      </c>
      <c r="H75" s="17">
        <f>IFERROR(__xludf.DUMMYFUNCTION("""COMPUTED_VALUE"""),5705)</f>
        <v>5705</v>
      </c>
      <c r="I75" s="16">
        <f>IFERROR(__xludf.DUMMYFUNCTION("""COMPUTED_VALUE"""),45848.6458333333)</f>
        <v>45848.6458333333</v>
      </c>
      <c r="J75" s="17">
        <f>IFERROR(__xludf.DUMMYFUNCTION("""COMPUTED_VALUE"""),5635)</f>
        <v>5635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IFERROR(__xludf.DUMMYFUNCTION("""COMPUTED_VALUE"""),5612.5)</f>
        <v>5612.5</v>
      </c>
      <c r="C76" s="16">
        <f>IFERROR(__xludf.DUMMYFUNCTION("""COMPUTED_VALUE"""),45849.6458333333)</f>
        <v>45849.6458333333</v>
      </c>
      <c r="D76" s="17">
        <f>IFERROR(__xludf.DUMMYFUNCTION("""COMPUTED_VALUE"""),5632)</f>
        <v>5632</v>
      </c>
      <c r="E76" s="16">
        <f>IFERROR(__xludf.DUMMYFUNCTION("""COMPUTED_VALUE"""),45849.6458333333)</f>
        <v>45849.6458333333</v>
      </c>
      <c r="F76" s="17">
        <f>IFERROR(__xludf.DUMMYFUNCTION("""COMPUTED_VALUE"""),522930)</f>
        <v>522930</v>
      </c>
      <c r="G76" s="16">
        <f>IFERROR(__xludf.DUMMYFUNCTION("""COMPUTED_VALUE"""),45849.6458333333)</f>
        <v>45849.6458333333</v>
      </c>
      <c r="H76" s="17">
        <f>IFERROR(__xludf.DUMMYFUNCTION("""COMPUTED_VALUE"""),5683.5)</f>
        <v>5683.5</v>
      </c>
      <c r="I76" s="16">
        <f>IFERROR(__xludf.DUMMYFUNCTION("""COMPUTED_VALUE"""),45849.6458333333)</f>
        <v>45849.6458333333</v>
      </c>
      <c r="J76" s="17">
        <f>IFERROR(__xludf.DUMMYFUNCTION("""COMPUTED_VALUE"""),5589)</f>
        <v>5589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IFERROR(__xludf.DUMMYFUNCTION("""COMPUTED_VALUE"""),5540.5)</f>
        <v>5540.5</v>
      </c>
      <c r="C77" s="16">
        <f>IFERROR(__xludf.DUMMYFUNCTION("""COMPUTED_VALUE"""),45852.6458333333)</f>
        <v>45852.6458333333</v>
      </c>
      <c r="D77" s="17">
        <f>IFERROR(__xludf.DUMMYFUNCTION("""COMPUTED_VALUE"""),5606.5)</f>
        <v>5606.5</v>
      </c>
      <c r="E77" s="16">
        <f>IFERROR(__xludf.DUMMYFUNCTION("""COMPUTED_VALUE"""),45852.6458333333)</f>
        <v>45852.6458333333</v>
      </c>
      <c r="F77" s="17">
        <f>IFERROR(__xludf.DUMMYFUNCTION("""COMPUTED_VALUE"""),503684)</f>
        <v>503684</v>
      </c>
      <c r="G77" s="16">
        <f>IFERROR(__xludf.DUMMYFUNCTION("""COMPUTED_VALUE"""),45852.6458333333)</f>
        <v>45852.6458333333</v>
      </c>
      <c r="H77" s="17">
        <f>IFERROR(__xludf.DUMMYFUNCTION("""COMPUTED_VALUE"""),5615.5)</f>
        <v>5615.5</v>
      </c>
      <c r="I77" s="16">
        <f>IFERROR(__xludf.DUMMYFUNCTION("""COMPUTED_VALUE"""),45852.6458333333)</f>
        <v>45852.6458333333</v>
      </c>
      <c r="J77" s="17">
        <f>IFERROR(__xludf.DUMMYFUNCTION("""COMPUTED_VALUE"""),5520.5)</f>
        <v>5520.5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IFERROR(__xludf.DUMMYFUNCTION("""COMPUTED_VALUE"""),5591)</f>
        <v>5591</v>
      </c>
      <c r="C78" s="16">
        <f>IFERROR(__xludf.DUMMYFUNCTION("""COMPUTED_VALUE"""),45853.6458333333)</f>
        <v>45853.6458333333</v>
      </c>
      <c r="D78" s="17">
        <f>IFERROR(__xludf.DUMMYFUNCTION("""COMPUTED_VALUE"""),5590)</f>
        <v>5590</v>
      </c>
      <c r="E78" s="16">
        <f>IFERROR(__xludf.DUMMYFUNCTION("""COMPUTED_VALUE"""),45853.6458333333)</f>
        <v>45853.6458333333</v>
      </c>
      <c r="F78" s="17">
        <f>IFERROR(__xludf.DUMMYFUNCTION("""COMPUTED_VALUE"""),715066)</f>
        <v>715066</v>
      </c>
      <c r="G78" s="16">
        <f>IFERROR(__xludf.DUMMYFUNCTION("""COMPUTED_VALUE"""),45853.6458333333)</f>
        <v>45853.6458333333</v>
      </c>
      <c r="H78" s="17">
        <f>IFERROR(__xludf.DUMMYFUNCTION("""COMPUTED_VALUE"""),5642.5)</f>
        <v>5642.5</v>
      </c>
      <c r="I78" s="16">
        <f>IFERROR(__xludf.DUMMYFUNCTION("""COMPUTED_VALUE"""),45853.6458333333)</f>
        <v>45853.6458333333</v>
      </c>
      <c r="J78" s="17">
        <f>IFERROR(__xludf.DUMMYFUNCTION("""COMPUTED_VALUE"""),5568.5)</f>
        <v>5568.5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IFERROR(__xludf.DUMMYFUNCTION("""COMPUTED_VALUE"""),5626.5)</f>
        <v>5626.5</v>
      </c>
      <c r="C79" s="16">
        <f>IFERROR(__xludf.DUMMYFUNCTION("""COMPUTED_VALUE"""),45854.6458333333)</f>
        <v>45854.6458333333</v>
      </c>
      <c r="D79" s="17">
        <f>IFERROR(__xludf.DUMMYFUNCTION("""COMPUTED_VALUE"""),5600)</f>
        <v>5600</v>
      </c>
      <c r="E79" s="16">
        <f>IFERROR(__xludf.DUMMYFUNCTION("""COMPUTED_VALUE"""),45854.6458333333)</f>
        <v>45854.6458333333</v>
      </c>
      <c r="F79" s="17">
        <f>IFERROR(__xludf.DUMMYFUNCTION("""COMPUTED_VALUE"""),226544)</f>
        <v>226544</v>
      </c>
      <c r="G79" s="16">
        <f>IFERROR(__xludf.DUMMYFUNCTION("""COMPUTED_VALUE"""),45854.6458333333)</f>
        <v>45854.6458333333</v>
      </c>
      <c r="H79" s="17">
        <f>IFERROR(__xludf.DUMMYFUNCTION("""COMPUTED_VALUE"""),5633.5)</f>
        <v>5633.5</v>
      </c>
      <c r="I79" s="16">
        <f>IFERROR(__xludf.DUMMYFUNCTION("""COMPUTED_VALUE"""),45854.6458333333)</f>
        <v>45854.6458333333</v>
      </c>
      <c r="J79" s="17">
        <f>IFERROR(__xludf.DUMMYFUNCTION("""COMPUTED_VALUE"""),5540)</f>
        <v>5540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IFERROR(__xludf.DUMMYFUNCTION("""COMPUTED_VALUE"""),5650)</f>
        <v>5650</v>
      </c>
      <c r="C80" s="16">
        <f>IFERROR(__xludf.DUMMYFUNCTION("""COMPUTED_VALUE"""),45855.6458333333)</f>
        <v>45855.6458333333</v>
      </c>
      <c r="D80" s="17">
        <f>IFERROR(__xludf.DUMMYFUNCTION("""COMPUTED_VALUE"""),5668)</f>
        <v>5668</v>
      </c>
      <c r="E80" s="16">
        <f>IFERROR(__xludf.DUMMYFUNCTION("""COMPUTED_VALUE"""),45855.6458333333)</f>
        <v>45855.6458333333</v>
      </c>
      <c r="F80" s="17">
        <f>IFERROR(__xludf.DUMMYFUNCTION("""COMPUTED_VALUE"""),391603)</f>
        <v>391603</v>
      </c>
      <c r="G80" s="16">
        <f>IFERROR(__xludf.DUMMYFUNCTION("""COMPUTED_VALUE"""),45855.6458333333)</f>
        <v>45855.6458333333</v>
      </c>
      <c r="H80" s="17">
        <f>IFERROR(__xludf.DUMMYFUNCTION("""COMPUTED_VALUE"""),5683)</f>
        <v>5683</v>
      </c>
      <c r="I80" s="16">
        <f>IFERROR(__xludf.DUMMYFUNCTION("""COMPUTED_VALUE"""),45855.6458333333)</f>
        <v>45855.6458333333</v>
      </c>
      <c r="J80" s="17">
        <f>IFERROR(__xludf.DUMMYFUNCTION("""COMPUTED_VALUE"""),5628)</f>
        <v>5628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IFERROR(__xludf.DUMMYFUNCTION("""COMPUTED_VALUE"""),5627.5)</f>
        <v>5627.5</v>
      </c>
      <c r="C81" s="16">
        <f>IFERROR(__xludf.DUMMYFUNCTION("""COMPUTED_VALUE"""),45856.6458333333)</f>
        <v>45856.6458333333</v>
      </c>
      <c r="D81" s="17">
        <f>IFERROR(__xludf.DUMMYFUNCTION("""COMPUTED_VALUE"""),5664)</f>
        <v>5664</v>
      </c>
      <c r="E81" s="16">
        <f>IFERROR(__xludf.DUMMYFUNCTION("""COMPUTED_VALUE"""),45856.6458333333)</f>
        <v>45856.6458333333</v>
      </c>
      <c r="F81" s="17">
        <f>IFERROR(__xludf.DUMMYFUNCTION("""COMPUTED_VALUE"""),254828)</f>
        <v>254828</v>
      </c>
      <c r="G81" s="16">
        <f>IFERROR(__xludf.DUMMYFUNCTION("""COMPUTED_VALUE"""),45856.6458333333)</f>
        <v>45856.6458333333</v>
      </c>
      <c r="H81" s="17">
        <f>IFERROR(__xludf.DUMMYFUNCTION("""COMPUTED_VALUE"""),5681.5)</f>
        <v>5681.5</v>
      </c>
      <c r="I81" s="16">
        <f>IFERROR(__xludf.DUMMYFUNCTION("""COMPUTED_VALUE"""),45856.6458333333)</f>
        <v>45856.6458333333</v>
      </c>
      <c r="J81" s="17">
        <f>IFERROR(__xludf.DUMMYFUNCTION("""COMPUTED_VALUE"""),5611.5)</f>
        <v>5611.5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IFERROR(__xludf.DUMMYFUNCTION("""COMPUTED_VALUE"""),5558)</f>
        <v>5558</v>
      </c>
      <c r="C82" s="16">
        <f>IFERROR(__xludf.DUMMYFUNCTION("""COMPUTED_VALUE"""),45859.6458333333)</f>
        <v>45859.6458333333</v>
      </c>
      <c r="D82" s="17">
        <f>IFERROR(__xludf.DUMMYFUNCTION("""COMPUTED_VALUE"""),5597)</f>
        <v>5597</v>
      </c>
      <c r="E82" s="16">
        <f>IFERROR(__xludf.DUMMYFUNCTION("""COMPUTED_VALUE"""),45859.6458333333)</f>
        <v>45859.6458333333</v>
      </c>
      <c r="F82" s="17">
        <f>IFERROR(__xludf.DUMMYFUNCTION("""COMPUTED_VALUE"""),190717)</f>
        <v>190717</v>
      </c>
      <c r="G82" s="16">
        <f>IFERROR(__xludf.DUMMYFUNCTION("""COMPUTED_VALUE"""),45859.6458333333)</f>
        <v>45859.6458333333</v>
      </c>
      <c r="H82" s="17">
        <f>IFERROR(__xludf.DUMMYFUNCTION("""COMPUTED_VALUE"""),5627)</f>
        <v>5627</v>
      </c>
      <c r="I82" s="16">
        <f>IFERROR(__xludf.DUMMYFUNCTION("""COMPUTED_VALUE"""),45859.6458333333)</f>
        <v>45859.6458333333</v>
      </c>
      <c r="J82" s="17">
        <f>IFERROR(__xludf.DUMMYFUNCTION("""COMPUTED_VALUE"""),5540.5)</f>
        <v>5540.5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IFERROR(__xludf.DUMMYFUNCTION("""COMPUTED_VALUE"""),5439.5)</f>
        <v>5439.5</v>
      </c>
      <c r="C83" s="16">
        <f>IFERROR(__xludf.DUMMYFUNCTION("""COMPUTED_VALUE"""),45860.6458333333)</f>
        <v>45860.6458333333</v>
      </c>
      <c r="D83" s="17">
        <f>IFERROR(__xludf.DUMMYFUNCTION("""COMPUTED_VALUE"""),5470)</f>
        <v>5470</v>
      </c>
      <c r="E83" s="16">
        <f>IFERROR(__xludf.DUMMYFUNCTION("""COMPUTED_VALUE"""),45860.6458333333)</f>
        <v>45860.6458333333</v>
      </c>
      <c r="F83" s="17">
        <f>IFERROR(__xludf.DUMMYFUNCTION("""COMPUTED_VALUE"""),517944)</f>
        <v>517944</v>
      </c>
      <c r="G83" s="16">
        <f>IFERROR(__xludf.DUMMYFUNCTION("""COMPUTED_VALUE"""),45860.6458333333)</f>
        <v>45860.6458333333</v>
      </c>
      <c r="H83" s="17">
        <f>IFERROR(__xludf.DUMMYFUNCTION("""COMPUTED_VALUE"""),5539)</f>
        <v>5539</v>
      </c>
      <c r="I83" s="16">
        <f>IFERROR(__xludf.DUMMYFUNCTION("""COMPUTED_VALUE"""),45860.6458333333)</f>
        <v>45860.6458333333</v>
      </c>
      <c r="J83" s="17">
        <f>IFERROR(__xludf.DUMMYFUNCTION("""COMPUTED_VALUE"""),5433.5)</f>
        <v>5433.5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IFERROR(__xludf.DUMMYFUNCTION("""COMPUTED_VALUE"""),5441.5)</f>
        <v>5441.5</v>
      </c>
      <c r="C84" s="16">
        <f>IFERROR(__xludf.DUMMYFUNCTION("""COMPUTED_VALUE"""),45861.6458333333)</f>
        <v>45861.6458333333</v>
      </c>
      <c r="D84" s="17">
        <f>IFERROR(__xludf.DUMMYFUNCTION("""COMPUTED_VALUE"""),5432)</f>
        <v>5432</v>
      </c>
      <c r="E84" s="16">
        <f>IFERROR(__xludf.DUMMYFUNCTION("""COMPUTED_VALUE"""),45861.6458333333)</f>
        <v>45861.6458333333</v>
      </c>
      <c r="F84" s="17">
        <f>IFERROR(__xludf.DUMMYFUNCTION("""COMPUTED_VALUE"""),344237)</f>
        <v>344237</v>
      </c>
      <c r="G84" s="16">
        <f>IFERROR(__xludf.DUMMYFUNCTION("""COMPUTED_VALUE"""),45861.6458333333)</f>
        <v>45861.6458333333</v>
      </c>
      <c r="H84" s="17">
        <f>IFERROR(__xludf.DUMMYFUNCTION("""COMPUTED_VALUE"""),5462)</f>
        <v>5462</v>
      </c>
      <c r="I84" s="16">
        <f>IFERROR(__xludf.DUMMYFUNCTION("""COMPUTED_VALUE"""),45861.6458333333)</f>
        <v>45861.6458333333</v>
      </c>
      <c r="J84" s="17">
        <f>IFERROR(__xludf.DUMMYFUNCTION("""COMPUTED_VALUE"""),5422)</f>
        <v>5422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IFERROR(__xludf.DUMMYFUNCTION("""COMPUTED_VALUE"""),5469)</f>
        <v>5469</v>
      </c>
      <c r="C85" s="16">
        <f>IFERROR(__xludf.DUMMYFUNCTION("""COMPUTED_VALUE"""),45862.6458333333)</f>
        <v>45862.6458333333</v>
      </c>
      <c r="D85" s="17">
        <f>IFERROR(__xludf.DUMMYFUNCTION("""COMPUTED_VALUE"""),5440)</f>
        <v>5440</v>
      </c>
      <c r="E85" s="16">
        <f>IFERROR(__xludf.DUMMYFUNCTION("""COMPUTED_VALUE"""),45862.6458333333)</f>
        <v>45862.6458333333</v>
      </c>
      <c r="F85" s="17">
        <f>IFERROR(__xludf.DUMMYFUNCTION("""COMPUTED_VALUE"""),284450)</f>
        <v>284450</v>
      </c>
      <c r="G85" s="16">
        <f>IFERROR(__xludf.DUMMYFUNCTION("""COMPUTED_VALUE"""),45862.6458333333)</f>
        <v>45862.6458333333</v>
      </c>
      <c r="H85" s="17">
        <f>IFERROR(__xludf.DUMMYFUNCTION("""COMPUTED_VALUE"""),5502)</f>
        <v>5502</v>
      </c>
      <c r="I85" s="16">
        <f>IFERROR(__xludf.DUMMYFUNCTION("""COMPUTED_VALUE"""),45862.6458333333)</f>
        <v>45862.6458333333</v>
      </c>
      <c r="J85" s="17">
        <f>IFERROR(__xludf.DUMMYFUNCTION("""COMPUTED_VALUE"""),5434)</f>
        <v>5434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IFERROR(__xludf.DUMMYFUNCTION("""COMPUTED_VALUE"""),5433)</f>
        <v>5433</v>
      </c>
      <c r="C86" s="16">
        <f>IFERROR(__xludf.DUMMYFUNCTION("""COMPUTED_VALUE"""),45863.6458333333)</f>
        <v>45863.6458333333</v>
      </c>
      <c r="D86" s="17">
        <f>IFERROR(__xludf.DUMMYFUNCTION("""COMPUTED_VALUE"""),5480)</f>
        <v>5480</v>
      </c>
      <c r="E86" s="16">
        <f>IFERROR(__xludf.DUMMYFUNCTION("""COMPUTED_VALUE"""),45863.6458333333)</f>
        <v>45863.6458333333</v>
      </c>
      <c r="F86" s="17">
        <f>IFERROR(__xludf.DUMMYFUNCTION("""COMPUTED_VALUE"""),292877)</f>
        <v>292877</v>
      </c>
      <c r="G86" s="16">
        <f>IFERROR(__xludf.DUMMYFUNCTION("""COMPUTED_VALUE"""),45863.6458333333)</f>
        <v>45863.6458333333</v>
      </c>
      <c r="H86" s="17">
        <f>IFERROR(__xludf.DUMMYFUNCTION("""COMPUTED_VALUE"""),5480)</f>
        <v>5480</v>
      </c>
      <c r="I86" s="16">
        <f>IFERROR(__xludf.DUMMYFUNCTION("""COMPUTED_VALUE"""),45863.6458333333)</f>
        <v>45863.6458333333</v>
      </c>
      <c r="J86" s="17">
        <f>IFERROR(__xludf.DUMMYFUNCTION("""COMPUTED_VALUE"""),5372.5)</f>
        <v>5372.5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IFERROR(__xludf.DUMMYFUNCTION("""COMPUTED_VALUE"""),5386)</f>
        <v>5386</v>
      </c>
      <c r="C87" s="16">
        <f>IFERROR(__xludf.DUMMYFUNCTION("""COMPUTED_VALUE"""),45866.6458333333)</f>
        <v>45866.6458333333</v>
      </c>
      <c r="D87" s="17">
        <f>IFERROR(__xludf.DUMMYFUNCTION("""COMPUTED_VALUE"""),5433)</f>
        <v>5433</v>
      </c>
      <c r="E87" s="16">
        <f>IFERROR(__xludf.DUMMYFUNCTION("""COMPUTED_VALUE"""),45866.6458333333)</f>
        <v>45866.6458333333</v>
      </c>
      <c r="F87" s="17">
        <f>IFERROR(__xludf.DUMMYFUNCTION("""COMPUTED_VALUE"""),322292)</f>
        <v>322292</v>
      </c>
      <c r="G87" s="16">
        <f>IFERROR(__xludf.DUMMYFUNCTION("""COMPUTED_VALUE"""),45866.6458333333)</f>
        <v>45866.6458333333</v>
      </c>
      <c r="H87" s="17">
        <f>IFERROR(__xludf.DUMMYFUNCTION("""COMPUTED_VALUE"""),5456)</f>
        <v>5456</v>
      </c>
      <c r="I87" s="16">
        <f>IFERROR(__xludf.DUMMYFUNCTION("""COMPUTED_VALUE"""),45866.6458333333)</f>
        <v>45866.6458333333</v>
      </c>
      <c r="J87" s="17">
        <f>IFERROR(__xludf.DUMMYFUNCTION("""COMPUTED_VALUE"""),5357)</f>
        <v>5357</v>
      </c>
      <c r="K87" s="3">
        <f t="shared" si="2"/>
        <v>0</v>
      </c>
      <c r="L87" s="3">
        <f t="shared" si="3"/>
        <v>5386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IFERROR(__xludf.DUMMYFUNCTION("""COMPUTED_VALUE"""),5470.5)</f>
        <v>5470.5</v>
      </c>
      <c r="C88" s="16">
        <f>IFERROR(__xludf.DUMMYFUNCTION("""COMPUTED_VALUE"""),45867.6458333333)</f>
        <v>45867.6458333333</v>
      </c>
      <c r="D88" s="17">
        <f>IFERROR(__xludf.DUMMYFUNCTION("""COMPUTED_VALUE"""),5390)</f>
        <v>5390</v>
      </c>
      <c r="E88" s="16">
        <f>IFERROR(__xludf.DUMMYFUNCTION("""COMPUTED_VALUE"""),45867.6458333333)</f>
        <v>45867.6458333333</v>
      </c>
      <c r="F88" s="17">
        <f>IFERROR(__xludf.DUMMYFUNCTION("""COMPUTED_VALUE"""),217256)</f>
        <v>217256</v>
      </c>
      <c r="G88" s="16">
        <f>IFERROR(__xludf.DUMMYFUNCTION("""COMPUTED_VALUE"""),45867.6458333333)</f>
        <v>45867.6458333333</v>
      </c>
      <c r="H88" s="17">
        <f>IFERROR(__xludf.DUMMYFUNCTION("""COMPUTED_VALUE"""),5484)</f>
        <v>5484</v>
      </c>
      <c r="I88" s="16">
        <f>IFERROR(__xludf.DUMMYFUNCTION("""COMPUTED_VALUE"""),45867.6458333333)</f>
        <v>45867.6458333333</v>
      </c>
      <c r="J88" s="17">
        <f>IFERROR(__xludf.DUMMYFUNCTION("""COMPUTED_VALUE"""),5353)</f>
        <v>5353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IFERROR(__xludf.DUMMYFUNCTION("""COMPUTED_VALUE"""),5481)</f>
        <v>5481</v>
      </c>
      <c r="C89" s="16">
        <f>IFERROR(__xludf.DUMMYFUNCTION("""COMPUTED_VALUE"""),45868.6458333333)</f>
        <v>45868.6458333333</v>
      </c>
      <c r="D89" s="17">
        <f>IFERROR(__xludf.DUMMYFUNCTION("""COMPUTED_VALUE"""),5465)</f>
        <v>5465</v>
      </c>
      <c r="E89" s="16">
        <f>IFERROR(__xludf.DUMMYFUNCTION("""COMPUTED_VALUE"""),45868.6458333333)</f>
        <v>45868.6458333333</v>
      </c>
      <c r="F89" s="17">
        <f>IFERROR(__xludf.DUMMYFUNCTION("""COMPUTED_VALUE"""),266223)</f>
        <v>266223</v>
      </c>
      <c r="G89" s="16">
        <f>IFERROR(__xludf.DUMMYFUNCTION("""COMPUTED_VALUE"""),45868.6458333333)</f>
        <v>45868.6458333333</v>
      </c>
      <c r="H89" s="17">
        <f>IFERROR(__xludf.DUMMYFUNCTION("""COMPUTED_VALUE"""),5556.5)</f>
        <v>5556.5</v>
      </c>
      <c r="I89" s="16">
        <f>IFERROR(__xludf.DUMMYFUNCTION("""COMPUTED_VALUE"""),45868.6458333333)</f>
        <v>45868.6458333333</v>
      </c>
      <c r="J89" s="17">
        <f>IFERROR(__xludf.DUMMYFUNCTION("""COMPUTED_VALUE"""),5440)</f>
        <v>5440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IFERROR(__xludf.DUMMYFUNCTION("""COMPUTED_VALUE"""),5468.5)</f>
        <v>5468.5</v>
      </c>
      <c r="C90" s="16">
        <f>IFERROR(__xludf.DUMMYFUNCTION("""COMPUTED_VALUE"""),45869.6458333333)</f>
        <v>45869.6458333333</v>
      </c>
      <c r="D90" s="17">
        <f>IFERROR(__xludf.DUMMYFUNCTION("""COMPUTED_VALUE"""),5450)</f>
        <v>5450</v>
      </c>
      <c r="E90" s="16">
        <f>IFERROR(__xludf.DUMMYFUNCTION("""COMPUTED_VALUE"""),45869.6458333333)</f>
        <v>45869.6458333333</v>
      </c>
      <c r="F90" s="17">
        <f>IFERROR(__xludf.DUMMYFUNCTION("""COMPUTED_VALUE"""),307018)</f>
        <v>307018</v>
      </c>
      <c r="G90" s="16">
        <f>IFERROR(__xludf.DUMMYFUNCTION("""COMPUTED_VALUE"""),45869.6458333333)</f>
        <v>45869.6458333333</v>
      </c>
      <c r="H90" s="17">
        <f>IFERROR(__xludf.DUMMYFUNCTION("""COMPUTED_VALUE"""),5510)</f>
        <v>5510</v>
      </c>
      <c r="I90" s="16">
        <f>IFERROR(__xludf.DUMMYFUNCTION("""COMPUTED_VALUE"""),45869.6458333333)</f>
        <v>45869.6458333333</v>
      </c>
      <c r="J90" s="17">
        <f>IFERROR(__xludf.DUMMYFUNCTION("""COMPUTED_VALUE"""),5386.5)</f>
        <v>5386.5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IFERROR(__xludf.DUMMYFUNCTION("""COMPUTED_VALUE"""),5528)</f>
        <v>5528</v>
      </c>
      <c r="C91" s="16">
        <f>IFERROR(__xludf.DUMMYFUNCTION("""COMPUTED_VALUE"""),45870.6458333333)</f>
        <v>45870.6458333333</v>
      </c>
      <c r="D91" s="17">
        <f>IFERROR(__xludf.DUMMYFUNCTION("""COMPUTED_VALUE"""),5551)</f>
        <v>5551</v>
      </c>
      <c r="E91" s="16">
        <f>IFERROR(__xludf.DUMMYFUNCTION("""COMPUTED_VALUE"""),45870.6458333333)</f>
        <v>45870.6458333333</v>
      </c>
      <c r="F91" s="17">
        <f>IFERROR(__xludf.DUMMYFUNCTION("""COMPUTED_VALUE"""),1408773)</f>
        <v>1408773</v>
      </c>
      <c r="G91" s="16">
        <f>IFERROR(__xludf.DUMMYFUNCTION("""COMPUTED_VALUE"""),45870.6458333333)</f>
        <v>45870.6458333333</v>
      </c>
      <c r="H91" s="17">
        <f>IFERROR(__xludf.DUMMYFUNCTION("""COMPUTED_VALUE"""),5670)</f>
        <v>5670</v>
      </c>
      <c r="I91" s="16">
        <f>IFERROR(__xludf.DUMMYFUNCTION("""COMPUTED_VALUE"""),45870.6458333333)</f>
        <v>45870.6458333333</v>
      </c>
      <c r="J91" s="17">
        <f>IFERROR(__xludf.DUMMYFUNCTION("""COMPUTED_VALUE"""),5475)</f>
        <v>5475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IFERROR(__xludf.DUMMYFUNCTION("""COMPUTED_VALUE"""),5621)</f>
        <v>5621</v>
      </c>
      <c r="C92" s="16">
        <f>IFERROR(__xludf.DUMMYFUNCTION("""COMPUTED_VALUE"""),45873.6458333333)</f>
        <v>45873.6458333333</v>
      </c>
      <c r="D92" s="17">
        <f>IFERROR(__xludf.DUMMYFUNCTION("""COMPUTED_VALUE"""),5527.5)</f>
        <v>5527.5</v>
      </c>
      <c r="E92" s="16">
        <f>IFERROR(__xludf.DUMMYFUNCTION("""COMPUTED_VALUE"""),45873.6458333333)</f>
        <v>45873.6458333333</v>
      </c>
      <c r="F92" s="17">
        <f>IFERROR(__xludf.DUMMYFUNCTION("""COMPUTED_VALUE"""),505407)</f>
        <v>505407</v>
      </c>
      <c r="G92" s="16">
        <f>IFERROR(__xludf.DUMMYFUNCTION("""COMPUTED_VALUE"""),45873.6458333333)</f>
        <v>45873.6458333333</v>
      </c>
      <c r="H92" s="17">
        <f>IFERROR(__xludf.DUMMYFUNCTION("""COMPUTED_VALUE"""),5670)</f>
        <v>5670</v>
      </c>
      <c r="I92" s="16">
        <f>IFERROR(__xludf.DUMMYFUNCTION("""COMPUTED_VALUE"""),45873.6458333333)</f>
        <v>45873.6458333333</v>
      </c>
      <c r="J92" s="17">
        <f>IFERROR(__xludf.DUMMYFUNCTION("""COMPUTED_VALUE"""),5520)</f>
        <v>5520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IFERROR(__xludf.DUMMYFUNCTION("""COMPUTED_VALUE"""),5681)</f>
        <v>5681</v>
      </c>
      <c r="C93" s="16">
        <f>IFERROR(__xludf.DUMMYFUNCTION("""COMPUTED_VALUE"""),45874.6458333333)</f>
        <v>45874.6458333333</v>
      </c>
      <c r="D93" s="17">
        <f>IFERROR(__xludf.DUMMYFUNCTION("""COMPUTED_VALUE"""),5625)</f>
        <v>5625</v>
      </c>
      <c r="E93" s="16">
        <f>IFERROR(__xludf.DUMMYFUNCTION("""COMPUTED_VALUE"""),45874.6458333333)</f>
        <v>45874.6458333333</v>
      </c>
      <c r="F93" s="17">
        <f>IFERROR(__xludf.DUMMYFUNCTION("""COMPUTED_VALUE"""),458305)</f>
        <v>458305</v>
      </c>
      <c r="G93" s="16">
        <f>IFERROR(__xludf.DUMMYFUNCTION("""COMPUTED_VALUE"""),45874.6458333333)</f>
        <v>45874.6458333333</v>
      </c>
      <c r="H93" s="17">
        <f>IFERROR(__xludf.DUMMYFUNCTION("""COMPUTED_VALUE"""),5690)</f>
        <v>5690</v>
      </c>
      <c r="I93" s="16">
        <f>IFERROR(__xludf.DUMMYFUNCTION("""COMPUTED_VALUE"""),45874.6458333333)</f>
        <v>45874.6458333333</v>
      </c>
      <c r="J93" s="17">
        <f>IFERROR(__xludf.DUMMYFUNCTION("""COMPUTED_VALUE"""),5584.5)</f>
        <v>5584.5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IFERROR(__xludf.DUMMYFUNCTION("""COMPUTED_VALUE"""),5668)</f>
        <v>5668</v>
      </c>
      <c r="C94" s="16">
        <f>IFERROR(__xludf.DUMMYFUNCTION("""COMPUTED_VALUE"""),45875.6458333333)</f>
        <v>45875.6458333333</v>
      </c>
      <c r="D94" s="17">
        <f>IFERROR(__xludf.DUMMYFUNCTION("""COMPUTED_VALUE"""),5684.5)</f>
        <v>5684.5</v>
      </c>
      <c r="E94" s="16">
        <f>IFERROR(__xludf.DUMMYFUNCTION("""COMPUTED_VALUE"""),45875.6458333333)</f>
        <v>45875.6458333333</v>
      </c>
      <c r="F94" s="17">
        <f>IFERROR(__xludf.DUMMYFUNCTION("""COMPUTED_VALUE"""),202535)</f>
        <v>202535</v>
      </c>
      <c r="G94" s="16">
        <f>IFERROR(__xludf.DUMMYFUNCTION("""COMPUTED_VALUE"""),45875.6458333333)</f>
        <v>45875.6458333333</v>
      </c>
      <c r="H94" s="17">
        <f>IFERROR(__xludf.DUMMYFUNCTION("""COMPUTED_VALUE"""),5712.5)</f>
        <v>5712.5</v>
      </c>
      <c r="I94" s="16">
        <f>IFERROR(__xludf.DUMMYFUNCTION("""COMPUTED_VALUE"""),45875.6458333333)</f>
        <v>45875.6458333333</v>
      </c>
      <c r="J94" s="17">
        <f>IFERROR(__xludf.DUMMYFUNCTION("""COMPUTED_VALUE"""),5651)</f>
        <v>5651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IFERROR(__xludf.DUMMYFUNCTION("""COMPUTED_VALUE"""),5681.5)</f>
        <v>5681.5</v>
      </c>
      <c r="C95" s="16">
        <f>IFERROR(__xludf.DUMMYFUNCTION("""COMPUTED_VALUE"""),45876.6458333333)</f>
        <v>45876.6458333333</v>
      </c>
      <c r="D95" s="17">
        <f>IFERROR(__xludf.DUMMYFUNCTION("""COMPUTED_VALUE"""),5660)</f>
        <v>5660</v>
      </c>
      <c r="E95" s="16">
        <f>IFERROR(__xludf.DUMMYFUNCTION("""COMPUTED_VALUE"""),45876.6458333333)</f>
        <v>45876.6458333333</v>
      </c>
      <c r="F95" s="17">
        <f>IFERROR(__xludf.DUMMYFUNCTION("""COMPUTED_VALUE"""),266900)</f>
        <v>266900</v>
      </c>
      <c r="G95" s="16">
        <f>IFERROR(__xludf.DUMMYFUNCTION("""COMPUTED_VALUE"""),45876.6458333333)</f>
        <v>45876.6458333333</v>
      </c>
      <c r="H95" s="17">
        <f>IFERROR(__xludf.DUMMYFUNCTION("""COMPUTED_VALUE"""),5694.5)</f>
        <v>5694.5</v>
      </c>
      <c r="I95" s="16">
        <f>IFERROR(__xludf.DUMMYFUNCTION("""COMPUTED_VALUE"""),45876.6458333333)</f>
        <v>45876.6458333333</v>
      </c>
      <c r="J95" s="17">
        <f>IFERROR(__xludf.DUMMYFUNCTION("""COMPUTED_VALUE"""),5588)</f>
        <v>5588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IFERROR(__xludf.DUMMYFUNCTION("""COMPUTED_VALUE"""),5663)</f>
        <v>5663</v>
      </c>
      <c r="C96" s="16">
        <f>IFERROR(__xludf.DUMMYFUNCTION("""COMPUTED_VALUE"""),45877.6458333333)</f>
        <v>45877.6458333333</v>
      </c>
      <c r="D96" s="17">
        <f>IFERROR(__xludf.DUMMYFUNCTION("""COMPUTED_VALUE"""),5681.5)</f>
        <v>5681.5</v>
      </c>
      <c r="E96" s="16">
        <f>IFERROR(__xludf.DUMMYFUNCTION("""COMPUTED_VALUE"""),45877.6458333333)</f>
        <v>45877.6458333333</v>
      </c>
      <c r="F96" s="17">
        <f>IFERROR(__xludf.DUMMYFUNCTION("""COMPUTED_VALUE"""),373874)</f>
        <v>373874</v>
      </c>
      <c r="G96" s="16">
        <f>IFERROR(__xludf.DUMMYFUNCTION("""COMPUTED_VALUE"""),45877.6458333333)</f>
        <v>45877.6458333333</v>
      </c>
      <c r="H96" s="17">
        <f>IFERROR(__xludf.DUMMYFUNCTION("""COMPUTED_VALUE"""),5711.5)</f>
        <v>5711.5</v>
      </c>
      <c r="I96" s="16">
        <f>IFERROR(__xludf.DUMMYFUNCTION("""COMPUTED_VALUE"""),45877.6458333333)</f>
        <v>45877.6458333333</v>
      </c>
      <c r="J96" s="17">
        <f>IFERROR(__xludf.DUMMYFUNCTION("""COMPUTED_VALUE"""),5655.5)</f>
        <v>5655.5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IFERROR(__xludf.DUMMYFUNCTION("""COMPUTED_VALUE"""),5671.5)</f>
        <v>5671.5</v>
      </c>
      <c r="C97" s="16">
        <f>IFERROR(__xludf.DUMMYFUNCTION("""COMPUTED_VALUE"""),45880.6458333333)</f>
        <v>45880.6458333333</v>
      </c>
      <c r="D97" s="17">
        <f>IFERROR(__xludf.DUMMYFUNCTION("""COMPUTED_VALUE"""),5677)</f>
        <v>5677</v>
      </c>
      <c r="E97" s="16">
        <f>IFERROR(__xludf.DUMMYFUNCTION("""COMPUTED_VALUE"""),45880.6458333333)</f>
        <v>45880.6458333333</v>
      </c>
      <c r="F97" s="17">
        <f>IFERROR(__xludf.DUMMYFUNCTION("""COMPUTED_VALUE"""),475811)</f>
        <v>475811</v>
      </c>
      <c r="G97" s="16">
        <f>IFERROR(__xludf.DUMMYFUNCTION("""COMPUTED_VALUE"""),45880.6458333333)</f>
        <v>45880.6458333333</v>
      </c>
      <c r="H97" s="17">
        <f>IFERROR(__xludf.DUMMYFUNCTION("""COMPUTED_VALUE"""),5708.5)</f>
        <v>5708.5</v>
      </c>
      <c r="I97" s="16">
        <f>IFERROR(__xludf.DUMMYFUNCTION("""COMPUTED_VALUE"""),45880.6458333333)</f>
        <v>45880.6458333333</v>
      </c>
      <c r="J97" s="17">
        <f>IFERROR(__xludf.DUMMYFUNCTION("""COMPUTED_VALUE"""),5652.5)</f>
        <v>5652.5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IFERROR(__xludf.DUMMYFUNCTION("""COMPUTED_VALUE"""),5658)</f>
        <v>5658</v>
      </c>
      <c r="C98" s="16">
        <f>IFERROR(__xludf.DUMMYFUNCTION("""COMPUTED_VALUE"""),45881.6458333333)</f>
        <v>45881.6458333333</v>
      </c>
      <c r="D98" s="17">
        <f>IFERROR(__xludf.DUMMYFUNCTION("""COMPUTED_VALUE"""),5679.5)</f>
        <v>5679.5</v>
      </c>
      <c r="E98" s="16">
        <f>IFERROR(__xludf.DUMMYFUNCTION("""COMPUTED_VALUE"""),45881.6458333333)</f>
        <v>45881.6458333333</v>
      </c>
      <c r="F98" s="17">
        <f>IFERROR(__xludf.DUMMYFUNCTION("""COMPUTED_VALUE"""),429572)</f>
        <v>429572</v>
      </c>
      <c r="G98" s="16">
        <f>IFERROR(__xludf.DUMMYFUNCTION("""COMPUTED_VALUE"""),45881.6458333333)</f>
        <v>45881.6458333333</v>
      </c>
      <c r="H98" s="17">
        <f>IFERROR(__xludf.DUMMYFUNCTION("""COMPUTED_VALUE"""),5694)</f>
        <v>5694</v>
      </c>
      <c r="I98" s="16">
        <f>IFERROR(__xludf.DUMMYFUNCTION("""COMPUTED_VALUE"""),45881.6458333333)</f>
        <v>45881.6458333333</v>
      </c>
      <c r="J98" s="17">
        <f>IFERROR(__xludf.DUMMYFUNCTION("""COMPUTED_VALUE"""),5643)</f>
        <v>5643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IFERROR(__xludf.DUMMYFUNCTION("""COMPUTED_VALUE"""),5714.5)</f>
        <v>5714.5</v>
      </c>
      <c r="C99" s="16">
        <f>IFERROR(__xludf.DUMMYFUNCTION("""COMPUTED_VALUE"""),45882.6458333333)</f>
        <v>45882.6458333333</v>
      </c>
      <c r="D99" s="17">
        <f>IFERROR(__xludf.DUMMYFUNCTION("""COMPUTED_VALUE"""),5658)</f>
        <v>5658</v>
      </c>
      <c r="E99" s="16">
        <f>IFERROR(__xludf.DUMMYFUNCTION("""COMPUTED_VALUE"""),45882.6458333333)</f>
        <v>45882.6458333333</v>
      </c>
      <c r="F99" s="17">
        <f>IFERROR(__xludf.DUMMYFUNCTION("""COMPUTED_VALUE"""),427562)</f>
        <v>427562</v>
      </c>
      <c r="G99" s="16">
        <f>IFERROR(__xludf.DUMMYFUNCTION("""COMPUTED_VALUE"""),45882.6458333333)</f>
        <v>45882.6458333333</v>
      </c>
      <c r="H99" s="17">
        <f>IFERROR(__xludf.DUMMYFUNCTION("""COMPUTED_VALUE"""),5757.5)</f>
        <v>5757.5</v>
      </c>
      <c r="I99" s="16">
        <f>IFERROR(__xludf.DUMMYFUNCTION("""COMPUTED_VALUE"""),45882.6458333333)</f>
        <v>45882.6458333333</v>
      </c>
      <c r="J99" s="17">
        <f>IFERROR(__xludf.DUMMYFUNCTION("""COMPUTED_VALUE"""),5648.5)</f>
        <v>5648.5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IFERROR(__xludf.DUMMYFUNCTION("""COMPUTED_VALUE"""),5764)</f>
        <v>5764</v>
      </c>
      <c r="C100" s="16">
        <f>IFERROR(__xludf.DUMMYFUNCTION("""COMPUTED_VALUE"""),45883.6458333333)</f>
        <v>45883.6458333333</v>
      </c>
      <c r="D100" s="17">
        <f>IFERROR(__xludf.DUMMYFUNCTION("""COMPUTED_VALUE"""),5710)</f>
        <v>5710</v>
      </c>
      <c r="E100" s="16">
        <f>IFERROR(__xludf.DUMMYFUNCTION("""COMPUTED_VALUE"""),45883.6458333333)</f>
        <v>45883.6458333333</v>
      </c>
      <c r="F100" s="17">
        <f>IFERROR(__xludf.DUMMYFUNCTION("""COMPUTED_VALUE"""),415010)</f>
        <v>415010</v>
      </c>
      <c r="G100" s="16">
        <f>IFERROR(__xludf.DUMMYFUNCTION("""COMPUTED_VALUE"""),45883.6458333333)</f>
        <v>45883.6458333333</v>
      </c>
      <c r="H100" s="17">
        <f>IFERROR(__xludf.DUMMYFUNCTION("""COMPUTED_VALUE"""),5785.5)</f>
        <v>5785.5</v>
      </c>
      <c r="I100" s="16">
        <f>IFERROR(__xludf.DUMMYFUNCTION("""COMPUTED_VALUE"""),45883.6458333333)</f>
        <v>45883.6458333333</v>
      </c>
      <c r="J100" s="17">
        <f>IFERROR(__xludf.DUMMYFUNCTION("""COMPUTED_VALUE"""),5710)</f>
        <v>5710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IFERROR(__xludf.DUMMYFUNCTION("""COMPUTED_VALUE"""),5912)</f>
        <v>5912</v>
      </c>
      <c r="C101" s="16">
        <f>IFERROR(__xludf.DUMMYFUNCTION("""COMPUTED_VALUE"""),45887.6458333333)</f>
        <v>45887.6458333333</v>
      </c>
      <c r="D101" s="17">
        <f>IFERROR(__xludf.DUMMYFUNCTION("""COMPUTED_VALUE"""),5880)</f>
        <v>5880</v>
      </c>
      <c r="E101" s="16">
        <f>IFERROR(__xludf.DUMMYFUNCTION("""COMPUTED_VALUE"""),45887.6458333333)</f>
        <v>45887.6458333333</v>
      </c>
      <c r="F101" s="17">
        <f>IFERROR(__xludf.DUMMYFUNCTION("""COMPUTED_VALUE"""),1288582)</f>
        <v>1288582</v>
      </c>
      <c r="G101" s="16">
        <f>IFERROR(__xludf.DUMMYFUNCTION("""COMPUTED_VALUE"""),45887.6458333333)</f>
        <v>45887.6458333333</v>
      </c>
      <c r="H101" s="17">
        <f>IFERROR(__xludf.DUMMYFUNCTION("""COMPUTED_VALUE"""),6024.5)</f>
        <v>6024.5</v>
      </c>
      <c r="I101" s="16">
        <f>IFERROR(__xludf.DUMMYFUNCTION("""COMPUTED_VALUE"""),45887.6458333333)</f>
        <v>45887.6458333333</v>
      </c>
      <c r="J101" s="17">
        <f>IFERROR(__xludf.DUMMYFUNCTION("""COMPUTED_VALUE"""),5825.5)</f>
        <v>5825.5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IFERROR(__xludf.DUMMYFUNCTION("""COMPUTED_VALUE"""),5938.5)</f>
        <v>5938.5</v>
      </c>
      <c r="C102" s="16">
        <f>IFERROR(__xludf.DUMMYFUNCTION("""COMPUTED_VALUE"""),45888.6458333333)</f>
        <v>45888.6458333333</v>
      </c>
      <c r="D102" s="17">
        <f>IFERROR(__xludf.DUMMYFUNCTION("""COMPUTED_VALUE"""),5918)</f>
        <v>5918</v>
      </c>
      <c r="E102" s="16">
        <f>IFERROR(__xludf.DUMMYFUNCTION("""COMPUTED_VALUE"""),45888.6458333333)</f>
        <v>45888.6458333333</v>
      </c>
      <c r="F102" s="17">
        <f>IFERROR(__xludf.DUMMYFUNCTION("""COMPUTED_VALUE"""),843617)</f>
        <v>843617</v>
      </c>
      <c r="G102" s="16">
        <f>IFERROR(__xludf.DUMMYFUNCTION("""COMPUTED_VALUE"""),45888.6458333333)</f>
        <v>45888.6458333333</v>
      </c>
      <c r="H102" s="17">
        <f>IFERROR(__xludf.DUMMYFUNCTION("""COMPUTED_VALUE"""),5995)</f>
        <v>5995</v>
      </c>
      <c r="I102" s="16">
        <f>IFERROR(__xludf.DUMMYFUNCTION("""COMPUTED_VALUE"""),45888.6458333333)</f>
        <v>45888.6458333333</v>
      </c>
      <c r="J102" s="17">
        <f>IFERROR(__xludf.DUMMYFUNCTION("""COMPUTED_VALUE"""),5891.5)</f>
        <v>5891.5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IFERROR(__xludf.DUMMYFUNCTION("""COMPUTED_VALUE"""),5937.5)</f>
        <v>5937.5</v>
      </c>
      <c r="C103" s="16">
        <f>IFERROR(__xludf.DUMMYFUNCTION("""COMPUTED_VALUE"""),45889.6458333333)</f>
        <v>45889.6458333333</v>
      </c>
      <c r="D103" s="17">
        <f>IFERROR(__xludf.DUMMYFUNCTION("""COMPUTED_VALUE"""),5964)</f>
        <v>5964</v>
      </c>
      <c r="E103" s="16">
        <f>IFERROR(__xludf.DUMMYFUNCTION("""COMPUTED_VALUE"""),45889.6458333333)</f>
        <v>45889.6458333333</v>
      </c>
      <c r="F103" s="17">
        <f>IFERROR(__xludf.DUMMYFUNCTION("""COMPUTED_VALUE"""),510626)</f>
        <v>510626</v>
      </c>
      <c r="G103" s="16">
        <f>IFERROR(__xludf.DUMMYFUNCTION("""COMPUTED_VALUE"""),45889.6458333333)</f>
        <v>45889.6458333333</v>
      </c>
      <c r="H103" s="17">
        <f>IFERROR(__xludf.DUMMYFUNCTION("""COMPUTED_VALUE"""),5969.5)</f>
        <v>5969.5</v>
      </c>
      <c r="I103" s="16">
        <f>IFERROR(__xludf.DUMMYFUNCTION("""COMPUTED_VALUE"""),45889.6458333333)</f>
        <v>45889.6458333333</v>
      </c>
      <c r="J103" s="17">
        <f>IFERROR(__xludf.DUMMYFUNCTION("""COMPUTED_VALUE"""),5905)</f>
        <v>5905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IFERROR(__xludf.DUMMYFUNCTION("""COMPUTED_VALUE"""),5975)</f>
        <v>5975</v>
      </c>
      <c r="C104" s="16">
        <f>IFERROR(__xludf.DUMMYFUNCTION("""COMPUTED_VALUE"""),45890.6458333333)</f>
        <v>45890.6458333333</v>
      </c>
      <c r="D104" s="17">
        <f>IFERROR(__xludf.DUMMYFUNCTION("""COMPUTED_VALUE"""),5990)</f>
        <v>5990</v>
      </c>
      <c r="E104" s="16">
        <f>IFERROR(__xludf.DUMMYFUNCTION("""COMPUTED_VALUE"""),45890.6458333333)</f>
        <v>45890.6458333333</v>
      </c>
      <c r="F104" s="17">
        <f>IFERROR(__xludf.DUMMYFUNCTION("""COMPUTED_VALUE"""),499089)</f>
        <v>499089</v>
      </c>
      <c r="G104" s="16">
        <f>IFERROR(__xludf.DUMMYFUNCTION("""COMPUTED_VALUE"""),45890.6458333333)</f>
        <v>45890.6458333333</v>
      </c>
      <c r="H104" s="17">
        <f>IFERROR(__xludf.DUMMYFUNCTION("""COMPUTED_VALUE"""),5992.5)</f>
        <v>5992.5</v>
      </c>
      <c r="I104" s="16">
        <f>IFERROR(__xludf.DUMMYFUNCTION("""COMPUTED_VALUE"""),45890.6458333333)</f>
        <v>45890.6458333333</v>
      </c>
      <c r="J104" s="17">
        <f>IFERROR(__xludf.DUMMYFUNCTION("""COMPUTED_VALUE"""),5898)</f>
        <v>5898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IFERROR(__xludf.DUMMYFUNCTION("""COMPUTED_VALUE"""),5924.5)</f>
        <v>5924.5</v>
      </c>
      <c r="C105" s="16">
        <f>IFERROR(__xludf.DUMMYFUNCTION("""COMPUTED_VALUE"""),45891.6458333333)</f>
        <v>45891.6458333333</v>
      </c>
      <c r="D105" s="17">
        <f>IFERROR(__xludf.DUMMYFUNCTION("""COMPUTED_VALUE"""),5970)</f>
        <v>5970</v>
      </c>
      <c r="E105" s="16">
        <f>IFERROR(__xludf.DUMMYFUNCTION("""COMPUTED_VALUE"""),45891.6458333333)</f>
        <v>45891.6458333333</v>
      </c>
      <c r="F105" s="17">
        <f>IFERROR(__xludf.DUMMYFUNCTION("""COMPUTED_VALUE"""),273421)</f>
        <v>273421</v>
      </c>
      <c r="G105" s="16">
        <f>IFERROR(__xludf.DUMMYFUNCTION("""COMPUTED_VALUE"""),45891.6458333333)</f>
        <v>45891.6458333333</v>
      </c>
      <c r="H105" s="17">
        <f>IFERROR(__xludf.DUMMYFUNCTION("""COMPUTED_VALUE"""),5973)</f>
        <v>5973</v>
      </c>
      <c r="I105" s="16">
        <f>IFERROR(__xludf.DUMMYFUNCTION("""COMPUTED_VALUE"""),45891.6458333333)</f>
        <v>45891.6458333333</v>
      </c>
      <c r="J105" s="17">
        <f>IFERROR(__xludf.DUMMYFUNCTION("""COMPUTED_VALUE"""),5913.5)</f>
        <v>5913.5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IFERROR(__xludf.DUMMYFUNCTION("""COMPUTED_VALUE"""),5990.5)</f>
        <v>5990.5</v>
      </c>
      <c r="C106" s="16">
        <f>IFERROR(__xludf.DUMMYFUNCTION("""COMPUTED_VALUE"""),45894.6458333333)</f>
        <v>45894.6458333333</v>
      </c>
      <c r="D106" s="17">
        <f>IFERROR(__xludf.DUMMYFUNCTION("""COMPUTED_VALUE"""),5945)</f>
        <v>5945</v>
      </c>
      <c r="E106" s="16">
        <f>IFERROR(__xludf.DUMMYFUNCTION("""COMPUTED_VALUE"""),45894.6458333333)</f>
        <v>45894.6458333333</v>
      </c>
      <c r="F106" s="17">
        <f>IFERROR(__xludf.DUMMYFUNCTION("""COMPUTED_VALUE"""),822944)</f>
        <v>822944</v>
      </c>
      <c r="G106" s="16">
        <f>IFERROR(__xludf.DUMMYFUNCTION("""COMPUTED_VALUE"""),45894.6458333333)</f>
        <v>45894.6458333333</v>
      </c>
      <c r="H106" s="17">
        <f>IFERROR(__xludf.DUMMYFUNCTION("""COMPUTED_VALUE"""),6009)</f>
        <v>6009</v>
      </c>
      <c r="I106" s="16">
        <f>IFERROR(__xludf.DUMMYFUNCTION("""COMPUTED_VALUE"""),45894.6458333333)</f>
        <v>45894.6458333333</v>
      </c>
      <c r="J106" s="17">
        <f>IFERROR(__xludf.DUMMYFUNCTION("""COMPUTED_VALUE"""),5880)</f>
        <v>5880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IFERROR(__xludf.DUMMYFUNCTION("""COMPUTED_VALUE"""),6151)</f>
        <v>6151</v>
      </c>
      <c r="C107" s="16">
        <f>IFERROR(__xludf.DUMMYFUNCTION("""COMPUTED_VALUE"""),45895.6458333333)</f>
        <v>45895.6458333333</v>
      </c>
      <c r="D107" s="17">
        <f>IFERROR(__xludf.DUMMYFUNCTION("""COMPUTED_VALUE"""),5980)</f>
        <v>5980</v>
      </c>
      <c r="E107" s="16">
        <f>IFERROR(__xludf.DUMMYFUNCTION("""COMPUTED_VALUE"""),45895.6458333333)</f>
        <v>45895.6458333333</v>
      </c>
      <c r="F107" s="17">
        <f>IFERROR(__xludf.DUMMYFUNCTION("""COMPUTED_VALUE"""),1474805)</f>
        <v>1474805</v>
      </c>
      <c r="G107" s="16">
        <f>IFERROR(__xludf.DUMMYFUNCTION("""COMPUTED_VALUE"""),45895.6458333333)</f>
        <v>45895.6458333333</v>
      </c>
      <c r="H107" s="17">
        <f>IFERROR(__xludf.DUMMYFUNCTION("""COMPUTED_VALUE"""),6210)</f>
        <v>6210</v>
      </c>
      <c r="I107" s="16">
        <f>IFERROR(__xludf.DUMMYFUNCTION("""COMPUTED_VALUE"""),45895.6458333333)</f>
        <v>45895.6458333333</v>
      </c>
      <c r="J107" s="17">
        <f>IFERROR(__xludf.DUMMYFUNCTION("""COMPUTED_VALUE"""),5960)</f>
        <v>5960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IFERROR(__xludf.DUMMYFUNCTION("""COMPUTED_VALUE"""),6133)</f>
        <v>6133</v>
      </c>
      <c r="C108" s="16">
        <f>IFERROR(__xludf.DUMMYFUNCTION("""COMPUTED_VALUE"""),45897.6458333333)</f>
        <v>45897.6458333333</v>
      </c>
      <c r="D108" s="17">
        <f>IFERROR(__xludf.DUMMYFUNCTION("""COMPUTED_VALUE"""),6269.5)</f>
        <v>6269.5</v>
      </c>
      <c r="E108" s="16">
        <f>IFERROR(__xludf.DUMMYFUNCTION("""COMPUTED_VALUE"""),45897.6458333333)</f>
        <v>45897.6458333333</v>
      </c>
      <c r="F108" s="17">
        <f>IFERROR(__xludf.DUMMYFUNCTION("""COMPUTED_VALUE"""),719052)</f>
        <v>719052</v>
      </c>
      <c r="G108" s="16">
        <f>IFERROR(__xludf.DUMMYFUNCTION("""COMPUTED_VALUE"""),45897.6458333333)</f>
        <v>45897.6458333333</v>
      </c>
      <c r="H108" s="17">
        <f>IFERROR(__xludf.DUMMYFUNCTION("""COMPUTED_VALUE"""),6269.5)</f>
        <v>6269.5</v>
      </c>
      <c r="I108" s="16">
        <f>IFERROR(__xludf.DUMMYFUNCTION("""COMPUTED_VALUE"""),45897.6458333333)</f>
        <v>45897.6458333333</v>
      </c>
      <c r="J108" s="17">
        <f>IFERROR(__xludf.DUMMYFUNCTION("""COMPUTED_VALUE"""),6121)</f>
        <v>6121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IFERROR(__xludf.DUMMYFUNCTION("""COMPUTED_VALUE"""),6103)</f>
        <v>6103</v>
      </c>
      <c r="C109" s="16">
        <f>IFERROR(__xludf.DUMMYFUNCTION("""COMPUTED_VALUE"""),45898.6458333333)</f>
        <v>45898.6458333333</v>
      </c>
      <c r="D109" s="17">
        <f>IFERROR(__xludf.DUMMYFUNCTION("""COMPUTED_VALUE"""),6149)</f>
        <v>6149</v>
      </c>
      <c r="E109" s="16">
        <f>IFERROR(__xludf.DUMMYFUNCTION("""COMPUTED_VALUE"""),45898.6458333333)</f>
        <v>45898.6458333333</v>
      </c>
      <c r="F109" s="17">
        <f>IFERROR(__xludf.DUMMYFUNCTION("""COMPUTED_VALUE"""),496302)</f>
        <v>496302</v>
      </c>
      <c r="G109" s="16">
        <f>IFERROR(__xludf.DUMMYFUNCTION("""COMPUTED_VALUE"""),45898.6458333333)</f>
        <v>45898.6458333333</v>
      </c>
      <c r="H109" s="17">
        <f>IFERROR(__xludf.DUMMYFUNCTION("""COMPUTED_VALUE"""),6174.5)</f>
        <v>6174.5</v>
      </c>
      <c r="I109" s="16">
        <f>IFERROR(__xludf.DUMMYFUNCTION("""COMPUTED_VALUE"""),45898.6458333333)</f>
        <v>45898.6458333333</v>
      </c>
      <c r="J109" s="17">
        <f>IFERROR(__xludf.DUMMYFUNCTION("""COMPUTED_VALUE"""),6070)</f>
        <v>6070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IFERROR(__xludf.DUMMYFUNCTION("""COMPUTED_VALUE"""),6280)</f>
        <v>6280</v>
      </c>
      <c r="C110" s="16">
        <f>IFERROR(__xludf.DUMMYFUNCTION("""COMPUTED_VALUE"""),45901.6458333333)</f>
        <v>45901.6458333333</v>
      </c>
      <c r="D110" s="17">
        <f>IFERROR(__xludf.DUMMYFUNCTION("""COMPUTED_VALUE"""),6085)</f>
        <v>6085</v>
      </c>
      <c r="E110" s="16">
        <f>IFERROR(__xludf.DUMMYFUNCTION("""COMPUTED_VALUE"""),45901.6458333333)</f>
        <v>45901.6458333333</v>
      </c>
      <c r="F110" s="17">
        <f>IFERROR(__xludf.DUMMYFUNCTION("""COMPUTED_VALUE"""),698178)</f>
        <v>698178</v>
      </c>
      <c r="G110" s="16">
        <f>IFERROR(__xludf.DUMMYFUNCTION("""COMPUTED_VALUE"""),45901.6458333333)</f>
        <v>45901.6458333333</v>
      </c>
      <c r="H110" s="17">
        <f>IFERROR(__xludf.DUMMYFUNCTION("""COMPUTED_VALUE"""),6292)</f>
        <v>6292</v>
      </c>
      <c r="I110" s="16">
        <f>IFERROR(__xludf.DUMMYFUNCTION("""COMPUTED_VALUE"""),45901.6458333333)</f>
        <v>45901.6458333333</v>
      </c>
      <c r="J110" s="17">
        <f>IFERROR(__xludf.DUMMYFUNCTION("""COMPUTED_VALUE"""),6085)</f>
        <v>6085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IFERROR(__xludf.DUMMYFUNCTION("""COMPUTED_VALUE"""),6349)</f>
        <v>6349</v>
      </c>
      <c r="C111" s="16">
        <f>IFERROR(__xludf.DUMMYFUNCTION("""COMPUTED_VALUE"""),45902.6458333333)</f>
        <v>45902.6458333333</v>
      </c>
      <c r="D111" s="17">
        <f>IFERROR(__xludf.DUMMYFUNCTION("""COMPUTED_VALUE"""),6310.5)</f>
        <v>6310.5</v>
      </c>
      <c r="E111" s="16">
        <f>IFERROR(__xludf.DUMMYFUNCTION("""COMPUTED_VALUE"""),45902.6458333333)</f>
        <v>45902.6458333333</v>
      </c>
      <c r="F111" s="17">
        <f>IFERROR(__xludf.DUMMYFUNCTION("""COMPUTED_VALUE"""),701158)</f>
        <v>701158</v>
      </c>
      <c r="G111" s="16">
        <f>IFERROR(__xludf.DUMMYFUNCTION("""COMPUTED_VALUE"""),45902.6458333333)</f>
        <v>45902.6458333333</v>
      </c>
      <c r="H111" s="17">
        <f>IFERROR(__xludf.DUMMYFUNCTION("""COMPUTED_VALUE"""),6388)</f>
        <v>6388</v>
      </c>
      <c r="I111" s="16">
        <f>IFERROR(__xludf.DUMMYFUNCTION("""COMPUTED_VALUE"""),45902.6458333333)</f>
        <v>45902.6458333333</v>
      </c>
      <c r="J111" s="17">
        <f>IFERROR(__xludf.DUMMYFUNCTION("""COMPUTED_VALUE"""),6282.5)</f>
        <v>6282.5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IFERROR(__xludf.DUMMYFUNCTION("""COMPUTED_VALUE"""),6371.5)</f>
        <v>6371.5</v>
      </c>
      <c r="C112" s="16">
        <f>IFERROR(__xludf.DUMMYFUNCTION("""COMPUTED_VALUE"""),45903.6458333333)</f>
        <v>45903.6458333333</v>
      </c>
      <c r="D112" s="17">
        <f>IFERROR(__xludf.DUMMYFUNCTION("""COMPUTED_VALUE"""),6349)</f>
        <v>6349</v>
      </c>
      <c r="E112" s="16">
        <f>IFERROR(__xludf.DUMMYFUNCTION("""COMPUTED_VALUE"""),45903.6458333333)</f>
        <v>45903.6458333333</v>
      </c>
      <c r="F112" s="17">
        <f>IFERROR(__xludf.DUMMYFUNCTION("""COMPUTED_VALUE"""),536107)</f>
        <v>536107</v>
      </c>
      <c r="G112" s="16">
        <f>IFERROR(__xludf.DUMMYFUNCTION("""COMPUTED_VALUE"""),45903.6458333333)</f>
        <v>45903.6458333333</v>
      </c>
      <c r="H112" s="17">
        <f>IFERROR(__xludf.DUMMYFUNCTION("""COMPUTED_VALUE"""),6379)</f>
        <v>6379</v>
      </c>
      <c r="I112" s="16">
        <f>IFERROR(__xludf.DUMMYFUNCTION("""COMPUTED_VALUE"""),45903.6458333333)</f>
        <v>45903.6458333333</v>
      </c>
      <c r="J112" s="17">
        <f>IFERROR(__xludf.DUMMYFUNCTION("""COMPUTED_VALUE"""),6308)</f>
        <v>6308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IFERROR(__xludf.DUMMYFUNCTION("""COMPUTED_VALUE"""),6425)</f>
        <v>6425</v>
      </c>
      <c r="C113" s="16">
        <f>IFERROR(__xludf.DUMMYFUNCTION("""COMPUTED_VALUE"""),45904.6458333333)</f>
        <v>45904.6458333333</v>
      </c>
      <c r="D113" s="17">
        <f>IFERROR(__xludf.DUMMYFUNCTION("""COMPUTED_VALUE"""),6690)</f>
        <v>6690</v>
      </c>
      <c r="E113" s="16">
        <f>IFERROR(__xludf.DUMMYFUNCTION("""COMPUTED_VALUE"""),45904.6458333333)</f>
        <v>45904.6458333333</v>
      </c>
      <c r="F113" s="17">
        <f>IFERROR(__xludf.DUMMYFUNCTION("""COMPUTED_VALUE"""),1181698)</f>
        <v>1181698</v>
      </c>
      <c r="G113" s="16">
        <f>IFERROR(__xludf.DUMMYFUNCTION("""COMPUTED_VALUE"""),45904.6458333333)</f>
        <v>45904.6458333333</v>
      </c>
      <c r="H113" s="17">
        <f>IFERROR(__xludf.DUMMYFUNCTION("""COMPUTED_VALUE"""),6713)</f>
        <v>6713</v>
      </c>
      <c r="I113" s="16">
        <f>IFERROR(__xludf.DUMMYFUNCTION("""COMPUTED_VALUE"""),45904.6458333333)</f>
        <v>45904.6458333333</v>
      </c>
      <c r="J113" s="17">
        <f>IFERROR(__xludf.DUMMYFUNCTION("""COMPUTED_VALUE"""),6411.5)</f>
        <v>6411.5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IFERROR(__xludf.DUMMYFUNCTION("""COMPUTED_VALUE"""),6580.5)</f>
        <v>6580.5</v>
      </c>
      <c r="C114" s="16">
        <f>IFERROR(__xludf.DUMMYFUNCTION("""COMPUTED_VALUE"""),45905.6458333333)</f>
        <v>45905.6458333333</v>
      </c>
      <c r="D114" s="17">
        <f>IFERROR(__xludf.DUMMYFUNCTION("""COMPUTED_VALUE"""),6449)</f>
        <v>6449</v>
      </c>
      <c r="E114" s="16">
        <f>IFERROR(__xludf.DUMMYFUNCTION("""COMPUTED_VALUE"""),45905.6458333333)</f>
        <v>45905.6458333333</v>
      </c>
      <c r="F114" s="17">
        <f>IFERROR(__xludf.DUMMYFUNCTION("""COMPUTED_VALUE"""),610721)</f>
        <v>610721</v>
      </c>
      <c r="G114" s="16">
        <f>IFERROR(__xludf.DUMMYFUNCTION("""COMPUTED_VALUE"""),45905.6458333333)</f>
        <v>45905.6458333333</v>
      </c>
      <c r="H114" s="17">
        <f>IFERROR(__xludf.DUMMYFUNCTION("""COMPUTED_VALUE"""),6598.5)</f>
        <v>6598.5</v>
      </c>
      <c r="I114" s="16">
        <f>IFERROR(__xludf.DUMMYFUNCTION("""COMPUTED_VALUE"""),45905.6458333333)</f>
        <v>45905.6458333333</v>
      </c>
      <c r="J114" s="17">
        <f>IFERROR(__xludf.DUMMYFUNCTION("""COMPUTED_VALUE"""),6440.5)</f>
        <v>6440.5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IFERROR(__xludf.DUMMYFUNCTION("""COMPUTED_VALUE"""),6815)</f>
        <v>6815</v>
      </c>
      <c r="C115" s="16">
        <f>IFERROR(__xludf.DUMMYFUNCTION("""COMPUTED_VALUE"""),45908.6458333333)</f>
        <v>45908.6458333333</v>
      </c>
      <c r="D115" s="17">
        <f>IFERROR(__xludf.DUMMYFUNCTION("""COMPUTED_VALUE"""),6570.5)</f>
        <v>6570.5</v>
      </c>
      <c r="E115" s="16">
        <f>IFERROR(__xludf.DUMMYFUNCTION("""COMPUTED_VALUE"""),45908.6458333333)</f>
        <v>45908.6458333333</v>
      </c>
      <c r="F115" s="17">
        <f>IFERROR(__xludf.DUMMYFUNCTION("""COMPUTED_VALUE"""),968116)</f>
        <v>968116</v>
      </c>
      <c r="G115" s="16">
        <f>IFERROR(__xludf.DUMMYFUNCTION("""COMPUTED_VALUE"""),45908.6458333333)</f>
        <v>45908.6458333333</v>
      </c>
      <c r="H115" s="17">
        <f>IFERROR(__xludf.DUMMYFUNCTION("""COMPUTED_VALUE"""),6848)</f>
        <v>6848</v>
      </c>
      <c r="I115" s="16">
        <f>IFERROR(__xludf.DUMMYFUNCTION("""COMPUTED_VALUE"""),45908.6458333333)</f>
        <v>45908.6458333333</v>
      </c>
      <c r="J115" s="17">
        <f>IFERROR(__xludf.DUMMYFUNCTION("""COMPUTED_VALUE"""),6569)</f>
        <v>6569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IFERROR(__xludf.DUMMYFUNCTION("""COMPUTED_VALUE"""),6874.5)</f>
        <v>6874.5</v>
      </c>
      <c r="C116" s="16">
        <f>IFERROR(__xludf.DUMMYFUNCTION("""COMPUTED_VALUE"""),45909.6458333333)</f>
        <v>45909.6458333333</v>
      </c>
      <c r="D116" s="17">
        <f>IFERROR(__xludf.DUMMYFUNCTION("""COMPUTED_VALUE"""),6782)</f>
        <v>6782</v>
      </c>
      <c r="E116" s="16">
        <f>IFERROR(__xludf.DUMMYFUNCTION("""COMPUTED_VALUE"""),45909.6458333333)</f>
        <v>45909.6458333333</v>
      </c>
      <c r="F116" s="17">
        <f>IFERROR(__xludf.DUMMYFUNCTION("""COMPUTED_VALUE"""),983283)</f>
        <v>983283</v>
      </c>
      <c r="G116" s="16">
        <f>IFERROR(__xludf.DUMMYFUNCTION("""COMPUTED_VALUE"""),45909.6458333333)</f>
        <v>45909.6458333333</v>
      </c>
      <c r="H116" s="17">
        <f>IFERROR(__xludf.DUMMYFUNCTION("""COMPUTED_VALUE"""),6937)</f>
        <v>6937</v>
      </c>
      <c r="I116" s="16">
        <f>IFERROR(__xludf.DUMMYFUNCTION("""COMPUTED_VALUE"""),45909.6458333333)</f>
        <v>45909.6458333333</v>
      </c>
      <c r="J116" s="17">
        <f>IFERROR(__xludf.DUMMYFUNCTION("""COMPUTED_VALUE"""),6779)</f>
        <v>6779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IFERROR(__xludf.DUMMYFUNCTION("""COMPUTED_VALUE"""),6836.5)</f>
        <v>6836.5</v>
      </c>
      <c r="C117" s="16">
        <f>IFERROR(__xludf.DUMMYFUNCTION("""COMPUTED_VALUE"""),45910.6458333333)</f>
        <v>45910.6458333333</v>
      </c>
      <c r="D117" s="17">
        <f>IFERROR(__xludf.DUMMYFUNCTION("""COMPUTED_VALUE"""),6900)</f>
        <v>6900</v>
      </c>
      <c r="E117" s="16">
        <f>IFERROR(__xludf.DUMMYFUNCTION("""COMPUTED_VALUE"""),45910.6458333333)</f>
        <v>45910.6458333333</v>
      </c>
      <c r="F117" s="17">
        <f>IFERROR(__xludf.DUMMYFUNCTION("""COMPUTED_VALUE"""),740607)</f>
        <v>740607</v>
      </c>
      <c r="G117" s="16">
        <f>IFERROR(__xludf.DUMMYFUNCTION("""COMPUTED_VALUE"""),45910.6458333333)</f>
        <v>45910.6458333333</v>
      </c>
      <c r="H117" s="17">
        <f>IFERROR(__xludf.DUMMYFUNCTION("""COMPUTED_VALUE"""),6924.5)</f>
        <v>6924.5</v>
      </c>
      <c r="I117" s="16">
        <f>IFERROR(__xludf.DUMMYFUNCTION("""COMPUTED_VALUE"""),45910.6458333333)</f>
        <v>45910.6458333333</v>
      </c>
      <c r="J117" s="17">
        <f>IFERROR(__xludf.DUMMYFUNCTION("""COMPUTED_VALUE"""),6802.5)</f>
        <v>6802.5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IFERROR(__xludf.DUMMYFUNCTION("""COMPUTED_VALUE"""),6758)</f>
        <v>6758</v>
      </c>
      <c r="C118" s="16">
        <f>IFERROR(__xludf.DUMMYFUNCTION("""COMPUTED_VALUE"""),45911.6458333333)</f>
        <v>45911.6458333333</v>
      </c>
      <c r="D118" s="17">
        <f>IFERROR(__xludf.DUMMYFUNCTION("""COMPUTED_VALUE"""),6805)</f>
        <v>6805</v>
      </c>
      <c r="E118" s="16">
        <f>IFERROR(__xludf.DUMMYFUNCTION("""COMPUTED_VALUE"""),45911.6458333333)</f>
        <v>45911.6458333333</v>
      </c>
      <c r="F118" s="17">
        <f>IFERROR(__xludf.DUMMYFUNCTION("""COMPUTED_VALUE"""),719575)</f>
        <v>719575</v>
      </c>
      <c r="G118" s="16">
        <f>IFERROR(__xludf.DUMMYFUNCTION("""COMPUTED_VALUE"""),45911.6458333333)</f>
        <v>45911.6458333333</v>
      </c>
      <c r="H118" s="17">
        <f>IFERROR(__xludf.DUMMYFUNCTION("""COMPUTED_VALUE"""),6828.5)</f>
        <v>6828.5</v>
      </c>
      <c r="I118" s="16">
        <f>IFERROR(__xludf.DUMMYFUNCTION("""COMPUTED_VALUE"""),45911.6458333333)</f>
        <v>45911.6458333333</v>
      </c>
      <c r="J118" s="17">
        <f>IFERROR(__xludf.DUMMYFUNCTION("""COMPUTED_VALUE"""),6750)</f>
        <v>6750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IFERROR(__xludf.DUMMYFUNCTION("""COMPUTED_VALUE"""),6875)</f>
        <v>6875</v>
      </c>
      <c r="C119" s="16">
        <f>IFERROR(__xludf.DUMMYFUNCTION("""COMPUTED_VALUE"""),45912.6458333333)</f>
        <v>45912.6458333333</v>
      </c>
      <c r="D119" s="17">
        <f>IFERROR(__xludf.DUMMYFUNCTION("""COMPUTED_VALUE"""),6765)</f>
        <v>6765</v>
      </c>
      <c r="E119" s="16">
        <f>IFERROR(__xludf.DUMMYFUNCTION("""COMPUTED_VALUE"""),45912.6458333333)</f>
        <v>45912.6458333333</v>
      </c>
      <c r="F119" s="17">
        <f>IFERROR(__xludf.DUMMYFUNCTION("""COMPUTED_VALUE"""),731798)</f>
        <v>731798</v>
      </c>
      <c r="G119" s="16">
        <f>IFERROR(__xludf.DUMMYFUNCTION("""COMPUTED_VALUE"""),45912.6458333333)</f>
        <v>45912.6458333333</v>
      </c>
      <c r="H119" s="17">
        <f>IFERROR(__xludf.DUMMYFUNCTION("""COMPUTED_VALUE"""),6899)</f>
        <v>6899</v>
      </c>
      <c r="I119" s="16">
        <f>IFERROR(__xludf.DUMMYFUNCTION("""COMPUTED_VALUE"""),45912.6458333333)</f>
        <v>45912.6458333333</v>
      </c>
      <c r="J119" s="17">
        <f>IFERROR(__xludf.DUMMYFUNCTION("""COMPUTED_VALUE"""),6762.5)</f>
        <v>6762.5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IFERROR(__xludf.DUMMYFUNCTION("""COMPUTED_VALUE"""),6801)</f>
        <v>6801</v>
      </c>
      <c r="C120" s="16">
        <f>IFERROR(__xludf.DUMMYFUNCTION("""COMPUTED_VALUE"""),45915.6458333333)</f>
        <v>45915.6458333333</v>
      </c>
      <c r="D120" s="17">
        <f>IFERROR(__xludf.DUMMYFUNCTION("""COMPUTED_VALUE"""),6875)</f>
        <v>6875</v>
      </c>
      <c r="E120" s="16">
        <f>IFERROR(__xludf.DUMMYFUNCTION("""COMPUTED_VALUE"""),45915.6458333333)</f>
        <v>45915.6458333333</v>
      </c>
      <c r="F120" s="17">
        <f>IFERROR(__xludf.DUMMYFUNCTION("""COMPUTED_VALUE"""),380686)</f>
        <v>380686</v>
      </c>
      <c r="G120" s="16">
        <f>IFERROR(__xludf.DUMMYFUNCTION("""COMPUTED_VALUE"""),45915.6458333333)</f>
        <v>45915.6458333333</v>
      </c>
      <c r="H120" s="17">
        <f>IFERROR(__xludf.DUMMYFUNCTION("""COMPUTED_VALUE"""),6900.5)</f>
        <v>6900.5</v>
      </c>
      <c r="I120" s="16">
        <f>IFERROR(__xludf.DUMMYFUNCTION("""COMPUTED_VALUE"""),45915.6458333333)</f>
        <v>45915.6458333333</v>
      </c>
      <c r="J120" s="17">
        <f>IFERROR(__xludf.DUMMYFUNCTION("""COMPUTED_VALUE"""),6787.5)</f>
        <v>6787.5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IFERROR(__xludf.DUMMYFUNCTION("""COMPUTED_VALUE"""),6927.5)</f>
        <v>6927.5</v>
      </c>
      <c r="C121" s="16">
        <f>IFERROR(__xludf.DUMMYFUNCTION("""COMPUTED_VALUE"""),45916.6458333333)</f>
        <v>45916.6458333333</v>
      </c>
      <c r="D121" s="17">
        <f>IFERROR(__xludf.DUMMYFUNCTION("""COMPUTED_VALUE"""),6823)</f>
        <v>6823</v>
      </c>
      <c r="E121" s="16">
        <f>IFERROR(__xludf.DUMMYFUNCTION("""COMPUTED_VALUE"""),45916.6458333333)</f>
        <v>45916.6458333333</v>
      </c>
      <c r="F121" s="17">
        <f>IFERROR(__xludf.DUMMYFUNCTION("""COMPUTED_VALUE"""),579275)</f>
        <v>579275</v>
      </c>
      <c r="G121" s="16">
        <f>IFERROR(__xludf.DUMMYFUNCTION("""COMPUTED_VALUE"""),45916.6458333333)</f>
        <v>45916.6458333333</v>
      </c>
      <c r="H121" s="17">
        <f>IFERROR(__xludf.DUMMYFUNCTION("""COMPUTED_VALUE"""),6954.5)</f>
        <v>6954.5</v>
      </c>
      <c r="I121" s="16">
        <f>IFERROR(__xludf.DUMMYFUNCTION("""COMPUTED_VALUE"""),45916.6458333333)</f>
        <v>45916.6458333333</v>
      </c>
      <c r="J121" s="17">
        <f>IFERROR(__xludf.DUMMYFUNCTION("""COMPUTED_VALUE"""),6800.5)</f>
        <v>6800.5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IFERROR(__xludf.DUMMYFUNCTION("""COMPUTED_VALUE"""),6890.5)</f>
        <v>6890.5</v>
      </c>
      <c r="C122" s="16">
        <f>IFERROR(__xludf.DUMMYFUNCTION("""COMPUTED_VALUE"""),45917.6458333333)</f>
        <v>45917.6458333333</v>
      </c>
      <c r="D122" s="17">
        <f>IFERROR(__xludf.DUMMYFUNCTION("""COMPUTED_VALUE"""),6921)</f>
        <v>6921</v>
      </c>
      <c r="E122" s="16">
        <f>IFERROR(__xludf.DUMMYFUNCTION("""COMPUTED_VALUE"""),45917.6458333333)</f>
        <v>45917.6458333333</v>
      </c>
      <c r="F122" s="17">
        <f>IFERROR(__xludf.DUMMYFUNCTION("""COMPUTED_VALUE"""),310534)</f>
        <v>310534</v>
      </c>
      <c r="G122" s="16">
        <f>IFERROR(__xludf.DUMMYFUNCTION("""COMPUTED_VALUE"""),45917.6458333333)</f>
        <v>45917.6458333333</v>
      </c>
      <c r="H122" s="17">
        <f>IFERROR(__xludf.DUMMYFUNCTION("""COMPUTED_VALUE"""),6938)</f>
        <v>6938</v>
      </c>
      <c r="I122" s="16">
        <f>IFERROR(__xludf.DUMMYFUNCTION("""COMPUTED_VALUE"""),45917.6458333333)</f>
        <v>45917.6458333333</v>
      </c>
      <c r="J122" s="17">
        <f>IFERROR(__xludf.DUMMYFUNCTION("""COMPUTED_VALUE"""),6879.5)</f>
        <v>6879.5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IFERROR(__xludf.DUMMYFUNCTION("""COMPUTED_VALUE"""),6924.5)</f>
        <v>6924.5</v>
      </c>
      <c r="C123" s="16">
        <f>IFERROR(__xludf.DUMMYFUNCTION("""COMPUTED_VALUE"""),45918.6458333333)</f>
        <v>45918.6458333333</v>
      </c>
      <c r="D123" s="17">
        <f>IFERROR(__xludf.DUMMYFUNCTION("""COMPUTED_VALUE"""),6895.5)</f>
        <v>6895.5</v>
      </c>
      <c r="E123" s="16">
        <f>IFERROR(__xludf.DUMMYFUNCTION("""COMPUTED_VALUE"""),45918.6458333333)</f>
        <v>45918.6458333333</v>
      </c>
      <c r="F123" s="17">
        <f>IFERROR(__xludf.DUMMYFUNCTION("""COMPUTED_VALUE"""),224356)</f>
        <v>224356</v>
      </c>
      <c r="G123" s="16">
        <f>IFERROR(__xludf.DUMMYFUNCTION("""COMPUTED_VALUE"""),45918.6458333333)</f>
        <v>45918.6458333333</v>
      </c>
      <c r="H123" s="17">
        <f>IFERROR(__xludf.DUMMYFUNCTION("""COMPUTED_VALUE"""),6935)</f>
        <v>6935</v>
      </c>
      <c r="I123" s="16">
        <f>IFERROR(__xludf.DUMMYFUNCTION("""COMPUTED_VALUE"""),45918.6458333333)</f>
        <v>45918.6458333333</v>
      </c>
      <c r="J123" s="17">
        <f>IFERROR(__xludf.DUMMYFUNCTION("""COMPUTED_VALUE"""),6868.5)</f>
        <v>6868.5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IFERROR(__xludf.DUMMYFUNCTION("""COMPUTED_VALUE"""),6973.5)</f>
        <v>6973.5</v>
      </c>
      <c r="C124" s="16">
        <f>IFERROR(__xludf.DUMMYFUNCTION("""COMPUTED_VALUE"""),45919.6458333333)</f>
        <v>45919.6458333333</v>
      </c>
      <c r="D124" s="17">
        <f>IFERROR(__xludf.DUMMYFUNCTION("""COMPUTED_VALUE"""),6947)</f>
        <v>6947</v>
      </c>
      <c r="E124" s="16">
        <f>IFERROR(__xludf.DUMMYFUNCTION("""COMPUTED_VALUE"""),45919.6458333333)</f>
        <v>45919.6458333333</v>
      </c>
      <c r="F124" s="17">
        <f>IFERROR(__xludf.DUMMYFUNCTION("""COMPUTED_VALUE"""),550551)</f>
        <v>550551</v>
      </c>
      <c r="G124" s="16">
        <f>IFERROR(__xludf.DUMMYFUNCTION("""COMPUTED_VALUE"""),45919.6458333333)</f>
        <v>45919.6458333333</v>
      </c>
      <c r="H124" s="17">
        <f>IFERROR(__xludf.DUMMYFUNCTION("""COMPUTED_VALUE"""),7018)</f>
        <v>7018</v>
      </c>
      <c r="I124" s="16">
        <f>IFERROR(__xludf.DUMMYFUNCTION("""COMPUTED_VALUE"""),45919.6458333333)</f>
        <v>45919.6458333333</v>
      </c>
      <c r="J124" s="17">
        <f>IFERROR(__xludf.DUMMYFUNCTION("""COMPUTED_VALUE"""),6925)</f>
        <v>6925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IFERROR(__xludf.DUMMYFUNCTION("""COMPUTED_VALUE"""),6946)</f>
        <v>6946</v>
      </c>
      <c r="C125" s="16">
        <f>IFERROR(__xludf.DUMMYFUNCTION("""COMPUTED_VALUE"""),45922.6458333333)</f>
        <v>45922.6458333333</v>
      </c>
      <c r="D125" s="17">
        <f>IFERROR(__xludf.DUMMYFUNCTION("""COMPUTED_VALUE"""),7000)</f>
        <v>7000</v>
      </c>
      <c r="E125" s="16">
        <f>IFERROR(__xludf.DUMMYFUNCTION("""COMPUTED_VALUE"""),45922.6458333333)</f>
        <v>45922.6458333333</v>
      </c>
      <c r="F125" s="17">
        <f>IFERROR(__xludf.DUMMYFUNCTION("""COMPUTED_VALUE"""),332786)</f>
        <v>332786</v>
      </c>
      <c r="G125" s="16">
        <f>IFERROR(__xludf.DUMMYFUNCTION("""COMPUTED_VALUE"""),45922.6458333333)</f>
        <v>45922.6458333333</v>
      </c>
      <c r="H125" s="17">
        <f>IFERROR(__xludf.DUMMYFUNCTION("""COMPUTED_VALUE"""),7005.5)</f>
        <v>7005.5</v>
      </c>
      <c r="I125" s="16">
        <f>IFERROR(__xludf.DUMMYFUNCTION("""COMPUTED_VALUE"""),45922.6458333333)</f>
        <v>45922.6458333333</v>
      </c>
      <c r="J125" s="17">
        <f>IFERROR(__xludf.DUMMYFUNCTION("""COMPUTED_VALUE"""),6925)</f>
        <v>6925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IFERROR(__xludf.DUMMYFUNCTION("""COMPUTED_VALUE"""),6990.5)</f>
        <v>6990.5</v>
      </c>
      <c r="C126" s="16">
        <f>IFERROR(__xludf.DUMMYFUNCTION("""COMPUTED_VALUE"""),45923.6458333333)</f>
        <v>45923.6458333333</v>
      </c>
      <c r="D126" s="17">
        <f>IFERROR(__xludf.DUMMYFUNCTION("""COMPUTED_VALUE"""),7015)</f>
        <v>7015</v>
      </c>
      <c r="E126" s="16">
        <f>IFERROR(__xludf.DUMMYFUNCTION("""COMPUTED_VALUE"""),45923.6458333333)</f>
        <v>45923.6458333333</v>
      </c>
      <c r="F126" s="17">
        <f>IFERROR(__xludf.DUMMYFUNCTION("""COMPUTED_VALUE"""),679055)</f>
        <v>679055</v>
      </c>
      <c r="G126" s="16">
        <f>IFERROR(__xludf.DUMMYFUNCTION("""COMPUTED_VALUE"""),45923.6458333333)</f>
        <v>45923.6458333333</v>
      </c>
      <c r="H126" s="17">
        <f>IFERROR(__xludf.DUMMYFUNCTION("""COMPUTED_VALUE"""),7122.5)</f>
        <v>7122.5</v>
      </c>
      <c r="I126" s="16">
        <f>IFERROR(__xludf.DUMMYFUNCTION("""COMPUTED_VALUE"""),45923.6458333333)</f>
        <v>45923.6458333333</v>
      </c>
      <c r="J126" s="17">
        <f>IFERROR(__xludf.DUMMYFUNCTION("""COMPUTED_VALUE"""),6978.5)</f>
        <v>6978.5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IFERROR(__xludf.DUMMYFUNCTION("""COMPUTED_VALUE"""),7011.5)</f>
        <v>7011.5</v>
      </c>
      <c r="C127" s="16">
        <f>IFERROR(__xludf.DUMMYFUNCTION("""COMPUTED_VALUE"""),45924.6458333333)</f>
        <v>45924.6458333333</v>
      </c>
      <c r="D127" s="17">
        <f>IFERROR(__xludf.DUMMYFUNCTION("""COMPUTED_VALUE"""),6950)</f>
        <v>6950</v>
      </c>
      <c r="E127" s="16">
        <f>IFERROR(__xludf.DUMMYFUNCTION("""COMPUTED_VALUE"""),45924.6458333333)</f>
        <v>45924.6458333333</v>
      </c>
      <c r="F127" s="17">
        <f>IFERROR(__xludf.DUMMYFUNCTION("""COMPUTED_VALUE"""),323002)</f>
        <v>323002</v>
      </c>
      <c r="G127" s="16">
        <f>IFERROR(__xludf.DUMMYFUNCTION("""COMPUTED_VALUE"""),45924.6458333333)</f>
        <v>45924.6458333333</v>
      </c>
      <c r="H127" s="17">
        <f>IFERROR(__xludf.DUMMYFUNCTION("""COMPUTED_VALUE"""),7060.5)</f>
        <v>7060.5</v>
      </c>
      <c r="I127" s="16">
        <f>IFERROR(__xludf.DUMMYFUNCTION("""COMPUTED_VALUE"""),45924.6458333333)</f>
        <v>45924.6458333333</v>
      </c>
      <c r="J127" s="17">
        <f>IFERROR(__xludf.DUMMYFUNCTION("""COMPUTED_VALUE"""),6927.5)</f>
        <v>6927.5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IFERROR(__xludf.DUMMYFUNCTION("""COMPUTED_VALUE"""),6986)</f>
        <v>6986</v>
      </c>
      <c r="C128" s="16">
        <f>IFERROR(__xludf.DUMMYFUNCTION("""COMPUTED_VALUE"""),45925.6458333333)</f>
        <v>45925.6458333333</v>
      </c>
      <c r="D128" s="17">
        <f>IFERROR(__xludf.DUMMYFUNCTION("""COMPUTED_VALUE"""),7009.5)</f>
        <v>7009.5</v>
      </c>
      <c r="E128" s="16">
        <f>IFERROR(__xludf.DUMMYFUNCTION("""COMPUTED_VALUE"""),45925.6458333333)</f>
        <v>45925.6458333333</v>
      </c>
      <c r="F128" s="17">
        <f>IFERROR(__xludf.DUMMYFUNCTION("""COMPUTED_VALUE"""),375861)</f>
        <v>375861</v>
      </c>
      <c r="G128" s="16">
        <f>IFERROR(__xludf.DUMMYFUNCTION("""COMPUTED_VALUE"""),45925.6458333333)</f>
        <v>45925.6458333333</v>
      </c>
      <c r="H128" s="17">
        <f>IFERROR(__xludf.DUMMYFUNCTION("""COMPUTED_VALUE"""),7044.5)</f>
        <v>7044.5</v>
      </c>
      <c r="I128" s="16">
        <f>IFERROR(__xludf.DUMMYFUNCTION("""COMPUTED_VALUE"""),45925.6458333333)</f>
        <v>45925.6458333333</v>
      </c>
      <c r="J128" s="17">
        <f>IFERROR(__xludf.DUMMYFUNCTION("""COMPUTED_VALUE"""),6932)</f>
        <v>6932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IFERROR(__xludf.DUMMYFUNCTION("""COMPUTED_VALUE"""),7047)</f>
        <v>7047</v>
      </c>
      <c r="C129" s="47">
        <f>IFERROR(__xludf.DUMMYFUNCTION("""COMPUTED_VALUE"""),45926.6458333333)</f>
        <v>45926.6458333333</v>
      </c>
      <c r="D129" s="48">
        <f>IFERROR(__xludf.DUMMYFUNCTION("""COMPUTED_VALUE"""),6980)</f>
        <v>6980</v>
      </c>
      <c r="E129" s="47">
        <f>IFERROR(__xludf.DUMMYFUNCTION("""COMPUTED_VALUE"""),45926.6458333333)</f>
        <v>45926.6458333333</v>
      </c>
      <c r="F129" s="48">
        <f>IFERROR(__xludf.DUMMYFUNCTION("""COMPUTED_VALUE"""),679362)</f>
        <v>679362</v>
      </c>
      <c r="G129" s="47">
        <f>IFERROR(__xludf.DUMMYFUNCTION("""COMPUTED_VALUE"""),45926.6458333333)</f>
        <v>45926.6458333333</v>
      </c>
      <c r="H129" s="48">
        <f>IFERROR(__xludf.DUMMYFUNCTION("""COMPUTED_VALUE"""),7091)</f>
        <v>7091</v>
      </c>
      <c r="I129" s="47">
        <f>IFERROR(__xludf.DUMMYFUNCTION("""COMPUTED_VALUE"""),45926.6458333333)</f>
        <v>45926.6458333333</v>
      </c>
      <c r="J129" s="48">
        <f>IFERROR(__xludf.DUMMYFUNCTION("""COMPUTED_VALUE"""),6965.5)</f>
        <v>6965.5</v>
      </c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42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""price"")"),2745)</f>
        <v>2745</v>
      </c>
      <c r="I3" s="22" t="s">
        <v>269</v>
      </c>
      <c r="J3" s="23">
        <f>IFERROR(__xludf.DUMMYFUNCTION("GOOGLEFINANCE(L3, ""volume"")"),523045)</f>
        <v>523045</v>
      </c>
      <c r="K3" s="24" t="s">
        <v>270</v>
      </c>
      <c r="L3" s="25" t="str">
        <f>Mastersheet!B17</f>
        <v>NSE:GRASIM</v>
      </c>
      <c r="M3" s="26">
        <f>IFERROR(__xludf.DUMMYFUNCTION("""COMPUTED_VALUE"""),45926.6458333333)</f>
        <v>45926.6458333333</v>
      </c>
      <c r="N3" s="27">
        <f>IFERROR(__xludf.DUMMYFUNCTION("""COMPUTED_VALUE"""),2746.8)</f>
        <v>2746.8</v>
      </c>
      <c r="O3" s="26">
        <f>IFERROR(__xludf.DUMMYFUNCTION("""COMPUTED_VALUE"""),45926.6458333333)</f>
        <v>45926.6458333333</v>
      </c>
      <c r="P3" s="27">
        <f>IFERROR(__xludf.DUMMYFUNCTION("""COMPUTED_VALUE"""),2775)</f>
        <v>2775</v>
      </c>
      <c r="Q3" s="16">
        <f>IFERROR(__xludf.DUMMYFUNCTION("""COMPUTED_VALUE"""),45926.6458333333)</f>
        <v>45926.6458333333</v>
      </c>
      <c r="R3" s="17">
        <f>IFERROR(__xludf.DUMMYFUNCTION("""COMPUTED_VALUE"""),2810)</f>
        <v>2810</v>
      </c>
      <c r="S3" s="16">
        <f>IFERROR(__xludf.DUMMYFUNCTION("""COMPUTED_VALUE"""),45926.6458333333)</f>
        <v>45926.6458333333</v>
      </c>
      <c r="T3" s="17">
        <f>IFERROR(__xludf.DUMMYFUNCTION("""COMPUTED_VALUE"""),2736.2)</f>
        <v>2736.2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IFERROR(__xludf.DUMMYFUNCTION("""COMPUTED_VALUE"""),2618.7)</f>
        <v>2618.7</v>
      </c>
      <c r="C5" s="14">
        <f>IFERROR(__xludf.DUMMYFUNCTION("""COMPUTED_VALUE"""),45743.6458333333)</f>
        <v>45743.6458333333</v>
      </c>
      <c r="D5" s="15">
        <f>IFERROR(__xludf.DUMMYFUNCTION("""COMPUTED_VALUE"""),2584)</f>
        <v>2584</v>
      </c>
      <c r="E5" s="14">
        <f>IFERROR(__xludf.DUMMYFUNCTION("""COMPUTED_VALUE"""),45743.6458333333)</f>
        <v>45743.6458333333</v>
      </c>
      <c r="F5" s="15">
        <f>IFERROR(__xludf.DUMMYFUNCTION("""COMPUTED_VALUE"""),1246219)</f>
        <v>1246219</v>
      </c>
      <c r="G5" s="14">
        <f>IFERROR(__xludf.DUMMYFUNCTION("""COMPUTED_VALUE"""),45743.6458333333)</f>
        <v>45743.6458333333</v>
      </c>
      <c r="H5" s="15">
        <f>IFERROR(__xludf.DUMMYFUNCTION("""COMPUTED_VALUE"""),2628.95)</f>
        <v>2628.95</v>
      </c>
      <c r="I5" s="30">
        <f>IFERROR(__xludf.DUMMYFUNCTION("""COMPUTED_VALUE"""),45743.6458333333)</f>
        <v>45743.6458333333</v>
      </c>
      <c r="J5" s="3">
        <f>IFERROR(__xludf.DUMMYFUNCTION("""COMPUTED_VALUE"""),2575)</f>
        <v>2575</v>
      </c>
      <c r="K5" s="5"/>
      <c r="L5" s="5"/>
      <c r="M5" s="3">
        <f t="array" ref="M5">INDEX(K11:K124,MATCH(SMALL(ABS(K11:K124-H3),1),ABS(K11:K124-H3),0))</f>
        <v>2755.1</v>
      </c>
      <c r="N5" s="3">
        <f t="array" ref="N5">INDEX(K11:K124,MATCH(SMALL(ABS(K11:K124-H3),2),ABS(K11:K124-H3),0))</f>
        <v>2760.7</v>
      </c>
      <c r="O5" s="3">
        <f t="array" ref="O5">INDEX(L11:L124,MATCH(SMALL(ABS(L11:L124-H3),1),ABS(L11:L124-H3),0))</f>
        <v>2775.6</v>
      </c>
      <c r="P5" s="3">
        <f t="array" ref="P5">INDEX(L11:L124,MATCH(SMALL(ABS(L11:L124-H3),2),ABS(L11:L124-H3),0))</f>
        <v>2708.6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2755.1</v>
      </c>
      <c r="T5" s="17">
        <f ca="1">IF(AND(H3&gt;=Mastersheet!I3*S5,H3&lt;=Mastersheet!J3*S5),1,0)</f>
        <v>0</v>
      </c>
      <c r="U5" s="36">
        <f>(N3+P3)/2</f>
        <v>2760.9</v>
      </c>
      <c r="V5" s="17">
        <f>(N3+P3+R3+T3)/4</f>
        <v>2767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IFERROR(__xludf.DUMMYFUNCTION("""COMPUTED_VALUE"""),2611.15)</f>
        <v>2611.15</v>
      </c>
      <c r="C6" s="16">
        <f>IFERROR(__xludf.DUMMYFUNCTION("""COMPUTED_VALUE"""),45744.6458333333)</f>
        <v>45744.6458333333</v>
      </c>
      <c r="D6" s="17">
        <f>IFERROR(__xludf.DUMMYFUNCTION("""COMPUTED_VALUE"""),2614.95)</f>
        <v>2614.95</v>
      </c>
      <c r="E6" s="16">
        <f>IFERROR(__xludf.DUMMYFUNCTION("""COMPUTED_VALUE"""),45744.6458333333)</f>
        <v>45744.6458333333</v>
      </c>
      <c r="F6" s="17">
        <f>IFERROR(__xludf.DUMMYFUNCTION("""COMPUTED_VALUE"""),435022)</f>
        <v>435022</v>
      </c>
      <c r="G6" s="16">
        <f>IFERROR(__xludf.DUMMYFUNCTION("""COMPUTED_VALUE"""),45744.6458333333)</f>
        <v>45744.6458333333</v>
      </c>
      <c r="H6" s="17">
        <f>IFERROR(__xludf.DUMMYFUNCTION("""COMPUTED_VALUE"""),2637.65)</f>
        <v>2637.65</v>
      </c>
      <c r="I6" s="16">
        <f>IFERROR(__xludf.DUMMYFUNCTION("""COMPUTED_VALUE"""),45744.6458333333)</f>
        <v>45744.6458333333</v>
      </c>
      <c r="J6" s="17">
        <f>IFERROR(__xludf.DUMMYFUNCTION("""COMPUTED_VALUE"""),2599.35)</f>
        <v>2599.35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IFERROR(__xludf.DUMMYFUNCTION("""COMPUTED_VALUE"""),2619)</f>
        <v>2619</v>
      </c>
      <c r="C7" s="16">
        <f>IFERROR(__xludf.DUMMYFUNCTION("""COMPUTED_VALUE"""),45748.6458333333)</f>
        <v>45748.6458333333</v>
      </c>
      <c r="D7" s="17">
        <f>IFERROR(__xludf.DUMMYFUNCTION("""COMPUTED_VALUE"""),2611.4)</f>
        <v>2611.4</v>
      </c>
      <c r="E7" s="16">
        <f>IFERROR(__xludf.DUMMYFUNCTION("""COMPUTED_VALUE"""),45748.6458333333)</f>
        <v>45748.6458333333</v>
      </c>
      <c r="F7" s="17">
        <f>IFERROR(__xludf.DUMMYFUNCTION("""COMPUTED_VALUE"""),317974)</f>
        <v>317974</v>
      </c>
      <c r="G7" s="16">
        <f>IFERROR(__xludf.DUMMYFUNCTION("""COMPUTED_VALUE"""),45748.6458333333)</f>
        <v>45748.6458333333</v>
      </c>
      <c r="H7" s="17">
        <f>IFERROR(__xludf.DUMMYFUNCTION("""COMPUTED_VALUE"""),2632)</f>
        <v>2632</v>
      </c>
      <c r="I7" s="16">
        <f>IFERROR(__xludf.DUMMYFUNCTION("""COMPUTED_VALUE"""),45748.6458333333)</f>
        <v>45748.6458333333</v>
      </c>
      <c r="J7" s="17">
        <f>IFERROR(__xludf.DUMMYFUNCTION("""COMPUTED_VALUE"""),2596.2)</f>
        <v>2596.2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IFERROR(__xludf.DUMMYFUNCTION("""COMPUTED_VALUE"""),2616.5)</f>
        <v>2616.5</v>
      </c>
      <c r="C8" s="16">
        <f>IFERROR(__xludf.DUMMYFUNCTION("""COMPUTED_VALUE"""),45749.6458333333)</f>
        <v>45749.6458333333</v>
      </c>
      <c r="D8" s="17">
        <f>IFERROR(__xludf.DUMMYFUNCTION("""COMPUTED_VALUE"""),2619)</f>
        <v>2619</v>
      </c>
      <c r="E8" s="16">
        <f>IFERROR(__xludf.DUMMYFUNCTION("""COMPUTED_VALUE"""),45749.6458333333)</f>
        <v>45749.6458333333</v>
      </c>
      <c r="F8" s="17">
        <f>IFERROR(__xludf.DUMMYFUNCTION("""COMPUTED_VALUE"""),413523)</f>
        <v>413523</v>
      </c>
      <c r="G8" s="16">
        <f>IFERROR(__xludf.DUMMYFUNCTION("""COMPUTED_VALUE"""),45749.6458333333)</f>
        <v>45749.6458333333</v>
      </c>
      <c r="H8" s="17">
        <f>IFERROR(__xludf.DUMMYFUNCTION("""COMPUTED_VALUE"""),2633.4)</f>
        <v>2633.4</v>
      </c>
      <c r="I8" s="16">
        <f>IFERROR(__xludf.DUMMYFUNCTION("""COMPUTED_VALUE"""),45749.6458333333)</f>
        <v>45749.6458333333</v>
      </c>
      <c r="J8" s="17">
        <f>IFERROR(__xludf.DUMMYFUNCTION("""COMPUTED_VALUE"""),2601.05)</f>
        <v>2601.05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IFERROR(__xludf.DUMMYFUNCTION("""COMPUTED_VALUE"""),2651.9)</f>
        <v>2651.9</v>
      </c>
      <c r="C9" s="16">
        <f>IFERROR(__xludf.DUMMYFUNCTION("""COMPUTED_VALUE"""),45750.6458333333)</f>
        <v>45750.6458333333</v>
      </c>
      <c r="D9" s="17">
        <f>IFERROR(__xludf.DUMMYFUNCTION("""COMPUTED_VALUE"""),2595.1)</f>
        <v>2595.1</v>
      </c>
      <c r="E9" s="16">
        <f>IFERROR(__xludf.DUMMYFUNCTION("""COMPUTED_VALUE"""),45750.6458333333)</f>
        <v>45750.6458333333</v>
      </c>
      <c r="F9" s="17">
        <f>IFERROR(__xludf.DUMMYFUNCTION("""COMPUTED_VALUE"""),298330)</f>
        <v>298330</v>
      </c>
      <c r="G9" s="16">
        <f>IFERROR(__xludf.DUMMYFUNCTION("""COMPUTED_VALUE"""),45750.6458333333)</f>
        <v>45750.6458333333</v>
      </c>
      <c r="H9" s="17">
        <f>IFERROR(__xludf.DUMMYFUNCTION("""COMPUTED_VALUE"""),2664)</f>
        <v>2664</v>
      </c>
      <c r="I9" s="16">
        <f>IFERROR(__xludf.DUMMYFUNCTION("""COMPUTED_VALUE"""),45750.6458333333)</f>
        <v>45750.6458333333</v>
      </c>
      <c r="J9" s="17">
        <f>IFERROR(__xludf.DUMMYFUNCTION("""COMPUTED_VALUE"""),2595.1)</f>
        <v>2595.1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IFERROR(__xludf.DUMMYFUNCTION("""COMPUTED_VALUE"""),2616.9)</f>
        <v>2616.9</v>
      </c>
      <c r="C10" s="16">
        <f>IFERROR(__xludf.DUMMYFUNCTION("""COMPUTED_VALUE"""),45751.6458333333)</f>
        <v>45751.6458333333</v>
      </c>
      <c r="D10" s="17">
        <f>IFERROR(__xludf.DUMMYFUNCTION("""COMPUTED_VALUE"""),2635.1)</f>
        <v>2635.1</v>
      </c>
      <c r="E10" s="16">
        <f>IFERROR(__xludf.DUMMYFUNCTION("""COMPUTED_VALUE"""),45751.6458333333)</f>
        <v>45751.6458333333</v>
      </c>
      <c r="F10" s="17">
        <f>IFERROR(__xludf.DUMMYFUNCTION("""COMPUTED_VALUE"""),290533)</f>
        <v>290533</v>
      </c>
      <c r="G10" s="16">
        <f>IFERROR(__xludf.DUMMYFUNCTION("""COMPUTED_VALUE"""),45751.6458333333)</f>
        <v>45751.6458333333</v>
      </c>
      <c r="H10" s="17">
        <f>IFERROR(__xludf.DUMMYFUNCTION("""COMPUTED_VALUE"""),2651.9)</f>
        <v>2651.9</v>
      </c>
      <c r="I10" s="16">
        <f>IFERROR(__xludf.DUMMYFUNCTION("""COMPUTED_VALUE"""),45751.6458333333)</f>
        <v>45751.6458333333</v>
      </c>
      <c r="J10" s="17">
        <f>IFERROR(__xludf.DUMMYFUNCTION("""COMPUTED_VALUE"""),2610.1)</f>
        <v>2610.1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IFERROR(__xludf.DUMMYFUNCTION("""COMPUTED_VALUE"""),2509.1)</f>
        <v>2509.1</v>
      </c>
      <c r="C11" s="16">
        <f>IFERROR(__xludf.DUMMYFUNCTION("""COMPUTED_VALUE"""),45754.6458333333)</f>
        <v>45754.6458333333</v>
      </c>
      <c r="D11" s="17">
        <f>IFERROR(__xludf.DUMMYFUNCTION("""COMPUTED_VALUE"""),2550)</f>
        <v>2550</v>
      </c>
      <c r="E11" s="16">
        <f>IFERROR(__xludf.DUMMYFUNCTION("""COMPUTED_VALUE"""),45754.6458333333)</f>
        <v>45754.6458333333</v>
      </c>
      <c r="F11" s="17">
        <f>IFERROR(__xludf.DUMMYFUNCTION("""COMPUTED_VALUE"""),974267)</f>
        <v>974267</v>
      </c>
      <c r="G11" s="16">
        <f>IFERROR(__xludf.DUMMYFUNCTION("""COMPUTED_VALUE"""),45754.6458333333)</f>
        <v>45754.6458333333</v>
      </c>
      <c r="H11" s="17">
        <f>IFERROR(__xludf.DUMMYFUNCTION("""COMPUTED_VALUE"""),2560)</f>
        <v>2560</v>
      </c>
      <c r="I11" s="16">
        <f>IFERROR(__xludf.DUMMYFUNCTION("""COMPUTED_VALUE"""),45754.6458333333)</f>
        <v>45754.6458333333</v>
      </c>
      <c r="J11" s="17">
        <f>IFERROR(__xludf.DUMMYFUNCTION("""COMPUTED_VALUE"""),2465.5)</f>
        <v>2465.5</v>
      </c>
      <c r="K11" s="3">
        <f t="shared" ref="K11:K125" si="2">IF(B11=MAX(B5:B17),B11,0)</f>
        <v>0</v>
      </c>
      <c r="L11" s="3">
        <f t="shared" ref="L11:L125" si="3">IF(B11=MIN(B5:B17),B11,0)</f>
        <v>2509.1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IFERROR(__xludf.DUMMYFUNCTION("""COMPUTED_VALUE"""),2590.05)</f>
        <v>2590.05</v>
      </c>
      <c r="C12" s="16">
        <f>IFERROR(__xludf.DUMMYFUNCTION("""COMPUTED_VALUE"""),45755.6458333333)</f>
        <v>45755.6458333333</v>
      </c>
      <c r="D12" s="17">
        <f>IFERROR(__xludf.DUMMYFUNCTION("""COMPUTED_VALUE"""),2550)</f>
        <v>2550</v>
      </c>
      <c r="E12" s="16">
        <f>IFERROR(__xludf.DUMMYFUNCTION("""COMPUTED_VALUE"""),45755.6458333333)</f>
        <v>45755.6458333333</v>
      </c>
      <c r="F12" s="17">
        <f>IFERROR(__xludf.DUMMYFUNCTION("""COMPUTED_VALUE"""),1296141)</f>
        <v>1296141</v>
      </c>
      <c r="G12" s="16">
        <f>IFERROR(__xludf.DUMMYFUNCTION("""COMPUTED_VALUE"""),45755.6458333333)</f>
        <v>45755.6458333333</v>
      </c>
      <c r="H12" s="17">
        <f>IFERROR(__xludf.DUMMYFUNCTION("""COMPUTED_VALUE"""),2600)</f>
        <v>2600</v>
      </c>
      <c r="I12" s="16">
        <f>IFERROR(__xludf.DUMMYFUNCTION("""COMPUTED_VALUE"""),45755.6458333333)</f>
        <v>45755.6458333333</v>
      </c>
      <c r="J12" s="17">
        <f>IFERROR(__xludf.DUMMYFUNCTION("""COMPUTED_VALUE"""),2534.15)</f>
        <v>2534.15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IFERROR(__xludf.DUMMYFUNCTION("""COMPUTED_VALUE"""),2557.75)</f>
        <v>2557.75</v>
      </c>
      <c r="C13" s="16">
        <f>IFERROR(__xludf.DUMMYFUNCTION("""COMPUTED_VALUE"""),45756.6458333333)</f>
        <v>45756.6458333333</v>
      </c>
      <c r="D13" s="17">
        <f>IFERROR(__xludf.DUMMYFUNCTION("""COMPUTED_VALUE"""),2562.5)</f>
        <v>2562.5</v>
      </c>
      <c r="E13" s="16">
        <f>IFERROR(__xludf.DUMMYFUNCTION("""COMPUTED_VALUE"""),45756.6458333333)</f>
        <v>45756.6458333333</v>
      </c>
      <c r="F13" s="17">
        <f>IFERROR(__xludf.DUMMYFUNCTION("""COMPUTED_VALUE"""),494024)</f>
        <v>494024</v>
      </c>
      <c r="G13" s="16">
        <f>IFERROR(__xludf.DUMMYFUNCTION("""COMPUTED_VALUE"""),45756.6458333333)</f>
        <v>45756.6458333333</v>
      </c>
      <c r="H13" s="17">
        <f>IFERROR(__xludf.DUMMYFUNCTION("""COMPUTED_VALUE"""),2586.75)</f>
        <v>2586.75</v>
      </c>
      <c r="I13" s="16">
        <f>IFERROR(__xludf.DUMMYFUNCTION("""COMPUTED_VALUE"""),45756.6458333333)</f>
        <v>45756.6458333333</v>
      </c>
      <c r="J13" s="17">
        <f>IFERROR(__xludf.DUMMYFUNCTION("""COMPUTED_VALUE"""),2529.45)</f>
        <v>2529.45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IFERROR(__xludf.DUMMYFUNCTION("""COMPUTED_VALUE"""),2651.25)</f>
        <v>2651.25</v>
      </c>
      <c r="C14" s="16">
        <f>IFERROR(__xludf.DUMMYFUNCTION("""COMPUTED_VALUE"""),45758.6458333333)</f>
        <v>45758.6458333333</v>
      </c>
      <c r="D14" s="17">
        <f>IFERROR(__xludf.DUMMYFUNCTION("""COMPUTED_VALUE"""),2650)</f>
        <v>2650</v>
      </c>
      <c r="E14" s="16">
        <f>IFERROR(__xludf.DUMMYFUNCTION("""COMPUTED_VALUE"""),45758.6458333333)</f>
        <v>45758.6458333333</v>
      </c>
      <c r="F14" s="17">
        <f>IFERROR(__xludf.DUMMYFUNCTION("""COMPUTED_VALUE"""),669041)</f>
        <v>669041</v>
      </c>
      <c r="G14" s="16">
        <f>IFERROR(__xludf.DUMMYFUNCTION("""COMPUTED_VALUE"""),45758.6458333333)</f>
        <v>45758.6458333333</v>
      </c>
      <c r="H14" s="17">
        <f>IFERROR(__xludf.DUMMYFUNCTION("""COMPUTED_VALUE"""),2660)</f>
        <v>2660</v>
      </c>
      <c r="I14" s="16">
        <f>IFERROR(__xludf.DUMMYFUNCTION("""COMPUTED_VALUE"""),45758.6458333333)</f>
        <v>45758.6458333333</v>
      </c>
      <c r="J14" s="17">
        <f>IFERROR(__xludf.DUMMYFUNCTION("""COMPUTED_VALUE"""),2612.8)</f>
        <v>2612.8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IFERROR(__xludf.DUMMYFUNCTION("""COMPUTED_VALUE"""),2718.6)</f>
        <v>2718.6</v>
      </c>
      <c r="C15" s="16">
        <f>IFERROR(__xludf.DUMMYFUNCTION("""COMPUTED_VALUE"""),45762.6458333333)</f>
        <v>45762.6458333333</v>
      </c>
      <c r="D15" s="17">
        <f>IFERROR(__xludf.DUMMYFUNCTION("""COMPUTED_VALUE"""),2675)</f>
        <v>2675</v>
      </c>
      <c r="E15" s="16">
        <f>IFERROR(__xludf.DUMMYFUNCTION("""COMPUTED_VALUE"""),45762.6458333333)</f>
        <v>45762.6458333333</v>
      </c>
      <c r="F15" s="17">
        <f>IFERROR(__xludf.DUMMYFUNCTION("""COMPUTED_VALUE"""),815058)</f>
        <v>815058</v>
      </c>
      <c r="G15" s="16">
        <f>IFERROR(__xludf.DUMMYFUNCTION("""COMPUTED_VALUE"""),45762.6458333333)</f>
        <v>45762.6458333333</v>
      </c>
      <c r="H15" s="17">
        <f>IFERROR(__xludf.DUMMYFUNCTION("""COMPUTED_VALUE"""),2726.2)</f>
        <v>2726.2</v>
      </c>
      <c r="I15" s="16">
        <f>IFERROR(__xludf.DUMMYFUNCTION("""COMPUTED_VALUE"""),45762.6458333333)</f>
        <v>45762.6458333333</v>
      </c>
      <c r="J15" s="17">
        <f>IFERROR(__xludf.DUMMYFUNCTION("""COMPUTED_VALUE"""),2670)</f>
        <v>2670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IFERROR(__xludf.DUMMYFUNCTION("""COMPUTED_VALUE"""),2702.8)</f>
        <v>2702.8</v>
      </c>
      <c r="C16" s="16">
        <f>IFERROR(__xludf.DUMMYFUNCTION("""COMPUTED_VALUE"""),45763.6458333333)</f>
        <v>45763.6458333333</v>
      </c>
      <c r="D16" s="17">
        <f>IFERROR(__xludf.DUMMYFUNCTION("""COMPUTED_VALUE"""),2690)</f>
        <v>2690</v>
      </c>
      <c r="E16" s="16">
        <f>IFERROR(__xludf.DUMMYFUNCTION("""COMPUTED_VALUE"""),45763.6458333333)</f>
        <v>45763.6458333333</v>
      </c>
      <c r="F16" s="17">
        <f>IFERROR(__xludf.DUMMYFUNCTION("""COMPUTED_VALUE"""),462016)</f>
        <v>462016</v>
      </c>
      <c r="G16" s="16">
        <f>IFERROR(__xludf.DUMMYFUNCTION("""COMPUTED_VALUE"""),45763.6458333333)</f>
        <v>45763.6458333333</v>
      </c>
      <c r="H16" s="17">
        <f>IFERROR(__xludf.DUMMYFUNCTION("""COMPUTED_VALUE"""),2722)</f>
        <v>2722</v>
      </c>
      <c r="I16" s="16">
        <f>IFERROR(__xludf.DUMMYFUNCTION("""COMPUTED_VALUE"""),45763.6458333333)</f>
        <v>45763.6458333333</v>
      </c>
      <c r="J16" s="17">
        <f>IFERROR(__xludf.DUMMYFUNCTION("""COMPUTED_VALUE"""),2682.2)</f>
        <v>2682.2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IFERROR(__xludf.DUMMYFUNCTION("""COMPUTED_VALUE"""),2760.7)</f>
        <v>2760.7</v>
      </c>
      <c r="C17" s="16">
        <f>IFERROR(__xludf.DUMMYFUNCTION("""COMPUTED_VALUE"""),45764.6458333333)</f>
        <v>45764.6458333333</v>
      </c>
      <c r="D17" s="17">
        <f>IFERROR(__xludf.DUMMYFUNCTION("""COMPUTED_VALUE"""),2701)</f>
        <v>2701</v>
      </c>
      <c r="E17" s="16">
        <f>IFERROR(__xludf.DUMMYFUNCTION("""COMPUTED_VALUE"""),45764.6458333333)</f>
        <v>45764.6458333333</v>
      </c>
      <c r="F17" s="17">
        <f>IFERROR(__xludf.DUMMYFUNCTION("""COMPUTED_VALUE"""),1061496)</f>
        <v>1061496</v>
      </c>
      <c r="G17" s="16">
        <f>IFERROR(__xludf.DUMMYFUNCTION("""COMPUTED_VALUE"""),45764.6458333333)</f>
        <v>45764.6458333333</v>
      </c>
      <c r="H17" s="17">
        <f>IFERROR(__xludf.DUMMYFUNCTION("""COMPUTED_VALUE"""),2772)</f>
        <v>2772</v>
      </c>
      <c r="I17" s="16">
        <f>IFERROR(__xludf.DUMMYFUNCTION("""COMPUTED_VALUE"""),45764.6458333333)</f>
        <v>45764.6458333333</v>
      </c>
      <c r="J17" s="17">
        <f>IFERROR(__xludf.DUMMYFUNCTION("""COMPUTED_VALUE"""),2686.9)</f>
        <v>2686.9</v>
      </c>
      <c r="K17" s="3">
        <f t="shared" si="2"/>
        <v>2760.7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IFERROR(__xludf.DUMMYFUNCTION("""COMPUTED_VALUE"""),2756.9)</f>
        <v>2756.9</v>
      </c>
      <c r="C18" s="16">
        <f>IFERROR(__xludf.DUMMYFUNCTION("""COMPUTED_VALUE"""),45768.6458333333)</f>
        <v>45768.6458333333</v>
      </c>
      <c r="D18" s="17">
        <f>IFERROR(__xludf.DUMMYFUNCTION("""COMPUTED_VALUE"""),2755)</f>
        <v>2755</v>
      </c>
      <c r="E18" s="16">
        <f>IFERROR(__xludf.DUMMYFUNCTION("""COMPUTED_VALUE"""),45768.6458333333)</f>
        <v>45768.6458333333</v>
      </c>
      <c r="F18" s="17">
        <f>IFERROR(__xludf.DUMMYFUNCTION("""COMPUTED_VALUE"""),322964)</f>
        <v>322964</v>
      </c>
      <c r="G18" s="16">
        <f>IFERROR(__xludf.DUMMYFUNCTION("""COMPUTED_VALUE"""),45768.6458333333)</f>
        <v>45768.6458333333</v>
      </c>
      <c r="H18" s="17">
        <f>IFERROR(__xludf.DUMMYFUNCTION("""COMPUTED_VALUE"""),2787.3)</f>
        <v>2787.3</v>
      </c>
      <c r="I18" s="16">
        <f>IFERROR(__xludf.DUMMYFUNCTION("""COMPUTED_VALUE"""),45768.6458333333)</f>
        <v>45768.6458333333</v>
      </c>
      <c r="J18" s="17">
        <f>IFERROR(__xludf.DUMMYFUNCTION("""COMPUTED_VALUE"""),2735)</f>
        <v>2735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IFERROR(__xludf.DUMMYFUNCTION("""COMPUTED_VALUE"""),2749.4)</f>
        <v>2749.4</v>
      </c>
      <c r="C19" s="16">
        <f>IFERROR(__xludf.DUMMYFUNCTION("""COMPUTED_VALUE"""),45769.6458333333)</f>
        <v>45769.6458333333</v>
      </c>
      <c r="D19" s="17">
        <f>IFERROR(__xludf.DUMMYFUNCTION("""COMPUTED_VALUE"""),2750.3)</f>
        <v>2750.3</v>
      </c>
      <c r="E19" s="16">
        <f>IFERROR(__xludf.DUMMYFUNCTION("""COMPUTED_VALUE"""),45769.6458333333)</f>
        <v>45769.6458333333</v>
      </c>
      <c r="F19" s="17">
        <f>IFERROR(__xludf.DUMMYFUNCTION("""COMPUTED_VALUE"""),211167)</f>
        <v>211167</v>
      </c>
      <c r="G19" s="16">
        <f>IFERROR(__xludf.DUMMYFUNCTION("""COMPUTED_VALUE"""),45769.6458333333)</f>
        <v>45769.6458333333</v>
      </c>
      <c r="H19" s="17">
        <f>IFERROR(__xludf.DUMMYFUNCTION("""COMPUTED_VALUE"""),2772.1)</f>
        <v>2772.1</v>
      </c>
      <c r="I19" s="16">
        <f>IFERROR(__xludf.DUMMYFUNCTION("""COMPUTED_VALUE"""),45769.6458333333)</f>
        <v>45769.6458333333</v>
      </c>
      <c r="J19" s="17">
        <f>IFERROR(__xludf.DUMMYFUNCTION("""COMPUTED_VALUE"""),2737.7)</f>
        <v>2737.7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IFERROR(__xludf.DUMMYFUNCTION("""COMPUTED_VALUE"""),2685.6)</f>
        <v>2685.6</v>
      </c>
      <c r="C20" s="16">
        <f>IFERROR(__xludf.DUMMYFUNCTION("""COMPUTED_VALUE"""),45770.6458333333)</f>
        <v>45770.6458333333</v>
      </c>
      <c r="D20" s="17">
        <f>IFERROR(__xludf.DUMMYFUNCTION("""COMPUTED_VALUE"""),2750.1)</f>
        <v>2750.1</v>
      </c>
      <c r="E20" s="16">
        <f>IFERROR(__xludf.DUMMYFUNCTION("""COMPUTED_VALUE"""),45770.6458333333)</f>
        <v>45770.6458333333</v>
      </c>
      <c r="F20" s="17">
        <f>IFERROR(__xludf.DUMMYFUNCTION("""COMPUTED_VALUE"""),603774)</f>
        <v>603774</v>
      </c>
      <c r="G20" s="16">
        <f>IFERROR(__xludf.DUMMYFUNCTION("""COMPUTED_VALUE"""),45770.6458333333)</f>
        <v>45770.6458333333</v>
      </c>
      <c r="H20" s="17">
        <f>IFERROR(__xludf.DUMMYFUNCTION("""COMPUTED_VALUE"""),2763.9)</f>
        <v>2763.9</v>
      </c>
      <c r="I20" s="16">
        <f>IFERROR(__xludf.DUMMYFUNCTION("""COMPUTED_VALUE"""),45770.6458333333)</f>
        <v>45770.6458333333</v>
      </c>
      <c r="J20" s="17">
        <f>IFERROR(__xludf.DUMMYFUNCTION("""COMPUTED_VALUE"""),2675.1)</f>
        <v>2675.1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IFERROR(__xludf.DUMMYFUNCTION("""COMPUTED_VALUE"""),2729.2)</f>
        <v>2729.2</v>
      </c>
      <c r="C21" s="16">
        <f>IFERROR(__xludf.DUMMYFUNCTION("""COMPUTED_VALUE"""),45771.6458333333)</f>
        <v>45771.6458333333</v>
      </c>
      <c r="D21" s="17">
        <f>IFERROR(__xludf.DUMMYFUNCTION("""COMPUTED_VALUE"""),2690)</f>
        <v>2690</v>
      </c>
      <c r="E21" s="16">
        <f>IFERROR(__xludf.DUMMYFUNCTION("""COMPUTED_VALUE"""),45771.6458333333)</f>
        <v>45771.6458333333</v>
      </c>
      <c r="F21" s="17">
        <f>IFERROR(__xludf.DUMMYFUNCTION("""COMPUTED_VALUE"""),562050)</f>
        <v>562050</v>
      </c>
      <c r="G21" s="16">
        <f>IFERROR(__xludf.DUMMYFUNCTION("""COMPUTED_VALUE"""),45771.6458333333)</f>
        <v>45771.6458333333</v>
      </c>
      <c r="H21" s="17">
        <f>IFERROR(__xludf.DUMMYFUNCTION("""COMPUTED_VALUE"""),2736.3)</f>
        <v>2736.3</v>
      </c>
      <c r="I21" s="16">
        <f>IFERROR(__xludf.DUMMYFUNCTION("""COMPUTED_VALUE"""),45771.6458333333)</f>
        <v>45771.6458333333</v>
      </c>
      <c r="J21" s="17">
        <f>IFERROR(__xludf.DUMMYFUNCTION("""COMPUTED_VALUE"""),2673)</f>
        <v>2673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IFERROR(__xludf.DUMMYFUNCTION("""COMPUTED_VALUE"""),2734.8)</f>
        <v>2734.8</v>
      </c>
      <c r="C22" s="16">
        <f>IFERROR(__xludf.DUMMYFUNCTION("""COMPUTED_VALUE"""),45772.6458333333)</f>
        <v>45772.6458333333</v>
      </c>
      <c r="D22" s="17">
        <f>IFERROR(__xludf.DUMMYFUNCTION("""COMPUTED_VALUE"""),2726)</f>
        <v>2726</v>
      </c>
      <c r="E22" s="16">
        <f>IFERROR(__xludf.DUMMYFUNCTION("""COMPUTED_VALUE"""),45772.6458333333)</f>
        <v>45772.6458333333</v>
      </c>
      <c r="F22" s="17">
        <f>IFERROR(__xludf.DUMMYFUNCTION("""COMPUTED_VALUE"""),649356)</f>
        <v>649356</v>
      </c>
      <c r="G22" s="16">
        <f>IFERROR(__xludf.DUMMYFUNCTION("""COMPUTED_VALUE"""),45772.6458333333)</f>
        <v>45772.6458333333</v>
      </c>
      <c r="H22" s="17">
        <f>IFERROR(__xludf.DUMMYFUNCTION("""COMPUTED_VALUE"""),2739.9)</f>
        <v>2739.9</v>
      </c>
      <c r="I22" s="16">
        <f>IFERROR(__xludf.DUMMYFUNCTION("""COMPUTED_VALUE"""),45772.6458333333)</f>
        <v>45772.6458333333</v>
      </c>
      <c r="J22" s="17">
        <f>IFERROR(__xludf.DUMMYFUNCTION("""COMPUTED_VALUE"""),2675.2)</f>
        <v>2675.2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IFERROR(__xludf.DUMMYFUNCTION("""COMPUTED_VALUE"""),2753.4)</f>
        <v>2753.4</v>
      </c>
      <c r="C23" s="16">
        <f>IFERROR(__xludf.DUMMYFUNCTION("""COMPUTED_VALUE"""),45775.6458333333)</f>
        <v>45775.6458333333</v>
      </c>
      <c r="D23" s="17">
        <f>IFERROR(__xludf.DUMMYFUNCTION("""COMPUTED_VALUE"""),2735)</f>
        <v>2735</v>
      </c>
      <c r="E23" s="16">
        <f>IFERROR(__xludf.DUMMYFUNCTION("""COMPUTED_VALUE"""),45775.6458333333)</f>
        <v>45775.6458333333</v>
      </c>
      <c r="F23" s="17">
        <f>IFERROR(__xludf.DUMMYFUNCTION("""COMPUTED_VALUE"""),416635)</f>
        <v>416635</v>
      </c>
      <c r="G23" s="16">
        <f>IFERROR(__xludf.DUMMYFUNCTION("""COMPUTED_VALUE"""),45775.6458333333)</f>
        <v>45775.6458333333</v>
      </c>
      <c r="H23" s="17">
        <f>IFERROR(__xludf.DUMMYFUNCTION("""COMPUTED_VALUE"""),2773.7)</f>
        <v>2773.7</v>
      </c>
      <c r="I23" s="16">
        <f>IFERROR(__xludf.DUMMYFUNCTION("""COMPUTED_VALUE"""),45775.6458333333)</f>
        <v>45775.6458333333</v>
      </c>
      <c r="J23" s="17">
        <f>IFERROR(__xludf.DUMMYFUNCTION("""COMPUTED_VALUE"""),2723.3)</f>
        <v>2723.3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IFERROR(__xludf.DUMMYFUNCTION("""COMPUTED_VALUE"""),2745.7)</f>
        <v>2745.7</v>
      </c>
      <c r="C24" s="16">
        <f>IFERROR(__xludf.DUMMYFUNCTION("""COMPUTED_VALUE"""),45776.6458333333)</f>
        <v>45776.6458333333</v>
      </c>
      <c r="D24" s="17">
        <f>IFERROR(__xludf.DUMMYFUNCTION("""COMPUTED_VALUE"""),2753.1)</f>
        <v>2753.1</v>
      </c>
      <c r="E24" s="16">
        <f>IFERROR(__xludf.DUMMYFUNCTION("""COMPUTED_VALUE"""),45776.6458333333)</f>
        <v>45776.6458333333</v>
      </c>
      <c r="F24" s="17">
        <f>IFERROR(__xludf.DUMMYFUNCTION("""COMPUTED_VALUE"""),890929)</f>
        <v>890929</v>
      </c>
      <c r="G24" s="16">
        <f>IFERROR(__xludf.DUMMYFUNCTION("""COMPUTED_VALUE"""),45776.6458333333)</f>
        <v>45776.6458333333</v>
      </c>
      <c r="H24" s="17">
        <f>IFERROR(__xludf.DUMMYFUNCTION("""COMPUTED_VALUE"""),2755.6)</f>
        <v>2755.6</v>
      </c>
      <c r="I24" s="16">
        <f>IFERROR(__xludf.DUMMYFUNCTION("""COMPUTED_VALUE"""),45776.6458333333)</f>
        <v>45776.6458333333</v>
      </c>
      <c r="J24" s="17">
        <f>IFERROR(__xludf.DUMMYFUNCTION("""COMPUTED_VALUE"""),2719)</f>
        <v>2719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IFERROR(__xludf.DUMMYFUNCTION("""COMPUTED_VALUE"""),2737.5)</f>
        <v>2737.5</v>
      </c>
      <c r="C25" s="16">
        <f>IFERROR(__xludf.DUMMYFUNCTION("""COMPUTED_VALUE"""),45777.6458333333)</f>
        <v>45777.6458333333</v>
      </c>
      <c r="D25" s="17">
        <f>IFERROR(__xludf.DUMMYFUNCTION("""COMPUTED_VALUE"""),2735)</f>
        <v>2735</v>
      </c>
      <c r="E25" s="16">
        <f>IFERROR(__xludf.DUMMYFUNCTION("""COMPUTED_VALUE"""),45777.6458333333)</f>
        <v>45777.6458333333</v>
      </c>
      <c r="F25" s="17">
        <f>IFERROR(__xludf.DUMMYFUNCTION("""COMPUTED_VALUE"""),662477)</f>
        <v>662477</v>
      </c>
      <c r="G25" s="16">
        <f>IFERROR(__xludf.DUMMYFUNCTION("""COMPUTED_VALUE"""),45777.6458333333)</f>
        <v>45777.6458333333</v>
      </c>
      <c r="H25" s="17">
        <f>IFERROR(__xludf.DUMMYFUNCTION("""COMPUTED_VALUE"""),2750.9)</f>
        <v>2750.9</v>
      </c>
      <c r="I25" s="16">
        <f>IFERROR(__xludf.DUMMYFUNCTION("""COMPUTED_VALUE"""),45777.6458333333)</f>
        <v>45777.6458333333</v>
      </c>
      <c r="J25" s="17">
        <f>IFERROR(__xludf.DUMMYFUNCTION("""COMPUTED_VALUE"""),2718.9)</f>
        <v>2718.9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IFERROR(__xludf.DUMMYFUNCTION("""COMPUTED_VALUE"""),2718.3)</f>
        <v>2718.3</v>
      </c>
      <c r="C26" s="16">
        <f>IFERROR(__xludf.DUMMYFUNCTION("""COMPUTED_VALUE"""),45779.6458333333)</f>
        <v>45779.6458333333</v>
      </c>
      <c r="D26" s="17">
        <f>IFERROR(__xludf.DUMMYFUNCTION("""COMPUTED_VALUE"""),2725.6)</f>
        <v>2725.6</v>
      </c>
      <c r="E26" s="16">
        <f>IFERROR(__xludf.DUMMYFUNCTION("""COMPUTED_VALUE"""),45779.6458333333)</f>
        <v>45779.6458333333</v>
      </c>
      <c r="F26" s="17">
        <f>IFERROR(__xludf.DUMMYFUNCTION("""COMPUTED_VALUE"""),798849)</f>
        <v>798849</v>
      </c>
      <c r="G26" s="16">
        <f>IFERROR(__xludf.DUMMYFUNCTION("""COMPUTED_VALUE"""),45779.6458333333)</f>
        <v>45779.6458333333</v>
      </c>
      <c r="H26" s="17">
        <f>IFERROR(__xludf.DUMMYFUNCTION("""COMPUTED_VALUE"""),2771.8)</f>
        <v>2771.8</v>
      </c>
      <c r="I26" s="16">
        <f>IFERROR(__xludf.DUMMYFUNCTION("""COMPUTED_VALUE"""),45779.6458333333)</f>
        <v>45779.6458333333</v>
      </c>
      <c r="J26" s="17">
        <f>IFERROR(__xludf.DUMMYFUNCTION("""COMPUTED_VALUE"""),2695.8)</f>
        <v>2695.8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IFERROR(__xludf.DUMMYFUNCTION("""COMPUTED_VALUE"""),2755.1)</f>
        <v>2755.1</v>
      </c>
      <c r="C27" s="16">
        <f>IFERROR(__xludf.DUMMYFUNCTION("""COMPUTED_VALUE"""),45782.6458333333)</f>
        <v>45782.6458333333</v>
      </c>
      <c r="D27" s="17">
        <f>IFERROR(__xludf.DUMMYFUNCTION("""COMPUTED_VALUE"""),2730)</f>
        <v>2730</v>
      </c>
      <c r="E27" s="16">
        <f>IFERROR(__xludf.DUMMYFUNCTION("""COMPUTED_VALUE"""),45782.6458333333)</f>
        <v>45782.6458333333</v>
      </c>
      <c r="F27" s="17">
        <f>IFERROR(__xludf.DUMMYFUNCTION("""COMPUTED_VALUE"""),661587)</f>
        <v>661587</v>
      </c>
      <c r="G27" s="16">
        <f>IFERROR(__xludf.DUMMYFUNCTION("""COMPUTED_VALUE"""),45782.6458333333)</f>
        <v>45782.6458333333</v>
      </c>
      <c r="H27" s="17">
        <f>IFERROR(__xludf.DUMMYFUNCTION("""COMPUTED_VALUE"""),2773)</f>
        <v>2773</v>
      </c>
      <c r="I27" s="16">
        <f>IFERROR(__xludf.DUMMYFUNCTION("""COMPUTED_VALUE"""),45782.6458333333)</f>
        <v>45782.6458333333</v>
      </c>
      <c r="J27" s="17">
        <f>IFERROR(__xludf.DUMMYFUNCTION("""COMPUTED_VALUE"""),2718.3)</f>
        <v>2718.3</v>
      </c>
      <c r="K27" s="3">
        <f t="shared" si="2"/>
        <v>2755.1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IFERROR(__xludf.DUMMYFUNCTION("""COMPUTED_VALUE"""),2728.7)</f>
        <v>2728.7</v>
      </c>
      <c r="C28" s="16">
        <f>IFERROR(__xludf.DUMMYFUNCTION("""COMPUTED_VALUE"""),45783.6458333333)</f>
        <v>45783.6458333333</v>
      </c>
      <c r="D28" s="17">
        <f>IFERROR(__xludf.DUMMYFUNCTION("""COMPUTED_VALUE"""),2754)</f>
        <v>2754</v>
      </c>
      <c r="E28" s="16">
        <f>IFERROR(__xludf.DUMMYFUNCTION("""COMPUTED_VALUE"""),45783.6458333333)</f>
        <v>45783.6458333333</v>
      </c>
      <c r="F28" s="17">
        <f>IFERROR(__xludf.DUMMYFUNCTION("""COMPUTED_VALUE"""),288396)</f>
        <v>288396</v>
      </c>
      <c r="G28" s="16">
        <f>IFERROR(__xludf.DUMMYFUNCTION("""COMPUTED_VALUE"""),45783.6458333333)</f>
        <v>45783.6458333333</v>
      </c>
      <c r="H28" s="17">
        <f>IFERROR(__xludf.DUMMYFUNCTION("""COMPUTED_VALUE"""),2764.5)</f>
        <v>2764.5</v>
      </c>
      <c r="I28" s="16">
        <f>IFERROR(__xludf.DUMMYFUNCTION("""COMPUTED_VALUE"""),45783.6458333333)</f>
        <v>45783.6458333333</v>
      </c>
      <c r="J28" s="17">
        <f>IFERROR(__xludf.DUMMYFUNCTION("""COMPUTED_VALUE"""),2718)</f>
        <v>2718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IFERROR(__xludf.DUMMYFUNCTION("""COMPUTED_VALUE"""),2699.9)</f>
        <v>2699.9</v>
      </c>
      <c r="C29" s="16">
        <f>IFERROR(__xludf.DUMMYFUNCTION("""COMPUTED_VALUE"""),45784.6458333333)</f>
        <v>45784.6458333333</v>
      </c>
      <c r="D29" s="17">
        <f>IFERROR(__xludf.DUMMYFUNCTION("""COMPUTED_VALUE"""),2699)</f>
        <v>2699</v>
      </c>
      <c r="E29" s="16">
        <f>IFERROR(__xludf.DUMMYFUNCTION("""COMPUTED_VALUE"""),45784.6458333333)</f>
        <v>45784.6458333333</v>
      </c>
      <c r="F29" s="17">
        <f>IFERROR(__xludf.DUMMYFUNCTION("""COMPUTED_VALUE"""),417883)</f>
        <v>417883</v>
      </c>
      <c r="G29" s="16">
        <f>IFERROR(__xludf.DUMMYFUNCTION("""COMPUTED_VALUE"""),45784.6458333333)</f>
        <v>45784.6458333333</v>
      </c>
      <c r="H29" s="17">
        <f>IFERROR(__xludf.DUMMYFUNCTION("""COMPUTED_VALUE"""),2727.3)</f>
        <v>2727.3</v>
      </c>
      <c r="I29" s="16">
        <f>IFERROR(__xludf.DUMMYFUNCTION("""COMPUTED_VALUE"""),45784.6458333333)</f>
        <v>45784.6458333333</v>
      </c>
      <c r="J29" s="17">
        <f>IFERROR(__xludf.DUMMYFUNCTION("""COMPUTED_VALUE"""),2682.4)</f>
        <v>2682.4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IFERROR(__xludf.DUMMYFUNCTION("""COMPUTED_VALUE"""),2698.7)</f>
        <v>2698.7</v>
      </c>
      <c r="C30" s="16">
        <f>IFERROR(__xludf.DUMMYFUNCTION("""COMPUTED_VALUE"""),45785.6458333333)</f>
        <v>45785.6458333333</v>
      </c>
      <c r="D30" s="17">
        <f>IFERROR(__xludf.DUMMYFUNCTION("""COMPUTED_VALUE"""),2685)</f>
        <v>2685</v>
      </c>
      <c r="E30" s="16">
        <f>IFERROR(__xludf.DUMMYFUNCTION("""COMPUTED_VALUE"""),45785.6458333333)</f>
        <v>45785.6458333333</v>
      </c>
      <c r="F30" s="17">
        <f>IFERROR(__xludf.DUMMYFUNCTION("""COMPUTED_VALUE"""),966461)</f>
        <v>966461</v>
      </c>
      <c r="G30" s="16">
        <f>IFERROR(__xludf.DUMMYFUNCTION("""COMPUTED_VALUE"""),45785.6458333333)</f>
        <v>45785.6458333333</v>
      </c>
      <c r="H30" s="17">
        <f>IFERROR(__xludf.DUMMYFUNCTION("""COMPUTED_VALUE"""),2709.6)</f>
        <v>2709.6</v>
      </c>
      <c r="I30" s="16">
        <f>IFERROR(__xludf.DUMMYFUNCTION("""COMPUTED_VALUE"""),45785.6458333333)</f>
        <v>45785.6458333333</v>
      </c>
      <c r="J30" s="17">
        <f>IFERROR(__xludf.DUMMYFUNCTION("""COMPUTED_VALUE"""),2676.5)</f>
        <v>2676.5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IFERROR(__xludf.DUMMYFUNCTION("""COMPUTED_VALUE"""),2634.8)</f>
        <v>2634.8</v>
      </c>
      <c r="C31" s="16">
        <f>IFERROR(__xludf.DUMMYFUNCTION("""COMPUTED_VALUE"""),45786.6458333333)</f>
        <v>45786.6458333333</v>
      </c>
      <c r="D31" s="17">
        <f>IFERROR(__xludf.DUMMYFUNCTION("""COMPUTED_VALUE"""),2676.9)</f>
        <v>2676.9</v>
      </c>
      <c r="E31" s="16">
        <f>IFERROR(__xludf.DUMMYFUNCTION("""COMPUTED_VALUE"""),45786.6458333333)</f>
        <v>45786.6458333333</v>
      </c>
      <c r="F31" s="17">
        <f>IFERROR(__xludf.DUMMYFUNCTION("""COMPUTED_VALUE"""),444671)</f>
        <v>444671</v>
      </c>
      <c r="G31" s="16">
        <f>IFERROR(__xludf.DUMMYFUNCTION("""COMPUTED_VALUE"""),45786.6458333333)</f>
        <v>45786.6458333333</v>
      </c>
      <c r="H31" s="17">
        <f>IFERROR(__xludf.DUMMYFUNCTION("""COMPUTED_VALUE"""),2684)</f>
        <v>2684</v>
      </c>
      <c r="I31" s="16">
        <f>IFERROR(__xludf.DUMMYFUNCTION("""COMPUTED_VALUE"""),45786.6458333333)</f>
        <v>45786.6458333333</v>
      </c>
      <c r="J31" s="17">
        <f>IFERROR(__xludf.DUMMYFUNCTION("""COMPUTED_VALUE"""),2626.6)</f>
        <v>2626.6</v>
      </c>
      <c r="K31" s="3">
        <f t="shared" si="2"/>
        <v>0</v>
      </c>
      <c r="L31" s="3">
        <f t="shared" si="3"/>
        <v>2634.8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IFERROR(__xludf.DUMMYFUNCTION("""COMPUTED_VALUE"""),2742.8)</f>
        <v>2742.8</v>
      </c>
      <c r="C32" s="16">
        <f>IFERROR(__xludf.DUMMYFUNCTION("""COMPUTED_VALUE"""),45789.6458333333)</f>
        <v>45789.6458333333</v>
      </c>
      <c r="D32" s="17">
        <f>IFERROR(__xludf.DUMMYFUNCTION("""COMPUTED_VALUE"""),2671.1)</f>
        <v>2671.1</v>
      </c>
      <c r="E32" s="16">
        <f>IFERROR(__xludf.DUMMYFUNCTION("""COMPUTED_VALUE"""),45789.6458333333)</f>
        <v>45789.6458333333</v>
      </c>
      <c r="F32" s="17">
        <f>IFERROR(__xludf.DUMMYFUNCTION("""COMPUTED_VALUE"""),498304)</f>
        <v>498304</v>
      </c>
      <c r="G32" s="16">
        <f>IFERROR(__xludf.DUMMYFUNCTION("""COMPUTED_VALUE"""),45789.6458333333)</f>
        <v>45789.6458333333</v>
      </c>
      <c r="H32" s="17">
        <f>IFERROR(__xludf.DUMMYFUNCTION("""COMPUTED_VALUE"""),2761.9)</f>
        <v>2761.9</v>
      </c>
      <c r="I32" s="16">
        <f>IFERROR(__xludf.DUMMYFUNCTION("""COMPUTED_VALUE"""),45789.6458333333)</f>
        <v>45789.6458333333</v>
      </c>
      <c r="J32" s="17">
        <f>IFERROR(__xludf.DUMMYFUNCTION("""COMPUTED_VALUE"""),2671.1)</f>
        <v>2671.1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IFERROR(__xludf.DUMMYFUNCTION("""COMPUTED_VALUE"""),2708.7)</f>
        <v>2708.7</v>
      </c>
      <c r="C33" s="16">
        <f>IFERROR(__xludf.DUMMYFUNCTION("""COMPUTED_VALUE"""),45790.6458333333)</f>
        <v>45790.6458333333</v>
      </c>
      <c r="D33" s="17">
        <f>IFERROR(__xludf.DUMMYFUNCTION("""COMPUTED_VALUE"""),2741)</f>
        <v>2741</v>
      </c>
      <c r="E33" s="16">
        <f>IFERROR(__xludf.DUMMYFUNCTION("""COMPUTED_VALUE"""),45790.6458333333)</f>
        <v>45790.6458333333</v>
      </c>
      <c r="F33" s="17">
        <f>IFERROR(__xludf.DUMMYFUNCTION("""COMPUTED_VALUE"""),313964)</f>
        <v>313964</v>
      </c>
      <c r="G33" s="16">
        <f>IFERROR(__xludf.DUMMYFUNCTION("""COMPUTED_VALUE"""),45790.6458333333)</f>
        <v>45790.6458333333</v>
      </c>
      <c r="H33" s="17">
        <f>IFERROR(__xludf.DUMMYFUNCTION("""COMPUTED_VALUE"""),2748)</f>
        <v>2748</v>
      </c>
      <c r="I33" s="16">
        <f>IFERROR(__xludf.DUMMYFUNCTION("""COMPUTED_VALUE"""),45790.6458333333)</f>
        <v>45790.6458333333</v>
      </c>
      <c r="J33" s="17">
        <f>IFERROR(__xludf.DUMMYFUNCTION("""COMPUTED_VALUE"""),2702.7)</f>
        <v>2702.7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IFERROR(__xludf.DUMMYFUNCTION("""COMPUTED_VALUE"""),2737.2)</f>
        <v>2737.2</v>
      </c>
      <c r="C34" s="16">
        <f>IFERROR(__xludf.DUMMYFUNCTION("""COMPUTED_VALUE"""),45791.6458333333)</f>
        <v>45791.6458333333</v>
      </c>
      <c r="D34" s="17">
        <f>IFERROR(__xludf.DUMMYFUNCTION("""COMPUTED_VALUE"""),2719.9)</f>
        <v>2719.9</v>
      </c>
      <c r="E34" s="16">
        <f>IFERROR(__xludf.DUMMYFUNCTION("""COMPUTED_VALUE"""),45791.6458333333)</f>
        <v>45791.6458333333</v>
      </c>
      <c r="F34" s="17">
        <f>IFERROR(__xludf.DUMMYFUNCTION("""COMPUTED_VALUE"""),330652)</f>
        <v>330652</v>
      </c>
      <c r="G34" s="16">
        <f>IFERROR(__xludf.DUMMYFUNCTION("""COMPUTED_VALUE"""),45791.6458333333)</f>
        <v>45791.6458333333</v>
      </c>
      <c r="H34" s="17">
        <f>IFERROR(__xludf.DUMMYFUNCTION("""COMPUTED_VALUE"""),2747)</f>
        <v>2747</v>
      </c>
      <c r="I34" s="16">
        <f>IFERROR(__xludf.DUMMYFUNCTION("""COMPUTED_VALUE"""),45791.6458333333)</f>
        <v>45791.6458333333</v>
      </c>
      <c r="J34" s="17">
        <f>IFERROR(__xludf.DUMMYFUNCTION("""COMPUTED_VALUE"""),2705.3)</f>
        <v>2705.3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IFERROR(__xludf.DUMMYFUNCTION("""COMPUTED_VALUE"""),2824.8)</f>
        <v>2824.8</v>
      </c>
      <c r="C35" s="16">
        <f>IFERROR(__xludf.DUMMYFUNCTION("""COMPUTED_VALUE"""),45792.6458333333)</f>
        <v>45792.6458333333</v>
      </c>
      <c r="D35" s="17">
        <f>IFERROR(__xludf.DUMMYFUNCTION("""COMPUTED_VALUE"""),2734.3)</f>
        <v>2734.3</v>
      </c>
      <c r="E35" s="16">
        <f>IFERROR(__xludf.DUMMYFUNCTION("""COMPUTED_VALUE"""),45792.6458333333)</f>
        <v>45792.6458333333</v>
      </c>
      <c r="F35" s="17">
        <f>IFERROR(__xludf.DUMMYFUNCTION("""COMPUTED_VALUE"""),1353535)</f>
        <v>1353535</v>
      </c>
      <c r="G35" s="16">
        <f>IFERROR(__xludf.DUMMYFUNCTION("""COMPUTED_VALUE"""),45792.6458333333)</f>
        <v>45792.6458333333</v>
      </c>
      <c r="H35" s="17">
        <f>IFERROR(__xludf.DUMMYFUNCTION("""COMPUTED_VALUE"""),2829.5)</f>
        <v>2829.5</v>
      </c>
      <c r="I35" s="16">
        <f>IFERROR(__xludf.DUMMYFUNCTION("""COMPUTED_VALUE"""),45792.6458333333)</f>
        <v>45792.6458333333</v>
      </c>
      <c r="J35" s="17">
        <f>IFERROR(__xludf.DUMMYFUNCTION("""COMPUTED_VALUE"""),2720)</f>
        <v>2720</v>
      </c>
      <c r="K35" s="3">
        <f t="shared" si="2"/>
        <v>2824.8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IFERROR(__xludf.DUMMYFUNCTION("""COMPUTED_VALUE"""),2804.2)</f>
        <v>2804.2</v>
      </c>
      <c r="C36" s="16">
        <f>IFERROR(__xludf.DUMMYFUNCTION("""COMPUTED_VALUE"""),45793.6458333333)</f>
        <v>45793.6458333333</v>
      </c>
      <c r="D36" s="17">
        <f>IFERROR(__xludf.DUMMYFUNCTION("""COMPUTED_VALUE"""),2845)</f>
        <v>2845</v>
      </c>
      <c r="E36" s="16">
        <f>IFERROR(__xludf.DUMMYFUNCTION("""COMPUTED_VALUE"""),45793.6458333333)</f>
        <v>45793.6458333333</v>
      </c>
      <c r="F36" s="17">
        <f>IFERROR(__xludf.DUMMYFUNCTION("""COMPUTED_VALUE"""),700214)</f>
        <v>700214</v>
      </c>
      <c r="G36" s="16">
        <f>IFERROR(__xludf.DUMMYFUNCTION("""COMPUTED_VALUE"""),45793.6458333333)</f>
        <v>45793.6458333333</v>
      </c>
      <c r="H36" s="17">
        <f>IFERROR(__xludf.DUMMYFUNCTION("""COMPUTED_VALUE"""),2845)</f>
        <v>2845</v>
      </c>
      <c r="I36" s="16">
        <f>IFERROR(__xludf.DUMMYFUNCTION("""COMPUTED_VALUE"""),45793.6458333333)</f>
        <v>45793.6458333333</v>
      </c>
      <c r="J36" s="17">
        <f>IFERROR(__xludf.DUMMYFUNCTION("""COMPUTED_VALUE"""),2775.1)</f>
        <v>2775.1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IFERROR(__xludf.DUMMYFUNCTION("""COMPUTED_VALUE"""),2727)</f>
        <v>2727</v>
      </c>
      <c r="C37" s="16">
        <f>IFERROR(__xludf.DUMMYFUNCTION("""COMPUTED_VALUE"""),45796.6458333333)</f>
        <v>45796.6458333333</v>
      </c>
      <c r="D37" s="17">
        <f>IFERROR(__xludf.DUMMYFUNCTION("""COMPUTED_VALUE"""),2820)</f>
        <v>2820</v>
      </c>
      <c r="E37" s="16">
        <f>IFERROR(__xludf.DUMMYFUNCTION("""COMPUTED_VALUE"""),45796.6458333333)</f>
        <v>45796.6458333333</v>
      </c>
      <c r="F37" s="17">
        <f>IFERROR(__xludf.DUMMYFUNCTION("""COMPUTED_VALUE"""),575525)</f>
        <v>575525</v>
      </c>
      <c r="G37" s="16">
        <f>IFERROR(__xludf.DUMMYFUNCTION("""COMPUTED_VALUE"""),45796.6458333333)</f>
        <v>45796.6458333333</v>
      </c>
      <c r="H37" s="17">
        <f>IFERROR(__xludf.DUMMYFUNCTION("""COMPUTED_VALUE"""),2820.1)</f>
        <v>2820.1</v>
      </c>
      <c r="I37" s="16">
        <f>IFERROR(__xludf.DUMMYFUNCTION("""COMPUTED_VALUE"""),45796.6458333333)</f>
        <v>45796.6458333333</v>
      </c>
      <c r="J37" s="17">
        <f>IFERROR(__xludf.DUMMYFUNCTION("""COMPUTED_VALUE"""),2721)</f>
        <v>2721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IFERROR(__xludf.DUMMYFUNCTION("""COMPUTED_VALUE"""),2720.8)</f>
        <v>2720.8</v>
      </c>
      <c r="C38" s="16">
        <f>IFERROR(__xludf.DUMMYFUNCTION("""COMPUTED_VALUE"""),45797.6458333333)</f>
        <v>45797.6458333333</v>
      </c>
      <c r="D38" s="17">
        <f>IFERROR(__xludf.DUMMYFUNCTION("""COMPUTED_VALUE"""),2754)</f>
        <v>2754</v>
      </c>
      <c r="E38" s="16">
        <f>IFERROR(__xludf.DUMMYFUNCTION("""COMPUTED_VALUE"""),45797.6458333333)</f>
        <v>45797.6458333333</v>
      </c>
      <c r="F38" s="17">
        <f>IFERROR(__xludf.DUMMYFUNCTION("""COMPUTED_VALUE"""),520661)</f>
        <v>520661</v>
      </c>
      <c r="G38" s="16">
        <f>IFERROR(__xludf.DUMMYFUNCTION("""COMPUTED_VALUE"""),45797.6458333333)</f>
        <v>45797.6458333333</v>
      </c>
      <c r="H38" s="17">
        <f>IFERROR(__xludf.DUMMYFUNCTION("""COMPUTED_VALUE"""),2754)</f>
        <v>2754</v>
      </c>
      <c r="I38" s="16">
        <f>IFERROR(__xludf.DUMMYFUNCTION("""COMPUTED_VALUE"""),45797.6458333333)</f>
        <v>45797.6458333333</v>
      </c>
      <c r="J38" s="17">
        <f>IFERROR(__xludf.DUMMYFUNCTION("""COMPUTED_VALUE"""),2710.2)</f>
        <v>2710.2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IFERROR(__xludf.DUMMYFUNCTION("""COMPUTED_VALUE"""),2706.9)</f>
        <v>2706.9</v>
      </c>
      <c r="C39" s="16">
        <f>IFERROR(__xludf.DUMMYFUNCTION("""COMPUTED_VALUE"""),45798.6458333333)</f>
        <v>45798.6458333333</v>
      </c>
      <c r="D39" s="17">
        <f>IFERROR(__xludf.DUMMYFUNCTION("""COMPUTED_VALUE"""),2717)</f>
        <v>2717</v>
      </c>
      <c r="E39" s="16">
        <f>IFERROR(__xludf.DUMMYFUNCTION("""COMPUTED_VALUE"""),45798.6458333333)</f>
        <v>45798.6458333333</v>
      </c>
      <c r="F39" s="17">
        <f>IFERROR(__xludf.DUMMYFUNCTION("""COMPUTED_VALUE"""),304264)</f>
        <v>304264</v>
      </c>
      <c r="G39" s="16">
        <f>IFERROR(__xludf.DUMMYFUNCTION("""COMPUTED_VALUE"""),45798.6458333333)</f>
        <v>45798.6458333333</v>
      </c>
      <c r="H39" s="17">
        <f>IFERROR(__xludf.DUMMYFUNCTION("""COMPUTED_VALUE"""),2749.9)</f>
        <v>2749.9</v>
      </c>
      <c r="I39" s="16">
        <f>IFERROR(__xludf.DUMMYFUNCTION("""COMPUTED_VALUE"""),45798.6458333333)</f>
        <v>45798.6458333333</v>
      </c>
      <c r="J39" s="17">
        <f>IFERROR(__xludf.DUMMYFUNCTION("""COMPUTED_VALUE"""),2692.2)</f>
        <v>2692.2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IFERROR(__xludf.DUMMYFUNCTION("""COMPUTED_VALUE"""),2674.6)</f>
        <v>2674.6</v>
      </c>
      <c r="C40" s="16">
        <f>IFERROR(__xludf.DUMMYFUNCTION("""COMPUTED_VALUE"""),45799.6458333333)</f>
        <v>45799.6458333333</v>
      </c>
      <c r="D40" s="17">
        <f>IFERROR(__xludf.DUMMYFUNCTION("""COMPUTED_VALUE"""),2700)</f>
        <v>2700</v>
      </c>
      <c r="E40" s="16">
        <f>IFERROR(__xludf.DUMMYFUNCTION("""COMPUTED_VALUE"""),45799.6458333333)</f>
        <v>45799.6458333333</v>
      </c>
      <c r="F40" s="17">
        <f>IFERROR(__xludf.DUMMYFUNCTION("""COMPUTED_VALUE"""),541069)</f>
        <v>541069</v>
      </c>
      <c r="G40" s="16">
        <f>IFERROR(__xludf.DUMMYFUNCTION("""COMPUTED_VALUE"""),45799.6458333333)</f>
        <v>45799.6458333333</v>
      </c>
      <c r="H40" s="17">
        <f>IFERROR(__xludf.DUMMYFUNCTION("""COMPUTED_VALUE"""),2702.3)</f>
        <v>2702.3</v>
      </c>
      <c r="I40" s="16">
        <f>IFERROR(__xludf.DUMMYFUNCTION("""COMPUTED_VALUE"""),45799.6458333333)</f>
        <v>45799.6458333333</v>
      </c>
      <c r="J40" s="17">
        <f>IFERROR(__xludf.DUMMYFUNCTION("""COMPUTED_VALUE"""),2648.3)</f>
        <v>2648.3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IFERROR(__xludf.DUMMYFUNCTION("""COMPUTED_VALUE"""),2659.4)</f>
        <v>2659.4</v>
      </c>
      <c r="C41" s="16">
        <f>IFERROR(__xludf.DUMMYFUNCTION("""COMPUTED_VALUE"""),45800.6458333333)</f>
        <v>45800.6458333333</v>
      </c>
      <c r="D41" s="17">
        <f>IFERROR(__xludf.DUMMYFUNCTION("""COMPUTED_VALUE"""),2675)</f>
        <v>2675</v>
      </c>
      <c r="E41" s="16">
        <f>IFERROR(__xludf.DUMMYFUNCTION("""COMPUTED_VALUE"""),45800.6458333333)</f>
        <v>45800.6458333333</v>
      </c>
      <c r="F41" s="17">
        <f>IFERROR(__xludf.DUMMYFUNCTION("""COMPUTED_VALUE"""),990691)</f>
        <v>990691</v>
      </c>
      <c r="G41" s="16">
        <f>IFERROR(__xludf.DUMMYFUNCTION("""COMPUTED_VALUE"""),45800.6458333333)</f>
        <v>45800.6458333333</v>
      </c>
      <c r="H41" s="17">
        <f>IFERROR(__xludf.DUMMYFUNCTION("""COMPUTED_VALUE"""),2746.9)</f>
        <v>2746.9</v>
      </c>
      <c r="I41" s="16">
        <f>IFERROR(__xludf.DUMMYFUNCTION("""COMPUTED_VALUE"""),45800.6458333333)</f>
        <v>45800.6458333333</v>
      </c>
      <c r="J41" s="17">
        <f>IFERROR(__xludf.DUMMYFUNCTION("""COMPUTED_VALUE"""),2651)</f>
        <v>2651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IFERROR(__xludf.DUMMYFUNCTION("""COMPUTED_VALUE"""),2656.4)</f>
        <v>2656.4</v>
      </c>
      <c r="C42" s="16">
        <f>IFERROR(__xludf.DUMMYFUNCTION("""COMPUTED_VALUE"""),45803.6458333333)</f>
        <v>45803.6458333333</v>
      </c>
      <c r="D42" s="17">
        <f>IFERROR(__xludf.DUMMYFUNCTION("""COMPUTED_VALUE"""),2672.5)</f>
        <v>2672.5</v>
      </c>
      <c r="E42" s="16">
        <f>IFERROR(__xludf.DUMMYFUNCTION("""COMPUTED_VALUE"""),45803.6458333333)</f>
        <v>45803.6458333333</v>
      </c>
      <c r="F42" s="17">
        <f>IFERROR(__xludf.DUMMYFUNCTION("""COMPUTED_VALUE"""),435977)</f>
        <v>435977</v>
      </c>
      <c r="G42" s="16">
        <f>IFERROR(__xludf.DUMMYFUNCTION("""COMPUTED_VALUE"""),45803.6458333333)</f>
        <v>45803.6458333333</v>
      </c>
      <c r="H42" s="17">
        <f>IFERROR(__xludf.DUMMYFUNCTION("""COMPUTED_VALUE"""),2696.6)</f>
        <v>2696.6</v>
      </c>
      <c r="I42" s="16">
        <f>IFERROR(__xludf.DUMMYFUNCTION("""COMPUTED_VALUE"""),45803.6458333333)</f>
        <v>45803.6458333333</v>
      </c>
      <c r="J42" s="17">
        <f>IFERROR(__xludf.DUMMYFUNCTION("""COMPUTED_VALUE"""),2640.1)</f>
        <v>2640.1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IFERROR(__xludf.DUMMYFUNCTION("""COMPUTED_VALUE"""),2614.2)</f>
        <v>2614.2</v>
      </c>
      <c r="C43" s="16">
        <f>IFERROR(__xludf.DUMMYFUNCTION("""COMPUTED_VALUE"""),45804.6458333333)</f>
        <v>45804.6458333333</v>
      </c>
      <c r="D43" s="17">
        <f>IFERROR(__xludf.DUMMYFUNCTION("""COMPUTED_VALUE"""),2656)</f>
        <v>2656</v>
      </c>
      <c r="E43" s="16">
        <f>IFERROR(__xludf.DUMMYFUNCTION("""COMPUTED_VALUE"""),45804.6458333333)</f>
        <v>45804.6458333333</v>
      </c>
      <c r="F43" s="17">
        <f>IFERROR(__xludf.DUMMYFUNCTION("""COMPUTED_VALUE"""),874537)</f>
        <v>874537</v>
      </c>
      <c r="G43" s="16">
        <f>IFERROR(__xludf.DUMMYFUNCTION("""COMPUTED_VALUE"""),45804.6458333333)</f>
        <v>45804.6458333333</v>
      </c>
      <c r="H43" s="17">
        <f>IFERROR(__xludf.DUMMYFUNCTION("""COMPUTED_VALUE"""),2658.4)</f>
        <v>2658.4</v>
      </c>
      <c r="I43" s="16">
        <f>IFERROR(__xludf.DUMMYFUNCTION("""COMPUTED_VALUE"""),45804.6458333333)</f>
        <v>45804.6458333333</v>
      </c>
      <c r="J43" s="17">
        <f>IFERROR(__xludf.DUMMYFUNCTION("""COMPUTED_VALUE"""),2595)</f>
        <v>2595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IFERROR(__xludf.DUMMYFUNCTION("""COMPUTED_VALUE"""),2577.6)</f>
        <v>2577.6</v>
      </c>
      <c r="C44" s="16">
        <f>IFERROR(__xludf.DUMMYFUNCTION("""COMPUTED_VALUE"""),45805.6458333333)</f>
        <v>45805.6458333333</v>
      </c>
      <c r="D44" s="17">
        <f>IFERROR(__xludf.DUMMYFUNCTION("""COMPUTED_VALUE"""),2620.8)</f>
        <v>2620.8</v>
      </c>
      <c r="E44" s="16">
        <f>IFERROR(__xludf.DUMMYFUNCTION("""COMPUTED_VALUE"""),45805.6458333333)</f>
        <v>45805.6458333333</v>
      </c>
      <c r="F44" s="17">
        <f>IFERROR(__xludf.DUMMYFUNCTION("""COMPUTED_VALUE"""),849149)</f>
        <v>849149</v>
      </c>
      <c r="G44" s="16">
        <f>IFERROR(__xludf.DUMMYFUNCTION("""COMPUTED_VALUE"""),45805.6458333333)</f>
        <v>45805.6458333333</v>
      </c>
      <c r="H44" s="17">
        <f>IFERROR(__xludf.DUMMYFUNCTION("""COMPUTED_VALUE"""),2620.8)</f>
        <v>2620.8</v>
      </c>
      <c r="I44" s="16">
        <f>IFERROR(__xludf.DUMMYFUNCTION("""COMPUTED_VALUE"""),45805.6458333333)</f>
        <v>45805.6458333333</v>
      </c>
      <c r="J44" s="17">
        <f>IFERROR(__xludf.DUMMYFUNCTION("""COMPUTED_VALUE"""),2570.1)</f>
        <v>2570.1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IFERROR(__xludf.DUMMYFUNCTION("""COMPUTED_VALUE"""),2573.6)</f>
        <v>2573.6</v>
      </c>
      <c r="C45" s="16">
        <f>IFERROR(__xludf.DUMMYFUNCTION("""COMPUTED_VALUE"""),45806.6458333333)</f>
        <v>45806.6458333333</v>
      </c>
      <c r="D45" s="17">
        <f>IFERROR(__xludf.DUMMYFUNCTION("""COMPUTED_VALUE"""),2577.6)</f>
        <v>2577.6</v>
      </c>
      <c r="E45" s="16">
        <f>IFERROR(__xludf.DUMMYFUNCTION("""COMPUTED_VALUE"""),45806.6458333333)</f>
        <v>45806.6458333333</v>
      </c>
      <c r="F45" s="17">
        <f>IFERROR(__xludf.DUMMYFUNCTION("""COMPUTED_VALUE"""),616258)</f>
        <v>616258</v>
      </c>
      <c r="G45" s="16">
        <f>IFERROR(__xludf.DUMMYFUNCTION("""COMPUTED_VALUE"""),45806.6458333333)</f>
        <v>45806.6458333333</v>
      </c>
      <c r="H45" s="17">
        <f>IFERROR(__xludf.DUMMYFUNCTION("""COMPUTED_VALUE"""),2593.9)</f>
        <v>2593.9</v>
      </c>
      <c r="I45" s="16">
        <f>IFERROR(__xludf.DUMMYFUNCTION("""COMPUTED_VALUE"""),45806.6458333333)</f>
        <v>45806.6458333333</v>
      </c>
      <c r="J45" s="17">
        <f>IFERROR(__xludf.DUMMYFUNCTION("""COMPUTED_VALUE"""),2552.2)</f>
        <v>2552.2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IFERROR(__xludf.DUMMYFUNCTION("""COMPUTED_VALUE"""),2545.8)</f>
        <v>2545.8</v>
      </c>
      <c r="C46" s="16">
        <f>IFERROR(__xludf.DUMMYFUNCTION("""COMPUTED_VALUE"""),45807.6458333333)</f>
        <v>45807.6458333333</v>
      </c>
      <c r="D46" s="17">
        <f>IFERROR(__xludf.DUMMYFUNCTION("""COMPUTED_VALUE"""),2575)</f>
        <v>2575</v>
      </c>
      <c r="E46" s="16">
        <f>IFERROR(__xludf.DUMMYFUNCTION("""COMPUTED_VALUE"""),45807.6458333333)</f>
        <v>45807.6458333333</v>
      </c>
      <c r="F46" s="17">
        <f>IFERROR(__xludf.DUMMYFUNCTION("""COMPUTED_VALUE"""),1203864)</f>
        <v>1203864</v>
      </c>
      <c r="G46" s="16">
        <f>IFERROR(__xludf.DUMMYFUNCTION("""COMPUTED_VALUE"""),45807.6458333333)</f>
        <v>45807.6458333333</v>
      </c>
      <c r="H46" s="17">
        <f>IFERROR(__xludf.DUMMYFUNCTION("""COMPUTED_VALUE"""),2604.9)</f>
        <v>2604.9</v>
      </c>
      <c r="I46" s="16">
        <f>IFERROR(__xludf.DUMMYFUNCTION("""COMPUTED_VALUE"""),45807.6458333333)</f>
        <v>45807.6458333333</v>
      </c>
      <c r="J46" s="17">
        <f>IFERROR(__xludf.DUMMYFUNCTION("""COMPUTED_VALUE"""),2536)</f>
        <v>2536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IFERROR(__xludf.DUMMYFUNCTION("""COMPUTED_VALUE"""),2524.1)</f>
        <v>2524.1</v>
      </c>
      <c r="C47" s="16">
        <f>IFERROR(__xludf.DUMMYFUNCTION("""COMPUTED_VALUE"""),45810.6458333333)</f>
        <v>45810.6458333333</v>
      </c>
      <c r="D47" s="17">
        <f>IFERROR(__xludf.DUMMYFUNCTION("""COMPUTED_VALUE"""),2546)</f>
        <v>2546</v>
      </c>
      <c r="E47" s="16">
        <f>IFERROR(__xludf.DUMMYFUNCTION("""COMPUTED_VALUE"""),45810.6458333333)</f>
        <v>45810.6458333333</v>
      </c>
      <c r="F47" s="17">
        <f>IFERROR(__xludf.DUMMYFUNCTION("""COMPUTED_VALUE"""),1209305)</f>
        <v>1209305</v>
      </c>
      <c r="G47" s="16">
        <f>IFERROR(__xludf.DUMMYFUNCTION("""COMPUTED_VALUE"""),45810.6458333333)</f>
        <v>45810.6458333333</v>
      </c>
      <c r="H47" s="17">
        <f>IFERROR(__xludf.DUMMYFUNCTION("""COMPUTED_VALUE"""),2549.6)</f>
        <v>2549.6</v>
      </c>
      <c r="I47" s="16">
        <f>IFERROR(__xludf.DUMMYFUNCTION("""COMPUTED_VALUE"""),45810.6458333333)</f>
        <v>45810.6458333333</v>
      </c>
      <c r="J47" s="17">
        <f>IFERROR(__xludf.DUMMYFUNCTION("""COMPUTED_VALUE"""),2511)</f>
        <v>2511</v>
      </c>
      <c r="K47" s="3">
        <f t="shared" si="2"/>
        <v>0</v>
      </c>
      <c r="L47" s="3">
        <f t="shared" si="3"/>
        <v>2524.1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IFERROR(__xludf.DUMMYFUNCTION("""COMPUTED_VALUE"""),2552.4)</f>
        <v>2552.4</v>
      </c>
      <c r="C48" s="16">
        <f>IFERROR(__xludf.DUMMYFUNCTION("""COMPUTED_VALUE"""),45811.6458333333)</f>
        <v>45811.6458333333</v>
      </c>
      <c r="D48" s="17">
        <f>IFERROR(__xludf.DUMMYFUNCTION("""COMPUTED_VALUE"""),2543)</f>
        <v>2543</v>
      </c>
      <c r="E48" s="16">
        <f>IFERROR(__xludf.DUMMYFUNCTION("""COMPUTED_VALUE"""),45811.6458333333)</f>
        <v>45811.6458333333</v>
      </c>
      <c r="F48" s="17">
        <f>IFERROR(__xludf.DUMMYFUNCTION("""COMPUTED_VALUE"""),1493898)</f>
        <v>1493898</v>
      </c>
      <c r="G48" s="16">
        <f>IFERROR(__xludf.DUMMYFUNCTION("""COMPUTED_VALUE"""),45811.6458333333)</f>
        <v>45811.6458333333</v>
      </c>
      <c r="H48" s="17">
        <f>IFERROR(__xludf.DUMMYFUNCTION("""COMPUTED_VALUE"""),2563)</f>
        <v>2563</v>
      </c>
      <c r="I48" s="16">
        <f>IFERROR(__xludf.DUMMYFUNCTION("""COMPUTED_VALUE"""),45811.6458333333)</f>
        <v>45811.6458333333</v>
      </c>
      <c r="J48" s="17">
        <f>IFERROR(__xludf.DUMMYFUNCTION("""COMPUTED_VALUE"""),2512.1)</f>
        <v>2512.1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IFERROR(__xludf.DUMMYFUNCTION("""COMPUTED_VALUE"""),2549.7)</f>
        <v>2549.7</v>
      </c>
      <c r="C49" s="16">
        <f>IFERROR(__xludf.DUMMYFUNCTION("""COMPUTED_VALUE"""),45812.6458333333)</f>
        <v>45812.6458333333</v>
      </c>
      <c r="D49" s="17">
        <f>IFERROR(__xludf.DUMMYFUNCTION("""COMPUTED_VALUE"""),2556.3)</f>
        <v>2556.3</v>
      </c>
      <c r="E49" s="16">
        <f>IFERROR(__xludf.DUMMYFUNCTION("""COMPUTED_VALUE"""),45812.6458333333)</f>
        <v>45812.6458333333</v>
      </c>
      <c r="F49" s="17">
        <f>IFERROR(__xludf.DUMMYFUNCTION("""COMPUTED_VALUE"""),529006)</f>
        <v>529006</v>
      </c>
      <c r="G49" s="16">
        <f>IFERROR(__xludf.DUMMYFUNCTION("""COMPUTED_VALUE"""),45812.6458333333)</f>
        <v>45812.6458333333</v>
      </c>
      <c r="H49" s="17">
        <f>IFERROR(__xludf.DUMMYFUNCTION("""COMPUTED_VALUE"""),2573.1)</f>
        <v>2573.1</v>
      </c>
      <c r="I49" s="16">
        <f>IFERROR(__xludf.DUMMYFUNCTION("""COMPUTED_VALUE"""),45812.6458333333)</f>
        <v>45812.6458333333</v>
      </c>
      <c r="J49" s="17">
        <f>IFERROR(__xludf.DUMMYFUNCTION("""COMPUTED_VALUE"""),2541.8)</f>
        <v>2541.8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IFERROR(__xludf.DUMMYFUNCTION("""COMPUTED_VALUE"""),2554.4)</f>
        <v>2554.4</v>
      </c>
      <c r="C50" s="16">
        <f>IFERROR(__xludf.DUMMYFUNCTION("""COMPUTED_VALUE"""),45813.6458333333)</f>
        <v>45813.6458333333</v>
      </c>
      <c r="D50" s="17">
        <f>IFERROR(__xludf.DUMMYFUNCTION("""COMPUTED_VALUE"""),2555.1)</f>
        <v>2555.1</v>
      </c>
      <c r="E50" s="16">
        <f>IFERROR(__xludf.DUMMYFUNCTION("""COMPUTED_VALUE"""),45813.6458333333)</f>
        <v>45813.6458333333</v>
      </c>
      <c r="F50" s="17">
        <f>IFERROR(__xludf.DUMMYFUNCTION("""COMPUTED_VALUE"""),950620)</f>
        <v>950620</v>
      </c>
      <c r="G50" s="16">
        <f>IFERROR(__xludf.DUMMYFUNCTION("""COMPUTED_VALUE"""),45813.6458333333)</f>
        <v>45813.6458333333</v>
      </c>
      <c r="H50" s="17">
        <f>IFERROR(__xludf.DUMMYFUNCTION("""COMPUTED_VALUE"""),2599)</f>
        <v>2599</v>
      </c>
      <c r="I50" s="16">
        <f>IFERROR(__xludf.DUMMYFUNCTION("""COMPUTED_VALUE"""),45813.6458333333)</f>
        <v>45813.6458333333</v>
      </c>
      <c r="J50" s="17">
        <f>IFERROR(__xludf.DUMMYFUNCTION("""COMPUTED_VALUE"""),2538.9)</f>
        <v>2538.9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IFERROR(__xludf.DUMMYFUNCTION("""COMPUTED_VALUE"""),2574.4)</f>
        <v>2574.4</v>
      </c>
      <c r="C51" s="16">
        <f>IFERROR(__xludf.DUMMYFUNCTION("""COMPUTED_VALUE"""),45814.6458333333)</f>
        <v>45814.6458333333</v>
      </c>
      <c r="D51" s="17">
        <f>IFERROR(__xludf.DUMMYFUNCTION("""COMPUTED_VALUE"""),2559.8)</f>
        <v>2559.8</v>
      </c>
      <c r="E51" s="16">
        <f>IFERROR(__xludf.DUMMYFUNCTION("""COMPUTED_VALUE"""),45814.6458333333)</f>
        <v>45814.6458333333</v>
      </c>
      <c r="F51" s="17">
        <f>IFERROR(__xludf.DUMMYFUNCTION("""COMPUTED_VALUE"""),414844)</f>
        <v>414844</v>
      </c>
      <c r="G51" s="16">
        <f>IFERROR(__xludf.DUMMYFUNCTION("""COMPUTED_VALUE"""),45814.6458333333)</f>
        <v>45814.6458333333</v>
      </c>
      <c r="H51" s="17">
        <f>IFERROR(__xludf.DUMMYFUNCTION("""COMPUTED_VALUE"""),2578.1)</f>
        <v>2578.1</v>
      </c>
      <c r="I51" s="16">
        <f>IFERROR(__xludf.DUMMYFUNCTION("""COMPUTED_VALUE"""),45814.6458333333)</f>
        <v>45814.6458333333</v>
      </c>
      <c r="J51" s="17">
        <f>IFERROR(__xludf.DUMMYFUNCTION("""COMPUTED_VALUE"""),2536.1)</f>
        <v>2536.1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IFERROR(__xludf.DUMMYFUNCTION("""COMPUTED_VALUE"""),2608.5)</f>
        <v>2608.5</v>
      </c>
      <c r="C52" s="16">
        <f>IFERROR(__xludf.DUMMYFUNCTION("""COMPUTED_VALUE"""),45817.6458333333)</f>
        <v>45817.6458333333</v>
      </c>
      <c r="D52" s="17">
        <f>IFERROR(__xludf.DUMMYFUNCTION("""COMPUTED_VALUE"""),2585.9)</f>
        <v>2585.9</v>
      </c>
      <c r="E52" s="16">
        <f>IFERROR(__xludf.DUMMYFUNCTION("""COMPUTED_VALUE"""),45817.6458333333)</f>
        <v>45817.6458333333</v>
      </c>
      <c r="F52" s="17">
        <f>IFERROR(__xludf.DUMMYFUNCTION("""COMPUTED_VALUE"""),552351)</f>
        <v>552351</v>
      </c>
      <c r="G52" s="16">
        <f>IFERROR(__xludf.DUMMYFUNCTION("""COMPUTED_VALUE"""),45817.6458333333)</f>
        <v>45817.6458333333</v>
      </c>
      <c r="H52" s="17">
        <f>IFERROR(__xludf.DUMMYFUNCTION("""COMPUTED_VALUE"""),2614.9)</f>
        <v>2614.9</v>
      </c>
      <c r="I52" s="16">
        <f>IFERROR(__xludf.DUMMYFUNCTION("""COMPUTED_VALUE"""),45817.6458333333)</f>
        <v>45817.6458333333</v>
      </c>
      <c r="J52" s="17">
        <f>IFERROR(__xludf.DUMMYFUNCTION("""COMPUTED_VALUE"""),2574.7)</f>
        <v>2574.7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IFERROR(__xludf.DUMMYFUNCTION("""COMPUTED_VALUE"""),2708)</f>
        <v>2708</v>
      </c>
      <c r="C53" s="16">
        <f>IFERROR(__xludf.DUMMYFUNCTION("""COMPUTED_VALUE"""),45818.6458333333)</f>
        <v>45818.6458333333</v>
      </c>
      <c r="D53" s="17">
        <f>IFERROR(__xludf.DUMMYFUNCTION("""COMPUTED_VALUE"""),2710)</f>
        <v>2710</v>
      </c>
      <c r="E53" s="16">
        <f>IFERROR(__xludf.DUMMYFUNCTION("""COMPUTED_VALUE"""),45818.6458333333)</f>
        <v>45818.6458333333</v>
      </c>
      <c r="F53" s="17">
        <f>IFERROR(__xludf.DUMMYFUNCTION("""COMPUTED_VALUE"""),2885229)</f>
        <v>2885229</v>
      </c>
      <c r="G53" s="16">
        <f>IFERROR(__xludf.DUMMYFUNCTION("""COMPUTED_VALUE"""),45818.6458333333)</f>
        <v>45818.6458333333</v>
      </c>
      <c r="H53" s="17">
        <f>IFERROR(__xludf.DUMMYFUNCTION("""COMPUTED_VALUE"""),2742)</f>
        <v>2742</v>
      </c>
      <c r="I53" s="16">
        <f>IFERROR(__xludf.DUMMYFUNCTION("""COMPUTED_VALUE"""),45818.6458333333)</f>
        <v>45818.6458333333</v>
      </c>
      <c r="J53" s="17">
        <f>IFERROR(__xludf.DUMMYFUNCTION("""COMPUTED_VALUE"""),2666.6)</f>
        <v>2666.6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IFERROR(__xludf.DUMMYFUNCTION("""COMPUTED_VALUE"""),2722.2)</f>
        <v>2722.2</v>
      </c>
      <c r="C54" s="16">
        <f>IFERROR(__xludf.DUMMYFUNCTION("""COMPUTED_VALUE"""),45819.6458333333)</f>
        <v>45819.6458333333</v>
      </c>
      <c r="D54" s="17">
        <f>IFERROR(__xludf.DUMMYFUNCTION("""COMPUTED_VALUE"""),2708.1)</f>
        <v>2708.1</v>
      </c>
      <c r="E54" s="16">
        <f>IFERROR(__xludf.DUMMYFUNCTION("""COMPUTED_VALUE"""),45819.6458333333)</f>
        <v>45819.6458333333</v>
      </c>
      <c r="F54" s="17">
        <f>IFERROR(__xludf.DUMMYFUNCTION("""COMPUTED_VALUE"""),812149)</f>
        <v>812149</v>
      </c>
      <c r="G54" s="16">
        <f>IFERROR(__xludf.DUMMYFUNCTION("""COMPUTED_VALUE"""),45819.6458333333)</f>
        <v>45819.6458333333</v>
      </c>
      <c r="H54" s="17">
        <f>IFERROR(__xludf.DUMMYFUNCTION("""COMPUTED_VALUE"""),2733.9)</f>
        <v>2733.9</v>
      </c>
      <c r="I54" s="16">
        <f>IFERROR(__xludf.DUMMYFUNCTION("""COMPUTED_VALUE"""),45819.6458333333)</f>
        <v>45819.6458333333</v>
      </c>
      <c r="J54" s="17">
        <f>IFERROR(__xludf.DUMMYFUNCTION("""COMPUTED_VALUE"""),2678.2)</f>
        <v>2678.2</v>
      </c>
      <c r="K54" s="3">
        <f t="shared" si="2"/>
        <v>2722.2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IFERROR(__xludf.DUMMYFUNCTION("""COMPUTED_VALUE"""),2689.1)</f>
        <v>2689.1</v>
      </c>
      <c r="C55" s="16">
        <f>IFERROR(__xludf.DUMMYFUNCTION("""COMPUTED_VALUE"""),45820.6458333333)</f>
        <v>45820.6458333333</v>
      </c>
      <c r="D55" s="17">
        <f>IFERROR(__xludf.DUMMYFUNCTION("""COMPUTED_VALUE"""),2718.1)</f>
        <v>2718.1</v>
      </c>
      <c r="E55" s="16">
        <f>IFERROR(__xludf.DUMMYFUNCTION("""COMPUTED_VALUE"""),45820.6458333333)</f>
        <v>45820.6458333333</v>
      </c>
      <c r="F55" s="17">
        <f>IFERROR(__xludf.DUMMYFUNCTION("""COMPUTED_VALUE"""),545570)</f>
        <v>545570</v>
      </c>
      <c r="G55" s="16">
        <f>IFERROR(__xludf.DUMMYFUNCTION("""COMPUTED_VALUE"""),45820.6458333333)</f>
        <v>45820.6458333333</v>
      </c>
      <c r="H55" s="17">
        <f>IFERROR(__xludf.DUMMYFUNCTION("""COMPUTED_VALUE"""),2729)</f>
        <v>2729</v>
      </c>
      <c r="I55" s="16">
        <f>IFERROR(__xludf.DUMMYFUNCTION("""COMPUTED_VALUE"""),45820.6458333333)</f>
        <v>45820.6458333333</v>
      </c>
      <c r="J55" s="17">
        <f>IFERROR(__xludf.DUMMYFUNCTION("""COMPUTED_VALUE"""),2676)</f>
        <v>2676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IFERROR(__xludf.DUMMYFUNCTION("""COMPUTED_VALUE"""),2663.8)</f>
        <v>2663.8</v>
      </c>
      <c r="C56" s="16">
        <f>IFERROR(__xludf.DUMMYFUNCTION("""COMPUTED_VALUE"""),45821.6458333333)</f>
        <v>45821.6458333333</v>
      </c>
      <c r="D56" s="17">
        <f>IFERROR(__xludf.DUMMYFUNCTION("""COMPUTED_VALUE"""),2652.1)</f>
        <v>2652.1</v>
      </c>
      <c r="E56" s="16">
        <f>IFERROR(__xludf.DUMMYFUNCTION("""COMPUTED_VALUE"""),45821.6458333333)</f>
        <v>45821.6458333333</v>
      </c>
      <c r="F56" s="17">
        <f>IFERROR(__xludf.DUMMYFUNCTION("""COMPUTED_VALUE"""),538879)</f>
        <v>538879</v>
      </c>
      <c r="G56" s="16">
        <f>IFERROR(__xludf.DUMMYFUNCTION("""COMPUTED_VALUE"""),45821.6458333333)</f>
        <v>45821.6458333333</v>
      </c>
      <c r="H56" s="17">
        <f>IFERROR(__xludf.DUMMYFUNCTION("""COMPUTED_VALUE"""),2687.7)</f>
        <v>2687.7</v>
      </c>
      <c r="I56" s="16">
        <f>IFERROR(__xludf.DUMMYFUNCTION("""COMPUTED_VALUE"""),45821.6458333333)</f>
        <v>45821.6458333333</v>
      </c>
      <c r="J56" s="17">
        <f>IFERROR(__xludf.DUMMYFUNCTION("""COMPUTED_VALUE"""),2635.8)</f>
        <v>2635.8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IFERROR(__xludf.DUMMYFUNCTION("""COMPUTED_VALUE"""),2704.9)</f>
        <v>2704.9</v>
      </c>
      <c r="C57" s="16">
        <f>IFERROR(__xludf.DUMMYFUNCTION("""COMPUTED_VALUE"""),45824.6458333333)</f>
        <v>45824.6458333333</v>
      </c>
      <c r="D57" s="17">
        <f>IFERROR(__xludf.DUMMYFUNCTION("""COMPUTED_VALUE"""),2665)</f>
        <v>2665</v>
      </c>
      <c r="E57" s="16">
        <f>IFERROR(__xludf.DUMMYFUNCTION("""COMPUTED_VALUE"""),45824.6458333333)</f>
        <v>45824.6458333333</v>
      </c>
      <c r="F57" s="17">
        <f>IFERROR(__xludf.DUMMYFUNCTION("""COMPUTED_VALUE"""),494993)</f>
        <v>494993</v>
      </c>
      <c r="G57" s="16">
        <f>IFERROR(__xludf.DUMMYFUNCTION("""COMPUTED_VALUE"""),45824.6458333333)</f>
        <v>45824.6458333333</v>
      </c>
      <c r="H57" s="17">
        <f>IFERROR(__xludf.DUMMYFUNCTION("""COMPUTED_VALUE"""),2714)</f>
        <v>2714</v>
      </c>
      <c r="I57" s="16">
        <f>IFERROR(__xludf.DUMMYFUNCTION("""COMPUTED_VALUE"""),45824.6458333333)</f>
        <v>45824.6458333333</v>
      </c>
      <c r="J57" s="17">
        <f>IFERROR(__xludf.DUMMYFUNCTION("""COMPUTED_VALUE"""),2652.1)</f>
        <v>2652.1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IFERROR(__xludf.DUMMYFUNCTION("""COMPUTED_VALUE"""),2671.4)</f>
        <v>2671.4</v>
      </c>
      <c r="C58" s="16">
        <f>IFERROR(__xludf.DUMMYFUNCTION("""COMPUTED_VALUE"""),45825.6458333333)</f>
        <v>45825.6458333333</v>
      </c>
      <c r="D58" s="17">
        <f>IFERROR(__xludf.DUMMYFUNCTION("""COMPUTED_VALUE"""),2704.9)</f>
        <v>2704.9</v>
      </c>
      <c r="E58" s="16">
        <f>IFERROR(__xludf.DUMMYFUNCTION("""COMPUTED_VALUE"""),45825.6458333333)</f>
        <v>45825.6458333333</v>
      </c>
      <c r="F58" s="17">
        <f>IFERROR(__xludf.DUMMYFUNCTION("""COMPUTED_VALUE"""),241142)</f>
        <v>241142</v>
      </c>
      <c r="G58" s="16">
        <f>IFERROR(__xludf.DUMMYFUNCTION("""COMPUTED_VALUE"""),45825.6458333333)</f>
        <v>45825.6458333333</v>
      </c>
      <c r="H58" s="17">
        <f>IFERROR(__xludf.DUMMYFUNCTION("""COMPUTED_VALUE"""),2706.3)</f>
        <v>2706.3</v>
      </c>
      <c r="I58" s="16">
        <f>IFERROR(__xludf.DUMMYFUNCTION("""COMPUTED_VALUE"""),45825.6458333333)</f>
        <v>45825.6458333333</v>
      </c>
      <c r="J58" s="17">
        <f>IFERROR(__xludf.DUMMYFUNCTION("""COMPUTED_VALUE"""),2665)</f>
        <v>2665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IFERROR(__xludf.DUMMYFUNCTION("""COMPUTED_VALUE"""),2675.4)</f>
        <v>2675.4</v>
      </c>
      <c r="C59" s="16">
        <f>IFERROR(__xludf.DUMMYFUNCTION("""COMPUTED_VALUE"""),45826.6458333333)</f>
        <v>45826.6458333333</v>
      </c>
      <c r="D59" s="17">
        <f>IFERROR(__xludf.DUMMYFUNCTION("""COMPUTED_VALUE"""),2671.4)</f>
        <v>2671.4</v>
      </c>
      <c r="E59" s="16">
        <f>IFERROR(__xludf.DUMMYFUNCTION("""COMPUTED_VALUE"""),45826.6458333333)</f>
        <v>45826.6458333333</v>
      </c>
      <c r="F59" s="17">
        <f>IFERROR(__xludf.DUMMYFUNCTION("""COMPUTED_VALUE"""),342289)</f>
        <v>342289</v>
      </c>
      <c r="G59" s="16">
        <f>IFERROR(__xludf.DUMMYFUNCTION("""COMPUTED_VALUE"""),45826.6458333333)</f>
        <v>45826.6458333333</v>
      </c>
      <c r="H59" s="17">
        <f>IFERROR(__xludf.DUMMYFUNCTION("""COMPUTED_VALUE"""),2696.3)</f>
        <v>2696.3</v>
      </c>
      <c r="I59" s="16">
        <f>IFERROR(__xludf.DUMMYFUNCTION("""COMPUTED_VALUE"""),45826.6458333333)</f>
        <v>45826.6458333333</v>
      </c>
      <c r="J59" s="17">
        <f>IFERROR(__xludf.DUMMYFUNCTION("""COMPUTED_VALUE"""),2667.3)</f>
        <v>2667.3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IFERROR(__xludf.DUMMYFUNCTION("""COMPUTED_VALUE"""),2693.2)</f>
        <v>2693.2</v>
      </c>
      <c r="C60" s="16">
        <f>IFERROR(__xludf.DUMMYFUNCTION("""COMPUTED_VALUE"""),45827.6458333333)</f>
        <v>45827.6458333333</v>
      </c>
      <c r="D60" s="17">
        <f>IFERROR(__xludf.DUMMYFUNCTION("""COMPUTED_VALUE"""),2680)</f>
        <v>2680</v>
      </c>
      <c r="E60" s="16">
        <f>IFERROR(__xludf.DUMMYFUNCTION("""COMPUTED_VALUE"""),45827.6458333333)</f>
        <v>45827.6458333333</v>
      </c>
      <c r="F60" s="17">
        <f>IFERROR(__xludf.DUMMYFUNCTION("""COMPUTED_VALUE"""),609547)</f>
        <v>609547</v>
      </c>
      <c r="G60" s="16">
        <f>IFERROR(__xludf.DUMMYFUNCTION("""COMPUTED_VALUE"""),45827.6458333333)</f>
        <v>45827.6458333333</v>
      </c>
      <c r="H60" s="17">
        <f>IFERROR(__xludf.DUMMYFUNCTION("""COMPUTED_VALUE"""),2712)</f>
        <v>2712</v>
      </c>
      <c r="I60" s="16">
        <f>IFERROR(__xludf.DUMMYFUNCTION("""COMPUTED_VALUE"""),45827.6458333333)</f>
        <v>45827.6458333333</v>
      </c>
      <c r="J60" s="17">
        <f>IFERROR(__xludf.DUMMYFUNCTION("""COMPUTED_VALUE"""),2670)</f>
        <v>2670</v>
      </c>
      <c r="K60" s="3">
        <f t="shared" si="2"/>
        <v>0</v>
      </c>
      <c r="L60" s="3">
        <f t="shared" si="3"/>
        <v>0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IFERROR(__xludf.DUMMYFUNCTION("""COMPUTED_VALUE"""),2712.6)</f>
        <v>2712.6</v>
      </c>
      <c r="C61" s="16">
        <f>IFERROR(__xludf.DUMMYFUNCTION("""COMPUTED_VALUE"""),45828.6458333333)</f>
        <v>45828.6458333333</v>
      </c>
      <c r="D61" s="17">
        <f>IFERROR(__xludf.DUMMYFUNCTION("""COMPUTED_VALUE"""),2683)</f>
        <v>2683</v>
      </c>
      <c r="E61" s="16">
        <f>IFERROR(__xludf.DUMMYFUNCTION("""COMPUTED_VALUE"""),45828.6458333333)</f>
        <v>45828.6458333333</v>
      </c>
      <c r="F61" s="17">
        <f>IFERROR(__xludf.DUMMYFUNCTION("""COMPUTED_VALUE"""),1232377)</f>
        <v>1232377</v>
      </c>
      <c r="G61" s="16">
        <f>IFERROR(__xludf.DUMMYFUNCTION("""COMPUTED_VALUE"""),45828.6458333333)</f>
        <v>45828.6458333333</v>
      </c>
      <c r="H61" s="17">
        <f>IFERROR(__xludf.DUMMYFUNCTION("""COMPUTED_VALUE"""),2732.9)</f>
        <v>2732.9</v>
      </c>
      <c r="I61" s="16">
        <f>IFERROR(__xludf.DUMMYFUNCTION("""COMPUTED_VALUE"""),45828.6458333333)</f>
        <v>45828.6458333333</v>
      </c>
      <c r="J61" s="17">
        <f>IFERROR(__xludf.DUMMYFUNCTION("""COMPUTED_VALUE"""),2683)</f>
        <v>2683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IFERROR(__xludf.DUMMYFUNCTION("""COMPUTED_VALUE"""),2723.7)</f>
        <v>2723.7</v>
      </c>
      <c r="C62" s="16">
        <f>IFERROR(__xludf.DUMMYFUNCTION("""COMPUTED_VALUE"""),45831.6458333333)</f>
        <v>45831.6458333333</v>
      </c>
      <c r="D62" s="17">
        <f>IFERROR(__xludf.DUMMYFUNCTION("""COMPUTED_VALUE"""),2700)</f>
        <v>2700</v>
      </c>
      <c r="E62" s="16">
        <f>IFERROR(__xludf.DUMMYFUNCTION("""COMPUTED_VALUE"""),45831.6458333333)</f>
        <v>45831.6458333333</v>
      </c>
      <c r="F62" s="17">
        <f>IFERROR(__xludf.DUMMYFUNCTION("""COMPUTED_VALUE"""),728851)</f>
        <v>728851</v>
      </c>
      <c r="G62" s="16">
        <f>IFERROR(__xludf.DUMMYFUNCTION("""COMPUTED_VALUE"""),45831.6458333333)</f>
        <v>45831.6458333333</v>
      </c>
      <c r="H62" s="17">
        <f>IFERROR(__xludf.DUMMYFUNCTION("""COMPUTED_VALUE"""),2737.5)</f>
        <v>2737.5</v>
      </c>
      <c r="I62" s="16">
        <f>IFERROR(__xludf.DUMMYFUNCTION("""COMPUTED_VALUE"""),45831.6458333333)</f>
        <v>45831.6458333333</v>
      </c>
      <c r="J62" s="17">
        <f>IFERROR(__xludf.DUMMYFUNCTION("""COMPUTED_VALUE"""),2678.1)</f>
        <v>2678.1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IFERROR(__xludf.DUMMYFUNCTION("""COMPUTED_VALUE"""),2780.9)</f>
        <v>2780.9</v>
      </c>
      <c r="C63" s="16">
        <f>IFERROR(__xludf.DUMMYFUNCTION("""COMPUTED_VALUE"""),45832.6458333333)</f>
        <v>45832.6458333333</v>
      </c>
      <c r="D63" s="17">
        <f>IFERROR(__xludf.DUMMYFUNCTION("""COMPUTED_VALUE"""),2746)</f>
        <v>2746</v>
      </c>
      <c r="E63" s="16">
        <f>IFERROR(__xludf.DUMMYFUNCTION("""COMPUTED_VALUE"""),45832.6458333333)</f>
        <v>45832.6458333333</v>
      </c>
      <c r="F63" s="17">
        <f>IFERROR(__xludf.DUMMYFUNCTION("""COMPUTED_VALUE"""),1562447)</f>
        <v>1562447</v>
      </c>
      <c r="G63" s="16">
        <f>IFERROR(__xludf.DUMMYFUNCTION("""COMPUTED_VALUE"""),45832.6458333333)</f>
        <v>45832.6458333333</v>
      </c>
      <c r="H63" s="17">
        <f>IFERROR(__xludf.DUMMYFUNCTION("""COMPUTED_VALUE"""),2801.8)</f>
        <v>2801.8</v>
      </c>
      <c r="I63" s="16">
        <f>IFERROR(__xludf.DUMMYFUNCTION("""COMPUTED_VALUE"""),45832.6458333333)</f>
        <v>45832.6458333333</v>
      </c>
      <c r="J63" s="17">
        <f>IFERROR(__xludf.DUMMYFUNCTION("""COMPUTED_VALUE"""),2737.3)</f>
        <v>2737.3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IFERROR(__xludf.DUMMYFUNCTION("""COMPUTED_VALUE"""),2831.8)</f>
        <v>2831.8</v>
      </c>
      <c r="C64" s="16">
        <f>IFERROR(__xludf.DUMMYFUNCTION("""COMPUTED_VALUE"""),45833.6458333333)</f>
        <v>45833.6458333333</v>
      </c>
      <c r="D64" s="17">
        <f>IFERROR(__xludf.DUMMYFUNCTION("""COMPUTED_VALUE"""),2791.9)</f>
        <v>2791.9</v>
      </c>
      <c r="E64" s="16">
        <f>IFERROR(__xludf.DUMMYFUNCTION("""COMPUTED_VALUE"""),45833.6458333333)</f>
        <v>45833.6458333333</v>
      </c>
      <c r="F64" s="17">
        <f>IFERROR(__xludf.DUMMYFUNCTION("""COMPUTED_VALUE"""),948185)</f>
        <v>948185</v>
      </c>
      <c r="G64" s="16">
        <f>IFERROR(__xludf.DUMMYFUNCTION("""COMPUTED_VALUE"""),45833.6458333333)</f>
        <v>45833.6458333333</v>
      </c>
      <c r="H64" s="17">
        <f>IFERROR(__xludf.DUMMYFUNCTION("""COMPUTED_VALUE"""),2843)</f>
        <v>2843</v>
      </c>
      <c r="I64" s="16">
        <f>IFERROR(__xludf.DUMMYFUNCTION("""COMPUTED_VALUE"""),45833.6458333333)</f>
        <v>45833.6458333333</v>
      </c>
      <c r="J64" s="17">
        <f>IFERROR(__xludf.DUMMYFUNCTION("""COMPUTED_VALUE"""),2786.5)</f>
        <v>2786.5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IFERROR(__xludf.DUMMYFUNCTION("""COMPUTED_VALUE"""),2883.3)</f>
        <v>2883.3</v>
      </c>
      <c r="C65" s="16">
        <f>IFERROR(__xludf.DUMMYFUNCTION("""COMPUTED_VALUE"""),45834.6458333333)</f>
        <v>45834.6458333333</v>
      </c>
      <c r="D65" s="17">
        <f>IFERROR(__xludf.DUMMYFUNCTION("""COMPUTED_VALUE"""),2840)</f>
        <v>2840</v>
      </c>
      <c r="E65" s="16">
        <f>IFERROR(__xludf.DUMMYFUNCTION("""COMPUTED_VALUE"""),45834.6458333333)</f>
        <v>45834.6458333333</v>
      </c>
      <c r="F65" s="17">
        <f>IFERROR(__xludf.DUMMYFUNCTION("""COMPUTED_VALUE"""),1392932)</f>
        <v>1392932</v>
      </c>
      <c r="G65" s="16">
        <f>IFERROR(__xludf.DUMMYFUNCTION("""COMPUTED_VALUE"""),45834.6458333333)</f>
        <v>45834.6458333333</v>
      </c>
      <c r="H65" s="17">
        <f>IFERROR(__xludf.DUMMYFUNCTION("""COMPUTED_VALUE"""),2894.9)</f>
        <v>2894.9</v>
      </c>
      <c r="I65" s="16">
        <f>IFERROR(__xludf.DUMMYFUNCTION("""COMPUTED_VALUE"""),45834.6458333333)</f>
        <v>45834.6458333333</v>
      </c>
      <c r="J65" s="17">
        <f>IFERROR(__xludf.DUMMYFUNCTION("""COMPUTED_VALUE"""),2832)</f>
        <v>2832</v>
      </c>
      <c r="K65" s="3">
        <f t="shared" si="2"/>
        <v>2883.3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IFERROR(__xludf.DUMMYFUNCTION("""COMPUTED_VALUE"""),2861.1)</f>
        <v>2861.1</v>
      </c>
      <c r="C66" s="16">
        <f>IFERROR(__xludf.DUMMYFUNCTION("""COMPUTED_VALUE"""),45835.6458333333)</f>
        <v>45835.6458333333</v>
      </c>
      <c r="D66" s="17">
        <f>IFERROR(__xludf.DUMMYFUNCTION("""COMPUTED_VALUE"""),2896)</f>
        <v>2896</v>
      </c>
      <c r="E66" s="16">
        <f>IFERROR(__xludf.DUMMYFUNCTION("""COMPUTED_VALUE"""),45835.6458333333)</f>
        <v>45835.6458333333</v>
      </c>
      <c r="F66" s="17">
        <f>IFERROR(__xludf.DUMMYFUNCTION("""COMPUTED_VALUE"""),678859)</f>
        <v>678859</v>
      </c>
      <c r="G66" s="16">
        <f>IFERROR(__xludf.DUMMYFUNCTION("""COMPUTED_VALUE"""),45835.6458333333)</f>
        <v>45835.6458333333</v>
      </c>
      <c r="H66" s="17">
        <f>IFERROR(__xludf.DUMMYFUNCTION("""COMPUTED_VALUE"""),2896)</f>
        <v>2896</v>
      </c>
      <c r="I66" s="16">
        <f>IFERROR(__xludf.DUMMYFUNCTION("""COMPUTED_VALUE"""),45835.6458333333)</f>
        <v>45835.6458333333</v>
      </c>
      <c r="J66" s="17">
        <f>IFERROR(__xludf.DUMMYFUNCTION("""COMPUTED_VALUE"""),2844.4)</f>
        <v>2844.4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IFERROR(__xludf.DUMMYFUNCTION("""COMPUTED_VALUE"""),2844.5)</f>
        <v>2844.5</v>
      </c>
      <c r="C67" s="16">
        <f>IFERROR(__xludf.DUMMYFUNCTION("""COMPUTED_VALUE"""),45838.6458333333)</f>
        <v>45838.6458333333</v>
      </c>
      <c r="D67" s="17">
        <f>IFERROR(__xludf.DUMMYFUNCTION("""COMPUTED_VALUE"""),2863.3)</f>
        <v>2863.3</v>
      </c>
      <c r="E67" s="16">
        <f>IFERROR(__xludf.DUMMYFUNCTION("""COMPUTED_VALUE"""),45838.6458333333)</f>
        <v>45838.6458333333</v>
      </c>
      <c r="F67" s="17">
        <f>IFERROR(__xludf.DUMMYFUNCTION("""COMPUTED_VALUE"""),447868)</f>
        <v>447868</v>
      </c>
      <c r="G67" s="16">
        <f>IFERROR(__xludf.DUMMYFUNCTION("""COMPUTED_VALUE"""),45838.6458333333)</f>
        <v>45838.6458333333</v>
      </c>
      <c r="H67" s="17">
        <f>IFERROR(__xludf.DUMMYFUNCTION("""COMPUTED_VALUE"""),2890)</f>
        <v>2890</v>
      </c>
      <c r="I67" s="16">
        <f>IFERROR(__xludf.DUMMYFUNCTION("""COMPUTED_VALUE"""),45838.6458333333)</f>
        <v>45838.6458333333</v>
      </c>
      <c r="J67" s="17">
        <f>IFERROR(__xludf.DUMMYFUNCTION("""COMPUTED_VALUE"""),2836.7)</f>
        <v>2836.7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IFERROR(__xludf.DUMMYFUNCTION("""COMPUTED_VALUE"""),2848.1)</f>
        <v>2848.1</v>
      </c>
      <c r="C68" s="16">
        <f>IFERROR(__xludf.DUMMYFUNCTION("""COMPUTED_VALUE"""),45839.6458333333)</f>
        <v>45839.6458333333</v>
      </c>
      <c r="D68" s="17">
        <f>IFERROR(__xludf.DUMMYFUNCTION("""COMPUTED_VALUE"""),2842.5)</f>
        <v>2842.5</v>
      </c>
      <c r="E68" s="16">
        <f>IFERROR(__xludf.DUMMYFUNCTION("""COMPUTED_VALUE"""),45839.6458333333)</f>
        <v>45839.6458333333</v>
      </c>
      <c r="F68" s="17">
        <f>IFERROR(__xludf.DUMMYFUNCTION("""COMPUTED_VALUE"""),535639)</f>
        <v>535639</v>
      </c>
      <c r="G68" s="16">
        <f>IFERROR(__xludf.DUMMYFUNCTION("""COMPUTED_VALUE"""),45839.6458333333)</f>
        <v>45839.6458333333</v>
      </c>
      <c r="H68" s="17">
        <f>IFERROR(__xludf.DUMMYFUNCTION("""COMPUTED_VALUE"""),2870)</f>
        <v>2870</v>
      </c>
      <c r="I68" s="16">
        <f>IFERROR(__xludf.DUMMYFUNCTION("""COMPUTED_VALUE"""),45839.6458333333)</f>
        <v>45839.6458333333</v>
      </c>
      <c r="J68" s="17">
        <f>IFERROR(__xludf.DUMMYFUNCTION("""COMPUTED_VALUE"""),2842.5)</f>
        <v>2842.5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IFERROR(__xludf.DUMMYFUNCTION("""COMPUTED_VALUE"""),2849.8)</f>
        <v>2849.8</v>
      </c>
      <c r="C69" s="16">
        <f>IFERROR(__xludf.DUMMYFUNCTION("""COMPUTED_VALUE"""),45840.6458333333)</f>
        <v>45840.6458333333</v>
      </c>
      <c r="D69" s="17">
        <f>IFERROR(__xludf.DUMMYFUNCTION("""COMPUTED_VALUE"""),2870)</f>
        <v>2870</v>
      </c>
      <c r="E69" s="16">
        <f>IFERROR(__xludf.DUMMYFUNCTION("""COMPUTED_VALUE"""),45840.6458333333)</f>
        <v>45840.6458333333</v>
      </c>
      <c r="F69" s="17">
        <f>IFERROR(__xludf.DUMMYFUNCTION("""COMPUTED_VALUE"""),917118)</f>
        <v>917118</v>
      </c>
      <c r="G69" s="16">
        <f>IFERROR(__xludf.DUMMYFUNCTION("""COMPUTED_VALUE"""),45840.6458333333)</f>
        <v>45840.6458333333</v>
      </c>
      <c r="H69" s="17">
        <f>IFERROR(__xludf.DUMMYFUNCTION("""COMPUTED_VALUE"""),2878.9)</f>
        <v>2878.9</v>
      </c>
      <c r="I69" s="16">
        <f>IFERROR(__xludf.DUMMYFUNCTION("""COMPUTED_VALUE"""),45840.6458333333)</f>
        <v>45840.6458333333</v>
      </c>
      <c r="J69" s="17">
        <f>IFERROR(__xludf.DUMMYFUNCTION("""COMPUTED_VALUE"""),2835)</f>
        <v>2835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IFERROR(__xludf.DUMMYFUNCTION("""COMPUTED_VALUE"""),2817.6)</f>
        <v>2817.6</v>
      </c>
      <c r="C70" s="16">
        <f>IFERROR(__xludf.DUMMYFUNCTION("""COMPUTED_VALUE"""),45841.6458333333)</f>
        <v>45841.6458333333</v>
      </c>
      <c r="D70" s="17">
        <f>IFERROR(__xludf.DUMMYFUNCTION("""COMPUTED_VALUE"""),2848.4)</f>
        <v>2848.4</v>
      </c>
      <c r="E70" s="16">
        <f>IFERROR(__xludf.DUMMYFUNCTION("""COMPUTED_VALUE"""),45841.6458333333)</f>
        <v>45841.6458333333</v>
      </c>
      <c r="F70" s="17">
        <f>IFERROR(__xludf.DUMMYFUNCTION("""COMPUTED_VALUE"""),393434)</f>
        <v>393434</v>
      </c>
      <c r="G70" s="16">
        <f>IFERROR(__xludf.DUMMYFUNCTION("""COMPUTED_VALUE"""),45841.6458333333)</f>
        <v>45841.6458333333</v>
      </c>
      <c r="H70" s="17">
        <f>IFERROR(__xludf.DUMMYFUNCTION("""COMPUTED_VALUE"""),2849.9)</f>
        <v>2849.9</v>
      </c>
      <c r="I70" s="16">
        <f>IFERROR(__xludf.DUMMYFUNCTION("""COMPUTED_VALUE"""),45841.6458333333)</f>
        <v>45841.6458333333</v>
      </c>
      <c r="J70" s="17">
        <f>IFERROR(__xludf.DUMMYFUNCTION("""COMPUTED_VALUE"""),2810.8)</f>
        <v>2810.8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IFERROR(__xludf.DUMMYFUNCTION("""COMPUTED_VALUE"""),2805.9)</f>
        <v>2805.9</v>
      </c>
      <c r="C71" s="16">
        <f>IFERROR(__xludf.DUMMYFUNCTION("""COMPUTED_VALUE"""),45842.6458333333)</f>
        <v>45842.6458333333</v>
      </c>
      <c r="D71" s="17">
        <f>IFERROR(__xludf.DUMMYFUNCTION("""COMPUTED_VALUE"""),2817.6)</f>
        <v>2817.6</v>
      </c>
      <c r="E71" s="16">
        <f>IFERROR(__xludf.DUMMYFUNCTION("""COMPUTED_VALUE"""),45842.6458333333)</f>
        <v>45842.6458333333</v>
      </c>
      <c r="F71" s="17">
        <f>IFERROR(__xludf.DUMMYFUNCTION("""COMPUTED_VALUE"""),286779)</f>
        <v>286779</v>
      </c>
      <c r="G71" s="16">
        <f>IFERROR(__xludf.DUMMYFUNCTION("""COMPUTED_VALUE"""),45842.6458333333)</f>
        <v>45842.6458333333</v>
      </c>
      <c r="H71" s="17">
        <f>IFERROR(__xludf.DUMMYFUNCTION("""COMPUTED_VALUE"""),2820)</f>
        <v>2820</v>
      </c>
      <c r="I71" s="16">
        <f>IFERROR(__xludf.DUMMYFUNCTION("""COMPUTED_VALUE"""),45842.6458333333)</f>
        <v>45842.6458333333</v>
      </c>
      <c r="J71" s="17">
        <f>IFERROR(__xludf.DUMMYFUNCTION("""COMPUTED_VALUE"""),2785.7)</f>
        <v>2785.7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IFERROR(__xludf.DUMMYFUNCTION("""COMPUTED_VALUE"""),2779.1)</f>
        <v>2779.1</v>
      </c>
      <c r="C72" s="16">
        <f>IFERROR(__xludf.DUMMYFUNCTION("""COMPUTED_VALUE"""),45845.6458333333)</f>
        <v>45845.6458333333</v>
      </c>
      <c r="D72" s="17">
        <f>IFERROR(__xludf.DUMMYFUNCTION("""COMPUTED_VALUE"""),2810)</f>
        <v>2810</v>
      </c>
      <c r="E72" s="16">
        <f>IFERROR(__xludf.DUMMYFUNCTION("""COMPUTED_VALUE"""),45845.6458333333)</f>
        <v>45845.6458333333</v>
      </c>
      <c r="F72" s="17">
        <f>IFERROR(__xludf.DUMMYFUNCTION("""COMPUTED_VALUE"""),278677)</f>
        <v>278677</v>
      </c>
      <c r="G72" s="16">
        <f>IFERROR(__xludf.DUMMYFUNCTION("""COMPUTED_VALUE"""),45845.6458333333)</f>
        <v>45845.6458333333</v>
      </c>
      <c r="H72" s="17">
        <f>IFERROR(__xludf.DUMMYFUNCTION("""COMPUTED_VALUE"""),2819.9)</f>
        <v>2819.9</v>
      </c>
      <c r="I72" s="16">
        <f>IFERROR(__xludf.DUMMYFUNCTION("""COMPUTED_VALUE"""),45845.6458333333)</f>
        <v>45845.6458333333</v>
      </c>
      <c r="J72" s="17">
        <f>IFERROR(__xludf.DUMMYFUNCTION("""COMPUTED_VALUE"""),2775)</f>
        <v>2775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IFERROR(__xludf.DUMMYFUNCTION("""COMPUTED_VALUE"""),2820.8)</f>
        <v>2820.8</v>
      </c>
      <c r="C73" s="16">
        <f>IFERROR(__xludf.DUMMYFUNCTION("""COMPUTED_VALUE"""),45846.6458333333)</f>
        <v>45846.6458333333</v>
      </c>
      <c r="D73" s="17">
        <f>IFERROR(__xludf.DUMMYFUNCTION("""COMPUTED_VALUE"""),2780)</f>
        <v>2780</v>
      </c>
      <c r="E73" s="16">
        <f>IFERROR(__xludf.DUMMYFUNCTION("""COMPUTED_VALUE"""),45846.6458333333)</f>
        <v>45846.6458333333</v>
      </c>
      <c r="F73" s="17">
        <f>IFERROR(__xludf.DUMMYFUNCTION("""COMPUTED_VALUE"""),846061)</f>
        <v>846061</v>
      </c>
      <c r="G73" s="16">
        <f>IFERROR(__xludf.DUMMYFUNCTION("""COMPUTED_VALUE"""),45846.6458333333)</f>
        <v>45846.6458333333</v>
      </c>
      <c r="H73" s="17">
        <f>IFERROR(__xludf.DUMMYFUNCTION("""COMPUTED_VALUE"""),2841.3)</f>
        <v>2841.3</v>
      </c>
      <c r="I73" s="16">
        <f>IFERROR(__xludf.DUMMYFUNCTION("""COMPUTED_VALUE"""),45846.6458333333)</f>
        <v>45846.6458333333</v>
      </c>
      <c r="J73" s="17">
        <f>IFERROR(__xludf.DUMMYFUNCTION("""COMPUTED_VALUE"""),2778.2)</f>
        <v>2778.2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IFERROR(__xludf.DUMMYFUNCTION("""COMPUTED_VALUE"""),2797.9)</f>
        <v>2797.9</v>
      </c>
      <c r="C74" s="16">
        <f>IFERROR(__xludf.DUMMYFUNCTION("""COMPUTED_VALUE"""),45847.6458333333)</f>
        <v>45847.6458333333</v>
      </c>
      <c r="D74" s="17">
        <f>IFERROR(__xludf.DUMMYFUNCTION("""COMPUTED_VALUE"""),2813)</f>
        <v>2813</v>
      </c>
      <c r="E74" s="16">
        <f>IFERROR(__xludf.DUMMYFUNCTION("""COMPUTED_VALUE"""),45847.6458333333)</f>
        <v>45847.6458333333</v>
      </c>
      <c r="F74" s="17">
        <f>IFERROR(__xludf.DUMMYFUNCTION("""COMPUTED_VALUE"""),659109)</f>
        <v>659109</v>
      </c>
      <c r="G74" s="16">
        <f>IFERROR(__xludf.DUMMYFUNCTION("""COMPUTED_VALUE"""),45847.6458333333)</f>
        <v>45847.6458333333</v>
      </c>
      <c r="H74" s="17">
        <f>IFERROR(__xludf.DUMMYFUNCTION("""COMPUTED_VALUE"""),2830)</f>
        <v>2830</v>
      </c>
      <c r="I74" s="16">
        <f>IFERROR(__xludf.DUMMYFUNCTION("""COMPUTED_VALUE"""),45847.6458333333)</f>
        <v>45847.6458333333</v>
      </c>
      <c r="J74" s="17">
        <f>IFERROR(__xludf.DUMMYFUNCTION("""COMPUTED_VALUE"""),2793.6)</f>
        <v>2793.6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IFERROR(__xludf.DUMMYFUNCTION("""COMPUTED_VALUE"""),2775.1)</f>
        <v>2775.1</v>
      </c>
      <c r="C75" s="16">
        <f>IFERROR(__xludf.DUMMYFUNCTION("""COMPUTED_VALUE"""),45848.6458333333)</f>
        <v>45848.6458333333</v>
      </c>
      <c r="D75" s="17">
        <f>IFERROR(__xludf.DUMMYFUNCTION("""COMPUTED_VALUE"""),2797.9)</f>
        <v>2797.9</v>
      </c>
      <c r="E75" s="16">
        <f>IFERROR(__xludf.DUMMYFUNCTION("""COMPUTED_VALUE"""),45848.6458333333)</f>
        <v>45848.6458333333</v>
      </c>
      <c r="F75" s="17">
        <f>IFERROR(__xludf.DUMMYFUNCTION("""COMPUTED_VALUE"""),780215)</f>
        <v>780215</v>
      </c>
      <c r="G75" s="16">
        <f>IFERROR(__xludf.DUMMYFUNCTION("""COMPUTED_VALUE"""),45848.6458333333)</f>
        <v>45848.6458333333</v>
      </c>
      <c r="H75" s="17">
        <f>IFERROR(__xludf.DUMMYFUNCTION("""COMPUTED_VALUE"""),2809.8)</f>
        <v>2809.8</v>
      </c>
      <c r="I75" s="16">
        <f>IFERROR(__xludf.DUMMYFUNCTION("""COMPUTED_VALUE"""),45848.6458333333)</f>
        <v>45848.6458333333</v>
      </c>
      <c r="J75" s="17">
        <f>IFERROR(__xludf.DUMMYFUNCTION("""COMPUTED_VALUE"""),2769)</f>
        <v>2769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IFERROR(__xludf.DUMMYFUNCTION("""COMPUTED_VALUE"""),2762)</f>
        <v>2762</v>
      </c>
      <c r="C76" s="16">
        <f>IFERROR(__xludf.DUMMYFUNCTION("""COMPUTED_VALUE"""),45849.6458333333)</f>
        <v>45849.6458333333</v>
      </c>
      <c r="D76" s="17">
        <f>IFERROR(__xludf.DUMMYFUNCTION("""COMPUTED_VALUE"""),2775.1)</f>
        <v>2775.1</v>
      </c>
      <c r="E76" s="16">
        <f>IFERROR(__xludf.DUMMYFUNCTION("""COMPUTED_VALUE"""),45849.6458333333)</f>
        <v>45849.6458333333</v>
      </c>
      <c r="F76" s="17">
        <f>IFERROR(__xludf.DUMMYFUNCTION("""COMPUTED_VALUE"""),476850)</f>
        <v>476850</v>
      </c>
      <c r="G76" s="16">
        <f>IFERROR(__xludf.DUMMYFUNCTION("""COMPUTED_VALUE"""),45849.6458333333)</f>
        <v>45849.6458333333</v>
      </c>
      <c r="H76" s="17">
        <f>IFERROR(__xludf.DUMMYFUNCTION("""COMPUTED_VALUE"""),2807.5)</f>
        <v>2807.5</v>
      </c>
      <c r="I76" s="16">
        <f>IFERROR(__xludf.DUMMYFUNCTION("""COMPUTED_VALUE"""),45849.6458333333)</f>
        <v>45849.6458333333</v>
      </c>
      <c r="J76" s="17">
        <f>IFERROR(__xludf.DUMMYFUNCTION("""COMPUTED_VALUE"""),2756.4)</f>
        <v>2756.4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IFERROR(__xludf.DUMMYFUNCTION("""COMPUTED_VALUE"""),2784.4)</f>
        <v>2784.4</v>
      </c>
      <c r="C77" s="16">
        <f>IFERROR(__xludf.DUMMYFUNCTION("""COMPUTED_VALUE"""),45852.6458333333)</f>
        <v>45852.6458333333</v>
      </c>
      <c r="D77" s="17">
        <f>IFERROR(__xludf.DUMMYFUNCTION("""COMPUTED_VALUE"""),2774)</f>
        <v>2774</v>
      </c>
      <c r="E77" s="16">
        <f>IFERROR(__xludf.DUMMYFUNCTION("""COMPUTED_VALUE"""),45852.6458333333)</f>
        <v>45852.6458333333</v>
      </c>
      <c r="F77" s="17">
        <f>IFERROR(__xludf.DUMMYFUNCTION("""COMPUTED_VALUE"""),2913912)</f>
        <v>2913912</v>
      </c>
      <c r="G77" s="16">
        <f>IFERROR(__xludf.DUMMYFUNCTION("""COMPUTED_VALUE"""),45852.6458333333)</f>
        <v>45852.6458333333</v>
      </c>
      <c r="H77" s="17">
        <f>IFERROR(__xludf.DUMMYFUNCTION("""COMPUTED_VALUE"""),2809)</f>
        <v>2809</v>
      </c>
      <c r="I77" s="16">
        <f>IFERROR(__xludf.DUMMYFUNCTION("""COMPUTED_VALUE"""),45852.6458333333)</f>
        <v>45852.6458333333</v>
      </c>
      <c r="J77" s="17">
        <f>IFERROR(__xludf.DUMMYFUNCTION("""COMPUTED_VALUE"""),2755.1)</f>
        <v>2755.1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IFERROR(__xludf.DUMMYFUNCTION("""COMPUTED_VALUE"""),2778.6)</f>
        <v>2778.6</v>
      </c>
      <c r="C78" s="16">
        <f>IFERROR(__xludf.DUMMYFUNCTION("""COMPUTED_VALUE"""),45853.6458333333)</f>
        <v>45853.6458333333</v>
      </c>
      <c r="D78" s="17">
        <f>IFERROR(__xludf.DUMMYFUNCTION("""COMPUTED_VALUE"""),2789)</f>
        <v>2789</v>
      </c>
      <c r="E78" s="16">
        <f>IFERROR(__xludf.DUMMYFUNCTION("""COMPUTED_VALUE"""),45853.6458333333)</f>
        <v>45853.6458333333</v>
      </c>
      <c r="F78" s="17">
        <f>IFERROR(__xludf.DUMMYFUNCTION("""COMPUTED_VALUE"""),450965)</f>
        <v>450965</v>
      </c>
      <c r="G78" s="16">
        <f>IFERROR(__xludf.DUMMYFUNCTION("""COMPUTED_VALUE"""),45853.6458333333)</f>
        <v>45853.6458333333</v>
      </c>
      <c r="H78" s="17">
        <f>IFERROR(__xludf.DUMMYFUNCTION("""COMPUTED_VALUE"""),2812.1)</f>
        <v>2812.1</v>
      </c>
      <c r="I78" s="16">
        <f>IFERROR(__xludf.DUMMYFUNCTION("""COMPUTED_VALUE"""),45853.6458333333)</f>
        <v>45853.6458333333</v>
      </c>
      <c r="J78" s="17">
        <f>IFERROR(__xludf.DUMMYFUNCTION("""COMPUTED_VALUE"""),2762.8)</f>
        <v>2762.8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IFERROR(__xludf.DUMMYFUNCTION("""COMPUTED_VALUE"""),2762.4)</f>
        <v>2762.4</v>
      </c>
      <c r="C79" s="16">
        <f>IFERROR(__xludf.DUMMYFUNCTION("""COMPUTED_VALUE"""),45854.6458333333)</f>
        <v>45854.6458333333</v>
      </c>
      <c r="D79" s="17">
        <f>IFERROR(__xludf.DUMMYFUNCTION("""COMPUTED_VALUE"""),2784)</f>
        <v>2784</v>
      </c>
      <c r="E79" s="16">
        <f>IFERROR(__xludf.DUMMYFUNCTION("""COMPUTED_VALUE"""),45854.6458333333)</f>
        <v>45854.6458333333</v>
      </c>
      <c r="F79" s="17">
        <f>IFERROR(__xludf.DUMMYFUNCTION("""COMPUTED_VALUE"""),372782)</f>
        <v>372782</v>
      </c>
      <c r="G79" s="16">
        <f>IFERROR(__xludf.DUMMYFUNCTION("""COMPUTED_VALUE"""),45854.6458333333)</f>
        <v>45854.6458333333</v>
      </c>
      <c r="H79" s="17">
        <f>IFERROR(__xludf.DUMMYFUNCTION("""COMPUTED_VALUE"""),2784)</f>
        <v>2784</v>
      </c>
      <c r="I79" s="16">
        <f>IFERROR(__xludf.DUMMYFUNCTION("""COMPUTED_VALUE"""),45854.6458333333)</f>
        <v>45854.6458333333</v>
      </c>
      <c r="J79" s="17">
        <f>IFERROR(__xludf.DUMMYFUNCTION("""COMPUTED_VALUE"""),2758)</f>
        <v>2758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IFERROR(__xludf.DUMMYFUNCTION("""COMPUTED_VALUE"""),2766.3)</f>
        <v>2766.3</v>
      </c>
      <c r="C80" s="16">
        <f>IFERROR(__xludf.DUMMYFUNCTION("""COMPUTED_VALUE"""),45855.6458333333)</f>
        <v>45855.6458333333</v>
      </c>
      <c r="D80" s="17">
        <f>IFERROR(__xludf.DUMMYFUNCTION("""COMPUTED_VALUE"""),2762)</f>
        <v>2762</v>
      </c>
      <c r="E80" s="16">
        <f>IFERROR(__xludf.DUMMYFUNCTION("""COMPUTED_VALUE"""),45855.6458333333)</f>
        <v>45855.6458333333</v>
      </c>
      <c r="F80" s="17">
        <f>IFERROR(__xludf.DUMMYFUNCTION("""COMPUTED_VALUE"""),720281)</f>
        <v>720281</v>
      </c>
      <c r="G80" s="16">
        <f>IFERROR(__xludf.DUMMYFUNCTION("""COMPUTED_VALUE"""),45855.6458333333)</f>
        <v>45855.6458333333</v>
      </c>
      <c r="H80" s="17">
        <f>IFERROR(__xludf.DUMMYFUNCTION("""COMPUTED_VALUE"""),2777.7)</f>
        <v>2777.7</v>
      </c>
      <c r="I80" s="16">
        <f>IFERROR(__xludf.DUMMYFUNCTION("""COMPUTED_VALUE"""),45855.6458333333)</f>
        <v>45855.6458333333</v>
      </c>
      <c r="J80" s="17">
        <f>IFERROR(__xludf.DUMMYFUNCTION("""COMPUTED_VALUE"""),2742.3)</f>
        <v>2742.3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IFERROR(__xludf.DUMMYFUNCTION("""COMPUTED_VALUE"""),2728.5)</f>
        <v>2728.5</v>
      </c>
      <c r="C81" s="16">
        <f>IFERROR(__xludf.DUMMYFUNCTION("""COMPUTED_VALUE"""),45856.6458333333)</f>
        <v>45856.6458333333</v>
      </c>
      <c r="D81" s="17">
        <f>IFERROR(__xludf.DUMMYFUNCTION("""COMPUTED_VALUE"""),2771)</f>
        <v>2771</v>
      </c>
      <c r="E81" s="16">
        <f>IFERROR(__xludf.DUMMYFUNCTION("""COMPUTED_VALUE"""),45856.6458333333)</f>
        <v>45856.6458333333</v>
      </c>
      <c r="F81" s="17">
        <f>IFERROR(__xludf.DUMMYFUNCTION("""COMPUTED_VALUE"""),797380)</f>
        <v>797380</v>
      </c>
      <c r="G81" s="16">
        <f>IFERROR(__xludf.DUMMYFUNCTION("""COMPUTED_VALUE"""),45856.6458333333)</f>
        <v>45856.6458333333</v>
      </c>
      <c r="H81" s="17">
        <f>IFERROR(__xludf.DUMMYFUNCTION("""COMPUTED_VALUE"""),2774)</f>
        <v>2774</v>
      </c>
      <c r="I81" s="16">
        <f>IFERROR(__xludf.DUMMYFUNCTION("""COMPUTED_VALUE"""),45856.6458333333)</f>
        <v>45856.6458333333</v>
      </c>
      <c r="J81" s="17">
        <f>IFERROR(__xludf.DUMMYFUNCTION("""COMPUTED_VALUE"""),2716.5)</f>
        <v>2716.5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IFERROR(__xludf.DUMMYFUNCTION("""COMPUTED_VALUE"""),2741.9)</f>
        <v>2741.9</v>
      </c>
      <c r="C82" s="16">
        <f>IFERROR(__xludf.DUMMYFUNCTION("""COMPUTED_VALUE"""),45859.6458333333)</f>
        <v>45859.6458333333</v>
      </c>
      <c r="D82" s="17">
        <f>IFERROR(__xludf.DUMMYFUNCTION("""COMPUTED_VALUE"""),2728)</f>
        <v>2728</v>
      </c>
      <c r="E82" s="16">
        <f>IFERROR(__xludf.DUMMYFUNCTION("""COMPUTED_VALUE"""),45859.6458333333)</f>
        <v>45859.6458333333</v>
      </c>
      <c r="F82" s="17">
        <f>IFERROR(__xludf.DUMMYFUNCTION("""COMPUTED_VALUE"""),616378)</f>
        <v>616378</v>
      </c>
      <c r="G82" s="16">
        <f>IFERROR(__xludf.DUMMYFUNCTION("""COMPUTED_VALUE"""),45859.6458333333)</f>
        <v>45859.6458333333</v>
      </c>
      <c r="H82" s="17">
        <f>IFERROR(__xludf.DUMMYFUNCTION("""COMPUTED_VALUE"""),2751.5)</f>
        <v>2751.5</v>
      </c>
      <c r="I82" s="16">
        <f>IFERROR(__xludf.DUMMYFUNCTION("""COMPUTED_VALUE"""),45859.6458333333)</f>
        <v>45859.6458333333</v>
      </c>
      <c r="J82" s="17">
        <f>IFERROR(__xludf.DUMMYFUNCTION("""COMPUTED_VALUE"""),2713.2)</f>
        <v>2713.2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IFERROR(__xludf.DUMMYFUNCTION("""COMPUTED_VALUE"""),2722.7)</f>
        <v>2722.7</v>
      </c>
      <c r="C83" s="16">
        <f>IFERROR(__xludf.DUMMYFUNCTION("""COMPUTED_VALUE"""),45860.6458333333)</f>
        <v>45860.6458333333</v>
      </c>
      <c r="D83" s="17">
        <f>IFERROR(__xludf.DUMMYFUNCTION("""COMPUTED_VALUE"""),2752.9)</f>
        <v>2752.9</v>
      </c>
      <c r="E83" s="16">
        <f>IFERROR(__xludf.DUMMYFUNCTION("""COMPUTED_VALUE"""),45860.6458333333)</f>
        <v>45860.6458333333</v>
      </c>
      <c r="F83" s="17">
        <f>IFERROR(__xludf.DUMMYFUNCTION("""COMPUTED_VALUE"""),664321)</f>
        <v>664321</v>
      </c>
      <c r="G83" s="16">
        <f>IFERROR(__xludf.DUMMYFUNCTION("""COMPUTED_VALUE"""),45860.6458333333)</f>
        <v>45860.6458333333</v>
      </c>
      <c r="H83" s="17">
        <f>IFERROR(__xludf.DUMMYFUNCTION("""COMPUTED_VALUE"""),2759)</f>
        <v>2759</v>
      </c>
      <c r="I83" s="16">
        <f>IFERROR(__xludf.DUMMYFUNCTION("""COMPUTED_VALUE"""),45860.6458333333)</f>
        <v>45860.6458333333</v>
      </c>
      <c r="J83" s="17">
        <f>IFERROR(__xludf.DUMMYFUNCTION("""COMPUTED_VALUE"""),2717.5)</f>
        <v>2717.5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IFERROR(__xludf.DUMMYFUNCTION("""COMPUTED_VALUE"""),2709.1)</f>
        <v>2709.1</v>
      </c>
      <c r="C84" s="16">
        <f>IFERROR(__xludf.DUMMYFUNCTION("""COMPUTED_VALUE"""),45861.6458333333)</f>
        <v>45861.6458333333</v>
      </c>
      <c r="D84" s="17">
        <f>IFERROR(__xludf.DUMMYFUNCTION("""COMPUTED_VALUE"""),2735.6)</f>
        <v>2735.6</v>
      </c>
      <c r="E84" s="16">
        <f>IFERROR(__xludf.DUMMYFUNCTION("""COMPUTED_VALUE"""),45861.6458333333)</f>
        <v>45861.6458333333</v>
      </c>
      <c r="F84" s="17">
        <f>IFERROR(__xludf.DUMMYFUNCTION("""COMPUTED_VALUE"""),373864)</f>
        <v>373864</v>
      </c>
      <c r="G84" s="16">
        <f>IFERROR(__xludf.DUMMYFUNCTION("""COMPUTED_VALUE"""),45861.6458333333)</f>
        <v>45861.6458333333</v>
      </c>
      <c r="H84" s="17">
        <f>IFERROR(__xludf.DUMMYFUNCTION("""COMPUTED_VALUE"""),2736)</f>
        <v>2736</v>
      </c>
      <c r="I84" s="16">
        <f>IFERROR(__xludf.DUMMYFUNCTION("""COMPUTED_VALUE"""),45861.6458333333)</f>
        <v>45861.6458333333</v>
      </c>
      <c r="J84" s="17">
        <f>IFERROR(__xludf.DUMMYFUNCTION("""COMPUTED_VALUE"""),2701.5)</f>
        <v>2701.5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IFERROR(__xludf.DUMMYFUNCTION("""COMPUTED_VALUE"""),2735.9)</f>
        <v>2735.9</v>
      </c>
      <c r="C85" s="16">
        <f>IFERROR(__xludf.DUMMYFUNCTION("""COMPUTED_VALUE"""),45862.6458333333)</f>
        <v>45862.6458333333</v>
      </c>
      <c r="D85" s="17">
        <f>IFERROR(__xludf.DUMMYFUNCTION("""COMPUTED_VALUE"""),2709.1)</f>
        <v>2709.1</v>
      </c>
      <c r="E85" s="16">
        <f>IFERROR(__xludf.DUMMYFUNCTION("""COMPUTED_VALUE"""),45862.6458333333)</f>
        <v>45862.6458333333</v>
      </c>
      <c r="F85" s="17">
        <f>IFERROR(__xludf.DUMMYFUNCTION("""COMPUTED_VALUE"""),997645)</f>
        <v>997645</v>
      </c>
      <c r="G85" s="16">
        <f>IFERROR(__xludf.DUMMYFUNCTION("""COMPUTED_VALUE"""),45862.6458333333)</f>
        <v>45862.6458333333</v>
      </c>
      <c r="H85" s="17">
        <f>IFERROR(__xludf.DUMMYFUNCTION("""COMPUTED_VALUE"""),2743.3)</f>
        <v>2743.3</v>
      </c>
      <c r="I85" s="16">
        <f>IFERROR(__xludf.DUMMYFUNCTION("""COMPUTED_VALUE"""),45862.6458333333)</f>
        <v>45862.6458333333</v>
      </c>
      <c r="J85" s="17">
        <f>IFERROR(__xludf.DUMMYFUNCTION("""COMPUTED_VALUE"""),2667.3)</f>
        <v>2667.3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IFERROR(__xludf.DUMMYFUNCTION("""COMPUTED_VALUE"""),2708.6)</f>
        <v>2708.6</v>
      </c>
      <c r="C86" s="16">
        <f>IFERROR(__xludf.DUMMYFUNCTION("""COMPUTED_VALUE"""),45863.6458333333)</f>
        <v>45863.6458333333</v>
      </c>
      <c r="D86" s="17">
        <f>IFERROR(__xludf.DUMMYFUNCTION("""COMPUTED_VALUE"""),2735)</f>
        <v>2735</v>
      </c>
      <c r="E86" s="16">
        <f>IFERROR(__xludf.DUMMYFUNCTION("""COMPUTED_VALUE"""),45863.6458333333)</f>
        <v>45863.6458333333</v>
      </c>
      <c r="F86" s="17">
        <f>IFERROR(__xludf.DUMMYFUNCTION("""COMPUTED_VALUE"""),360857)</f>
        <v>360857</v>
      </c>
      <c r="G86" s="16">
        <f>IFERROR(__xludf.DUMMYFUNCTION("""COMPUTED_VALUE"""),45863.6458333333)</f>
        <v>45863.6458333333</v>
      </c>
      <c r="H86" s="17">
        <f>IFERROR(__xludf.DUMMYFUNCTION("""COMPUTED_VALUE"""),2735.9)</f>
        <v>2735.9</v>
      </c>
      <c r="I86" s="16">
        <f>IFERROR(__xludf.DUMMYFUNCTION("""COMPUTED_VALUE"""),45863.6458333333)</f>
        <v>45863.6458333333</v>
      </c>
      <c r="J86" s="17">
        <f>IFERROR(__xludf.DUMMYFUNCTION("""COMPUTED_VALUE"""),2694.2)</f>
        <v>2694.2</v>
      </c>
      <c r="K86" s="3">
        <f t="shared" si="2"/>
        <v>0</v>
      </c>
      <c r="L86" s="3">
        <f t="shared" si="3"/>
        <v>2708.6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IFERROR(__xludf.DUMMYFUNCTION("""COMPUTED_VALUE"""),2727.2)</f>
        <v>2727.2</v>
      </c>
      <c r="C87" s="16">
        <f>IFERROR(__xludf.DUMMYFUNCTION("""COMPUTED_VALUE"""),45866.6458333333)</f>
        <v>45866.6458333333</v>
      </c>
      <c r="D87" s="17">
        <f>IFERROR(__xludf.DUMMYFUNCTION("""COMPUTED_VALUE"""),2704.1)</f>
        <v>2704.1</v>
      </c>
      <c r="E87" s="16">
        <f>IFERROR(__xludf.DUMMYFUNCTION("""COMPUTED_VALUE"""),45866.6458333333)</f>
        <v>45866.6458333333</v>
      </c>
      <c r="F87" s="17">
        <f>IFERROR(__xludf.DUMMYFUNCTION("""COMPUTED_VALUE"""),547126)</f>
        <v>547126</v>
      </c>
      <c r="G87" s="16">
        <f>IFERROR(__xludf.DUMMYFUNCTION("""COMPUTED_VALUE"""),45866.6458333333)</f>
        <v>45866.6458333333</v>
      </c>
      <c r="H87" s="17">
        <f>IFERROR(__xludf.DUMMYFUNCTION("""COMPUTED_VALUE"""),2754.5)</f>
        <v>2754.5</v>
      </c>
      <c r="I87" s="16">
        <f>IFERROR(__xludf.DUMMYFUNCTION("""COMPUTED_VALUE"""),45866.6458333333)</f>
        <v>45866.6458333333</v>
      </c>
      <c r="J87" s="17">
        <f>IFERROR(__xludf.DUMMYFUNCTION("""COMPUTED_VALUE"""),2697)</f>
        <v>2697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IFERROR(__xludf.DUMMYFUNCTION("""COMPUTED_VALUE"""),2743)</f>
        <v>2743</v>
      </c>
      <c r="C88" s="16">
        <f>IFERROR(__xludf.DUMMYFUNCTION("""COMPUTED_VALUE"""),45867.6458333333)</f>
        <v>45867.6458333333</v>
      </c>
      <c r="D88" s="17">
        <f>IFERROR(__xludf.DUMMYFUNCTION("""COMPUTED_VALUE"""),2727.2)</f>
        <v>2727.2</v>
      </c>
      <c r="E88" s="16">
        <f>IFERROR(__xludf.DUMMYFUNCTION("""COMPUTED_VALUE"""),45867.6458333333)</f>
        <v>45867.6458333333</v>
      </c>
      <c r="F88" s="17">
        <f>IFERROR(__xludf.DUMMYFUNCTION("""COMPUTED_VALUE"""),743512)</f>
        <v>743512</v>
      </c>
      <c r="G88" s="16">
        <f>IFERROR(__xludf.DUMMYFUNCTION("""COMPUTED_VALUE"""),45867.6458333333)</f>
        <v>45867.6458333333</v>
      </c>
      <c r="H88" s="17">
        <f>IFERROR(__xludf.DUMMYFUNCTION("""COMPUTED_VALUE"""),2750)</f>
        <v>2750</v>
      </c>
      <c r="I88" s="16">
        <f>IFERROR(__xludf.DUMMYFUNCTION("""COMPUTED_VALUE"""),45867.6458333333)</f>
        <v>45867.6458333333</v>
      </c>
      <c r="J88" s="17">
        <f>IFERROR(__xludf.DUMMYFUNCTION("""COMPUTED_VALUE"""),2705)</f>
        <v>2705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IFERROR(__xludf.DUMMYFUNCTION("""COMPUTED_VALUE"""),2758.6)</f>
        <v>2758.6</v>
      </c>
      <c r="C89" s="16">
        <f>IFERROR(__xludf.DUMMYFUNCTION("""COMPUTED_VALUE"""),45868.6458333333)</f>
        <v>45868.6458333333</v>
      </c>
      <c r="D89" s="17">
        <f>IFERROR(__xludf.DUMMYFUNCTION("""COMPUTED_VALUE"""),2740)</f>
        <v>2740</v>
      </c>
      <c r="E89" s="16">
        <f>IFERROR(__xludf.DUMMYFUNCTION("""COMPUTED_VALUE"""),45868.6458333333)</f>
        <v>45868.6458333333</v>
      </c>
      <c r="F89" s="17">
        <f>IFERROR(__xludf.DUMMYFUNCTION("""COMPUTED_VALUE"""),772901)</f>
        <v>772901</v>
      </c>
      <c r="G89" s="16">
        <f>IFERROR(__xludf.DUMMYFUNCTION("""COMPUTED_VALUE"""),45868.6458333333)</f>
        <v>45868.6458333333</v>
      </c>
      <c r="H89" s="17">
        <f>IFERROR(__xludf.DUMMYFUNCTION("""COMPUTED_VALUE"""),2794)</f>
        <v>2794</v>
      </c>
      <c r="I89" s="16">
        <f>IFERROR(__xludf.DUMMYFUNCTION("""COMPUTED_VALUE"""),45868.6458333333)</f>
        <v>45868.6458333333</v>
      </c>
      <c r="J89" s="17">
        <f>IFERROR(__xludf.DUMMYFUNCTION("""COMPUTED_VALUE"""),2733.1)</f>
        <v>2733.1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IFERROR(__xludf.DUMMYFUNCTION("""COMPUTED_VALUE"""),2746.4)</f>
        <v>2746.4</v>
      </c>
      <c r="C90" s="16">
        <f>IFERROR(__xludf.DUMMYFUNCTION("""COMPUTED_VALUE"""),45869.6458333333)</f>
        <v>45869.6458333333</v>
      </c>
      <c r="D90" s="17">
        <f>IFERROR(__xludf.DUMMYFUNCTION("""COMPUTED_VALUE"""),2735)</f>
        <v>2735</v>
      </c>
      <c r="E90" s="16">
        <f>IFERROR(__xludf.DUMMYFUNCTION("""COMPUTED_VALUE"""),45869.6458333333)</f>
        <v>45869.6458333333</v>
      </c>
      <c r="F90" s="17">
        <f>IFERROR(__xludf.DUMMYFUNCTION("""COMPUTED_VALUE"""),581498)</f>
        <v>581498</v>
      </c>
      <c r="G90" s="16">
        <f>IFERROR(__xludf.DUMMYFUNCTION("""COMPUTED_VALUE"""),45869.6458333333)</f>
        <v>45869.6458333333</v>
      </c>
      <c r="H90" s="17">
        <f>IFERROR(__xludf.DUMMYFUNCTION("""COMPUTED_VALUE"""),2771.8)</f>
        <v>2771.8</v>
      </c>
      <c r="I90" s="16">
        <f>IFERROR(__xludf.DUMMYFUNCTION("""COMPUTED_VALUE"""),45869.6458333333)</f>
        <v>45869.6458333333</v>
      </c>
      <c r="J90" s="17">
        <f>IFERROR(__xludf.DUMMYFUNCTION("""COMPUTED_VALUE"""),2727.7)</f>
        <v>2727.7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IFERROR(__xludf.DUMMYFUNCTION("""COMPUTED_VALUE"""),2722.2)</f>
        <v>2722.2</v>
      </c>
      <c r="C91" s="16">
        <f>IFERROR(__xludf.DUMMYFUNCTION("""COMPUTED_VALUE"""),45870.6458333333)</f>
        <v>45870.6458333333</v>
      </c>
      <c r="D91" s="17">
        <f>IFERROR(__xludf.DUMMYFUNCTION("""COMPUTED_VALUE"""),2748)</f>
        <v>2748</v>
      </c>
      <c r="E91" s="16">
        <f>IFERROR(__xludf.DUMMYFUNCTION("""COMPUTED_VALUE"""),45870.6458333333)</f>
        <v>45870.6458333333</v>
      </c>
      <c r="F91" s="17">
        <f>IFERROR(__xludf.DUMMYFUNCTION("""COMPUTED_VALUE"""),329586)</f>
        <v>329586</v>
      </c>
      <c r="G91" s="16">
        <f>IFERROR(__xludf.DUMMYFUNCTION("""COMPUTED_VALUE"""),45870.6458333333)</f>
        <v>45870.6458333333</v>
      </c>
      <c r="H91" s="17">
        <f>IFERROR(__xludf.DUMMYFUNCTION("""COMPUTED_VALUE"""),2766.5)</f>
        <v>2766.5</v>
      </c>
      <c r="I91" s="16">
        <f>IFERROR(__xludf.DUMMYFUNCTION("""COMPUTED_VALUE"""),45870.6458333333)</f>
        <v>45870.6458333333</v>
      </c>
      <c r="J91" s="17">
        <f>IFERROR(__xludf.DUMMYFUNCTION("""COMPUTED_VALUE"""),2716)</f>
        <v>2716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IFERROR(__xludf.DUMMYFUNCTION("""COMPUTED_VALUE"""),2787.8)</f>
        <v>2787.8</v>
      </c>
      <c r="C92" s="16">
        <f>IFERROR(__xludf.DUMMYFUNCTION("""COMPUTED_VALUE"""),45873.6458333333)</f>
        <v>45873.6458333333</v>
      </c>
      <c r="D92" s="17">
        <f>IFERROR(__xludf.DUMMYFUNCTION("""COMPUTED_VALUE"""),2730)</f>
        <v>2730</v>
      </c>
      <c r="E92" s="16">
        <f>IFERROR(__xludf.DUMMYFUNCTION("""COMPUTED_VALUE"""),45873.6458333333)</f>
        <v>45873.6458333333</v>
      </c>
      <c r="F92" s="17">
        <f>IFERROR(__xludf.DUMMYFUNCTION("""COMPUTED_VALUE"""),570201)</f>
        <v>570201</v>
      </c>
      <c r="G92" s="16">
        <f>IFERROR(__xludf.DUMMYFUNCTION("""COMPUTED_VALUE"""),45873.6458333333)</f>
        <v>45873.6458333333</v>
      </c>
      <c r="H92" s="17">
        <f>IFERROR(__xludf.DUMMYFUNCTION("""COMPUTED_VALUE"""),2792.3)</f>
        <v>2792.3</v>
      </c>
      <c r="I92" s="16">
        <f>IFERROR(__xludf.DUMMYFUNCTION("""COMPUTED_VALUE"""),45873.6458333333)</f>
        <v>45873.6458333333</v>
      </c>
      <c r="J92" s="17">
        <f>IFERROR(__xludf.DUMMYFUNCTION("""COMPUTED_VALUE"""),2720.8)</f>
        <v>2720.8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IFERROR(__xludf.DUMMYFUNCTION("""COMPUTED_VALUE"""),2797.2)</f>
        <v>2797.2</v>
      </c>
      <c r="C93" s="16">
        <f>IFERROR(__xludf.DUMMYFUNCTION("""COMPUTED_VALUE"""),45874.6458333333)</f>
        <v>45874.6458333333</v>
      </c>
      <c r="D93" s="17">
        <f>IFERROR(__xludf.DUMMYFUNCTION("""COMPUTED_VALUE"""),2799)</f>
        <v>2799</v>
      </c>
      <c r="E93" s="16">
        <f>IFERROR(__xludf.DUMMYFUNCTION("""COMPUTED_VALUE"""),45874.6458333333)</f>
        <v>45874.6458333333</v>
      </c>
      <c r="F93" s="17">
        <f>IFERROR(__xludf.DUMMYFUNCTION("""COMPUTED_VALUE"""),782631)</f>
        <v>782631</v>
      </c>
      <c r="G93" s="16">
        <f>IFERROR(__xludf.DUMMYFUNCTION("""COMPUTED_VALUE"""),45874.6458333333)</f>
        <v>45874.6458333333</v>
      </c>
      <c r="H93" s="17">
        <f>IFERROR(__xludf.DUMMYFUNCTION("""COMPUTED_VALUE"""),2824.9)</f>
        <v>2824.9</v>
      </c>
      <c r="I93" s="16">
        <f>IFERROR(__xludf.DUMMYFUNCTION("""COMPUTED_VALUE"""),45874.6458333333)</f>
        <v>45874.6458333333</v>
      </c>
      <c r="J93" s="17">
        <f>IFERROR(__xludf.DUMMYFUNCTION("""COMPUTED_VALUE"""),2784.7)</f>
        <v>2784.7</v>
      </c>
      <c r="K93" s="3">
        <f t="shared" si="2"/>
        <v>2797.2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IFERROR(__xludf.DUMMYFUNCTION("""COMPUTED_VALUE"""),2765.8)</f>
        <v>2765.8</v>
      </c>
      <c r="C94" s="16">
        <f>IFERROR(__xludf.DUMMYFUNCTION("""COMPUTED_VALUE"""),45875.6458333333)</f>
        <v>45875.6458333333</v>
      </c>
      <c r="D94" s="17">
        <f>IFERROR(__xludf.DUMMYFUNCTION("""COMPUTED_VALUE"""),2800)</f>
        <v>2800</v>
      </c>
      <c r="E94" s="16">
        <f>IFERROR(__xludf.DUMMYFUNCTION("""COMPUTED_VALUE"""),45875.6458333333)</f>
        <v>45875.6458333333</v>
      </c>
      <c r="F94" s="17">
        <f>IFERROR(__xludf.DUMMYFUNCTION("""COMPUTED_VALUE"""),393906)</f>
        <v>393906</v>
      </c>
      <c r="G94" s="16">
        <f>IFERROR(__xludf.DUMMYFUNCTION("""COMPUTED_VALUE"""),45875.6458333333)</f>
        <v>45875.6458333333</v>
      </c>
      <c r="H94" s="17">
        <f>IFERROR(__xludf.DUMMYFUNCTION("""COMPUTED_VALUE"""),2800)</f>
        <v>2800</v>
      </c>
      <c r="I94" s="16">
        <f>IFERROR(__xludf.DUMMYFUNCTION("""COMPUTED_VALUE"""),45875.6458333333)</f>
        <v>45875.6458333333</v>
      </c>
      <c r="J94" s="17">
        <f>IFERROR(__xludf.DUMMYFUNCTION("""COMPUTED_VALUE"""),2758)</f>
        <v>2758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IFERROR(__xludf.DUMMYFUNCTION("""COMPUTED_VALUE"""),2743.7)</f>
        <v>2743.7</v>
      </c>
      <c r="C95" s="16">
        <f>IFERROR(__xludf.DUMMYFUNCTION("""COMPUTED_VALUE"""),45876.6458333333)</f>
        <v>45876.6458333333</v>
      </c>
      <c r="D95" s="17">
        <f>IFERROR(__xludf.DUMMYFUNCTION("""COMPUTED_VALUE"""),2764)</f>
        <v>2764</v>
      </c>
      <c r="E95" s="16">
        <f>IFERROR(__xludf.DUMMYFUNCTION("""COMPUTED_VALUE"""),45876.6458333333)</f>
        <v>45876.6458333333</v>
      </c>
      <c r="F95" s="17">
        <f>IFERROR(__xludf.DUMMYFUNCTION("""COMPUTED_VALUE"""),591589)</f>
        <v>591589</v>
      </c>
      <c r="G95" s="16">
        <f>IFERROR(__xludf.DUMMYFUNCTION("""COMPUTED_VALUE"""),45876.6458333333)</f>
        <v>45876.6458333333</v>
      </c>
      <c r="H95" s="17">
        <f>IFERROR(__xludf.DUMMYFUNCTION("""COMPUTED_VALUE"""),2772.7)</f>
        <v>2772.7</v>
      </c>
      <c r="I95" s="16">
        <f>IFERROR(__xludf.DUMMYFUNCTION("""COMPUTED_VALUE"""),45876.6458333333)</f>
        <v>45876.6458333333</v>
      </c>
      <c r="J95" s="17">
        <f>IFERROR(__xludf.DUMMYFUNCTION("""COMPUTED_VALUE"""),2718.8)</f>
        <v>2718.8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IFERROR(__xludf.DUMMYFUNCTION("""COMPUTED_VALUE"""),2691.6)</f>
        <v>2691.6</v>
      </c>
      <c r="C96" s="16">
        <f>IFERROR(__xludf.DUMMYFUNCTION("""COMPUTED_VALUE"""),45877.6458333333)</f>
        <v>45877.6458333333</v>
      </c>
      <c r="D96" s="17">
        <f>IFERROR(__xludf.DUMMYFUNCTION("""COMPUTED_VALUE"""),2743.7)</f>
        <v>2743.7</v>
      </c>
      <c r="E96" s="16">
        <f>IFERROR(__xludf.DUMMYFUNCTION("""COMPUTED_VALUE"""),45877.6458333333)</f>
        <v>45877.6458333333</v>
      </c>
      <c r="F96" s="17">
        <f>IFERROR(__xludf.DUMMYFUNCTION("""COMPUTED_VALUE"""),1162918)</f>
        <v>1162918</v>
      </c>
      <c r="G96" s="16">
        <f>IFERROR(__xludf.DUMMYFUNCTION("""COMPUTED_VALUE"""),45877.6458333333)</f>
        <v>45877.6458333333</v>
      </c>
      <c r="H96" s="17">
        <f>IFERROR(__xludf.DUMMYFUNCTION("""COMPUTED_VALUE"""),2748.9)</f>
        <v>2748.9</v>
      </c>
      <c r="I96" s="16">
        <f>IFERROR(__xludf.DUMMYFUNCTION("""COMPUTED_VALUE"""),45877.6458333333)</f>
        <v>45877.6458333333</v>
      </c>
      <c r="J96" s="17">
        <f>IFERROR(__xludf.DUMMYFUNCTION("""COMPUTED_VALUE"""),2672.6)</f>
        <v>2672.6</v>
      </c>
      <c r="K96" s="3">
        <f t="shared" si="2"/>
        <v>0</v>
      </c>
      <c r="L96" s="3">
        <f t="shared" si="3"/>
        <v>2691.6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IFERROR(__xludf.DUMMYFUNCTION("""COMPUTED_VALUE"""),2758.9)</f>
        <v>2758.9</v>
      </c>
      <c r="C97" s="16">
        <f>IFERROR(__xludf.DUMMYFUNCTION("""COMPUTED_VALUE"""),45880.6458333333)</f>
        <v>45880.6458333333</v>
      </c>
      <c r="D97" s="17">
        <f>IFERROR(__xludf.DUMMYFUNCTION("""COMPUTED_VALUE"""),2726)</f>
        <v>2726</v>
      </c>
      <c r="E97" s="16">
        <f>IFERROR(__xludf.DUMMYFUNCTION("""COMPUTED_VALUE"""),45880.6458333333)</f>
        <v>45880.6458333333</v>
      </c>
      <c r="F97" s="17">
        <f>IFERROR(__xludf.DUMMYFUNCTION("""COMPUTED_VALUE"""),1236332)</f>
        <v>1236332</v>
      </c>
      <c r="G97" s="16">
        <f>IFERROR(__xludf.DUMMYFUNCTION("""COMPUTED_VALUE"""),45880.6458333333)</f>
        <v>45880.6458333333</v>
      </c>
      <c r="H97" s="17">
        <f>IFERROR(__xludf.DUMMYFUNCTION("""COMPUTED_VALUE"""),2795)</f>
        <v>2795</v>
      </c>
      <c r="I97" s="16">
        <f>IFERROR(__xludf.DUMMYFUNCTION("""COMPUTED_VALUE"""),45880.6458333333)</f>
        <v>45880.6458333333</v>
      </c>
      <c r="J97" s="17">
        <f>IFERROR(__xludf.DUMMYFUNCTION("""COMPUTED_VALUE"""),2720)</f>
        <v>2720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IFERROR(__xludf.DUMMYFUNCTION("""COMPUTED_VALUE"""),2740.4)</f>
        <v>2740.4</v>
      </c>
      <c r="C98" s="16">
        <f>IFERROR(__xludf.DUMMYFUNCTION("""COMPUTED_VALUE"""),45881.6458333333)</f>
        <v>45881.6458333333</v>
      </c>
      <c r="D98" s="17">
        <f>IFERROR(__xludf.DUMMYFUNCTION("""COMPUTED_VALUE"""),2757)</f>
        <v>2757</v>
      </c>
      <c r="E98" s="16">
        <f>IFERROR(__xludf.DUMMYFUNCTION("""COMPUTED_VALUE"""),45881.6458333333)</f>
        <v>45881.6458333333</v>
      </c>
      <c r="F98" s="17">
        <f>IFERROR(__xludf.DUMMYFUNCTION("""COMPUTED_VALUE"""),553341)</f>
        <v>553341</v>
      </c>
      <c r="G98" s="16">
        <f>IFERROR(__xludf.DUMMYFUNCTION("""COMPUTED_VALUE"""),45881.6458333333)</f>
        <v>45881.6458333333</v>
      </c>
      <c r="H98" s="17">
        <f>IFERROR(__xludf.DUMMYFUNCTION("""COMPUTED_VALUE"""),2761.9)</f>
        <v>2761.9</v>
      </c>
      <c r="I98" s="16">
        <f>IFERROR(__xludf.DUMMYFUNCTION("""COMPUTED_VALUE"""),45881.6458333333)</f>
        <v>45881.6458333333</v>
      </c>
      <c r="J98" s="17">
        <f>IFERROR(__xludf.DUMMYFUNCTION("""COMPUTED_VALUE"""),2705.1)</f>
        <v>2705.1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IFERROR(__xludf.DUMMYFUNCTION("""COMPUTED_VALUE"""),2745.9)</f>
        <v>2745.9</v>
      </c>
      <c r="C99" s="16">
        <f>IFERROR(__xludf.DUMMYFUNCTION("""COMPUTED_VALUE"""),45882.6458333333)</f>
        <v>45882.6458333333</v>
      </c>
      <c r="D99" s="17">
        <f>IFERROR(__xludf.DUMMYFUNCTION("""COMPUTED_VALUE"""),2760)</f>
        <v>2760</v>
      </c>
      <c r="E99" s="16">
        <f>IFERROR(__xludf.DUMMYFUNCTION("""COMPUTED_VALUE"""),45882.6458333333)</f>
        <v>45882.6458333333</v>
      </c>
      <c r="F99" s="17">
        <f>IFERROR(__xludf.DUMMYFUNCTION("""COMPUTED_VALUE"""),479944)</f>
        <v>479944</v>
      </c>
      <c r="G99" s="16">
        <f>IFERROR(__xludf.DUMMYFUNCTION("""COMPUTED_VALUE"""),45882.6458333333)</f>
        <v>45882.6458333333</v>
      </c>
      <c r="H99" s="17">
        <f>IFERROR(__xludf.DUMMYFUNCTION("""COMPUTED_VALUE"""),2766)</f>
        <v>2766</v>
      </c>
      <c r="I99" s="16">
        <f>IFERROR(__xludf.DUMMYFUNCTION("""COMPUTED_VALUE"""),45882.6458333333)</f>
        <v>45882.6458333333</v>
      </c>
      <c r="J99" s="17">
        <f>IFERROR(__xludf.DUMMYFUNCTION("""COMPUTED_VALUE"""),2725.5)</f>
        <v>2725.5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IFERROR(__xludf.DUMMYFUNCTION("""COMPUTED_VALUE"""),2764.9)</f>
        <v>2764.9</v>
      </c>
      <c r="C100" s="16">
        <f>IFERROR(__xludf.DUMMYFUNCTION("""COMPUTED_VALUE"""),45883.6458333333)</f>
        <v>45883.6458333333</v>
      </c>
      <c r="D100" s="17">
        <f>IFERROR(__xludf.DUMMYFUNCTION("""COMPUTED_VALUE"""),2745.9)</f>
        <v>2745.9</v>
      </c>
      <c r="E100" s="16">
        <f>IFERROR(__xludf.DUMMYFUNCTION("""COMPUTED_VALUE"""),45883.6458333333)</f>
        <v>45883.6458333333</v>
      </c>
      <c r="F100" s="17">
        <f>IFERROR(__xludf.DUMMYFUNCTION("""COMPUTED_VALUE"""),618912)</f>
        <v>618912</v>
      </c>
      <c r="G100" s="16">
        <f>IFERROR(__xludf.DUMMYFUNCTION("""COMPUTED_VALUE"""),45883.6458333333)</f>
        <v>45883.6458333333</v>
      </c>
      <c r="H100" s="17">
        <f>IFERROR(__xludf.DUMMYFUNCTION("""COMPUTED_VALUE"""),2770)</f>
        <v>2770</v>
      </c>
      <c r="I100" s="16">
        <f>IFERROR(__xludf.DUMMYFUNCTION("""COMPUTED_VALUE"""),45883.6458333333)</f>
        <v>45883.6458333333</v>
      </c>
      <c r="J100" s="17">
        <f>IFERROR(__xludf.DUMMYFUNCTION("""COMPUTED_VALUE"""),2731.1)</f>
        <v>2731.1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IFERROR(__xludf.DUMMYFUNCTION("""COMPUTED_VALUE"""),2845.9)</f>
        <v>2845.9</v>
      </c>
      <c r="C101" s="16">
        <f>IFERROR(__xludf.DUMMYFUNCTION("""COMPUTED_VALUE"""),45887.6458333333)</f>
        <v>45887.6458333333</v>
      </c>
      <c r="D101" s="17">
        <f>IFERROR(__xludf.DUMMYFUNCTION("""COMPUTED_VALUE"""),2795)</f>
        <v>2795</v>
      </c>
      <c r="E101" s="16">
        <f>IFERROR(__xludf.DUMMYFUNCTION("""COMPUTED_VALUE"""),45887.6458333333)</f>
        <v>45887.6458333333</v>
      </c>
      <c r="F101" s="17">
        <f>IFERROR(__xludf.DUMMYFUNCTION("""COMPUTED_VALUE"""),1279195)</f>
        <v>1279195</v>
      </c>
      <c r="G101" s="16">
        <f>IFERROR(__xludf.DUMMYFUNCTION("""COMPUTED_VALUE"""),45887.6458333333)</f>
        <v>45887.6458333333</v>
      </c>
      <c r="H101" s="17">
        <f>IFERROR(__xludf.DUMMYFUNCTION("""COMPUTED_VALUE"""),2865.4)</f>
        <v>2865.4</v>
      </c>
      <c r="I101" s="16">
        <f>IFERROR(__xludf.DUMMYFUNCTION("""COMPUTED_VALUE"""),45887.6458333333)</f>
        <v>45887.6458333333</v>
      </c>
      <c r="J101" s="17">
        <f>IFERROR(__xludf.DUMMYFUNCTION("""COMPUTED_VALUE"""),2776.5)</f>
        <v>2776.5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IFERROR(__xludf.DUMMYFUNCTION("""COMPUTED_VALUE"""),2828.3)</f>
        <v>2828.3</v>
      </c>
      <c r="C102" s="16">
        <f>IFERROR(__xludf.DUMMYFUNCTION("""COMPUTED_VALUE"""),45888.6458333333)</f>
        <v>45888.6458333333</v>
      </c>
      <c r="D102" s="17">
        <f>IFERROR(__xludf.DUMMYFUNCTION("""COMPUTED_VALUE"""),2845.9)</f>
        <v>2845.9</v>
      </c>
      <c r="E102" s="16">
        <f>IFERROR(__xludf.DUMMYFUNCTION("""COMPUTED_VALUE"""),45888.6458333333)</f>
        <v>45888.6458333333</v>
      </c>
      <c r="F102" s="17">
        <f>IFERROR(__xludf.DUMMYFUNCTION("""COMPUTED_VALUE"""),372899)</f>
        <v>372899</v>
      </c>
      <c r="G102" s="16">
        <f>IFERROR(__xludf.DUMMYFUNCTION("""COMPUTED_VALUE"""),45888.6458333333)</f>
        <v>45888.6458333333</v>
      </c>
      <c r="H102" s="17">
        <f>IFERROR(__xludf.DUMMYFUNCTION("""COMPUTED_VALUE"""),2854)</f>
        <v>2854</v>
      </c>
      <c r="I102" s="16">
        <f>IFERROR(__xludf.DUMMYFUNCTION("""COMPUTED_VALUE"""),45888.6458333333)</f>
        <v>45888.6458333333</v>
      </c>
      <c r="J102" s="17">
        <f>IFERROR(__xludf.DUMMYFUNCTION("""COMPUTED_VALUE"""),2803.2)</f>
        <v>2803.2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IFERROR(__xludf.DUMMYFUNCTION("""COMPUTED_VALUE"""),2864.9)</f>
        <v>2864.9</v>
      </c>
      <c r="C103" s="16">
        <f>IFERROR(__xludf.DUMMYFUNCTION("""COMPUTED_VALUE"""),45889.6458333333)</f>
        <v>45889.6458333333</v>
      </c>
      <c r="D103" s="17">
        <f>IFERROR(__xludf.DUMMYFUNCTION("""COMPUTED_VALUE"""),2828.3)</f>
        <v>2828.3</v>
      </c>
      <c r="E103" s="16">
        <f>IFERROR(__xludf.DUMMYFUNCTION("""COMPUTED_VALUE"""),45889.6458333333)</f>
        <v>45889.6458333333</v>
      </c>
      <c r="F103" s="17">
        <f>IFERROR(__xludf.DUMMYFUNCTION("""COMPUTED_VALUE"""),930944)</f>
        <v>930944</v>
      </c>
      <c r="G103" s="16">
        <f>IFERROR(__xludf.DUMMYFUNCTION("""COMPUTED_VALUE"""),45889.6458333333)</f>
        <v>45889.6458333333</v>
      </c>
      <c r="H103" s="17">
        <f>IFERROR(__xludf.DUMMYFUNCTION("""COMPUTED_VALUE"""),2883.6)</f>
        <v>2883.6</v>
      </c>
      <c r="I103" s="16">
        <f>IFERROR(__xludf.DUMMYFUNCTION("""COMPUTED_VALUE"""),45889.6458333333)</f>
        <v>45889.6458333333</v>
      </c>
      <c r="J103" s="17">
        <f>IFERROR(__xludf.DUMMYFUNCTION("""COMPUTED_VALUE"""),2807.4)</f>
        <v>2807.4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IFERROR(__xludf.DUMMYFUNCTION("""COMPUTED_VALUE"""),2881.2)</f>
        <v>2881.2</v>
      </c>
      <c r="C104" s="16">
        <f>IFERROR(__xludf.DUMMYFUNCTION("""COMPUTED_VALUE"""),45890.6458333333)</f>
        <v>45890.6458333333</v>
      </c>
      <c r="D104" s="17">
        <f>IFERROR(__xludf.DUMMYFUNCTION("""COMPUTED_VALUE"""),2880)</f>
        <v>2880</v>
      </c>
      <c r="E104" s="16">
        <f>IFERROR(__xludf.DUMMYFUNCTION("""COMPUTED_VALUE"""),45890.6458333333)</f>
        <v>45890.6458333333</v>
      </c>
      <c r="F104" s="17">
        <f>IFERROR(__xludf.DUMMYFUNCTION("""COMPUTED_VALUE"""),1138327)</f>
        <v>1138327</v>
      </c>
      <c r="G104" s="16">
        <f>IFERROR(__xludf.DUMMYFUNCTION("""COMPUTED_VALUE"""),45890.6458333333)</f>
        <v>45890.6458333333</v>
      </c>
      <c r="H104" s="17">
        <f>IFERROR(__xludf.DUMMYFUNCTION("""COMPUTED_VALUE"""),2898.4)</f>
        <v>2898.4</v>
      </c>
      <c r="I104" s="16">
        <f>IFERROR(__xludf.DUMMYFUNCTION("""COMPUTED_VALUE"""),45890.6458333333)</f>
        <v>45890.6458333333</v>
      </c>
      <c r="J104" s="17">
        <f>IFERROR(__xludf.DUMMYFUNCTION("""COMPUTED_VALUE"""),2855)</f>
        <v>2855</v>
      </c>
      <c r="K104" s="3">
        <f t="shared" si="2"/>
        <v>2881.2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IFERROR(__xludf.DUMMYFUNCTION("""COMPUTED_VALUE"""),2813.8)</f>
        <v>2813.8</v>
      </c>
      <c r="C105" s="16">
        <f>IFERROR(__xludf.DUMMYFUNCTION("""COMPUTED_VALUE"""),45891.6458333333)</f>
        <v>45891.6458333333</v>
      </c>
      <c r="D105" s="17">
        <f>IFERROR(__xludf.DUMMYFUNCTION("""COMPUTED_VALUE"""),2881.1)</f>
        <v>2881.1</v>
      </c>
      <c r="E105" s="16">
        <f>IFERROR(__xludf.DUMMYFUNCTION("""COMPUTED_VALUE"""),45891.6458333333)</f>
        <v>45891.6458333333</v>
      </c>
      <c r="F105" s="17">
        <f>IFERROR(__xludf.DUMMYFUNCTION("""COMPUTED_VALUE"""),671902)</f>
        <v>671902</v>
      </c>
      <c r="G105" s="16">
        <f>IFERROR(__xludf.DUMMYFUNCTION("""COMPUTED_VALUE"""),45891.6458333333)</f>
        <v>45891.6458333333</v>
      </c>
      <c r="H105" s="17">
        <f>IFERROR(__xludf.DUMMYFUNCTION("""COMPUTED_VALUE"""),2881.1)</f>
        <v>2881.1</v>
      </c>
      <c r="I105" s="16">
        <f>IFERROR(__xludf.DUMMYFUNCTION("""COMPUTED_VALUE"""),45891.6458333333)</f>
        <v>45891.6458333333</v>
      </c>
      <c r="J105" s="17">
        <f>IFERROR(__xludf.DUMMYFUNCTION("""COMPUTED_VALUE"""),2801.4)</f>
        <v>2801.4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IFERROR(__xludf.DUMMYFUNCTION("""COMPUTED_VALUE"""),2811.4)</f>
        <v>2811.4</v>
      </c>
      <c r="C106" s="16">
        <f>IFERROR(__xludf.DUMMYFUNCTION("""COMPUTED_VALUE"""),45894.6458333333)</f>
        <v>45894.6458333333</v>
      </c>
      <c r="D106" s="17">
        <f>IFERROR(__xludf.DUMMYFUNCTION("""COMPUTED_VALUE"""),2825.7)</f>
        <v>2825.7</v>
      </c>
      <c r="E106" s="16">
        <f>IFERROR(__xludf.DUMMYFUNCTION("""COMPUTED_VALUE"""),45894.6458333333)</f>
        <v>45894.6458333333</v>
      </c>
      <c r="F106" s="17">
        <f>IFERROR(__xludf.DUMMYFUNCTION("""COMPUTED_VALUE"""),591824)</f>
        <v>591824</v>
      </c>
      <c r="G106" s="16">
        <f>IFERROR(__xludf.DUMMYFUNCTION("""COMPUTED_VALUE"""),45894.6458333333)</f>
        <v>45894.6458333333</v>
      </c>
      <c r="H106" s="17">
        <f>IFERROR(__xludf.DUMMYFUNCTION("""COMPUTED_VALUE"""),2832.7)</f>
        <v>2832.7</v>
      </c>
      <c r="I106" s="16">
        <f>IFERROR(__xludf.DUMMYFUNCTION("""COMPUTED_VALUE"""),45894.6458333333)</f>
        <v>45894.6458333333</v>
      </c>
      <c r="J106" s="17">
        <f>IFERROR(__xludf.DUMMYFUNCTION("""COMPUTED_VALUE"""),2791.6)</f>
        <v>2791.6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IFERROR(__xludf.DUMMYFUNCTION("""COMPUTED_VALUE"""),2796.2)</f>
        <v>2796.2</v>
      </c>
      <c r="C107" s="16">
        <f>IFERROR(__xludf.DUMMYFUNCTION("""COMPUTED_VALUE"""),45895.6458333333)</f>
        <v>45895.6458333333</v>
      </c>
      <c r="D107" s="17">
        <f>IFERROR(__xludf.DUMMYFUNCTION("""COMPUTED_VALUE"""),2803.6)</f>
        <v>2803.6</v>
      </c>
      <c r="E107" s="16">
        <f>IFERROR(__xludf.DUMMYFUNCTION("""COMPUTED_VALUE"""),45895.6458333333)</f>
        <v>45895.6458333333</v>
      </c>
      <c r="F107" s="17">
        <f>IFERROR(__xludf.DUMMYFUNCTION("""COMPUTED_VALUE"""),425619)</f>
        <v>425619</v>
      </c>
      <c r="G107" s="16">
        <f>IFERROR(__xludf.DUMMYFUNCTION("""COMPUTED_VALUE"""),45895.6458333333)</f>
        <v>45895.6458333333</v>
      </c>
      <c r="H107" s="17">
        <f>IFERROR(__xludf.DUMMYFUNCTION("""COMPUTED_VALUE"""),2818.5)</f>
        <v>2818.5</v>
      </c>
      <c r="I107" s="16">
        <f>IFERROR(__xludf.DUMMYFUNCTION("""COMPUTED_VALUE"""),45895.6458333333)</f>
        <v>45895.6458333333</v>
      </c>
      <c r="J107" s="17">
        <f>IFERROR(__xludf.DUMMYFUNCTION("""COMPUTED_VALUE"""),2780.4)</f>
        <v>2780.4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IFERROR(__xludf.DUMMYFUNCTION("""COMPUTED_VALUE"""),2784.3)</f>
        <v>2784.3</v>
      </c>
      <c r="C108" s="16">
        <f>IFERROR(__xludf.DUMMYFUNCTION("""COMPUTED_VALUE"""),45897.6458333333)</f>
        <v>45897.6458333333</v>
      </c>
      <c r="D108" s="17">
        <f>IFERROR(__xludf.DUMMYFUNCTION("""COMPUTED_VALUE"""),2775)</f>
        <v>2775</v>
      </c>
      <c r="E108" s="16">
        <f>IFERROR(__xludf.DUMMYFUNCTION("""COMPUTED_VALUE"""),45897.6458333333)</f>
        <v>45897.6458333333</v>
      </c>
      <c r="F108" s="17">
        <f>IFERROR(__xludf.DUMMYFUNCTION("""COMPUTED_VALUE"""),528080)</f>
        <v>528080</v>
      </c>
      <c r="G108" s="16">
        <f>IFERROR(__xludf.DUMMYFUNCTION("""COMPUTED_VALUE"""),45897.6458333333)</f>
        <v>45897.6458333333</v>
      </c>
      <c r="H108" s="17">
        <f>IFERROR(__xludf.DUMMYFUNCTION("""COMPUTED_VALUE"""),2806)</f>
        <v>2806</v>
      </c>
      <c r="I108" s="16">
        <f>IFERROR(__xludf.DUMMYFUNCTION("""COMPUTED_VALUE"""),45897.6458333333)</f>
        <v>45897.6458333333</v>
      </c>
      <c r="J108" s="17">
        <f>IFERROR(__xludf.DUMMYFUNCTION("""COMPUTED_VALUE"""),2772.2)</f>
        <v>2772.2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IFERROR(__xludf.DUMMYFUNCTION("""COMPUTED_VALUE"""),2775.6)</f>
        <v>2775.6</v>
      </c>
      <c r="C109" s="16">
        <f>IFERROR(__xludf.DUMMYFUNCTION("""COMPUTED_VALUE"""),45898.6458333333)</f>
        <v>45898.6458333333</v>
      </c>
      <c r="D109" s="17">
        <f>IFERROR(__xludf.DUMMYFUNCTION("""COMPUTED_VALUE"""),2784.3)</f>
        <v>2784.3</v>
      </c>
      <c r="E109" s="16">
        <f>IFERROR(__xludf.DUMMYFUNCTION("""COMPUTED_VALUE"""),45898.6458333333)</f>
        <v>45898.6458333333</v>
      </c>
      <c r="F109" s="17">
        <f>IFERROR(__xludf.DUMMYFUNCTION("""COMPUTED_VALUE"""),542362)</f>
        <v>542362</v>
      </c>
      <c r="G109" s="16">
        <f>IFERROR(__xludf.DUMMYFUNCTION("""COMPUTED_VALUE"""),45898.6458333333)</f>
        <v>45898.6458333333</v>
      </c>
      <c r="H109" s="17">
        <f>IFERROR(__xludf.DUMMYFUNCTION("""COMPUTED_VALUE"""),2797.8)</f>
        <v>2797.8</v>
      </c>
      <c r="I109" s="16">
        <f>IFERROR(__xludf.DUMMYFUNCTION("""COMPUTED_VALUE"""),45898.6458333333)</f>
        <v>45898.6458333333</v>
      </c>
      <c r="J109" s="17">
        <f>IFERROR(__xludf.DUMMYFUNCTION("""COMPUTED_VALUE"""),2762.7)</f>
        <v>2762.7</v>
      </c>
      <c r="K109" s="3">
        <f t="shared" si="2"/>
        <v>0</v>
      </c>
      <c r="L109" s="3">
        <f t="shared" si="3"/>
        <v>2775.6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IFERROR(__xludf.DUMMYFUNCTION("""COMPUTED_VALUE"""),2803.9)</f>
        <v>2803.9</v>
      </c>
      <c r="C110" s="16">
        <f>IFERROR(__xludf.DUMMYFUNCTION("""COMPUTED_VALUE"""),45901.6458333333)</f>
        <v>45901.6458333333</v>
      </c>
      <c r="D110" s="17">
        <f>IFERROR(__xludf.DUMMYFUNCTION("""COMPUTED_VALUE"""),2778)</f>
        <v>2778</v>
      </c>
      <c r="E110" s="16">
        <f>IFERROR(__xludf.DUMMYFUNCTION("""COMPUTED_VALUE"""),45901.6458333333)</f>
        <v>45901.6458333333</v>
      </c>
      <c r="F110" s="17">
        <f>IFERROR(__xludf.DUMMYFUNCTION("""COMPUTED_VALUE"""),499161)</f>
        <v>499161</v>
      </c>
      <c r="G110" s="16">
        <f>IFERROR(__xludf.DUMMYFUNCTION("""COMPUTED_VALUE"""),45901.6458333333)</f>
        <v>45901.6458333333</v>
      </c>
      <c r="H110" s="17">
        <f>IFERROR(__xludf.DUMMYFUNCTION("""COMPUTED_VALUE"""),2816.8)</f>
        <v>2816.8</v>
      </c>
      <c r="I110" s="16">
        <f>IFERROR(__xludf.DUMMYFUNCTION("""COMPUTED_VALUE"""),45901.6458333333)</f>
        <v>45901.6458333333</v>
      </c>
      <c r="J110" s="17">
        <f>IFERROR(__xludf.DUMMYFUNCTION("""COMPUTED_VALUE"""),2773.4)</f>
        <v>2773.4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IFERROR(__xludf.DUMMYFUNCTION("""COMPUTED_VALUE"""),2779.8)</f>
        <v>2779.8</v>
      </c>
      <c r="C111" s="16">
        <f>IFERROR(__xludf.DUMMYFUNCTION("""COMPUTED_VALUE"""),45902.6458333333)</f>
        <v>45902.6458333333</v>
      </c>
      <c r="D111" s="17">
        <f>IFERROR(__xludf.DUMMYFUNCTION("""COMPUTED_VALUE"""),2815)</f>
        <v>2815</v>
      </c>
      <c r="E111" s="16">
        <f>IFERROR(__xludf.DUMMYFUNCTION("""COMPUTED_VALUE"""),45902.6458333333)</f>
        <v>45902.6458333333</v>
      </c>
      <c r="F111" s="17">
        <f>IFERROR(__xludf.DUMMYFUNCTION("""COMPUTED_VALUE"""),468533)</f>
        <v>468533</v>
      </c>
      <c r="G111" s="16">
        <f>IFERROR(__xludf.DUMMYFUNCTION("""COMPUTED_VALUE"""),45902.6458333333)</f>
        <v>45902.6458333333</v>
      </c>
      <c r="H111" s="17">
        <f>IFERROR(__xludf.DUMMYFUNCTION("""COMPUTED_VALUE"""),2820)</f>
        <v>2820</v>
      </c>
      <c r="I111" s="16">
        <f>IFERROR(__xludf.DUMMYFUNCTION("""COMPUTED_VALUE"""),45902.6458333333)</f>
        <v>45902.6458333333</v>
      </c>
      <c r="J111" s="17">
        <f>IFERROR(__xludf.DUMMYFUNCTION("""COMPUTED_VALUE"""),2773.7)</f>
        <v>2773.7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IFERROR(__xludf.DUMMYFUNCTION("""COMPUTED_VALUE"""),2781.4)</f>
        <v>2781.4</v>
      </c>
      <c r="C112" s="16">
        <f>IFERROR(__xludf.DUMMYFUNCTION("""COMPUTED_VALUE"""),45903.6458333333)</f>
        <v>45903.6458333333</v>
      </c>
      <c r="D112" s="17">
        <f>IFERROR(__xludf.DUMMYFUNCTION("""COMPUTED_VALUE"""),2789)</f>
        <v>2789</v>
      </c>
      <c r="E112" s="16">
        <f>IFERROR(__xludf.DUMMYFUNCTION("""COMPUTED_VALUE"""),45903.6458333333)</f>
        <v>45903.6458333333</v>
      </c>
      <c r="F112" s="17">
        <f>IFERROR(__xludf.DUMMYFUNCTION("""COMPUTED_VALUE"""),500510)</f>
        <v>500510</v>
      </c>
      <c r="G112" s="16">
        <f>IFERROR(__xludf.DUMMYFUNCTION("""COMPUTED_VALUE"""),45903.6458333333)</f>
        <v>45903.6458333333</v>
      </c>
      <c r="H112" s="17">
        <f>IFERROR(__xludf.DUMMYFUNCTION("""COMPUTED_VALUE"""),2809.2)</f>
        <v>2809.2</v>
      </c>
      <c r="I112" s="16">
        <f>IFERROR(__xludf.DUMMYFUNCTION("""COMPUTED_VALUE"""),45903.6458333333)</f>
        <v>45903.6458333333</v>
      </c>
      <c r="J112" s="17">
        <f>IFERROR(__xludf.DUMMYFUNCTION("""COMPUTED_VALUE"""),2770.5)</f>
        <v>2770.5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IFERROR(__xludf.DUMMYFUNCTION("""COMPUTED_VALUE"""),2809.8)</f>
        <v>2809.8</v>
      </c>
      <c r="C113" s="16">
        <f>IFERROR(__xludf.DUMMYFUNCTION("""COMPUTED_VALUE"""),45904.6458333333)</f>
        <v>45904.6458333333</v>
      </c>
      <c r="D113" s="17">
        <f>IFERROR(__xludf.DUMMYFUNCTION("""COMPUTED_VALUE"""),2801)</f>
        <v>2801</v>
      </c>
      <c r="E113" s="16">
        <f>IFERROR(__xludf.DUMMYFUNCTION("""COMPUTED_VALUE"""),45904.6458333333)</f>
        <v>45904.6458333333</v>
      </c>
      <c r="F113" s="17">
        <f>IFERROR(__xludf.DUMMYFUNCTION("""COMPUTED_VALUE"""),1177036)</f>
        <v>1177036</v>
      </c>
      <c r="G113" s="16">
        <f>IFERROR(__xludf.DUMMYFUNCTION("""COMPUTED_VALUE"""),45904.6458333333)</f>
        <v>45904.6458333333</v>
      </c>
      <c r="H113" s="17">
        <f>IFERROR(__xludf.DUMMYFUNCTION("""COMPUTED_VALUE"""),2865.2)</f>
        <v>2865.2</v>
      </c>
      <c r="I113" s="16">
        <f>IFERROR(__xludf.DUMMYFUNCTION("""COMPUTED_VALUE"""),45904.6458333333)</f>
        <v>45904.6458333333</v>
      </c>
      <c r="J113" s="17">
        <f>IFERROR(__xludf.DUMMYFUNCTION("""COMPUTED_VALUE"""),2801)</f>
        <v>2801</v>
      </c>
      <c r="K113" s="3">
        <f t="shared" si="2"/>
        <v>2809.8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IFERROR(__xludf.DUMMYFUNCTION("""COMPUTED_VALUE"""),2804)</f>
        <v>2804</v>
      </c>
      <c r="C114" s="16">
        <f>IFERROR(__xludf.DUMMYFUNCTION("""COMPUTED_VALUE"""),45905.6458333333)</f>
        <v>45905.6458333333</v>
      </c>
      <c r="D114" s="17">
        <f>IFERROR(__xludf.DUMMYFUNCTION("""COMPUTED_VALUE"""),2810)</f>
        <v>2810</v>
      </c>
      <c r="E114" s="16">
        <f>IFERROR(__xludf.DUMMYFUNCTION("""COMPUTED_VALUE"""),45905.6458333333)</f>
        <v>45905.6458333333</v>
      </c>
      <c r="F114" s="17">
        <f>IFERROR(__xludf.DUMMYFUNCTION("""COMPUTED_VALUE"""),495200)</f>
        <v>495200</v>
      </c>
      <c r="G114" s="16">
        <f>IFERROR(__xludf.DUMMYFUNCTION("""COMPUTED_VALUE"""),45905.6458333333)</f>
        <v>45905.6458333333</v>
      </c>
      <c r="H114" s="17">
        <f>IFERROR(__xludf.DUMMYFUNCTION("""COMPUTED_VALUE"""),2837.5)</f>
        <v>2837.5</v>
      </c>
      <c r="I114" s="16">
        <f>IFERROR(__xludf.DUMMYFUNCTION("""COMPUTED_VALUE"""),45905.6458333333)</f>
        <v>45905.6458333333</v>
      </c>
      <c r="J114" s="17">
        <f>IFERROR(__xludf.DUMMYFUNCTION("""COMPUTED_VALUE"""),2786.1)</f>
        <v>2786.1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IFERROR(__xludf.DUMMYFUNCTION("""COMPUTED_VALUE"""),2804.1)</f>
        <v>2804.1</v>
      </c>
      <c r="C115" s="16">
        <f>IFERROR(__xludf.DUMMYFUNCTION("""COMPUTED_VALUE"""),45908.6458333333)</f>
        <v>45908.6458333333</v>
      </c>
      <c r="D115" s="17">
        <f>IFERROR(__xludf.DUMMYFUNCTION("""COMPUTED_VALUE"""),2795.1)</f>
        <v>2795.1</v>
      </c>
      <c r="E115" s="16">
        <f>IFERROR(__xludf.DUMMYFUNCTION("""COMPUTED_VALUE"""),45908.6458333333)</f>
        <v>45908.6458333333</v>
      </c>
      <c r="F115" s="17">
        <f>IFERROR(__xludf.DUMMYFUNCTION("""COMPUTED_VALUE"""),229922)</f>
        <v>229922</v>
      </c>
      <c r="G115" s="16">
        <f>IFERROR(__xludf.DUMMYFUNCTION("""COMPUTED_VALUE"""),45908.6458333333)</f>
        <v>45908.6458333333</v>
      </c>
      <c r="H115" s="17">
        <f>IFERROR(__xludf.DUMMYFUNCTION("""COMPUTED_VALUE"""),2823.9)</f>
        <v>2823.9</v>
      </c>
      <c r="I115" s="16">
        <f>IFERROR(__xludf.DUMMYFUNCTION("""COMPUTED_VALUE"""),45908.6458333333)</f>
        <v>45908.6458333333</v>
      </c>
      <c r="J115" s="17">
        <f>IFERROR(__xludf.DUMMYFUNCTION("""COMPUTED_VALUE"""),2795.1)</f>
        <v>2795.1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IFERROR(__xludf.DUMMYFUNCTION("""COMPUTED_VALUE"""),2795.9)</f>
        <v>2795.9</v>
      </c>
      <c r="C116" s="16">
        <f>IFERROR(__xludf.DUMMYFUNCTION("""COMPUTED_VALUE"""),45909.6458333333)</f>
        <v>45909.6458333333</v>
      </c>
      <c r="D116" s="17">
        <f>IFERROR(__xludf.DUMMYFUNCTION("""COMPUTED_VALUE"""),2804.1)</f>
        <v>2804.1</v>
      </c>
      <c r="E116" s="16">
        <f>IFERROR(__xludf.DUMMYFUNCTION("""COMPUTED_VALUE"""),45909.6458333333)</f>
        <v>45909.6458333333</v>
      </c>
      <c r="F116" s="17">
        <f>IFERROR(__xludf.DUMMYFUNCTION("""COMPUTED_VALUE"""),388718)</f>
        <v>388718</v>
      </c>
      <c r="G116" s="16">
        <f>IFERROR(__xludf.DUMMYFUNCTION("""COMPUTED_VALUE"""),45909.6458333333)</f>
        <v>45909.6458333333</v>
      </c>
      <c r="H116" s="17">
        <f>IFERROR(__xludf.DUMMYFUNCTION("""COMPUTED_VALUE"""),2823.7)</f>
        <v>2823.7</v>
      </c>
      <c r="I116" s="16">
        <f>IFERROR(__xludf.DUMMYFUNCTION("""COMPUTED_VALUE"""),45909.6458333333)</f>
        <v>45909.6458333333</v>
      </c>
      <c r="J116" s="17">
        <f>IFERROR(__xludf.DUMMYFUNCTION("""COMPUTED_VALUE"""),2786.5)</f>
        <v>2786.5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IFERROR(__xludf.DUMMYFUNCTION("""COMPUTED_VALUE"""),2785.8)</f>
        <v>2785.8</v>
      </c>
      <c r="C117" s="16">
        <f>IFERROR(__xludf.DUMMYFUNCTION("""COMPUTED_VALUE"""),45910.6458333333)</f>
        <v>45910.6458333333</v>
      </c>
      <c r="D117" s="17">
        <f>IFERROR(__xludf.DUMMYFUNCTION("""COMPUTED_VALUE"""),2795.9)</f>
        <v>2795.9</v>
      </c>
      <c r="E117" s="16">
        <f>IFERROR(__xludf.DUMMYFUNCTION("""COMPUTED_VALUE"""),45910.6458333333)</f>
        <v>45910.6458333333</v>
      </c>
      <c r="F117" s="17">
        <f>IFERROR(__xludf.DUMMYFUNCTION("""COMPUTED_VALUE"""),421783)</f>
        <v>421783</v>
      </c>
      <c r="G117" s="16">
        <f>IFERROR(__xludf.DUMMYFUNCTION("""COMPUTED_VALUE"""),45910.6458333333)</f>
        <v>45910.6458333333</v>
      </c>
      <c r="H117" s="17">
        <f>IFERROR(__xludf.DUMMYFUNCTION("""COMPUTED_VALUE"""),2818)</f>
        <v>2818</v>
      </c>
      <c r="I117" s="16">
        <f>IFERROR(__xludf.DUMMYFUNCTION("""COMPUTED_VALUE"""),45910.6458333333)</f>
        <v>45910.6458333333</v>
      </c>
      <c r="J117" s="17">
        <f>IFERROR(__xludf.DUMMYFUNCTION("""COMPUTED_VALUE"""),2775.6)</f>
        <v>2775.6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IFERROR(__xludf.DUMMYFUNCTION("""COMPUTED_VALUE"""),2799)</f>
        <v>2799</v>
      </c>
      <c r="C118" s="16">
        <f>IFERROR(__xludf.DUMMYFUNCTION("""COMPUTED_VALUE"""),45911.6458333333)</f>
        <v>45911.6458333333</v>
      </c>
      <c r="D118" s="17">
        <f>IFERROR(__xludf.DUMMYFUNCTION("""COMPUTED_VALUE"""),2782.4)</f>
        <v>2782.4</v>
      </c>
      <c r="E118" s="16">
        <f>IFERROR(__xludf.DUMMYFUNCTION("""COMPUTED_VALUE"""),45911.6458333333)</f>
        <v>45911.6458333333</v>
      </c>
      <c r="F118" s="17">
        <f>IFERROR(__xludf.DUMMYFUNCTION("""COMPUTED_VALUE"""),217951)</f>
        <v>217951</v>
      </c>
      <c r="G118" s="16">
        <f>IFERROR(__xludf.DUMMYFUNCTION("""COMPUTED_VALUE"""),45911.6458333333)</f>
        <v>45911.6458333333</v>
      </c>
      <c r="H118" s="17">
        <f>IFERROR(__xludf.DUMMYFUNCTION("""COMPUTED_VALUE"""),2806.4)</f>
        <v>2806.4</v>
      </c>
      <c r="I118" s="16">
        <f>IFERROR(__xludf.DUMMYFUNCTION("""COMPUTED_VALUE"""),45911.6458333333)</f>
        <v>45911.6458333333</v>
      </c>
      <c r="J118" s="17">
        <f>IFERROR(__xludf.DUMMYFUNCTION("""COMPUTED_VALUE"""),2771)</f>
        <v>2771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IFERROR(__xludf.DUMMYFUNCTION("""COMPUTED_VALUE"""),2802)</f>
        <v>2802</v>
      </c>
      <c r="C119" s="16">
        <f>IFERROR(__xludf.DUMMYFUNCTION("""COMPUTED_VALUE"""),45912.6458333333)</f>
        <v>45912.6458333333</v>
      </c>
      <c r="D119" s="17">
        <f>IFERROR(__xludf.DUMMYFUNCTION("""COMPUTED_VALUE"""),2799)</f>
        <v>2799</v>
      </c>
      <c r="E119" s="16">
        <f>IFERROR(__xludf.DUMMYFUNCTION("""COMPUTED_VALUE"""),45912.6458333333)</f>
        <v>45912.6458333333</v>
      </c>
      <c r="F119" s="17">
        <f>IFERROR(__xludf.DUMMYFUNCTION("""COMPUTED_VALUE"""),168095)</f>
        <v>168095</v>
      </c>
      <c r="G119" s="16">
        <f>IFERROR(__xludf.DUMMYFUNCTION("""COMPUTED_VALUE"""),45912.6458333333)</f>
        <v>45912.6458333333</v>
      </c>
      <c r="H119" s="17">
        <f>IFERROR(__xludf.DUMMYFUNCTION("""COMPUTED_VALUE"""),2818)</f>
        <v>2818</v>
      </c>
      <c r="I119" s="16">
        <f>IFERROR(__xludf.DUMMYFUNCTION("""COMPUTED_VALUE"""),45912.6458333333)</f>
        <v>45912.6458333333</v>
      </c>
      <c r="J119" s="17">
        <f>IFERROR(__xludf.DUMMYFUNCTION("""COMPUTED_VALUE"""),2789.1)</f>
        <v>2789.1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IFERROR(__xludf.DUMMYFUNCTION("""COMPUTED_VALUE"""),2802.4)</f>
        <v>2802.4</v>
      </c>
      <c r="C120" s="16">
        <f>IFERROR(__xludf.DUMMYFUNCTION("""COMPUTED_VALUE"""),45915.6458333333)</f>
        <v>45915.6458333333</v>
      </c>
      <c r="D120" s="17">
        <f>IFERROR(__xludf.DUMMYFUNCTION("""COMPUTED_VALUE"""),2795)</f>
        <v>2795</v>
      </c>
      <c r="E120" s="16">
        <f>IFERROR(__xludf.DUMMYFUNCTION("""COMPUTED_VALUE"""),45915.6458333333)</f>
        <v>45915.6458333333</v>
      </c>
      <c r="F120" s="17">
        <f>IFERROR(__xludf.DUMMYFUNCTION("""COMPUTED_VALUE"""),291664)</f>
        <v>291664</v>
      </c>
      <c r="G120" s="16">
        <f>IFERROR(__xludf.DUMMYFUNCTION("""COMPUTED_VALUE"""),45915.6458333333)</f>
        <v>45915.6458333333</v>
      </c>
      <c r="H120" s="17">
        <f>IFERROR(__xludf.DUMMYFUNCTION("""COMPUTED_VALUE"""),2819.8)</f>
        <v>2819.8</v>
      </c>
      <c r="I120" s="16">
        <f>IFERROR(__xludf.DUMMYFUNCTION("""COMPUTED_VALUE"""),45915.6458333333)</f>
        <v>45915.6458333333</v>
      </c>
      <c r="J120" s="17">
        <f>IFERROR(__xludf.DUMMYFUNCTION("""COMPUTED_VALUE"""),2785)</f>
        <v>2785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IFERROR(__xludf.DUMMYFUNCTION("""COMPUTED_VALUE"""),2843)</f>
        <v>2843</v>
      </c>
      <c r="C121" s="16">
        <f>IFERROR(__xludf.DUMMYFUNCTION("""COMPUTED_VALUE"""),45916.6458333333)</f>
        <v>45916.6458333333</v>
      </c>
      <c r="D121" s="17">
        <f>IFERROR(__xludf.DUMMYFUNCTION("""COMPUTED_VALUE"""),2811.9)</f>
        <v>2811.9</v>
      </c>
      <c r="E121" s="16">
        <f>IFERROR(__xludf.DUMMYFUNCTION("""COMPUTED_VALUE"""),45916.6458333333)</f>
        <v>45916.6458333333</v>
      </c>
      <c r="F121" s="17">
        <f>IFERROR(__xludf.DUMMYFUNCTION("""COMPUTED_VALUE"""),546549)</f>
        <v>546549</v>
      </c>
      <c r="G121" s="16">
        <f>IFERROR(__xludf.DUMMYFUNCTION("""COMPUTED_VALUE"""),45916.6458333333)</f>
        <v>45916.6458333333</v>
      </c>
      <c r="H121" s="17">
        <f>IFERROR(__xludf.DUMMYFUNCTION("""COMPUTED_VALUE"""),2848.5)</f>
        <v>2848.5</v>
      </c>
      <c r="I121" s="16">
        <f>IFERROR(__xludf.DUMMYFUNCTION("""COMPUTED_VALUE"""),45916.6458333333)</f>
        <v>45916.6458333333</v>
      </c>
      <c r="J121" s="17">
        <f>IFERROR(__xludf.DUMMYFUNCTION("""COMPUTED_VALUE"""),2804)</f>
        <v>2804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IFERROR(__xludf.DUMMYFUNCTION("""COMPUTED_VALUE"""),2865.4)</f>
        <v>2865.4</v>
      </c>
      <c r="C122" s="16">
        <f>IFERROR(__xludf.DUMMYFUNCTION("""COMPUTED_VALUE"""),45917.6458333333)</f>
        <v>45917.6458333333</v>
      </c>
      <c r="D122" s="17">
        <f>IFERROR(__xludf.DUMMYFUNCTION("""COMPUTED_VALUE"""),2855)</f>
        <v>2855</v>
      </c>
      <c r="E122" s="16">
        <f>IFERROR(__xludf.DUMMYFUNCTION("""COMPUTED_VALUE"""),45917.6458333333)</f>
        <v>45917.6458333333</v>
      </c>
      <c r="F122" s="17">
        <f>IFERROR(__xludf.DUMMYFUNCTION("""COMPUTED_VALUE"""),785107)</f>
        <v>785107</v>
      </c>
      <c r="G122" s="16">
        <f>IFERROR(__xludf.DUMMYFUNCTION("""COMPUTED_VALUE"""),45917.6458333333)</f>
        <v>45917.6458333333</v>
      </c>
      <c r="H122" s="17">
        <f>IFERROR(__xludf.DUMMYFUNCTION("""COMPUTED_VALUE"""),2881)</f>
        <v>2881</v>
      </c>
      <c r="I122" s="16">
        <f>IFERROR(__xludf.DUMMYFUNCTION("""COMPUTED_VALUE"""),45917.6458333333)</f>
        <v>45917.6458333333</v>
      </c>
      <c r="J122" s="17">
        <f>IFERROR(__xludf.DUMMYFUNCTION("""COMPUTED_VALUE"""),2850)</f>
        <v>2850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IFERROR(__xludf.DUMMYFUNCTION("""COMPUTED_VALUE"""),2878.8)</f>
        <v>2878.8</v>
      </c>
      <c r="C123" s="16">
        <f>IFERROR(__xludf.DUMMYFUNCTION("""COMPUTED_VALUE"""),45918.6458333333)</f>
        <v>45918.6458333333</v>
      </c>
      <c r="D123" s="17">
        <f>IFERROR(__xludf.DUMMYFUNCTION("""COMPUTED_VALUE"""),2878)</f>
        <v>2878</v>
      </c>
      <c r="E123" s="16">
        <f>IFERROR(__xludf.DUMMYFUNCTION("""COMPUTED_VALUE"""),45918.6458333333)</f>
        <v>45918.6458333333</v>
      </c>
      <c r="F123" s="17">
        <f>IFERROR(__xludf.DUMMYFUNCTION("""COMPUTED_VALUE"""),513800)</f>
        <v>513800</v>
      </c>
      <c r="G123" s="16">
        <f>IFERROR(__xludf.DUMMYFUNCTION("""COMPUTED_VALUE"""),45918.6458333333)</f>
        <v>45918.6458333333</v>
      </c>
      <c r="H123" s="17">
        <f>IFERROR(__xludf.DUMMYFUNCTION("""COMPUTED_VALUE"""),2883)</f>
        <v>2883</v>
      </c>
      <c r="I123" s="16">
        <f>IFERROR(__xludf.DUMMYFUNCTION("""COMPUTED_VALUE"""),45918.6458333333)</f>
        <v>45918.6458333333</v>
      </c>
      <c r="J123" s="17">
        <f>IFERROR(__xludf.DUMMYFUNCTION("""COMPUTED_VALUE"""),2852)</f>
        <v>2852</v>
      </c>
      <c r="K123" s="3">
        <f t="shared" si="2"/>
        <v>2878.8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IFERROR(__xludf.DUMMYFUNCTION("""COMPUTED_VALUE"""),2877.9)</f>
        <v>2877.9</v>
      </c>
      <c r="C124" s="16">
        <f>IFERROR(__xludf.DUMMYFUNCTION("""COMPUTED_VALUE"""),45919.6458333333)</f>
        <v>45919.6458333333</v>
      </c>
      <c r="D124" s="17">
        <f>IFERROR(__xludf.DUMMYFUNCTION("""COMPUTED_VALUE"""),2876.1)</f>
        <v>2876.1</v>
      </c>
      <c r="E124" s="16">
        <f>IFERROR(__xludf.DUMMYFUNCTION("""COMPUTED_VALUE"""),45919.6458333333)</f>
        <v>45919.6458333333</v>
      </c>
      <c r="F124" s="17">
        <f>IFERROR(__xludf.DUMMYFUNCTION("""COMPUTED_VALUE"""),790137)</f>
        <v>790137</v>
      </c>
      <c r="G124" s="16">
        <f>IFERROR(__xludf.DUMMYFUNCTION("""COMPUTED_VALUE"""),45919.6458333333)</f>
        <v>45919.6458333333</v>
      </c>
      <c r="H124" s="17">
        <f>IFERROR(__xludf.DUMMYFUNCTION("""COMPUTED_VALUE"""),2891.3)</f>
        <v>2891.3</v>
      </c>
      <c r="I124" s="16">
        <f>IFERROR(__xludf.DUMMYFUNCTION("""COMPUTED_VALUE"""),45919.6458333333)</f>
        <v>45919.6458333333</v>
      </c>
      <c r="J124" s="17">
        <f>IFERROR(__xludf.DUMMYFUNCTION("""COMPUTED_VALUE"""),2848.3)</f>
        <v>2848.3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IFERROR(__xludf.DUMMYFUNCTION("""COMPUTED_VALUE"""),2854.1)</f>
        <v>2854.1</v>
      </c>
      <c r="C125" s="16">
        <f>IFERROR(__xludf.DUMMYFUNCTION("""COMPUTED_VALUE"""),45922.6458333333)</f>
        <v>45922.6458333333</v>
      </c>
      <c r="D125" s="17">
        <f>IFERROR(__xludf.DUMMYFUNCTION("""COMPUTED_VALUE"""),2860)</f>
        <v>2860</v>
      </c>
      <c r="E125" s="16">
        <f>IFERROR(__xludf.DUMMYFUNCTION("""COMPUTED_VALUE"""),45922.6458333333)</f>
        <v>45922.6458333333</v>
      </c>
      <c r="F125" s="17">
        <f>IFERROR(__xludf.DUMMYFUNCTION("""COMPUTED_VALUE"""),751168)</f>
        <v>751168</v>
      </c>
      <c r="G125" s="16">
        <f>IFERROR(__xludf.DUMMYFUNCTION("""COMPUTED_VALUE"""),45922.6458333333)</f>
        <v>45922.6458333333</v>
      </c>
      <c r="H125" s="17">
        <f>IFERROR(__xludf.DUMMYFUNCTION("""COMPUTED_VALUE"""),2911)</f>
        <v>2911</v>
      </c>
      <c r="I125" s="16">
        <f>IFERROR(__xludf.DUMMYFUNCTION("""COMPUTED_VALUE"""),45922.6458333333)</f>
        <v>45922.6458333333</v>
      </c>
      <c r="J125" s="17">
        <f>IFERROR(__xludf.DUMMYFUNCTION("""COMPUTED_VALUE"""),2848.8)</f>
        <v>2848.8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IFERROR(__xludf.DUMMYFUNCTION("""COMPUTED_VALUE"""),2813.5)</f>
        <v>2813.5</v>
      </c>
      <c r="C126" s="16">
        <f>IFERROR(__xludf.DUMMYFUNCTION("""COMPUTED_VALUE"""),45923.6458333333)</f>
        <v>45923.6458333333</v>
      </c>
      <c r="D126" s="17">
        <f>IFERROR(__xludf.DUMMYFUNCTION("""COMPUTED_VALUE"""),2858.9)</f>
        <v>2858.9</v>
      </c>
      <c r="E126" s="16">
        <f>IFERROR(__xludf.DUMMYFUNCTION("""COMPUTED_VALUE"""),45923.6458333333)</f>
        <v>45923.6458333333</v>
      </c>
      <c r="F126" s="17">
        <f>IFERROR(__xludf.DUMMYFUNCTION("""COMPUTED_VALUE"""),702680)</f>
        <v>702680</v>
      </c>
      <c r="G126" s="16">
        <f>IFERROR(__xludf.DUMMYFUNCTION("""COMPUTED_VALUE"""),45923.6458333333)</f>
        <v>45923.6458333333</v>
      </c>
      <c r="H126" s="17">
        <f>IFERROR(__xludf.DUMMYFUNCTION("""COMPUTED_VALUE"""),2873.8)</f>
        <v>2873.8</v>
      </c>
      <c r="I126" s="16">
        <f>IFERROR(__xludf.DUMMYFUNCTION("""COMPUTED_VALUE"""),45923.6458333333)</f>
        <v>45923.6458333333</v>
      </c>
      <c r="J126" s="17">
        <f>IFERROR(__xludf.DUMMYFUNCTION("""COMPUTED_VALUE"""),2808.1)</f>
        <v>2808.1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IFERROR(__xludf.DUMMYFUNCTION("""COMPUTED_VALUE"""),2807.4)</f>
        <v>2807.4</v>
      </c>
      <c r="C127" s="16">
        <f>IFERROR(__xludf.DUMMYFUNCTION("""COMPUTED_VALUE"""),45924.6458333333)</f>
        <v>45924.6458333333</v>
      </c>
      <c r="D127" s="17">
        <f>IFERROR(__xludf.DUMMYFUNCTION("""COMPUTED_VALUE"""),2813.5)</f>
        <v>2813.5</v>
      </c>
      <c r="E127" s="16">
        <f>IFERROR(__xludf.DUMMYFUNCTION("""COMPUTED_VALUE"""),45924.6458333333)</f>
        <v>45924.6458333333</v>
      </c>
      <c r="F127" s="17">
        <f>IFERROR(__xludf.DUMMYFUNCTION("""COMPUTED_VALUE"""),316532)</f>
        <v>316532</v>
      </c>
      <c r="G127" s="16">
        <f>IFERROR(__xludf.DUMMYFUNCTION("""COMPUTED_VALUE"""),45924.6458333333)</f>
        <v>45924.6458333333</v>
      </c>
      <c r="H127" s="17">
        <f>IFERROR(__xludf.DUMMYFUNCTION("""COMPUTED_VALUE"""),2838.7)</f>
        <v>2838.7</v>
      </c>
      <c r="I127" s="16">
        <f>IFERROR(__xludf.DUMMYFUNCTION("""COMPUTED_VALUE"""),45924.6458333333)</f>
        <v>45924.6458333333</v>
      </c>
      <c r="J127" s="17">
        <f>IFERROR(__xludf.DUMMYFUNCTION("""COMPUTED_VALUE"""),2797.9)</f>
        <v>2797.9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IFERROR(__xludf.DUMMYFUNCTION("""COMPUTED_VALUE"""),2778.6)</f>
        <v>2778.6</v>
      </c>
      <c r="C128" s="16">
        <f>IFERROR(__xludf.DUMMYFUNCTION("""COMPUTED_VALUE"""),45925.6458333333)</f>
        <v>45925.6458333333</v>
      </c>
      <c r="D128" s="17">
        <f>IFERROR(__xludf.DUMMYFUNCTION("""COMPUTED_VALUE"""),2810)</f>
        <v>2810</v>
      </c>
      <c r="E128" s="16">
        <f>IFERROR(__xludf.DUMMYFUNCTION("""COMPUTED_VALUE"""),45925.6458333333)</f>
        <v>45925.6458333333</v>
      </c>
      <c r="F128" s="17">
        <f>IFERROR(__xludf.DUMMYFUNCTION("""COMPUTED_VALUE"""),723479)</f>
        <v>723479</v>
      </c>
      <c r="G128" s="16">
        <f>IFERROR(__xludf.DUMMYFUNCTION("""COMPUTED_VALUE"""),45925.6458333333)</f>
        <v>45925.6458333333</v>
      </c>
      <c r="H128" s="17">
        <f>IFERROR(__xludf.DUMMYFUNCTION("""COMPUTED_VALUE"""),2833.2)</f>
        <v>2833.2</v>
      </c>
      <c r="I128" s="16">
        <f>IFERROR(__xludf.DUMMYFUNCTION("""COMPUTED_VALUE"""),45925.6458333333)</f>
        <v>45925.6458333333</v>
      </c>
      <c r="J128" s="17">
        <f>IFERROR(__xludf.DUMMYFUNCTION("""COMPUTED_VALUE"""),2771.2)</f>
        <v>2771.2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IFERROR(__xludf.DUMMYFUNCTION("""COMPUTED_VALUE"""),2746.8)</f>
        <v>2746.8</v>
      </c>
      <c r="C129" s="47">
        <f>IFERROR(__xludf.DUMMYFUNCTION("""COMPUTED_VALUE"""),45926.6458333333)</f>
        <v>45926.6458333333</v>
      </c>
      <c r="D129" s="48">
        <f>IFERROR(__xludf.DUMMYFUNCTION("""COMPUTED_VALUE"""),2775)</f>
        <v>2775</v>
      </c>
      <c r="E129" s="47">
        <f>IFERROR(__xludf.DUMMYFUNCTION("""COMPUTED_VALUE"""),45926.6458333333)</f>
        <v>45926.6458333333</v>
      </c>
      <c r="F129" s="48">
        <f>IFERROR(__xludf.DUMMYFUNCTION("""COMPUTED_VALUE"""),523045)</f>
        <v>523045</v>
      </c>
      <c r="G129" s="47">
        <f>IFERROR(__xludf.DUMMYFUNCTION("""COMPUTED_VALUE"""),45926.6458333333)</f>
        <v>45926.6458333333</v>
      </c>
      <c r="H129" s="48">
        <f>IFERROR(__xludf.DUMMYFUNCTION("""COMPUTED_VALUE"""),2810)</f>
        <v>2810</v>
      </c>
      <c r="I129" s="47">
        <f>IFERROR(__xludf.DUMMYFUNCTION("""COMPUTED_VALUE"""),45926.6458333333)</f>
        <v>45926.6458333333</v>
      </c>
      <c r="J129" s="48">
        <f>IFERROR(__xludf.DUMMYFUNCTION("""COMPUTED_VALUE"""),2736.2)</f>
        <v>2736.2</v>
      </c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44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""price"")"),1395.1)</f>
        <v>1395.1</v>
      </c>
      <c r="I3" s="22" t="s">
        <v>269</v>
      </c>
      <c r="J3" s="23">
        <f>IFERROR(__xludf.DUMMYFUNCTION("GOOGLEFINANCE(L3, ""volume"")"),2568054)</f>
        <v>2568054</v>
      </c>
      <c r="K3" s="24" t="s">
        <v>270</v>
      </c>
      <c r="L3" s="25" t="str">
        <f>Mastersheet!B18</f>
        <v>NSE:HCLTECH</v>
      </c>
      <c r="M3" s="26">
        <f>IFERROR(__xludf.DUMMYFUNCTION("""COMPUTED_VALUE"""),45926.6458333333)</f>
        <v>45926.6458333333</v>
      </c>
      <c r="N3" s="27">
        <f>IFERROR(__xludf.DUMMYFUNCTION("""COMPUTED_VALUE"""),1395.3)</f>
        <v>1395.3</v>
      </c>
      <c r="O3" s="26">
        <f>IFERROR(__xludf.DUMMYFUNCTION("""COMPUTED_VALUE"""),45926.6458333333)</f>
        <v>45926.6458333333</v>
      </c>
      <c r="P3" s="27">
        <f>IFERROR(__xludf.DUMMYFUNCTION("""COMPUTED_VALUE"""),1420)</f>
        <v>1420</v>
      </c>
      <c r="Q3" s="16">
        <f>IFERROR(__xludf.DUMMYFUNCTION("""COMPUTED_VALUE"""),45926.6458333333)</f>
        <v>45926.6458333333</v>
      </c>
      <c r="R3" s="17">
        <f>IFERROR(__xludf.DUMMYFUNCTION("""COMPUTED_VALUE"""),1426.5)</f>
        <v>1426.5</v>
      </c>
      <c r="S3" s="16">
        <f>IFERROR(__xludf.DUMMYFUNCTION("""COMPUTED_VALUE"""),45926.6458333333)</f>
        <v>45926.6458333333</v>
      </c>
      <c r="T3" s="17">
        <f>IFERROR(__xludf.DUMMYFUNCTION("""COMPUTED_VALUE"""),1392)</f>
        <v>1392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IFERROR(__xludf.DUMMYFUNCTION("""COMPUTED_VALUE"""),1630.15)</f>
        <v>1630.15</v>
      </c>
      <c r="C5" s="14">
        <f>IFERROR(__xludf.DUMMYFUNCTION("""COMPUTED_VALUE"""),45743.6458333333)</f>
        <v>45743.6458333333</v>
      </c>
      <c r="D5" s="15">
        <f>IFERROR(__xludf.DUMMYFUNCTION("""COMPUTED_VALUE"""),1625.65)</f>
        <v>1625.65</v>
      </c>
      <c r="E5" s="14">
        <f>IFERROR(__xludf.DUMMYFUNCTION("""COMPUTED_VALUE"""),45743.6458333333)</f>
        <v>45743.6458333333</v>
      </c>
      <c r="F5" s="15">
        <f>IFERROR(__xludf.DUMMYFUNCTION("""COMPUTED_VALUE"""),3383080)</f>
        <v>3383080</v>
      </c>
      <c r="G5" s="14">
        <f>IFERROR(__xludf.DUMMYFUNCTION("""COMPUTED_VALUE"""),45743.6458333333)</f>
        <v>45743.6458333333</v>
      </c>
      <c r="H5" s="15">
        <f>IFERROR(__xludf.DUMMYFUNCTION("""COMPUTED_VALUE"""),1645)</f>
        <v>1645</v>
      </c>
      <c r="I5" s="30">
        <f>IFERROR(__xludf.DUMMYFUNCTION("""COMPUTED_VALUE"""),45743.6458333333)</f>
        <v>45743.6458333333</v>
      </c>
      <c r="J5" s="3">
        <f>IFERROR(__xludf.DUMMYFUNCTION("""COMPUTED_VALUE"""),1613.55)</f>
        <v>1613.55</v>
      </c>
      <c r="K5" s="5"/>
      <c r="L5" s="5"/>
      <c r="M5" s="3">
        <f t="array" ref="M5">INDEX(K11:K124,MATCH(SMALL(ABS(K11:K124-H3),1),ABS(K11:K124-H3),0))</f>
        <v>1493.8</v>
      </c>
      <c r="N5" s="3">
        <f t="array" ref="N5">INDEX(K11:K124,MATCH(SMALL(ABS(K11:K124-H3),2),ABS(K11:K124-H3),0))</f>
        <v>1501.1</v>
      </c>
      <c r="O5" s="3">
        <f t="array" ref="O5">INDEX(L11:L124,MATCH(SMALL(ABS(L11:L124-H3),1),ABS(L11:L124-H3),0))</f>
        <v>1403</v>
      </c>
      <c r="P5" s="3">
        <f t="array" ref="P5">INDEX(L11:L124,MATCH(SMALL(ABS(L11:L124-H3),2),ABS(L11:L124-H3),0))</f>
        <v>1374.1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0</v>
      </c>
      <c r="T5" s="17">
        <f ca="1">IF(AND(H3&gt;=Mastersheet!I3*S5,H3&lt;=Mastersheet!J3*S5),1,0)</f>
        <v>0</v>
      </c>
      <c r="U5" s="36">
        <f>(N3+P3)/2</f>
        <v>1407.65</v>
      </c>
      <c r="V5" s="17">
        <f>(N3+P3+R3+T3)/4</f>
        <v>1408.45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IFERROR(__xludf.DUMMYFUNCTION("""COMPUTED_VALUE"""),1592.5)</f>
        <v>1592.5</v>
      </c>
      <c r="C6" s="16">
        <f>IFERROR(__xludf.DUMMYFUNCTION("""COMPUTED_VALUE"""),45744.6458333333)</f>
        <v>45744.6458333333</v>
      </c>
      <c r="D6" s="17">
        <f>IFERROR(__xludf.DUMMYFUNCTION("""COMPUTED_VALUE"""),1616.1)</f>
        <v>1616.1</v>
      </c>
      <c r="E6" s="16">
        <f>IFERROR(__xludf.DUMMYFUNCTION("""COMPUTED_VALUE"""),45744.6458333333)</f>
        <v>45744.6458333333</v>
      </c>
      <c r="F6" s="17">
        <f>IFERROR(__xludf.DUMMYFUNCTION("""COMPUTED_VALUE"""),2211077)</f>
        <v>2211077</v>
      </c>
      <c r="G6" s="16">
        <f>IFERROR(__xludf.DUMMYFUNCTION("""COMPUTED_VALUE"""),45744.6458333333)</f>
        <v>45744.6458333333</v>
      </c>
      <c r="H6" s="17">
        <f>IFERROR(__xludf.DUMMYFUNCTION("""COMPUTED_VALUE"""),1625.55)</f>
        <v>1625.55</v>
      </c>
      <c r="I6" s="16">
        <f>IFERROR(__xludf.DUMMYFUNCTION("""COMPUTED_VALUE"""),45744.6458333333)</f>
        <v>45744.6458333333</v>
      </c>
      <c r="J6" s="17">
        <f>IFERROR(__xludf.DUMMYFUNCTION("""COMPUTED_VALUE"""),1581.6)</f>
        <v>1581.6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IFERROR(__xludf.DUMMYFUNCTION("""COMPUTED_VALUE"""),1530.35)</f>
        <v>1530.35</v>
      </c>
      <c r="C7" s="16">
        <f>IFERROR(__xludf.DUMMYFUNCTION("""COMPUTED_VALUE"""),45748.6458333333)</f>
        <v>45748.6458333333</v>
      </c>
      <c r="D7" s="17">
        <f>IFERROR(__xludf.DUMMYFUNCTION("""COMPUTED_VALUE"""),1577)</f>
        <v>1577</v>
      </c>
      <c r="E7" s="16">
        <f>IFERROR(__xludf.DUMMYFUNCTION("""COMPUTED_VALUE"""),45748.6458333333)</f>
        <v>45748.6458333333</v>
      </c>
      <c r="F7" s="17">
        <f>IFERROR(__xludf.DUMMYFUNCTION("""COMPUTED_VALUE"""),4126827)</f>
        <v>4126827</v>
      </c>
      <c r="G7" s="16">
        <f>IFERROR(__xludf.DUMMYFUNCTION("""COMPUTED_VALUE"""),45748.6458333333)</f>
        <v>45748.6458333333</v>
      </c>
      <c r="H7" s="17">
        <f>IFERROR(__xludf.DUMMYFUNCTION("""COMPUTED_VALUE"""),1585)</f>
        <v>1585</v>
      </c>
      <c r="I7" s="16">
        <f>IFERROR(__xludf.DUMMYFUNCTION("""COMPUTED_VALUE"""),45748.6458333333)</f>
        <v>45748.6458333333</v>
      </c>
      <c r="J7" s="17">
        <f>IFERROR(__xludf.DUMMYFUNCTION("""COMPUTED_VALUE"""),1526.1)</f>
        <v>1526.1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IFERROR(__xludf.DUMMYFUNCTION("""COMPUTED_VALUE"""),1527.55)</f>
        <v>1527.55</v>
      </c>
      <c r="C8" s="16">
        <f>IFERROR(__xludf.DUMMYFUNCTION("""COMPUTED_VALUE"""),45749.6458333333)</f>
        <v>45749.6458333333</v>
      </c>
      <c r="D8" s="17">
        <f>IFERROR(__xludf.DUMMYFUNCTION("""COMPUTED_VALUE"""),1515)</f>
        <v>1515</v>
      </c>
      <c r="E8" s="16">
        <f>IFERROR(__xludf.DUMMYFUNCTION("""COMPUTED_VALUE"""),45749.6458333333)</f>
        <v>45749.6458333333</v>
      </c>
      <c r="F8" s="17">
        <f>IFERROR(__xludf.DUMMYFUNCTION("""COMPUTED_VALUE"""),3167863)</f>
        <v>3167863</v>
      </c>
      <c r="G8" s="16">
        <f>IFERROR(__xludf.DUMMYFUNCTION("""COMPUTED_VALUE"""),45749.6458333333)</f>
        <v>45749.6458333333</v>
      </c>
      <c r="H8" s="17">
        <f>IFERROR(__xludf.DUMMYFUNCTION("""COMPUTED_VALUE"""),1538.55)</f>
        <v>1538.55</v>
      </c>
      <c r="I8" s="16">
        <f>IFERROR(__xludf.DUMMYFUNCTION("""COMPUTED_VALUE"""),45749.6458333333)</f>
        <v>45749.6458333333</v>
      </c>
      <c r="J8" s="17">
        <f>IFERROR(__xludf.DUMMYFUNCTION("""COMPUTED_VALUE"""),1506.4)</f>
        <v>1506.4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IFERROR(__xludf.DUMMYFUNCTION("""COMPUTED_VALUE"""),1470.1)</f>
        <v>1470.1</v>
      </c>
      <c r="C9" s="16">
        <f>IFERROR(__xludf.DUMMYFUNCTION("""COMPUTED_VALUE"""),45750.6458333333)</f>
        <v>45750.6458333333</v>
      </c>
      <c r="D9" s="17">
        <f>IFERROR(__xludf.DUMMYFUNCTION("""COMPUTED_VALUE"""),1500)</f>
        <v>1500</v>
      </c>
      <c r="E9" s="16">
        <f>IFERROR(__xludf.DUMMYFUNCTION("""COMPUTED_VALUE"""),45750.6458333333)</f>
        <v>45750.6458333333</v>
      </c>
      <c r="F9" s="17">
        <f>IFERROR(__xludf.DUMMYFUNCTION("""COMPUTED_VALUE"""),3966161)</f>
        <v>3966161</v>
      </c>
      <c r="G9" s="16">
        <f>IFERROR(__xludf.DUMMYFUNCTION("""COMPUTED_VALUE"""),45750.6458333333)</f>
        <v>45750.6458333333</v>
      </c>
      <c r="H9" s="17">
        <f>IFERROR(__xludf.DUMMYFUNCTION("""COMPUTED_VALUE"""),1500)</f>
        <v>1500</v>
      </c>
      <c r="I9" s="16">
        <f>IFERROR(__xludf.DUMMYFUNCTION("""COMPUTED_VALUE"""),45750.6458333333)</f>
        <v>45750.6458333333</v>
      </c>
      <c r="J9" s="17">
        <f>IFERROR(__xludf.DUMMYFUNCTION("""COMPUTED_VALUE"""),1465)</f>
        <v>1465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IFERROR(__xludf.DUMMYFUNCTION("""COMPUTED_VALUE"""),1422.1)</f>
        <v>1422.1</v>
      </c>
      <c r="C10" s="16">
        <f>IFERROR(__xludf.DUMMYFUNCTION("""COMPUTED_VALUE"""),45751.6458333333)</f>
        <v>45751.6458333333</v>
      </c>
      <c r="D10" s="17">
        <f>IFERROR(__xludf.DUMMYFUNCTION("""COMPUTED_VALUE"""),1449)</f>
        <v>1449</v>
      </c>
      <c r="E10" s="16">
        <f>IFERROR(__xludf.DUMMYFUNCTION("""COMPUTED_VALUE"""),45751.6458333333)</f>
        <v>45751.6458333333</v>
      </c>
      <c r="F10" s="17">
        <f>IFERROR(__xludf.DUMMYFUNCTION("""COMPUTED_VALUE"""),4421312)</f>
        <v>4421312</v>
      </c>
      <c r="G10" s="16">
        <f>IFERROR(__xludf.DUMMYFUNCTION("""COMPUTED_VALUE"""),45751.6458333333)</f>
        <v>45751.6458333333</v>
      </c>
      <c r="H10" s="17">
        <f>IFERROR(__xludf.DUMMYFUNCTION("""COMPUTED_VALUE"""),1456.2)</f>
        <v>1456.2</v>
      </c>
      <c r="I10" s="16">
        <f>IFERROR(__xludf.DUMMYFUNCTION("""COMPUTED_VALUE"""),45751.6458333333)</f>
        <v>45751.6458333333</v>
      </c>
      <c r="J10" s="17">
        <f>IFERROR(__xludf.DUMMYFUNCTION("""COMPUTED_VALUE"""),1419.1)</f>
        <v>1419.1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IFERROR(__xludf.DUMMYFUNCTION("""COMPUTED_VALUE"""),1374.1)</f>
        <v>1374.1</v>
      </c>
      <c r="C11" s="16">
        <f>IFERROR(__xludf.DUMMYFUNCTION("""COMPUTED_VALUE"""),45754.6458333333)</f>
        <v>45754.6458333333</v>
      </c>
      <c r="D11" s="17">
        <f>IFERROR(__xludf.DUMMYFUNCTION("""COMPUTED_VALUE"""),1345)</f>
        <v>1345</v>
      </c>
      <c r="E11" s="16">
        <f>IFERROR(__xludf.DUMMYFUNCTION("""COMPUTED_VALUE"""),45754.6458333333)</f>
        <v>45754.6458333333</v>
      </c>
      <c r="F11" s="17">
        <f>IFERROR(__xludf.DUMMYFUNCTION("""COMPUTED_VALUE"""),6484139)</f>
        <v>6484139</v>
      </c>
      <c r="G11" s="16">
        <f>IFERROR(__xludf.DUMMYFUNCTION("""COMPUTED_VALUE"""),45754.6458333333)</f>
        <v>45754.6458333333</v>
      </c>
      <c r="H11" s="17">
        <f>IFERROR(__xludf.DUMMYFUNCTION("""COMPUTED_VALUE"""),1383.75)</f>
        <v>1383.75</v>
      </c>
      <c r="I11" s="16">
        <f>IFERROR(__xludf.DUMMYFUNCTION("""COMPUTED_VALUE"""),45754.6458333333)</f>
        <v>45754.6458333333</v>
      </c>
      <c r="J11" s="17">
        <f>IFERROR(__xludf.DUMMYFUNCTION("""COMPUTED_VALUE"""),1302.75)</f>
        <v>1302.75</v>
      </c>
      <c r="K11" s="3">
        <f t="shared" ref="K11:K125" si="2">IF(B11=MAX(B5:B17),B11,0)</f>
        <v>0</v>
      </c>
      <c r="L11" s="3">
        <f t="shared" ref="L11:L125" si="3">IF(B11=MIN(B5:B17),B11,0)</f>
        <v>1374.1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IFERROR(__xludf.DUMMYFUNCTION("""COMPUTED_VALUE"""),1403.35)</f>
        <v>1403.35</v>
      </c>
      <c r="C12" s="16">
        <f>IFERROR(__xludf.DUMMYFUNCTION("""COMPUTED_VALUE"""),45755.6458333333)</f>
        <v>45755.6458333333</v>
      </c>
      <c r="D12" s="17">
        <f>IFERROR(__xludf.DUMMYFUNCTION("""COMPUTED_VALUE"""),1380)</f>
        <v>1380</v>
      </c>
      <c r="E12" s="16">
        <f>IFERROR(__xludf.DUMMYFUNCTION("""COMPUTED_VALUE"""),45755.6458333333)</f>
        <v>45755.6458333333</v>
      </c>
      <c r="F12" s="17">
        <f>IFERROR(__xludf.DUMMYFUNCTION("""COMPUTED_VALUE"""),3938359)</f>
        <v>3938359</v>
      </c>
      <c r="G12" s="16">
        <f>IFERROR(__xludf.DUMMYFUNCTION("""COMPUTED_VALUE"""),45755.6458333333)</f>
        <v>45755.6458333333</v>
      </c>
      <c r="H12" s="17">
        <f>IFERROR(__xludf.DUMMYFUNCTION("""COMPUTED_VALUE"""),1424.25)</f>
        <v>1424.25</v>
      </c>
      <c r="I12" s="16">
        <f>IFERROR(__xludf.DUMMYFUNCTION("""COMPUTED_VALUE"""),45755.6458333333)</f>
        <v>45755.6458333333</v>
      </c>
      <c r="J12" s="17">
        <f>IFERROR(__xludf.DUMMYFUNCTION("""COMPUTED_VALUE"""),1372)</f>
        <v>1372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IFERROR(__xludf.DUMMYFUNCTION("""COMPUTED_VALUE"""),1380)</f>
        <v>1380</v>
      </c>
      <c r="C13" s="16">
        <f>IFERROR(__xludf.DUMMYFUNCTION("""COMPUTED_VALUE"""),45756.6458333333)</f>
        <v>45756.6458333333</v>
      </c>
      <c r="D13" s="17">
        <f>IFERROR(__xludf.DUMMYFUNCTION("""COMPUTED_VALUE"""),1380.65)</f>
        <v>1380.65</v>
      </c>
      <c r="E13" s="16">
        <f>IFERROR(__xludf.DUMMYFUNCTION("""COMPUTED_VALUE"""),45756.6458333333)</f>
        <v>45756.6458333333</v>
      </c>
      <c r="F13" s="17">
        <f>IFERROR(__xludf.DUMMYFUNCTION("""COMPUTED_VALUE"""),3306801)</f>
        <v>3306801</v>
      </c>
      <c r="G13" s="16">
        <f>IFERROR(__xludf.DUMMYFUNCTION("""COMPUTED_VALUE"""),45756.6458333333)</f>
        <v>45756.6458333333</v>
      </c>
      <c r="H13" s="17">
        <f>IFERROR(__xludf.DUMMYFUNCTION("""COMPUTED_VALUE"""),1388.7)</f>
        <v>1388.7</v>
      </c>
      <c r="I13" s="16">
        <f>IFERROR(__xludf.DUMMYFUNCTION("""COMPUTED_VALUE"""),45756.6458333333)</f>
        <v>45756.6458333333</v>
      </c>
      <c r="J13" s="17">
        <f>IFERROR(__xludf.DUMMYFUNCTION("""COMPUTED_VALUE"""),1357.05)</f>
        <v>1357.05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IFERROR(__xludf.DUMMYFUNCTION("""COMPUTED_VALUE"""),1390.55)</f>
        <v>1390.55</v>
      </c>
      <c r="C14" s="16">
        <f>IFERROR(__xludf.DUMMYFUNCTION("""COMPUTED_VALUE"""),45758.6458333333)</f>
        <v>45758.6458333333</v>
      </c>
      <c r="D14" s="17">
        <f>IFERROR(__xludf.DUMMYFUNCTION("""COMPUTED_VALUE"""),1360)</f>
        <v>1360</v>
      </c>
      <c r="E14" s="16">
        <f>IFERROR(__xludf.DUMMYFUNCTION("""COMPUTED_VALUE"""),45758.6458333333)</f>
        <v>45758.6458333333</v>
      </c>
      <c r="F14" s="17">
        <f>IFERROR(__xludf.DUMMYFUNCTION("""COMPUTED_VALUE"""),4859622)</f>
        <v>4859622</v>
      </c>
      <c r="G14" s="16">
        <f>IFERROR(__xludf.DUMMYFUNCTION("""COMPUTED_VALUE"""),45758.6458333333)</f>
        <v>45758.6458333333</v>
      </c>
      <c r="H14" s="17">
        <f>IFERROR(__xludf.DUMMYFUNCTION("""COMPUTED_VALUE"""),1425)</f>
        <v>1425</v>
      </c>
      <c r="I14" s="16">
        <f>IFERROR(__xludf.DUMMYFUNCTION("""COMPUTED_VALUE"""),45758.6458333333)</f>
        <v>45758.6458333333</v>
      </c>
      <c r="J14" s="17">
        <f>IFERROR(__xludf.DUMMYFUNCTION("""COMPUTED_VALUE"""),1360)</f>
        <v>1360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IFERROR(__xludf.DUMMYFUNCTION("""COMPUTED_VALUE"""),1426.5)</f>
        <v>1426.5</v>
      </c>
      <c r="C15" s="16">
        <f>IFERROR(__xludf.DUMMYFUNCTION("""COMPUTED_VALUE"""),45762.6458333333)</f>
        <v>45762.6458333333</v>
      </c>
      <c r="D15" s="17">
        <f>IFERROR(__xludf.DUMMYFUNCTION("""COMPUTED_VALUE"""),1420)</f>
        <v>1420</v>
      </c>
      <c r="E15" s="16">
        <f>IFERROR(__xludf.DUMMYFUNCTION("""COMPUTED_VALUE"""),45762.6458333333)</f>
        <v>45762.6458333333</v>
      </c>
      <c r="F15" s="17">
        <f>IFERROR(__xludf.DUMMYFUNCTION("""COMPUTED_VALUE"""),3265147)</f>
        <v>3265147</v>
      </c>
      <c r="G15" s="16">
        <f>IFERROR(__xludf.DUMMYFUNCTION("""COMPUTED_VALUE"""),45762.6458333333)</f>
        <v>45762.6458333333</v>
      </c>
      <c r="H15" s="17">
        <f>IFERROR(__xludf.DUMMYFUNCTION("""COMPUTED_VALUE"""),1428.8)</f>
        <v>1428.8</v>
      </c>
      <c r="I15" s="16">
        <f>IFERROR(__xludf.DUMMYFUNCTION("""COMPUTED_VALUE"""),45762.6458333333)</f>
        <v>45762.6458333333</v>
      </c>
      <c r="J15" s="17">
        <f>IFERROR(__xludf.DUMMYFUNCTION("""COMPUTED_VALUE"""),1406)</f>
        <v>1406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IFERROR(__xludf.DUMMYFUNCTION("""COMPUTED_VALUE"""),1431.7)</f>
        <v>1431.7</v>
      </c>
      <c r="C16" s="16">
        <f>IFERROR(__xludf.DUMMYFUNCTION("""COMPUTED_VALUE"""),45763.6458333333)</f>
        <v>45763.6458333333</v>
      </c>
      <c r="D16" s="17">
        <f>IFERROR(__xludf.DUMMYFUNCTION("""COMPUTED_VALUE"""),1415)</f>
        <v>1415</v>
      </c>
      <c r="E16" s="16">
        <f>IFERROR(__xludf.DUMMYFUNCTION("""COMPUTED_VALUE"""),45763.6458333333)</f>
        <v>45763.6458333333</v>
      </c>
      <c r="F16" s="17">
        <f>IFERROR(__xludf.DUMMYFUNCTION("""COMPUTED_VALUE"""),2553111)</f>
        <v>2553111</v>
      </c>
      <c r="G16" s="16">
        <f>IFERROR(__xludf.DUMMYFUNCTION("""COMPUTED_VALUE"""),45763.6458333333)</f>
        <v>45763.6458333333</v>
      </c>
      <c r="H16" s="17">
        <f>IFERROR(__xludf.DUMMYFUNCTION("""COMPUTED_VALUE"""),1436.1)</f>
        <v>1436.1</v>
      </c>
      <c r="I16" s="16">
        <f>IFERROR(__xludf.DUMMYFUNCTION("""COMPUTED_VALUE"""),45763.6458333333)</f>
        <v>45763.6458333333</v>
      </c>
      <c r="J16" s="17">
        <f>IFERROR(__xludf.DUMMYFUNCTION("""COMPUTED_VALUE"""),1405.5)</f>
        <v>1405.5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IFERROR(__xludf.DUMMYFUNCTION("""COMPUTED_VALUE"""),1438)</f>
        <v>1438</v>
      </c>
      <c r="C17" s="16">
        <f>IFERROR(__xludf.DUMMYFUNCTION("""COMPUTED_VALUE"""),45764.6458333333)</f>
        <v>45764.6458333333</v>
      </c>
      <c r="D17" s="17">
        <f>IFERROR(__xludf.DUMMYFUNCTION("""COMPUTED_VALUE"""),1420)</f>
        <v>1420</v>
      </c>
      <c r="E17" s="16">
        <f>IFERROR(__xludf.DUMMYFUNCTION("""COMPUTED_VALUE"""),45764.6458333333)</f>
        <v>45764.6458333333</v>
      </c>
      <c r="F17" s="17">
        <f>IFERROR(__xludf.DUMMYFUNCTION("""COMPUTED_VALUE"""),3549969)</f>
        <v>3549969</v>
      </c>
      <c r="G17" s="16">
        <f>IFERROR(__xludf.DUMMYFUNCTION("""COMPUTED_VALUE"""),45764.6458333333)</f>
        <v>45764.6458333333</v>
      </c>
      <c r="H17" s="17">
        <f>IFERROR(__xludf.DUMMYFUNCTION("""COMPUTED_VALUE"""),1442.1)</f>
        <v>1442.1</v>
      </c>
      <c r="I17" s="16">
        <f>IFERROR(__xludf.DUMMYFUNCTION("""COMPUTED_VALUE"""),45764.6458333333)</f>
        <v>45764.6458333333</v>
      </c>
      <c r="J17" s="17">
        <f>IFERROR(__xludf.DUMMYFUNCTION("""COMPUTED_VALUE"""),1384)</f>
        <v>1384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IFERROR(__xludf.DUMMYFUNCTION("""COMPUTED_VALUE"""),1482)</f>
        <v>1482</v>
      </c>
      <c r="C18" s="16">
        <f>IFERROR(__xludf.DUMMYFUNCTION("""COMPUTED_VALUE"""),45768.6458333333)</f>
        <v>45768.6458333333</v>
      </c>
      <c r="D18" s="17">
        <f>IFERROR(__xludf.DUMMYFUNCTION("""COMPUTED_VALUE"""),1435)</f>
        <v>1435</v>
      </c>
      <c r="E18" s="16">
        <f>IFERROR(__xludf.DUMMYFUNCTION("""COMPUTED_VALUE"""),45768.6458333333)</f>
        <v>45768.6458333333</v>
      </c>
      <c r="F18" s="17">
        <f>IFERROR(__xludf.DUMMYFUNCTION("""COMPUTED_VALUE"""),2840104)</f>
        <v>2840104</v>
      </c>
      <c r="G18" s="16">
        <f>IFERROR(__xludf.DUMMYFUNCTION("""COMPUTED_VALUE"""),45768.6458333333)</f>
        <v>45768.6458333333</v>
      </c>
      <c r="H18" s="17">
        <f>IFERROR(__xludf.DUMMYFUNCTION("""COMPUTED_VALUE"""),1499)</f>
        <v>1499</v>
      </c>
      <c r="I18" s="16">
        <f>IFERROR(__xludf.DUMMYFUNCTION("""COMPUTED_VALUE"""),45768.6458333333)</f>
        <v>45768.6458333333</v>
      </c>
      <c r="J18" s="17">
        <f>IFERROR(__xludf.DUMMYFUNCTION("""COMPUTED_VALUE"""),1430)</f>
        <v>1430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IFERROR(__xludf.DUMMYFUNCTION("""COMPUTED_VALUE"""),1479.9)</f>
        <v>1479.9</v>
      </c>
      <c r="C19" s="16">
        <f>IFERROR(__xludf.DUMMYFUNCTION("""COMPUTED_VALUE"""),45769.6458333333)</f>
        <v>45769.6458333333</v>
      </c>
      <c r="D19" s="17">
        <f>IFERROR(__xludf.DUMMYFUNCTION("""COMPUTED_VALUE"""),1490)</f>
        <v>1490</v>
      </c>
      <c r="E19" s="16">
        <f>IFERROR(__xludf.DUMMYFUNCTION("""COMPUTED_VALUE"""),45769.6458333333)</f>
        <v>45769.6458333333</v>
      </c>
      <c r="F19" s="17">
        <f>IFERROR(__xludf.DUMMYFUNCTION("""COMPUTED_VALUE"""),2608145)</f>
        <v>2608145</v>
      </c>
      <c r="G19" s="16">
        <f>IFERROR(__xludf.DUMMYFUNCTION("""COMPUTED_VALUE"""),45769.6458333333)</f>
        <v>45769.6458333333</v>
      </c>
      <c r="H19" s="17">
        <f>IFERROR(__xludf.DUMMYFUNCTION("""COMPUTED_VALUE"""),1499.9)</f>
        <v>1499.9</v>
      </c>
      <c r="I19" s="16">
        <f>IFERROR(__xludf.DUMMYFUNCTION("""COMPUTED_VALUE"""),45769.6458333333)</f>
        <v>45769.6458333333</v>
      </c>
      <c r="J19" s="17">
        <f>IFERROR(__xludf.DUMMYFUNCTION("""COMPUTED_VALUE"""),1464.5)</f>
        <v>1464.5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IFERROR(__xludf.DUMMYFUNCTION("""COMPUTED_VALUE"""),1594)</f>
        <v>1594</v>
      </c>
      <c r="C20" s="16">
        <f>IFERROR(__xludf.DUMMYFUNCTION("""COMPUTED_VALUE"""),45770.6458333333)</f>
        <v>45770.6458333333</v>
      </c>
      <c r="D20" s="17">
        <f>IFERROR(__xludf.DUMMYFUNCTION("""COMPUTED_VALUE"""),1555)</f>
        <v>1555</v>
      </c>
      <c r="E20" s="16">
        <f>IFERROR(__xludf.DUMMYFUNCTION("""COMPUTED_VALUE"""),45770.6458333333)</f>
        <v>45770.6458333333</v>
      </c>
      <c r="F20" s="17">
        <f>IFERROR(__xludf.DUMMYFUNCTION("""COMPUTED_VALUE"""),13293318)</f>
        <v>13293318</v>
      </c>
      <c r="G20" s="16">
        <f>IFERROR(__xludf.DUMMYFUNCTION("""COMPUTED_VALUE"""),45770.6458333333)</f>
        <v>45770.6458333333</v>
      </c>
      <c r="H20" s="17">
        <f>IFERROR(__xludf.DUMMYFUNCTION("""COMPUTED_VALUE"""),1600)</f>
        <v>1600</v>
      </c>
      <c r="I20" s="16">
        <f>IFERROR(__xludf.DUMMYFUNCTION("""COMPUTED_VALUE"""),45770.6458333333)</f>
        <v>45770.6458333333</v>
      </c>
      <c r="J20" s="17">
        <f>IFERROR(__xludf.DUMMYFUNCTION("""COMPUTED_VALUE"""),1543.7)</f>
        <v>1543.7</v>
      </c>
      <c r="K20" s="3">
        <f t="shared" si="2"/>
        <v>1594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IFERROR(__xludf.DUMMYFUNCTION("""COMPUTED_VALUE"""),1586.7)</f>
        <v>1586.7</v>
      </c>
      <c r="C21" s="16">
        <f>IFERROR(__xludf.DUMMYFUNCTION("""COMPUTED_VALUE"""),45771.6458333333)</f>
        <v>45771.6458333333</v>
      </c>
      <c r="D21" s="17">
        <f>IFERROR(__xludf.DUMMYFUNCTION("""COMPUTED_VALUE"""),1595)</f>
        <v>1595</v>
      </c>
      <c r="E21" s="16">
        <f>IFERROR(__xludf.DUMMYFUNCTION("""COMPUTED_VALUE"""),45771.6458333333)</f>
        <v>45771.6458333333</v>
      </c>
      <c r="F21" s="17">
        <f>IFERROR(__xludf.DUMMYFUNCTION("""COMPUTED_VALUE"""),3193118)</f>
        <v>3193118</v>
      </c>
      <c r="G21" s="16">
        <f>IFERROR(__xludf.DUMMYFUNCTION("""COMPUTED_VALUE"""),45771.6458333333)</f>
        <v>45771.6458333333</v>
      </c>
      <c r="H21" s="17">
        <f>IFERROR(__xludf.DUMMYFUNCTION("""COMPUTED_VALUE"""),1603.3)</f>
        <v>1603.3</v>
      </c>
      <c r="I21" s="16">
        <f>IFERROR(__xludf.DUMMYFUNCTION("""COMPUTED_VALUE"""),45771.6458333333)</f>
        <v>45771.6458333333</v>
      </c>
      <c r="J21" s="17">
        <f>IFERROR(__xludf.DUMMYFUNCTION("""COMPUTED_VALUE"""),1576.1)</f>
        <v>1576.1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IFERROR(__xludf.DUMMYFUNCTION("""COMPUTED_VALUE"""),1578.2)</f>
        <v>1578.2</v>
      </c>
      <c r="C22" s="16">
        <f>IFERROR(__xludf.DUMMYFUNCTION("""COMPUTED_VALUE"""),45772.6458333333)</f>
        <v>45772.6458333333</v>
      </c>
      <c r="D22" s="17">
        <f>IFERROR(__xludf.DUMMYFUNCTION("""COMPUTED_VALUE"""),1590)</f>
        <v>1590</v>
      </c>
      <c r="E22" s="16">
        <f>IFERROR(__xludf.DUMMYFUNCTION("""COMPUTED_VALUE"""),45772.6458333333)</f>
        <v>45772.6458333333</v>
      </c>
      <c r="F22" s="17">
        <f>IFERROR(__xludf.DUMMYFUNCTION("""COMPUTED_VALUE"""),3800415)</f>
        <v>3800415</v>
      </c>
      <c r="G22" s="16">
        <f>IFERROR(__xludf.DUMMYFUNCTION("""COMPUTED_VALUE"""),45772.6458333333)</f>
        <v>45772.6458333333</v>
      </c>
      <c r="H22" s="17">
        <f>IFERROR(__xludf.DUMMYFUNCTION("""COMPUTED_VALUE"""),1618)</f>
        <v>1618</v>
      </c>
      <c r="I22" s="16">
        <f>IFERROR(__xludf.DUMMYFUNCTION("""COMPUTED_VALUE"""),45772.6458333333)</f>
        <v>45772.6458333333</v>
      </c>
      <c r="J22" s="17">
        <f>IFERROR(__xludf.DUMMYFUNCTION("""COMPUTED_VALUE"""),1568.1)</f>
        <v>1568.1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IFERROR(__xludf.DUMMYFUNCTION("""COMPUTED_VALUE"""),1549.3)</f>
        <v>1549.3</v>
      </c>
      <c r="C23" s="16">
        <f>IFERROR(__xludf.DUMMYFUNCTION("""COMPUTED_VALUE"""),45775.6458333333)</f>
        <v>45775.6458333333</v>
      </c>
      <c r="D23" s="17">
        <f>IFERROR(__xludf.DUMMYFUNCTION("""COMPUTED_VALUE"""),1565)</f>
        <v>1565</v>
      </c>
      <c r="E23" s="16">
        <f>IFERROR(__xludf.DUMMYFUNCTION("""COMPUTED_VALUE"""),45775.6458333333)</f>
        <v>45775.6458333333</v>
      </c>
      <c r="F23" s="17">
        <f>IFERROR(__xludf.DUMMYFUNCTION("""COMPUTED_VALUE"""),2618810)</f>
        <v>2618810</v>
      </c>
      <c r="G23" s="16">
        <f>IFERROR(__xludf.DUMMYFUNCTION("""COMPUTED_VALUE"""),45775.6458333333)</f>
        <v>45775.6458333333</v>
      </c>
      <c r="H23" s="17">
        <f>IFERROR(__xludf.DUMMYFUNCTION("""COMPUTED_VALUE"""),1569.4)</f>
        <v>1569.4</v>
      </c>
      <c r="I23" s="16">
        <f>IFERROR(__xludf.DUMMYFUNCTION("""COMPUTED_VALUE"""),45775.6458333333)</f>
        <v>45775.6458333333</v>
      </c>
      <c r="J23" s="17">
        <f>IFERROR(__xludf.DUMMYFUNCTION("""COMPUTED_VALUE"""),1537.1)</f>
        <v>1537.1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IFERROR(__xludf.DUMMYFUNCTION("""COMPUTED_VALUE"""),1569)</f>
        <v>1569</v>
      </c>
      <c r="C24" s="16">
        <f>IFERROR(__xludf.DUMMYFUNCTION("""COMPUTED_VALUE"""),45776.6458333333)</f>
        <v>45776.6458333333</v>
      </c>
      <c r="D24" s="17">
        <f>IFERROR(__xludf.DUMMYFUNCTION("""COMPUTED_VALUE"""),1555)</f>
        <v>1555</v>
      </c>
      <c r="E24" s="16">
        <f>IFERROR(__xludf.DUMMYFUNCTION("""COMPUTED_VALUE"""),45776.6458333333)</f>
        <v>45776.6458333333</v>
      </c>
      <c r="F24" s="17">
        <f>IFERROR(__xludf.DUMMYFUNCTION("""COMPUTED_VALUE"""),2231069)</f>
        <v>2231069</v>
      </c>
      <c r="G24" s="16">
        <f>IFERROR(__xludf.DUMMYFUNCTION("""COMPUTED_VALUE"""),45776.6458333333)</f>
        <v>45776.6458333333</v>
      </c>
      <c r="H24" s="17">
        <f>IFERROR(__xludf.DUMMYFUNCTION("""COMPUTED_VALUE"""),1580.8)</f>
        <v>1580.8</v>
      </c>
      <c r="I24" s="16">
        <f>IFERROR(__xludf.DUMMYFUNCTION("""COMPUTED_VALUE"""),45776.6458333333)</f>
        <v>45776.6458333333</v>
      </c>
      <c r="J24" s="17">
        <f>IFERROR(__xludf.DUMMYFUNCTION("""COMPUTED_VALUE"""),1548.1)</f>
        <v>1548.1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IFERROR(__xludf.DUMMYFUNCTION("""COMPUTED_VALUE"""),1567.5)</f>
        <v>1567.5</v>
      </c>
      <c r="C25" s="16">
        <f>IFERROR(__xludf.DUMMYFUNCTION("""COMPUTED_VALUE"""),45777.6458333333)</f>
        <v>45777.6458333333</v>
      </c>
      <c r="D25" s="17">
        <f>IFERROR(__xludf.DUMMYFUNCTION("""COMPUTED_VALUE"""),1571)</f>
        <v>1571</v>
      </c>
      <c r="E25" s="16">
        <f>IFERROR(__xludf.DUMMYFUNCTION("""COMPUTED_VALUE"""),45777.6458333333)</f>
        <v>45777.6458333333</v>
      </c>
      <c r="F25" s="17">
        <f>IFERROR(__xludf.DUMMYFUNCTION("""COMPUTED_VALUE"""),3682256)</f>
        <v>3682256</v>
      </c>
      <c r="G25" s="16">
        <f>IFERROR(__xludf.DUMMYFUNCTION("""COMPUTED_VALUE"""),45777.6458333333)</f>
        <v>45777.6458333333</v>
      </c>
      <c r="H25" s="17">
        <f>IFERROR(__xludf.DUMMYFUNCTION("""COMPUTED_VALUE"""),1587.9)</f>
        <v>1587.9</v>
      </c>
      <c r="I25" s="16">
        <f>IFERROR(__xludf.DUMMYFUNCTION("""COMPUTED_VALUE"""),45777.6458333333)</f>
        <v>45777.6458333333</v>
      </c>
      <c r="J25" s="17">
        <f>IFERROR(__xludf.DUMMYFUNCTION("""COMPUTED_VALUE"""),1554)</f>
        <v>1554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IFERROR(__xludf.DUMMYFUNCTION("""COMPUTED_VALUE"""),1576.5)</f>
        <v>1576.5</v>
      </c>
      <c r="C26" s="16">
        <f>IFERROR(__xludf.DUMMYFUNCTION("""COMPUTED_VALUE"""),45779.6458333333)</f>
        <v>45779.6458333333</v>
      </c>
      <c r="D26" s="17">
        <f>IFERROR(__xludf.DUMMYFUNCTION("""COMPUTED_VALUE"""),1567)</f>
        <v>1567</v>
      </c>
      <c r="E26" s="16">
        <f>IFERROR(__xludf.DUMMYFUNCTION("""COMPUTED_VALUE"""),45779.6458333333)</f>
        <v>45779.6458333333</v>
      </c>
      <c r="F26" s="17">
        <f>IFERROR(__xludf.DUMMYFUNCTION("""COMPUTED_VALUE"""),1370848)</f>
        <v>1370848</v>
      </c>
      <c r="G26" s="16">
        <f>IFERROR(__xludf.DUMMYFUNCTION("""COMPUTED_VALUE"""),45779.6458333333)</f>
        <v>45779.6458333333</v>
      </c>
      <c r="H26" s="17">
        <f>IFERROR(__xludf.DUMMYFUNCTION("""COMPUTED_VALUE"""),1581)</f>
        <v>1581</v>
      </c>
      <c r="I26" s="16">
        <f>IFERROR(__xludf.DUMMYFUNCTION("""COMPUTED_VALUE"""),45779.6458333333)</f>
        <v>45779.6458333333</v>
      </c>
      <c r="J26" s="17">
        <f>IFERROR(__xludf.DUMMYFUNCTION("""COMPUTED_VALUE"""),1557.1)</f>
        <v>1557.1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IFERROR(__xludf.DUMMYFUNCTION("""COMPUTED_VALUE"""),1568.6)</f>
        <v>1568.6</v>
      </c>
      <c r="C27" s="16">
        <f>IFERROR(__xludf.DUMMYFUNCTION("""COMPUTED_VALUE"""),45782.6458333333)</f>
        <v>45782.6458333333</v>
      </c>
      <c r="D27" s="17">
        <f>IFERROR(__xludf.DUMMYFUNCTION("""COMPUTED_VALUE"""),1580)</f>
        <v>1580</v>
      </c>
      <c r="E27" s="16">
        <f>IFERROR(__xludf.DUMMYFUNCTION("""COMPUTED_VALUE"""),45782.6458333333)</f>
        <v>45782.6458333333</v>
      </c>
      <c r="F27" s="17">
        <f>IFERROR(__xludf.DUMMYFUNCTION("""COMPUTED_VALUE"""),1012225)</f>
        <v>1012225</v>
      </c>
      <c r="G27" s="16">
        <f>IFERROR(__xludf.DUMMYFUNCTION("""COMPUTED_VALUE"""),45782.6458333333)</f>
        <v>45782.6458333333</v>
      </c>
      <c r="H27" s="17">
        <f>IFERROR(__xludf.DUMMYFUNCTION("""COMPUTED_VALUE"""),1597.7)</f>
        <v>1597.7</v>
      </c>
      <c r="I27" s="16">
        <f>IFERROR(__xludf.DUMMYFUNCTION("""COMPUTED_VALUE"""),45782.6458333333)</f>
        <v>45782.6458333333</v>
      </c>
      <c r="J27" s="17">
        <f>IFERROR(__xludf.DUMMYFUNCTION("""COMPUTED_VALUE"""),1563.3)</f>
        <v>1563.3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IFERROR(__xludf.DUMMYFUNCTION("""COMPUTED_VALUE"""),1579.1)</f>
        <v>1579.1</v>
      </c>
      <c r="C28" s="16">
        <f>IFERROR(__xludf.DUMMYFUNCTION("""COMPUTED_VALUE"""),45783.6458333333)</f>
        <v>45783.6458333333</v>
      </c>
      <c r="D28" s="17">
        <f>IFERROR(__xludf.DUMMYFUNCTION("""COMPUTED_VALUE"""),1576.8)</f>
        <v>1576.8</v>
      </c>
      <c r="E28" s="16">
        <f>IFERROR(__xludf.DUMMYFUNCTION("""COMPUTED_VALUE"""),45783.6458333333)</f>
        <v>45783.6458333333</v>
      </c>
      <c r="F28" s="17">
        <f>IFERROR(__xludf.DUMMYFUNCTION("""COMPUTED_VALUE"""),2055057)</f>
        <v>2055057</v>
      </c>
      <c r="G28" s="16">
        <f>IFERROR(__xludf.DUMMYFUNCTION("""COMPUTED_VALUE"""),45783.6458333333)</f>
        <v>45783.6458333333</v>
      </c>
      <c r="H28" s="17">
        <f>IFERROR(__xludf.DUMMYFUNCTION("""COMPUTED_VALUE"""),1583.8)</f>
        <v>1583.8</v>
      </c>
      <c r="I28" s="16">
        <f>IFERROR(__xludf.DUMMYFUNCTION("""COMPUTED_VALUE"""),45783.6458333333)</f>
        <v>45783.6458333333</v>
      </c>
      <c r="J28" s="17">
        <f>IFERROR(__xludf.DUMMYFUNCTION("""COMPUTED_VALUE"""),1565.1)</f>
        <v>1565.1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IFERROR(__xludf.DUMMYFUNCTION("""COMPUTED_VALUE"""),1563.3)</f>
        <v>1563.3</v>
      </c>
      <c r="C29" s="16">
        <f>IFERROR(__xludf.DUMMYFUNCTION("""COMPUTED_VALUE"""),45784.6458333333)</f>
        <v>45784.6458333333</v>
      </c>
      <c r="D29" s="17">
        <f>IFERROR(__xludf.DUMMYFUNCTION("""COMPUTED_VALUE"""),1552)</f>
        <v>1552</v>
      </c>
      <c r="E29" s="16">
        <f>IFERROR(__xludf.DUMMYFUNCTION("""COMPUTED_VALUE"""),45784.6458333333)</f>
        <v>45784.6458333333</v>
      </c>
      <c r="F29" s="17">
        <f>IFERROR(__xludf.DUMMYFUNCTION("""COMPUTED_VALUE"""),5469936)</f>
        <v>5469936</v>
      </c>
      <c r="G29" s="16">
        <f>IFERROR(__xludf.DUMMYFUNCTION("""COMPUTED_VALUE"""),45784.6458333333)</f>
        <v>45784.6458333333</v>
      </c>
      <c r="H29" s="17">
        <f>IFERROR(__xludf.DUMMYFUNCTION("""COMPUTED_VALUE"""),1578.4)</f>
        <v>1578.4</v>
      </c>
      <c r="I29" s="16">
        <f>IFERROR(__xludf.DUMMYFUNCTION("""COMPUTED_VALUE"""),45784.6458333333)</f>
        <v>45784.6458333333</v>
      </c>
      <c r="J29" s="17">
        <f>IFERROR(__xludf.DUMMYFUNCTION("""COMPUTED_VALUE"""),1545)</f>
        <v>1545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IFERROR(__xludf.DUMMYFUNCTION("""COMPUTED_VALUE"""),1580.7)</f>
        <v>1580.7</v>
      </c>
      <c r="C30" s="16">
        <f>IFERROR(__xludf.DUMMYFUNCTION("""COMPUTED_VALUE"""),45785.6458333333)</f>
        <v>45785.6458333333</v>
      </c>
      <c r="D30" s="17">
        <f>IFERROR(__xludf.DUMMYFUNCTION("""COMPUTED_VALUE"""),1561.9)</f>
        <v>1561.9</v>
      </c>
      <c r="E30" s="16">
        <f>IFERROR(__xludf.DUMMYFUNCTION("""COMPUTED_VALUE"""),45785.6458333333)</f>
        <v>45785.6458333333</v>
      </c>
      <c r="F30" s="17">
        <f>IFERROR(__xludf.DUMMYFUNCTION("""COMPUTED_VALUE"""),2789018)</f>
        <v>2789018</v>
      </c>
      <c r="G30" s="16">
        <f>IFERROR(__xludf.DUMMYFUNCTION("""COMPUTED_VALUE"""),45785.6458333333)</f>
        <v>45785.6458333333</v>
      </c>
      <c r="H30" s="17">
        <f>IFERROR(__xludf.DUMMYFUNCTION("""COMPUTED_VALUE"""),1598)</f>
        <v>1598</v>
      </c>
      <c r="I30" s="16">
        <f>IFERROR(__xludf.DUMMYFUNCTION("""COMPUTED_VALUE"""),45785.6458333333)</f>
        <v>45785.6458333333</v>
      </c>
      <c r="J30" s="17">
        <f>IFERROR(__xludf.DUMMYFUNCTION("""COMPUTED_VALUE"""),1555.8)</f>
        <v>1555.8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IFERROR(__xludf.DUMMYFUNCTION("""COMPUTED_VALUE"""),1569.4)</f>
        <v>1569.4</v>
      </c>
      <c r="C31" s="16">
        <f>IFERROR(__xludf.DUMMYFUNCTION("""COMPUTED_VALUE"""),45786.6458333333)</f>
        <v>45786.6458333333</v>
      </c>
      <c r="D31" s="17">
        <f>IFERROR(__xludf.DUMMYFUNCTION("""COMPUTED_VALUE"""),1566)</f>
        <v>1566</v>
      </c>
      <c r="E31" s="16">
        <f>IFERROR(__xludf.DUMMYFUNCTION("""COMPUTED_VALUE"""),45786.6458333333)</f>
        <v>45786.6458333333</v>
      </c>
      <c r="F31" s="17">
        <f>IFERROR(__xludf.DUMMYFUNCTION("""COMPUTED_VALUE"""),2035161)</f>
        <v>2035161</v>
      </c>
      <c r="G31" s="16">
        <f>IFERROR(__xludf.DUMMYFUNCTION("""COMPUTED_VALUE"""),45786.6458333333)</f>
        <v>45786.6458333333</v>
      </c>
      <c r="H31" s="17">
        <f>IFERROR(__xludf.DUMMYFUNCTION("""COMPUTED_VALUE"""),1577.7)</f>
        <v>1577.7</v>
      </c>
      <c r="I31" s="16">
        <f>IFERROR(__xludf.DUMMYFUNCTION("""COMPUTED_VALUE"""),45786.6458333333)</f>
        <v>45786.6458333333</v>
      </c>
      <c r="J31" s="17">
        <f>IFERROR(__xludf.DUMMYFUNCTION("""COMPUTED_VALUE"""),1557.3)</f>
        <v>1557.3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IFERROR(__xludf.DUMMYFUNCTION("""COMPUTED_VALUE"""),1670.3)</f>
        <v>1670.3</v>
      </c>
      <c r="C32" s="16">
        <f>IFERROR(__xludf.DUMMYFUNCTION("""COMPUTED_VALUE"""),45789.6458333333)</f>
        <v>45789.6458333333</v>
      </c>
      <c r="D32" s="17">
        <f>IFERROR(__xludf.DUMMYFUNCTION("""COMPUTED_VALUE"""),1598.8)</f>
        <v>1598.8</v>
      </c>
      <c r="E32" s="16">
        <f>IFERROR(__xludf.DUMMYFUNCTION("""COMPUTED_VALUE"""),45789.6458333333)</f>
        <v>45789.6458333333</v>
      </c>
      <c r="F32" s="17">
        <f>IFERROR(__xludf.DUMMYFUNCTION("""COMPUTED_VALUE"""),4028207)</f>
        <v>4028207</v>
      </c>
      <c r="G32" s="16">
        <f>IFERROR(__xludf.DUMMYFUNCTION("""COMPUTED_VALUE"""),45789.6458333333)</f>
        <v>45789.6458333333</v>
      </c>
      <c r="H32" s="17">
        <f>IFERROR(__xludf.DUMMYFUNCTION("""COMPUTED_VALUE"""),1675)</f>
        <v>1675</v>
      </c>
      <c r="I32" s="16">
        <f>IFERROR(__xludf.DUMMYFUNCTION("""COMPUTED_VALUE"""),45789.6458333333)</f>
        <v>45789.6458333333</v>
      </c>
      <c r="J32" s="17">
        <f>IFERROR(__xludf.DUMMYFUNCTION("""COMPUTED_VALUE"""),1594)</f>
        <v>1594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IFERROR(__xludf.DUMMYFUNCTION("""COMPUTED_VALUE"""),1619.6)</f>
        <v>1619.6</v>
      </c>
      <c r="C33" s="16">
        <f>IFERROR(__xludf.DUMMYFUNCTION("""COMPUTED_VALUE"""),45790.6458333333)</f>
        <v>45790.6458333333</v>
      </c>
      <c r="D33" s="17">
        <f>IFERROR(__xludf.DUMMYFUNCTION("""COMPUTED_VALUE"""),1685)</f>
        <v>1685</v>
      </c>
      <c r="E33" s="16">
        <f>IFERROR(__xludf.DUMMYFUNCTION("""COMPUTED_VALUE"""),45790.6458333333)</f>
        <v>45790.6458333333</v>
      </c>
      <c r="F33" s="17">
        <f>IFERROR(__xludf.DUMMYFUNCTION("""COMPUTED_VALUE"""),3118470)</f>
        <v>3118470</v>
      </c>
      <c r="G33" s="16">
        <f>IFERROR(__xludf.DUMMYFUNCTION("""COMPUTED_VALUE"""),45790.6458333333)</f>
        <v>45790.6458333333</v>
      </c>
      <c r="H33" s="17">
        <f>IFERROR(__xludf.DUMMYFUNCTION("""COMPUTED_VALUE"""),1688.1)</f>
        <v>1688.1</v>
      </c>
      <c r="I33" s="16">
        <f>IFERROR(__xludf.DUMMYFUNCTION("""COMPUTED_VALUE"""),45790.6458333333)</f>
        <v>45790.6458333333</v>
      </c>
      <c r="J33" s="17">
        <f>IFERROR(__xludf.DUMMYFUNCTION("""COMPUTED_VALUE"""),1615.2)</f>
        <v>1615.2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IFERROR(__xludf.DUMMYFUNCTION("""COMPUTED_VALUE"""),1637.7)</f>
        <v>1637.7</v>
      </c>
      <c r="C34" s="16">
        <f>IFERROR(__xludf.DUMMYFUNCTION("""COMPUTED_VALUE"""),45791.6458333333)</f>
        <v>45791.6458333333</v>
      </c>
      <c r="D34" s="17">
        <f>IFERROR(__xludf.DUMMYFUNCTION("""COMPUTED_VALUE"""),1630)</f>
        <v>1630</v>
      </c>
      <c r="E34" s="16">
        <f>IFERROR(__xludf.DUMMYFUNCTION("""COMPUTED_VALUE"""),45791.6458333333)</f>
        <v>45791.6458333333</v>
      </c>
      <c r="F34" s="17">
        <f>IFERROR(__xludf.DUMMYFUNCTION("""COMPUTED_VALUE"""),1569126)</f>
        <v>1569126</v>
      </c>
      <c r="G34" s="16">
        <f>IFERROR(__xludf.DUMMYFUNCTION("""COMPUTED_VALUE"""),45791.6458333333)</f>
        <v>45791.6458333333</v>
      </c>
      <c r="H34" s="17">
        <f>IFERROR(__xludf.DUMMYFUNCTION("""COMPUTED_VALUE"""),1642.3)</f>
        <v>1642.3</v>
      </c>
      <c r="I34" s="16">
        <f>IFERROR(__xludf.DUMMYFUNCTION("""COMPUTED_VALUE"""),45791.6458333333)</f>
        <v>45791.6458333333</v>
      </c>
      <c r="J34" s="17">
        <f>IFERROR(__xludf.DUMMYFUNCTION("""COMPUTED_VALUE"""),1617)</f>
        <v>1617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IFERROR(__xludf.DUMMYFUNCTION("""COMPUTED_VALUE"""),1696)</f>
        <v>1696</v>
      </c>
      <c r="C35" s="16">
        <f>IFERROR(__xludf.DUMMYFUNCTION("""COMPUTED_VALUE"""),45792.6458333333)</f>
        <v>45792.6458333333</v>
      </c>
      <c r="D35" s="17">
        <f>IFERROR(__xludf.DUMMYFUNCTION("""COMPUTED_VALUE"""),1650)</f>
        <v>1650</v>
      </c>
      <c r="E35" s="16">
        <f>IFERROR(__xludf.DUMMYFUNCTION("""COMPUTED_VALUE"""),45792.6458333333)</f>
        <v>45792.6458333333</v>
      </c>
      <c r="F35" s="17">
        <f>IFERROR(__xludf.DUMMYFUNCTION("""COMPUTED_VALUE"""),4961582)</f>
        <v>4961582</v>
      </c>
      <c r="G35" s="16">
        <f>IFERROR(__xludf.DUMMYFUNCTION("""COMPUTED_VALUE"""),45792.6458333333)</f>
        <v>45792.6458333333</v>
      </c>
      <c r="H35" s="17">
        <f>IFERROR(__xludf.DUMMYFUNCTION("""COMPUTED_VALUE"""),1702.6)</f>
        <v>1702.6</v>
      </c>
      <c r="I35" s="16">
        <f>IFERROR(__xludf.DUMMYFUNCTION("""COMPUTED_VALUE"""),45792.6458333333)</f>
        <v>45792.6458333333</v>
      </c>
      <c r="J35" s="17">
        <f>IFERROR(__xludf.DUMMYFUNCTION("""COMPUTED_VALUE"""),1625)</f>
        <v>1625</v>
      </c>
      <c r="K35" s="3">
        <f t="shared" si="2"/>
        <v>1696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IFERROR(__xludf.DUMMYFUNCTION("""COMPUTED_VALUE"""),1659.9)</f>
        <v>1659.9</v>
      </c>
      <c r="C36" s="16">
        <f>IFERROR(__xludf.DUMMYFUNCTION("""COMPUTED_VALUE"""),45793.6458333333)</f>
        <v>45793.6458333333</v>
      </c>
      <c r="D36" s="17">
        <f>IFERROR(__xludf.DUMMYFUNCTION("""COMPUTED_VALUE"""),1691.9)</f>
        <v>1691.9</v>
      </c>
      <c r="E36" s="16">
        <f>IFERROR(__xludf.DUMMYFUNCTION("""COMPUTED_VALUE"""),45793.6458333333)</f>
        <v>45793.6458333333</v>
      </c>
      <c r="F36" s="17">
        <f>IFERROR(__xludf.DUMMYFUNCTION("""COMPUTED_VALUE"""),2586263)</f>
        <v>2586263</v>
      </c>
      <c r="G36" s="16">
        <f>IFERROR(__xludf.DUMMYFUNCTION("""COMPUTED_VALUE"""),45793.6458333333)</f>
        <v>45793.6458333333</v>
      </c>
      <c r="H36" s="17">
        <f>IFERROR(__xludf.DUMMYFUNCTION("""COMPUTED_VALUE"""),1693.5)</f>
        <v>1693.5</v>
      </c>
      <c r="I36" s="16">
        <f>IFERROR(__xludf.DUMMYFUNCTION("""COMPUTED_VALUE"""),45793.6458333333)</f>
        <v>45793.6458333333</v>
      </c>
      <c r="J36" s="17">
        <f>IFERROR(__xludf.DUMMYFUNCTION("""COMPUTED_VALUE"""),1658)</f>
        <v>1658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IFERROR(__xludf.DUMMYFUNCTION("""COMPUTED_VALUE"""),1649.6)</f>
        <v>1649.6</v>
      </c>
      <c r="C37" s="16">
        <f>IFERROR(__xludf.DUMMYFUNCTION("""COMPUTED_VALUE"""),45796.6458333333)</f>
        <v>45796.6458333333</v>
      </c>
      <c r="D37" s="17">
        <f>IFERROR(__xludf.DUMMYFUNCTION("""COMPUTED_VALUE"""),1661)</f>
        <v>1661</v>
      </c>
      <c r="E37" s="16">
        <f>IFERROR(__xludf.DUMMYFUNCTION("""COMPUTED_VALUE"""),45796.6458333333)</f>
        <v>45796.6458333333</v>
      </c>
      <c r="F37" s="17">
        <f>IFERROR(__xludf.DUMMYFUNCTION("""COMPUTED_VALUE"""),1642018)</f>
        <v>1642018</v>
      </c>
      <c r="G37" s="16">
        <f>IFERROR(__xludf.DUMMYFUNCTION("""COMPUTED_VALUE"""),45796.6458333333)</f>
        <v>45796.6458333333</v>
      </c>
      <c r="H37" s="17">
        <f>IFERROR(__xludf.DUMMYFUNCTION("""COMPUTED_VALUE"""),1664)</f>
        <v>1664</v>
      </c>
      <c r="I37" s="16">
        <f>IFERROR(__xludf.DUMMYFUNCTION("""COMPUTED_VALUE"""),45796.6458333333)</f>
        <v>45796.6458333333</v>
      </c>
      <c r="J37" s="17">
        <f>IFERROR(__xludf.DUMMYFUNCTION("""COMPUTED_VALUE"""),1638.1)</f>
        <v>1638.1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IFERROR(__xludf.DUMMYFUNCTION("""COMPUTED_VALUE"""),1638.3)</f>
        <v>1638.3</v>
      </c>
      <c r="C38" s="16">
        <f>IFERROR(__xludf.DUMMYFUNCTION("""COMPUTED_VALUE"""),45797.6458333333)</f>
        <v>45797.6458333333</v>
      </c>
      <c r="D38" s="17">
        <f>IFERROR(__xludf.DUMMYFUNCTION("""COMPUTED_VALUE"""),1660.8)</f>
        <v>1660.8</v>
      </c>
      <c r="E38" s="16">
        <f>IFERROR(__xludf.DUMMYFUNCTION("""COMPUTED_VALUE"""),45797.6458333333)</f>
        <v>45797.6458333333</v>
      </c>
      <c r="F38" s="17">
        <f>IFERROR(__xludf.DUMMYFUNCTION("""COMPUTED_VALUE"""),2421580)</f>
        <v>2421580</v>
      </c>
      <c r="G38" s="16">
        <f>IFERROR(__xludf.DUMMYFUNCTION("""COMPUTED_VALUE"""),45797.6458333333)</f>
        <v>45797.6458333333</v>
      </c>
      <c r="H38" s="17">
        <f>IFERROR(__xludf.DUMMYFUNCTION("""COMPUTED_VALUE"""),1666)</f>
        <v>1666</v>
      </c>
      <c r="I38" s="16">
        <f>IFERROR(__xludf.DUMMYFUNCTION("""COMPUTED_VALUE"""),45797.6458333333)</f>
        <v>45797.6458333333</v>
      </c>
      <c r="J38" s="17">
        <f>IFERROR(__xludf.DUMMYFUNCTION("""COMPUTED_VALUE"""),1636.4)</f>
        <v>1636.4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IFERROR(__xludf.DUMMYFUNCTION("""COMPUTED_VALUE"""),1652)</f>
        <v>1652</v>
      </c>
      <c r="C39" s="16">
        <f>IFERROR(__xludf.DUMMYFUNCTION("""COMPUTED_VALUE"""),45798.6458333333)</f>
        <v>45798.6458333333</v>
      </c>
      <c r="D39" s="17">
        <f>IFERROR(__xludf.DUMMYFUNCTION("""COMPUTED_VALUE"""),1645)</f>
        <v>1645</v>
      </c>
      <c r="E39" s="16">
        <f>IFERROR(__xludf.DUMMYFUNCTION("""COMPUTED_VALUE"""),45798.6458333333)</f>
        <v>45798.6458333333</v>
      </c>
      <c r="F39" s="17">
        <f>IFERROR(__xludf.DUMMYFUNCTION("""COMPUTED_VALUE"""),1420835)</f>
        <v>1420835</v>
      </c>
      <c r="G39" s="16">
        <f>IFERROR(__xludf.DUMMYFUNCTION("""COMPUTED_VALUE"""),45798.6458333333)</f>
        <v>45798.6458333333</v>
      </c>
      <c r="H39" s="17">
        <f>IFERROR(__xludf.DUMMYFUNCTION("""COMPUTED_VALUE"""),1657.5)</f>
        <v>1657.5</v>
      </c>
      <c r="I39" s="16">
        <f>IFERROR(__xludf.DUMMYFUNCTION("""COMPUTED_VALUE"""),45798.6458333333)</f>
        <v>45798.6458333333</v>
      </c>
      <c r="J39" s="17">
        <f>IFERROR(__xludf.DUMMYFUNCTION("""COMPUTED_VALUE"""),1628.4)</f>
        <v>1628.4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IFERROR(__xludf.DUMMYFUNCTION("""COMPUTED_VALUE"""),1633)</f>
        <v>1633</v>
      </c>
      <c r="C40" s="16">
        <f>IFERROR(__xludf.DUMMYFUNCTION("""COMPUTED_VALUE"""),45799.6458333333)</f>
        <v>45799.6458333333</v>
      </c>
      <c r="D40" s="17">
        <f>IFERROR(__xludf.DUMMYFUNCTION("""COMPUTED_VALUE"""),1638.4)</f>
        <v>1638.4</v>
      </c>
      <c r="E40" s="16">
        <f>IFERROR(__xludf.DUMMYFUNCTION("""COMPUTED_VALUE"""),45799.6458333333)</f>
        <v>45799.6458333333</v>
      </c>
      <c r="F40" s="17">
        <f>IFERROR(__xludf.DUMMYFUNCTION("""COMPUTED_VALUE"""),2202093)</f>
        <v>2202093</v>
      </c>
      <c r="G40" s="16">
        <f>IFERROR(__xludf.DUMMYFUNCTION("""COMPUTED_VALUE"""),45799.6458333333)</f>
        <v>45799.6458333333</v>
      </c>
      <c r="H40" s="17">
        <f>IFERROR(__xludf.DUMMYFUNCTION("""COMPUTED_VALUE"""),1640.7)</f>
        <v>1640.7</v>
      </c>
      <c r="I40" s="16">
        <f>IFERROR(__xludf.DUMMYFUNCTION("""COMPUTED_VALUE"""),45799.6458333333)</f>
        <v>45799.6458333333</v>
      </c>
      <c r="J40" s="17">
        <f>IFERROR(__xludf.DUMMYFUNCTION("""COMPUTED_VALUE"""),1614)</f>
        <v>1614</v>
      </c>
      <c r="K40" s="3">
        <f t="shared" si="2"/>
        <v>0</v>
      </c>
      <c r="L40" s="3">
        <f t="shared" si="3"/>
        <v>1633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IFERROR(__xludf.DUMMYFUNCTION("""COMPUTED_VALUE"""),1648.2)</f>
        <v>1648.2</v>
      </c>
      <c r="C41" s="16">
        <f>IFERROR(__xludf.DUMMYFUNCTION("""COMPUTED_VALUE"""),45800.6458333333)</f>
        <v>45800.6458333333</v>
      </c>
      <c r="D41" s="17">
        <f>IFERROR(__xludf.DUMMYFUNCTION("""COMPUTED_VALUE"""),1633)</f>
        <v>1633</v>
      </c>
      <c r="E41" s="16">
        <f>IFERROR(__xludf.DUMMYFUNCTION("""COMPUTED_VALUE"""),45800.6458333333)</f>
        <v>45800.6458333333</v>
      </c>
      <c r="F41" s="17">
        <f>IFERROR(__xludf.DUMMYFUNCTION("""COMPUTED_VALUE"""),1459454)</f>
        <v>1459454</v>
      </c>
      <c r="G41" s="16">
        <f>IFERROR(__xludf.DUMMYFUNCTION("""COMPUTED_VALUE"""),45800.6458333333)</f>
        <v>45800.6458333333</v>
      </c>
      <c r="H41" s="17">
        <f>IFERROR(__xludf.DUMMYFUNCTION("""COMPUTED_VALUE"""),1670.8)</f>
        <v>1670.8</v>
      </c>
      <c r="I41" s="16">
        <f>IFERROR(__xludf.DUMMYFUNCTION("""COMPUTED_VALUE"""),45800.6458333333)</f>
        <v>45800.6458333333</v>
      </c>
      <c r="J41" s="17">
        <f>IFERROR(__xludf.DUMMYFUNCTION("""COMPUTED_VALUE"""),1622.5)</f>
        <v>1622.5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IFERROR(__xludf.DUMMYFUNCTION("""COMPUTED_VALUE"""),1673.6)</f>
        <v>1673.6</v>
      </c>
      <c r="C42" s="16">
        <f>IFERROR(__xludf.DUMMYFUNCTION("""COMPUTED_VALUE"""),45803.6458333333)</f>
        <v>45803.6458333333</v>
      </c>
      <c r="D42" s="17">
        <f>IFERROR(__xludf.DUMMYFUNCTION("""COMPUTED_VALUE"""),1652.4)</f>
        <v>1652.4</v>
      </c>
      <c r="E42" s="16">
        <f>IFERROR(__xludf.DUMMYFUNCTION("""COMPUTED_VALUE"""),45803.6458333333)</f>
        <v>45803.6458333333</v>
      </c>
      <c r="F42" s="17">
        <f>IFERROR(__xludf.DUMMYFUNCTION("""COMPUTED_VALUE"""),1078813)</f>
        <v>1078813</v>
      </c>
      <c r="G42" s="16">
        <f>IFERROR(__xludf.DUMMYFUNCTION("""COMPUTED_VALUE"""),45803.6458333333)</f>
        <v>45803.6458333333</v>
      </c>
      <c r="H42" s="17">
        <f>IFERROR(__xludf.DUMMYFUNCTION("""COMPUTED_VALUE"""),1675.8)</f>
        <v>1675.8</v>
      </c>
      <c r="I42" s="16">
        <f>IFERROR(__xludf.DUMMYFUNCTION("""COMPUTED_VALUE"""),45803.6458333333)</f>
        <v>45803.6458333333</v>
      </c>
      <c r="J42" s="17">
        <f>IFERROR(__xludf.DUMMYFUNCTION("""COMPUTED_VALUE"""),1645.6)</f>
        <v>1645.6</v>
      </c>
      <c r="K42" s="3">
        <f t="shared" si="2"/>
        <v>1673.6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IFERROR(__xludf.DUMMYFUNCTION("""COMPUTED_VALUE"""),1652.1)</f>
        <v>1652.1</v>
      </c>
      <c r="C43" s="16">
        <f>IFERROR(__xludf.DUMMYFUNCTION("""COMPUTED_VALUE"""),45804.6458333333)</f>
        <v>45804.6458333333</v>
      </c>
      <c r="D43" s="17">
        <f>IFERROR(__xludf.DUMMYFUNCTION("""COMPUTED_VALUE"""),1673.8)</f>
        <v>1673.8</v>
      </c>
      <c r="E43" s="16">
        <f>IFERROR(__xludf.DUMMYFUNCTION("""COMPUTED_VALUE"""),45804.6458333333)</f>
        <v>45804.6458333333</v>
      </c>
      <c r="F43" s="17">
        <f>IFERROR(__xludf.DUMMYFUNCTION("""COMPUTED_VALUE"""),2740015)</f>
        <v>2740015</v>
      </c>
      <c r="G43" s="16">
        <f>IFERROR(__xludf.DUMMYFUNCTION("""COMPUTED_VALUE"""),45804.6458333333)</f>
        <v>45804.6458333333</v>
      </c>
      <c r="H43" s="17">
        <f>IFERROR(__xludf.DUMMYFUNCTION("""COMPUTED_VALUE"""),1675.5)</f>
        <v>1675.5</v>
      </c>
      <c r="I43" s="16">
        <f>IFERROR(__xludf.DUMMYFUNCTION("""COMPUTED_VALUE"""),45804.6458333333)</f>
        <v>45804.6458333333</v>
      </c>
      <c r="J43" s="17">
        <f>IFERROR(__xludf.DUMMYFUNCTION("""COMPUTED_VALUE"""),1641.5)</f>
        <v>1641.5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IFERROR(__xludf.DUMMYFUNCTION("""COMPUTED_VALUE"""),1657.3)</f>
        <v>1657.3</v>
      </c>
      <c r="C44" s="16">
        <f>IFERROR(__xludf.DUMMYFUNCTION("""COMPUTED_VALUE"""),45805.6458333333)</f>
        <v>45805.6458333333</v>
      </c>
      <c r="D44" s="17">
        <f>IFERROR(__xludf.DUMMYFUNCTION("""COMPUTED_VALUE"""),1664)</f>
        <v>1664</v>
      </c>
      <c r="E44" s="16">
        <f>IFERROR(__xludf.DUMMYFUNCTION("""COMPUTED_VALUE"""),45805.6458333333)</f>
        <v>45805.6458333333</v>
      </c>
      <c r="F44" s="17">
        <f>IFERROR(__xludf.DUMMYFUNCTION("""COMPUTED_VALUE"""),1775441)</f>
        <v>1775441</v>
      </c>
      <c r="G44" s="16">
        <f>IFERROR(__xludf.DUMMYFUNCTION("""COMPUTED_VALUE"""),45805.6458333333)</f>
        <v>45805.6458333333</v>
      </c>
      <c r="H44" s="17">
        <f>IFERROR(__xludf.DUMMYFUNCTION("""COMPUTED_VALUE"""),1666.8)</f>
        <v>1666.8</v>
      </c>
      <c r="I44" s="16">
        <f>IFERROR(__xludf.DUMMYFUNCTION("""COMPUTED_VALUE"""),45805.6458333333)</f>
        <v>45805.6458333333</v>
      </c>
      <c r="J44" s="17">
        <f>IFERROR(__xludf.DUMMYFUNCTION("""COMPUTED_VALUE"""),1647)</f>
        <v>1647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IFERROR(__xludf.DUMMYFUNCTION("""COMPUTED_VALUE"""),1664.7)</f>
        <v>1664.7</v>
      </c>
      <c r="C45" s="16">
        <f>IFERROR(__xludf.DUMMYFUNCTION("""COMPUTED_VALUE"""),45806.6458333333)</f>
        <v>45806.6458333333</v>
      </c>
      <c r="D45" s="17">
        <f>IFERROR(__xludf.DUMMYFUNCTION("""COMPUTED_VALUE"""),1670)</f>
        <v>1670</v>
      </c>
      <c r="E45" s="16">
        <f>IFERROR(__xludf.DUMMYFUNCTION("""COMPUTED_VALUE"""),45806.6458333333)</f>
        <v>45806.6458333333</v>
      </c>
      <c r="F45" s="17">
        <f>IFERROR(__xludf.DUMMYFUNCTION("""COMPUTED_VALUE"""),2374051)</f>
        <v>2374051</v>
      </c>
      <c r="G45" s="16">
        <f>IFERROR(__xludf.DUMMYFUNCTION("""COMPUTED_VALUE"""),45806.6458333333)</f>
        <v>45806.6458333333</v>
      </c>
      <c r="H45" s="17">
        <f>IFERROR(__xludf.DUMMYFUNCTION("""COMPUTED_VALUE"""),1675.5)</f>
        <v>1675.5</v>
      </c>
      <c r="I45" s="16">
        <f>IFERROR(__xludf.DUMMYFUNCTION("""COMPUTED_VALUE"""),45806.6458333333)</f>
        <v>45806.6458333333</v>
      </c>
      <c r="J45" s="17">
        <f>IFERROR(__xludf.DUMMYFUNCTION("""COMPUTED_VALUE"""),1655.6)</f>
        <v>1655.6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IFERROR(__xludf.DUMMYFUNCTION("""COMPUTED_VALUE"""),1636.6)</f>
        <v>1636.6</v>
      </c>
      <c r="C46" s="16">
        <f>IFERROR(__xludf.DUMMYFUNCTION("""COMPUTED_VALUE"""),45807.6458333333)</f>
        <v>45807.6458333333</v>
      </c>
      <c r="D46" s="17">
        <f>IFERROR(__xludf.DUMMYFUNCTION("""COMPUTED_VALUE"""),1664.7)</f>
        <v>1664.7</v>
      </c>
      <c r="E46" s="16">
        <f>IFERROR(__xludf.DUMMYFUNCTION("""COMPUTED_VALUE"""),45807.6458333333)</f>
        <v>45807.6458333333</v>
      </c>
      <c r="F46" s="17">
        <f>IFERROR(__xludf.DUMMYFUNCTION("""COMPUTED_VALUE"""),4408910)</f>
        <v>4408910</v>
      </c>
      <c r="G46" s="16">
        <f>IFERROR(__xludf.DUMMYFUNCTION("""COMPUTED_VALUE"""),45807.6458333333)</f>
        <v>45807.6458333333</v>
      </c>
      <c r="H46" s="17">
        <f>IFERROR(__xludf.DUMMYFUNCTION("""COMPUTED_VALUE"""),1664.7)</f>
        <v>1664.7</v>
      </c>
      <c r="I46" s="16">
        <f>IFERROR(__xludf.DUMMYFUNCTION("""COMPUTED_VALUE"""),45807.6458333333)</f>
        <v>45807.6458333333</v>
      </c>
      <c r="J46" s="17">
        <f>IFERROR(__xludf.DUMMYFUNCTION("""COMPUTED_VALUE"""),1627.3)</f>
        <v>1627.3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IFERROR(__xludf.DUMMYFUNCTION("""COMPUTED_VALUE"""),1631.5)</f>
        <v>1631.5</v>
      </c>
      <c r="C47" s="16">
        <f>IFERROR(__xludf.DUMMYFUNCTION("""COMPUTED_VALUE"""),45810.6458333333)</f>
        <v>45810.6458333333</v>
      </c>
      <c r="D47" s="17">
        <f>IFERROR(__xludf.DUMMYFUNCTION("""COMPUTED_VALUE"""),1625.1)</f>
        <v>1625.1</v>
      </c>
      <c r="E47" s="16">
        <f>IFERROR(__xludf.DUMMYFUNCTION("""COMPUTED_VALUE"""),45810.6458333333)</f>
        <v>45810.6458333333</v>
      </c>
      <c r="F47" s="17">
        <f>IFERROR(__xludf.DUMMYFUNCTION("""COMPUTED_VALUE"""),1883100)</f>
        <v>1883100</v>
      </c>
      <c r="G47" s="16">
        <f>IFERROR(__xludf.DUMMYFUNCTION("""COMPUTED_VALUE"""),45810.6458333333)</f>
        <v>45810.6458333333</v>
      </c>
      <c r="H47" s="17">
        <f>IFERROR(__xludf.DUMMYFUNCTION("""COMPUTED_VALUE"""),1635.2)</f>
        <v>1635.2</v>
      </c>
      <c r="I47" s="16">
        <f>IFERROR(__xludf.DUMMYFUNCTION("""COMPUTED_VALUE"""),45810.6458333333)</f>
        <v>45810.6458333333</v>
      </c>
      <c r="J47" s="17">
        <f>IFERROR(__xludf.DUMMYFUNCTION("""COMPUTED_VALUE"""),1605.7)</f>
        <v>1605.7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IFERROR(__xludf.DUMMYFUNCTION("""COMPUTED_VALUE"""),1630.4)</f>
        <v>1630.4</v>
      </c>
      <c r="C48" s="16">
        <f>IFERROR(__xludf.DUMMYFUNCTION("""COMPUTED_VALUE"""),45811.6458333333)</f>
        <v>45811.6458333333</v>
      </c>
      <c r="D48" s="17">
        <f>IFERROR(__xludf.DUMMYFUNCTION("""COMPUTED_VALUE"""),1646.9)</f>
        <v>1646.9</v>
      </c>
      <c r="E48" s="16">
        <f>IFERROR(__xludf.DUMMYFUNCTION("""COMPUTED_VALUE"""),45811.6458333333)</f>
        <v>45811.6458333333</v>
      </c>
      <c r="F48" s="17">
        <f>IFERROR(__xludf.DUMMYFUNCTION("""COMPUTED_VALUE"""),2380133)</f>
        <v>2380133</v>
      </c>
      <c r="G48" s="16">
        <f>IFERROR(__xludf.DUMMYFUNCTION("""COMPUTED_VALUE"""),45811.6458333333)</f>
        <v>45811.6458333333</v>
      </c>
      <c r="H48" s="17">
        <f>IFERROR(__xludf.DUMMYFUNCTION("""COMPUTED_VALUE"""),1651.7)</f>
        <v>1651.7</v>
      </c>
      <c r="I48" s="16">
        <f>IFERROR(__xludf.DUMMYFUNCTION("""COMPUTED_VALUE"""),45811.6458333333)</f>
        <v>45811.6458333333</v>
      </c>
      <c r="J48" s="17">
        <f>IFERROR(__xludf.DUMMYFUNCTION("""COMPUTED_VALUE"""),1617)</f>
        <v>1617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IFERROR(__xludf.DUMMYFUNCTION("""COMPUTED_VALUE"""),1626.1)</f>
        <v>1626.1</v>
      </c>
      <c r="C49" s="16">
        <f>IFERROR(__xludf.DUMMYFUNCTION("""COMPUTED_VALUE"""),45812.6458333333)</f>
        <v>45812.6458333333</v>
      </c>
      <c r="D49" s="17">
        <f>IFERROR(__xludf.DUMMYFUNCTION("""COMPUTED_VALUE"""),1631)</f>
        <v>1631</v>
      </c>
      <c r="E49" s="16">
        <f>IFERROR(__xludf.DUMMYFUNCTION("""COMPUTED_VALUE"""),45812.6458333333)</f>
        <v>45812.6458333333</v>
      </c>
      <c r="F49" s="17">
        <f>IFERROR(__xludf.DUMMYFUNCTION("""COMPUTED_VALUE"""),1659720)</f>
        <v>1659720</v>
      </c>
      <c r="G49" s="16">
        <f>IFERROR(__xludf.DUMMYFUNCTION("""COMPUTED_VALUE"""),45812.6458333333)</f>
        <v>45812.6458333333</v>
      </c>
      <c r="H49" s="17">
        <f>IFERROR(__xludf.DUMMYFUNCTION("""COMPUTED_VALUE"""),1644.6)</f>
        <v>1644.6</v>
      </c>
      <c r="I49" s="16">
        <f>IFERROR(__xludf.DUMMYFUNCTION("""COMPUTED_VALUE"""),45812.6458333333)</f>
        <v>45812.6458333333</v>
      </c>
      <c r="J49" s="17">
        <f>IFERROR(__xludf.DUMMYFUNCTION("""COMPUTED_VALUE"""),1622.2)</f>
        <v>1622.2</v>
      </c>
      <c r="K49" s="3">
        <f t="shared" si="2"/>
        <v>0</v>
      </c>
      <c r="L49" s="3">
        <f t="shared" si="3"/>
        <v>1626.1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IFERROR(__xludf.DUMMYFUNCTION("""COMPUTED_VALUE"""),1632.4)</f>
        <v>1632.4</v>
      </c>
      <c r="C50" s="16">
        <f>IFERROR(__xludf.DUMMYFUNCTION("""COMPUTED_VALUE"""),45813.6458333333)</f>
        <v>45813.6458333333</v>
      </c>
      <c r="D50" s="17">
        <f>IFERROR(__xludf.DUMMYFUNCTION("""COMPUTED_VALUE"""),1634.9)</f>
        <v>1634.9</v>
      </c>
      <c r="E50" s="16">
        <f>IFERROR(__xludf.DUMMYFUNCTION("""COMPUTED_VALUE"""),45813.6458333333)</f>
        <v>45813.6458333333</v>
      </c>
      <c r="F50" s="17">
        <f>IFERROR(__xludf.DUMMYFUNCTION("""COMPUTED_VALUE"""),1409322)</f>
        <v>1409322</v>
      </c>
      <c r="G50" s="16">
        <f>IFERROR(__xludf.DUMMYFUNCTION("""COMPUTED_VALUE"""),45813.6458333333)</f>
        <v>45813.6458333333</v>
      </c>
      <c r="H50" s="17">
        <f>IFERROR(__xludf.DUMMYFUNCTION("""COMPUTED_VALUE"""),1653.9)</f>
        <v>1653.9</v>
      </c>
      <c r="I50" s="16">
        <f>IFERROR(__xludf.DUMMYFUNCTION("""COMPUTED_VALUE"""),45813.6458333333)</f>
        <v>45813.6458333333</v>
      </c>
      <c r="J50" s="17">
        <f>IFERROR(__xludf.DUMMYFUNCTION("""COMPUTED_VALUE"""),1624.6)</f>
        <v>1624.6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IFERROR(__xludf.DUMMYFUNCTION("""COMPUTED_VALUE"""),1637.7)</f>
        <v>1637.7</v>
      </c>
      <c r="C51" s="16">
        <f>IFERROR(__xludf.DUMMYFUNCTION("""COMPUTED_VALUE"""),45814.6458333333)</f>
        <v>45814.6458333333</v>
      </c>
      <c r="D51" s="17">
        <f>IFERROR(__xludf.DUMMYFUNCTION("""COMPUTED_VALUE"""),1631.2)</f>
        <v>1631.2</v>
      </c>
      <c r="E51" s="16">
        <f>IFERROR(__xludf.DUMMYFUNCTION("""COMPUTED_VALUE"""),45814.6458333333)</f>
        <v>45814.6458333333</v>
      </c>
      <c r="F51" s="17">
        <f>IFERROR(__xludf.DUMMYFUNCTION("""COMPUTED_VALUE"""),1261281)</f>
        <v>1261281</v>
      </c>
      <c r="G51" s="16">
        <f>IFERROR(__xludf.DUMMYFUNCTION("""COMPUTED_VALUE"""),45814.6458333333)</f>
        <v>45814.6458333333</v>
      </c>
      <c r="H51" s="17">
        <f>IFERROR(__xludf.DUMMYFUNCTION("""COMPUTED_VALUE"""),1639.8)</f>
        <v>1639.8</v>
      </c>
      <c r="I51" s="16">
        <f>IFERROR(__xludf.DUMMYFUNCTION("""COMPUTED_VALUE"""),45814.6458333333)</f>
        <v>45814.6458333333</v>
      </c>
      <c r="J51" s="17">
        <f>IFERROR(__xludf.DUMMYFUNCTION("""COMPUTED_VALUE"""),1622)</f>
        <v>1622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IFERROR(__xludf.DUMMYFUNCTION("""COMPUTED_VALUE"""),1648.3)</f>
        <v>1648.3</v>
      </c>
      <c r="C52" s="16">
        <f>IFERROR(__xludf.DUMMYFUNCTION("""COMPUTED_VALUE"""),45817.6458333333)</f>
        <v>45817.6458333333</v>
      </c>
      <c r="D52" s="17">
        <f>IFERROR(__xludf.DUMMYFUNCTION("""COMPUTED_VALUE"""),1648)</f>
        <v>1648</v>
      </c>
      <c r="E52" s="16">
        <f>IFERROR(__xludf.DUMMYFUNCTION("""COMPUTED_VALUE"""),45817.6458333333)</f>
        <v>45817.6458333333</v>
      </c>
      <c r="F52" s="17">
        <f>IFERROR(__xludf.DUMMYFUNCTION("""COMPUTED_VALUE"""),1299786)</f>
        <v>1299786</v>
      </c>
      <c r="G52" s="16">
        <f>IFERROR(__xludf.DUMMYFUNCTION("""COMPUTED_VALUE"""),45817.6458333333)</f>
        <v>45817.6458333333</v>
      </c>
      <c r="H52" s="17">
        <f>IFERROR(__xludf.DUMMYFUNCTION("""COMPUTED_VALUE"""),1658)</f>
        <v>1658</v>
      </c>
      <c r="I52" s="16">
        <f>IFERROR(__xludf.DUMMYFUNCTION("""COMPUTED_VALUE"""),45817.6458333333)</f>
        <v>45817.6458333333</v>
      </c>
      <c r="J52" s="17">
        <f>IFERROR(__xludf.DUMMYFUNCTION("""COMPUTED_VALUE"""),1639)</f>
        <v>1639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IFERROR(__xludf.DUMMYFUNCTION("""COMPUTED_VALUE"""),1668.1)</f>
        <v>1668.1</v>
      </c>
      <c r="C53" s="16">
        <f>IFERROR(__xludf.DUMMYFUNCTION("""COMPUTED_VALUE"""),45818.6458333333)</f>
        <v>45818.6458333333</v>
      </c>
      <c r="D53" s="17">
        <f>IFERROR(__xludf.DUMMYFUNCTION("""COMPUTED_VALUE"""),1653.3)</f>
        <v>1653.3</v>
      </c>
      <c r="E53" s="16">
        <f>IFERROR(__xludf.DUMMYFUNCTION("""COMPUTED_VALUE"""),45818.6458333333)</f>
        <v>45818.6458333333</v>
      </c>
      <c r="F53" s="17">
        <f>IFERROR(__xludf.DUMMYFUNCTION("""COMPUTED_VALUE"""),3055223)</f>
        <v>3055223</v>
      </c>
      <c r="G53" s="16">
        <f>IFERROR(__xludf.DUMMYFUNCTION("""COMPUTED_VALUE"""),45818.6458333333)</f>
        <v>45818.6458333333</v>
      </c>
      <c r="H53" s="17">
        <f>IFERROR(__xludf.DUMMYFUNCTION("""COMPUTED_VALUE"""),1684.9)</f>
        <v>1684.9</v>
      </c>
      <c r="I53" s="16">
        <f>IFERROR(__xludf.DUMMYFUNCTION("""COMPUTED_VALUE"""),45818.6458333333)</f>
        <v>45818.6458333333</v>
      </c>
      <c r="J53" s="17">
        <f>IFERROR(__xludf.DUMMYFUNCTION("""COMPUTED_VALUE"""),1649)</f>
        <v>1649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IFERROR(__xludf.DUMMYFUNCTION("""COMPUTED_VALUE"""),1721.9)</f>
        <v>1721.9</v>
      </c>
      <c r="C54" s="16">
        <f>IFERROR(__xludf.DUMMYFUNCTION("""COMPUTED_VALUE"""),45819.6458333333)</f>
        <v>45819.6458333333</v>
      </c>
      <c r="D54" s="17">
        <f>IFERROR(__xludf.DUMMYFUNCTION("""COMPUTED_VALUE"""),1676)</f>
        <v>1676</v>
      </c>
      <c r="E54" s="16">
        <f>IFERROR(__xludf.DUMMYFUNCTION("""COMPUTED_VALUE"""),45819.6458333333)</f>
        <v>45819.6458333333</v>
      </c>
      <c r="F54" s="17">
        <f>IFERROR(__xludf.DUMMYFUNCTION("""COMPUTED_VALUE"""),5085821)</f>
        <v>5085821</v>
      </c>
      <c r="G54" s="16">
        <f>IFERROR(__xludf.DUMMYFUNCTION("""COMPUTED_VALUE"""),45819.6458333333)</f>
        <v>45819.6458333333</v>
      </c>
      <c r="H54" s="17">
        <f>IFERROR(__xludf.DUMMYFUNCTION("""COMPUTED_VALUE"""),1725.4)</f>
        <v>1725.4</v>
      </c>
      <c r="I54" s="16">
        <f>IFERROR(__xludf.DUMMYFUNCTION("""COMPUTED_VALUE"""),45819.6458333333)</f>
        <v>45819.6458333333</v>
      </c>
      <c r="J54" s="17">
        <f>IFERROR(__xludf.DUMMYFUNCTION("""COMPUTED_VALUE"""),1666)</f>
        <v>1666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IFERROR(__xludf.DUMMYFUNCTION("""COMPUTED_VALUE"""),1701.2)</f>
        <v>1701.2</v>
      </c>
      <c r="C55" s="16">
        <f>IFERROR(__xludf.DUMMYFUNCTION("""COMPUTED_VALUE"""),45820.6458333333)</f>
        <v>45820.6458333333</v>
      </c>
      <c r="D55" s="17">
        <f>IFERROR(__xludf.DUMMYFUNCTION("""COMPUTED_VALUE"""),1725)</f>
        <v>1725</v>
      </c>
      <c r="E55" s="16">
        <f>IFERROR(__xludf.DUMMYFUNCTION("""COMPUTED_VALUE"""),45820.6458333333)</f>
        <v>45820.6458333333</v>
      </c>
      <c r="F55" s="17">
        <f>IFERROR(__xludf.DUMMYFUNCTION("""COMPUTED_VALUE"""),3607962)</f>
        <v>3607962</v>
      </c>
      <c r="G55" s="16">
        <f>IFERROR(__xludf.DUMMYFUNCTION("""COMPUTED_VALUE"""),45820.6458333333)</f>
        <v>45820.6458333333</v>
      </c>
      <c r="H55" s="17">
        <f>IFERROR(__xludf.DUMMYFUNCTION("""COMPUTED_VALUE"""),1726)</f>
        <v>1726</v>
      </c>
      <c r="I55" s="16">
        <f>IFERROR(__xludf.DUMMYFUNCTION("""COMPUTED_VALUE"""),45820.6458333333)</f>
        <v>45820.6458333333</v>
      </c>
      <c r="J55" s="17">
        <f>IFERROR(__xludf.DUMMYFUNCTION("""COMPUTED_VALUE"""),1695)</f>
        <v>1695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IFERROR(__xludf.DUMMYFUNCTION("""COMPUTED_VALUE"""),1695.3)</f>
        <v>1695.3</v>
      </c>
      <c r="C56" s="16">
        <f>IFERROR(__xludf.DUMMYFUNCTION("""COMPUTED_VALUE"""),45821.6458333333)</f>
        <v>45821.6458333333</v>
      </c>
      <c r="D56" s="17">
        <f>IFERROR(__xludf.DUMMYFUNCTION("""COMPUTED_VALUE"""),1666)</f>
        <v>1666</v>
      </c>
      <c r="E56" s="16">
        <f>IFERROR(__xludf.DUMMYFUNCTION("""COMPUTED_VALUE"""),45821.6458333333)</f>
        <v>45821.6458333333</v>
      </c>
      <c r="F56" s="17">
        <f>IFERROR(__xludf.DUMMYFUNCTION("""COMPUTED_VALUE"""),1988422)</f>
        <v>1988422</v>
      </c>
      <c r="G56" s="16">
        <f>IFERROR(__xludf.DUMMYFUNCTION("""COMPUTED_VALUE"""),45821.6458333333)</f>
        <v>45821.6458333333</v>
      </c>
      <c r="H56" s="17">
        <f>IFERROR(__xludf.DUMMYFUNCTION("""COMPUTED_VALUE"""),1711)</f>
        <v>1711</v>
      </c>
      <c r="I56" s="16">
        <f>IFERROR(__xludf.DUMMYFUNCTION("""COMPUTED_VALUE"""),45821.6458333333)</f>
        <v>45821.6458333333</v>
      </c>
      <c r="J56" s="17">
        <f>IFERROR(__xludf.DUMMYFUNCTION("""COMPUTED_VALUE"""),1664.6)</f>
        <v>1664.6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IFERROR(__xludf.DUMMYFUNCTION("""COMPUTED_VALUE"""),1723)</f>
        <v>1723</v>
      </c>
      <c r="C57" s="16">
        <f>IFERROR(__xludf.DUMMYFUNCTION("""COMPUTED_VALUE"""),45824.6458333333)</f>
        <v>45824.6458333333</v>
      </c>
      <c r="D57" s="17">
        <f>IFERROR(__xludf.DUMMYFUNCTION("""COMPUTED_VALUE"""),1692)</f>
        <v>1692</v>
      </c>
      <c r="E57" s="16">
        <f>IFERROR(__xludf.DUMMYFUNCTION("""COMPUTED_VALUE"""),45824.6458333333)</f>
        <v>45824.6458333333</v>
      </c>
      <c r="F57" s="17">
        <f>IFERROR(__xludf.DUMMYFUNCTION("""COMPUTED_VALUE"""),2116100)</f>
        <v>2116100</v>
      </c>
      <c r="G57" s="16">
        <f>IFERROR(__xludf.DUMMYFUNCTION("""COMPUTED_VALUE"""),45824.6458333333)</f>
        <v>45824.6458333333</v>
      </c>
      <c r="H57" s="17">
        <f>IFERROR(__xludf.DUMMYFUNCTION("""COMPUTED_VALUE"""),1729.4)</f>
        <v>1729.4</v>
      </c>
      <c r="I57" s="16">
        <f>IFERROR(__xludf.DUMMYFUNCTION("""COMPUTED_VALUE"""),45824.6458333333)</f>
        <v>45824.6458333333</v>
      </c>
      <c r="J57" s="17">
        <f>IFERROR(__xludf.DUMMYFUNCTION("""COMPUTED_VALUE"""),1683.4)</f>
        <v>1683.4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IFERROR(__xludf.DUMMYFUNCTION("""COMPUTED_VALUE"""),1729.6)</f>
        <v>1729.6</v>
      </c>
      <c r="C58" s="16">
        <f>IFERROR(__xludf.DUMMYFUNCTION("""COMPUTED_VALUE"""),45825.6458333333)</f>
        <v>45825.6458333333</v>
      </c>
      <c r="D58" s="17">
        <f>IFERROR(__xludf.DUMMYFUNCTION("""COMPUTED_VALUE"""),1728)</f>
        <v>1728</v>
      </c>
      <c r="E58" s="16">
        <f>IFERROR(__xludf.DUMMYFUNCTION("""COMPUTED_VALUE"""),45825.6458333333)</f>
        <v>45825.6458333333</v>
      </c>
      <c r="F58" s="17">
        <f>IFERROR(__xludf.DUMMYFUNCTION("""COMPUTED_VALUE"""),1777245)</f>
        <v>1777245</v>
      </c>
      <c r="G58" s="16">
        <f>IFERROR(__xludf.DUMMYFUNCTION("""COMPUTED_VALUE"""),45825.6458333333)</f>
        <v>45825.6458333333</v>
      </c>
      <c r="H58" s="17">
        <f>IFERROR(__xludf.DUMMYFUNCTION("""COMPUTED_VALUE"""),1738.8)</f>
        <v>1738.8</v>
      </c>
      <c r="I58" s="16">
        <f>IFERROR(__xludf.DUMMYFUNCTION("""COMPUTED_VALUE"""),45825.6458333333)</f>
        <v>45825.6458333333</v>
      </c>
      <c r="J58" s="17">
        <f>IFERROR(__xludf.DUMMYFUNCTION("""COMPUTED_VALUE"""),1720)</f>
        <v>1720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IFERROR(__xludf.DUMMYFUNCTION("""COMPUTED_VALUE"""),1715.9)</f>
        <v>1715.9</v>
      </c>
      <c r="C59" s="16">
        <f>IFERROR(__xludf.DUMMYFUNCTION("""COMPUTED_VALUE"""),45826.6458333333)</f>
        <v>45826.6458333333</v>
      </c>
      <c r="D59" s="17">
        <f>IFERROR(__xludf.DUMMYFUNCTION("""COMPUTED_VALUE"""),1727.9)</f>
        <v>1727.9</v>
      </c>
      <c r="E59" s="16">
        <f>IFERROR(__xludf.DUMMYFUNCTION("""COMPUTED_VALUE"""),45826.6458333333)</f>
        <v>45826.6458333333</v>
      </c>
      <c r="F59" s="17">
        <f>IFERROR(__xludf.DUMMYFUNCTION("""COMPUTED_VALUE"""),1794428)</f>
        <v>1794428</v>
      </c>
      <c r="G59" s="16">
        <f>IFERROR(__xludf.DUMMYFUNCTION("""COMPUTED_VALUE"""),45826.6458333333)</f>
        <v>45826.6458333333</v>
      </c>
      <c r="H59" s="17">
        <f>IFERROR(__xludf.DUMMYFUNCTION("""COMPUTED_VALUE"""),1745)</f>
        <v>1745</v>
      </c>
      <c r="I59" s="16">
        <f>IFERROR(__xludf.DUMMYFUNCTION("""COMPUTED_VALUE"""),45826.6458333333)</f>
        <v>45826.6458333333</v>
      </c>
      <c r="J59" s="17">
        <f>IFERROR(__xludf.DUMMYFUNCTION("""COMPUTED_VALUE"""),1710)</f>
        <v>1710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IFERROR(__xludf.DUMMYFUNCTION("""COMPUTED_VALUE"""),1713.9)</f>
        <v>1713.9</v>
      </c>
      <c r="C60" s="16">
        <f>IFERROR(__xludf.DUMMYFUNCTION("""COMPUTED_VALUE"""),45827.6458333333)</f>
        <v>45827.6458333333</v>
      </c>
      <c r="D60" s="17">
        <f>IFERROR(__xludf.DUMMYFUNCTION("""COMPUTED_VALUE"""),1719.7)</f>
        <v>1719.7</v>
      </c>
      <c r="E60" s="16">
        <f>IFERROR(__xludf.DUMMYFUNCTION("""COMPUTED_VALUE"""),45827.6458333333)</f>
        <v>45827.6458333333</v>
      </c>
      <c r="F60" s="17">
        <f>IFERROR(__xludf.DUMMYFUNCTION("""COMPUTED_VALUE"""),2514527)</f>
        <v>2514527</v>
      </c>
      <c r="G60" s="16">
        <f>IFERROR(__xludf.DUMMYFUNCTION("""COMPUTED_VALUE"""),45827.6458333333)</f>
        <v>45827.6458333333</v>
      </c>
      <c r="H60" s="17">
        <f>IFERROR(__xludf.DUMMYFUNCTION("""COMPUTED_VALUE"""),1719.7)</f>
        <v>1719.7</v>
      </c>
      <c r="I60" s="16">
        <f>IFERROR(__xludf.DUMMYFUNCTION("""COMPUTED_VALUE"""),45827.6458333333)</f>
        <v>45827.6458333333</v>
      </c>
      <c r="J60" s="17">
        <f>IFERROR(__xludf.DUMMYFUNCTION("""COMPUTED_VALUE"""),1697.2)</f>
        <v>1697.2</v>
      </c>
      <c r="K60" s="3">
        <f t="shared" si="2"/>
        <v>0</v>
      </c>
      <c r="L60" s="3">
        <f t="shared" si="3"/>
        <v>0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IFERROR(__xludf.DUMMYFUNCTION("""COMPUTED_VALUE"""),1739.9)</f>
        <v>1739.9</v>
      </c>
      <c r="C61" s="16">
        <f>IFERROR(__xludf.DUMMYFUNCTION("""COMPUTED_VALUE"""),45828.6458333333)</f>
        <v>45828.6458333333</v>
      </c>
      <c r="D61" s="17">
        <f>IFERROR(__xludf.DUMMYFUNCTION("""COMPUTED_VALUE"""),1713.9)</f>
        <v>1713.9</v>
      </c>
      <c r="E61" s="16">
        <f>IFERROR(__xludf.DUMMYFUNCTION("""COMPUTED_VALUE"""),45828.6458333333)</f>
        <v>45828.6458333333</v>
      </c>
      <c r="F61" s="17">
        <f>IFERROR(__xludf.DUMMYFUNCTION("""COMPUTED_VALUE"""),2719770)</f>
        <v>2719770</v>
      </c>
      <c r="G61" s="16">
        <f>IFERROR(__xludf.DUMMYFUNCTION("""COMPUTED_VALUE"""),45828.6458333333)</f>
        <v>45828.6458333333</v>
      </c>
      <c r="H61" s="17">
        <f>IFERROR(__xludf.DUMMYFUNCTION("""COMPUTED_VALUE"""),1742.6)</f>
        <v>1742.6</v>
      </c>
      <c r="I61" s="16">
        <f>IFERROR(__xludf.DUMMYFUNCTION("""COMPUTED_VALUE"""),45828.6458333333)</f>
        <v>45828.6458333333</v>
      </c>
      <c r="J61" s="17">
        <f>IFERROR(__xludf.DUMMYFUNCTION("""COMPUTED_VALUE"""),1709.1)</f>
        <v>1709.1</v>
      </c>
      <c r="K61" s="3">
        <f t="shared" si="2"/>
        <v>1739.9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IFERROR(__xludf.DUMMYFUNCTION("""COMPUTED_VALUE"""),1703.2)</f>
        <v>1703.2</v>
      </c>
      <c r="C62" s="16">
        <f>IFERROR(__xludf.DUMMYFUNCTION("""COMPUTED_VALUE"""),45831.6458333333)</f>
        <v>45831.6458333333</v>
      </c>
      <c r="D62" s="17">
        <f>IFERROR(__xludf.DUMMYFUNCTION("""COMPUTED_VALUE"""),1729.2)</f>
        <v>1729.2</v>
      </c>
      <c r="E62" s="16">
        <f>IFERROR(__xludf.DUMMYFUNCTION("""COMPUTED_VALUE"""),45831.6458333333)</f>
        <v>45831.6458333333</v>
      </c>
      <c r="F62" s="17">
        <f>IFERROR(__xludf.DUMMYFUNCTION("""COMPUTED_VALUE"""),2221446)</f>
        <v>2221446</v>
      </c>
      <c r="G62" s="16">
        <f>IFERROR(__xludf.DUMMYFUNCTION("""COMPUTED_VALUE"""),45831.6458333333)</f>
        <v>45831.6458333333</v>
      </c>
      <c r="H62" s="17">
        <f>IFERROR(__xludf.DUMMYFUNCTION("""COMPUTED_VALUE"""),1729.8)</f>
        <v>1729.8</v>
      </c>
      <c r="I62" s="16">
        <f>IFERROR(__xludf.DUMMYFUNCTION("""COMPUTED_VALUE"""),45831.6458333333)</f>
        <v>45831.6458333333</v>
      </c>
      <c r="J62" s="17">
        <f>IFERROR(__xludf.DUMMYFUNCTION("""COMPUTED_VALUE"""),1699.2)</f>
        <v>1699.2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IFERROR(__xludf.DUMMYFUNCTION("""COMPUTED_VALUE"""),1691.8)</f>
        <v>1691.8</v>
      </c>
      <c r="C63" s="16">
        <f>IFERROR(__xludf.DUMMYFUNCTION("""COMPUTED_VALUE"""),45832.6458333333)</f>
        <v>45832.6458333333</v>
      </c>
      <c r="D63" s="17">
        <f>IFERROR(__xludf.DUMMYFUNCTION("""COMPUTED_VALUE"""),1719.9)</f>
        <v>1719.9</v>
      </c>
      <c r="E63" s="16">
        <f>IFERROR(__xludf.DUMMYFUNCTION("""COMPUTED_VALUE"""),45832.6458333333)</f>
        <v>45832.6458333333</v>
      </c>
      <c r="F63" s="17">
        <f>IFERROR(__xludf.DUMMYFUNCTION("""COMPUTED_VALUE"""),3601071)</f>
        <v>3601071</v>
      </c>
      <c r="G63" s="16">
        <f>IFERROR(__xludf.DUMMYFUNCTION("""COMPUTED_VALUE"""),45832.6458333333)</f>
        <v>45832.6458333333</v>
      </c>
      <c r="H63" s="17">
        <f>IFERROR(__xludf.DUMMYFUNCTION("""COMPUTED_VALUE"""),1732.6)</f>
        <v>1732.6</v>
      </c>
      <c r="I63" s="16">
        <f>IFERROR(__xludf.DUMMYFUNCTION("""COMPUTED_VALUE"""),45832.6458333333)</f>
        <v>45832.6458333333</v>
      </c>
      <c r="J63" s="17">
        <f>IFERROR(__xludf.DUMMYFUNCTION("""COMPUTED_VALUE"""),1689.2)</f>
        <v>1689.2</v>
      </c>
      <c r="K63" s="3">
        <f t="shared" si="2"/>
        <v>0</v>
      </c>
      <c r="L63" s="3">
        <f t="shared" si="3"/>
        <v>1691.8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IFERROR(__xludf.DUMMYFUNCTION("""COMPUTED_VALUE"""),1717.1)</f>
        <v>1717.1</v>
      </c>
      <c r="C64" s="16">
        <f>IFERROR(__xludf.DUMMYFUNCTION("""COMPUTED_VALUE"""),45833.6458333333)</f>
        <v>45833.6458333333</v>
      </c>
      <c r="D64" s="17">
        <f>IFERROR(__xludf.DUMMYFUNCTION("""COMPUTED_VALUE"""),1702)</f>
        <v>1702</v>
      </c>
      <c r="E64" s="16">
        <f>IFERROR(__xludf.DUMMYFUNCTION("""COMPUTED_VALUE"""),45833.6458333333)</f>
        <v>45833.6458333333</v>
      </c>
      <c r="F64" s="17">
        <f>IFERROR(__xludf.DUMMYFUNCTION("""COMPUTED_VALUE"""),1307518)</f>
        <v>1307518</v>
      </c>
      <c r="G64" s="16">
        <f>IFERROR(__xludf.DUMMYFUNCTION("""COMPUTED_VALUE"""),45833.6458333333)</f>
        <v>45833.6458333333</v>
      </c>
      <c r="H64" s="17">
        <f>IFERROR(__xludf.DUMMYFUNCTION("""COMPUTED_VALUE"""),1720.7)</f>
        <v>1720.7</v>
      </c>
      <c r="I64" s="16">
        <f>IFERROR(__xludf.DUMMYFUNCTION("""COMPUTED_VALUE"""),45833.6458333333)</f>
        <v>45833.6458333333</v>
      </c>
      <c r="J64" s="17">
        <f>IFERROR(__xludf.DUMMYFUNCTION("""COMPUTED_VALUE"""),1701)</f>
        <v>1701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IFERROR(__xludf.DUMMYFUNCTION("""COMPUTED_VALUE"""),1724.1)</f>
        <v>1724.1</v>
      </c>
      <c r="C65" s="16">
        <f>IFERROR(__xludf.DUMMYFUNCTION("""COMPUTED_VALUE"""),45834.6458333333)</f>
        <v>45834.6458333333</v>
      </c>
      <c r="D65" s="17">
        <f>IFERROR(__xludf.DUMMYFUNCTION("""COMPUTED_VALUE"""),1710)</f>
        <v>1710</v>
      </c>
      <c r="E65" s="16">
        <f>IFERROR(__xludf.DUMMYFUNCTION("""COMPUTED_VALUE"""),45834.6458333333)</f>
        <v>45834.6458333333</v>
      </c>
      <c r="F65" s="17">
        <f>IFERROR(__xludf.DUMMYFUNCTION("""COMPUTED_VALUE"""),2971055)</f>
        <v>2971055</v>
      </c>
      <c r="G65" s="16">
        <f>IFERROR(__xludf.DUMMYFUNCTION("""COMPUTED_VALUE"""),45834.6458333333)</f>
        <v>45834.6458333333</v>
      </c>
      <c r="H65" s="17">
        <f>IFERROR(__xludf.DUMMYFUNCTION("""COMPUTED_VALUE"""),1726.9)</f>
        <v>1726.9</v>
      </c>
      <c r="I65" s="16">
        <f>IFERROR(__xludf.DUMMYFUNCTION("""COMPUTED_VALUE"""),45834.6458333333)</f>
        <v>45834.6458333333</v>
      </c>
      <c r="J65" s="17">
        <f>IFERROR(__xludf.DUMMYFUNCTION("""COMPUTED_VALUE"""),1702.7)</f>
        <v>1702.7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IFERROR(__xludf.DUMMYFUNCTION("""COMPUTED_VALUE"""),1723.3)</f>
        <v>1723.3</v>
      </c>
      <c r="C66" s="16">
        <f>IFERROR(__xludf.DUMMYFUNCTION("""COMPUTED_VALUE"""),45835.6458333333)</f>
        <v>45835.6458333333</v>
      </c>
      <c r="D66" s="17">
        <f>IFERROR(__xludf.DUMMYFUNCTION("""COMPUTED_VALUE"""),1735)</f>
        <v>1735</v>
      </c>
      <c r="E66" s="16">
        <f>IFERROR(__xludf.DUMMYFUNCTION("""COMPUTED_VALUE"""),45835.6458333333)</f>
        <v>45835.6458333333</v>
      </c>
      <c r="F66" s="17">
        <f>IFERROR(__xludf.DUMMYFUNCTION("""COMPUTED_VALUE"""),6478283)</f>
        <v>6478283</v>
      </c>
      <c r="G66" s="16">
        <f>IFERROR(__xludf.DUMMYFUNCTION("""COMPUTED_VALUE"""),45835.6458333333)</f>
        <v>45835.6458333333</v>
      </c>
      <c r="H66" s="17">
        <f>IFERROR(__xludf.DUMMYFUNCTION("""COMPUTED_VALUE"""),1752.5)</f>
        <v>1752.5</v>
      </c>
      <c r="I66" s="16">
        <f>IFERROR(__xludf.DUMMYFUNCTION("""COMPUTED_VALUE"""),45835.6458333333)</f>
        <v>45835.6458333333</v>
      </c>
      <c r="J66" s="17">
        <f>IFERROR(__xludf.DUMMYFUNCTION("""COMPUTED_VALUE"""),1710.8)</f>
        <v>1710.8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IFERROR(__xludf.DUMMYFUNCTION("""COMPUTED_VALUE"""),1728.6)</f>
        <v>1728.6</v>
      </c>
      <c r="C67" s="16">
        <f>IFERROR(__xludf.DUMMYFUNCTION("""COMPUTED_VALUE"""),45838.6458333333)</f>
        <v>45838.6458333333</v>
      </c>
      <c r="D67" s="17">
        <f>IFERROR(__xludf.DUMMYFUNCTION("""COMPUTED_VALUE"""),1725)</f>
        <v>1725</v>
      </c>
      <c r="E67" s="16">
        <f>IFERROR(__xludf.DUMMYFUNCTION("""COMPUTED_VALUE"""),45838.6458333333)</f>
        <v>45838.6458333333</v>
      </c>
      <c r="F67" s="17">
        <f>IFERROR(__xludf.DUMMYFUNCTION("""COMPUTED_VALUE"""),1855229)</f>
        <v>1855229</v>
      </c>
      <c r="G67" s="16">
        <f>IFERROR(__xludf.DUMMYFUNCTION("""COMPUTED_VALUE"""),45838.6458333333)</f>
        <v>45838.6458333333</v>
      </c>
      <c r="H67" s="17">
        <f>IFERROR(__xludf.DUMMYFUNCTION("""COMPUTED_VALUE"""),1734.8)</f>
        <v>1734.8</v>
      </c>
      <c r="I67" s="16">
        <f>IFERROR(__xludf.DUMMYFUNCTION("""COMPUTED_VALUE"""),45838.6458333333)</f>
        <v>45838.6458333333</v>
      </c>
      <c r="J67" s="17">
        <f>IFERROR(__xludf.DUMMYFUNCTION("""COMPUTED_VALUE"""),1713.3)</f>
        <v>1713.3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IFERROR(__xludf.DUMMYFUNCTION("""COMPUTED_VALUE"""),1718.3)</f>
        <v>1718.3</v>
      </c>
      <c r="C68" s="16">
        <f>IFERROR(__xludf.DUMMYFUNCTION("""COMPUTED_VALUE"""),45839.6458333333)</f>
        <v>45839.6458333333</v>
      </c>
      <c r="D68" s="17">
        <f>IFERROR(__xludf.DUMMYFUNCTION("""COMPUTED_VALUE"""),1728.6)</f>
        <v>1728.6</v>
      </c>
      <c r="E68" s="16">
        <f>IFERROR(__xludf.DUMMYFUNCTION("""COMPUTED_VALUE"""),45839.6458333333)</f>
        <v>45839.6458333333</v>
      </c>
      <c r="F68" s="17">
        <f>IFERROR(__xludf.DUMMYFUNCTION("""COMPUTED_VALUE"""),1639826)</f>
        <v>1639826</v>
      </c>
      <c r="G68" s="16">
        <f>IFERROR(__xludf.DUMMYFUNCTION("""COMPUTED_VALUE"""),45839.6458333333)</f>
        <v>45839.6458333333</v>
      </c>
      <c r="H68" s="17">
        <f>IFERROR(__xludf.DUMMYFUNCTION("""COMPUTED_VALUE"""),1745)</f>
        <v>1745</v>
      </c>
      <c r="I68" s="16">
        <f>IFERROR(__xludf.DUMMYFUNCTION("""COMPUTED_VALUE"""),45839.6458333333)</f>
        <v>45839.6458333333</v>
      </c>
      <c r="J68" s="17">
        <f>IFERROR(__xludf.DUMMYFUNCTION("""COMPUTED_VALUE"""),1714)</f>
        <v>1714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IFERROR(__xludf.DUMMYFUNCTION("""COMPUTED_VALUE"""),1718.6)</f>
        <v>1718.6</v>
      </c>
      <c r="C69" s="16">
        <f>IFERROR(__xludf.DUMMYFUNCTION("""COMPUTED_VALUE"""),45840.6458333333)</f>
        <v>45840.6458333333</v>
      </c>
      <c r="D69" s="17">
        <f>IFERROR(__xludf.DUMMYFUNCTION("""COMPUTED_VALUE"""),1722)</f>
        <v>1722</v>
      </c>
      <c r="E69" s="16">
        <f>IFERROR(__xludf.DUMMYFUNCTION("""COMPUTED_VALUE"""),45840.6458333333)</f>
        <v>45840.6458333333</v>
      </c>
      <c r="F69" s="17">
        <f>IFERROR(__xludf.DUMMYFUNCTION("""COMPUTED_VALUE"""),2069447)</f>
        <v>2069447</v>
      </c>
      <c r="G69" s="16">
        <f>IFERROR(__xludf.DUMMYFUNCTION("""COMPUTED_VALUE"""),45840.6458333333)</f>
        <v>45840.6458333333</v>
      </c>
      <c r="H69" s="17">
        <f>IFERROR(__xludf.DUMMYFUNCTION("""COMPUTED_VALUE"""),1738.5)</f>
        <v>1738.5</v>
      </c>
      <c r="I69" s="16">
        <f>IFERROR(__xludf.DUMMYFUNCTION("""COMPUTED_VALUE"""),45840.6458333333)</f>
        <v>45840.6458333333</v>
      </c>
      <c r="J69" s="17">
        <f>IFERROR(__xludf.DUMMYFUNCTION("""COMPUTED_VALUE"""),1711)</f>
        <v>1711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IFERROR(__xludf.DUMMYFUNCTION("""COMPUTED_VALUE"""),1711.9)</f>
        <v>1711.9</v>
      </c>
      <c r="C70" s="16">
        <f>IFERROR(__xludf.DUMMYFUNCTION("""COMPUTED_VALUE"""),45841.6458333333)</f>
        <v>45841.6458333333</v>
      </c>
      <c r="D70" s="17">
        <f>IFERROR(__xludf.DUMMYFUNCTION("""COMPUTED_VALUE"""),1716)</f>
        <v>1716</v>
      </c>
      <c r="E70" s="16">
        <f>IFERROR(__xludf.DUMMYFUNCTION("""COMPUTED_VALUE"""),45841.6458333333)</f>
        <v>45841.6458333333</v>
      </c>
      <c r="F70" s="17">
        <f>IFERROR(__xludf.DUMMYFUNCTION("""COMPUTED_VALUE"""),1839063)</f>
        <v>1839063</v>
      </c>
      <c r="G70" s="16">
        <f>IFERROR(__xludf.DUMMYFUNCTION("""COMPUTED_VALUE"""),45841.6458333333)</f>
        <v>45841.6458333333</v>
      </c>
      <c r="H70" s="17">
        <f>IFERROR(__xludf.DUMMYFUNCTION("""COMPUTED_VALUE"""),1730.5)</f>
        <v>1730.5</v>
      </c>
      <c r="I70" s="16">
        <f>IFERROR(__xludf.DUMMYFUNCTION("""COMPUTED_VALUE"""),45841.6458333333)</f>
        <v>45841.6458333333</v>
      </c>
      <c r="J70" s="17">
        <f>IFERROR(__xludf.DUMMYFUNCTION("""COMPUTED_VALUE"""),1706.5)</f>
        <v>1706.5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IFERROR(__xludf.DUMMYFUNCTION("""COMPUTED_VALUE"""),1725.9)</f>
        <v>1725.9</v>
      </c>
      <c r="C71" s="16">
        <f>IFERROR(__xludf.DUMMYFUNCTION("""COMPUTED_VALUE"""),45842.6458333333)</f>
        <v>45842.6458333333</v>
      </c>
      <c r="D71" s="17">
        <f>IFERROR(__xludf.DUMMYFUNCTION("""COMPUTED_VALUE"""),1715)</f>
        <v>1715</v>
      </c>
      <c r="E71" s="16">
        <f>IFERROR(__xludf.DUMMYFUNCTION("""COMPUTED_VALUE"""),45842.6458333333)</f>
        <v>45842.6458333333</v>
      </c>
      <c r="F71" s="17">
        <f>IFERROR(__xludf.DUMMYFUNCTION("""COMPUTED_VALUE"""),768500)</f>
        <v>768500</v>
      </c>
      <c r="G71" s="16">
        <f>IFERROR(__xludf.DUMMYFUNCTION("""COMPUTED_VALUE"""),45842.6458333333)</f>
        <v>45842.6458333333</v>
      </c>
      <c r="H71" s="17">
        <f>IFERROR(__xludf.DUMMYFUNCTION("""COMPUTED_VALUE"""),1729)</f>
        <v>1729</v>
      </c>
      <c r="I71" s="16">
        <f>IFERROR(__xludf.DUMMYFUNCTION("""COMPUTED_VALUE"""),45842.6458333333)</f>
        <v>45842.6458333333</v>
      </c>
      <c r="J71" s="17">
        <f>IFERROR(__xludf.DUMMYFUNCTION("""COMPUTED_VALUE"""),1706.2)</f>
        <v>1706.2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IFERROR(__xludf.DUMMYFUNCTION("""COMPUTED_VALUE"""),1710.4)</f>
        <v>1710.4</v>
      </c>
      <c r="C72" s="16">
        <f>IFERROR(__xludf.DUMMYFUNCTION("""COMPUTED_VALUE"""),45845.6458333333)</f>
        <v>45845.6458333333</v>
      </c>
      <c r="D72" s="17">
        <f>IFERROR(__xludf.DUMMYFUNCTION("""COMPUTED_VALUE"""),1725.5)</f>
        <v>1725.5</v>
      </c>
      <c r="E72" s="16">
        <f>IFERROR(__xludf.DUMMYFUNCTION("""COMPUTED_VALUE"""),45845.6458333333)</f>
        <v>45845.6458333333</v>
      </c>
      <c r="F72" s="17">
        <f>IFERROR(__xludf.DUMMYFUNCTION("""COMPUTED_VALUE"""),1366412)</f>
        <v>1366412</v>
      </c>
      <c r="G72" s="16">
        <f>IFERROR(__xludf.DUMMYFUNCTION("""COMPUTED_VALUE"""),45845.6458333333)</f>
        <v>45845.6458333333</v>
      </c>
      <c r="H72" s="17">
        <f>IFERROR(__xludf.DUMMYFUNCTION("""COMPUTED_VALUE"""),1725.5)</f>
        <v>1725.5</v>
      </c>
      <c r="I72" s="16">
        <f>IFERROR(__xludf.DUMMYFUNCTION("""COMPUTED_VALUE"""),45845.6458333333)</f>
        <v>45845.6458333333</v>
      </c>
      <c r="J72" s="17">
        <f>IFERROR(__xludf.DUMMYFUNCTION("""COMPUTED_VALUE"""),1703.3)</f>
        <v>1703.3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IFERROR(__xludf.DUMMYFUNCTION("""COMPUTED_VALUE"""),1708.1)</f>
        <v>1708.1</v>
      </c>
      <c r="C73" s="16">
        <f>IFERROR(__xludf.DUMMYFUNCTION("""COMPUTED_VALUE"""),45846.6458333333)</f>
        <v>45846.6458333333</v>
      </c>
      <c r="D73" s="17">
        <f>IFERROR(__xludf.DUMMYFUNCTION("""COMPUTED_VALUE"""),1700)</f>
        <v>1700</v>
      </c>
      <c r="E73" s="16">
        <f>IFERROR(__xludf.DUMMYFUNCTION("""COMPUTED_VALUE"""),45846.6458333333)</f>
        <v>45846.6458333333</v>
      </c>
      <c r="F73" s="17">
        <f>IFERROR(__xludf.DUMMYFUNCTION("""COMPUTED_VALUE"""),2139193)</f>
        <v>2139193</v>
      </c>
      <c r="G73" s="16">
        <f>IFERROR(__xludf.DUMMYFUNCTION("""COMPUTED_VALUE"""),45846.6458333333)</f>
        <v>45846.6458333333</v>
      </c>
      <c r="H73" s="17">
        <f>IFERROR(__xludf.DUMMYFUNCTION("""COMPUTED_VALUE"""),1718.9)</f>
        <v>1718.9</v>
      </c>
      <c r="I73" s="16">
        <f>IFERROR(__xludf.DUMMYFUNCTION("""COMPUTED_VALUE"""),45846.6458333333)</f>
        <v>45846.6458333333</v>
      </c>
      <c r="J73" s="17">
        <f>IFERROR(__xludf.DUMMYFUNCTION("""COMPUTED_VALUE"""),1687.5)</f>
        <v>1687.5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IFERROR(__xludf.DUMMYFUNCTION("""COMPUTED_VALUE"""),1674)</f>
        <v>1674</v>
      </c>
      <c r="C74" s="16">
        <f>IFERROR(__xludf.DUMMYFUNCTION("""COMPUTED_VALUE"""),45847.6458333333)</f>
        <v>45847.6458333333</v>
      </c>
      <c r="D74" s="17">
        <f>IFERROR(__xludf.DUMMYFUNCTION("""COMPUTED_VALUE"""),1710)</f>
        <v>1710</v>
      </c>
      <c r="E74" s="16">
        <f>IFERROR(__xludf.DUMMYFUNCTION("""COMPUTED_VALUE"""),45847.6458333333)</f>
        <v>45847.6458333333</v>
      </c>
      <c r="F74" s="17">
        <f>IFERROR(__xludf.DUMMYFUNCTION("""COMPUTED_VALUE"""),2894808)</f>
        <v>2894808</v>
      </c>
      <c r="G74" s="16">
        <f>IFERROR(__xludf.DUMMYFUNCTION("""COMPUTED_VALUE"""),45847.6458333333)</f>
        <v>45847.6458333333</v>
      </c>
      <c r="H74" s="17">
        <f>IFERROR(__xludf.DUMMYFUNCTION("""COMPUTED_VALUE"""),1714.3)</f>
        <v>1714.3</v>
      </c>
      <c r="I74" s="16">
        <f>IFERROR(__xludf.DUMMYFUNCTION("""COMPUTED_VALUE"""),45847.6458333333)</f>
        <v>45847.6458333333</v>
      </c>
      <c r="J74" s="17">
        <f>IFERROR(__xludf.DUMMYFUNCTION("""COMPUTED_VALUE"""),1671)</f>
        <v>1671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IFERROR(__xludf.DUMMYFUNCTION("""COMPUTED_VALUE"""),1663.7)</f>
        <v>1663.7</v>
      </c>
      <c r="C75" s="16">
        <f>IFERROR(__xludf.DUMMYFUNCTION("""COMPUTED_VALUE"""),45848.6458333333)</f>
        <v>45848.6458333333</v>
      </c>
      <c r="D75" s="17">
        <f>IFERROR(__xludf.DUMMYFUNCTION("""COMPUTED_VALUE"""),1675)</f>
        <v>1675</v>
      </c>
      <c r="E75" s="16">
        <f>IFERROR(__xludf.DUMMYFUNCTION("""COMPUTED_VALUE"""),45848.6458333333)</f>
        <v>45848.6458333333</v>
      </c>
      <c r="F75" s="17">
        <f>IFERROR(__xludf.DUMMYFUNCTION("""COMPUTED_VALUE"""),2740853)</f>
        <v>2740853</v>
      </c>
      <c r="G75" s="16">
        <f>IFERROR(__xludf.DUMMYFUNCTION("""COMPUTED_VALUE"""),45848.6458333333)</f>
        <v>45848.6458333333</v>
      </c>
      <c r="H75" s="17">
        <f>IFERROR(__xludf.DUMMYFUNCTION("""COMPUTED_VALUE"""),1679.9)</f>
        <v>1679.9</v>
      </c>
      <c r="I75" s="16">
        <f>IFERROR(__xludf.DUMMYFUNCTION("""COMPUTED_VALUE"""),45848.6458333333)</f>
        <v>45848.6458333333</v>
      </c>
      <c r="J75" s="17">
        <f>IFERROR(__xludf.DUMMYFUNCTION("""COMPUTED_VALUE"""),1649)</f>
        <v>1649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IFERROR(__xludf.DUMMYFUNCTION("""COMPUTED_VALUE"""),1638.3)</f>
        <v>1638.3</v>
      </c>
      <c r="C76" s="16">
        <f>IFERROR(__xludf.DUMMYFUNCTION("""COMPUTED_VALUE"""),45849.6458333333)</f>
        <v>45849.6458333333</v>
      </c>
      <c r="D76" s="17">
        <f>IFERROR(__xludf.DUMMYFUNCTION("""COMPUTED_VALUE"""),1643.2)</f>
        <v>1643.2</v>
      </c>
      <c r="E76" s="16">
        <f>IFERROR(__xludf.DUMMYFUNCTION("""COMPUTED_VALUE"""),45849.6458333333)</f>
        <v>45849.6458333333</v>
      </c>
      <c r="F76" s="17">
        <f>IFERROR(__xludf.DUMMYFUNCTION("""COMPUTED_VALUE"""),2548153)</f>
        <v>2548153</v>
      </c>
      <c r="G76" s="16">
        <f>IFERROR(__xludf.DUMMYFUNCTION("""COMPUTED_VALUE"""),45849.6458333333)</f>
        <v>45849.6458333333</v>
      </c>
      <c r="H76" s="17">
        <f>IFERROR(__xludf.DUMMYFUNCTION("""COMPUTED_VALUE"""),1655.5)</f>
        <v>1655.5</v>
      </c>
      <c r="I76" s="16">
        <f>IFERROR(__xludf.DUMMYFUNCTION("""COMPUTED_VALUE"""),45849.6458333333)</f>
        <v>45849.6458333333</v>
      </c>
      <c r="J76" s="17">
        <f>IFERROR(__xludf.DUMMYFUNCTION("""COMPUTED_VALUE"""),1630)</f>
        <v>1630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IFERROR(__xludf.DUMMYFUNCTION("""COMPUTED_VALUE"""),1619.8)</f>
        <v>1619.8</v>
      </c>
      <c r="C77" s="16">
        <f>IFERROR(__xludf.DUMMYFUNCTION("""COMPUTED_VALUE"""),45852.6458333333)</f>
        <v>45852.6458333333</v>
      </c>
      <c r="D77" s="17">
        <f>IFERROR(__xludf.DUMMYFUNCTION("""COMPUTED_VALUE"""),1640)</f>
        <v>1640</v>
      </c>
      <c r="E77" s="16">
        <f>IFERROR(__xludf.DUMMYFUNCTION("""COMPUTED_VALUE"""),45852.6458333333)</f>
        <v>45852.6458333333</v>
      </c>
      <c r="F77" s="17">
        <f>IFERROR(__xludf.DUMMYFUNCTION("""COMPUTED_VALUE"""),3334703)</f>
        <v>3334703</v>
      </c>
      <c r="G77" s="16">
        <f>IFERROR(__xludf.DUMMYFUNCTION("""COMPUTED_VALUE"""),45852.6458333333)</f>
        <v>45852.6458333333</v>
      </c>
      <c r="H77" s="17">
        <f>IFERROR(__xludf.DUMMYFUNCTION("""COMPUTED_VALUE"""),1642.4)</f>
        <v>1642.4</v>
      </c>
      <c r="I77" s="16">
        <f>IFERROR(__xludf.DUMMYFUNCTION("""COMPUTED_VALUE"""),45852.6458333333)</f>
        <v>45852.6458333333</v>
      </c>
      <c r="J77" s="17">
        <f>IFERROR(__xludf.DUMMYFUNCTION("""COMPUTED_VALUE"""),1607)</f>
        <v>1607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IFERROR(__xludf.DUMMYFUNCTION("""COMPUTED_VALUE"""),1566.4)</f>
        <v>1566.4</v>
      </c>
      <c r="C78" s="16">
        <f>IFERROR(__xludf.DUMMYFUNCTION("""COMPUTED_VALUE"""),45853.6458333333)</f>
        <v>45853.6458333333</v>
      </c>
      <c r="D78" s="17">
        <f>IFERROR(__xludf.DUMMYFUNCTION("""COMPUTED_VALUE"""),1590)</f>
        <v>1590</v>
      </c>
      <c r="E78" s="16">
        <f>IFERROR(__xludf.DUMMYFUNCTION("""COMPUTED_VALUE"""),45853.6458333333)</f>
        <v>45853.6458333333</v>
      </c>
      <c r="F78" s="17">
        <f>IFERROR(__xludf.DUMMYFUNCTION("""COMPUTED_VALUE"""),14685607)</f>
        <v>14685607</v>
      </c>
      <c r="G78" s="16">
        <f>IFERROR(__xludf.DUMMYFUNCTION("""COMPUTED_VALUE"""),45853.6458333333)</f>
        <v>45853.6458333333</v>
      </c>
      <c r="H78" s="17">
        <f>IFERROR(__xludf.DUMMYFUNCTION("""COMPUTED_VALUE"""),1621.4)</f>
        <v>1621.4</v>
      </c>
      <c r="I78" s="16">
        <f>IFERROR(__xludf.DUMMYFUNCTION("""COMPUTED_VALUE"""),45853.6458333333)</f>
        <v>45853.6458333333</v>
      </c>
      <c r="J78" s="17">
        <f>IFERROR(__xludf.DUMMYFUNCTION("""COMPUTED_VALUE"""),1550)</f>
        <v>1550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IFERROR(__xludf.DUMMYFUNCTION("""COMPUTED_VALUE"""),1562.8)</f>
        <v>1562.8</v>
      </c>
      <c r="C79" s="16">
        <f>IFERROR(__xludf.DUMMYFUNCTION("""COMPUTED_VALUE"""),45854.6458333333)</f>
        <v>45854.6458333333</v>
      </c>
      <c r="D79" s="17">
        <f>IFERROR(__xludf.DUMMYFUNCTION("""COMPUTED_VALUE"""),1566.4)</f>
        <v>1566.4</v>
      </c>
      <c r="E79" s="16">
        <f>IFERROR(__xludf.DUMMYFUNCTION("""COMPUTED_VALUE"""),45854.6458333333)</f>
        <v>45854.6458333333</v>
      </c>
      <c r="F79" s="17">
        <f>IFERROR(__xludf.DUMMYFUNCTION("""COMPUTED_VALUE"""),5218099)</f>
        <v>5218099</v>
      </c>
      <c r="G79" s="16">
        <f>IFERROR(__xludf.DUMMYFUNCTION("""COMPUTED_VALUE"""),45854.6458333333)</f>
        <v>45854.6458333333</v>
      </c>
      <c r="H79" s="17">
        <f>IFERROR(__xludf.DUMMYFUNCTION("""COMPUTED_VALUE"""),1574)</f>
        <v>1574</v>
      </c>
      <c r="I79" s="16">
        <f>IFERROR(__xludf.DUMMYFUNCTION("""COMPUTED_VALUE"""),45854.6458333333)</f>
        <v>45854.6458333333</v>
      </c>
      <c r="J79" s="17">
        <f>IFERROR(__xludf.DUMMYFUNCTION("""COMPUTED_VALUE"""),1560)</f>
        <v>1560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IFERROR(__xludf.DUMMYFUNCTION("""COMPUTED_VALUE"""),1543.9)</f>
        <v>1543.9</v>
      </c>
      <c r="C80" s="16">
        <f>IFERROR(__xludf.DUMMYFUNCTION("""COMPUTED_VALUE"""),45855.6458333333)</f>
        <v>45855.6458333333</v>
      </c>
      <c r="D80" s="17">
        <f>IFERROR(__xludf.DUMMYFUNCTION("""COMPUTED_VALUE"""),1563.6)</f>
        <v>1563.6</v>
      </c>
      <c r="E80" s="16">
        <f>IFERROR(__xludf.DUMMYFUNCTION("""COMPUTED_VALUE"""),45855.6458333333)</f>
        <v>45855.6458333333</v>
      </c>
      <c r="F80" s="17">
        <f>IFERROR(__xludf.DUMMYFUNCTION("""COMPUTED_VALUE"""),4966082)</f>
        <v>4966082</v>
      </c>
      <c r="G80" s="16">
        <f>IFERROR(__xludf.DUMMYFUNCTION("""COMPUTED_VALUE"""),45855.6458333333)</f>
        <v>45855.6458333333</v>
      </c>
      <c r="H80" s="17">
        <f>IFERROR(__xludf.DUMMYFUNCTION("""COMPUTED_VALUE"""),1566.8)</f>
        <v>1566.8</v>
      </c>
      <c r="I80" s="16">
        <f>IFERROR(__xludf.DUMMYFUNCTION("""COMPUTED_VALUE"""),45855.6458333333)</f>
        <v>45855.6458333333</v>
      </c>
      <c r="J80" s="17">
        <f>IFERROR(__xludf.DUMMYFUNCTION("""COMPUTED_VALUE"""),1542.4)</f>
        <v>1542.4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IFERROR(__xludf.DUMMYFUNCTION("""COMPUTED_VALUE"""),1548.8)</f>
        <v>1548.8</v>
      </c>
      <c r="C81" s="16">
        <f>IFERROR(__xludf.DUMMYFUNCTION("""COMPUTED_VALUE"""),45856.6458333333)</f>
        <v>45856.6458333333</v>
      </c>
      <c r="D81" s="17">
        <f>IFERROR(__xludf.DUMMYFUNCTION("""COMPUTED_VALUE"""),1544)</f>
        <v>1544</v>
      </c>
      <c r="E81" s="16">
        <f>IFERROR(__xludf.DUMMYFUNCTION("""COMPUTED_VALUE"""),45856.6458333333)</f>
        <v>45856.6458333333</v>
      </c>
      <c r="F81" s="17">
        <f>IFERROR(__xludf.DUMMYFUNCTION("""COMPUTED_VALUE"""),3902458)</f>
        <v>3902458</v>
      </c>
      <c r="G81" s="16">
        <f>IFERROR(__xludf.DUMMYFUNCTION("""COMPUTED_VALUE"""),45856.6458333333)</f>
        <v>45856.6458333333</v>
      </c>
      <c r="H81" s="17">
        <f>IFERROR(__xludf.DUMMYFUNCTION("""COMPUTED_VALUE"""),1550)</f>
        <v>1550</v>
      </c>
      <c r="I81" s="16">
        <f>IFERROR(__xludf.DUMMYFUNCTION("""COMPUTED_VALUE"""),45856.6458333333)</f>
        <v>45856.6458333333</v>
      </c>
      <c r="J81" s="17">
        <f>IFERROR(__xludf.DUMMYFUNCTION("""COMPUTED_VALUE"""),1530)</f>
        <v>1530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IFERROR(__xludf.DUMMYFUNCTION("""COMPUTED_VALUE"""),1530.4)</f>
        <v>1530.4</v>
      </c>
      <c r="C82" s="16">
        <f>IFERROR(__xludf.DUMMYFUNCTION("""COMPUTED_VALUE"""),45859.6458333333)</f>
        <v>45859.6458333333</v>
      </c>
      <c r="D82" s="17">
        <f>IFERROR(__xludf.DUMMYFUNCTION("""COMPUTED_VALUE"""),1548.8)</f>
        <v>1548.8</v>
      </c>
      <c r="E82" s="16">
        <f>IFERROR(__xludf.DUMMYFUNCTION("""COMPUTED_VALUE"""),45859.6458333333)</f>
        <v>45859.6458333333</v>
      </c>
      <c r="F82" s="17">
        <f>IFERROR(__xludf.DUMMYFUNCTION("""COMPUTED_VALUE"""),3368842)</f>
        <v>3368842</v>
      </c>
      <c r="G82" s="16">
        <f>IFERROR(__xludf.DUMMYFUNCTION("""COMPUTED_VALUE"""),45859.6458333333)</f>
        <v>45859.6458333333</v>
      </c>
      <c r="H82" s="17">
        <f>IFERROR(__xludf.DUMMYFUNCTION("""COMPUTED_VALUE"""),1550.7)</f>
        <v>1550.7</v>
      </c>
      <c r="I82" s="16">
        <f>IFERROR(__xludf.DUMMYFUNCTION("""COMPUTED_VALUE"""),45859.6458333333)</f>
        <v>45859.6458333333</v>
      </c>
      <c r="J82" s="17">
        <f>IFERROR(__xludf.DUMMYFUNCTION("""COMPUTED_VALUE"""),1526)</f>
        <v>1526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IFERROR(__xludf.DUMMYFUNCTION("""COMPUTED_VALUE"""),1520.1)</f>
        <v>1520.1</v>
      </c>
      <c r="C83" s="16">
        <f>IFERROR(__xludf.DUMMYFUNCTION("""COMPUTED_VALUE"""),45860.6458333333)</f>
        <v>45860.6458333333</v>
      </c>
      <c r="D83" s="17">
        <f>IFERROR(__xludf.DUMMYFUNCTION("""COMPUTED_VALUE"""),1533.1)</f>
        <v>1533.1</v>
      </c>
      <c r="E83" s="16">
        <f>IFERROR(__xludf.DUMMYFUNCTION("""COMPUTED_VALUE"""),45860.6458333333)</f>
        <v>45860.6458333333</v>
      </c>
      <c r="F83" s="17">
        <f>IFERROR(__xludf.DUMMYFUNCTION("""COMPUTED_VALUE"""),3218227)</f>
        <v>3218227</v>
      </c>
      <c r="G83" s="16">
        <f>IFERROR(__xludf.DUMMYFUNCTION("""COMPUTED_VALUE"""),45860.6458333333)</f>
        <v>45860.6458333333</v>
      </c>
      <c r="H83" s="17">
        <f>IFERROR(__xludf.DUMMYFUNCTION("""COMPUTED_VALUE"""),1539.8)</f>
        <v>1539.8</v>
      </c>
      <c r="I83" s="16">
        <f>IFERROR(__xludf.DUMMYFUNCTION("""COMPUTED_VALUE"""),45860.6458333333)</f>
        <v>45860.6458333333</v>
      </c>
      <c r="J83" s="17">
        <f>IFERROR(__xludf.DUMMYFUNCTION("""COMPUTED_VALUE"""),1518.3)</f>
        <v>1518.3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IFERROR(__xludf.DUMMYFUNCTION("""COMPUTED_VALUE"""),1529.8)</f>
        <v>1529.8</v>
      </c>
      <c r="C84" s="16">
        <f>IFERROR(__xludf.DUMMYFUNCTION("""COMPUTED_VALUE"""),45861.6458333333)</f>
        <v>45861.6458333333</v>
      </c>
      <c r="D84" s="17">
        <f>IFERROR(__xludf.DUMMYFUNCTION("""COMPUTED_VALUE"""),1524.1)</f>
        <v>1524.1</v>
      </c>
      <c r="E84" s="16">
        <f>IFERROR(__xludf.DUMMYFUNCTION("""COMPUTED_VALUE"""),45861.6458333333)</f>
        <v>45861.6458333333</v>
      </c>
      <c r="F84" s="17">
        <f>IFERROR(__xludf.DUMMYFUNCTION("""COMPUTED_VALUE"""),3471536)</f>
        <v>3471536</v>
      </c>
      <c r="G84" s="16">
        <f>IFERROR(__xludf.DUMMYFUNCTION("""COMPUTED_VALUE"""),45861.6458333333)</f>
        <v>45861.6458333333</v>
      </c>
      <c r="H84" s="17">
        <f>IFERROR(__xludf.DUMMYFUNCTION("""COMPUTED_VALUE"""),1536)</f>
        <v>1536</v>
      </c>
      <c r="I84" s="16">
        <f>IFERROR(__xludf.DUMMYFUNCTION("""COMPUTED_VALUE"""),45861.6458333333)</f>
        <v>45861.6458333333</v>
      </c>
      <c r="J84" s="17">
        <f>IFERROR(__xludf.DUMMYFUNCTION("""COMPUTED_VALUE"""),1518)</f>
        <v>1518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IFERROR(__xludf.DUMMYFUNCTION("""COMPUTED_VALUE"""),1507.2)</f>
        <v>1507.2</v>
      </c>
      <c r="C85" s="16">
        <f>IFERROR(__xludf.DUMMYFUNCTION("""COMPUTED_VALUE"""),45862.6458333333)</f>
        <v>45862.6458333333</v>
      </c>
      <c r="D85" s="17">
        <f>IFERROR(__xludf.DUMMYFUNCTION("""COMPUTED_VALUE"""),1530)</f>
        <v>1530</v>
      </c>
      <c r="E85" s="16">
        <f>IFERROR(__xludf.DUMMYFUNCTION("""COMPUTED_VALUE"""),45862.6458333333)</f>
        <v>45862.6458333333</v>
      </c>
      <c r="F85" s="17">
        <f>IFERROR(__xludf.DUMMYFUNCTION("""COMPUTED_VALUE"""),4654421)</f>
        <v>4654421</v>
      </c>
      <c r="G85" s="16">
        <f>IFERROR(__xludf.DUMMYFUNCTION("""COMPUTED_VALUE"""),45862.6458333333)</f>
        <v>45862.6458333333</v>
      </c>
      <c r="H85" s="17">
        <f>IFERROR(__xludf.DUMMYFUNCTION("""COMPUTED_VALUE"""),1537.9)</f>
        <v>1537.9</v>
      </c>
      <c r="I85" s="16">
        <f>IFERROR(__xludf.DUMMYFUNCTION("""COMPUTED_VALUE"""),45862.6458333333)</f>
        <v>45862.6458333333</v>
      </c>
      <c r="J85" s="17">
        <f>IFERROR(__xludf.DUMMYFUNCTION("""COMPUTED_VALUE"""),1501.6)</f>
        <v>1501.6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IFERROR(__xludf.DUMMYFUNCTION("""COMPUTED_VALUE"""),1490.1)</f>
        <v>1490.1</v>
      </c>
      <c r="C86" s="16">
        <f>IFERROR(__xludf.DUMMYFUNCTION("""COMPUTED_VALUE"""),45863.6458333333)</f>
        <v>45863.6458333333</v>
      </c>
      <c r="D86" s="17">
        <f>IFERROR(__xludf.DUMMYFUNCTION("""COMPUTED_VALUE"""),1501.1)</f>
        <v>1501.1</v>
      </c>
      <c r="E86" s="16">
        <f>IFERROR(__xludf.DUMMYFUNCTION("""COMPUTED_VALUE"""),45863.6458333333)</f>
        <v>45863.6458333333</v>
      </c>
      <c r="F86" s="17">
        <f>IFERROR(__xludf.DUMMYFUNCTION("""COMPUTED_VALUE"""),2733655)</f>
        <v>2733655</v>
      </c>
      <c r="G86" s="16">
        <f>IFERROR(__xludf.DUMMYFUNCTION("""COMPUTED_VALUE"""),45863.6458333333)</f>
        <v>45863.6458333333</v>
      </c>
      <c r="H86" s="17">
        <f>IFERROR(__xludf.DUMMYFUNCTION("""COMPUTED_VALUE"""),1512.2)</f>
        <v>1512.2</v>
      </c>
      <c r="I86" s="16">
        <f>IFERROR(__xludf.DUMMYFUNCTION("""COMPUTED_VALUE"""),45863.6458333333)</f>
        <v>45863.6458333333</v>
      </c>
      <c r="J86" s="17">
        <f>IFERROR(__xludf.DUMMYFUNCTION("""COMPUTED_VALUE"""),1486.6)</f>
        <v>1486.6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IFERROR(__xludf.DUMMYFUNCTION("""COMPUTED_VALUE"""),1466.1)</f>
        <v>1466.1</v>
      </c>
      <c r="C87" s="16">
        <f>IFERROR(__xludf.DUMMYFUNCTION("""COMPUTED_VALUE"""),45866.6458333333)</f>
        <v>45866.6458333333</v>
      </c>
      <c r="D87" s="17">
        <f>IFERROR(__xludf.DUMMYFUNCTION("""COMPUTED_VALUE"""),1490.1)</f>
        <v>1490.1</v>
      </c>
      <c r="E87" s="16">
        <f>IFERROR(__xludf.DUMMYFUNCTION("""COMPUTED_VALUE"""),45866.6458333333)</f>
        <v>45866.6458333333</v>
      </c>
      <c r="F87" s="17">
        <f>IFERROR(__xludf.DUMMYFUNCTION("""COMPUTED_VALUE"""),4404841)</f>
        <v>4404841</v>
      </c>
      <c r="G87" s="16">
        <f>IFERROR(__xludf.DUMMYFUNCTION("""COMPUTED_VALUE"""),45866.6458333333)</f>
        <v>45866.6458333333</v>
      </c>
      <c r="H87" s="17">
        <f>IFERROR(__xludf.DUMMYFUNCTION("""COMPUTED_VALUE"""),1494.2)</f>
        <v>1494.2</v>
      </c>
      <c r="I87" s="16">
        <f>IFERROR(__xludf.DUMMYFUNCTION("""COMPUTED_VALUE"""),45866.6458333333)</f>
        <v>45866.6458333333</v>
      </c>
      <c r="J87" s="17">
        <f>IFERROR(__xludf.DUMMYFUNCTION("""COMPUTED_VALUE"""),1463.5)</f>
        <v>1463.5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IFERROR(__xludf.DUMMYFUNCTION("""COMPUTED_VALUE"""),1472.4)</f>
        <v>1472.4</v>
      </c>
      <c r="C88" s="16">
        <f>IFERROR(__xludf.DUMMYFUNCTION("""COMPUTED_VALUE"""),45867.6458333333)</f>
        <v>45867.6458333333</v>
      </c>
      <c r="D88" s="17">
        <f>IFERROR(__xludf.DUMMYFUNCTION("""COMPUTED_VALUE"""),1466.1)</f>
        <v>1466.1</v>
      </c>
      <c r="E88" s="16">
        <f>IFERROR(__xludf.DUMMYFUNCTION("""COMPUTED_VALUE"""),45867.6458333333)</f>
        <v>45867.6458333333</v>
      </c>
      <c r="F88" s="17">
        <f>IFERROR(__xludf.DUMMYFUNCTION("""COMPUTED_VALUE"""),6223556)</f>
        <v>6223556</v>
      </c>
      <c r="G88" s="16">
        <f>IFERROR(__xludf.DUMMYFUNCTION("""COMPUTED_VALUE"""),45867.6458333333)</f>
        <v>45867.6458333333</v>
      </c>
      <c r="H88" s="17">
        <f>IFERROR(__xludf.DUMMYFUNCTION("""COMPUTED_VALUE"""),1477.5)</f>
        <v>1477.5</v>
      </c>
      <c r="I88" s="16">
        <f>IFERROR(__xludf.DUMMYFUNCTION("""COMPUTED_VALUE"""),45867.6458333333)</f>
        <v>45867.6458333333</v>
      </c>
      <c r="J88" s="17">
        <f>IFERROR(__xludf.DUMMYFUNCTION("""COMPUTED_VALUE"""),1461)</f>
        <v>1461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IFERROR(__xludf.DUMMYFUNCTION("""COMPUTED_VALUE"""),1476.5)</f>
        <v>1476.5</v>
      </c>
      <c r="C89" s="16">
        <f>IFERROR(__xludf.DUMMYFUNCTION("""COMPUTED_VALUE"""),45868.6458333333)</f>
        <v>45868.6458333333</v>
      </c>
      <c r="D89" s="17">
        <f>IFERROR(__xludf.DUMMYFUNCTION("""COMPUTED_VALUE"""),1480.5)</f>
        <v>1480.5</v>
      </c>
      <c r="E89" s="16">
        <f>IFERROR(__xludf.DUMMYFUNCTION("""COMPUTED_VALUE"""),45868.6458333333)</f>
        <v>45868.6458333333</v>
      </c>
      <c r="F89" s="17">
        <f>IFERROR(__xludf.DUMMYFUNCTION("""COMPUTED_VALUE"""),1642426)</f>
        <v>1642426</v>
      </c>
      <c r="G89" s="16">
        <f>IFERROR(__xludf.DUMMYFUNCTION("""COMPUTED_VALUE"""),45868.6458333333)</f>
        <v>45868.6458333333</v>
      </c>
      <c r="H89" s="17">
        <f>IFERROR(__xludf.DUMMYFUNCTION("""COMPUTED_VALUE"""),1484.3)</f>
        <v>1484.3</v>
      </c>
      <c r="I89" s="16">
        <f>IFERROR(__xludf.DUMMYFUNCTION("""COMPUTED_VALUE"""),45868.6458333333)</f>
        <v>45868.6458333333</v>
      </c>
      <c r="J89" s="17">
        <f>IFERROR(__xludf.DUMMYFUNCTION("""COMPUTED_VALUE"""),1468.8)</f>
        <v>1468.8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IFERROR(__xludf.DUMMYFUNCTION("""COMPUTED_VALUE"""),1467.9)</f>
        <v>1467.9</v>
      </c>
      <c r="C90" s="16">
        <f>IFERROR(__xludf.DUMMYFUNCTION("""COMPUTED_VALUE"""),45869.6458333333)</f>
        <v>45869.6458333333</v>
      </c>
      <c r="D90" s="17">
        <f>IFERROR(__xludf.DUMMYFUNCTION("""COMPUTED_VALUE"""),1465)</f>
        <v>1465</v>
      </c>
      <c r="E90" s="16">
        <f>IFERROR(__xludf.DUMMYFUNCTION("""COMPUTED_VALUE"""),45869.6458333333)</f>
        <v>45869.6458333333</v>
      </c>
      <c r="F90" s="17">
        <f>IFERROR(__xludf.DUMMYFUNCTION("""COMPUTED_VALUE"""),2306285)</f>
        <v>2306285</v>
      </c>
      <c r="G90" s="16">
        <f>IFERROR(__xludf.DUMMYFUNCTION("""COMPUTED_VALUE"""),45869.6458333333)</f>
        <v>45869.6458333333</v>
      </c>
      <c r="H90" s="17">
        <f>IFERROR(__xludf.DUMMYFUNCTION("""COMPUTED_VALUE"""),1482.7)</f>
        <v>1482.7</v>
      </c>
      <c r="I90" s="16">
        <f>IFERROR(__xludf.DUMMYFUNCTION("""COMPUTED_VALUE"""),45869.6458333333)</f>
        <v>45869.6458333333</v>
      </c>
      <c r="J90" s="17">
        <f>IFERROR(__xludf.DUMMYFUNCTION("""COMPUTED_VALUE"""),1459.5)</f>
        <v>1459.5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IFERROR(__xludf.DUMMYFUNCTION("""COMPUTED_VALUE"""),1452.1)</f>
        <v>1452.1</v>
      </c>
      <c r="C91" s="16">
        <f>IFERROR(__xludf.DUMMYFUNCTION("""COMPUTED_VALUE"""),45870.6458333333)</f>
        <v>45870.6458333333</v>
      </c>
      <c r="D91" s="17">
        <f>IFERROR(__xludf.DUMMYFUNCTION("""COMPUTED_VALUE"""),1465)</f>
        <v>1465</v>
      </c>
      <c r="E91" s="16">
        <f>IFERROR(__xludf.DUMMYFUNCTION("""COMPUTED_VALUE"""),45870.6458333333)</f>
        <v>45870.6458333333</v>
      </c>
      <c r="F91" s="17">
        <f>IFERROR(__xludf.DUMMYFUNCTION("""COMPUTED_VALUE"""),2152783)</f>
        <v>2152783</v>
      </c>
      <c r="G91" s="16">
        <f>IFERROR(__xludf.DUMMYFUNCTION("""COMPUTED_VALUE"""),45870.6458333333)</f>
        <v>45870.6458333333</v>
      </c>
      <c r="H91" s="17">
        <f>IFERROR(__xludf.DUMMYFUNCTION("""COMPUTED_VALUE"""),1466.9)</f>
        <v>1466.9</v>
      </c>
      <c r="I91" s="16">
        <f>IFERROR(__xludf.DUMMYFUNCTION("""COMPUTED_VALUE"""),45870.6458333333)</f>
        <v>45870.6458333333</v>
      </c>
      <c r="J91" s="17">
        <f>IFERROR(__xludf.DUMMYFUNCTION("""COMPUTED_VALUE"""),1450)</f>
        <v>1450</v>
      </c>
      <c r="K91" s="3">
        <f t="shared" si="2"/>
        <v>0</v>
      </c>
      <c r="L91" s="3">
        <f t="shared" si="3"/>
        <v>1452.1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IFERROR(__xludf.DUMMYFUNCTION("""COMPUTED_VALUE"""),1474.4)</f>
        <v>1474.4</v>
      </c>
      <c r="C92" s="16">
        <f>IFERROR(__xludf.DUMMYFUNCTION("""COMPUTED_VALUE"""),45873.6458333333)</f>
        <v>45873.6458333333</v>
      </c>
      <c r="D92" s="17">
        <f>IFERROR(__xludf.DUMMYFUNCTION("""COMPUTED_VALUE"""),1452.1)</f>
        <v>1452.1</v>
      </c>
      <c r="E92" s="16">
        <f>IFERROR(__xludf.DUMMYFUNCTION("""COMPUTED_VALUE"""),45873.6458333333)</f>
        <v>45873.6458333333</v>
      </c>
      <c r="F92" s="17">
        <f>IFERROR(__xludf.DUMMYFUNCTION("""COMPUTED_VALUE"""),2384774)</f>
        <v>2384774</v>
      </c>
      <c r="G92" s="16">
        <f>IFERROR(__xludf.DUMMYFUNCTION("""COMPUTED_VALUE"""),45873.6458333333)</f>
        <v>45873.6458333333</v>
      </c>
      <c r="H92" s="17">
        <f>IFERROR(__xludf.DUMMYFUNCTION("""COMPUTED_VALUE"""),1475.4)</f>
        <v>1475.4</v>
      </c>
      <c r="I92" s="16">
        <f>IFERROR(__xludf.DUMMYFUNCTION("""COMPUTED_VALUE"""),45873.6458333333)</f>
        <v>45873.6458333333</v>
      </c>
      <c r="J92" s="17">
        <f>IFERROR(__xludf.DUMMYFUNCTION("""COMPUTED_VALUE"""),1440.6)</f>
        <v>1440.6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IFERROR(__xludf.DUMMYFUNCTION("""COMPUTED_VALUE"""),1482.7)</f>
        <v>1482.7</v>
      </c>
      <c r="C93" s="16">
        <f>IFERROR(__xludf.DUMMYFUNCTION("""COMPUTED_VALUE"""),45874.6458333333)</f>
        <v>45874.6458333333</v>
      </c>
      <c r="D93" s="17">
        <f>IFERROR(__xludf.DUMMYFUNCTION("""COMPUTED_VALUE"""),1479.9)</f>
        <v>1479.9</v>
      </c>
      <c r="E93" s="16">
        <f>IFERROR(__xludf.DUMMYFUNCTION("""COMPUTED_VALUE"""),45874.6458333333)</f>
        <v>45874.6458333333</v>
      </c>
      <c r="F93" s="17">
        <f>IFERROR(__xludf.DUMMYFUNCTION("""COMPUTED_VALUE"""),2614394)</f>
        <v>2614394</v>
      </c>
      <c r="G93" s="16">
        <f>IFERROR(__xludf.DUMMYFUNCTION("""COMPUTED_VALUE"""),45874.6458333333)</f>
        <v>45874.6458333333</v>
      </c>
      <c r="H93" s="17">
        <f>IFERROR(__xludf.DUMMYFUNCTION("""COMPUTED_VALUE"""),1485.4)</f>
        <v>1485.4</v>
      </c>
      <c r="I93" s="16">
        <f>IFERROR(__xludf.DUMMYFUNCTION("""COMPUTED_VALUE"""),45874.6458333333)</f>
        <v>45874.6458333333</v>
      </c>
      <c r="J93" s="17">
        <f>IFERROR(__xludf.DUMMYFUNCTION("""COMPUTED_VALUE"""),1471.2)</f>
        <v>1471.2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IFERROR(__xludf.DUMMYFUNCTION("""COMPUTED_VALUE"""),1463.2)</f>
        <v>1463.2</v>
      </c>
      <c r="C94" s="16">
        <f>IFERROR(__xludf.DUMMYFUNCTION("""COMPUTED_VALUE"""),45875.6458333333)</f>
        <v>45875.6458333333</v>
      </c>
      <c r="D94" s="17">
        <f>IFERROR(__xludf.DUMMYFUNCTION("""COMPUTED_VALUE"""),1480.9)</f>
        <v>1480.9</v>
      </c>
      <c r="E94" s="16">
        <f>IFERROR(__xludf.DUMMYFUNCTION("""COMPUTED_VALUE"""),45875.6458333333)</f>
        <v>45875.6458333333</v>
      </c>
      <c r="F94" s="17">
        <f>IFERROR(__xludf.DUMMYFUNCTION("""COMPUTED_VALUE"""),1735697)</f>
        <v>1735697</v>
      </c>
      <c r="G94" s="16">
        <f>IFERROR(__xludf.DUMMYFUNCTION("""COMPUTED_VALUE"""),45875.6458333333)</f>
        <v>45875.6458333333</v>
      </c>
      <c r="H94" s="17">
        <f>IFERROR(__xludf.DUMMYFUNCTION("""COMPUTED_VALUE"""),1483.7)</f>
        <v>1483.7</v>
      </c>
      <c r="I94" s="16">
        <f>IFERROR(__xludf.DUMMYFUNCTION("""COMPUTED_VALUE"""),45875.6458333333)</f>
        <v>45875.6458333333</v>
      </c>
      <c r="J94" s="17">
        <f>IFERROR(__xludf.DUMMYFUNCTION("""COMPUTED_VALUE"""),1456.4)</f>
        <v>1456.4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IFERROR(__xludf.DUMMYFUNCTION("""COMPUTED_VALUE"""),1475.5)</f>
        <v>1475.5</v>
      </c>
      <c r="C95" s="16">
        <f>IFERROR(__xludf.DUMMYFUNCTION("""COMPUTED_VALUE"""),45876.6458333333)</f>
        <v>45876.6458333333</v>
      </c>
      <c r="D95" s="17">
        <f>IFERROR(__xludf.DUMMYFUNCTION("""COMPUTED_VALUE"""),1458)</f>
        <v>1458</v>
      </c>
      <c r="E95" s="16">
        <f>IFERROR(__xludf.DUMMYFUNCTION("""COMPUTED_VALUE"""),45876.6458333333)</f>
        <v>45876.6458333333</v>
      </c>
      <c r="F95" s="17">
        <f>IFERROR(__xludf.DUMMYFUNCTION("""COMPUTED_VALUE"""),1495363)</f>
        <v>1495363</v>
      </c>
      <c r="G95" s="16">
        <f>IFERROR(__xludf.DUMMYFUNCTION("""COMPUTED_VALUE"""),45876.6458333333)</f>
        <v>45876.6458333333</v>
      </c>
      <c r="H95" s="17">
        <f>IFERROR(__xludf.DUMMYFUNCTION("""COMPUTED_VALUE"""),1479.2)</f>
        <v>1479.2</v>
      </c>
      <c r="I95" s="16">
        <f>IFERROR(__xludf.DUMMYFUNCTION("""COMPUTED_VALUE"""),45876.6458333333)</f>
        <v>45876.6458333333</v>
      </c>
      <c r="J95" s="17">
        <f>IFERROR(__xludf.DUMMYFUNCTION("""COMPUTED_VALUE"""),1451)</f>
        <v>1451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IFERROR(__xludf.DUMMYFUNCTION("""COMPUTED_VALUE"""),1475.7)</f>
        <v>1475.7</v>
      </c>
      <c r="C96" s="16">
        <f>IFERROR(__xludf.DUMMYFUNCTION("""COMPUTED_VALUE"""),45877.6458333333)</f>
        <v>45877.6458333333</v>
      </c>
      <c r="D96" s="17">
        <f>IFERROR(__xludf.DUMMYFUNCTION("""COMPUTED_VALUE"""),1474.8)</f>
        <v>1474.8</v>
      </c>
      <c r="E96" s="16">
        <f>IFERROR(__xludf.DUMMYFUNCTION("""COMPUTED_VALUE"""),45877.6458333333)</f>
        <v>45877.6458333333</v>
      </c>
      <c r="F96" s="17">
        <f>IFERROR(__xludf.DUMMYFUNCTION("""COMPUTED_VALUE"""),2815614)</f>
        <v>2815614</v>
      </c>
      <c r="G96" s="16">
        <f>IFERROR(__xludf.DUMMYFUNCTION("""COMPUTED_VALUE"""),45877.6458333333)</f>
        <v>45877.6458333333</v>
      </c>
      <c r="H96" s="17">
        <f>IFERROR(__xludf.DUMMYFUNCTION("""COMPUTED_VALUE"""),1482.2)</f>
        <v>1482.2</v>
      </c>
      <c r="I96" s="16">
        <f>IFERROR(__xludf.DUMMYFUNCTION("""COMPUTED_VALUE"""),45877.6458333333)</f>
        <v>45877.6458333333</v>
      </c>
      <c r="J96" s="17">
        <f>IFERROR(__xludf.DUMMYFUNCTION("""COMPUTED_VALUE"""),1459)</f>
        <v>1459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IFERROR(__xludf.DUMMYFUNCTION("""COMPUTED_VALUE"""),1488)</f>
        <v>1488</v>
      </c>
      <c r="C97" s="16">
        <f>IFERROR(__xludf.DUMMYFUNCTION("""COMPUTED_VALUE"""),45880.6458333333)</f>
        <v>45880.6458333333</v>
      </c>
      <c r="D97" s="17">
        <f>IFERROR(__xludf.DUMMYFUNCTION("""COMPUTED_VALUE"""),1475)</f>
        <v>1475</v>
      </c>
      <c r="E97" s="16">
        <f>IFERROR(__xludf.DUMMYFUNCTION("""COMPUTED_VALUE"""),45880.6458333333)</f>
        <v>45880.6458333333</v>
      </c>
      <c r="F97" s="17">
        <f>IFERROR(__xludf.DUMMYFUNCTION("""COMPUTED_VALUE"""),2374556)</f>
        <v>2374556</v>
      </c>
      <c r="G97" s="16">
        <f>IFERROR(__xludf.DUMMYFUNCTION("""COMPUTED_VALUE"""),45880.6458333333)</f>
        <v>45880.6458333333</v>
      </c>
      <c r="H97" s="17">
        <f>IFERROR(__xludf.DUMMYFUNCTION("""COMPUTED_VALUE"""),1531)</f>
        <v>1531</v>
      </c>
      <c r="I97" s="16">
        <f>IFERROR(__xludf.DUMMYFUNCTION("""COMPUTED_VALUE"""),45880.6458333333)</f>
        <v>45880.6458333333</v>
      </c>
      <c r="J97" s="17">
        <f>IFERROR(__xludf.DUMMYFUNCTION("""COMPUTED_VALUE"""),1465.6)</f>
        <v>1465.6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IFERROR(__xludf.DUMMYFUNCTION("""COMPUTED_VALUE"""),1499.1)</f>
        <v>1499.1</v>
      </c>
      <c r="C98" s="16">
        <f>IFERROR(__xludf.DUMMYFUNCTION("""COMPUTED_VALUE"""),45881.6458333333)</f>
        <v>45881.6458333333</v>
      </c>
      <c r="D98" s="17">
        <f>IFERROR(__xludf.DUMMYFUNCTION("""COMPUTED_VALUE"""),1490)</f>
        <v>1490</v>
      </c>
      <c r="E98" s="16">
        <f>IFERROR(__xludf.DUMMYFUNCTION("""COMPUTED_VALUE"""),45881.6458333333)</f>
        <v>45881.6458333333</v>
      </c>
      <c r="F98" s="17">
        <f>IFERROR(__xludf.DUMMYFUNCTION("""COMPUTED_VALUE"""),3422656)</f>
        <v>3422656</v>
      </c>
      <c r="G98" s="16">
        <f>IFERROR(__xludf.DUMMYFUNCTION("""COMPUTED_VALUE"""),45881.6458333333)</f>
        <v>45881.6458333333</v>
      </c>
      <c r="H98" s="17">
        <f>IFERROR(__xludf.DUMMYFUNCTION("""COMPUTED_VALUE"""),1509.9)</f>
        <v>1509.9</v>
      </c>
      <c r="I98" s="16">
        <f>IFERROR(__xludf.DUMMYFUNCTION("""COMPUTED_VALUE"""),45881.6458333333)</f>
        <v>45881.6458333333</v>
      </c>
      <c r="J98" s="17">
        <f>IFERROR(__xludf.DUMMYFUNCTION("""COMPUTED_VALUE"""),1489)</f>
        <v>1489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IFERROR(__xludf.DUMMYFUNCTION("""COMPUTED_VALUE"""),1501.1)</f>
        <v>1501.1</v>
      </c>
      <c r="C99" s="16">
        <f>IFERROR(__xludf.DUMMYFUNCTION("""COMPUTED_VALUE"""),45882.6458333333)</f>
        <v>45882.6458333333</v>
      </c>
      <c r="D99" s="17">
        <f>IFERROR(__xludf.DUMMYFUNCTION("""COMPUTED_VALUE"""),1500)</f>
        <v>1500</v>
      </c>
      <c r="E99" s="16">
        <f>IFERROR(__xludf.DUMMYFUNCTION("""COMPUTED_VALUE"""),45882.6458333333)</f>
        <v>45882.6458333333</v>
      </c>
      <c r="F99" s="17">
        <f>IFERROR(__xludf.DUMMYFUNCTION("""COMPUTED_VALUE"""),2916128)</f>
        <v>2916128</v>
      </c>
      <c r="G99" s="16">
        <f>IFERROR(__xludf.DUMMYFUNCTION("""COMPUTED_VALUE"""),45882.6458333333)</f>
        <v>45882.6458333333</v>
      </c>
      <c r="H99" s="17">
        <f>IFERROR(__xludf.DUMMYFUNCTION("""COMPUTED_VALUE"""),1507.5)</f>
        <v>1507.5</v>
      </c>
      <c r="I99" s="16">
        <f>IFERROR(__xludf.DUMMYFUNCTION("""COMPUTED_VALUE"""),45882.6458333333)</f>
        <v>45882.6458333333</v>
      </c>
      <c r="J99" s="17">
        <f>IFERROR(__xludf.DUMMYFUNCTION("""COMPUTED_VALUE"""),1489)</f>
        <v>1489</v>
      </c>
      <c r="K99" s="3">
        <f t="shared" si="2"/>
        <v>1501.1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IFERROR(__xludf.DUMMYFUNCTION("""COMPUTED_VALUE"""),1489.8)</f>
        <v>1489.8</v>
      </c>
      <c r="C100" s="16">
        <f>IFERROR(__xludf.DUMMYFUNCTION("""COMPUTED_VALUE"""),45883.6458333333)</f>
        <v>45883.6458333333</v>
      </c>
      <c r="D100" s="17">
        <f>IFERROR(__xludf.DUMMYFUNCTION("""COMPUTED_VALUE"""),1501)</f>
        <v>1501</v>
      </c>
      <c r="E100" s="16">
        <f>IFERROR(__xludf.DUMMYFUNCTION("""COMPUTED_VALUE"""),45883.6458333333)</f>
        <v>45883.6458333333</v>
      </c>
      <c r="F100" s="17">
        <f>IFERROR(__xludf.DUMMYFUNCTION("""COMPUTED_VALUE"""),4227538)</f>
        <v>4227538</v>
      </c>
      <c r="G100" s="16">
        <f>IFERROR(__xludf.DUMMYFUNCTION("""COMPUTED_VALUE"""),45883.6458333333)</f>
        <v>45883.6458333333</v>
      </c>
      <c r="H100" s="17">
        <f>IFERROR(__xludf.DUMMYFUNCTION("""COMPUTED_VALUE"""),1516.2)</f>
        <v>1516.2</v>
      </c>
      <c r="I100" s="16">
        <f>IFERROR(__xludf.DUMMYFUNCTION("""COMPUTED_VALUE"""),45883.6458333333)</f>
        <v>45883.6458333333</v>
      </c>
      <c r="J100" s="17">
        <f>IFERROR(__xludf.DUMMYFUNCTION("""COMPUTED_VALUE"""),1485.8)</f>
        <v>1485.8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IFERROR(__xludf.DUMMYFUNCTION("""COMPUTED_VALUE"""),1485)</f>
        <v>1485</v>
      </c>
      <c r="C101" s="16">
        <f>IFERROR(__xludf.DUMMYFUNCTION("""COMPUTED_VALUE"""),45887.6458333333)</f>
        <v>45887.6458333333</v>
      </c>
      <c r="D101" s="17">
        <f>IFERROR(__xludf.DUMMYFUNCTION("""COMPUTED_VALUE"""),1498.1)</f>
        <v>1498.1</v>
      </c>
      <c r="E101" s="16">
        <f>IFERROR(__xludf.DUMMYFUNCTION("""COMPUTED_VALUE"""),45887.6458333333)</f>
        <v>45887.6458333333</v>
      </c>
      <c r="F101" s="17">
        <f>IFERROR(__xludf.DUMMYFUNCTION("""COMPUTED_VALUE"""),2795155)</f>
        <v>2795155</v>
      </c>
      <c r="G101" s="16">
        <f>IFERROR(__xludf.DUMMYFUNCTION("""COMPUTED_VALUE"""),45887.6458333333)</f>
        <v>45887.6458333333</v>
      </c>
      <c r="H101" s="17">
        <f>IFERROR(__xludf.DUMMYFUNCTION("""COMPUTED_VALUE"""),1501.9)</f>
        <v>1501.9</v>
      </c>
      <c r="I101" s="16">
        <f>IFERROR(__xludf.DUMMYFUNCTION("""COMPUTED_VALUE"""),45887.6458333333)</f>
        <v>45887.6458333333</v>
      </c>
      <c r="J101" s="17">
        <f>IFERROR(__xludf.DUMMYFUNCTION("""COMPUTED_VALUE"""),1475.9)</f>
        <v>1475.9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IFERROR(__xludf.DUMMYFUNCTION("""COMPUTED_VALUE"""),1476.1)</f>
        <v>1476.1</v>
      </c>
      <c r="C102" s="16">
        <f>IFERROR(__xludf.DUMMYFUNCTION("""COMPUTED_VALUE"""),45888.6458333333)</f>
        <v>45888.6458333333</v>
      </c>
      <c r="D102" s="17">
        <f>IFERROR(__xludf.DUMMYFUNCTION("""COMPUTED_VALUE"""),1476.3)</f>
        <v>1476.3</v>
      </c>
      <c r="E102" s="16">
        <f>IFERROR(__xludf.DUMMYFUNCTION("""COMPUTED_VALUE"""),45888.6458333333)</f>
        <v>45888.6458333333</v>
      </c>
      <c r="F102" s="17">
        <f>IFERROR(__xludf.DUMMYFUNCTION("""COMPUTED_VALUE"""),2515817)</f>
        <v>2515817</v>
      </c>
      <c r="G102" s="16">
        <f>IFERROR(__xludf.DUMMYFUNCTION("""COMPUTED_VALUE"""),45888.6458333333)</f>
        <v>45888.6458333333</v>
      </c>
      <c r="H102" s="17">
        <f>IFERROR(__xludf.DUMMYFUNCTION("""COMPUTED_VALUE"""),1482.6)</f>
        <v>1482.6</v>
      </c>
      <c r="I102" s="16">
        <f>IFERROR(__xludf.DUMMYFUNCTION("""COMPUTED_VALUE"""),45888.6458333333)</f>
        <v>45888.6458333333</v>
      </c>
      <c r="J102" s="17">
        <f>IFERROR(__xludf.DUMMYFUNCTION("""COMPUTED_VALUE"""),1469.2)</f>
        <v>1469.2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IFERROR(__xludf.DUMMYFUNCTION("""COMPUTED_VALUE"""),1496)</f>
        <v>1496</v>
      </c>
      <c r="C103" s="16">
        <f>IFERROR(__xludf.DUMMYFUNCTION("""COMPUTED_VALUE"""),45889.6458333333)</f>
        <v>45889.6458333333</v>
      </c>
      <c r="D103" s="17">
        <f>IFERROR(__xludf.DUMMYFUNCTION("""COMPUTED_VALUE"""),1468)</f>
        <v>1468</v>
      </c>
      <c r="E103" s="16">
        <f>IFERROR(__xludf.DUMMYFUNCTION("""COMPUTED_VALUE"""),45889.6458333333)</f>
        <v>45889.6458333333</v>
      </c>
      <c r="F103" s="17">
        <f>IFERROR(__xludf.DUMMYFUNCTION("""COMPUTED_VALUE"""),10219330)</f>
        <v>10219330</v>
      </c>
      <c r="G103" s="16">
        <f>IFERROR(__xludf.DUMMYFUNCTION("""COMPUTED_VALUE"""),45889.6458333333)</f>
        <v>45889.6458333333</v>
      </c>
      <c r="H103" s="17">
        <f>IFERROR(__xludf.DUMMYFUNCTION("""COMPUTED_VALUE"""),1500.3)</f>
        <v>1500.3</v>
      </c>
      <c r="I103" s="16">
        <f>IFERROR(__xludf.DUMMYFUNCTION("""COMPUTED_VALUE"""),45889.6458333333)</f>
        <v>45889.6458333333</v>
      </c>
      <c r="J103" s="17">
        <f>IFERROR(__xludf.DUMMYFUNCTION("""COMPUTED_VALUE"""),1458)</f>
        <v>1458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IFERROR(__xludf.DUMMYFUNCTION("""COMPUTED_VALUE"""),1493.5)</f>
        <v>1493.5</v>
      </c>
      <c r="C104" s="16">
        <f>IFERROR(__xludf.DUMMYFUNCTION("""COMPUTED_VALUE"""),45890.6458333333)</f>
        <v>45890.6458333333</v>
      </c>
      <c r="D104" s="17">
        <f>IFERROR(__xludf.DUMMYFUNCTION("""COMPUTED_VALUE"""),1500)</f>
        <v>1500</v>
      </c>
      <c r="E104" s="16">
        <f>IFERROR(__xludf.DUMMYFUNCTION("""COMPUTED_VALUE"""),45890.6458333333)</f>
        <v>45890.6458333333</v>
      </c>
      <c r="F104" s="17">
        <f>IFERROR(__xludf.DUMMYFUNCTION("""COMPUTED_VALUE"""),2157601)</f>
        <v>2157601</v>
      </c>
      <c r="G104" s="16">
        <f>IFERROR(__xludf.DUMMYFUNCTION("""COMPUTED_VALUE"""),45890.6458333333)</f>
        <v>45890.6458333333</v>
      </c>
      <c r="H104" s="17">
        <f>IFERROR(__xludf.DUMMYFUNCTION("""COMPUTED_VALUE"""),1505)</f>
        <v>1505</v>
      </c>
      <c r="I104" s="16">
        <f>IFERROR(__xludf.DUMMYFUNCTION("""COMPUTED_VALUE"""),45890.6458333333)</f>
        <v>45890.6458333333</v>
      </c>
      <c r="J104" s="17">
        <f>IFERROR(__xludf.DUMMYFUNCTION("""COMPUTED_VALUE"""),1486.1)</f>
        <v>1486.1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IFERROR(__xludf.DUMMYFUNCTION("""COMPUTED_VALUE"""),1466.3)</f>
        <v>1466.3</v>
      </c>
      <c r="C105" s="16">
        <f>IFERROR(__xludf.DUMMYFUNCTION("""COMPUTED_VALUE"""),45891.6458333333)</f>
        <v>45891.6458333333</v>
      </c>
      <c r="D105" s="17">
        <f>IFERROR(__xludf.DUMMYFUNCTION("""COMPUTED_VALUE"""),1489.6)</f>
        <v>1489.6</v>
      </c>
      <c r="E105" s="16">
        <f>IFERROR(__xludf.DUMMYFUNCTION("""COMPUTED_VALUE"""),45891.6458333333)</f>
        <v>45891.6458333333</v>
      </c>
      <c r="F105" s="17">
        <f>IFERROR(__xludf.DUMMYFUNCTION("""COMPUTED_VALUE"""),2802805)</f>
        <v>2802805</v>
      </c>
      <c r="G105" s="16">
        <f>IFERROR(__xludf.DUMMYFUNCTION("""COMPUTED_VALUE"""),45891.6458333333)</f>
        <v>45891.6458333333</v>
      </c>
      <c r="H105" s="17">
        <f>IFERROR(__xludf.DUMMYFUNCTION("""COMPUTED_VALUE"""),1491.5)</f>
        <v>1491.5</v>
      </c>
      <c r="I105" s="16">
        <f>IFERROR(__xludf.DUMMYFUNCTION("""COMPUTED_VALUE"""),45891.6458333333)</f>
        <v>45891.6458333333</v>
      </c>
      <c r="J105" s="17">
        <f>IFERROR(__xludf.DUMMYFUNCTION("""COMPUTED_VALUE"""),1464)</f>
        <v>1464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IFERROR(__xludf.DUMMYFUNCTION("""COMPUTED_VALUE"""),1504.2)</f>
        <v>1504.2</v>
      </c>
      <c r="C106" s="16">
        <f>IFERROR(__xludf.DUMMYFUNCTION("""COMPUTED_VALUE"""),45894.6458333333)</f>
        <v>45894.6458333333</v>
      </c>
      <c r="D106" s="17">
        <f>IFERROR(__xludf.DUMMYFUNCTION("""COMPUTED_VALUE"""),1480)</f>
        <v>1480</v>
      </c>
      <c r="E106" s="16">
        <f>IFERROR(__xludf.DUMMYFUNCTION("""COMPUTED_VALUE"""),45894.6458333333)</f>
        <v>45894.6458333333</v>
      </c>
      <c r="F106" s="17">
        <f>IFERROR(__xludf.DUMMYFUNCTION("""COMPUTED_VALUE"""),2764914)</f>
        <v>2764914</v>
      </c>
      <c r="G106" s="16">
        <f>IFERROR(__xludf.DUMMYFUNCTION("""COMPUTED_VALUE"""),45894.6458333333)</f>
        <v>45894.6458333333</v>
      </c>
      <c r="H106" s="17">
        <f>IFERROR(__xludf.DUMMYFUNCTION("""COMPUTED_VALUE"""),1509.7)</f>
        <v>1509.7</v>
      </c>
      <c r="I106" s="16">
        <f>IFERROR(__xludf.DUMMYFUNCTION("""COMPUTED_VALUE"""),45894.6458333333)</f>
        <v>45894.6458333333</v>
      </c>
      <c r="J106" s="17">
        <f>IFERROR(__xludf.DUMMYFUNCTION("""COMPUTED_VALUE"""),1476.2)</f>
        <v>1476.2</v>
      </c>
      <c r="K106" s="3">
        <f t="shared" si="2"/>
        <v>1504.2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IFERROR(__xludf.DUMMYFUNCTION("""COMPUTED_VALUE"""),1492.8)</f>
        <v>1492.8</v>
      </c>
      <c r="C107" s="16">
        <f>IFERROR(__xludf.DUMMYFUNCTION("""COMPUTED_VALUE"""),45895.6458333333)</f>
        <v>45895.6458333333</v>
      </c>
      <c r="D107" s="17">
        <f>IFERROR(__xludf.DUMMYFUNCTION("""COMPUTED_VALUE"""),1501.9)</f>
        <v>1501.9</v>
      </c>
      <c r="E107" s="16">
        <f>IFERROR(__xludf.DUMMYFUNCTION("""COMPUTED_VALUE"""),45895.6458333333)</f>
        <v>45895.6458333333</v>
      </c>
      <c r="F107" s="17">
        <f>IFERROR(__xludf.DUMMYFUNCTION("""COMPUTED_VALUE"""),4092265)</f>
        <v>4092265</v>
      </c>
      <c r="G107" s="16">
        <f>IFERROR(__xludf.DUMMYFUNCTION("""COMPUTED_VALUE"""),45895.6458333333)</f>
        <v>45895.6458333333</v>
      </c>
      <c r="H107" s="17">
        <f>IFERROR(__xludf.DUMMYFUNCTION("""COMPUTED_VALUE"""),1506.5)</f>
        <v>1506.5</v>
      </c>
      <c r="I107" s="16">
        <f>IFERROR(__xludf.DUMMYFUNCTION("""COMPUTED_VALUE"""),45895.6458333333)</f>
        <v>45895.6458333333</v>
      </c>
      <c r="J107" s="17">
        <f>IFERROR(__xludf.DUMMYFUNCTION("""COMPUTED_VALUE"""),1485)</f>
        <v>1485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IFERROR(__xludf.DUMMYFUNCTION("""COMPUTED_VALUE"""),1449.8)</f>
        <v>1449.8</v>
      </c>
      <c r="C108" s="16">
        <f>IFERROR(__xludf.DUMMYFUNCTION("""COMPUTED_VALUE"""),45897.6458333333)</f>
        <v>45897.6458333333</v>
      </c>
      <c r="D108" s="17">
        <f>IFERROR(__xludf.DUMMYFUNCTION("""COMPUTED_VALUE"""),1488)</f>
        <v>1488</v>
      </c>
      <c r="E108" s="16">
        <f>IFERROR(__xludf.DUMMYFUNCTION("""COMPUTED_VALUE"""),45897.6458333333)</f>
        <v>45897.6458333333</v>
      </c>
      <c r="F108" s="17">
        <f>IFERROR(__xludf.DUMMYFUNCTION("""COMPUTED_VALUE"""),4367902)</f>
        <v>4367902</v>
      </c>
      <c r="G108" s="16">
        <f>IFERROR(__xludf.DUMMYFUNCTION("""COMPUTED_VALUE"""),45897.6458333333)</f>
        <v>45897.6458333333</v>
      </c>
      <c r="H108" s="17">
        <f>IFERROR(__xludf.DUMMYFUNCTION("""COMPUTED_VALUE"""),1488)</f>
        <v>1488</v>
      </c>
      <c r="I108" s="16">
        <f>IFERROR(__xludf.DUMMYFUNCTION("""COMPUTED_VALUE"""),45897.6458333333)</f>
        <v>45897.6458333333</v>
      </c>
      <c r="J108" s="17">
        <f>IFERROR(__xludf.DUMMYFUNCTION("""COMPUTED_VALUE"""),1446)</f>
        <v>1446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IFERROR(__xludf.DUMMYFUNCTION("""COMPUTED_VALUE"""),1454.8)</f>
        <v>1454.8</v>
      </c>
      <c r="C109" s="16">
        <f>IFERROR(__xludf.DUMMYFUNCTION("""COMPUTED_VALUE"""),45898.6458333333)</f>
        <v>45898.6458333333</v>
      </c>
      <c r="D109" s="17">
        <f>IFERROR(__xludf.DUMMYFUNCTION("""COMPUTED_VALUE"""),1449.8)</f>
        <v>1449.8</v>
      </c>
      <c r="E109" s="16">
        <f>IFERROR(__xludf.DUMMYFUNCTION("""COMPUTED_VALUE"""),45898.6458333333)</f>
        <v>45898.6458333333</v>
      </c>
      <c r="F109" s="17">
        <f>IFERROR(__xludf.DUMMYFUNCTION("""COMPUTED_VALUE"""),3404604)</f>
        <v>3404604</v>
      </c>
      <c r="G109" s="16">
        <f>IFERROR(__xludf.DUMMYFUNCTION("""COMPUTED_VALUE"""),45898.6458333333)</f>
        <v>45898.6458333333</v>
      </c>
      <c r="H109" s="17">
        <f>IFERROR(__xludf.DUMMYFUNCTION("""COMPUTED_VALUE"""),1462.6)</f>
        <v>1462.6</v>
      </c>
      <c r="I109" s="16">
        <f>IFERROR(__xludf.DUMMYFUNCTION("""COMPUTED_VALUE"""),45898.6458333333)</f>
        <v>45898.6458333333</v>
      </c>
      <c r="J109" s="17">
        <f>IFERROR(__xludf.DUMMYFUNCTION("""COMPUTED_VALUE"""),1439.2)</f>
        <v>1439.2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IFERROR(__xludf.DUMMYFUNCTION("""COMPUTED_VALUE"""),1468.4)</f>
        <v>1468.4</v>
      </c>
      <c r="C110" s="16">
        <f>IFERROR(__xludf.DUMMYFUNCTION("""COMPUTED_VALUE"""),45901.6458333333)</f>
        <v>45901.6458333333</v>
      </c>
      <c r="D110" s="17">
        <f>IFERROR(__xludf.DUMMYFUNCTION("""COMPUTED_VALUE"""),1446)</f>
        <v>1446</v>
      </c>
      <c r="E110" s="16">
        <f>IFERROR(__xludf.DUMMYFUNCTION("""COMPUTED_VALUE"""),45901.6458333333)</f>
        <v>45901.6458333333</v>
      </c>
      <c r="F110" s="17">
        <f>IFERROR(__xludf.DUMMYFUNCTION("""COMPUTED_VALUE"""),2105254)</f>
        <v>2105254</v>
      </c>
      <c r="G110" s="16">
        <f>IFERROR(__xludf.DUMMYFUNCTION("""COMPUTED_VALUE"""),45901.6458333333)</f>
        <v>45901.6458333333</v>
      </c>
      <c r="H110" s="17">
        <f>IFERROR(__xludf.DUMMYFUNCTION("""COMPUTED_VALUE"""),1472.5)</f>
        <v>1472.5</v>
      </c>
      <c r="I110" s="16">
        <f>IFERROR(__xludf.DUMMYFUNCTION("""COMPUTED_VALUE"""),45901.6458333333)</f>
        <v>45901.6458333333</v>
      </c>
      <c r="J110" s="17">
        <f>IFERROR(__xludf.DUMMYFUNCTION("""COMPUTED_VALUE"""),1446)</f>
        <v>1446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IFERROR(__xludf.DUMMYFUNCTION("""COMPUTED_VALUE"""),1465.7)</f>
        <v>1465.7</v>
      </c>
      <c r="C111" s="16">
        <f>IFERROR(__xludf.DUMMYFUNCTION("""COMPUTED_VALUE"""),45902.6458333333)</f>
        <v>45902.6458333333</v>
      </c>
      <c r="D111" s="17">
        <f>IFERROR(__xludf.DUMMYFUNCTION("""COMPUTED_VALUE"""),1469)</f>
        <v>1469</v>
      </c>
      <c r="E111" s="16">
        <f>IFERROR(__xludf.DUMMYFUNCTION("""COMPUTED_VALUE"""),45902.6458333333)</f>
        <v>45902.6458333333</v>
      </c>
      <c r="F111" s="17">
        <f>IFERROR(__xludf.DUMMYFUNCTION("""COMPUTED_VALUE"""),1295198)</f>
        <v>1295198</v>
      </c>
      <c r="G111" s="16">
        <f>IFERROR(__xludf.DUMMYFUNCTION("""COMPUTED_VALUE"""),45902.6458333333)</f>
        <v>45902.6458333333</v>
      </c>
      <c r="H111" s="17">
        <f>IFERROR(__xludf.DUMMYFUNCTION("""COMPUTED_VALUE"""),1477.4)</f>
        <v>1477.4</v>
      </c>
      <c r="I111" s="16">
        <f>IFERROR(__xludf.DUMMYFUNCTION("""COMPUTED_VALUE"""),45902.6458333333)</f>
        <v>45902.6458333333</v>
      </c>
      <c r="J111" s="17">
        <f>IFERROR(__xludf.DUMMYFUNCTION("""COMPUTED_VALUE"""),1459.7)</f>
        <v>1459.7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IFERROR(__xludf.DUMMYFUNCTION("""COMPUTED_VALUE"""),1466.1)</f>
        <v>1466.1</v>
      </c>
      <c r="C112" s="16">
        <f>IFERROR(__xludf.DUMMYFUNCTION("""COMPUTED_VALUE"""),45903.6458333333)</f>
        <v>45903.6458333333</v>
      </c>
      <c r="D112" s="17">
        <f>IFERROR(__xludf.DUMMYFUNCTION("""COMPUTED_VALUE"""),1475)</f>
        <v>1475</v>
      </c>
      <c r="E112" s="16">
        <f>IFERROR(__xludf.DUMMYFUNCTION("""COMPUTED_VALUE"""),45903.6458333333)</f>
        <v>45903.6458333333</v>
      </c>
      <c r="F112" s="17">
        <f>IFERROR(__xludf.DUMMYFUNCTION("""COMPUTED_VALUE"""),1800307)</f>
        <v>1800307</v>
      </c>
      <c r="G112" s="16">
        <f>IFERROR(__xludf.DUMMYFUNCTION("""COMPUTED_VALUE"""),45903.6458333333)</f>
        <v>45903.6458333333</v>
      </c>
      <c r="H112" s="17">
        <f>IFERROR(__xludf.DUMMYFUNCTION("""COMPUTED_VALUE"""),1475)</f>
        <v>1475</v>
      </c>
      <c r="I112" s="16">
        <f>IFERROR(__xludf.DUMMYFUNCTION("""COMPUTED_VALUE"""),45903.6458333333)</f>
        <v>45903.6458333333</v>
      </c>
      <c r="J112" s="17">
        <f>IFERROR(__xludf.DUMMYFUNCTION("""COMPUTED_VALUE"""),1452.6)</f>
        <v>1452.6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IFERROR(__xludf.DUMMYFUNCTION("""COMPUTED_VALUE"""),1443.3)</f>
        <v>1443.3</v>
      </c>
      <c r="C113" s="16">
        <f>IFERROR(__xludf.DUMMYFUNCTION("""COMPUTED_VALUE"""),45904.6458333333)</f>
        <v>45904.6458333333</v>
      </c>
      <c r="D113" s="17">
        <f>IFERROR(__xludf.DUMMYFUNCTION("""COMPUTED_VALUE"""),1465.1)</f>
        <v>1465.1</v>
      </c>
      <c r="E113" s="16">
        <f>IFERROR(__xludf.DUMMYFUNCTION("""COMPUTED_VALUE"""),45904.6458333333)</f>
        <v>45904.6458333333</v>
      </c>
      <c r="F113" s="17">
        <f>IFERROR(__xludf.DUMMYFUNCTION("""COMPUTED_VALUE"""),2192155)</f>
        <v>2192155</v>
      </c>
      <c r="G113" s="16">
        <f>IFERROR(__xludf.DUMMYFUNCTION("""COMPUTED_VALUE"""),45904.6458333333)</f>
        <v>45904.6458333333</v>
      </c>
      <c r="H113" s="17">
        <f>IFERROR(__xludf.DUMMYFUNCTION("""COMPUTED_VALUE"""),1465.9)</f>
        <v>1465.9</v>
      </c>
      <c r="I113" s="16">
        <f>IFERROR(__xludf.DUMMYFUNCTION("""COMPUTED_VALUE"""),45904.6458333333)</f>
        <v>45904.6458333333</v>
      </c>
      <c r="J113" s="17">
        <f>IFERROR(__xludf.DUMMYFUNCTION("""COMPUTED_VALUE"""),1440.9)</f>
        <v>1440.9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IFERROR(__xludf.DUMMYFUNCTION("""COMPUTED_VALUE"""),1419)</f>
        <v>1419</v>
      </c>
      <c r="C114" s="16">
        <f>IFERROR(__xludf.DUMMYFUNCTION("""COMPUTED_VALUE"""),45905.6458333333)</f>
        <v>45905.6458333333</v>
      </c>
      <c r="D114" s="17">
        <f>IFERROR(__xludf.DUMMYFUNCTION("""COMPUTED_VALUE"""),1448)</f>
        <v>1448</v>
      </c>
      <c r="E114" s="16">
        <f>IFERROR(__xludf.DUMMYFUNCTION("""COMPUTED_VALUE"""),45905.6458333333)</f>
        <v>45905.6458333333</v>
      </c>
      <c r="F114" s="17">
        <f>IFERROR(__xludf.DUMMYFUNCTION("""COMPUTED_VALUE"""),3895199)</f>
        <v>3895199</v>
      </c>
      <c r="G114" s="16">
        <f>IFERROR(__xludf.DUMMYFUNCTION("""COMPUTED_VALUE"""),45905.6458333333)</f>
        <v>45905.6458333333</v>
      </c>
      <c r="H114" s="17">
        <f>IFERROR(__xludf.DUMMYFUNCTION("""COMPUTED_VALUE"""),1452.3)</f>
        <v>1452.3</v>
      </c>
      <c r="I114" s="16">
        <f>IFERROR(__xludf.DUMMYFUNCTION("""COMPUTED_VALUE"""),45905.6458333333)</f>
        <v>45905.6458333333</v>
      </c>
      <c r="J114" s="17">
        <f>IFERROR(__xludf.DUMMYFUNCTION("""COMPUTED_VALUE"""),1402.8)</f>
        <v>1402.8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IFERROR(__xludf.DUMMYFUNCTION("""COMPUTED_VALUE"""),1403)</f>
        <v>1403</v>
      </c>
      <c r="C115" s="16">
        <f>IFERROR(__xludf.DUMMYFUNCTION("""COMPUTED_VALUE"""),45908.6458333333)</f>
        <v>45908.6458333333</v>
      </c>
      <c r="D115" s="17">
        <f>IFERROR(__xludf.DUMMYFUNCTION("""COMPUTED_VALUE"""),1423.9)</f>
        <v>1423.9</v>
      </c>
      <c r="E115" s="16">
        <f>IFERROR(__xludf.DUMMYFUNCTION("""COMPUTED_VALUE"""),45908.6458333333)</f>
        <v>45908.6458333333</v>
      </c>
      <c r="F115" s="17">
        <f>IFERROR(__xludf.DUMMYFUNCTION("""COMPUTED_VALUE"""),2929976)</f>
        <v>2929976</v>
      </c>
      <c r="G115" s="16">
        <f>IFERROR(__xludf.DUMMYFUNCTION("""COMPUTED_VALUE"""),45908.6458333333)</f>
        <v>45908.6458333333</v>
      </c>
      <c r="H115" s="17">
        <f>IFERROR(__xludf.DUMMYFUNCTION("""COMPUTED_VALUE"""),1428.6)</f>
        <v>1428.6</v>
      </c>
      <c r="I115" s="16">
        <f>IFERROR(__xludf.DUMMYFUNCTION("""COMPUTED_VALUE"""),45908.6458333333)</f>
        <v>45908.6458333333</v>
      </c>
      <c r="J115" s="17">
        <f>IFERROR(__xludf.DUMMYFUNCTION("""COMPUTED_VALUE"""),1401)</f>
        <v>1401</v>
      </c>
      <c r="K115" s="3">
        <f t="shared" si="2"/>
        <v>0</v>
      </c>
      <c r="L115" s="3">
        <f t="shared" si="3"/>
        <v>1403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IFERROR(__xludf.DUMMYFUNCTION("""COMPUTED_VALUE"""),1427.1)</f>
        <v>1427.1</v>
      </c>
      <c r="C116" s="16">
        <f>IFERROR(__xludf.DUMMYFUNCTION("""COMPUTED_VALUE"""),45909.6458333333)</f>
        <v>45909.6458333333</v>
      </c>
      <c r="D116" s="17">
        <f>IFERROR(__xludf.DUMMYFUNCTION("""COMPUTED_VALUE"""),1410.2)</f>
        <v>1410.2</v>
      </c>
      <c r="E116" s="16">
        <f>IFERROR(__xludf.DUMMYFUNCTION("""COMPUTED_VALUE"""),45909.6458333333)</f>
        <v>45909.6458333333</v>
      </c>
      <c r="F116" s="17">
        <f>IFERROR(__xludf.DUMMYFUNCTION("""COMPUTED_VALUE"""),2906889)</f>
        <v>2906889</v>
      </c>
      <c r="G116" s="16">
        <f>IFERROR(__xludf.DUMMYFUNCTION("""COMPUTED_VALUE"""),45909.6458333333)</f>
        <v>45909.6458333333</v>
      </c>
      <c r="H116" s="17">
        <f>IFERROR(__xludf.DUMMYFUNCTION("""COMPUTED_VALUE"""),1431.8)</f>
        <v>1431.8</v>
      </c>
      <c r="I116" s="16">
        <f>IFERROR(__xludf.DUMMYFUNCTION("""COMPUTED_VALUE"""),45909.6458333333)</f>
        <v>45909.6458333333</v>
      </c>
      <c r="J116" s="17">
        <f>IFERROR(__xludf.DUMMYFUNCTION("""COMPUTED_VALUE"""),1409.1)</f>
        <v>1409.1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IFERROR(__xludf.DUMMYFUNCTION("""COMPUTED_VALUE"""),1463.9)</f>
        <v>1463.9</v>
      </c>
      <c r="C117" s="16">
        <f>IFERROR(__xludf.DUMMYFUNCTION("""COMPUTED_VALUE"""),45910.6458333333)</f>
        <v>45910.6458333333</v>
      </c>
      <c r="D117" s="17">
        <f>IFERROR(__xludf.DUMMYFUNCTION("""COMPUTED_VALUE"""),1434.9)</f>
        <v>1434.9</v>
      </c>
      <c r="E117" s="16">
        <f>IFERROR(__xludf.DUMMYFUNCTION("""COMPUTED_VALUE"""),45910.6458333333)</f>
        <v>45910.6458333333</v>
      </c>
      <c r="F117" s="17">
        <f>IFERROR(__xludf.DUMMYFUNCTION("""COMPUTED_VALUE"""),3205017)</f>
        <v>3205017</v>
      </c>
      <c r="G117" s="16">
        <f>IFERROR(__xludf.DUMMYFUNCTION("""COMPUTED_VALUE"""),45910.6458333333)</f>
        <v>45910.6458333333</v>
      </c>
      <c r="H117" s="17">
        <f>IFERROR(__xludf.DUMMYFUNCTION("""COMPUTED_VALUE"""),1471.9)</f>
        <v>1471.9</v>
      </c>
      <c r="I117" s="16">
        <f>IFERROR(__xludf.DUMMYFUNCTION("""COMPUTED_VALUE"""),45910.6458333333)</f>
        <v>45910.6458333333</v>
      </c>
      <c r="J117" s="17">
        <f>IFERROR(__xludf.DUMMYFUNCTION("""COMPUTED_VALUE"""),1432.1)</f>
        <v>1432.1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IFERROR(__xludf.DUMMYFUNCTION("""COMPUTED_VALUE"""),1467.7)</f>
        <v>1467.7</v>
      </c>
      <c r="C118" s="16">
        <f>IFERROR(__xludf.DUMMYFUNCTION("""COMPUTED_VALUE"""),45911.6458333333)</f>
        <v>45911.6458333333</v>
      </c>
      <c r="D118" s="17">
        <f>IFERROR(__xludf.DUMMYFUNCTION("""COMPUTED_VALUE"""),1463.9)</f>
        <v>1463.9</v>
      </c>
      <c r="E118" s="16">
        <f>IFERROR(__xludf.DUMMYFUNCTION("""COMPUTED_VALUE"""),45911.6458333333)</f>
        <v>45911.6458333333</v>
      </c>
      <c r="F118" s="17">
        <f>IFERROR(__xludf.DUMMYFUNCTION("""COMPUTED_VALUE"""),1982922)</f>
        <v>1982922</v>
      </c>
      <c r="G118" s="16">
        <f>IFERROR(__xludf.DUMMYFUNCTION("""COMPUTED_VALUE"""),45911.6458333333)</f>
        <v>45911.6458333333</v>
      </c>
      <c r="H118" s="17">
        <f>IFERROR(__xludf.DUMMYFUNCTION("""COMPUTED_VALUE"""),1470.4)</f>
        <v>1470.4</v>
      </c>
      <c r="I118" s="16">
        <f>IFERROR(__xludf.DUMMYFUNCTION("""COMPUTED_VALUE"""),45911.6458333333)</f>
        <v>45911.6458333333</v>
      </c>
      <c r="J118" s="17">
        <f>IFERROR(__xludf.DUMMYFUNCTION("""COMPUTED_VALUE"""),1458.3)</f>
        <v>1458.3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IFERROR(__xludf.DUMMYFUNCTION("""COMPUTED_VALUE"""),1467.2)</f>
        <v>1467.2</v>
      </c>
      <c r="C119" s="16">
        <f>IFERROR(__xludf.DUMMYFUNCTION("""COMPUTED_VALUE"""),45912.6458333333)</f>
        <v>45912.6458333333</v>
      </c>
      <c r="D119" s="17">
        <f>IFERROR(__xludf.DUMMYFUNCTION("""COMPUTED_VALUE"""),1475)</f>
        <v>1475</v>
      </c>
      <c r="E119" s="16">
        <f>IFERROR(__xludf.DUMMYFUNCTION("""COMPUTED_VALUE"""),45912.6458333333)</f>
        <v>45912.6458333333</v>
      </c>
      <c r="F119" s="17">
        <f>IFERROR(__xludf.DUMMYFUNCTION("""COMPUTED_VALUE"""),2110883)</f>
        <v>2110883</v>
      </c>
      <c r="G119" s="16">
        <f>IFERROR(__xludf.DUMMYFUNCTION("""COMPUTED_VALUE"""),45912.6458333333)</f>
        <v>45912.6458333333</v>
      </c>
      <c r="H119" s="17">
        <f>IFERROR(__xludf.DUMMYFUNCTION("""COMPUTED_VALUE"""),1480)</f>
        <v>1480</v>
      </c>
      <c r="I119" s="16">
        <f>IFERROR(__xludf.DUMMYFUNCTION("""COMPUTED_VALUE"""),45912.6458333333)</f>
        <v>45912.6458333333</v>
      </c>
      <c r="J119" s="17">
        <f>IFERROR(__xludf.DUMMYFUNCTION("""COMPUTED_VALUE"""),1463)</f>
        <v>1463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IFERROR(__xludf.DUMMYFUNCTION("""COMPUTED_VALUE"""),1466.5)</f>
        <v>1466.5</v>
      </c>
      <c r="C120" s="16">
        <f>IFERROR(__xludf.DUMMYFUNCTION("""COMPUTED_VALUE"""),45915.6458333333)</f>
        <v>45915.6458333333</v>
      </c>
      <c r="D120" s="17">
        <f>IFERROR(__xludf.DUMMYFUNCTION("""COMPUTED_VALUE"""),1467.2)</f>
        <v>1467.2</v>
      </c>
      <c r="E120" s="16">
        <f>IFERROR(__xludf.DUMMYFUNCTION("""COMPUTED_VALUE"""),45915.6458333333)</f>
        <v>45915.6458333333</v>
      </c>
      <c r="F120" s="17">
        <f>IFERROR(__xludf.DUMMYFUNCTION("""COMPUTED_VALUE"""),1725617)</f>
        <v>1725617</v>
      </c>
      <c r="G120" s="16">
        <f>IFERROR(__xludf.DUMMYFUNCTION("""COMPUTED_VALUE"""),45915.6458333333)</f>
        <v>45915.6458333333</v>
      </c>
      <c r="H120" s="17">
        <f>IFERROR(__xludf.DUMMYFUNCTION("""COMPUTED_VALUE"""),1468.3)</f>
        <v>1468.3</v>
      </c>
      <c r="I120" s="16">
        <f>IFERROR(__xludf.DUMMYFUNCTION("""COMPUTED_VALUE"""),45915.6458333333)</f>
        <v>45915.6458333333</v>
      </c>
      <c r="J120" s="17">
        <f>IFERROR(__xludf.DUMMYFUNCTION("""COMPUTED_VALUE"""),1452)</f>
        <v>1452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IFERROR(__xludf.DUMMYFUNCTION("""COMPUTED_VALUE"""),1483.1)</f>
        <v>1483.1</v>
      </c>
      <c r="C121" s="16">
        <f>IFERROR(__xludf.DUMMYFUNCTION("""COMPUTED_VALUE"""),45916.6458333333)</f>
        <v>45916.6458333333</v>
      </c>
      <c r="D121" s="17">
        <f>IFERROR(__xludf.DUMMYFUNCTION("""COMPUTED_VALUE"""),1463.9)</f>
        <v>1463.9</v>
      </c>
      <c r="E121" s="16">
        <f>IFERROR(__xludf.DUMMYFUNCTION("""COMPUTED_VALUE"""),45916.6458333333)</f>
        <v>45916.6458333333</v>
      </c>
      <c r="F121" s="17">
        <f>IFERROR(__xludf.DUMMYFUNCTION("""COMPUTED_VALUE"""),1724524)</f>
        <v>1724524</v>
      </c>
      <c r="G121" s="16">
        <f>IFERROR(__xludf.DUMMYFUNCTION("""COMPUTED_VALUE"""),45916.6458333333)</f>
        <v>45916.6458333333</v>
      </c>
      <c r="H121" s="17">
        <f>IFERROR(__xludf.DUMMYFUNCTION("""COMPUTED_VALUE"""),1485.2)</f>
        <v>1485.2</v>
      </c>
      <c r="I121" s="16">
        <f>IFERROR(__xludf.DUMMYFUNCTION("""COMPUTED_VALUE"""),45916.6458333333)</f>
        <v>45916.6458333333</v>
      </c>
      <c r="J121" s="17">
        <f>IFERROR(__xludf.DUMMYFUNCTION("""COMPUTED_VALUE"""),1461.1)</f>
        <v>1461.1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IFERROR(__xludf.DUMMYFUNCTION("""COMPUTED_VALUE"""),1481.5)</f>
        <v>1481.5</v>
      </c>
      <c r="C122" s="16">
        <f>IFERROR(__xludf.DUMMYFUNCTION("""COMPUTED_VALUE"""),45917.6458333333)</f>
        <v>45917.6458333333</v>
      </c>
      <c r="D122" s="17">
        <f>IFERROR(__xludf.DUMMYFUNCTION("""COMPUTED_VALUE"""),1490.8)</f>
        <v>1490.8</v>
      </c>
      <c r="E122" s="16">
        <f>IFERROR(__xludf.DUMMYFUNCTION("""COMPUTED_VALUE"""),45917.6458333333)</f>
        <v>45917.6458333333</v>
      </c>
      <c r="F122" s="17">
        <f>IFERROR(__xludf.DUMMYFUNCTION("""COMPUTED_VALUE"""),2656774)</f>
        <v>2656774</v>
      </c>
      <c r="G122" s="16">
        <f>IFERROR(__xludf.DUMMYFUNCTION("""COMPUTED_VALUE"""),45917.6458333333)</f>
        <v>45917.6458333333</v>
      </c>
      <c r="H122" s="17">
        <f>IFERROR(__xludf.DUMMYFUNCTION("""COMPUTED_VALUE"""),1499)</f>
        <v>1499</v>
      </c>
      <c r="I122" s="16">
        <f>IFERROR(__xludf.DUMMYFUNCTION("""COMPUTED_VALUE"""),45917.6458333333)</f>
        <v>45917.6458333333</v>
      </c>
      <c r="J122" s="17">
        <f>IFERROR(__xludf.DUMMYFUNCTION("""COMPUTED_VALUE"""),1475.3)</f>
        <v>1475.3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IFERROR(__xludf.DUMMYFUNCTION("""COMPUTED_VALUE"""),1493.8)</f>
        <v>1493.8</v>
      </c>
      <c r="C123" s="16">
        <f>IFERROR(__xludf.DUMMYFUNCTION("""COMPUTED_VALUE"""),45918.6458333333)</f>
        <v>45918.6458333333</v>
      </c>
      <c r="D123" s="17">
        <f>IFERROR(__xludf.DUMMYFUNCTION("""COMPUTED_VALUE"""),1492.6)</f>
        <v>1492.6</v>
      </c>
      <c r="E123" s="16">
        <f>IFERROR(__xludf.DUMMYFUNCTION("""COMPUTED_VALUE"""),45918.6458333333)</f>
        <v>45918.6458333333</v>
      </c>
      <c r="F123" s="17">
        <f>IFERROR(__xludf.DUMMYFUNCTION("""COMPUTED_VALUE"""),2792406)</f>
        <v>2792406</v>
      </c>
      <c r="G123" s="16">
        <f>IFERROR(__xludf.DUMMYFUNCTION("""COMPUTED_VALUE"""),45918.6458333333)</f>
        <v>45918.6458333333</v>
      </c>
      <c r="H123" s="17">
        <f>IFERROR(__xludf.DUMMYFUNCTION("""COMPUTED_VALUE"""),1502.9)</f>
        <v>1502.9</v>
      </c>
      <c r="I123" s="16">
        <f>IFERROR(__xludf.DUMMYFUNCTION("""COMPUTED_VALUE"""),45918.6458333333)</f>
        <v>45918.6458333333</v>
      </c>
      <c r="J123" s="17">
        <f>IFERROR(__xludf.DUMMYFUNCTION("""COMPUTED_VALUE"""),1486.1)</f>
        <v>1486.1</v>
      </c>
      <c r="K123" s="3">
        <f t="shared" si="2"/>
        <v>1493.8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IFERROR(__xludf.DUMMYFUNCTION("""COMPUTED_VALUE"""),1467.4)</f>
        <v>1467.4</v>
      </c>
      <c r="C124" s="16">
        <f>IFERROR(__xludf.DUMMYFUNCTION("""COMPUTED_VALUE"""),45919.6458333333)</f>
        <v>45919.6458333333</v>
      </c>
      <c r="D124" s="17">
        <f>IFERROR(__xludf.DUMMYFUNCTION("""COMPUTED_VALUE"""),1493.8)</f>
        <v>1493.8</v>
      </c>
      <c r="E124" s="16">
        <f>IFERROR(__xludf.DUMMYFUNCTION("""COMPUTED_VALUE"""),45919.6458333333)</f>
        <v>45919.6458333333</v>
      </c>
      <c r="F124" s="17">
        <f>IFERROR(__xludf.DUMMYFUNCTION("""COMPUTED_VALUE"""),3197957)</f>
        <v>3197957</v>
      </c>
      <c r="G124" s="16">
        <f>IFERROR(__xludf.DUMMYFUNCTION("""COMPUTED_VALUE"""),45919.6458333333)</f>
        <v>45919.6458333333</v>
      </c>
      <c r="H124" s="17">
        <f>IFERROR(__xludf.DUMMYFUNCTION("""COMPUTED_VALUE"""),1493.8)</f>
        <v>1493.8</v>
      </c>
      <c r="I124" s="16">
        <f>IFERROR(__xludf.DUMMYFUNCTION("""COMPUTED_VALUE"""),45919.6458333333)</f>
        <v>45919.6458333333</v>
      </c>
      <c r="J124" s="17">
        <f>IFERROR(__xludf.DUMMYFUNCTION("""COMPUTED_VALUE"""),1464)</f>
        <v>1464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IFERROR(__xludf.DUMMYFUNCTION("""COMPUTED_VALUE"""),1439.9)</f>
        <v>1439.9</v>
      </c>
      <c r="C125" s="16">
        <f>IFERROR(__xludf.DUMMYFUNCTION("""COMPUTED_VALUE"""),45922.6458333333)</f>
        <v>45922.6458333333</v>
      </c>
      <c r="D125" s="17">
        <f>IFERROR(__xludf.DUMMYFUNCTION("""COMPUTED_VALUE"""),1423)</f>
        <v>1423</v>
      </c>
      <c r="E125" s="16">
        <f>IFERROR(__xludf.DUMMYFUNCTION("""COMPUTED_VALUE"""),45922.6458333333)</f>
        <v>45922.6458333333</v>
      </c>
      <c r="F125" s="17">
        <f>IFERROR(__xludf.DUMMYFUNCTION("""COMPUTED_VALUE"""),4457129)</f>
        <v>4457129</v>
      </c>
      <c r="G125" s="16">
        <f>IFERROR(__xludf.DUMMYFUNCTION("""COMPUTED_VALUE"""),45922.6458333333)</f>
        <v>45922.6458333333</v>
      </c>
      <c r="H125" s="17">
        <f>IFERROR(__xludf.DUMMYFUNCTION("""COMPUTED_VALUE"""),1449.2)</f>
        <v>1449.2</v>
      </c>
      <c r="I125" s="16">
        <f>IFERROR(__xludf.DUMMYFUNCTION("""COMPUTED_VALUE"""),45922.6458333333)</f>
        <v>45922.6458333333</v>
      </c>
      <c r="J125" s="17">
        <f>IFERROR(__xludf.DUMMYFUNCTION("""COMPUTED_VALUE"""),1415)</f>
        <v>1415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IFERROR(__xludf.DUMMYFUNCTION("""COMPUTED_VALUE"""),1429.8)</f>
        <v>1429.8</v>
      </c>
      <c r="C126" s="16">
        <f>IFERROR(__xludf.DUMMYFUNCTION("""COMPUTED_VALUE"""),45923.6458333333)</f>
        <v>45923.6458333333</v>
      </c>
      <c r="D126" s="17">
        <f>IFERROR(__xludf.DUMMYFUNCTION("""COMPUTED_VALUE"""),1444.2)</f>
        <v>1444.2</v>
      </c>
      <c r="E126" s="16">
        <f>IFERROR(__xludf.DUMMYFUNCTION("""COMPUTED_VALUE"""),45923.6458333333)</f>
        <v>45923.6458333333</v>
      </c>
      <c r="F126" s="17">
        <f>IFERROR(__xludf.DUMMYFUNCTION("""COMPUTED_VALUE"""),3106480)</f>
        <v>3106480</v>
      </c>
      <c r="G126" s="16">
        <f>IFERROR(__xludf.DUMMYFUNCTION("""COMPUTED_VALUE"""),45923.6458333333)</f>
        <v>45923.6458333333</v>
      </c>
      <c r="H126" s="17">
        <f>IFERROR(__xludf.DUMMYFUNCTION("""COMPUTED_VALUE"""),1444.2)</f>
        <v>1444.2</v>
      </c>
      <c r="I126" s="16">
        <f>IFERROR(__xludf.DUMMYFUNCTION("""COMPUTED_VALUE"""),45923.6458333333)</f>
        <v>45923.6458333333</v>
      </c>
      <c r="J126" s="17">
        <f>IFERROR(__xludf.DUMMYFUNCTION("""COMPUTED_VALUE"""),1420.4)</f>
        <v>1420.4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IFERROR(__xludf.DUMMYFUNCTION("""COMPUTED_VALUE"""),1442.3)</f>
        <v>1442.3</v>
      </c>
      <c r="C127" s="16">
        <f>IFERROR(__xludf.DUMMYFUNCTION("""COMPUTED_VALUE"""),45924.6458333333)</f>
        <v>45924.6458333333</v>
      </c>
      <c r="D127" s="17">
        <f>IFERROR(__xludf.DUMMYFUNCTION("""COMPUTED_VALUE"""),1425.1)</f>
        <v>1425.1</v>
      </c>
      <c r="E127" s="16">
        <f>IFERROR(__xludf.DUMMYFUNCTION("""COMPUTED_VALUE"""),45924.6458333333)</f>
        <v>45924.6458333333</v>
      </c>
      <c r="F127" s="17">
        <f>IFERROR(__xludf.DUMMYFUNCTION("""COMPUTED_VALUE"""),2894044)</f>
        <v>2894044</v>
      </c>
      <c r="G127" s="16">
        <f>IFERROR(__xludf.DUMMYFUNCTION("""COMPUTED_VALUE"""),45924.6458333333)</f>
        <v>45924.6458333333</v>
      </c>
      <c r="H127" s="17">
        <f>IFERROR(__xludf.DUMMYFUNCTION("""COMPUTED_VALUE"""),1444.7)</f>
        <v>1444.7</v>
      </c>
      <c r="I127" s="16">
        <f>IFERROR(__xludf.DUMMYFUNCTION("""COMPUTED_VALUE"""),45924.6458333333)</f>
        <v>45924.6458333333</v>
      </c>
      <c r="J127" s="17">
        <f>IFERROR(__xludf.DUMMYFUNCTION("""COMPUTED_VALUE"""),1420)</f>
        <v>1420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IFERROR(__xludf.DUMMYFUNCTION("""COMPUTED_VALUE"""),1423.8)</f>
        <v>1423.8</v>
      </c>
      <c r="C128" s="16">
        <f>IFERROR(__xludf.DUMMYFUNCTION("""COMPUTED_VALUE"""),45925.6458333333)</f>
        <v>45925.6458333333</v>
      </c>
      <c r="D128" s="17">
        <f>IFERROR(__xludf.DUMMYFUNCTION("""COMPUTED_VALUE"""),1440.2)</f>
        <v>1440.2</v>
      </c>
      <c r="E128" s="16">
        <f>IFERROR(__xludf.DUMMYFUNCTION("""COMPUTED_VALUE"""),45925.6458333333)</f>
        <v>45925.6458333333</v>
      </c>
      <c r="F128" s="17">
        <f>IFERROR(__xludf.DUMMYFUNCTION("""COMPUTED_VALUE"""),2713246)</f>
        <v>2713246</v>
      </c>
      <c r="G128" s="16">
        <f>IFERROR(__xludf.DUMMYFUNCTION("""COMPUTED_VALUE"""),45925.6458333333)</f>
        <v>45925.6458333333</v>
      </c>
      <c r="H128" s="17">
        <f>IFERROR(__xludf.DUMMYFUNCTION("""COMPUTED_VALUE"""),1442.5)</f>
        <v>1442.5</v>
      </c>
      <c r="I128" s="16">
        <f>IFERROR(__xludf.DUMMYFUNCTION("""COMPUTED_VALUE"""),45925.6458333333)</f>
        <v>45925.6458333333</v>
      </c>
      <c r="J128" s="17">
        <f>IFERROR(__xludf.DUMMYFUNCTION("""COMPUTED_VALUE"""),1416)</f>
        <v>1416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IFERROR(__xludf.DUMMYFUNCTION("""COMPUTED_VALUE"""),1395.3)</f>
        <v>1395.3</v>
      </c>
      <c r="C129" s="47">
        <f>IFERROR(__xludf.DUMMYFUNCTION("""COMPUTED_VALUE"""),45926.6458333333)</f>
        <v>45926.6458333333</v>
      </c>
      <c r="D129" s="48">
        <f>IFERROR(__xludf.DUMMYFUNCTION("""COMPUTED_VALUE"""),1420)</f>
        <v>1420</v>
      </c>
      <c r="E129" s="47">
        <f>IFERROR(__xludf.DUMMYFUNCTION("""COMPUTED_VALUE"""),45926.6458333333)</f>
        <v>45926.6458333333</v>
      </c>
      <c r="F129" s="48">
        <f>IFERROR(__xludf.DUMMYFUNCTION("""COMPUTED_VALUE"""),2568054)</f>
        <v>2568054</v>
      </c>
      <c r="G129" s="47">
        <f>IFERROR(__xludf.DUMMYFUNCTION("""COMPUTED_VALUE"""),45926.6458333333)</f>
        <v>45926.6458333333</v>
      </c>
      <c r="H129" s="48">
        <f>IFERROR(__xludf.DUMMYFUNCTION("""COMPUTED_VALUE"""),1426.5)</f>
        <v>1426.5</v>
      </c>
      <c r="I129" s="47">
        <f>IFERROR(__xludf.DUMMYFUNCTION("""COMPUTED_VALUE"""),45926.6458333333)</f>
        <v>45926.6458333333</v>
      </c>
      <c r="J129" s="48">
        <f>IFERROR(__xludf.DUMMYFUNCTION("""COMPUTED_VALUE"""),1392)</f>
        <v>1392</v>
      </c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46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""price"")"),944.25)</f>
        <v>944.25</v>
      </c>
      <c r="I3" s="22" t="s">
        <v>269</v>
      </c>
      <c r="J3" s="23">
        <f>IFERROR(__xludf.DUMMYFUNCTION("GOOGLEFINANCE(L3, ""volume"")"),14874656)</f>
        <v>14874656</v>
      </c>
      <c r="K3" s="24" t="s">
        <v>270</v>
      </c>
      <c r="L3" s="25" t="str">
        <f>Mastersheet!B19</f>
        <v>NSE:HDFCBANK</v>
      </c>
      <c r="M3" s="26">
        <f>IFERROR(__xludf.DUMMYFUNCTION("""COMPUTED_VALUE"""),45926.6458333333)</f>
        <v>45926.6458333333</v>
      </c>
      <c r="N3" s="27">
        <f>IFERROR(__xludf.DUMMYFUNCTION("""COMPUTED_VALUE"""),945.05)</f>
        <v>945.05</v>
      </c>
      <c r="O3" s="26">
        <f>IFERROR(__xludf.DUMMYFUNCTION("""COMPUTED_VALUE"""),45926.6458333333)</f>
        <v>45926.6458333333</v>
      </c>
      <c r="P3" s="27">
        <f>IFERROR(__xludf.DUMMYFUNCTION("""COMPUTED_VALUE"""),945.1)</f>
        <v>945.1</v>
      </c>
      <c r="Q3" s="16">
        <f>IFERROR(__xludf.DUMMYFUNCTION("""COMPUTED_VALUE"""),45926.6458333333)</f>
        <v>45926.6458333333</v>
      </c>
      <c r="R3" s="17">
        <f>IFERROR(__xludf.DUMMYFUNCTION("""COMPUTED_VALUE"""),951.45)</f>
        <v>951.45</v>
      </c>
      <c r="S3" s="16">
        <f>IFERROR(__xludf.DUMMYFUNCTION("""COMPUTED_VALUE"""),45926.6458333333)</f>
        <v>45926.6458333333</v>
      </c>
      <c r="T3" s="17">
        <f>IFERROR(__xludf.DUMMYFUNCTION("""COMPUTED_VALUE"""),941.3)</f>
        <v>941.3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IFERROR(__xludf.DUMMYFUNCTION("""COMPUTED_VALUE"""),912.68)</f>
        <v>912.68</v>
      </c>
      <c r="C5" s="14">
        <f>IFERROR(__xludf.DUMMYFUNCTION("""COMPUTED_VALUE"""),45743.6458333333)</f>
        <v>45743.6458333333</v>
      </c>
      <c r="D5" s="15">
        <f>IFERROR(__xludf.DUMMYFUNCTION("""COMPUTED_VALUE"""),900)</f>
        <v>900</v>
      </c>
      <c r="E5" s="14">
        <f>IFERROR(__xludf.DUMMYFUNCTION("""COMPUTED_VALUE"""),45743.6458333333)</f>
        <v>45743.6458333333</v>
      </c>
      <c r="F5" s="15">
        <f>IFERROR(__xludf.DUMMYFUNCTION("""COMPUTED_VALUE"""),20829050)</f>
        <v>20829050</v>
      </c>
      <c r="G5" s="14">
        <f>IFERROR(__xludf.DUMMYFUNCTION("""COMPUTED_VALUE"""),45743.6458333333)</f>
        <v>45743.6458333333</v>
      </c>
      <c r="H5" s="15">
        <f>IFERROR(__xludf.DUMMYFUNCTION("""COMPUTED_VALUE"""),920.5)</f>
        <v>920.5</v>
      </c>
      <c r="I5" s="30">
        <f>IFERROR(__xludf.DUMMYFUNCTION("""COMPUTED_VALUE"""),45743.6458333333)</f>
        <v>45743.6458333333</v>
      </c>
      <c r="J5" s="3">
        <f>IFERROR(__xludf.DUMMYFUNCTION("""COMPUTED_VALUE"""),899.05)</f>
        <v>899.05</v>
      </c>
      <c r="K5" s="5"/>
      <c r="L5" s="5"/>
      <c r="M5" s="3">
        <f t="array" ref="M5">INDEX(K11:K124,MATCH(SMALL(ABS(K11:K124-H3),1),ABS(K11:K124-H3),0))</f>
        <v>976.9</v>
      </c>
      <c r="N5" s="3">
        <f t="array" ref="N5">INDEX(K11:K124,MATCH(SMALL(ABS(K11:K124-H3),2),ABS(K11:K124-H3),0))</f>
        <v>978.6</v>
      </c>
      <c r="O5" s="3">
        <f t="array" ref="O5">INDEX(L11:L124,MATCH(SMALL(ABS(L11:L124-H3),1),ABS(L11:L124-H3),0))</f>
        <v>944.5</v>
      </c>
      <c r="P5" s="3">
        <f t="array" ref="P5">INDEX(L11:L124,MATCH(SMALL(ABS(L11:L124-H3),2),ABS(L11:L124-H3),0))</f>
        <v>944.85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0</v>
      </c>
      <c r="T5" s="17">
        <f ca="1">IF(AND(H3&gt;=Mastersheet!I3*S5,H3&lt;=Mastersheet!J3*S5),1,0)</f>
        <v>0</v>
      </c>
      <c r="U5" s="36">
        <f>(N3+P3)/2</f>
        <v>945.075</v>
      </c>
      <c r="V5" s="17">
        <f>(N3+P3+R3+T3)/4</f>
        <v>945.725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IFERROR(__xludf.DUMMYFUNCTION("""COMPUTED_VALUE"""),914.1)</f>
        <v>914.1</v>
      </c>
      <c r="C6" s="16">
        <f>IFERROR(__xludf.DUMMYFUNCTION("""COMPUTED_VALUE"""),45744.6458333333)</f>
        <v>45744.6458333333</v>
      </c>
      <c r="D6" s="17">
        <f>IFERROR(__xludf.DUMMYFUNCTION("""COMPUTED_VALUE"""),914.5)</f>
        <v>914.5</v>
      </c>
      <c r="E6" s="16">
        <f>IFERROR(__xludf.DUMMYFUNCTION("""COMPUTED_VALUE"""),45744.6458333333)</f>
        <v>45744.6458333333</v>
      </c>
      <c r="F6" s="17">
        <f>IFERROR(__xludf.DUMMYFUNCTION("""COMPUTED_VALUE"""),14386824)</f>
        <v>14386824</v>
      </c>
      <c r="G6" s="16">
        <f>IFERROR(__xludf.DUMMYFUNCTION("""COMPUTED_VALUE"""),45744.6458333333)</f>
        <v>45744.6458333333</v>
      </c>
      <c r="H6" s="17">
        <f>IFERROR(__xludf.DUMMYFUNCTION("""COMPUTED_VALUE"""),918)</f>
        <v>918</v>
      </c>
      <c r="I6" s="16">
        <f>IFERROR(__xludf.DUMMYFUNCTION("""COMPUTED_VALUE"""),45744.6458333333)</f>
        <v>45744.6458333333</v>
      </c>
      <c r="J6" s="17">
        <f>IFERROR(__xludf.DUMMYFUNCTION("""COMPUTED_VALUE"""),902.93)</f>
        <v>902.93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IFERROR(__xludf.DUMMYFUNCTION("""COMPUTED_VALUE"""),883.93)</f>
        <v>883.93</v>
      </c>
      <c r="C7" s="16">
        <f>IFERROR(__xludf.DUMMYFUNCTION("""COMPUTED_VALUE"""),45748.6458333333)</f>
        <v>45748.6458333333</v>
      </c>
      <c r="D7" s="17">
        <f>IFERROR(__xludf.DUMMYFUNCTION("""COMPUTED_VALUE"""),901)</f>
        <v>901</v>
      </c>
      <c r="E7" s="16">
        <f>IFERROR(__xludf.DUMMYFUNCTION("""COMPUTED_VALUE"""),45748.6458333333)</f>
        <v>45748.6458333333</v>
      </c>
      <c r="F7" s="17">
        <f>IFERROR(__xludf.DUMMYFUNCTION("""COMPUTED_VALUE"""),14255503)</f>
        <v>14255503</v>
      </c>
      <c r="G7" s="16">
        <f>IFERROR(__xludf.DUMMYFUNCTION("""COMPUTED_VALUE"""),45748.6458333333)</f>
        <v>45748.6458333333</v>
      </c>
      <c r="H7" s="17">
        <f>IFERROR(__xludf.DUMMYFUNCTION("""COMPUTED_VALUE"""),904.95)</f>
        <v>904.95</v>
      </c>
      <c r="I7" s="16">
        <f>IFERROR(__xludf.DUMMYFUNCTION("""COMPUTED_VALUE"""),45748.6458333333)</f>
        <v>45748.6458333333</v>
      </c>
      <c r="J7" s="17">
        <f>IFERROR(__xludf.DUMMYFUNCTION("""COMPUTED_VALUE"""),882.68)</f>
        <v>882.68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IFERROR(__xludf.DUMMYFUNCTION("""COMPUTED_VALUE"""),898.45)</f>
        <v>898.45</v>
      </c>
      <c r="C8" s="16">
        <f>IFERROR(__xludf.DUMMYFUNCTION("""COMPUTED_VALUE"""),45749.6458333333)</f>
        <v>45749.6458333333</v>
      </c>
      <c r="D8" s="17">
        <f>IFERROR(__xludf.DUMMYFUNCTION("""COMPUTED_VALUE"""),885.35)</f>
        <v>885.35</v>
      </c>
      <c r="E8" s="16">
        <f>IFERROR(__xludf.DUMMYFUNCTION("""COMPUTED_VALUE"""),45749.6458333333)</f>
        <v>45749.6458333333</v>
      </c>
      <c r="F8" s="17">
        <f>IFERROR(__xludf.DUMMYFUNCTION("""COMPUTED_VALUE"""),5786782)</f>
        <v>5786782</v>
      </c>
      <c r="G8" s="16">
        <f>IFERROR(__xludf.DUMMYFUNCTION("""COMPUTED_VALUE"""),45749.6458333333)</f>
        <v>45749.6458333333</v>
      </c>
      <c r="H8" s="17">
        <f>IFERROR(__xludf.DUMMYFUNCTION("""COMPUTED_VALUE"""),899.6)</f>
        <v>899.6</v>
      </c>
      <c r="I8" s="16">
        <f>IFERROR(__xludf.DUMMYFUNCTION("""COMPUTED_VALUE"""),45749.6458333333)</f>
        <v>45749.6458333333</v>
      </c>
      <c r="J8" s="17">
        <f>IFERROR(__xludf.DUMMYFUNCTION("""COMPUTED_VALUE"""),885.35)</f>
        <v>885.35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IFERROR(__xludf.DUMMYFUNCTION("""COMPUTED_VALUE"""),897.43)</f>
        <v>897.43</v>
      </c>
      <c r="C9" s="16">
        <f>IFERROR(__xludf.DUMMYFUNCTION("""COMPUTED_VALUE"""),45750.6458333333)</f>
        <v>45750.6458333333</v>
      </c>
      <c r="D9" s="17">
        <f>IFERROR(__xludf.DUMMYFUNCTION("""COMPUTED_VALUE"""),890.55)</f>
        <v>890.55</v>
      </c>
      <c r="E9" s="16">
        <f>IFERROR(__xludf.DUMMYFUNCTION("""COMPUTED_VALUE"""),45750.6458333333)</f>
        <v>45750.6458333333</v>
      </c>
      <c r="F9" s="17">
        <f>IFERROR(__xludf.DUMMYFUNCTION("""COMPUTED_VALUE"""),5625019)</f>
        <v>5625019</v>
      </c>
      <c r="G9" s="16">
        <f>IFERROR(__xludf.DUMMYFUNCTION("""COMPUTED_VALUE"""),45750.6458333333)</f>
        <v>45750.6458333333</v>
      </c>
      <c r="H9" s="17">
        <f>IFERROR(__xludf.DUMMYFUNCTION("""COMPUTED_VALUE"""),902)</f>
        <v>902</v>
      </c>
      <c r="I9" s="16">
        <f>IFERROR(__xludf.DUMMYFUNCTION("""COMPUTED_VALUE"""),45750.6458333333)</f>
        <v>45750.6458333333</v>
      </c>
      <c r="J9" s="17">
        <f>IFERROR(__xludf.DUMMYFUNCTION("""COMPUTED_VALUE"""),888.5)</f>
        <v>888.5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IFERROR(__xludf.DUMMYFUNCTION("""COMPUTED_VALUE"""),908.65)</f>
        <v>908.65</v>
      </c>
      <c r="C10" s="16">
        <f>IFERROR(__xludf.DUMMYFUNCTION("""COMPUTED_VALUE"""),45751.6458333333)</f>
        <v>45751.6458333333</v>
      </c>
      <c r="D10" s="17">
        <f>IFERROR(__xludf.DUMMYFUNCTION("""COMPUTED_VALUE"""),906.5)</f>
        <v>906.5</v>
      </c>
      <c r="E10" s="16">
        <f>IFERROR(__xludf.DUMMYFUNCTION("""COMPUTED_VALUE"""),45751.6458333333)</f>
        <v>45751.6458333333</v>
      </c>
      <c r="F10" s="17">
        <f>IFERROR(__xludf.DUMMYFUNCTION("""COMPUTED_VALUE"""),16770227)</f>
        <v>16770227</v>
      </c>
      <c r="G10" s="16">
        <f>IFERROR(__xludf.DUMMYFUNCTION("""COMPUTED_VALUE"""),45751.6458333333)</f>
        <v>45751.6458333333</v>
      </c>
      <c r="H10" s="17">
        <f>IFERROR(__xludf.DUMMYFUNCTION("""COMPUTED_VALUE"""),920.98)</f>
        <v>920.98</v>
      </c>
      <c r="I10" s="16">
        <f>IFERROR(__xludf.DUMMYFUNCTION("""COMPUTED_VALUE"""),45751.6458333333)</f>
        <v>45751.6458333333</v>
      </c>
      <c r="J10" s="17">
        <f>IFERROR(__xludf.DUMMYFUNCTION("""COMPUTED_VALUE"""),905.55)</f>
        <v>905.55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IFERROR(__xludf.DUMMYFUNCTION("""COMPUTED_VALUE"""),878.85)</f>
        <v>878.85</v>
      </c>
      <c r="C11" s="16">
        <f>IFERROR(__xludf.DUMMYFUNCTION("""COMPUTED_VALUE"""),45754.6458333333)</f>
        <v>45754.6458333333</v>
      </c>
      <c r="D11" s="17">
        <f>IFERROR(__xludf.DUMMYFUNCTION("""COMPUTED_VALUE"""),881.4)</f>
        <v>881.4</v>
      </c>
      <c r="E11" s="16">
        <f>IFERROR(__xludf.DUMMYFUNCTION("""COMPUTED_VALUE"""),45754.6458333333)</f>
        <v>45754.6458333333</v>
      </c>
      <c r="F11" s="17">
        <f>IFERROR(__xludf.DUMMYFUNCTION("""COMPUTED_VALUE"""),18997725)</f>
        <v>18997725</v>
      </c>
      <c r="G11" s="16">
        <f>IFERROR(__xludf.DUMMYFUNCTION("""COMPUTED_VALUE"""),45754.6458333333)</f>
        <v>45754.6458333333</v>
      </c>
      <c r="H11" s="17">
        <f>IFERROR(__xludf.DUMMYFUNCTION("""COMPUTED_VALUE"""),889.93)</f>
        <v>889.93</v>
      </c>
      <c r="I11" s="16">
        <f>IFERROR(__xludf.DUMMYFUNCTION("""COMPUTED_VALUE"""),45754.6458333333)</f>
        <v>45754.6458333333</v>
      </c>
      <c r="J11" s="17">
        <f>IFERROR(__xludf.DUMMYFUNCTION("""COMPUTED_VALUE"""),869.1)</f>
        <v>869.1</v>
      </c>
      <c r="K11" s="3">
        <f t="shared" ref="K11:K125" si="2">IF(B11=MAX(B5:B17),B11,0)</f>
        <v>0</v>
      </c>
      <c r="L11" s="3">
        <f t="shared" ref="L11:L125" si="3">IF(B11=MIN(B5:B17),B11,0)</f>
        <v>878.85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IFERROR(__xludf.DUMMYFUNCTION("""COMPUTED_VALUE"""),884.58)</f>
        <v>884.58</v>
      </c>
      <c r="C12" s="16">
        <f>IFERROR(__xludf.DUMMYFUNCTION("""COMPUTED_VALUE"""),45755.6458333333)</f>
        <v>45755.6458333333</v>
      </c>
      <c r="D12" s="17">
        <f>IFERROR(__xludf.DUMMYFUNCTION("""COMPUTED_VALUE"""),882.5)</f>
        <v>882.5</v>
      </c>
      <c r="E12" s="16">
        <f>IFERROR(__xludf.DUMMYFUNCTION("""COMPUTED_VALUE"""),45755.6458333333)</f>
        <v>45755.6458333333</v>
      </c>
      <c r="F12" s="17">
        <f>IFERROR(__xludf.DUMMYFUNCTION("""COMPUTED_VALUE"""),17781936)</f>
        <v>17781936</v>
      </c>
      <c r="G12" s="16">
        <f>IFERROR(__xludf.DUMMYFUNCTION("""COMPUTED_VALUE"""),45755.6458333333)</f>
        <v>45755.6458333333</v>
      </c>
      <c r="H12" s="17">
        <f>IFERROR(__xludf.DUMMYFUNCTION("""COMPUTED_VALUE"""),891)</f>
        <v>891</v>
      </c>
      <c r="I12" s="16">
        <f>IFERROR(__xludf.DUMMYFUNCTION("""COMPUTED_VALUE"""),45755.6458333333)</f>
        <v>45755.6458333333</v>
      </c>
      <c r="J12" s="17">
        <f>IFERROR(__xludf.DUMMYFUNCTION("""COMPUTED_VALUE"""),875.15)</f>
        <v>875.15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IFERROR(__xludf.DUMMYFUNCTION("""COMPUTED_VALUE"""),882.5)</f>
        <v>882.5</v>
      </c>
      <c r="C13" s="16">
        <f>IFERROR(__xludf.DUMMYFUNCTION("""COMPUTED_VALUE"""),45756.6458333333)</f>
        <v>45756.6458333333</v>
      </c>
      <c r="D13" s="17">
        <f>IFERROR(__xludf.DUMMYFUNCTION("""COMPUTED_VALUE"""),882.5)</f>
        <v>882.5</v>
      </c>
      <c r="E13" s="16">
        <f>IFERROR(__xludf.DUMMYFUNCTION("""COMPUTED_VALUE"""),45756.6458333333)</f>
        <v>45756.6458333333</v>
      </c>
      <c r="F13" s="17">
        <f>IFERROR(__xludf.DUMMYFUNCTION("""COMPUTED_VALUE"""),11227304)</f>
        <v>11227304</v>
      </c>
      <c r="G13" s="16">
        <f>IFERROR(__xludf.DUMMYFUNCTION("""COMPUTED_VALUE"""),45756.6458333333)</f>
        <v>45756.6458333333</v>
      </c>
      <c r="H13" s="17">
        <f>IFERROR(__xludf.DUMMYFUNCTION("""COMPUTED_VALUE"""),887.5)</f>
        <v>887.5</v>
      </c>
      <c r="I13" s="16">
        <f>IFERROR(__xludf.DUMMYFUNCTION("""COMPUTED_VALUE"""),45756.6458333333)</f>
        <v>45756.6458333333</v>
      </c>
      <c r="J13" s="17">
        <f>IFERROR(__xludf.DUMMYFUNCTION("""COMPUTED_VALUE"""),876.75)</f>
        <v>876.75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IFERROR(__xludf.DUMMYFUNCTION("""COMPUTED_VALUE"""),903.38)</f>
        <v>903.38</v>
      </c>
      <c r="C14" s="16">
        <f>IFERROR(__xludf.DUMMYFUNCTION("""COMPUTED_VALUE"""),45758.6458333333)</f>
        <v>45758.6458333333</v>
      </c>
      <c r="D14" s="17">
        <f>IFERROR(__xludf.DUMMYFUNCTION("""COMPUTED_VALUE"""),887.38)</f>
        <v>887.38</v>
      </c>
      <c r="E14" s="16">
        <f>IFERROR(__xludf.DUMMYFUNCTION("""COMPUTED_VALUE"""),45758.6458333333)</f>
        <v>45758.6458333333</v>
      </c>
      <c r="F14" s="17">
        <f>IFERROR(__xludf.DUMMYFUNCTION("""COMPUTED_VALUE"""),16387883)</f>
        <v>16387883</v>
      </c>
      <c r="G14" s="16">
        <f>IFERROR(__xludf.DUMMYFUNCTION("""COMPUTED_VALUE"""),45758.6458333333)</f>
        <v>45758.6458333333</v>
      </c>
      <c r="H14" s="17">
        <f>IFERROR(__xludf.DUMMYFUNCTION("""COMPUTED_VALUE"""),909.7)</f>
        <v>909.7</v>
      </c>
      <c r="I14" s="16">
        <f>IFERROR(__xludf.DUMMYFUNCTION("""COMPUTED_VALUE"""),45758.6458333333)</f>
        <v>45758.6458333333</v>
      </c>
      <c r="J14" s="17">
        <f>IFERROR(__xludf.DUMMYFUNCTION("""COMPUTED_VALUE"""),887.38)</f>
        <v>887.38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IFERROR(__xludf.DUMMYFUNCTION("""COMPUTED_VALUE"""),932.45)</f>
        <v>932.45</v>
      </c>
      <c r="C15" s="16">
        <f>IFERROR(__xludf.DUMMYFUNCTION("""COMPUTED_VALUE"""),45762.6458333333)</f>
        <v>45762.6458333333</v>
      </c>
      <c r="D15" s="17">
        <f>IFERROR(__xludf.DUMMYFUNCTION("""COMPUTED_VALUE"""),932.5)</f>
        <v>932.5</v>
      </c>
      <c r="E15" s="16">
        <f>IFERROR(__xludf.DUMMYFUNCTION("""COMPUTED_VALUE"""),45762.6458333333)</f>
        <v>45762.6458333333</v>
      </c>
      <c r="F15" s="17">
        <f>IFERROR(__xludf.DUMMYFUNCTION("""COMPUTED_VALUE"""),24649172)</f>
        <v>24649172</v>
      </c>
      <c r="G15" s="16">
        <f>IFERROR(__xludf.DUMMYFUNCTION("""COMPUTED_VALUE"""),45762.6458333333)</f>
        <v>45762.6458333333</v>
      </c>
      <c r="H15" s="17">
        <f>IFERROR(__xludf.DUMMYFUNCTION("""COMPUTED_VALUE"""),938.4)</f>
        <v>938.4</v>
      </c>
      <c r="I15" s="16">
        <f>IFERROR(__xludf.DUMMYFUNCTION("""COMPUTED_VALUE"""),45762.6458333333)</f>
        <v>45762.6458333333</v>
      </c>
      <c r="J15" s="17">
        <f>IFERROR(__xludf.DUMMYFUNCTION("""COMPUTED_VALUE"""),927.5)</f>
        <v>927.5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IFERROR(__xludf.DUMMYFUNCTION("""COMPUTED_VALUE"""),939)</f>
        <v>939</v>
      </c>
      <c r="C16" s="16">
        <f>IFERROR(__xludf.DUMMYFUNCTION("""COMPUTED_VALUE"""),45763.6458333333)</f>
        <v>45763.6458333333</v>
      </c>
      <c r="D16" s="17">
        <f>IFERROR(__xludf.DUMMYFUNCTION("""COMPUTED_VALUE"""),941.9)</f>
        <v>941.9</v>
      </c>
      <c r="E16" s="16">
        <f>IFERROR(__xludf.DUMMYFUNCTION("""COMPUTED_VALUE"""),45763.6458333333)</f>
        <v>45763.6458333333</v>
      </c>
      <c r="F16" s="17">
        <f>IFERROR(__xludf.DUMMYFUNCTION("""COMPUTED_VALUE"""),9568410)</f>
        <v>9568410</v>
      </c>
      <c r="G16" s="16">
        <f>IFERROR(__xludf.DUMMYFUNCTION("""COMPUTED_VALUE"""),45763.6458333333)</f>
        <v>45763.6458333333</v>
      </c>
      <c r="H16" s="17">
        <f>IFERROR(__xludf.DUMMYFUNCTION("""COMPUTED_VALUE"""),941.9)</f>
        <v>941.9</v>
      </c>
      <c r="I16" s="16">
        <f>IFERROR(__xludf.DUMMYFUNCTION("""COMPUTED_VALUE"""),45763.6458333333)</f>
        <v>45763.6458333333</v>
      </c>
      <c r="J16" s="17">
        <f>IFERROR(__xludf.DUMMYFUNCTION("""COMPUTED_VALUE"""),930.25)</f>
        <v>930.25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IFERROR(__xludf.DUMMYFUNCTION("""COMPUTED_VALUE"""),953.35)</f>
        <v>953.35</v>
      </c>
      <c r="C17" s="16">
        <f>IFERROR(__xludf.DUMMYFUNCTION("""COMPUTED_VALUE"""),45764.6458333333)</f>
        <v>45764.6458333333</v>
      </c>
      <c r="D17" s="17">
        <f>IFERROR(__xludf.DUMMYFUNCTION("""COMPUTED_VALUE"""),941)</f>
        <v>941</v>
      </c>
      <c r="E17" s="16">
        <f>IFERROR(__xludf.DUMMYFUNCTION("""COMPUTED_VALUE"""),45764.6458333333)</f>
        <v>45764.6458333333</v>
      </c>
      <c r="F17" s="17">
        <f>IFERROR(__xludf.DUMMYFUNCTION("""COMPUTED_VALUE"""),17851542)</f>
        <v>17851542</v>
      </c>
      <c r="G17" s="16">
        <f>IFERROR(__xludf.DUMMYFUNCTION("""COMPUTED_VALUE"""),45764.6458333333)</f>
        <v>45764.6458333333</v>
      </c>
      <c r="H17" s="17">
        <f>IFERROR(__xludf.DUMMYFUNCTION("""COMPUTED_VALUE"""),959.85)</f>
        <v>959.85</v>
      </c>
      <c r="I17" s="16">
        <f>IFERROR(__xludf.DUMMYFUNCTION("""COMPUTED_VALUE"""),45764.6458333333)</f>
        <v>45764.6458333333</v>
      </c>
      <c r="J17" s="17">
        <f>IFERROR(__xludf.DUMMYFUNCTION("""COMPUTED_VALUE"""),938.35)</f>
        <v>938.35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IFERROR(__xludf.DUMMYFUNCTION("""COMPUTED_VALUE"""),963.55)</f>
        <v>963.55</v>
      </c>
      <c r="C18" s="16">
        <f>IFERROR(__xludf.DUMMYFUNCTION("""COMPUTED_VALUE"""),45768.6458333333)</f>
        <v>45768.6458333333</v>
      </c>
      <c r="D18" s="17">
        <f>IFERROR(__xludf.DUMMYFUNCTION("""COMPUTED_VALUE"""),962)</f>
        <v>962</v>
      </c>
      <c r="E18" s="16">
        <f>IFERROR(__xludf.DUMMYFUNCTION("""COMPUTED_VALUE"""),45768.6458333333)</f>
        <v>45768.6458333333</v>
      </c>
      <c r="F18" s="17">
        <f>IFERROR(__xludf.DUMMYFUNCTION("""COMPUTED_VALUE"""),17123649)</f>
        <v>17123649</v>
      </c>
      <c r="G18" s="16">
        <f>IFERROR(__xludf.DUMMYFUNCTION("""COMPUTED_VALUE"""),45768.6458333333)</f>
        <v>45768.6458333333</v>
      </c>
      <c r="H18" s="17">
        <f>IFERROR(__xludf.DUMMYFUNCTION("""COMPUTED_VALUE"""),975.35)</f>
        <v>975.35</v>
      </c>
      <c r="I18" s="16">
        <f>IFERROR(__xludf.DUMMYFUNCTION("""COMPUTED_VALUE"""),45768.6458333333)</f>
        <v>45768.6458333333</v>
      </c>
      <c r="J18" s="17">
        <f>IFERROR(__xludf.DUMMYFUNCTION("""COMPUTED_VALUE"""),955)</f>
        <v>955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IFERROR(__xludf.DUMMYFUNCTION("""COMPUTED_VALUE"""),980.85)</f>
        <v>980.85</v>
      </c>
      <c r="C19" s="16">
        <f>IFERROR(__xludf.DUMMYFUNCTION("""COMPUTED_VALUE"""),45769.6458333333)</f>
        <v>45769.6458333333</v>
      </c>
      <c r="D19" s="17">
        <f>IFERROR(__xludf.DUMMYFUNCTION("""COMPUTED_VALUE"""),967.5)</f>
        <v>967.5</v>
      </c>
      <c r="E19" s="16">
        <f>IFERROR(__xludf.DUMMYFUNCTION("""COMPUTED_VALUE"""),45769.6458333333)</f>
        <v>45769.6458333333</v>
      </c>
      <c r="F19" s="17">
        <f>IFERROR(__xludf.DUMMYFUNCTION("""COMPUTED_VALUE"""),22980875)</f>
        <v>22980875</v>
      </c>
      <c r="G19" s="16">
        <f>IFERROR(__xludf.DUMMYFUNCTION("""COMPUTED_VALUE"""),45769.6458333333)</f>
        <v>45769.6458333333</v>
      </c>
      <c r="H19" s="17">
        <f>IFERROR(__xludf.DUMMYFUNCTION("""COMPUTED_VALUE"""),985.3)</f>
        <v>985.3</v>
      </c>
      <c r="I19" s="16">
        <f>IFERROR(__xludf.DUMMYFUNCTION("""COMPUTED_VALUE"""),45769.6458333333)</f>
        <v>45769.6458333333</v>
      </c>
      <c r="J19" s="17">
        <f>IFERROR(__xludf.DUMMYFUNCTION("""COMPUTED_VALUE"""),967.5)</f>
        <v>967.5</v>
      </c>
      <c r="K19" s="3">
        <f t="shared" si="2"/>
        <v>980.85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IFERROR(__xludf.DUMMYFUNCTION("""COMPUTED_VALUE"""),961.95)</f>
        <v>961.95</v>
      </c>
      <c r="C20" s="16">
        <f>IFERROR(__xludf.DUMMYFUNCTION("""COMPUTED_VALUE"""),45770.6458333333)</f>
        <v>45770.6458333333</v>
      </c>
      <c r="D20" s="17">
        <f>IFERROR(__xludf.DUMMYFUNCTION("""COMPUTED_VALUE"""),989.45)</f>
        <v>989.45</v>
      </c>
      <c r="E20" s="16">
        <f>IFERROR(__xludf.DUMMYFUNCTION("""COMPUTED_VALUE"""),45770.6458333333)</f>
        <v>45770.6458333333</v>
      </c>
      <c r="F20" s="17">
        <f>IFERROR(__xludf.DUMMYFUNCTION("""COMPUTED_VALUE"""),15285321)</f>
        <v>15285321</v>
      </c>
      <c r="G20" s="16">
        <f>IFERROR(__xludf.DUMMYFUNCTION("""COMPUTED_VALUE"""),45770.6458333333)</f>
        <v>45770.6458333333</v>
      </c>
      <c r="H20" s="17">
        <f>IFERROR(__xludf.DUMMYFUNCTION("""COMPUTED_VALUE"""),989.45)</f>
        <v>989.45</v>
      </c>
      <c r="I20" s="16">
        <f>IFERROR(__xludf.DUMMYFUNCTION("""COMPUTED_VALUE"""),45770.6458333333)</f>
        <v>45770.6458333333</v>
      </c>
      <c r="J20" s="17">
        <f>IFERROR(__xludf.DUMMYFUNCTION("""COMPUTED_VALUE"""),960.25)</f>
        <v>960.25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IFERROR(__xludf.DUMMYFUNCTION("""COMPUTED_VALUE"""),958.4)</f>
        <v>958.4</v>
      </c>
      <c r="C21" s="16">
        <f>IFERROR(__xludf.DUMMYFUNCTION("""COMPUTED_VALUE"""),45771.6458333333)</f>
        <v>45771.6458333333</v>
      </c>
      <c r="D21" s="17">
        <f>IFERROR(__xludf.DUMMYFUNCTION("""COMPUTED_VALUE"""),955)</f>
        <v>955</v>
      </c>
      <c r="E21" s="16">
        <f>IFERROR(__xludf.DUMMYFUNCTION("""COMPUTED_VALUE"""),45771.6458333333)</f>
        <v>45771.6458333333</v>
      </c>
      <c r="F21" s="17">
        <f>IFERROR(__xludf.DUMMYFUNCTION("""COMPUTED_VALUE"""),12965877)</f>
        <v>12965877</v>
      </c>
      <c r="G21" s="16">
        <f>IFERROR(__xludf.DUMMYFUNCTION("""COMPUTED_VALUE"""),45771.6458333333)</f>
        <v>45771.6458333333</v>
      </c>
      <c r="H21" s="17">
        <f>IFERROR(__xludf.DUMMYFUNCTION("""COMPUTED_VALUE"""),961.95)</f>
        <v>961.95</v>
      </c>
      <c r="I21" s="16">
        <f>IFERROR(__xludf.DUMMYFUNCTION("""COMPUTED_VALUE"""),45771.6458333333)</f>
        <v>45771.6458333333</v>
      </c>
      <c r="J21" s="17">
        <f>IFERROR(__xludf.DUMMYFUNCTION("""COMPUTED_VALUE"""),952.55)</f>
        <v>952.55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IFERROR(__xludf.DUMMYFUNCTION("""COMPUTED_VALUE"""),955.6)</f>
        <v>955.6</v>
      </c>
      <c r="C22" s="16">
        <f>IFERROR(__xludf.DUMMYFUNCTION("""COMPUTED_VALUE"""),45772.6458333333)</f>
        <v>45772.6458333333</v>
      </c>
      <c r="D22" s="17">
        <f>IFERROR(__xludf.DUMMYFUNCTION("""COMPUTED_VALUE"""),962.4)</f>
        <v>962.4</v>
      </c>
      <c r="E22" s="16">
        <f>IFERROR(__xludf.DUMMYFUNCTION("""COMPUTED_VALUE"""),45772.6458333333)</f>
        <v>45772.6458333333</v>
      </c>
      <c r="F22" s="17">
        <f>IFERROR(__xludf.DUMMYFUNCTION("""COMPUTED_VALUE"""),9250439)</f>
        <v>9250439</v>
      </c>
      <c r="G22" s="16">
        <f>IFERROR(__xludf.DUMMYFUNCTION("""COMPUTED_VALUE"""),45772.6458333333)</f>
        <v>45772.6458333333</v>
      </c>
      <c r="H22" s="17">
        <f>IFERROR(__xludf.DUMMYFUNCTION("""COMPUTED_VALUE"""),966.5)</f>
        <v>966.5</v>
      </c>
      <c r="I22" s="16">
        <f>IFERROR(__xludf.DUMMYFUNCTION("""COMPUTED_VALUE"""),45772.6458333333)</f>
        <v>45772.6458333333</v>
      </c>
      <c r="J22" s="17">
        <f>IFERROR(__xludf.DUMMYFUNCTION("""COMPUTED_VALUE"""),945.9)</f>
        <v>945.9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IFERROR(__xludf.DUMMYFUNCTION("""COMPUTED_VALUE"""),960.1)</f>
        <v>960.1</v>
      </c>
      <c r="C23" s="16">
        <f>IFERROR(__xludf.DUMMYFUNCTION("""COMPUTED_VALUE"""),45775.6458333333)</f>
        <v>45775.6458333333</v>
      </c>
      <c r="D23" s="17">
        <f>IFERROR(__xludf.DUMMYFUNCTION("""COMPUTED_VALUE"""),955.6)</f>
        <v>955.6</v>
      </c>
      <c r="E23" s="16">
        <f>IFERROR(__xludf.DUMMYFUNCTION("""COMPUTED_VALUE"""),45775.6458333333)</f>
        <v>45775.6458333333</v>
      </c>
      <c r="F23" s="17">
        <f>IFERROR(__xludf.DUMMYFUNCTION("""COMPUTED_VALUE"""),6960246)</f>
        <v>6960246</v>
      </c>
      <c r="G23" s="16">
        <f>IFERROR(__xludf.DUMMYFUNCTION("""COMPUTED_VALUE"""),45775.6458333333)</f>
        <v>45775.6458333333</v>
      </c>
      <c r="H23" s="17">
        <f>IFERROR(__xludf.DUMMYFUNCTION("""COMPUTED_VALUE"""),964.85)</f>
        <v>964.85</v>
      </c>
      <c r="I23" s="16">
        <f>IFERROR(__xludf.DUMMYFUNCTION("""COMPUTED_VALUE"""),45775.6458333333)</f>
        <v>45775.6458333333</v>
      </c>
      <c r="J23" s="17">
        <f>IFERROR(__xludf.DUMMYFUNCTION("""COMPUTED_VALUE"""),954.2)</f>
        <v>954.2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IFERROR(__xludf.DUMMYFUNCTION("""COMPUTED_VALUE"""),954.4)</f>
        <v>954.4</v>
      </c>
      <c r="C24" s="16">
        <f>IFERROR(__xludf.DUMMYFUNCTION("""COMPUTED_VALUE"""),45776.6458333333)</f>
        <v>45776.6458333333</v>
      </c>
      <c r="D24" s="17">
        <f>IFERROR(__xludf.DUMMYFUNCTION("""COMPUTED_VALUE"""),959.4)</f>
        <v>959.4</v>
      </c>
      <c r="E24" s="16">
        <f>IFERROR(__xludf.DUMMYFUNCTION("""COMPUTED_VALUE"""),45776.6458333333)</f>
        <v>45776.6458333333</v>
      </c>
      <c r="F24" s="17">
        <f>IFERROR(__xludf.DUMMYFUNCTION("""COMPUTED_VALUE"""),9459154)</f>
        <v>9459154</v>
      </c>
      <c r="G24" s="16">
        <f>IFERROR(__xludf.DUMMYFUNCTION("""COMPUTED_VALUE"""),45776.6458333333)</f>
        <v>45776.6458333333</v>
      </c>
      <c r="H24" s="17">
        <f>IFERROR(__xludf.DUMMYFUNCTION("""COMPUTED_VALUE"""),964.4)</f>
        <v>964.4</v>
      </c>
      <c r="I24" s="16">
        <f>IFERROR(__xludf.DUMMYFUNCTION("""COMPUTED_VALUE"""),45776.6458333333)</f>
        <v>45776.6458333333</v>
      </c>
      <c r="J24" s="17">
        <f>IFERROR(__xludf.DUMMYFUNCTION("""COMPUTED_VALUE"""),950.1)</f>
        <v>950.1</v>
      </c>
      <c r="K24" s="3">
        <f t="shared" si="2"/>
        <v>0</v>
      </c>
      <c r="L24" s="3">
        <f t="shared" si="3"/>
        <v>954.4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IFERROR(__xludf.DUMMYFUNCTION("""COMPUTED_VALUE"""),962.5)</f>
        <v>962.5</v>
      </c>
      <c r="C25" s="16">
        <f>IFERROR(__xludf.DUMMYFUNCTION("""COMPUTED_VALUE"""),45777.6458333333)</f>
        <v>45777.6458333333</v>
      </c>
      <c r="D25" s="17">
        <f>IFERROR(__xludf.DUMMYFUNCTION("""COMPUTED_VALUE"""),956.5)</f>
        <v>956.5</v>
      </c>
      <c r="E25" s="16">
        <f>IFERROR(__xludf.DUMMYFUNCTION("""COMPUTED_VALUE"""),45777.6458333333)</f>
        <v>45777.6458333333</v>
      </c>
      <c r="F25" s="17">
        <f>IFERROR(__xludf.DUMMYFUNCTION("""COMPUTED_VALUE"""),15968435)</f>
        <v>15968435</v>
      </c>
      <c r="G25" s="16">
        <f>IFERROR(__xludf.DUMMYFUNCTION("""COMPUTED_VALUE"""),45777.6458333333)</f>
        <v>45777.6458333333</v>
      </c>
      <c r="H25" s="17">
        <f>IFERROR(__xludf.DUMMYFUNCTION("""COMPUTED_VALUE"""),968.45)</f>
        <v>968.45</v>
      </c>
      <c r="I25" s="16">
        <f>IFERROR(__xludf.DUMMYFUNCTION("""COMPUTED_VALUE"""),45777.6458333333)</f>
        <v>45777.6458333333</v>
      </c>
      <c r="J25" s="17">
        <f>IFERROR(__xludf.DUMMYFUNCTION("""COMPUTED_VALUE"""),955.15)</f>
        <v>955.15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IFERROR(__xludf.DUMMYFUNCTION("""COMPUTED_VALUE"""),962.5)</f>
        <v>962.5</v>
      </c>
      <c r="C26" s="16">
        <f>IFERROR(__xludf.DUMMYFUNCTION("""COMPUTED_VALUE"""),45779.6458333333)</f>
        <v>45779.6458333333</v>
      </c>
      <c r="D26" s="17">
        <f>IFERROR(__xludf.DUMMYFUNCTION("""COMPUTED_VALUE"""),964.9)</f>
        <v>964.9</v>
      </c>
      <c r="E26" s="16">
        <f>IFERROR(__xludf.DUMMYFUNCTION("""COMPUTED_VALUE"""),45779.6458333333)</f>
        <v>45779.6458333333</v>
      </c>
      <c r="F26" s="17">
        <f>IFERROR(__xludf.DUMMYFUNCTION("""COMPUTED_VALUE"""),8920202)</f>
        <v>8920202</v>
      </c>
      <c r="G26" s="16">
        <f>IFERROR(__xludf.DUMMYFUNCTION("""COMPUTED_VALUE"""),45779.6458333333)</f>
        <v>45779.6458333333</v>
      </c>
      <c r="H26" s="17">
        <f>IFERROR(__xludf.DUMMYFUNCTION("""COMPUTED_VALUE"""),970.95)</f>
        <v>970.95</v>
      </c>
      <c r="I26" s="16">
        <f>IFERROR(__xludf.DUMMYFUNCTION("""COMPUTED_VALUE"""),45779.6458333333)</f>
        <v>45779.6458333333</v>
      </c>
      <c r="J26" s="17">
        <f>IFERROR(__xludf.DUMMYFUNCTION("""COMPUTED_VALUE"""),960)</f>
        <v>960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IFERROR(__xludf.DUMMYFUNCTION("""COMPUTED_VALUE"""),968.4)</f>
        <v>968.4</v>
      </c>
      <c r="C27" s="16">
        <f>IFERROR(__xludf.DUMMYFUNCTION("""COMPUTED_VALUE"""),45782.6458333333)</f>
        <v>45782.6458333333</v>
      </c>
      <c r="D27" s="17">
        <f>IFERROR(__xludf.DUMMYFUNCTION("""COMPUTED_VALUE"""),969.5)</f>
        <v>969.5</v>
      </c>
      <c r="E27" s="16">
        <f>IFERROR(__xludf.DUMMYFUNCTION("""COMPUTED_VALUE"""),45782.6458333333)</f>
        <v>45782.6458333333</v>
      </c>
      <c r="F27" s="17">
        <f>IFERROR(__xludf.DUMMYFUNCTION("""COMPUTED_VALUE"""),7534012)</f>
        <v>7534012</v>
      </c>
      <c r="G27" s="16">
        <f>IFERROR(__xludf.DUMMYFUNCTION("""COMPUTED_VALUE"""),45782.6458333333)</f>
        <v>45782.6458333333</v>
      </c>
      <c r="H27" s="17">
        <f>IFERROR(__xludf.DUMMYFUNCTION("""COMPUTED_VALUE"""),976)</f>
        <v>976</v>
      </c>
      <c r="I27" s="16">
        <f>IFERROR(__xludf.DUMMYFUNCTION("""COMPUTED_VALUE"""),45782.6458333333)</f>
        <v>45782.6458333333</v>
      </c>
      <c r="J27" s="17">
        <f>IFERROR(__xludf.DUMMYFUNCTION("""COMPUTED_VALUE"""),966.15)</f>
        <v>966.15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IFERROR(__xludf.DUMMYFUNCTION("""COMPUTED_VALUE"""),965.85)</f>
        <v>965.85</v>
      </c>
      <c r="C28" s="16">
        <f>IFERROR(__xludf.DUMMYFUNCTION("""COMPUTED_VALUE"""),45783.6458333333)</f>
        <v>45783.6458333333</v>
      </c>
      <c r="D28" s="17">
        <f>IFERROR(__xludf.DUMMYFUNCTION("""COMPUTED_VALUE"""),965)</f>
        <v>965</v>
      </c>
      <c r="E28" s="16">
        <f>IFERROR(__xludf.DUMMYFUNCTION("""COMPUTED_VALUE"""),45783.6458333333)</f>
        <v>45783.6458333333</v>
      </c>
      <c r="F28" s="17">
        <f>IFERROR(__xludf.DUMMYFUNCTION("""COMPUTED_VALUE"""),8745078)</f>
        <v>8745078</v>
      </c>
      <c r="G28" s="16">
        <f>IFERROR(__xludf.DUMMYFUNCTION("""COMPUTED_VALUE"""),45783.6458333333)</f>
        <v>45783.6458333333</v>
      </c>
      <c r="H28" s="17">
        <f>IFERROR(__xludf.DUMMYFUNCTION("""COMPUTED_VALUE"""),970.05)</f>
        <v>970.05</v>
      </c>
      <c r="I28" s="16">
        <f>IFERROR(__xludf.DUMMYFUNCTION("""COMPUTED_VALUE"""),45783.6458333333)</f>
        <v>45783.6458333333</v>
      </c>
      <c r="J28" s="17">
        <f>IFERROR(__xludf.DUMMYFUNCTION("""COMPUTED_VALUE"""),962.15)</f>
        <v>962.15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IFERROR(__xludf.DUMMYFUNCTION("""COMPUTED_VALUE"""),972.8)</f>
        <v>972.8</v>
      </c>
      <c r="C29" s="16">
        <f>IFERROR(__xludf.DUMMYFUNCTION("""COMPUTED_VALUE"""),45784.6458333333)</f>
        <v>45784.6458333333</v>
      </c>
      <c r="D29" s="17">
        <f>IFERROR(__xludf.DUMMYFUNCTION("""COMPUTED_VALUE"""),967)</f>
        <v>967</v>
      </c>
      <c r="E29" s="16">
        <f>IFERROR(__xludf.DUMMYFUNCTION("""COMPUTED_VALUE"""),45784.6458333333)</f>
        <v>45784.6458333333</v>
      </c>
      <c r="F29" s="17">
        <f>IFERROR(__xludf.DUMMYFUNCTION("""COMPUTED_VALUE"""),10710389)</f>
        <v>10710389</v>
      </c>
      <c r="G29" s="16">
        <f>IFERROR(__xludf.DUMMYFUNCTION("""COMPUTED_VALUE"""),45784.6458333333)</f>
        <v>45784.6458333333</v>
      </c>
      <c r="H29" s="17">
        <f>IFERROR(__xludf.DUMMYFUNCTION("""COMPUTED_VALUE"""),974.35)</f>
        <v>974.35</v>
      </c>
      <c r="I29" s="16">
        <f>IFERROR(__xludf.DUMMYFUNCTION("""COMPUTED_VALUE"""),45784.6458333333)</f>
        <v>45784.6458333333</v>
      </c>
      <c r="J29" s="17">
        <f>IFERROR(__xludf.DUMMYFUNCTION("""COMPUTED_VALUE"""),961.2)</f>
        <v>961.2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IFERROR(__xludf.DUMMYFUNCTION("""COMPUTED_VALUE"""),964.25)</f>
        <v>964.25</v>
      </c>
      <c r="C30" s="16">
        <f>IFERROR(__xludf.DUMMYFUNCTION("""COMPUTED_VALUE"""),45785.6458333333)</f>
        <v>45785.6458333333</v>
      </c>
      <c r="D30" s="17">
        <f>IFERROR(__xludf.DUMMYFUNCTION("""COMPUTED_VALUE"""),977.4)</f>
        <v>977.4</v>
      </c>
      <c r="E30" s="16">
        <f>IFERROR(__xludf.DUMMYFUNCTION("""COMPUTED_VALUE"""),45785.6458333333)</f>
        <v>45785.6458333333</v>
      </c>
      <c r="F30" s="17">
        <f>IFERROR(__xludf.DUMMYFUNCTION("""COMPUTED_VALUE"""),17401715)</f>
        <v>17401715</v>
      </c>
      <c r="G30" s="16">
        <f>IFERROR(__xludf.DUMMYFUNCTION("""COMPUTED_VALUE"""),45785.6458333333)</f>
        <v>45785.6458333333</v>
      </c>
      <c r="H30" s="17">
        <f>IFERROR(__xludf.DUMMYFUNCTION("""COMPUTED_VALUE"""),977.4)</f>
        <v>977.4</v>
      </c>
      <c r="I30" s="16">
        <f>IFERROR(__xludf.DUMMYFUNCTION("""COMPUTED_VALUE"""),45785.6458333333)</f>
        <v>45785.6458333333</v>
      </c>
      <c r="J30" s="17">
        <f>IFERROR(__xludf.DUMMYFUNCTION("""COMPUTED_VALUE"""),959.55)</f>
        <v>959.55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IFERROR(__xludf.DUMMYFUNCTION("""COMPUTED_VALUE"""),944.85)</f>
        <v>944.85</v>
      </c>
      <c r="C31" s="16">
        <f>IFERROR(__xludf.DUMMYFUNCTION("""COMPUTED_VALUE"""),45786.6458333333)</f>
        <v>45786.6458333333</v>
      </c>
      <c r="D31" s="17">
        <f>IFERROR(__xludf.DUMMYFUNCTION("""COMPUTED_VALUE"""),955.05)</f>
        <v>955.05</v>
      </c>
      <c r="E31" s="16">
        <f>IFERROR(__xludf.DUMMYFUNCTION("""COMPUTED_VALUE"""),45786.6458333333)</f>
        <v>45786.6458333333</v>
      </c>
      <c r="F31" s="17">
        <f>IFERROR(__xludf.DUMMYFUNCTION("""COMPUTED_VALUE"""),8594398)</f>
        <v>8594398</v>
      </c>
      <c r="G31" s="16">
        <f>IFERROR(__xludf.DUMMYFUNCTION("""COMPUTED_VALUE"""),45786.6458333333)</f>
        <v>45786.6458333333</v>
      </c>
      <c r="H31" s="17">
        <f>IFERROR(__xludf.DUMMYFUNCTION("""COMPUTED_VALUE"""),959.5)</f>
        <v>959.5</v>
      </c>
      <c r="I31" s="16">
        <f>IFERROR(__xludf.DUMMYFUNCTION("""COMPUTED_VALUE"""),45786.6458333333)</f>
        <v>45786.6458333333</v>
      </c>
      <c r="J31" s="17">
        <f>IFERROR(__xludf.DUMMYFUNCTION("""COMPUTED_VALUE"""),943.4)</f>
        <v>943.4</v>
      </c>
      <c r="K31" s="3">
        <f t="shared" si="2"/>
        <v>0</v>
      </c>
      <c r="L31" s="3">
        <f t="shared" si="3"/>
        <v>944.85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IFERROR(__xludf.DUMMYFUNCTION("""COMPUTED_VALUE"""),978.6)</f>
        <v>978.6</v>
      </c>
      <c r="C32" s="16">
        <f>IFERROR(__xludf.DUMMYFUNCTION("""COMPUTED_VALUE"""),45789.6458333333)</f>
        <v>45789.6458333333</v>
      </c>
      <c r="D32" s="17">
        <f>IFERROR(__xludf.DUMMYFUNCTION("""COMPUTED_VALUE"""),958.8)</f>
        <v>958.8</v>
      </c>
      <c r="E32" s="16">
        <f>IFERROR(__xludf.DUMMYFUNCTION("""COMPUTED_VALUE"""),45789.6458333333)</f>
        <v>45789.6458333333</v>
      </c>
      <c r="F32" s="17">
        <f>IFERROR(__xludf.DUMMYFUNCTION("""COMPUTED_VALUE"""),9309486)</f>
        <v>9309486</v>
      </c>
      <c r="G32" s="16">
        <f>IFERROR(__xludf.DUMMYFUNCTION("""COMPUTED_VALUE"""),45789.6458333333)</f>
        <v>45789.6458333333</v>
      </c>
      <c r="H32" s="17">
        <f>IFERROR(__xludf.DUMMYFUNCTION("""COMPUTED_VALUE"""),979.95)</f>
        <v>979.95</v>
      </c>
      <c r="I32" s="16">
        <f>IFERROR(__xludf.DUMMYFUNCTION("""COMPUTED_VALUE"""),45789.6458333333)</f>
        <v>45789.6458333333</v>
      </c>
      <c r="J32" s="17">
        <f>IFERROR(__xludf.DUMMYFUNCTION("""COMPUTED_VALUE"""),956.15)</f>
        <v>956.15</v>
      </c>
      <c r="K32" s="3">
        <f t="shared" si="2"/>
        <v>978.6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IFERROR(__xludf.DUMMYFUNCTION("""COMPUTED_VALUE"""),961.3)</f>
        <v>961.3</v>
      </c>
      <c r="C33" s="16">
        <f>IFERROR(__xludf.DUMMYFUNCTION("""COMPUTED_VALUE"""),45790.6458333333)</f>
        <v>45790.6458333333</v>
      </c>
      <c r="D33" s="17">
        <f>IFERROR(__xludf.DUMMYFUNCTION("""COMPUTED_VALUE"""),975)</f>
        <v>975</v>
      </c>
      <c r="E33" s="16">
        <f>IFERROR(__xludf.DUMMYFUNCTION("""COMPUTED_VALUE"""),45790.6458333333)</f>
        <v>45790.6458333333</v>
      </c>
      <c r="F33" s="17">
        <f>IFERROR(__xludf.DUMMYFUNCTION("""COMPUTED_VALUE"""),12121051)</f>
        <v>12121051</v>
      </c>
      <c r="G33" s="16">
        <f>IFERROR(__xludf.DUMMYFUNCTION("""COMPUTED_VALUE"""),45790.6458333333)</f>
        <v>45790.6458333333</v>
      </c>
      <c r="H33" s="17">
        <f>IFERROR(__xludf.DUMMYFUNCTION("""COMPUTED_VALUE"""),980.85)</f>
        <v>980.85</v>
      </c>
      <c r="I33" s="16">
        <f>IFERROR(__xludf.DUMMYFUNCTION("""COMPUTED_VALUE"""),45790.6458333333)</f>
        <v>45790.6458333333</v>
      </c>
      <c r="J33" s="17">
        <f>IFERROR(__xludf.DUMMYFUNCTION("""COMPUTED_VALUE"""),960)</f>
        <v>960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IFERROR(__xludf.DUMMYFUNCTION("""COMPUTED_VALUE"""),955.3)</f>
        <v>955.3</v>
      </c>
      <c r="C34" s="16">
        <f>IFERROR(__xludf.DUMMYFUNCTION("""COMPUTED_VALUE"""),45791.6458333333)</f>
        <v>45791.6458333333</v>
      </c>
      <c r="D34" s="17">
        <f>IFERROR(__xludf.DUMMYFUNCTION("""COMPUTED_VALUE"""),961.05)</f>
        <v>961.05</v>
      </c>
      <c r="E34" s="16">
        <f>IFERROR(__xludf.DUMMYFUNCTION("""COMPUTED_VALUE"""),45791.6458333333)</f>
        <v>45791.6458333333</v>
      </c>
      <c r="F34" s="17">
        <f>IFERROR(__xludf.DUMMYFUNCTION("""COMPUTED_VALUE"""),7722654)</f>
        <v>7722654</v>
      </c>
      <c r="G34" s="16">
        <f>IFERROR(__xludf.DUMMYFUNCTION("""COMPUTED_VALUE"""),45791.6458333333)</f>
        <v>45791.6458333333</v>
      </c>
      <c r="H34" s="17">
        <f>IFERROR(__xludf.DUMMYFUNCTION("""COMPUTED_VALUE"""),965.1)</f>
        <v>965.1</v>
      </c>
      <c r="I34" s="16">
        <f>IFERROR(__xludf.DUMMYFUNCTION("""COMPUTED_VALUE"""),45791.6458333333)</f>
        <v>45791.6458333333</v>
      </c>
      <c r="J34" s="17">
        <f>IFERROR(__xludf.DUMMYFUNCTION("""COMPUTED_VALUE"""),951.5)</f>
        <v>951.5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IFERROR(__xludf.DUMMYFUNCTION("""COMPUTED_VALUE"""),966.9)</f>
        <v>966.9</v>
      </c>
      <c r="C35" s="16">
        <f>IFERROR(__xludf.DUMMYFUNCTION("""COMPUTED_VALUE"""),45792.6458333333)</f>
        <v>45792.6458333333</v>
      </c>
      <c r="D35" s="17">
        <f>IFERROR(__xludf.DUMMYFUNCTION("""COMPUTED_VALUE"""),956.75)</f>
        <v>956.75</v>
      </c>
      <c r="E35" s="16">
        <f>IFERROR(__xludf.DUMMYFUNCTION("""COMPUTED_VALUE"""),45792.6458333333)</f>
        <v>45792.6458333333</v>
      </c>
      <c r="F35" s="17">
        <f>IFERROR(__xludf.DUMMYFUNCTION("""COMPUTED_VALUE"""),16120729)</f>
        <v>16120729</v>
      </c>
      <c r="G35" s="16">
        <f>IFERROR(__xludf.DUMMYFUNCTION("""COMPUTED_VALUE"""),45792.6458333333)</f>
        <v>45792.6458333333</v>
      </c>
      <c r="H35" s="17">
        <f>IFERROR(__xludf.DUMMYFUNCTION("""COMPUTED_VALUE"""),972.4)</f>
        <v>972.4</v>
      </c>
      <c r="I35" s="16">
        <f>IFERROR(__xludf.DUMMYFUNCTION("""COMPUTED_VALUE"""),45792.6458333333)</f>
        <v>45792.6458333333</v>
      </c>
      <c r="J35" s="17">
        <f>IFERROR(__xludf.DUMMYFUNCTION("""COMPUTED_VALUE"""),948.5)</f>
        <v>948.5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IFERROR(__xludf.DUMMYFUNCTION("""COMPUTED_VALUE"""),967.35)</f>
        <v>967.35</v>
      </c>
      <c r="C36" s="16">
        <f>IFERROR(__xludf.DUMMYFUNCTION("""COMPUTED_VALUE"""),45793.6458333333)</f>
        <v>45793.6458333333</v>
      </c>
      <c r="D36" s="17">
        <f>IFERROR(__xludf.DUMMYFUNCTION("""COMPUTED_VALUE"""),966.9)</f>
        <v>966.9</v>
      </c>
      <c r="E36" s="16">
        <f>IFERROR(__xludf.DUMMYFUNCTION("""COMPUTED_VALUE"""),45793.6458333333)</f>
        <v>45793.6458333333</v>
      </c>
      <c r="F36" s="17">
        <f>IFERROR(__xludf.DUMMYFUNCTION("""COMPUTED_VALUE"""),7934005)</f>
        <v>7934005</v>
      </c>
      <c r="G36" s="16">
        <f>IFERROR(__xludf.DUMMYFUNCTION("""COMPUTED_VALUE"""),45793.6458333333)</f>
        <v>45793.6458333333</v>
      </c>
      <c r="H36" s="17">
        <f>IFERROR(__xludf.DUMMYFUNCTION("""COMPUTED_VALUE"""),971.9)</f>
        <v>971.9</v>
      </c>
      <c r="I36" s="16">
        <f>IFERROR(__xludf.DUMMYFUNCTION("""COMPUTED_VALUE"""),45793.6458333333)</f>
        <v>45793.6458333333</v>
      </c>
      <c r="J36" s="17">
        <f>IFERROR(__xludf.DUMMYFUNCTION("""COMPUTED_VALUE"""),964.2)</f>
        <v>964.2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IFERROR(__xludf.DUMMYFUNCTION("""COMPUTED_VALUE"""),969.35)</f>
        <v>969.35</v>
      </c>
      <c r="C37" s="16">
        <f>IFERROR(__xludf.DUMMYFUNCTION("""COMPUTED_VALUE"""),45796.6458333333)</f>
        <v>45796.6458333333</v>
      </c>
      <c r="D37" s="17">
        <f>IFERROR(__xludf.DUMMYFUNCTION("""COMPUTED_VALUE"""),968.5)</f>
        <v>968.5</v>
      </c>
      <c r="E37" s="16">
        <f>IFERROR(__xludf.DUMMYFUNCTION("""COMPUTED_VALUE"""),45796.6458333333)</f>
        <v>45796.6458333333</v>
      </c>
      <c r="F37" s="17">
        <f>IFERROR(__xludf.DUMMYFUNCTION("""COMPUTED_VALUE"""),5101482)</f>
        <v>5101482</v>
      </c>
      <c r="G37" s="16">
        <f>IFERROR(__xludf.DUMMYFUNCTION("""COMPUTED_VALUE"""),45796.6458333333)</f>
        <v>45796.6458333333</v>
      </c>
      <c r="H37" s="17">
        <f>IFERROR(__xludf.DUMMYFUNCTION("""COMPUTED_VALUE"""),972.5)</f>
        <v>972.5</v>
      </c>
      <c r="I37" s="16">
        <f>IFERROR(__xludf.DUMMYFUNCTION("""COMPUTED_VALUE"""),45796.6458333333)</f>
        <v>45796.6458333333</v>
      </c>
      <c r="J37" s="17">
        <f>IFERROR(__xludf.DUMMYFUNCTION("""COMPUTED_VALUE"""),965.5)</f>
        <v>965.5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IFERROR(__xludf.DUMMYFUNCTION("""COMPUTED_VALUE"""),957.45)</f>
        <v>957.45</v>
      </c>
      <c r="C38" s="16">
        <f>IFERROR(__xludf.DUMMYFUNCTION("""COMPUTED_VALUE"""),45797.6458333333)</f>
        <v>45797.6458333333</v>
      </c>
      <c r="D38" s="17">
        <f>IFERROR(__xludf.DUMMYFUNCTION("""COMPUTED_VALUE"""),964.05)</f>
        <v>964.05</v>
      </c>
      <c r="E38" s="16">
        <f>IFERROR(__xludf.DUMMYFUNCTION("""COMPUTED_VALUE"""),45797.6458333333)</f>
        <v>45797.6458333333</v>
      </c>
      <c r="F38" s="17">
        <f>IFERROR(__xludf.DUMMYFUNCTION("""COMPUTED_VALUE"""),11939545)</f>
        <v>11939545</v>
      </c>
      <c r="G38" s="16">
        <f>IFERROR(__xludf.DUMMYFUNCTION("""COMPUTED_VALUE"""),45797.6458333333)</f>
        <v>45797.6458333333</v>
      </c>
      <c r="H38" s="17">
        <f>IFERROR(__xludf.DUMMYFUNCTION("""COMPUTED_VALUE"""),967.3)</f>
        <v>967.3</v>
      </c>
      <c r="I38" s="16">
        <f>IFERROR(__xludf.DUMMYFUNCTION("""COMPUTED_VALUE"""),45797.6458333333)</f>
        <v>45797.6458333333</v>
      </c>
      <c r="J38" s="17">
        <f>IFERROR(__xludf.DUMMYFUNCTION("""COMPUTED_VALUE"""),956.5)</f>
        <v>956.5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IFERROR(__xludf.DUMMYFUNCTION("""COMPUTED_VALUE"""),963.4)</f>
        <v>963.4</v>
      </c>
      <c r="C39" s="16">
        <f>IFERROR(__xludf.DUMMYFUNCTION("""COMPUTED_VALUE"""),45798.6458333333)</f>
        <v>45798.6458333333</v>
      </c>
      <c r="D39" s="17">
        <f>IFERROR(__xludf.DUMMYFUNCTION("""COMPUTED_VALUE"""),963.5)</f>
        <v>963.5</v>
      </c>
      <c r="E39" s="16">
        <f>IFERROR(__xludf.DUMMYFUNCTION("""COMPUTED_VALUE"""),45798.6458333333)</f>
        <v>45798.6458333333</v>
      </c>
      <c r="F39" s="17">
        <f>IFERROR(__xludf.DUMMYFUNCTION("""COMPUTED_VALUE"""),7566020)</f>
        <v>7566020</v>
      </c>
      <c r="G39" s="16">
        <f>IFERROR(__xludf.DUMMYFUNCTION("""COMPUTED_VALUE"""),45798.6458333333)</f>
        <v>45798.6458333333</v>
      </c>
      <c r="H39" s="17">
        <f>IFERROR(__xludf.DUMMYFUNCTION("""COMPUTED_VALUE"""),973.45)</f>
        <v>973.45</v>
      </c>
      <c r="I39" s="16">
        <f>IFERROR(__xludf.DUMMYFUNCTION("""COMPUTED_VALUE"""),45798.6458333333)</f>
        <v>45798.6458333333</v>
      </c>
      <c r="J39" s="17">
        <f>IFERROR(__xludf.DUMMYFUNCTION("""COMPUTED_VALUE"""),960.55)</f>
        <v>960.55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IFERROR(__xludf.DUMMYFUNCTION("""COMPUTED_VALUE"""),959.95)</f>
        <v>959.95</v>
      </c>
      <c r="C40" s="16">
        <f>IFERROR(__xludf.DUMMYFUNCTION("""COMPUTED_VALUE"""),45799.6458333333)</f>
        <v>45799.6458333333</v>
      </c>
      <c r="D40" s="17">
        <f>IFERROR(__xludf.DUMMYFUNCTION("""COMPUTED_VALUE"""),957.6)</f>
        <v>957.6</v>
      </c>
      <c r="E40" s="16">
        <f>IFERROR(__xludf.DUMMYFUNCTION("""COMPUTED_VALUE"""),45799.6458333333)</f>
        <v>45799.6458333333</v>
      </c>
      <c r="F40" s="17">
        <f>IFERROR(__xludf.DUMMYFUNCTION("""COMPUTED_VALUE"""),10653335)</f>
        <v>10653335</v>
      </c>
      <c r="G40" s="16">
        <f>IFERROR(__xludf.DUMMYFUNCTION("""COMPUTED_VALUE"""),45799.6458333333)</f>
        <v>45799.6458333333</v>
      </c>
      <c r="H40" s="17">
        <f>IFERROR(__xludf.DUMMYFUNCTION("""COMPUTED_VALUE"""),962.1)</f>
        <v>962.1</v>
      </c>
      <c r="I40" s="16">
        <f>IFERROR(__xludf.DUMMYFUNCTION("""COMPUTED_VALUE"""),45799.6458333333)</f>
        <v>45799.6458333333</v>
      </c>
      <c r="J40" s="17">
        <f>IFERROR(__xludf.DUMMYFUNCTION("""COMPUTED_VALUE"""),952.6)</f>
        <v>952.6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IFERROR(__xludf.DUMMYFUNCTION("""COMPUTED_VALUE"""),966.8)</f>
        <v>966.8</v>
      </c>
      <c r="C41" s="16">
        <f>IFERROR(__xludf.DUMMYFUNCTION("""COMPUTED_VALUE"""),45800.6458333333)</f>
        <v>45800.6458333333</v>
      </c>
      <c r="D41" s="17">
        <f>IFERROR(__xludf.DUMMYFUNCTION("""COMPUTED_VALUE"""),960.05)</f>
        <v>960.05</v>
      </c>
      <c r="E41" s="16">
        <f>IFERROR(__xludf.DUMMYFUNCTION("""COMPUTED_VALUE"""),45800.6458333333)</f>
        <v>45800.6458333333</v>
      </c>
      <c r="F41" s="17">
        <f>IFERROR(__xludf.DUMMYFUNCTION("""COMPUTED_VALUE"""),4783036)</f>
        <v>4783036</v>
      </c>
      <c r="G41" s="16">
        <f>IFERROR(__xludf.DUMMYFUNCTION("""COMPUTED_VALUE"""),45800.6458333333)</f>
        <v>45800.6458333333</v>
      </c>
      <c r="H41" s="17">
        <f>IFERROR(__xludf.DUMMYFUNCTION("""COMPUTED_VALUE"""),968.5)</f>
        <v>968.5</v>
      </c>
      <c r="I41" s="16">
        <f>IFERROR(__xludf.DUMMYFUNCTION("""COMPUTED_VALUE"""),45800.6458333333)</f>
        <v>45800.6458333333</v>
      </c>
      <c r="J41" s="17">
        <f>IFERROR(__xludf.DUMMYFUNCTION("""COMPUTED_VALUE"""),957.25)</f>
        <v>957.25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IFERROR(__xludf.DUMMYFUNCTION("""COMPUTED_VALUE"""),970.1)</f>
        <v>970.1</v>
      </c>
      <c r="C42" s="16">
        <f>IFERROR(__xludf.DUMMYFUNCTION("""COMPUTED_VALUE"""),45803.6458333333)</f>
        <v>45803.6458333333</v>
      </c>
      <c r="D42" s="17">
        <f>IFERROR(__xludf.DUMMYFUNCTION("""COMPUTED_VALUE"""),967.5)</f>
        <v>967.5</v>
      </c>
      <c r="E42" s="16">
        <f>IFERROR(__xludf.DUMMYFUNCTION("""COMPUTED_VALUE"""),45803.6458333333)</f>
        <v>45803.6458333333</v>
      </c>
      <c r="F42" s="17">
        <f>IFERROR(__xludf.DUMMYFUNCTION("""COMPUTED_VALUE"""),5401430)</f>
        <v>5401430</v>
      </c>
      <c r="G42" s="16">
        <f>IFERROR(__xludf.DUMMYFUNCTION("""COMPUTED_VALUE"""),45803.6458333333)</f>
        <v>45803.6458333333</v>
      </c>
      <c r="H42" s="17">
        <f>IFERROR(__xludf.DUMMYFUNCTION("""COMPUTED_VALUE"""),974.95)</f>
        <v>974.95</v>
      </c>
      <c r="I42" s="16">
        <f>IFERROR(__xludf.DUMMYFUNCTION("""COMPUTED_VALUE"""),45803.6458333333)</f>
        <v>45803.6458333333</v>
      </c>
      <c r="J42" s="17">
        <f>IFERROR(__xludf.DUMMYFUNCTION("""COMPUTED_VALUE"""),963.45)</f>
        <v>963.45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IFERROR(__xludf.DUMMYFUNCTION("""COMPUTED_VALUE"""),963.15)</f>
        <v>963.15</v>
      </c>
      <c r="C43" s="16">
        <f>IFERROR(__xludf.DUMMYFUNCTION("""COMPUTED_VALUE"""),45804.6458333333)</f>
        <v>45804.6458333333</v>
      </c>
      <c r="D43" s="17">
        <f>IFERROR(__xludf.DUMMYFUNCTION("""COMPUTED_VALUE"""),965.8)</f>
        <v>965.8</v>
      </c>
      <c r="E43" s="16">
        <f>IFERROR(__xludf.DUMMYFUNCTION("""COMPUTED_VALUE"""),45804.6458333333)</f>
        <v>45804.6458333333</v>
      </c>
      <c r="F43" s="17">
        <f>IFERROR(__xludf.DUMMYFUNCTION("""COMPUTED_VALUE"""),13081074)</f>
        <v>13081074</v>
      </c>
      <c r="G43" s="16">
        <f>IFERROR(__xludf.DUMMYFUNCTION("""COMPUTED_VALUE"""),45804.6458333333)</f>
        <v>45804.6458333333</v>
      </c>
      <c r="H43" s="17">
        <f>IFERROR(__xludf.DUMMYFUNCTION("""COMPUTED_VALUE"""),974)</f>
        <v>974</v>
      </c>
      <c r="I43" s="16">
        <f>IFERROR(__xludf.DUMMYFUNCTION("""COMPUTED_VALUE"""),45804.6458333333)</f>
        <v>45804.6458333333</v>
      </c>
      <c r="J43" s="17">
        <f>IFERROR(__xludf.DUMMYFUNCTION("""COMPUTED_VALUE"""),958.15)</f>
        <v>958.15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IFERROR(__xludf.DUMMYFUNCTION("""COMPUTED_VALUE"""),961.75)</f>
        <v>961.75</v>
      </c>
      <c r="C44" s="16">
        <f>IFERROR(__xludf.DUMMYFUNCTION("""COMPUTED_VALUE"""),45805.6458333333)</f>
        <v>45805.6458333333</v>
      </c>
      <c r="D44" s="17">
        <f>IFERROR(__xludf.DUMMYFUNCTION("""COMPUTED_VALUE"""),960.1)</f>
        <v>960.1</v>
      </c>
      <c r="E44" s="16">
        <f>IFERROR(__xludf.DUMMYFUNCTION("""COMPUTED_VALUE"""),45805.6458333333)</f>
        <v>45805.6458333333</v>
      </c>
      <c r="F44" s="17">
        <f>IFERROR(__xludf.DUMMYFUNCTION("""COMPUTED_VALUE"""),9078797)</f>
        <v>9078797</v>
      </c>
      <c r="G44" s="16">
        <f>IFERROR(__xludf.DUMMYFUNCTION("""COMPUTED_VALUE"""),45805.6458333333)</f>
        <v>45805.6458333333</v>
      </c>
      <c r="H44" s="17">
        <f>IFERROR(__xludf.DUMMYFUNCTION("""COMPUTED_VALUE"""),967.25)</f>
        <v>967.25</v>
      </c>
      <c r="I44" s="16">
        <f>IFERROR(__xludf.DUMMYFUNCTION("""COMPUTED_VALUE"""),45805.6458333333)</f>
        <v>45805.6458333333</v>
      </c>
      <c r="J44" s="17">
        <f>IFERROR(__xludf.DUMMYFUNCTION("""COMPUTED_VALUE"""),958.85)</f>
        <v>958.85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IFERROR(__xludf.DUMMYFUNCTION("""COMPUTED_VALUE"""),963.75)</f>
        <v>963.75</v>
      </c>
      <c r="C45" s="16">
        <f>IFERROR(__xludf.DUMMYFUNCTION("""COMPUTED_VALUE"""),45806.6458333333)</f>
        <v>45806.6458333333</v>
      </c>
      <c r="D45" s="17">
        <f>IFERROR(__xludf.DUMMYFUNCTION("""COMPUTED_VALUE"""),964)</f>
        <v>964</v>
      </c>
      <c r="E45" s="16">
        <f>IFERROR(__xludf.DUMMYFUNCTION("""COMPUTED_VALUE"""),45806.6458333333)</f>
        <v>45806.6458333333</v>
      </c>
      <c r="F45" s="17">
        <f>IFERROR(__xludf.DUMMYFUNCTION("""COMPUTED_VALUE"""),14458897)</f>
        <v>14458897</v>
      </c>
      <c r="G45" s="16">
        <f>IFERROR(__xludf.DUMMYFUNCTION("""COMPUTED_VALUE"""),45806.6458333333)</f>
        <v>45806.6458333333</v>
      </c>
      <c r="H45" s="17">
        <f>IFERROR(__xludf.DUMMYFUNCTION("""COMPUTED_VALUE"""),970.4)</f>
        <v>970.4</v>
      </c>
      <c r="I45" s="16">
        <f>IFERROR(__xludf.DUMMYFUNCTION("""COMPUTED_VALUE"""),45806.6458333333)</f>
        <v>45806.6458333333</v>
      </c>
      <c r="J45" s="17">
        <f>IFERROR(__xludf.DUMMYFUNCTION("""COMPUTED_VALUE"""),953.65)</f>
        <v>953.65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IFERROR(__xludf.DUMMYFUNCTION("""COMPUTED_VALUE"""),972.45)</f>
        <v>972.45</v>
      </c>
      <c r="C46" s="16">
        <f>IFERROR(__xludf.DUMMYFUNCTION("""COMPUTED_VALUE"""),45807.6458333333)</f>
        <v>45807.6458333333</v>
      </c>
      <c r="D46" s="17">
        <f>IFERROR(__xludf.DUMMYFUNCTION("""COMPUTED_VALUE"""),965.95)</f>
        <v>965.95</v>
      </c>
      <c r="E46" s="16">
        <f>IFERROR(__xludf.DUMMYFUNCTION("""COMPUTED_VALUE"""),45807.6458333333)</f>
        <v>45807.6458333333</v>
      </c>
      <c r="F46" s="17">
        <f>IFERROR(__xludf.DUMMYFUNCTION("""COMPUTED_VALUE"""),14374039)</f>
        <v>14374039</v>
      </c>
      <c r="G46" s="16">
        <f>IFERROR(__xludf.DUMMYFUNCTION("""COMPUTED_VALUE"""),45807.6458333333)</f>
        <v>45807.6458333333</v>
      </c>
      <c r="H46" s="17">
        <f>IFERROR(__xludf.DUMMYFUNCTION("""COMPUTED_VALUE"""),974.4)</f>
        <v>974.4</v>
      </c>
      <c r="I46" s="16">
        <f>IFERROR(__xludf.DUMMYFUNCTION("""COMPUTED_VALUE"""),45807.6458333333)</f>
        <v>45807.6458333333</v>
      </c>
      <c r="J46" s="17">
        <f>IFERROR(__xludf.DUMMYFUNCTION("""COMPUTED_VALUE"""),962.7)</f>
        <v>962.7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IFERROR(__xludf.DUMMYFUNCTION("""COMPUTED_VALUE"""),966.05)</f>
        <v>966.05</v>
      </c>
      <c r="C47" s="16">
        <f>IFERROR(__xludf.DUMMYFUNCTION("""COMPUTED_VALUE"""),45810.6458333333)</f>
        <v>45810.6458333333</v>
      </c>
      <c r="D47" s="17">
        <f>IFERROR(__xludf.DUMMYFUNCTION("""COMPUTED_VALUE"""),965.05)</f>
        <v>965.05</v>
      </c>
      <c r="E47" s="16">
        <f>IFERROR(__xludf.DUMMYFUNCTION("""COMPUTED_VALUE"""),45810.6458333333)</f>
        <v>45810.6458333333</v>
      </c>
      <c r="F47" s="17">
        <f>IFERROR(__xludf.DUMMYFUNCTION("""COMPUTED_VALUE"""),7334411)</f>
        <v>7334411</v>
      </c>
      <c r="G47" s="16">
        <f>IFERROR(__xludf.DUMMYFUNCTION("""COMPUTED_VALUE"""),45810.6458333333)</f>
        <v>45810.6458333333</v>
      </c>
      <c r="H47" s="17">
        <f>IFERROR(__xludf.DUMMYFUNCTION("""COMPUTED_VALUE"""),968)</f>
        <v>968</v>
      </c>
      <c r="I47" s="16">
        <f>IFERROR(__xludf.DUMMYFUNCTION("""COMPUTED_VALUE"""),45810.6458333333)</f>
        <v>45810.6458333333</v>
      </c>
      <c r="J47" s="17">
        <f>IFERROR(__xludf.DUMMYFUNCTION("""COMPUTED_VALUE"""),954)</f>
        <v>954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IFERROR(__xludf.DUMMYFUNCTION("""COMPUTED_VALUE"""),962.3)</f>
        <v>962.3</v>
      </c>
      <c r="C48" s="16">
        <f>IFERROR(__xludf.DUMMYFUNCTION("""COMPUTED_VALUE"""),45811.6458333333)</f>
        <v>45811.6458333333</v>
      </c>
      <c r="D48" s="17">
        <f>IFERROR(__xludf.DUMMYFUNCTION("""COMPUTED_VALUE"""),969)</f>
        <v>969</v>
      </c>
      <c r="E48" s="16">
        <f>IFERROR(__xludf.DUMMYFUNCTION("""COMPUTED_VALUE"""),45811.6458333333)</f>
        <v>45811.6458333333</v>
      </c>
      <c r="F48" s="17">
        <f>IFERROR(__xludf.DUMMYFUNCTION("""COMPUTED_VALUE"""),12188792)</f>
        <v>12188792</v>
      </c>
      <c r="G48" s="16">
        <f>IFERROR(__xludf.DUMMYFUNCTION("""COMPUTED_VALUE"""),45811.6458333333)</f>
        <v>45811.6458333333</v>
      </c>
      <c r="H48" s="17">
        <f>IFERROR(__xludf.DUMMYFUNCTION("""COMPUTED_VALUE"""),976)</f>
        <v>976</v>
      </c>
      <c r="I48" s="16">
        <f>IFERROR(__xludf.DUMMYFUNCTION("""COMPUTED_VALUE"""),45811.6458333333)</f>
        <v>45811.6458333333</v>
      </c>
      <c r="J48" s="17">
        <f>IFERROR(__xludf.DUMMYFUNCTION("""COMPUTED_VALUE"""),960)</f>
        <v>960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IFERROR(__xludf.DUMMYFUNCTION("""COMPUTED_VALUE"""),970.6)</f>
        <v>970.6</v>
      </c>
      <c r="C49" s="16">
        <f>IFERROR(__xludf.DUMMYFUNCTION("""COMPUTED_VALUE"""),45812.6458333333)</f>
        <v>45812.6458333333</v>
      </c>
      <c r="D49" s="17">
        <f>IFERROR(__xludf.DUMMYFUNCTION("""COMPUTED_VALUE"""),960.5)</f>
        <v>960.5</v>
      </c>
      <c r="E49" s="16">
        <f>IFERROR(__xludf.DUMMYFUNCTION("""COMPUTED_VALUE"""),45812.6458333333)</f>
        <v>45812.6458333333</v>
      </c>
      <c r="F49" s="17">
        <f>IFERROR(__xludf.DUMMYFUNCTION("""COMPUTED_VALUE"""),6480771)</f>
        <v>6480771</v>
      </c>
      <c r="G49" s="16">
        <f>IFERROR(__xludf.DUMMYFUNCTION("""COMPUTED_VALUE"""),45812.6458333333)</f>
        <v>45812.6458333333</v>
      </c>
      <c r="H49" s="17">
        <f>IFERROR(__xludf.DUMMYFUNCTION("""COMPUTED_VALUE"""),971.65)</f>
        <v>971.65</v>
      </c>
      <c r="I49" s="16">
        <f>IFERROR(__xludf.DUMMYFUNCTION("""COMPUTED_VALUE"""),45812.6458333333)</f>
        <v>45812.6458333333</v>
      </c>
      <c r="J49" s="17">
        <f>IFERROR(__xludf.DUMMYFUNCTION("""COMPUTED_VALUE"""),960.45)</f>
        <v>960.45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IFERROR(__xludf.DUMMYFUNCTION("""COMPUTED_VALUE"""),974.8)</f>
        <v>974.8</v>
      </c>
      <c r="C50" s="16">
        <f>IFERROR(__xludf.DUMMYFUNCTION("""COMPUTED_VALUE"""),45813.6458333333)</f>
        <v>45813.6458333333</v>
      </c>
      <c r="D50" s="17">
        <f>IFERROR(__xludf.DUMMYFUNCTION("""COMPUTED_VALUE"""),974)</f>
        <v>974</v>
      </c>
      <c r="E50" s="16">
        <f>IFERROR(__xludf.DUMMYFUNCTION("""COMPUTED_VALUE"""),45813.6458333333)</f>
        <v>45813.6458333333</v>
      </c>
      <c r="F50" s="17">
        <f>IFERROR(__xludf.DUMMYFUNCTION("""COMPUTED_VALUE"""),11127709)</f>
        <v>11127709</v>
      </c>
      <c r="G50" s="16">
        <f>IFERROR(__xludf.DUMMYFUNCTION("""COMPUTED_VALUE"""),45813.6458333333)</f>
        <v>45813.6458333333</v>
      </c>
      <c r="H50" s="17">
        <f>IFERROR(__xludf.DUMMYFUNCTION("""COMPUTED_VALUE"""),979.45)</f>
        <v>979.45</v>
      </c>
      <c r="I50" s="16">
        <f>IFERROR(__xludf.DUMMYFUNCTION("""COMPUTED_VALUE"""),45813.6458333333)</f>
        <v>45813.6458333333</v>
      </c>
      <c r="J50" s="17">
        <f>IFERROR(__xludf.DUMMYFUNCTION("""COMPUTED_VALUE"""),970.1)</f>
        <v>970.1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IFERROR(__xludf.DUMMYFUNCTION("""COMPUTED_VALUE"""),989.35)</f>
        <v>989.35</v>
      </c>
      <c r="C51" s="16">
        <f>IFERROR(__xludf.DUMMYFUNCTION("""COMPUTED_VALUE"""),45814.6458333333)</f>
        <v>45814.6458333333</v>
      </c>
      <c r="D51" s="17">
        <f>IFERROR(__xludf.DUMMYFUNCTION("""COMPUTED_VALUE"""),972)</f>
        <v>972</v>
      </c>
      <c r="E51" s="16">
        <f>IFERROR(__xludf.DUMMYFUNCTION("""COMPUTED_VALUE"""),45814.6458333333)</f>
        <v>45814.6458333333</v>
      </c>
      <c r="F51" s="17">
        <f>IFERROR(__xludf.DUMMYFUNCTION("""COMPUTED_VALUE"""),15063504)</f>
        <v>15063504</v>
      </c>
      <c r="G51" s="16">
        <f>IFERROR(__xludf.DUMMYFUNCTION("""COMPUTED_VALUE"""),45814.6458333333)</f>
        <v>45814.6458333333</v>
      </c>
      <c r="H51" s="17">
        <f>IFERROR(__xludf.DUMMYFUNCTION("""COMPUTED_VALUE"""),998.15)</f>
        <v>998.15</v>
      </c>
      <c r="I51" s="16">
        <f>IFERROR(__xludf.DUMMYFUNCTION("""COMPUTED_VALUE"""),45814.6458333333)</f>
        <v>45814.6458333333</v>
      </c>
      <c r="J51" s="17">
        <f>IFERROR(__xludf.DUMMYFUNCTION("""COMPUTED_VALUE"""),971.35)</f>
        <v>971.35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IFERROR(__xludf.DUMMYFUNCTION("""COMPUTED_VALUE"""),989.45)</f>
        <v>989.45</v>
      </c>
      <c r="C52" s="16">
        <f>IFERROR(__xludf.DUMMYFUNCTION("""COMPUTED_VALUE"""),45817.6458333333)</f>
        <v>45817.6458333333</v>
      </c>
      <c r="D52" s="17">
        <f>IFERROR(__xludf.DUMMYFUNCTION("""COMPUTED_VALUE"""),997.5)</f>
        <v>997.5</v>
      </c>
      <c r="E52" s="16">
        <f>IFERROR(__xludf.DUMMYFUNCTION("""COMPUTED_VALUE"""),45817.6458333333)</f>
        <v>45817.6458333333</v>
      </c>
      <c r="F52" s="17">
        <f>IFERROR(__xludf.DUMMYFUNCTION("""COMPUTED_VALUE"""),6601294)</f>
        <v>6601294</v>
      </c>
      <c r="G52" s="16">
        <f>IFERROR(__xludf.DUMMYFUNCTION("""COMPUTED_VALUE"""),45817.6458333333)</f>
        <v>45817.6458333333</v>
      </c>
      <c r="H52" s="17">
        <f>IFERROR(__xludf.DUMMYFUNCTION("""COMPUTED_VALUE"""),997.5)</f>
        <v>997.5</v>
      </c>
      <c r="I52" s="16">
        <f>IFERROR(__xludf.DUMMYFUNCTION("""COMPUTED_VALUE"""),45817.6458333333)</f>
        <v>45817.6458333333</v>
      </c>
      <c r="J52" s="17">
        <f>IFERROR(__xludf.DUMMYFUNCTION("""COMPUTED_VALUE"""),987.95)</f>
        <v>987.95</v>
      </c>
      <c r="K52" s="3">
        <f t="shared" si="2"/>
        <v>989.45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IFERROR(__xludf.DUMMYFUNCTION("""COMPUTED_VALUE"""),982.65)</f>
        <v>982.65</v>
      </c>
      <c r="C53" s="16">
        <f>IFERROR(__xludf.DUMMYFUNCTION("""COMPUTED_VALUE"""),45818.6458333333)</f>
        <v>45818.6458333333</v>
      </c>
      <c r="D53" s="17">
        <f>IFERROR(__xludf.DUMMYFUNCTION("""COMPUTED_VALUE"""),991.4)</f>
        <v>991.4</v>
      </c>
      <c r="E53" s="16">
        <f>IFERROR(__xludf.DUMMYFUNCTION("""COMPUTED_VALUE"""),45818.6458333333)</f>
        <v>45818.6458333333</v>
      </c>
      <c r="F53" s="17">
        <f>IFERROR(__xludf.DUMMYFUNCTION("""COMPUTED_VALUE"""),7766563)</f>
        <v>7766563</v>
      </c>
      <c r="G53" s="16">
        <f>IFERROR(__xludf.DUMMYFUNCTION("""COMPUTED_VALUE"""),45818.6458333333)</f>
        <v>45818.6458333333</v>
      </c>
      <c r="H53" s="17">
        <f>IFERROR(__xludf.DUMMYFUNCTION("""COMPUTED_VALUE"""),991.4)</f>
        <v>991.4</v>
      </c>
      <c r="I53" s="16">
        <f>IFERROR(__xludf.DUMMYFUNCTION("""COMPUTED_VALUE"""),45818.6458333333)</f>
        <v>45818.6458333333</v>
      </c>
      <c r="J53" s="17">
        <f>IFERROR(__xludf.DUMMYFUNCTION("""COMPUTED_VALUE"""),980.55)</f>
        <v>980.55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IFERROR(__xludf.DUMMYFUNCTION("""COMPUTED_VALUE"""),975.2)</f>
        <v>975.2</v>
      </c>
      <c r="C54" s="16">
        <f>IFERROR(__xludf.DUMMYFUNCTION("""COMPUTED_VALUE"""),45819.6458333333)</f>
        <v>45819.6458333333</v>
      </c>
      <c r="D54" s="17">
        <f>IFERROR(__xludf.DUMMYFUNCTION("""COMPUTED_VALUE"""),983.8)</f>
        <v>983.8</v>
      </c>
      <c r="E54" s="16">
        <f>IFERROR(__xludf.DUMMYFUNCTION("""COMPUTED_VALUE"""),45819.6458333333)</f>
        <v>45819.6458333333</v>
      </c>
      <c r="F54" s="17">
        <f>IFERROR(__xludf.DUMMYFUNCTION("""COMPUTED_VALUE"""),5548197)</f>
        <v>5548197</v>
      </c>
      <c r="G54" s="16">
        <f>IFERROR(__xludf.DUMMYFUNCTION("""COMPUTED_VALUE"""),45819.6458333333)</f>
        <v>45819.6458333333</v>
      </c>
      <c r="H54" s="17">
        <f>IFERROR(__xludf.DUMMYFUNCTION("""COMPUTED_VALUE"""),983.8)</f>
        <v>983.8</v>
      </c>
      <c r="I54" s="16">
        <f>IFERROR(__xludf.DUMMYFUNCTION("""COMPUTED_VALUE"""),45819.6458333333)</f>
        <v>45819.6458333333</v>
      </c>
      <c r="J54" s="17">
        <f>IFERROR(__xludf.DUMMYFUNCTION("""COMPUTED_VALUE"""),973.5)</f>
        <v>973.5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IFERROR(__xludf.DUMMYFUNCTION("""COMPUTED_VALUE"""),971.7)</f>
        <v>971.7</v>
      </c>
      <c r="C55" s="16">
        <f>IFERROR(__xludf.DUMMYFUNCTION("""COMPUTED_VALUE"""),45820.6458333333)</f>
        <v>45820.6458333333</v>
      </c>
      <c r="D55" s="17">
        <f>IFERROR(__xludf.DUMMYFUNCTION("""COMPUTED_VALUE"""),975)</f>
        <v>975</v>
      </c>
      <c r="E55" s="16">
        <f>IFERROR(__xludf.DUMMYFUNCTION("""COMPUTED_VALUE"""),45820.6458333333)</f>
        <v>45820.6458333333</v>
      </c>
      <c r="F55" s="17">
        <f>IFERROR(__xludf.DUMMYFUNCTION("""COMPUTED_VALUE"""),8174565)</f>
        <v>8174565</v>
      </c>
      <c r="G55" s="16">
        <f>IFERROR(__xludf.DUMMYFUNCTION("""COMPUTED_VALUE"""),45820.6458333333)</f>
        <v>45820.6458333333</v>
      </c>
      <c r="H55" s="17">
        <f>IFERROR(__xludf.DUMMYFUNCTION("""COMPUTED_VALUE"""),980.5)</f>
        <v>980.5</v>
      </c>
      <c r="I55" s="16">
        <f>IFERROR(__xludf.DUMMYFUNCTION("""COMPUTED_VALUE"""),45820.6458333333)</f>
        <v>45820.6458333333</v>
      </c>
      <c r="J55" s="17">
        <f>IFERROR(__xludf.DUMMYFUNCTION("""COMPUTED_VALUE"""),967.65)</f>
        <v>967.65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IFERROR(__xludf.DUMMYFUNCTION("""COMPUTED_VALUE"""),958.8)</f>
        <v>958.8</v>
      </c>
      <c r="C56" s="16">
        <f>IFERROR(__xludf.DUMMYFUNCTION("""COMPUTED_VALUE"""),45821.6458333333)</f>
        <v>45821.6458333333</v>
      </c>
      <c r="D56" s="17">
        <f>IFERROR(__xludf.DUMMYFUNCTION("""COMPUTED_VALUE"""),960)</f>
        <v>960</v>
      </c>
      <c r="E56" s="16">
        <f>IFERROR(__xludf.DUMMYFUNCTION("""COMPUTED_VALUE"""),45821.6458333333)</f>
        <v>45821.6458333333</v>
      </c>
      <c r="F56" s="17">
        <f>IFERROR(__xludf.DUMMYFUNCTION("""COMPUTED_VALUE"""),6058881)</f>
        <v>6058881</v>
      </c>
      <c r="G56" s="16">
        <f>IFERROR(__xludf.DUMMYFUNCTION("""COMPUTED_VALUE"""),45821.6458333333)</f>
        <v>45821.6458333333</v>
      </c>
      <c r="H56" s="17">
        <f>IFERROR(__xludf.DUMMYFUNCTION("""COMPUTED_VALUE"""),966.5)</f>
        <v>966.5</v>
      </c>
      <c r="I56" s="16">
        <f>IFERROR(__xludf.DUMMYFUNCTION("""COMPUTED_VALUE"""),45821.6458333333)</f>
        <v>45821.6458333333</v>
      </c>
      <c r="J56" s="17">
        <f>IFERROR(__xludf.DUMMYFUNCTION("""COMPUTED_VALUE"""),956.5)</f>
        <v>956.5</v>
      </c>
      <c r="K56" s="3">
        <f t="shared" si="2"/>
        <v>0</v>
      </c>
      <c r="L56" s="3">
        <f t="shared" si="3"/>
        <v>958.8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IFERROR(__xludf.DUMMYFUNCTION("""COMPUTED_VALUE"""),967.7)</f>
        <v>967.7</v>
      </c>
      <c r="C57" s="16">
        <f>IFERROR(__xludf.DUMMYFUNCTION("""COMPUTED_VALUE"""),45824.6458333333)</f>
        <v>45824.6458333333</v>
      </c>
      <c r="D57" s="17">
        <f>IFERROR(__xludf.DUMMYFUNCTION("""COMPUTED_VALUE"""),962)</f>
        <v>962</v>
      </c>
      <c r="E57" s="16">
        <f>IFERROR(__xludf.DUMMYFUNCTION("""COMPUTED_VALUE"""),45824.6458333333)</f>
        <v>45824.6458333333</v>
      </c>
      <c r="F57" s="17">
        <f>IFERROR(__xludf.DUMMYFUNCTION("""COMPUTED_VALUE"""),8256873)</f>
        <v>8256873</v>
      </c>
      <c r="G57" s="16">
        <f>IFERROR(__xludf.DUMMYFUNCTION("""COMPUTED_VALUE"""),45824.6458333333)</f>
        <v>45824.6458333333</v>
      </c>
      <c r="H57" s="17">
        <f>IFERROR(__xludf.DUMMYFUNCTION("""COMPUTED_VALUE"""),969.45)</f>
        <v>969.45</v>
      </c>
      <c r="I57" s="16">
        <f>IFERROR(__xludf.DUMMYFUNCTION("""COMPUTED_VALUE"""),45824.6458333333)</f>
        <v>45824.6458333333</v>
      </c>
      <c r="J57" s="17">
        <f>IFERROR(__xludf.DUMMYFUNCTION("""COMPUTED_VALUE"""),960.05)</f>
        <v>960.05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IFERROR(__xludf.DUMMYFUNCTION("""COMPUTED_VALUE"""),964.8)</f>
        <v>964.8</v>
      </c>
      <c r="C58" s="16">
        <f>IFERROR(__xludf.DUMMYFUNCTION("""COMPUTED_VALUE"""),45825.6458333333)</f>
        <v>45825.6458333333</v>
      </c>
      <c r="D58" s="17">
        <f>IFERROR(__xludf.DUMMYFUNCTION("""COMPUTED_VALUE"""),968.5)</f>
        <v>968.5</v>
      </c>
      <c r="E58" s="16">
        <f>IFERROR(__xludf.DUMMYFUNCTION("""COMPUTED_VALUE"""),45825.6458333333)</f>
        <v>45825.6458333333</v>
      </c>
      <c r="F58" s="17">
        <f>IFERROR(__xludf.DUMMYFUNCTION("""COMPUTED_VALUE"""),8489368)</f>
        <v>8489368</v>
      </c>
      <c r="G58" s="16">
        <f>IFERROR(__xludf.DUMMYFUNCTION("""COMPUTED_VALUE"""),45825.6458333333)</f>
        <v>45825.6458333333</v>
      </c>
      <c r="H58" s="17">
        <f>IFERROR(__xludf.DUMMYFUNCTION("""COMPUTED_VALUE"""),970.8)</f>
        <v>970.8</v>
      </c>
      <c r="I58" s="16">
        <f>IFERROR(__xludf.DUMMYFUNCTION("""COMPUTED_VALUE"""),45825.6458333333)</f>
        <v>45825.6458333333</v>
      </c>
      <c r="J58" s="17">
        <f>IFERROR(__xludf.DUMMYFUNCTION("""COMPUTED_VALUE"""),959.55)</f>
        <v>959.55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IFERROR(__xludf.DUMMYFUNCTION("""COMPUTED_VALUE"""),966.95)</f>
        <v>966.95</v>
      </c>
      <c r="C59" s="16">
        <f>IFERROR(__xludf.DUMMYFUNCTION("""COMPUTED_VALUE"""),45826.6458333333)</f>
        <v>45826.6458333333</v>
      </c>
      <c r="D59" s="17">
        <f>IFERROR(__xludf.DUMMYFUNCTION("""COMPUTED_VALUE"""),958.5)</f>
        <v>958.5</v>
      </c>
      <c r="E59" s="16">
        <f>IFERROR(__xludf.DUMMYFUNCTION("""COMPUTED_VALUE"""),45826.6458333333)</f>
        <v>45826.6458333333</v>
      </c>
      <c r="F59" s="17">
        <f>IFERROR(__xludf.DUMMYFUNCTION("""COMPUTED_VALUE"""),9216908)</f>
        <v>9216908</v>
      </c>
      <c r="G59" s="16">
        <f>IFERROR(__xludf.DUMMYFUNCTION("""COMPUTED_VALUE"""),45826.6458333333)</f>
        <v>45826.6458333333</v>
      </c>
      <c r="H59" s="17">
        <f>IFERROR(__xludf.DUMMYFUNCTION("""COMPUTED_VALUE"""),968.15)</f>
        <v>968.15</v>
      </c>
      <c r="I59" s="16">
        <f>IFERROR(__xludf.DUMMYFUNCTION("""COMPUTED_VALUE"""),45826.6458333333)</f>
        <v>45826.6458333333</v>
      </c>
      <c r="J59" s="17">
        <f>IFERROR(__xludf.DUMMYFUNCTION("""COMPUTED_VALUE"""),958.5)</f>
        <v>958.5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IFERROR(__xludf.DUMMYFUNCTION("""COMPUTED_VALUE"""),967.65)</f>
        <v>967.65</v>
      </c>
      <c r="C60" s="16">
        <f>IFERROR(__xludf.DUMMYFUNCTION("""COMPUTED_VALUE"""),45827.6458333333)</f>
        <v>45827.6458333333</v>
      </c>
      <c r="D60" s="17">
        <f>IFERROR(__xludf.DUMMYFUNCTION("""COMPUTED_VALUE"""),966.95)</f>
        <v>966.95</v>
      </c>
      <c r="E60" s="16">
        <f>IFERROR(__xludf.DUMMYFUNCTION("""COMPUTED_VALUE"""),45827.6458333333)</f>
        <v>45827.6458333333</v>
      </c>
      <c r="F60" s="17">
        <f>IFERROR(__xludf.DUMMYFUNCTION("""COMPUTED_VALUE"""),8438110)</f>
        <v>8438110</v>
      </c>
      <c r="G60" s="16">
        <f>IFERROR(__xludf.DUMMYFUNCTION("""COMPUTED_VALUE"""),45827.6458333333)</f>
        <v>45827.6458333333</v>
      </c>
      <c r="H60" s="17">
        <f>IFERROR(__xludf.DUMMYFUNCTION("""COMPUTED_VALUE"""),973.4)</f>
        <v>973.4</v>
      </c>
      <c r="I60" s="16">
        <f>IFERROR(__xludf.DUMMYFUNCTION("""COMPUTED_VALUE"""),45827.6458333333)</f>
        <v>45827.6458333333</v>
      </c>
      <c r="J60" s="17">
        <f>IFERROR(__xludf.DUMMYFUNCTION("""COMPUTED_VALUE"""),962.8)</f>
        <v>962.8</v>
      </c>
      <c r="K60" s="3">
        <f t="shared" si="2"/>
        <v>0</v>
      </c>
      <c r="L60" s="3">
        <f t="shared" si="3"/>
        <v>0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IFERROR(__xludf.DUMMYFUNCTION("""COMPUTED_VALUE"""),982.35)</f>
        <v>982.35</v>
      </c>
      <c r="C61" s="16">
        <f>IFERROR(__xludf.DUMMYFUNCTION("""COMPUTED_VALUE"""),45828.6458333333)</f>
        <v>45828.6458333333</v>
      </c>
      <c r="D61" s="17">
        <f>IFERROR(__xludf.DUMMYFUNCTION("""COMPUTED_VALUE"""),965.8)</f>
        <v>965.8</v>
      </c>
      <c r="E61" s="16">
        <f>IFERROR(__xludf.DUMMYFUNCTION("""COMPUTED_VALUE"""),45828.6458333333)</f>
        <v>45828.6458333333</v>
      </c>
      <c r="F61" s="17">
        <f>IFERROR(__xludf.DUMMYFUNCTION("""COMPUTED_VALUE"""),16450204)</f>
        <v>16450204</v>
      </c>
      <c r="G61" s="16">
        <f>IFERROR(__xludf.DUMMYFUNCTION("""COMPUTED_VALUE"""),45828.6458333333)</f>
        <v>45828.6458333333</v>
      </c>
      <c r="H61" s="17">
        <f>IFERROR(__xludf.DUMMYFUNCTION("""COMPUTED_VALUE"""),984.95)</f>
        <v>984.95</v>
      </c>
      <c r="I61" s="16">
        <f>IFERROR(__xludf.DUMMYFUNCTION("""COMPUTED_VALUE"""),45828.6458333333)</f>
        <v>45828.6458333333</v>
      </c>
      <c r="J61" s="17">
        <f>IFERROR(__xludf.DUMMYFUNCTION("""COMPUTED_VALUE"""),965.8)</f>
        <v>965.8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IFERROR(__xludf.DUMMYFUNCTION("""COMPUTED_VALUE"""),974.2)</f>
        <v>974.2</v>
      </c>
      <c r="C62" s="16">
        <f>IFERROR(__xludf.DUMMYFUNCTION("""COMPUTED_VALUE"""),45831.6458333333)</f>
        <v>45831.6458333333</v>
      </c>
      <c r="D62" s="17">
        <f>IFERROR(__xludf.DUMMYFUNCTION("""COMPUTED_VALUE"""),974.2)</f>
        <v>974.2</v>
      </c>
      <c r="E62" s="16">
        <f>IFERROR(__xludf.DUMMYFUNCTION("""COMPUTED_VALUE"""),45831.6458333333)</f>
        <v>45831.6458333333</v>
      </c>
      <c r="F62" s="17">
        <f>IFERROR(__xludf.DUMMYFUNCTION("""COMPUTED_VALUE"""),5869759)</f>
        <v>5869759</v>
      </c>
      <c r="G62" s="16">
        <f>IFERROR(__xludf.DUMMYFUNCTION("""COMPUTED_VALUE"""),45831.6458333333)</f>
        <v>45831.6458333333</v>
      </c>
      <c r="H62" s="17">
        <f>IFERROR(__xludf.DUMMYFUNCTION("""COMPUTED_VALUE"""),978.95)</f>
        <v>978.95</v>
      </c>
      <c r="I62" s="16">
        <f>IFERROR(__xludf.DUMMYFUNCTION("""COMPUTED_VALUE"""),45831.6458333333)</f>
        <v>45831.6458333333</v>
      </c>
      <c r="J62" s="17">
        <f>IFERROR(__xludf.DUMMYFUNCTION("""COMPUTED_VALUE"""),970.9)</f>
        <v>970.9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IFERROR(__xludf.DUMMYFUNCTION("""COMPUTED_VALUE"""),980.45)</f>
        <v>980.45</v>
      </c>
      <c r="C63" s="16">
        <f>IFERROR(__xludf.DUMMYFUNCTION("""COMPUTED_VALUE"""),45832.6458333333)</f>
        <v>45832.6458333333</v>
      </c>
      <c r="D63" s="17">
        <f>IFERROR(__xludf.DUMMYFUNCTION("""COMPUTED_VALUE"""),982.5)</f>
        <v>982.5</v>
      </c>
      <c r="E63" s="16">
        <f>IFERROR(__xludf.DUMMYFUNCTION("""COMPUTED_VALUE"""),45832.6458333333)</f>
        <v>45832.6458333333</v>
      </c>
      <c r="F63" s="17">
        <f>IFERROR(__xludf.DUMMYFUNCTION("""COMPUTED_VALUE"""),11312661)</f>
        <v>11312661</v>
      </c>
      <c r="G63" s="16">
        <f>IFERROR(__xludf.DUMMYFUNCTION("""COMPUTED_VALUE"""),45832.6458333333)</f>
        <v>45832.6458333333</v>
      </c>
      <c r="H63" s="17">
        <f>IFERROR(__xludf.DUMMYFUNCTION("""COMPUTED_VALUE"""),989.5)</f>
        <v>989.5</v>
      </c>
      <c r="I63" s="16">
        <f>IFERROR(__xludf.DUMMYFUNCTION("""COMPUTED_VALUE"""),45832.6458333333)</f>
        <v>45832.6458333333</v>
      </c>
      <c r="J63" s="17">
        <f>IFERROR(__xludf.DUMMYFUNCTION("""COMPUTED_VALUE"""),977.8)</f>
        <v>977.8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IFERROR(__xludf.DUMMYFUNCTION("""COMPUTED_VALUE"""),990.1)</f>
        <v>990.1</v>
      </c>
      <c r="C64" s="16">
        <f>IFERROR(__xludf.DUMMYFUNCTION("""COMPUTED_VALUE"""),45833.6458333333)</f>
        <v>45833.6458333333</v>
      </c>
      <c r="D64" s="17">
        <f>IFERROR(__xludf.DUMMYFUNCTION("""COMPUTED_VALUE"""),983)</f>
        <v>983</v>
      </c>
      <c r="E64" s="16">
        <f>IFERROR(__xludf.DUMMYFUNCTION("""COMPUTED_VALUE"""),45833.6458333333)</f>
        <v>45833.6458333333</v>
      </c>
      <c r="F64" s="17">
        <f>IFERROR(__xludf.DUMMYFUNCTION("""COMPUTED_VALUE"""),9202966)</f>
        <v>9202966</v>
      </c>
      <c r="G64" s="16">
        <f>IFERROR(__xludf.DUMMYFUNCTION("""COMPUTED_VALUE"""),45833.6458333333)</f>
        <v>45833.6458333333</v>
      </c>
      <c r="H64" s="17">
        <f>IFERROR(__xludf.DUMMYFUNCTION("""COMPUTED_VALUE"""),991)</f>
        <v>991</v>
      </c>
      <c r="I64" s="16">
        <f>IFERROR(__xludf.DUMMYFUNCTION("""COMPUTED_VALUE"""),45833.6458333333)</f>
        <v>45833.6458333333</v>
      </c>
      <c r="J64" s="17">
        <f>IFERROR(__xludf.DUMMYFUNCTION("""COMPUTED_VALUE"""),981.95)</f>
        <v>981.95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IFERROR(__xludf.DUMMYFUNCTION("""COMPUTED_VALUE"""),1010.9)</f>
        <v>1010.9</v>
      </c>
      <c r="C65" s="16">
        <f>IFERROR(__xludf.DUMMYFUNCTION("""COMPUTED_VALUE"""),45834.6458333333)</f>
        <v>45834.6458333333</v>
      </c>
      <c r="D65" s="17">
        <f>IFERROR(__xludf.DUMMYFUNCTION("""COMPUTED_VALUE"""),990.7)</f>
        <v>990.7</v>
      </c>
      <c r="E65" s="16">
        <f>IFERROR(__xludf.DUMMYFUNCTION("""COMPUTED_VALUE"""),45834.6458333333)</f>
        <v>45834.6458333333</v>
      </c>
      <c r="F65" s="17">
        <f>IFERROR(__xludf.DUMMYFUNCTION("""COMPUTED_VALUE"""),25042415)</f>
        <v>25042415</v>
      </c>
      <c r="G65" s="16">
        <f>IFERROR(__xludf.DUMMYFUNCTION("""COMPUTED_VALUE"""),45834.6458333333)</f>
        <v>45834.6458333333</v>
      </c>
      <c r="H65" s="17">
        <f>IFERROR(__xludf.DUMMYFUNCTION("""COMPUTED_VALUE"""),1013.55)</f>
        <v>1013.55</v>
      </c>
      <c r="I65" s="16">
        <f>IFERROR(__xludf.DUMMYFUNCTION("""COMPUTED_VALUE"""),45834.6458333333)</f>
        <v>45834.6458333333</v>
      </c>
      <c r="J65" s="17">
        <f>IFERROR(__xludf.DUMMYFUNCTION("""COMPUTED_VALUE"""),990)</f>
        <v>990</v>
      </c>
      <c r="K65" s="3">
        <f t="shared" si="2"/>
        <v>1010.9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IFERROR(__xludf.DUMMYFUNCTION("""COMPUTED_VALUE"""),1007.45)</f>
        <v>1007.45</v>
      </c>
      <c r="C66" s="16">
        <f>IFERROR(__xludf.DUMMYFUNCTION("""COMPUTED_VALUE"""),45835.6458333333)</f>
        <v>45835.6458333333</v>
      </c>
      <c r="D66" s="17">
        <f>IFERROR(__xludf.DUMMYFUNCTION("""COMPUTED_VALUE"""),1006.5)</f>
        <v>1006.5</v>
      </c>
      <c r="E66" s="16">
        <f>IFERROR(__xludf.DUMMYFUNCTION("""COMPUTED_VALUE"""),45835.6458333333)</f>
        <v>45835.6458333333</v>
      </c>
      <c r="F66" s="17">
        <f>IFERROR(__xludf.DUMMYFUNCTION("""COMPUTED_VALUE"""),14106692)</f>
        <v>14106692</v>
      </c>
      <c r="G66" s="16">
        <f>IFERROR(__xludf.DUMMYFUNCTION("""COMPUTED_VALUE"""),45835.6458333333)</f>
        <v>45835.6458333333</v>
      </c>
      <c r="H66" s="17">
        <f>IFERROR(__xludf.DUMMYFUNCTION("""COMPUTED_VALUE"""),1009.9)</f>
        <v>1009.9</v>
      </c>
      <c r="I66" s="16">
        <f>IFERROR(__xludf.DUMMYFUNCTION("""COMPUTED_VALUE"""),45835.6458333333)</f>
        <v>45835.6458333333</v>
      </c>
      <c r="J66" s="17">
        <f>IFERROR(__xludf.DUMMYFUNCTION("""COMPUTED_VALUE"""),996.7)</f>
        <v>996.7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IFERROR(__xludf.DUMMYFUNCTION("""COMPUTED_VALUE"""),1000.75)</f>
        <v>1000.75</v>
      </c>
      <c r="C67" s="16">
        <f>IFERROR(__xludf.DUMMYFUNCTION("""COMPUTED_VALUE"""),45838.6458333333)</f>
        <v>45838.6458333333</v>
      </c>
      <c r="D67" s="17">
        <f>IFERROR(__xludf.DUMMYFUNCTION("""COMPUTED_VALUE"""),1005.75)</f>
        <v>1005.75</v>
      </c>
      <c r="E67" s="16">
        <f>IFERROR(__xludf.DUMMYFUNCTION("""COMPUTED_VALUE"""),45838.6458333333)</f>
        <v>45838.6458333333</v>
      </c>
      <c r="F67" s="17">
        <f>IFERROR(__xludf.DUMMYFUNCTION("""COMPUTED_VALUE"""),6824510)</f>
        <v>6824510</v>
      </c>
      <c r="G67" s="16">
        <f>IFERROR(__xludf.DUMMYFUNCTION("""COMPUTED_VALUE"""),45838.6458333333)</f>
        <v>45838.6458333333</v>
      </c>
      <c r="H67" s="17">
        <f>IFERROR(__xludf.DUMMYFUNCTION("""COMPUTED_VALUE"""),1006.9)</f>
        <v>1006.9</v>
      </c>
      <c r="I67" s="16">
        <f>IFERROR(__xludf.DUMMYFUNCTION("""COMPUTED_VALUE"""),45838.6458333333)</f>
        <v>45838.6458333333</v>
      </c>
      <c r="J67" s="17">
        <f>IFERROR(__xludf.DUMMYFUNCTION("""COMPUTED_VALUE"""),997.75)</f>
        <v>997.75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IFERROR(__xludf.DUMMYFUNCTION("""COMPUTED_VALUE"""),1006.05)</f>
        <v>1006.05</v>
      </c>
      <c r="C68" s="16">
        <f>IFERROR(__xludf.DUMMYFUNCTION("""COMPUTED_VALUE"""),45839.6458333333)</f>
        <v>45839.6458333333</v>
      </c>
      <c r="D68" s="17">
        <f>IFERROR(__xludf.DUMMYFUNCTION("""COMPUTED_VALUE"""),1002.5)</f>
        <v>1002.5</v>
      </c>
      <c r="E68" s="16">
        <f>IFERROR(__xludf.DUMMYFUNCTION("""COMPUTED_VALUE"""),45839.6458333333)</f>
        <v>45839.6458333333</v>
      </c>
      <c r="F68" s="17">
        <f>IFERROR(__xludf.DUMMYFUNCTION("""COMPUTED_VALUE"""),7194693)</f>
        <v>7194693</v>
      </c>
      <c r="G68" s="16">
        <f>IFERROR(__xludf.DUMMYFUNCTION("""COMPUTED_VALUE"""),45839.6458333333)</f>
        <v>45839.6458333333</v>
      </c>
      <c r="H68" s="17">
        <f>IFERROR(__xludf.DUMMYFUNCTION("""COMPUTED_VALUE"""),1008)</f>
        <v>1008</v>
      </c>
      <c r="I68" s="16">
        <f>IFERROR(__xludf.DUMMYFUNCTION("""COMPUTED_VALUE"""),45839.6458333333)</f>
        <v>45839.6458333333</v>
      </c>
      <c r="J68" s="17">
        <f>IFERROR(__xludf.DUMMYFUNCTION("""COMPUTED_VALUE"""),1002)</f>
        <v>1002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IFERROR(__xludf.DUMMYFUNCTION("""COMPUTED_VALUE"""),993)</f>
        <v>993</v>
      </c>
      <c r="C69" s="16">
        <f>IFERROR(__xludf.DUMMYFUNCTION("""COMPUTED_VALUE"""),45840.6458333333)</f>
        <v>45840.6458333333</v>
      </c>
      <c r="D69" s="17">
        <f>IFERROR(__xludf.DUMMYFUNCTION("""COMPUTED_VALUE"""),1009.95)</f>
        <v>1009.95</v>
      </c>
      <c r="E69" s="16">
        <f>IFERROR(__xludf.DUMMYFUNCTION("""COMPUTED_VALUE"""),45840.6458333333)</f>
        <v>45840.6458333333</v>
      </c>
      <c r="F69" s="17">
        <f>IFERROR(__xludf.DUMMYFUNCTION("""COMPUTED_VALUE"""),9439125)</f>
        <v>9439125</v>
      </c>
      <c r="G69" s="16">
        <f>IFERROR(__xludf.DUMMYFUNCTION("""COMPUTED_VALUE"""),45840.6458333333)</f>
        <v>45840.6458333333</v>
      </c>
      <c r="H69" s="17">
        <f>IFERROR(__xludf.DUMMYFUNCTION("""COMPUTED_VALUE"""),1009.95)</f>
        <v>1009.95</v>
      </c>
      <c r="I69" s="16">
        <f>IFERROR(__xludf.DUMMYFUNCTION("""COMPUTED_VALUE"""),45840.6458333333)</f>
        <v>45840.6458333333</v>
      </c>
      <c r="J69" s="17">
        <f>IFERROR(__xludf.DUMMYFUNCTION("""COMPUTED_VALUE"""),988.95)</f>
        <v>988.95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IFERROR(__xludf.DUMMYFUNCTION("""COMPUTED_VALUE"""),993.55)</f>
        <v>993.55</v>
      </c>
      <c r="C70" s="16">
        <f>IFERROR(__xludf.DUMMYFUNCTION("""COMPUTED_VALUE"""),45841.6458333333)</f>
        <v>45841.6458333333</v>
      </c>
      <c r="D70" s="17">
        <f>IFERROR(__xludf.DUMMYFUNCTION("""COMPUTED_VALUE"""),997.45)</f>
        <v>997.45</v>
      </c>
      <c r="E70" s="16">
        <f>IFERROR(__xludf.DUMMYFUNCTION("""COMPUTED_VALUE"""),45841.6458333333)</f>
        <v>45841.6458333333</v>
      </c>
      <c r="F70" s="17">
        <f>IFERROR(__xludf.DUMMYFUNCTION("""COMPUTED_VALUE"""),8430253)</f>
        <v>8430253</v>
      </c>
      <c r="G70" s="16">
        <f>IFERROR(__xludf.DUMMYFUNCTION("""COMPUTED_VALUE"""),45841.6458333333)</f>
        <v>45841.6458333333</v>
      </c>
      <c r="H70" s="17">
        <f>IFERROR(__xludf.DUMMYFUNCTION("""COMPUTED_VALUE"""),1004)</f>
        <v>1004</v>
      </c>
      <c r="I70" s="16">
        <f>IFERROR(__xludf.DUMMYFUNCTION("""COMPUTED_VALUE"""),45841.6458333333)</f>
        <v>45841.6458333333</v>
      </c>
      <c r="J70" s="17">
        <f>IFERROR(__xludf.DUMMYFUNCTION("""COMPUTED_VALUE"""),992.15)</f>
        <v>992.15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IFERROR(__xludf.DUMMYFUNCTION("""COMPUTED_VALUE"""),994.65)</f>
        <v>994.65</v>
      </c>
      <c r="C71" s="16">
        <f>IFERROR(__xludf.DUMMYFUNCTION("""COMPUTED_VALUE"""),45842.6458333333)</f>
        <v>45842.6458333333</v>
      </c>
      <c r="D71" s="17">
        <f>IFERROR(__xludf.DUMMYFUNCTION("""COMPUTED_VALUE"""),993.55)</f>
        <v>993.55</v>
      </c>
      <c r="E71" s="16">
        <f>IFERROR(__xludf.DUMMYFUNCTION("""COMPUTED_VALUE"""),45842.6458333333)</f>
        <v>45842.6458333333</v>
      </c>
      <c r="F71" s="17">
        <f>IFERROR(__xludf.DUMMYFUNCTION("""COMPUTED_VALUE"""),3931972)</f>
        <v>3931972</v>
      </c>
      <c r="G71" s="16">
        <f>IFERROR(__xludf.DUMMYFUNCTION("""COMPUTED_VALUE"""),45842.6458333333)</f>
        <v>45842.6458333333</v>
      </c>
      <c r="H71" s="17">
        <f>IFERROR(__xludf.DUMMYFUNCTION("""COMPUTED_VALUE"""),1001.75)</f>
        <v>1001.75</v>
      </c>
      <c r="I71" s="16">
        <f>IFERROR(__xludf.DUMMYFUNCTION("""COMPUTED_VALUE"""),45842.6458333333)</f>
        <v>45842.6458333333</v>
      </c>
      <c r="J71" s="17">
        <f>IFERROR(__xludf.DUMMYFUNCTION("""COMPUTED_VALUE"""),990)</f>
        <v>990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IFERROR(__xludf.DUMMYFUNCTION("""COMPUTED_VALUE"""),993.7)</f>
        <v>993.7</v>
      </c>
      <c r="C72" s="16">
        <f>IFERROR(__xludf.DUMMYFUNCTION("""COMPUTED_VALUE"""),45845.6458333333)</f>
        <v>45845.6458333333</v>
      </c>
      <c r="D72" s="17">
        <f>IFERROR(__xludf.DUMMYFUNCTION("""COMPUTED_VALUE"""),994.5)</f>
        <v>994.5</v>
      </c>
      <c r="E72" s="16">
        <f>IFERROR(__xludf.DUMMYFUNCTION("""COMPUTED_VALUE"""),45845.6458333333)</f>
        <v>45845.6458333333</v>
      </c>
      <c r="F72" s="17">
        <f>IFERROR(__xludf.DUMMYFUNCTION("""COMPUTED_VALUE"""),5674713)</f>
        <v>5674713</v>
      </c>
      <c r="G72" s="16">
        <f>IFERROR(__xludf.DUMMYFUNCTION("""COMPUTED_VALUE"""),45845.6458333333)</f>
        <v>45845.6458333333</v>
      </c>
      <c r="H72" s="17">
        <f>IFERROR(__xludf.DUMMYFUNCTION("""COMPUTED_VALUE"""),999.2)</f>
        <v>999.2</v>
      </c>
      <c r="I72" s="16">
        <f>IFERROR(__xludf.DUMMYFUNCTION("""COMPUTED_VALUE"""),45845.6458333333)</f>
        <v>45845.6458333333</v>
      </c>
      <c r="J72" s="17">
        <f>IFERROR(__xludf.DUMMYFUNCTION("""COMPUTED_VALUE"""),991.9)</f>
        <v>991.9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IFERROR(__xludf.DUMMYFUNCTION("""COMPUTED_VALUE"""),1000.7)</f>
        <v>1000.7</v>
      </c>
      <c r="C73" s="16">
        <f>IFERROR(__xludf.DUMMYFUNCTION("""COMPUTED_VALUE"""),45846.6458333333)</f>
        <v>45846.6458333333</v>
      </c>
      <c r="D73" s="17">
        <f>IFERROR(__xludf.DUMMYFUNCTION("""COMPUTED_VALUE"""),988.5)</f>
        <v>988.5</v>
      </c>
      <c r="E73" s="16">
        <f>IFERROR(__xludf.DUMMYFUNCTION("""COMPUTED_VALUE"""),45846.6458333333)</f>
        <v>45846.6458333333</v>
      </c>
      <c r="F73" s="17">
        <f>IFERROR(__xludf.DUMMYFUNCTION("""COMPUTED_VALUE"""),7612158)</f>
        <v>7612158</v>
      </c>
      <c r="G73" s="16">
        <f>IFERROR(__xludf.DUMMYFUNCTION("""COMPUTED_VALUE"""),45846.6458333333)</f>
        <v>45846.6458333333</v>
      </c>
      <c r="H73" s="17">
        <f>IFERROR(__xludf.DUMMYFUNCTION("""COMPUTED_VALUE"""),1002.5)</f>
        <v>1002.5</v>
      </c>
      <c r="I73" s="16">
        <f>IFERROR(__xludf.DUMMYFUNCTION("""COMPUTED_VALUE"""),45846.6458333333)</f>
        <v>45846.6458333333</v>
      </c>
      <c r="J73" s="17">
        <f>IFERROR(__xludf.DUMMYFUNCTION("""COMPUTED_VALUE"""),988.5)</f>
        <v>988.5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IFERROR(__xludf.DUMMYFUNCTION("""COMPUTED_VALUE"""),1005.6)</f>
        <v>1005.6</v>
      </c>
      <c r="C74" s="16">
        <f>IFERROR(__xludf.DUMMYFUNCTION("""COMPUTED_VALUE"""),45847.6458333333)</f>
        <v>45847.6458333333</v>
      </c>
      <c r="D74" s="17">
        <f>IFERROR(__xludf.DUMMYFUNCTION("""COMPUTED_VALUE"""),1003.5)</f>
        <v>1003.5</v>
      </c>
      <c r="E74" s="16">
        <f>IFERROR(__xludf.DUMMYFUNCTION("""COMPUTED_VALUE"""),45847.6458333333)</f>
        <v>45847.6458333333</v>
      </c>
      <c r="F74" s="17">
        <f>IFERROR(__xludf.DUMMYFUNCTION("""COMPUTED_VALUE"""),6930714)</f>
        <v>6930714</v>
      </c>
      <c r="G74" s="16">
        <f>IFERROR(__xludf.DUMMYFUNCTION("""COMPUTED_VALUE"""),45847.6458333333)</f>
        <v>45847.6458333333</v>
      </c>
      <c r="H74" s="17">
        <f>IFERROR(__xludf.DUMMYFUNCTION("""COMPUTED_VALUE"""),1006.9)</f>
        <v>1006.9</v>
      </c>
      <c r="I74" s="16">
        <f>IFERROR(__xludf.DUMMYFUNCTION("""COMPUTED_VALUE"""),45847.6458333333)</f>
        <v>45847.6458333333</v>
      </c>
      <c r="J74" s="17">
        <f>IFERROR(__xludf.DUMMYFUNCTION("""COMPUTED_VALUE"""),999.05)</f>
        <v>999.05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IFERROR(__xludf.DUMMYFUNCTION("""COMPUTED_VALUE"""),1003.1)</f>
        <v>1003.1</v>
      </c>
      <c r="C75" s="16">
        <f>IFERROR(__xludf.DUMMYFUNCTION("""COMPUTED_VALUE"""),45848.6458333333)</f>
        <v>45848.6458333333</v>
      </c>
      <c r="D75" s="17">
        <f>IFERROR(__xludf.DUMMYFUNCTION("""COMPUTED_VALUE"""),1008)</f>
        <v>1008</v>
      </c>
      <c r="E75" s="16">
        <f>IFERROR(__xludf.DUMMYFUNCTION("""COMPUTED_VALUE"""),45848.6458333333)</f>
        <v>45848.6458333333</v>
      </c>
      <c r="F75" s="17">
        <f>IFERROR(__xludf.DUMMYFUNCTION("""COMPUTED_VALUE"""),8515155)</f>
        <v>8515155</v>
      </c>
      <c r="G75" s="16">
        <f>IFERROR(__xludf.DUMMYFUNCTION("""COMPUTED_VALUE"""),45848.6458333333)</f>
        <v>45848.6458333333</v>
      </c>
      <c r="H75" s="17">
        <f>IFERROR(__xludf.DUMMYFUNCTION("""COMPUTED_VALUE"""),1008.5)</f>
        <v>1008.5</v>
      </c>
      <c r="I75" s="16">
        <f>IFERROR(__xludf.DUMMYFUNCTION("""COMPUTED_VALUE"""),45848.6458333333)</f>
        <v>45848.6458333333</v>
      </c>
      <c r="J75" s="17">
        <f>IFERROR(__xludf.DUMMYFUNCTION("""COMPUTED_VALUE"""),1000)</f>
        <v>1000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IFERROR(__xludf.DUMMYFUNCTION("""COMPUTED_VALUE"""),991.85)</f>
        <v>991.85</v>
      </c>
      <c r="C76" s="16">
        <f>IFERROR(__xludf.DUMMYFUNCTION("""COMPUTED_VALUE"""),45849.6458333333)</f>
        <v>45849.6458333333</v>
      </c>
      <c r="D76" s="17">
        <f>IFERROR(__xludf.DUMMYFUNCTION("""COMPUTED_VALUE"""),999)</f>
        <v>999</v>
      </c>
      <c r="E76" s="16">
        <f>IFERROR(__xludf.DUMMYFUNCTION("""COMPUTED_VALUE"""),45849.6458333333)</f>
        <v>45849.6458333333</v>
      </c>
      <c r="F76" s="17">
        <f>IFERROR(__xludf.DUMMYFUNCTION("""COMPUTED_VALUE"""),6258461)</f>
        <v>6258461</v>
      </c>
      <c r="G76" s="16">
        <f>IFERROR(__xludf.DUMMYFUNCTION("""COMPUTED_VALUE"""),45849.6458333333)</f>
        <v>45849.6458333333</v>
      </c>
      <c r="H76" s="17">
        <f>IFERROR(__xludf.DUMMYFUNCTION("""COMPUTED_VALUE"""),1002.4)</f>
        <v>1002.4</v>
      </c>
      <c r="I76" s="16">
        <f>IFERROR(__xludf.DUMMYFUNCTION("""COMPUTED_VALUE"""),45849.6458333333)</f>
        <v>45849.6458333333</v>
      </c>
      <c r="J76" s="17">
        <f>IFERROR(__xludf.DUMMYFUNCTION("""COMPUTED_VALUE"""),990.45)</f>
        <v>990.45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IFERROR(__xludf.DUMMYFUNCTION("""COMPUTED_VALUE"""),991.5)</f>
        <v>991.5</v>
      </c>
      <c r="C77" s="16">
        <f>IFERROR(__xludf.DUMMYFUNCTION("""COMPUTED_VALUE"""),45852.6458333333)</f>
        <v>45852.6458333333</v>
      </c>
      <c r="D77" s="17">
        <f>IFERROR(__xludf.DUMMYFUNCTION("""COMPUTED_VALUE"""),991.5)</f>
        <v>991.5</v>
      </c>
      <c r="E77" s="16">
        <f>IFERROR(__xludf.DUMMYFUNCTION("""COMPUTED_VALUE"""),45852.6458333333)</f>
        <v>45852.6458333333</v>
      </c>
      <c r="F77" s="17">
        <f>IFERROR(__xludf.DUMMYFUNCTION("""COMPUTED_VALUE"""),6544425)</f>
        <v>6544425</v>
      </c>
      <c r="G77" s="16">
        <f>IFERROR(__xludf.DUMMYFUNCTION("""COMPUTED_VALUE"""),45852.6458333333)</f>
        <v>45852.6458333333</v>
      </c>
      <c r="H77" s="17">
        <f>IFERROR(__xludf.DUMMYFUNCTION("""COMPUTED_VALUE"""),994.35)</f>
        <v>994.35</v>
      </c>
      <c r="I77" s="16">
        <f>IFERROR(__xludf.DUMMYFUNCTION("""COMPUTED_VALUE"""),45852.6458333333)</f>
        <v>45852.6458333333</v>
      </c>
      <c r="J77" s="17">
        <f>IFERROR(__xludf.DUMMYFUNCTION("""COMPUTED_VALUE"""),985.3)</f>
        <v>985.3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IFERROR(__xludf.DUMMYFUNCTION("""COMPUTED_VALUE"""),997.75)</f>
        <v>997.75</v>
      </c>
      <c r="C78" s="16">
        <f>IFERROR(__xludf.DUMMYFUNCTION("""COMPUTED_VALUE"""),45853.6458333333)</f>
        <v>45853.6458333333</v>
      </c>
      <c r="D78" s="17">
        <f>IFERROR(__xludf.DUMMYFUNCTION("""COMPUTED_VALUE"""),986.5)</f>
        <v>986.5</v>
      </c>
      <c r="E78" s="16">
        <f>IFERROR(__xludf.DUMMYFUNCTION("""COMPUTED_VALUE"""),45853.6458333333)</f>
        <v>45853.6458333333</v>
      </c>
      <c r="F78" s="17">
        <f>IFERROR(__xludf.DUMMYFUNCTION("""COMPUTED_VALUE"""),7249084)</f>
        <v>7249084</v>
      </c>
      <c r="G78" s="16">
        <f>IFERROR(__xludf.DUMMYFUNCTION("""COMPUTED_VALUE"""),45853.6458333333)</f>
        <v>45853.6458333333</v>
      </c>
      <c r="H78" s="17">
        <f>IFERROR(__xludf.DUMMYFUNCTION("""COMPUTED_VALUE"""),1001.8)</f>
        <v>1001.8</v>
      </c>
      <c r="I78" s="16">
        <f>IFERROR(__xludf.DUMMYFUNCTION("""COMPUTED_VALUE"""),45853.6458333333)</f>
        <v>45853.6458333333</v>
      </c>
      <c r="J78" s="17">
        <f>IFERROR(__xludf.DUMMYFUNCTION("""COMPUTED_VALUE"""),986.5)</f>
        <v>986.5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IFERROR(__xludf.DUMMYFUNCTION("""COMPUTED_VALUE"""),998.15)</f>
        <v>998.15</v>
      </c>
      <c r="C79" s="16">
        <f>IFERROR(__xludf.DUMMYFUNCTION("""COMPUTED_VALUE"""),45854.6458333333)</f>
        <v>45854.6458333333</v>
      </c>
      <c r="D79" s="17">
        <f>IFERROR(__xludf.DUMMYFUNCTION("""COMPUTED_VALUE"""),1009)</f>
        <v>1009</v>
      </c>
      <c r="E79" s="16">
        <f>IFERROR(__xludf.DUMMYFUNCTION("""COMPUTED_VALUE"""),45854.6458333333)</f>
        <v>45854.6458333333</v>
      </c>
      <c r="F79" s="17">
        <f>IFERROR(__xludf.DUMMYFUNCTION("""COMPUTED_VALUE"""),8997306)</f>
        <v>8997306</v>
      </c>
      <c r="G79" s="16">
        <f>IFERROR(__xludf.DUMMYFUNCTION("""COMPUTED_VALUE"""),45854.6458333333)</f>
        <v>45854.6458333333</v>
      </c>
      <c r="H79" s="17">
        <f>IFERROR(__xludf.DUMMYFUNCTION("""COMPUTED_VALUE"""),1011.35)</f>
        <v>1011.35</v>
      </c>
      <c r="I79" s="16">
        <f>IFERROR(__xludf.DUMMYFUNCTION("""COMPUTED_VALUE"""),45854.6458333333)</f>
        <v>45854.6458333333</v>
      </c>
      <c r="J79" s="17">
        <f>IFERROR(__xludf.DUMMYFUNCTION("""COMPUTED_VALUE"""),996.3)</f>
        <v>996.3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IFERROR(__xludf.DUMMYFUNCTION("""COMPUTED_VALUE"""),993.45)</f>
        <v>993.45</v>
      </c>
      <c r="C80" s="16">
        <f>IFERROR(__xludf.DUMMYFUNCTION("""COMPUTED_VALUE"""),45855.6458333333)</f>
        <v>45855.6458333333</v>
      </c>
      <c r="D80" s="17">
        <f>IFERROR(__xludf.DUMMYFUNCTION("""COMPUTED_VALUE"""),1002)</f>
        <v>1002</v>
      </c>
      <c r="E80" s="16">
        <f>IFERROR(__xludf.DUMMYFUNCTION("""COMPUTED_VALUE"""),45855.6458333333)</f>
        <v>45855.6458333333</v>
      </c>
      <c r="F80" s="17">
        <f>IFERROR(__xludf.DUMMYFUNCTION("""COMPUTED_VALUE"""),11264579)</f>
        <v>11264579</v>
      </c>
      <c r="G80" s="16">
        <f>IFERROR(__xludf.DUMMYFUNCTION("""COMPUTED_VALUE"""),45855.6458333333)</f>
        <v>45855.6458333333</v>
      </c>
      <c r="H80" s="17">
        <f>IFERROR(__xludf.DUMMYFUNCTION("""COMPUTED_VALUE"""),1002.4)</f>
        <v>1002.4</v>
      </c>
      <c r="I80" s="16">
        <f>IFERROR(__xludf.DUMMYFUNCTION("""COMPUTED_VALUE"""),45855.6458333333)</f>
        <v>45855.6458333333</v>
      </c>
      <c r="J80" s="17">
        <f>IFERROR(__xludf.DUMMYFUNCTION("""COMPUTED_VALUE"""),991.35)</f>
        <v>991.35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IFERROR(__xludf.DUMMYFUNCTION("""COMPUTED_VALUE"""),978.7)</f>
        <v>978.7</v>
      </c>
      <c r="C81" s="16">
        <f>IFERROR(__xludf.DUMMYFUNCTION("""COMPUTED_VALUE"""),45856.6458333333)</f>
        <v>45856.6458333333</v>
      </c>
      <c r="D81" s="17">
        <f>IFERROR(__xludf.DUMMYFUNCTION("""COMPUTED_VALUE"""),993.45)</f>
        <v>993.45</v>
      </c>
      <c r="E81" s="16">
        <f>IFERROR(__xludf.DUMMYFUNCTION("""COMPUTED_VALUE"""),45856.6458333333)</f>
        <v>45856.6458333333</v>
      </c>
      <c r="F81" s="17">
        <f>IFERROR(__xludf.DUMMYFUNCTION("""COMPUTED_VALUE"""),8064723)</f>
        <v>8064723</v>
      </c>
      <c r="G81" s="16">
        <f>IFERROR(__xludf.DUMMYFUNCTION("""COMPUTED_VALUE"""),45856.6458333333)</f>
        <v>45856.6458333333</v>
      </c>
      <c r="H81" s="17">
        <f>IFERROR(__xludf.DUMMYFUNCTION("""COMPUTED_VALUE"""),998.5)</f>
        <v>998.5</v>
      </c>
      <c r="I81" s="16">
        <f>IFERROR(__xludf.DUMMYFUNCTION("""COMPUTED_VALUE"""),45856.6458333333)</f>
        <v>45856.6458333333</v>
      </c>
      <c r="J81" s="17">
        <f>IFERROR(__xludf.DUMMYFUNCTION("""COMPUTED_VALUE"""),976.5)</f>
        <v>976.5</v>
      </c>
      <c r="K81" s="3">
        <f t="shared" si="2"/>
        <v>0</v>
      </c>
      <c r="L81" s="3">
        <f t="shared" si="3"/>
        <v>978.7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IFERROR(__xludf.DUMMYFUNCTION("""COMPUTED_VALUE"""),1000.25)</f>
        <v>1000.25</v>
      </c>
      <c r="C82" s="16">
        <f>IFERROR(__xludf.DUMMYFUNCTION("""COMPUTED_VALUE"""),45859.6458333333)</f>
        <v>45859.6458333333</v>
      </c>
      <c r="D82" s="17">
        <f>IFERROR(__xludf.DUMMYFUNCTION("""COMPUTED_VALUE"""),989.1)</f>
        <v>989.1</v>
      </c>
      <c r="E82" s="16">
        <f>IFERROR(__xludf.DUMMYFUNCTION("""COMPUTED_VALUE"""),45859.6458333333)</f>
        <v>45859.6458333333</v>
      </c>
      <c r="F82" s="17">
        <f>IFERROR(__xludf.DUMMYFUNCTION("""COMPUTED_VALUE"""),11154539)</f>
        <v>11154539</v>
      </c>
      <c r="G82" s="16">
        <f>IFERROR(__xludf.DUMMYFUNCTION("""COMPUTED_VALUE"""),45859.6458333333)</f>
        <v>45859.6458333333</v>
      </c>
      <c r="H82" s="17">
        <f>IFERROR(__xludf.DUMMYFUNCTION("""COMPUTED_VALUE"""),1001)</f>
        <v>1001</v>
      </c>
      <c r="I82" s="16">
        <f>IFERROR(__xludf.DUMMYFUNCTION("""COMPUTED_VALUE"""),45859.6458333333)</f>
        <v>45859.6458333333</v>
      </c>
      <c r="J82" s="17">
        <f>IFERROR(__xludf.DUMMYFUNCTION("""COMPUTED_VALUE"""),988.25)</f>
        <v>988.25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IFERROR(__xludf.DUMMYFUNCTION("""COMPUTED_VALUE"""),1003.55)</f>
        <v>1003.55</v>
      </c>
      <c r="C83" s="16">
        <f>IFERROR(__xludf.DUMMYFUNCTION("""COMPUTED_VALUE"""),45860.6458333333)</f>
        <v>45860.6458333333</v>
      </c>
      <c r="D83" s="17">
        <f>IFERROR(__xludf.DUMMYFUNCTION("""COMPUTED_VALUE"""),1006.55)</f>
        <v>1006.55</v>
      </c>
      <c r="E83" s="16">
        <f>IFERROR(__xludf.DUMMYFUNCTION("""COMPUTED_VALUE"""),45860.6458333333)</f>
        <v>45860.6458333333</v>
      </c>
      <c r="F83" s="17">
        <f>IFERROR(__xludf.DUMMYFUNCTION("""COMPUTED_VALUE"""),7418407)</f>
        <v>7418407</v>
      </c>
      <c r="G83" s="16">
        <f>IFERROR(__xludf.DUMMYFUNCTION("""COMPUTED_VALUE"""),45860.6458333333)</f>
        <v>45860.6458333333</v>
      </c>
      <c r="H83" s="17">
        <f>IFERROR(__xludf.DUMMYFUNCTION("""COMPUTED_VALUE"""),1009)</f>
        <v>1009</v>
      </c>
      <c r="I83" s="16">
        <f>IFERROR(__xludf.DUMMYFUNCTION("""COMPUTED_VALUE"""),45860.6458333333)</f>
        <v>45860.6458333333</v>
      </c>
      <c r="J83" s="17">
        <f>IFERROR(__xludf.DUMMYFUNCTION("""COMPUTED_VALUE"""),1001.5)</f>
        <v>1001.5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IFERROR(__xludf.DUMMYFUNCTION("""COMPUTED_VALUE"""),1012.15)</f>
        <v>1012.15</v>
      </c>
      <c r="C84" s="16">
        <f>IFERROR(__xludf.DUMMYFUNCTION("""COMPUTED_VALUE"""),45861.6458333333)</f>
        <v>45861.6458333333</v>
      </c>
      <c r="D84" s="17">
        <f>IFERROR(__xludf.DUMMYFUNCTION("""COMPUTED_VALUE"""),1005.5)</f>
        <v>1005.5</v>
      </c>
      <c r="E84" s="16">
        <f>IFERROR(__xludf.DUMMYFUNCTION("""COMPUTED_VALUE"""),45861.6458333333)</f>
        <v>45861.6458333333</v>
      </c>
      <c r="F84" s="17">
        <f>IFERROR(__xludf.DUMMYFUNCTION("""COMPUTED_VALUE"""),6817458)</f>
        <v>6817458</v>
      </c>
      <c r="G84" s="16">
        <f>IFERROR(__xludf.DUMMYFUNCTION("""COMPUTED_VALUE"""),45861.6458333333)</f>
        <v>45861.6458333333</v>
      </c>
      <c r="H84" s="17">
        <f>IFERROR(__xludf.DUMMYFUNCTION("""COMPUTED_VALUE"""),1014.9)</f>
        <v>1014.9</v>
      </c>
      <c r="I84" s="16">
        <f>IFERROR(__xludf.DUMMYFUNCTION("""COMPUTED_VALUE"""),45861.6458333333)</f>
        <v>45861.6458333333</v>
      </c>
      <c r="J84" s="17">
        <f>IFERROR(__xludf.DUMMYFUNCTION("""COMPUTED_VALUE"""),1001.5)</f>
        <v>1001.5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IFERROR(__xludf.DUMMYFUNCTION("""COMPUTED_VALUE"""),1007.1)</f>
        <v>1007.1</v>
      </c>
      <c r="C85" s="16">
        <f>IFERROR(__xludf.DUMMYFUNCTION("""COMPUTED_VALUE"""),45862.6458333333)</f>
        <v>45862.6458333333</v>
      </c>
      <c r="D85" s="17">
        <f>IFERROR(__xludf.DUMMYFUNCTION("""COMPUTED_VALUE"""),1018.85)</f>
        <v>1018.85</v>
      </c>
      <c r="E85" s="16">
        <f>IFERROR(__xludf.DUMMYFUNCTION("""COMPUTED_VALUE"""),45862.6458333333)</f>
        <v>45862.6458333333</v>
      </c>
      <c r="F85" s="17">
        <f>IFERROR(__xludf.DUMMYFUNCTION("""COMPUTED_VALUE"""),9553588)</f>
        <v>9553588</v>
      </c>
      <c r="G85" s="16">
        <f>IFERROR(__xludf.DUMMYFUNCTION("""COMPUTED_VALUE"""),45862.6458333333)</f>
        <v>45862.6458333333</v>
      </c>
      <c r="H85" s="17">
        <f>IFERROR(__xludf.DUMMYFUNCTION("""COMPUTED_VALUE"""),1018.85)</f>
        <v>1018.85</v>
      </c>
      <c r="I85" s="16">
        <f>IFERROR(__xludf.DUMMYFUNCTION("""COMPUTED_VALUE"""),45862.6458333333)</f>
        <v>45862.6458333333</v>
      </c>
      <c r="J85" s="17">
        <f>IFERROR(__xludf.DUMMYFUNCTION("""COMPUTED_VALUE"""),1004.2)</f>
        <v>1004.2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IFERROR(__xludf.DUMMYFUNCTION("""COMPUTED_VALUE"""),1002.3)</f>
        <v>1002.3</v>
      </c>
      <c r="C86" s="16">
        <f>IFERROR(__xludf.DUMMYFUNCTION("""COMPUTED_VALUE"""),45863.6458333333)</f>
        <v>45863.6458333333</v>
      </c>
      <c r="D86" s="17">
        <f>IFERROR(__xludf.DUMMYFUNCTION("""COMPUTED_VALUE"""),1007.5)</f>
        <v>1007.5</v>
      </c>
      <c r="E86" s="16">
        <f>IFERROR(__xludf.DUMMYFUNCTION("""COMPUTED_VALUE"""),45863.6458333333)</f>
        <v>45863.6458333333</v>
      </c>
      <c r="F86" s="17">
        <f>IFERROR(__xludf.DUMMYFUNCTION("""COMPUTED_VALUE"""),4653299)</f>
        <v>4653299</v>
      </c>
      <c r="G86" s="16">
        <f>IFERROR(__xludf.DUMMYFUNCTION("""COMPUTED_VALUE"""),45863.6458333333)</f>
        <v>45863.6458333333</v>
      </c>
      <c r="H86" s="17">
        <f>IFERROR(__xludf.DUMMYFUNCTION("""COMPUTED_VALUE"""),1007.5)</f>
        <v>1007.5</v>
      </c>
      <c r="I86" s="16">
        <f>IFERROR(__xludf.DUMMYFUNCTION("""COMPUTED_VALUE"""),45863.6458333333)</f>
        <v>45863.6458333333</v>
      </c>
      <c r="J86" s="17">
        <f>IFERROR(__xludf.DUMMYFUNCTION("""COMPUTED_VALUE"""),999.5)</f>
        <v>999.5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IFERROR(__xludf.DUMMYFUNCTION("""COMPUTED_VALUE"""),1004.25)</f>
        <v>1004.25</v>
      </c>
      <c r="C87" s="16">
        <f>IFERROR(__xludf.DUMMYFUNCTION("""COMPUTED_VALUE"""),45866.6458333333)</f>
        <v>45866.6458333333</v>
      </c>
      <c r="D87" s="17">
        <f>IFERROR(__xludf.DUMMYFUNCTION("""COMPUTED_VALUE"""),1001.5)</f>
        <v>1001.5</v>
      </c>
      <c r="E87" s="16">
        <f>IFERROR(__xludf.DUMMYFUNCTION("""COMPUTED_VALUE"""),45866.6458333333)</f>
        <v>45866.6458333333</v>
      </c>
      <c r="F87" s="17">
        <f>IFERROR(__xludf.DUMMYFUNCTION("""COMPUTED_VALUE"""),6029790)</f>
        <v>6029790</v>
      </c>
      <c r="G87" s="16">
        <f>IFERROR(__xludf.DUMMYFUNCTION("""COMPUTED_VALUE"""),45866.6458333333)</f>
        <v>45866.6458333333</v>
      </c>
      <c r="H87" s="17">
        <f>IFERROR(__xludf.DUMMYFUNCTION("""COMPUTED_VALUE"""),1010.7)</f>
        <v>1010.7</v>
      </c>
      <c r="I87" s="16">
        <f>IFERROR(__xludf.DUMMYFUNCTION("""COMPUTED_VALUE"""),45866.6458333333)</f>
        <v>45866.6458333333</v>
      </c>
      <c r="J87" s="17">
        <f>IFERROR(__xludf.DUMMYFUNCTION("""COMPUTED_VALUE"""),1000.25)</f>
        <v>1000.25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IFERROR(__xludf.DUMMYFUNCTION("""COMPUTED_VALUE"""),1010.8)</f>
        <v>1010.8</v>
      </c>
      <c r="C88" s="16">
        <f>IFERROR(__xludf.DUMMYFUNCTION("""COMPUTED_VALUE"""),45867.6458333333)</f>
        <v>45867.6458333333</v>
      </c>
      <c r="D88" s="17">
        <f>IFERROR(__xludf.DUMMYFUNCTION("""COMPUTED_VALUE"""),999.95)</f>
        <v>999.95</v>
      </c>
      <c r="E88" s="16">
        <f>IFERROR(__xludf.DUMMYFUNCTION("""COMPUTED_VALUE"""),45867.6458333333)</f>
        <v>45867.6458333333</v>
      </c>
      <c r="F88" s="17">
        <f>IFERROR(__xludf.DUMMYFUNCTION("""COMPUTED_VALUE"""),9947848)</f>
        <v>9947848</v>
      </c>
      <c r="G88" s="16">
        <f>IFERROR(__xludf.DUMMYFUNCTION("""COMPUTED_VALUE"""),45867.6458333333)</f>
        <v>45867.6458333333</v>
      </c>
      <c r="H88" s="17">
        <f>IFERROR(__xludf.DUMMYFUNCTION("""COMPUTED_VALUE"""),1013.25)</f>
        <v>1013.25</v>
      </c>
      <c r="I88" s="16">
        <f>IFERROR(__xludf.DUMMYFUNCTION("""COMPUTED_VALUE"""),45867.6458333333)</f>
        <v>45867.6458333333</v>
      </c>
      <c r="J88" s="17">
        <f>IFERROR(__xludf.DUMMYFUNCTION("""COMPUTED_VALUE"""),998.15)</f>
        <v>998.15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IFERROR(__xludf.DUMMYFUNCTION("""COMPUTED_VALUE"""),1012.9)</f>
        <v>1012.9</v>
      </c>
      <c r="C89" s="16">
        <f>IFERROR(__xludf.DUMMYFUNCTION("""COMPUTED_VALUE"""),45868.6458333333)</f>
        <v>45868.6458333333</v>
      </c>
      <c r="D89" s="17">
        <f>IFERROR(__xludf.DUMMYFUNCTION("""COMPUTED_VALUE"""),1014)</f>
        <v>1014</v>
      </c>
      <c r="E89" s="16">
        <f>IFERROR(__xludf.DUMMYFUNCTION("""COMPUTED_VALUE"""),45868.6458333333)</f>
        <v>45868.6458333333</v>
      </c>
      <c r="F89" s="17">
        <f>IFERROR(__xludf.DUMMYFUNCTION("""COMPUTED_VALUE"""),7577018)</f>
        <v>7577018</v>
      </c>
      <c r="G89" s="16">
        <f>IFERROR(__xludf.DUMMYFUNCTION("""COMPUTED_VALUE"""),45868.6458333333)</f>
        <v>45868.6458333333</v>
      </c>
      <c r="H89" s="17">
        <f>IFERROR(__xludf.DUMMYFUNCTION("""COMPUTED_VALUE"""),1016.3)</f>
        <v>1016.3</v>
      </c>
      <c r="I89" s="16">
        <f>IFERROR(__xludf.DUMMYFUNCTION("""COMPUTED_VALUE"""),45868.6458333333)</f>
        <v>45868.6458333333</v>
      </c>
      <c r="J89" s="17">
        <f>IFERROR(__xludf.DUMMYFUNCTION("""COMPUTED_VALUE"""),1008.5)</f>
        <v>1008.5</v>
      </c>
      <c r="K89" s="3">
        <f t="shared" si="2"/>
        <v>1012.9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IFERROR(__xludf.DUMMYFUNCTION("""COMPUTED_VALUE"""),1009.1)</f>
        <v>1009.1</v>
      </c>
      <c r="C90" s="16">
        <f>IFERROR(__xludf.DUMMYFUNCTION("""COMPUTED_VALUE"""),45869.6458333333)</f>
        <v>45869.6458333333</v>
      </c>
      <c r="D90" s="17">
        <f>IFERROR(__xludf.DUMMYFUNCTION("""COMPUTED_VALUE"""),1007.3)</f>
        <v>1007.3</v>
      </c>
      <c r="E90" s="16">
        <f>IFERROR(__xludf.DUMMYFUNCTION("""COMPUTED_VALUE"""),45869.6458333333)</f>
        <v>45869.6458333333</v>
      </c>
      <c r="F90" s="17">
        <f>IFERROR(__xludf.DUMMYFUNCTION("""COMPUTED_VALUE"""),11091516)</f>
        <v>11091516</v>
      </c>
      <c r="G90" s="16">
        <f>IFERROR(__xludf.DUMMYFUNCTION("""COMPUTED_VALUE"""),45869.6458333333)</f>
        <v>45869.6458333333</v>
      </c>
      <c r="H90" s="17">
        <f>IFERROR(__xludf.DUMMYFUNCTION("""COMPUTED_VALUE"""),1015.7)</f>
        <v>1015.7</v>
      </c>
      <c r="I90" s="16">
        <f>IFERROR(__xludf.DUMMYFUNCTION("""COMPUTED_VALUE"""),45869.6458333333)</f>
        <v>45869.6458333333</v>
      </c>
      <c r="J90" s="17">
        <f>IFERROR(__xludf.DUMMYFUNCTION("""COMPUTED_VALUE"""),1004)</f>
        <v>1004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IFERROR(__xludf.DUMMYFUNCTION("""COMPUTED_VALUE"""),1006.1)</f>
        <v>1006.1</v>
      </c>
      <c r="C91" s="16">
        <f>IFERROR(__xludf.DUMMYFUNCTION("""COMPUTED_VALUE"""),45870.6458333333)</f>
        <v>45870.6458333333</v>
      </c>
      <c r="D91" s="17">
        <f>IFERROR(__xludf.DUMMYFUNCTION("""COMPUTED_VALUE"""),1007)</f>
        <v>1007</v>
      </c>
      <c r="E91" s="16">
        <f>IFERROR(__xludf.DUMMYFUNCTION("""COMPUTED_VALUE"""),45870.6458333333)</f>
        <v>45870.6458333333</v>
      </c>
      <c r="F91" s="17">
        <f>IFERROR(__xludf.DUMMYFUNCTION("""COMPUTED_VALUE"""),5658629)</f>
        <v>5658629</v>
      </c>
      <c r="G91" s="16">
        <f>IFERROR(__xludf.DUMMYFUNCTION("""COMPUTED_VALUE"""),45870.6458333333)</f>
        <v>45870.6458333333</v>
      </c>
      <c r="H91" s="17">
        <f>IFERROR(__xludf.DUMMYFUNCTION("""COMPUTED_VALUE"""),1014.15)</f>
        <v>1014.15</v>
      </c>
      <c r="I91" s="16">
        <f>IFERROR(__xludf.DUMMYFUNCTION("""COMPUTED_VALUE"""),45870.6458333333)</f>
        <v>45870.6458333333</v>
      </c>
      <c r="J91" s="17">
        <f>IFERROR(__xludf.DUMMYFUNCTION("""COMPUTED_VALUE"""),1004.65)</f>
        <v>1004.65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IFERROR(__xludf.DUMMYFUNCTION("""COMPUTED_VALUE"""),996)</f>
        <v>996</v>
      </c>
      <c r="C92" s="16">
        <f>IFERROR(__xludf.DUMMYFUNCTION("""COMPUTED_VALUE"""),45873.6458333333)</f>
        <v>45873.6458333333</v>
      </c>
      <c r="D92" s="17">
        <f>IFERROR(__xludf.DUMMYFUNCTION("""COMPUTED_VALUE"""),1005.05)</f>
        <v>1005.05</v>
      </c>
      <c r="E92" s="16">
        <f>IFERROR(__xludf.DUMMYFUNCTION("""COMPUTED_VALUE"""),45873.6458333333)</f>
        <v>45873.6458333333</v>
      </c>
      <c r="F92" s="17">
        <f>IFERROR(__xludf.DUMMYFUNCTION("""COMPUTED_VALUE"""),6966973)</f>
        <v>6966973</v>
      </c>
      <c r="G92" s="16">
        <f>IFERROR(__xludf.DUMMYFUNCTION("""COMPUTED_VALUE"""),45873.6458333333)</f>
        <v>45873.6458333333</v>
      </c>
      <c r="H92" s="17">
        <f>IFERROR(__xludf.DUMMYFUNCTION("""COMPUTED_VALUE"""),1009.25)</f>
        <v>1009.25</v>
      </c>
      <c r="I92" s="16">
        <f>IFERROR(__xludf.DUMMYFUNCTION("""COMPUTED_VALUE"""),45873.6458333333)</f>
        <v>45873.6458333333</v>
      </c>
      <c r="J92" s="17">
        <f>IFERROR(__xludf.DUMMYFUNCTION("""COMPUTED_VALUE"""),994.05)</f>
        <v>994.05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IFERROR(__xludf.DUMMYFUNCTION("""COMPUTED_VALUE"""),988.8)</f>
        <v>988.8</v>
      </c>
      <c r="C93" s="16">
        <f>IFERROR(__xludf.DUMMYFUNCTION("""COMPUTED_VALUE"""),45874.6458333333)</f>
        <v>45874.6458333333</v>
      </c>
      <c r="D93" s="17">
        <f>IFERROR(__xludf.DUMMYFUNCTION("""COMPUTED_VALUE"""),993.25)</f>
        <v>993.25</v>
      </c>
      <c r="E93" s="16">
        <f>IFERROR(__xludf.DUMMYFUNCTION("""COMPUTED_VALUE"""),45874.6458333333)</f>
        <v>45874.6458333333</v>
      </c>
      <c r="F93" s="17">
        <f>IFERROR(__xludf.DUMMYFUNCTION("""COMPUTED_VALUE"""),11989029)</f>
        <v>11989029</v>
      </c>
      <c r="G93" s="16">
        <f>IFERROR(__xludf.DUMMYFUNCTION("""COMPUTED_VALUE"""),45874.6458333333)</f>
        <v>45874.6458333333</v>
      </c>
      <c r="H93" s="17">
        <f>IFERROR(__xludf.DUMMYFUNCTION("""COMPUTED_VALUE"""),997.2)</f>
        <v>997.2</v>
      </c>
      <c r="I93" s="16">
        <f>IFERROR(__xludf.DUMMYFUNCTION("""COMPUTED_VALUE"""),45874.6458333333)</f>
        <v>45874.6458333333</v>
      </c>
      <c r="J93" s="17">
        <f>IFERROR(__xludf.DUMMYFUNCTION("""COMPUTED_VALUE"""),982.75)</f>
        <v>982.75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IFERROR(__xludf.DUMMYFUNCTION("""COMPUTED_VALUE"""),992.65)</f>
        <v>992.65</v>
      </c>
      <c r="C94" s="16">
        <f>IFERROR(__xludf.DUMMYFUNCTION("""COMPUTED_VALUE"""),45875.6458333333)</f>
        <v>45875.6458333333</v>
      </c>
      <c r="D94" s="17">
        <f>IFERROR(__xludf.DUMMYFUNCTION("""COMPUTED_VALUE"""),985.55)</f>
        <v>985.55</v>
      </c>
      <c r="E94" s="16">
        <f>IFERROR(__xludf.DUMMYFUNCTION("""COMPUTED_VALUE"""),45875.6458333333)</f>
        <v>45875.6458333333</v>
      </c>
      <c r="F94" s="17">
        <f>IFERROR(__xludf.DUMMYFUNCTION("""COMPUTED_VALUE"""),7040102)</f>
        <v>7040102</v>
      </c>
      <c r="G94" s="16">
        <f>IFERROR(__xludf.DUMMYFUNCTION("""COMPUTED_VALUE"""),45875.6458333333)</f>
        <v>45875.6458333333</v>
      </c>
      <c r="H94" s="17">
        <f>IFERROR(__xludf.DUMMYFUNCTION("""COMPUTED_VALUE"""),994)</f>
        <v>994</v>
      </c>
      <c r="I94" s="16">
        <f>IFERROR(__xludf.DUMMYFUNCTION("""COMPUTED_VALUE"""),45875.6458333333)</f>
        <v>45875.6458333333</v>
      </c>
      <c r="J94" s="17">
        <f>IFERROR(__xludf.DUMMYFUNCTION("""COMPUTED_VALUE"""),985)</f>
        <v>985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IFERROR(__xludf.DUMMYFUNCTION("""COMPUTED_VALUE"""),997.7)</f>
        <v>997.7</v>
      </c>
      <c r="C95" s="16">
        <f>IFERROR(__xludf.DUMMYFUNCTION("""COMPUTED_VALUE"""),45876.6458333333)</f>
        <v>45876.6458333333</v>
      </c>
      <c r="D95" s="17">
        <f>IFERROR(__xludf.DUMMYFUNCTION("""COMPUTED_VALUE"""),990.05)</f>
        <v>990.05</v>
      </c>
      <c r="E95" s="16">
        <f>IFERROR(__xludf.DUMMYFUNCTION("""COMPUTED_VALUE"""),45876.6458333333)</f>
        <v>45876.6458333333</v>
      </c>
      <c r="F95" s="17">
        <f>IFERROR(__xludf.DUMMYFUNCTION("""COMPUTED_VALUE"""),6540593)</f>
        <v>6540593</v>
      </c>
      <c r="G95" s="16">
        <f>IFERROR(__xludf.DUMMYFUNCTION("""COMPUTED_VALUE"""),45876.6458333333)</f>
        <v>45876.6458333333</v>
      </c>
      <c r="H95" s="17">
        <f>IFERROR(__xludf.DUMMYFUNCTION("""COMPUTED_VALUE"""),1000.8)</f>
        <v>1000.8</v>
      </c>
      <c r="I95" s="16">
        <f>IFERROR(__xludf.DUMMYFUNCTION("""COMPUTED_VALUE"""),45876.6458333333)</f>
        <v>45876.6458333333</v>
      </c>
      <c r="J95" s="17">
        <f>IFERROR(__xludf.DUMMYFUNCTION("""COMPUTED_VALUE"""),988.4)</f>
        <v>988.4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IFERROR(__xludf.DUMMYFUNCTION("""COMPUTED_VALUE"""),986.95)</f>
        <v>986.95</v>
      </c>
      <c r="C96" s="16">
        <f>IFERROR(__xludf.DUMMYFUNCTION("""COMPUTED_VALUE"""),45877.6458333333)</f>
        <v>45877.6458333333</v>
      </c>
      <c r="D96" s="17">
        <f>IFERROR(__xludf.DUMMYFUNCTION("""COMPUTED_VALUE"""),993.55)</f>
        <v>993.55</v>
      </c>
      <c r="E96" s="16">
        <f>IFERROR(__xludf.DUMMYFUNCTION("""COMPUTED_VALUE"""),45877.6458333333)</f>
        <v>45877.6458333333</v>
      </c>
      <c r="F96" s="17">
        <f>IFERROR(__xludf.DUMMYFUNCTION("""COMPUTED_VALUE"""),6947632)</f>
        <v>6947632</v>
      </c>
      <c r="G96" s="16">
        <f>IFERROR(__xludf.DUMMYFUNCTION("""COMPUTED_VALUE"""),45877.6458333333)</f>
        <v>45877.6458333333</v>
      </c>
      <c r="H96" s="17">
        <f>IFERROR(__xludf.DUMMYFUNCTION("""COMPUTED_VALUE"""),996.4)</f>
        <v>996.4</v>
      </c>
      <c r="I96" s="16">
        <f>IFERROR(__xludf.DUMMYFUNCTION("""COMPUTED_VALUE"""),45877.6458333333)</f>
        <v>45877.6458333333</v>
      </c>
      <c r="J96" s="17">
        <f>IFERROR(__xludf.DUMMYFUNCTION("""COMPUTED_VALUE"""),985)</f>
        <v>985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IFERROR(__xludf.DUMMYFUNCTION("""COMPUTED_VALUE"""),997.8)</f>
        <v>997.8</v>
      </c>
      <c r="C97" s="16">
        <f>IFERROR(__xludf.DUMMYFUNCTION("""COMPUTED_VALUE"""),45880.6458333333)</f>
        <v>45880.6458333333</v>
      </c>
      <c r="D97" s="17">
        <f>IFERROR(__xludf.DUMMYFUNCTION("""COMPUTED_VALUE"""),987.95)</f>
        <v>987.95</v>
      </c>
      <c r="E97" s="16">
        <f>IFERROR(__xludf.DUMMYFUNCTION("""COMPUTED_VALUE"""),45880.6458333333)</f>
        <v>45880.6458333333</v>
      </c>
      <c r="F97" s="17">
        <f>IFERROR(__xludf.DUMMYFUNCTION("""COMPUTED_VALUE"""),4552927)</f>
        <v>4552927</v>
      </c>
      <c r="G97" s="16">
        <f>IFERROR(__xludf.DUMMYFUNCTION("""COMPUTED_VALUE"""),45880.6458333333)</f>
        <v>45880.6458333333</v>
      </c>
      <c r="H97" s="17">
        <f>IFERROR(__xludf.DUMMYFUNCTION("""COMPUTED_VALUE"""),998.8)</f>
        <v>998.8</v>
      </c>
      <c r="I97" s="16">
        <f>IFERROR(__xludf.DUMMYFUNCTION("""COMPUTED_VALUE"""),45880.6458333333)</f>
        <v>45880.6458333333</v>
      </c>
      <c r="J97" s="17">
        <f>IFERROR(__xludf.DUMMYFUNCTION("""COMPUTED_VALUE"""),986.55)</f>
        <v>986.55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IFERROR(__xludf.DUMMYFUNCTION("""COMPUTED_VALUE"""),984.95)</f>
        <v>984.95</v>
      </c>
      <c r="C98" s="16">
        <f>IFERROR(__xludf.DUMMYFUNCTION("""COMPUTED_VALUE"""),45881.6458333333)</f>
        <v>45881.6458333333</v>
      </c>
      <c r="D98" s="17">
        <f>IFERROR(__xludf.DUMMYFUNCTION("""COMPUTED_VALUE"""),995.95)</f>
        <v>995.95</v>
      </c>
      <c r="E98" s="16">
        <f>IFERROR(__xludf.DUMMYFUNCTION("""COMPUTED_VALUE"""),45881.6458333333)</f>
        <v>45881.6458333333</v>
      </c>
      <c r="F98" s="17">
        <f>IFERROR(__xludf.DUMMYFUNCTION("""COMPUTED_VALUE"""),6468901)</f>
        <v>6468901</v>
      </c>
      <c r="G98" s="16">
        <f>IFERROR(__xludf.DUMMYFUNCTION("""COMPUTED_VALUE"""),45881.6458333333)</f>
        <v>45881.6458333333</v>
      </c>
      <c r="H98" s="17">
        <f>IFERROR(__xludf.DUMMYFUNCTION("""COMPUTED_VALUE"""),998)</f>
        <v>998</v>
      </c>
      <c r="I98" s="16">
        <f>IFERROR(__xludf.DUMMYFUNCTION("""COMPUTED_VALUE"""),45881.6458333333)</f>
        <v>45881.6458333333</v>
      </c>
      <c r="J98" s="17">
        <f>IFERROR(__xludf.DUMMYFUNCTION("""COMPUTED_VALUE"""),983.75)</f>
        <v>983.75</v>
      </c>
      <c r="K98" s="3">
        <f t="shared" si="2"/>
        <v>0</v>
      </c>
      <c r="L98" s="3">
        <f t="shared" si="3"/>
        <v>984.95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IFERROR(__xludf.DUMMYFUNCTION("""COMPUTED_VALUE"""),990.15)</f>
        <v>990.15</v>
      </c>
      <c r="C99" s="16">
        <f>IFERROR(__xludf.DUMMYFUNCTION("""COMPUTED_VALUE"""),45882.6458333333)</f>
        <v>45882.6458333333</v>
      </c>
      <c r="D99" s="17">
        <f>IFERROR(__xludf.DUMMYFUNCTION("""COMPUTED_VALUE"""),997)</f>
        <v>997</v>
      </c>
      <c r="E99" s="16">
        <f>IFERROR(__xludf.DUMMYFUNCTION("""COMPUTED_VALUE"""),45882.6458333333)</f>
        <v>45882.6458333333</v>
      </c>
      <c r="F99" s="17">
        <f>IFERROR(__xludf.DUMMYFUNCTION("""COMPUTED_VALUE"""),6788698)</f>
        <v>6788698</v>
      </c>
      <c r="G99" s="16">
        <f>IFERROR(__xludf.DUMMYFUNCTION("""COMPUTED_VALUE"""),45882.6458333333)</f>
        <v>45882.6458333333</v>
      </c>
      <c r="H99" s="17">
        <f>IFERROR(__xludf.DUMMYFUNCTION("""COMPUTED_VALUE"""),997)</f>
        <v>997</v>
      </c>
      <c r="I99" s="16">
        <f>IFERROR(__xludf.DUMMYFUNCTION("""COMPUTED_VALUE"""),45882.6458333333)</f>
        <v>45882.6458333333</v>
      </c>
      <c r="J99" s="17">
        <f>IFERROR(__xludf.DUMMYFUNCTION("""COMPUTED_VALUE"""),984.55)</f>
        <v>984.55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IFERROR(__xludf.DUMMYFUNCTION("""COMPUTED_VALUE"""),995.55)</f>
        <v>995.55</v>
      </c>
      <c r="C100" s="16">
        <f>IFERROR(__xludf.DUMMYFUNCTION("""COMPUTED_VALUE"""),45883.6458333333)</f>
        <v>45883.6458333333</v>
      </c>
      <c r="D100" s="17">
        <f>IFERROR(__xludf.DUMMYFUNCTION("""COMPUTED_VALUE"""),989)</f>
        <v>989</v>
      </c>
      <c r="E100" s="16">
        <f>IFERROR(__xludf.DUMMYFUNCTION("""COMPUTED_VALUE"""),45883.6458333333)</f>
        <v>45883.6458333333</v>
      </c>
      <c r="F100" s="17">
        <f>IFERROR(__xludf.DUMMYFUNCTION("""COMPUTED_VALUE"""),8755858)</f>
        <v>8755858</v>
      </c>
      <c r="G100" s="16">
        <f>IFERROR(__xludf.DUMMYFUNCTION("""COMPUTED_VALUE"""),45883.6458333333)</f>
        <v>45883.6458333333</v>
      </c>
      <c r="H100" s="17">
        <f>IFERROR(__xludf.DUMMYFUNCTION("""COMPUTED_VALUE"""),998)</f>
        <v>998</v>
      </c>
      <c r="I100" s="16">
        <f>IFERROR(__xludf.DUMMYFUNCTION("""COMPUTED_VALUE"""),45883.6458333333)</f>
        <v>45883.6458333333</v>
      </c>
      <c r="J100" s="17">
        <f>IFERROR(__xludf.DUMMYFUNCTION("""COMPUTED_VALUE"""),985.6)</f>
        <v>985.6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IFERROR(__xludf.DUMMYFUNCTION("""COMPUTED_VALUE"""),1001.8)</f>
        <v>1001.8</v>
      </c>
      <c r="C101" s="16">
        <f>IFERROR(__xludf.DUMMYFUNCTION("""COMPUTED_VALUE"""),45887.6458333333)</f>
        <v>45887.6458333333</v>
      </c>
      <c r="D101" s="17">
        <f>IFERROR(__xludf.DUMMYFUNCTION("""COMPUTED_VALUE"""),1005)</f>
        <v>1005</v>
      </c>
      <c r="E101" s="16">
        <f>IFERROR(__xludf.DUMMYFUNCTION("""COMPUTED_VALUE"""),45887.6458333333)</f>
        <v>45887.6458333333</v>
      </c>
      <c r="F101" s="17">
        <f>IFERROR(__xludf.DUMMYFUNCTION("""COMPUTED_VALUE"""),9642398)</f>
        <v>9642398</v>
      </c>
      <c r="G101" s="16">
        <f>IFERROR(__xludf.DUMMYFUNCTION("""COMPUTED_VALUE"""),45887.6458333333)</f>
        <v>45887.6458333333</v>
      </c>
      <c r="H101" s="17">
        <f>IFERROR(__xludf.DUMMYFUNCTION("""COMPUTED_VALUE"""),1013.3)</f>
        <v>1013.3</v>
      </c>
      <c r="I101" s="16">
        <f>IFERROR(__xludf.DUMMYFUNCTION("""COMPUTED_VALUE"""),45887.6458333333)</f>
        <v>45887.6458333333</v>
      </c>
      <c r="J101" s="17">
        <f>IFERROR(__xludf.DUMMYFUNCTION("""COMPUTED_VALUE"""),997.8)</f>
        <v>997.8</v>
      </c>
      <c r="K101" s="3">
        <f t="shared" si="2"/>
        <v>1001.8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IFERROR(__xludf.DUMMYFUNCTION("""COMPUTED_VALUE"""),995.55)</f>
        <v>995.55</v>
      </c>
      <c r="C102" s="16">
        <f>IFERROR(__xludf.DUMMYFUNCTION("""COMPUTED_VALUE"""),45888.6458333333)</f>
        <v>45888.6458333333</v>
      </c>
      <c r="D102" s="17">
        <f>IFERROR(__xludf.DUMMYFUNCTION("""COMPUTED_VALUE"""),999.15)</f>
        <v>999.15</v>
      </c>
      <c r="E102" s="16">
        <f>IFERROR(__xludf.DUMMYFUNCTION("""COMPUTED_VALUE"""),45888.6458333333)</f>
        <v>45888.6458333333</v>
      </c>
      <c r="F102" s="17">
        <f>IFERROR(__xludf.DUMMYFUNCTION("""COMPUTED_VALUE"""),6176219)</f>
        <v>6176219</v>
      </c>
      <c r="G102" s="16">
        <f>IFERROR(__xludf.DUMMYFUNCTION("""COMPUTED_VALUE"""),45888.6458333333)</f>
        <v>45888.6458333333</v>
      </c>
      <c r="H102" s="17">
        <f>IFERROR(__xludf.DUMMYFUNCTION("""COMPUTED_VALUE"""),1003.05)</f>
        <v>1003.05</v>
      </c>
      <c r="I102" s="16">
        <f>IFERROR(__xludf.DUMMYFUNCTION("""COMPUTED_VALUE"""),45888.6458333333)</f>
        <v>45888.6458333333</v>
      </c>
      <c r="J102" s="17">
        <f>IFERROR(__xludf.DUMMYFUNCTION("""COMPUTED_VALUE"""),993.35)</f>
        <v>993.35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IFERROR(__xludf.DUMMYFUNCTION("""COMPUTED_VALUE"""),994.1)</f>
        <v>994.1</v>
      </c>
      <c r="C103" s="16">
        <f>IFERROR(__xludf.DUMMYFUNCTION("""COMPUTED_VALUE"""),45889.6458333333)</f>
        <v>45889.6458333333</v>
      </c>
      <c r="D103" s="17">
        <f>IFERROR(__xludf.DUMMYFUNCTION("""COMPUTED_VALUE"""),993.5)</f>
        <v>993.5</v>
      </c>
      <c r="E103" s="16">
        <f>IFERROR(__xludf.DUMMYFUNCTION("""COMPUTED_VALUE"""),45889.6458333333)</f>
        <v>45889.6458333333</v>
      </c>
      <c r="F103" s="17">
        <f>IFERROR(__xludf.DUMMYFUNCTION("""COMPUTED_VALUE"""),4975114)</f>
        <v>4975114</v>
      </c>
      <c r="G103" s="16">
        <f>IFERROR(__xludf.DUMMYFUNCTION("""COMPUTED_VALUE"""),45889.6458333333)</f>
        <v>45889.6458333333</v>
      </c>
      <c r="H103" s="17">
        <f>IFERROR(__xludf.DUMMYFUNCTION("""COMPUTED_VALUE"""),996)</f>
        <v>996</v>
      </c>
      <c r="I103" s="16">
        <f>IFERROR(__xludf.DUMMYFUNCTION("""COMPUTED_VALUE"""),45889.6458333333)</f>
        <v>45889.6458333333</v>
      </c>
      <c r="J103" s="17">
        <f>IFERROR(__xludf.DUMMYFUNCTION("""COMPUTED_VALUE"""),989.5)</f>
        <v>989.5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IFERROR(__xludf.DUMMYFUNCTION("""COMPUTED_VALUE"""),995.6)</f>
        <v>995.6</v>
      </c>
      <c r="C104" s="16">
        <f>IFERROR(__xludf.DUMMYFUNCTION("""COMPUTED_VALUE"""),45890.6458333333)</f>
        <v>45890.6458333333</v>
      </c>
      <c r="D104" s="17">
        <f>IFERROR(__xludf.DUMMYFUNCTION("""COMPUTED_VALUE"""),998.75)</f>
        <v>998.75</v>
      </c>
      <c r="E104" s="16">
        <f>IFERROR(__xludf.DUMMYFUNCTION("""COMPUTED_VALUE"""),45890.6458333333)</f>
        <v>45890.6458333333</v>
      </c>
      <c r="F104" s="17">
        <f>IFERROR(__xludf.DUMMYFUNCTION("""COMPUTED_VALUE"""),6219925)</f>
        <v>6219925</v>
      </c>
      <c r="G104" s="16">
        <f>IFERROR(__xludf.DUMMYFUNCTION("""COMPUTED_VALUE"""),45890.6458333333)</f>
        <v>45890.6458333333</v>
      </c>
      <c r="H104" s="17">
        <f>IFERROR(__xludf.DUMMYFUNCTION("""COMPUTED_VALUE"""),998.75)</f>
        <v>998.75</v>
      </c>
      <c r="I104" s="16">
        <f>IFERROR(__xludf.DUMMYFUNCTION("""COMPUTED_VALUE"""),45890.6458333333)</f>
        <v>45890.6458333333</v>
      </c>
      <c r="J104" s="17">
        <f>IFERROR(__xludf.DUMMYFUNCTION("""COMPUTED_VALUE"""),991.6)</f>
        <v>991.6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IFERROR(__xludf.DUMMYFUNCTION("""COMPUTED_VALUE"""),982.3)</f>
        <v>982.3</v>
      </c>
      <c r="C105" s="16">
        <f>IFERROR(__xludf.DUMMYFUNCTION("""COMPUTED_VALUE"""),45891.6458333333)</f>
        <v>45891.6458333333</v>
      </c>
      <c r="D105" s="17">
        <f>IFERROR(__xludf.DUMMYFUNCTION("""COMPUTED_VALUE"""),994.95)</f>
        <v>994.95</v>
      </c>
      <c r="E105" s="16">
        <f>IFERROR(__xludf.DUMMYFUNCTION("""COMPUTED_VALUE"""),45891.6458333333)</f>
        <v>45891.6458333333</v>
      </c>
      <c r="F105" s="17">
        <f>IFERROR(__xludf.DUMMYFUNCTION("""COMPUTED_VALUE"""),9916751)</f>
        <v>9916751</v>
      </c>
      <c r="G105" s="16">
        <f>IFERROR(__xludf.DUMMYFUNCTION("""COMPUTED_VALUE"""),45891.6458333333)</f>
        <v>45891.6458333333</v>
      </c>
      <c r="H105" s="17">
        <f>IFERROR(__xludf.DUMMYFUNCTION("""COMPUTED_VALUE"""),998)</f>
        <v>998</v>
      </c>
      <c r="I105" s="16">
        <f>IFERROR(__xludf.DUMMYFUNCTION("""COMPUTED_VALUE"""),45891.6458333333)</f>
        <v>45891.6458333333</v>
      </c>
      <c r="J105" s="17">
        <f>IFERROR(__xludf.DUMMYFUNCTION("""COMPUTED_VALUE"""),978.55)</f>
        <v>978.55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IFERROR(__xludf.DUMMYFUNCTION("""COMPUTED_VALUE"""),982.05)</f>
        <v>982.05</v>
      </c>
      <c r="C106" s="16">
        <f>IFERROR(__xludf.DUMMYFUNCTION("""COMPUTED_VALUE"""),45894.6458333333)</f>
        <v>45894.6458333333</v>
      </c>
      <c r="D106" s="17">
        <f>IFERROR(__xludf.DUMMYFUNCTION("""COMPUTED_VALUE"""),980.1)</f>
        <v>980.1</v>
      </c>
      <c r="E106" s="16">
        <f>IFERROR(__xludf.DUMMYFUNCTION("""COMPUTED_VALUE"""),45894.6458333333)</f>
        <v>45894.6458333333</v>
      </c>
      <c r="F106" s="17">
        <f>IFERROR(__xludf.DUMMYFUNCTION("""COMPUTED_VALUE"""),8759022)</f>
        <v>8759022</v>
      </c>
      <c r="G106" s="16">
        <f>IFERROR(__xludf.DUMMYFUNCTION("""COMPUTED_VALUE"""),45894.6458333333)</f>
        <v>45894.6458333333</v>
      </c>
      <c r="H106" s="17">
        <f>IFERROR(__xludf.DUMMYFUNCTION("""COMPUTED_VALUE"""),988.7)</f>
        <v>988.7</v>
      </c>
      <c r="I106" s="16">
        <f>IFERROR(__xludf.DUMMYFUNCTION("""COMPUTED_VALUE"""),45894.6458333333)</f>
        <v>45894.6458333333</v>
      </c>
      <c r="J106" s="17">
        <f>IFERROR(__xludf.DUMMYFUNCTION("""COMPUTED_VALUE"""),978.5)</f>
        <v>978.5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IFERROR(__xludf.DUMMYFUNCTION("""COMPUTED_VALUE"""),973.4)</f>
        <v>973.4</v>
      </c>
      <c r="C107" s="16">
        <f>IFERROR(__xludf.DUMMYFUNCTION("""COMPUTED_VALUE"""),45895.6458333333)</f>
        <v>45895.6458333333</v>
      </c>
      <c r="D107" s="17">
        <f>IFERROR(__xludf.DUMMYFUNCTION("""COMPUTED_VALUE"""),979.5)</f>
        <v>979.5</v>
      </c>
      <c r="E107" s="16">
        <f>IFERROR(__xludf.DUMMYFUNCTION("""COMPUTED_VALUE"""),45895.6458333333)</f>
        <v>45895.6458333333</v>
      </c>
      <c r="F107" s="17">
        <f>IFERROR(__xludf.DUMMYFUNCTION("""COMPUTED_VALUE"""),16917731)</f>
        <v>16917731</v>
      </c>
      <c r="G107" s="16">
        <f>IFERROR(__xludf.DUMMYFUNCTION("""COMPUTED_VALUE"""),45895.6458333333)</f>
        <v>45895.6458333333</v>
      </c>
      <c r="H107" s="17">
        <f>IFERROR(__xludf.DUMMYFUNCTION("""COMPUTED_VALUE"""),985.7)</f>
        <v>985.7</v>
      </c>
      <c r="I107" s="16">
        <f>IFERROR(__xludf.DUMMYFUNCTION("""COMPUTED_VALUE"""),45895.6458333333)</f>
        <v>45895.6458333333</v>
      </c>
      <c r="J107" s="17">
        <f>IFERROR(__xludf.DUMMYFUNCTION("""COMPUTED_VALUE"""),968)</f>
        <v>968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IFERROR(__xludf.DUMMYFUNCTION("""COMPUTED_VALUE"""),957.8)</f>
        <v>957.8</v>
      </c>
      <c r="C108" s="16">
        <f>IFERROR(__xludf.DUMMYFUNCTION("""COMPUTED_VALUE"""),45897.6458333333)</f>
        <v>45897.6458333333</v>
      </c>
      <c r="D108" s="17">
        <f>IFERROR(__xludf.DUMMYFUNCTION("""COMPUTED_VALUE"""),967)</f>
        <v>967</v>
      </c>
      <c r="E108" s="16">
        <f>IFERROR(__xludf.DUMMYFUNCTION("""COMPUTED_VALUE"""),45897.6458333333)</f>
        <v>45897.6458333333</v>
      </c>
      <c r="F108" s="17">
        <f>IFERROR(__xludf.DUMMYFUNCTION("""COMPUTED_VALUE"""),25438255)</f>
        <v>25438255</v>
      </c>
      <c r="G108" s="16">
        <f>IFERROR(__xludf.DUMMYFUNCTION("""COMPUTED_VALUE"""),45897.6458333333)</f>
        <v>45897.6458333333</v>
      </c>
      <c r="H108" s="17">
        <f>IFERROR(__xludf.DUMMYFUNCTION("""COMPUTED_VALUE"""),972.2)</f>
        <v>972.2</v>
      </c>
      <c r="I108" s="16">
        <f>IFERROR(__xludf.DUMMYFUNCTION("""COMPUTED_VALUE"""),45897.6458333333)</f>
        <v>45897.6458333333</v>
      </c>
      <c r="J108" s="17">
        <f>IFERROR(__xludf.DUMMYFUNCTION("""COMPUTED_VALUE"""),955)</f>
        <v>955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IFERROR(__xludf.DUMMYFUNCTION("""COMPUTED_VALUE"""),951.6)</f>
        <v>951.6</v>
      </c>
      <c r="C109" s="16">
        <f>IFERROR(__xludf.DUMMYFUNCTION("""COMPUTED_VALUE"""),45898.6458333333)</f>
        <v>45898.6458333333</v>
      </c>
      <c r="D109" s="17">
        <f>IFERROR(__xludf.DUMMYFUNCTION("""COMPUTED_VALUE"""),954)</f>
        <v>954</v>
      </c>
      <c r="E109" s="16">
        <f>IFERROR(__xludf.DUMMYFUNCTION("""COMPUTED_VALUE"""),45898.6458333333)</f>
        <v>45898.6458333333</v>
      </c>
      <c r="F109" s="17">
        <f>IFERROR(__xludf.DUMMYFUNCTION("""COMPUTED_VALUE"""),14823813)</f>
        <v>14823813</v>
      </c>
      <c r="G109" s="16">
        <f>IFERROR(__xludf.DUMMYFUNCTION("""COMPUTED_VALUE"""),45898.6458333333)</f>
        <v>45898.6458333333</v>
      </c>
      <c r="H109" s="17">
        <f>IFERROR(__xludf.DUMMYFUNCTION("""COMPUTED_VALUE"""),963.3)</f>
        <v>963.3</v>
      </c>
      <c r="I109" s="16">
        <f>IFERROR(__xludf.DUMMYFUNCTION("""COMPUTED_VALUE"""),45898.6458333333)</f>
        <v>45898.6458333333</v>
      </c>
      <c r="J109" s="17">
        <f>IFERROR(__xludf.DUMMYFUNCTION("""COMPUTED_VALUE"""),950.1)</f>
        <v>950.1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IFERROR(__xludf.DUMMYFUNCTION("""COMPUTED_VALUE"""),950.6)</f>
        <v>950.6</v>
      </c>
      <c r="C110" s="16">
        <f>IFERROR(__xludf.DUMMYFUNCTION("""COMPUTED_VALUE"""),45901.6458333333)</f>
        <v>45901.6458333333</v>
      </c>
      <c r="D110" s="17">
        <f>IFERROR(__xludf.DUMMYFUNCTION("""COMPUTED_VALUE"""),949.6)</f>
        <v>949.6</v>
      </c>
      <c r="E110" s="16">
        <f>IFERROR(__xludf.DUMMYFUNCTION("""COMPUTED_VALUE"""),45901.6458333333)</f>
        <v>45901.6458333333</v>
      </c>
      <c r="F110" s="17">
        <f>IFERROR(__xludf.DUMMYFUNCTION("""COMPUTED_VALUE"""),20178344)</f>
        <v>20178344</v>
      </c>
      <c r="G110" s="16">
        <f>IFERROR(__xludf.DUMMYFUNCTION("""COMPUTED_VALUE"""),45901.6458333333)</f>
        <v>45901.6458333333</v>
      </c>
      <c r="H110" s="17">
        <f>IFERROR(__xludf.DUMMYFUNCTION("""COMPUTED_VALUE"""),957.45)</f>
        <v>957.45</v>
      </c>
      <c r="I110" s="16">
        <f>IFERROR(__xludf.DUMMYFUNCTION("""COMPUTED_VALUE"""),45901.6458333333)</f>
        <v>45901.6458333333</v>
      </c>
      <c r="J110" s="17">
        <f>IFERROR(__xludf.DUMMYFUNCTION("""COMPUTED_VALUE"""),946.35)</f>
        <v>946.35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IFERROR(__xludf.DUMMYFUNCTION("""COMPUTED_VALUE"""),944.5)</f>
        <v>944.5</v>
      </c>
      <c r="C111" s="16">
        <f>IFERROR(__xludf.DUMMYFUNCTION("""COMPUTED_VALUE"""),45902.6458333333)</f>
        <v>45902.6458333333</v>
      </c>
      <c r="D111" s="17">
        <f>IFERROR(__xludf.DUMMYFUNCTION("""COMPUTED_VALUE"""),951)</f>
        <v>951</v>
      </c>
      <c r="E111" s="16">
        <f>IFERROR(__xludf.DUMMYFUNCTION("""COMPUTED_VALUE"""),45902.6458333333)</f>
        <v>45902.6458333333</v>
      </c>
      <c r="F111" s="17">
        <f>IFERROR(__xludf.DUMMYFUNCTION("""COMPUTED_VALUE"""),14196320)</f>
        <v>14196320</v>
      </c>
      <c r="G111" s="16">
        <f>IFERROR(__xludf.DUMMYFUNCTION("""COMPUTED_VALUE"""),45902.6458333333)</f>
        <v>45902.6458333333</v>
      </c>
      <c r="H111" s="17">
        <f>IFERROR(__xludf.DUMMYFUNCTION("""COMPUTED_VALUE"""),954.8)</f>
        <v>954.8</v>
      </c>
      <c r="I111" s="16">
        <f>IFERROR(__xludf.DUMMYFUNCTION("""COMPUTED_VALUE"""),45902.6458333333)</f>
        <v>45902.6458333333</v>
      </c>
      <c r="J111" s="17">
        <f>IFERROR(__xludf.DUMMYFUNCTION("""COMPUTED_VALUE"""),944)</f>
        <v>944</v>
      </c>
      <c r="K111" s="3">
        <f t="shared" si="2"/>
        <v>0</v>
      </c>
      <c r="L111" s="3">
        <f t="shared" si="3"/>
        <v>944.5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IFERROR(__xludf.DUMMYFUNCTION("""COMPUTED_VALUE"""),954.45)</f>
        <v>954.45</v>
      </c>
      <c r="C112" s="16">
        <f>IFERROR(__xludf.DUMMYFUNCTION("""COMPUTED_VALUE"""),45903.6458333333)</f>
        <v>45903.6458333333</v>
      </c>
      <c r="D112" s="17">
        <f>IFERROR(__xludf.DUMMYFUNCTION("""COMPUTED_VALUE"""),945)</f>
        <v>945</v>
      </c>
      <c r="E112" s="16">
        <f>IFERROR(__xludf.DUMMYFUNCTION("""COMPUTED_VALUE"""),45903.6458333333)</f>
        <v>45903.6458333333</v>
      </c>
      <c r="F112" s="17">
        <f>IFERROR(__xludf.DUMMYFUNCTION("""COMPUTED_VALUE"""),16083481)</f>
        <v>16083481</v>
      </c>
      <c r="G112" s="16">
        <f>IFERROR(__xludf.DUMMYFUNCTION("""COMPUTED_VALUE"""),45903.6458333333)</f>
        <v>45903.6458333333</v>
      </c>
      <c r="H112" s="17">
        <f>IFERROR(__xludf.DUMMYFUNCTION("""COMPUTED_VALUE"""),956.3)</f>
        <v>956.3</v>
      </c>
      <c r="I112" s="16">
        <f>IFERROR(__xludf.DUMMYFUNCTION("""COMPUTED_VALUE"""),45903.6458333333)</f>
        <v>45903.6458333333</v>
      </c>
      <c r="J112" s="17">
        <f>IFERROR(__xludf.DUMMYFUNCTION("""COMPUTED_VALUE"""),940)</f>
        <v>940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IFERROR(__xludf.DUMMYFUNCTION("""COMPUTED_VALUE"""),961.25)</f>
        <v>961.25</v>
      </c>
      <c r="C113" s="16">
        <f>IFERROR(__xludf.DUMMYFUNCTION("""COMPUTED_VALUE"""),45904.6458333333)</f>
        <v>45904.6458333333</v>
      </c>
      <c r="D113" s="17">
        <f>IFERROR(__xludf.DUMMYFUNCTION("""COMPUTED_VALUE"""),960.2)</f>
        <v>960.2</v>
      </c>
      <c r="E113" s="16">
        <f>IFERROR(__xludf.DUMMYFUNCTION("""COMPUTED_VALUE"""),45904.6458333333)</f>
        <v>45904.6458333333</v>
      </c>
      <c r="F113" s="17">
        <f>IFERROR(__xludf.DUMMYFUNCTION("""COMPUTED_VALUE"""),17597657)</f>
        <v>17597657</v>
      </c>
      <c r="G113" s="16">
        <f>IFERROR(__xludf.DUMMYFUNCTION("""COMPUTED_VALUE"""),45904.6458333333)</f>
        <v>45904.6458333333</v>
      </c>
      <c r="H113" s="17">
        <f>IFERROR(__xludf.DUMMYFUNCTION("""COMPUTED_VALUE"""),965.7)</f>
        <v>965.7</v>
      </c>
      <c r="I113" s="16">
        <f>IFERROR(__xludf.DUMMYFUNCTION("""COMPUTED_VALUE"""),45904.6458333333)</f>
        <v>45904.6458333333</v>
      </c>
      <c r="J113" s="17">
        <f>IFERROR(__xludf.DUMMYFUNCTION("""COMPUTED_VALUE"""),956.25)</f>
        <v>956.25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IFERROR(__xludf.DUMMYFUNCTION("""COMPUTED_VALUE"""),963.4)</f>
        <v>963.4</v>
      </c>
      <c r="C114" s="16">
        <f>IFERROR(__xludf.DUMMYFUNCTION("""COMPUTED_VALUE"""),45905.6458333333)</f>
        <v>45905.6458333333</v>
      </c>
      <c r="D114" s="17">
        <f>IFERROR(__xludf.DUMMYFUNCTION("""COMPUTED_VALUE"""),967.5)</f>
        <v>967.5</v>
      </c>
      <c r="E114" s="16">
        <f>IFERROR(__xludf.DUMMYFUNCTION("""COMPUTED_VALUE"""),45905.6458333333)</f>
        <v>45905.6458333333</v>
      </c>
      <c r="F114" s="17">
        <f>IFERROR(__xludf.DUMMYFUNCTION("""COMPUTED_VALUE"""),11602111)</f>
        <v>11602111</v>
      </c>
      <c r="G114" s="16">
        <f>IFERROR(__xludf.DUMMYFUNCTION("""COMPUTED_VALUE"""),45905.6458333333)</f>
        <v>45905.6458333333</v>
      </c>
      <c r="H114" s="17">
        <f>IFERROR(__xludf.DUMMYFUNCTION("""COMPUTED_VALUE"""),967.5)</f>
        <v>967.5</v>
      </c>
      <c r="I114" s="16">
        <f>IFERROR(__xludf.DUMMYFUNCTION("""COMPUTED_VALUE"""),45905.6458333333)</f>
        <v>45905.6458333333</v>
      </c>
      <c r="J114" s="17">
        <f>IFERROR(__xludf.DUMMYFUNCTION("""COMPUTED_VALUE"""),954.05)</f>
        <v>954.05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IFERROR(__xludf.DUMMYFUNCTION("""COMPUTED_VALUE"""),966)</f>
        <v>966</v>
      </c>
      <c r="C115" s="16">
        <f>IFERROR(__xludf.DUMMYFUNCTION("""COMPUTED_VALUE"""),45908.6458333333)</f>
        <v>45908.6458333333</v>
      </c>
      <c r="D115" s="17">
        <f>IFERROR(__xludf.DUMMYFUNCTION("""COMPUTED_VALUE"""),969)</f>
        <v>969</v>
      </c>
      <c r="E115" s="16">
        <f>IFERROR(__xludf.DUMMYFUNCTION("""COMPUTED_VALUE"""),45908.6458333333)</f>
        <v>45908.6458333333</v>
      </c>
      <c r="F115" s="17">
        <f>IFERROR(__xludf.DUMMYFUNCTION("""COMPUTED_VALUE"""),11711307)</f>
        <v>11711307</v>
      </c>
      <c r="G115" s="16">
        <f>IFERROR(__xludf.DUMMYFUNCTION("""COMPUTED_VALUE"""),45908.6458333333)</f>
        <v>45908.6458333333</v>
      </c>
      <c r="H115" s="17">
        <f>IFERROR(__xludf.DUMMYFUNCTION("""COMPUTED_VALUE"""),973.15)</f>
        <v>973.15</v>
      </c>
      <c r="I115" s="16">
        <f>IFERROR(__xludf.DUMMYFUNCTION("""COMPUTED_VALUE"""),45908.6458333333)</f>
        <v>45908.6458333333</v>
      </c>
      <c r="J115" s="17">
        <f>IFERROR(__xludf.DUMMYFUNCTION("""COMPUTED_VALUE"""),960.45)</f>
        <v>960.45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IFERROR(__xludf.DUMMYFUNCTION("""COMPUTED_VALUE"""),965.15)</f>
        <v>965.15</v>
      </c>
      <c r="C116" s="16">
        <f>IFERROR(__xludf.DUMMYFUNCTION("""COMPUTED_VALUE"""),45909.6458333333)</f>
        <v>45909.6458333333</v>
      </c>
      <c r="D116" s="17">
        <f>IFERROR(__xludf.DUMMYFUNCTION("""COMPUTED_VALUE"""),974)</f>
        <v>974</v>
      </c>
      <c r="E116" s="16">
        <f>IFERROR(__xludf.DUMMYFUNCTION("""COMPUTED_VALUE"""),45909.6458333333)</f>
        <v>45909.6458333333</v>
      </c>
      <c r="F116" s="17">
        <f>IFERROR(__xludf.DUMMYFUNCTION("""COMPUTED_VALUE"""),13985539)</f>
        <v>13985539</v>
      </c>
      <c r="G116" s="16">
        <f>IFERROR(__xludf.DUMMYFUNCTION("""COMPUTED_VALUE"""),45909.6458333333)</f>
        <v>45909.6458333333</v>
      </c>
      <c r="H116" s="17">
        <f>IFERROR(__xludf.DUMMYFUNCTION("""COMPUTED_VALUE"""),974.4)</f>
        <v>974.4</v>
      </c>
      <c r="I116" s="16">
        <f>IFERROR(__xludf.DUMMYFUNCTION("""COMPUTED_VALUE"""),45909.6458333333)</f>
        <v>45909.6458333333</v>
      </c>
      <c r="J116" s="17">
        <f>IFERROR(__xludf.DUMMYFUNCTION("""COMPUTED_VALUE"""),962.7)</f>
        <v>962.7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IFERROR(__xludf.DUMMYFUNCTION("""COMPUTED_VALUE"""),965.9)</f>
        <v>965.9</v>
      </c>
      <c r="C117" s="16">
        <f>IFERROR(__xludf.DUMMYFUNCTION("""COMPUTED_VALUE"""),45910.6458333333)</f>
        <v>45910.6458333333</v>
      </c>
      <c r="D117" s="17">
        <f>IFERROR(__xludf.DUMMYFUNCTION("""COMPUTED_VALUE"""),973.9)</f>
        <v>973.9</v>
      </c>
      <c r="E117" s="16">
        <f>IFERROR(__xludf.DUMMYFUNCTION("""COMPUTED_VALUE"""),45910.6458333333)</f>
        <v>45910.6458333333</v>
      </c>
      <c r="F117" s="17">
        <f>IFERROR(__xludf.DUMMYFUNCTION("""COMPUTED_VALUE"""),18091100)</f>
        <v>18091100</v>
      </c>
      <c r="G117" s="16">
        <f>IFERROR(__xludf.DUMMYFUNCTION("""COMPUTED_VALUE"""),45910.6458333333)</f>
        <v>45910.6458333333</v>
      </c>
      <c r="H117" s="17">
        <f>IFERROR(__xludf.DUMMYFUNCTION("""COMPUTED_VALUE"""),973.9)</f>
        <v>973.9</v>
      </c>
      <c r="I117" s="16">
        <f>IFERROR(__xludf.DUMMYFUNCTION("""COMPUTED_VALUE"""),45910.6458333333)</f>
        <v>45910.6458333333</v>
      </c>
      <c r="J117" s="17">
        <f>IFERROR(__xludf.DUMMYFUNCTION("""COMPUTED_VALUE"""),961.7)</f>
        <v>961.7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IFERROR(__xludf.DUMMYFUNCTION("""COMPUTED_VALUE"""),967.8)</f>
        <v>967.8</v>
      </c>
      <c r="C118" s="16">
        <f>IFERROR(__xludf.DUMMYFUNCTION("""COMPUTED_VALUE"""),45911.6458333333)</f>
        <v>45911.6458333333</v>
      </c>
      <c r="D118" s="17">
        <f>IFERROR(__xludf.DUMMYFUNCTION("""COMPUTED_VALUE"""),960.3)</f>
        <v>960.3</v>
      </c>
      <c r="E118" s="16">
        <f>IFERROR(__xludf.DUMMYFUNCTION("""COMPUTED_VALUE"""),45911.6458333333)</f>
        <v>45911.6458333333</v>
      </c>
      <c r="F118" s="17">
        <f>IFERROR(__xludf.DUMMYFUNCTION("""COMPUTED_VALUE"""),15113633)</f>
        <v>15113633</v>
      </c>
      <c r="G118" s="16">
        <f>IFERROR(__xludf.DUMMYFUNCTION("""COMPUTED_VALUE"""),45911.6458333333)</f>
        <v>45911.6458333333</v>
      </c>
      <c r="H118" s="17">
        <f>IFERROR(__xludf.DUMMYFUNCTION("""COMPUTED_VALUE"""),969.25)</f>
        <v>969.25</v>
      </c>
      <c r="I118" s="16">
        <f>IFERROR(__xludf.DUMMYFUNCTION("""COMPUTED_VALUE"""),45911.6458333333)</f>
        <v>45911.6458333333</v>
      </c>
      <c r="J118" s="17">
        <f>IFERROR(__xludf.DUMMYFUNCTION("""COMPUTED_VALUE"""),959.9)</f>
        <v>959.9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IFERROR(__xludf.DUMMYFUNCTION("""COMPUTED_VALUE"""),967.3)</f>
        <v>967.3</v>
      </c>
      <c r="C119" s="16">
        <f>IFERROR(__xludf.DUMMYFUNCTION("""COMPUTED_VALUE"""),45912.6458333333)</f>
        <v>45912.6458333333</v>
      </c>
      <c r="D119" s="17">
        <f>IFERROR(__xludf.DUMMYFUNCTION("""COMPUTED_VALUE"""),969.9)</f>
        <v>969.9</v>
      </c>
      <c r="E119" s="16">
        <f>IFERROR(__xludf.DUMMYFUNCTION("""COMPUTED_VALUE"""),45912.6458333333)</f>
        <v>45912.6458333333</v>
      </c>
      <c r="F119" s="17">
        <f>IFERROR(__xludf.DUMMYFUNCTION("""COMPUTED_VALUE"""),14363519)</f>
        <v>14363519</v>
      </c>
      <c r="G119" s="16">
        <f>IFERROR(__xludf.DUMMYFUNCTION("""COMPUTED_VALUE"""),45912.6458333333)</f>
        <v>45912.6458333333</v>
      </c>
      <c r="H119" s="17">
        <f>IFERROR(__xludf.DUMMYFUNCTION("""COMPUTED_VALUE"""),970.75)</f>
        <v>970.75</v>
      </c>
      <c r="I119" s="16">
        <f>IFERROR(__xludf.DUMMYFUNCTION("""COMPUTED_VALUE"""),45912.6458333333)</f>
        <v>45912.6458333333</v>
      </c>
      <c r="J119" s="17">
        <f>IFERROR(__xludf.DUMMYFUNCTION("""COMPUTED_VALUE"""),962.25)</f>
        <v>962.25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IFERROR(__xludf.DUMMYFUNCTION("""COMPUTED_VALUE"""),967.05)</f>
        <v>967.05</v>
      </c>
      <c r="C120" s="16">
        <f>IFERROR(__xludf.DUMMYFUNCTION("""COMPUTED_VALUE"""),45915.6458333333)</f>
        <v>45915.6458333333</v>
      </c>
      <c r="D120" s="17">
        <f>IFERROR(__xludf.DUMMYFUNCTION("""COMPUTED_VALUE"""),969.6)</f>
        <v>969.6</v>
      </c>
      <c r="E120" s="16">
        <f>IFERROR(__xludf.DUMMYFUNCTION("""COMPUTED_VALUE"""),45915.6458333333)</f>
        <v>45915.6458333333</v>
      </c>
      <c r="F120" s="17">
        <f>IFERROR(__xludf.DUMMYFUNCTION("""COMPUTED_VALUE"""),14486377)</f>
        <v>14486377</v>
      </c>
      <c r="G120" s="16">
        <f>IFERROR(__xludf.DUMMYFUNCTION("""COMPUTED_VALUE"""),45915.6458333333)</f>
        <v>45915.6458333333</v>
      </c>
      <c r="H120" s="17">
        <f>IFERROR(__xludf.DUMMYFUNCTION("""COMPUTED_VALUE"""),972.35)</f>
        <v>972.35</v>
      </c>
      <c r="I120" s="16">
        <f>IFERROR(__xludf.DUMMYFUNCTION("""COMPUTED_VALUE"""),45915.6458333333)</f>
        <v>45915.6458333333</v>
      </c>
      <c r="J120" s="17">
        <f>IFERROR(__xludf.DUMMYFUNCTION("""COMPUTED_VALUE"""),965)</f>
        <v>965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IFERROR(__xludf.DUMMYFUNCTION("""COMPUTED_VALUE"""),966.85)</f>
        <v>966.85</v>
      </c>
      <c r="C121" s="16">
        <f>IFERROR(__xludf.DUMMYFUNCTION("""COMPUTED_VALUE"""),45916.6458333333)</f>
        <v>45916.6458333333</v>
      </c>
      <c r="D121" s="17">
        <f>IFERROR(__xludf.DUMMYFUNCTION("""COMPUTED_VALUE"""),961.2)</f>
        <v>961.2</v>
      </c>
      <c r="E121" s="16">
        <f>IFERROR(__xludf.DUMMYFUNCTION("""COMPUTED_VALUE"""),45916.6458333333)</f>
        <v>45916.6458333333</v>
      </c>
      <c r="F121" s="17">
        <f>IFERROR(__xludf.DUMMYFUNCTION("""COMPUTED_VALUE"""),18661794)</f>
        <v>18661794</v>
      </c>
      <c r="G121" s="16">
        <f>IFERROR(__xludf.DUMMYFUNCTION("""COMPUTED_VALUE"""),45916.6458333333)</f>
        <v>45916.6458333333</v>
      </c>
      <c r="H121" s="17">
        <f>IFERROR(__xludf.DUMMYFUNCTION("""COMPUTED_VALUE"""),969.35)</f>
        <v>969.35</v>
      </c>
      <c r="I121" s="16">
        <f>IFERROR(__xludf.DUMMYFUNCTION("""COMPUTED_VALUE"""),45916.6458333333)</f>
        <v>45916.6458333333</v>
      </c>
      <c r="J121" s="17">
        <f>IFERROR(__xludf.DUMMYFUNCTION("""COMPUTED_VALUE"""),961.2)</f>
        <v>961.2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IFERROR(__xludf.DUMMYFUNCTION("""COMPUTED_VALUE"""),966.5)</f>
        <v>966.5</v>
      </c>
      <c r="C122" s="16">
        <f>IFERROR(__xludf.DUMMYFUNCTION("""COMPUTED_VALUE"""),45917.6458333333)</f>
        <v>45917.6458333333</v>
      </c>
      <c r="D122" s="17">
        <f>IFERROR(__xludf.DUMMYFUNCTION("""COMPUTED_VALUE"""),965.15)</f>
        <v>965.15</v>
      </c>
      <c r="E122" s="16">
        <f>IFERROR(__xludf.DUMMYFUNCTION("""COMPUTED_VALUE"""),45917.6458333333)</f>
        <v>45917.6458333333</v>
      </c>
      <c r="F122" s="17">
        <f>IFERROR(__xludf.DUMMYFUNCTION("""COMPUTED_VALUE"""),17361476)</f>
        <v>17361476</v>
      </c>
      <c r="G122" s="16">
        <f>IFERROR(__xludf.DUMMYFUNCTION("""COMPUTED_VALUE"""),45917.6458333333)</f>
        <v>45917.6458333333</v>
      </c>
      <c r="H122" s="17">
        <f>IFERROR(__xludf.DUMMYFUNCTION("""COMPUTED_VALUE"""),974.4)</f>
        <v>974.4</v>
      </c>
      <c r="I122" s="16">
        <f>IFERROR(__xludf.DUMMYFUNCTION("""COMPUTED_VALUE"""),45917.6458333333)</f>
        <v>45917.6458333333</v>
      </c>
      <c r="J122" s="17">
        <f>IFERROR(__xludf.DUMMYFUNCTION("""COMPUTED_VALUE"""),964.35)</f>
        <v>964.35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IFERROR(__xludf.DUMMYFUNCTION("""COMPUTED_VALUE"""),976.9)</f>
        <v>976.9</v>
      </c>
      <c r="C123" s="16">
        <f>IFERROR(__xludf.DUMMYFUNCTION("""COMPUTED_VALUE"""),45918.6458333333)</f>
        <v>45918.6458333333</v>
      </c>
      <c r="D123" s="17">
        <f>IFERROR(__xludf.DUMMYFUNCTION("""COMPUTED_VALUE"""),973.3)</f>
        <v>973.3</v>
      </c>
      <c r="E123" s="16">
        <f>IFERROR(__xludf.DUMMYFUNCTION("""COMPUTED_VALUE"""),45918.6458333333)</f>
        <v>45918.6458333333</v>
      </c>
      <c r="F123" s="17">
        <f>IFERROR(__xludf.DUMMYFUNCTION("""COMPUTED_VALUE"""),17791598)</f>
        <v>17791598</v>
      </c>
      <c r="G123" s="16">
        <f>IFERROR(__xludf.DUMMYFUNCTION("""COMPUTED_VALUE"""),45918.6458333333)</f>
        <v>45918.6458333333</v>
      </c>
      <c r="H123" s="17">
        <f>IFERROR(__xludf.DUMMYFUNCTION("""COMPUTED_VALUE"""),979.65)</f>
        <v>979.65</v>
      </c>
      <c r="I123" s="16">
        <f>IFERROR(__xludf.DUMMYFUNCTION("""COMPUTED_VALUE"""),45918.6458333333)</f>
        <v>45918.6458333333</v>
      </c>
      <c r="J123" s="17">
        <f>IFERROR(__xludf.DUMMYFUNCTION("""COMPUTED_VALUE"""),969.25)</f>
        <v>969.25</v>
      </c>
      <c r="K123" s="3">
        <f t="shared" si="2"/>
        <v>976.9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IFERROR(__xludf.DUMMYFUNCTION("""COMPUTED_VALUE"""),966.9)</f>
        <v>966.9</v>
      </c>
      <c r="C124" s="16">
        <f>IFERROR(__xludf.DUMMYFUNCTION("""COMPUTED_VALUE"""),45919.6458333333)</f>
        <v>45919.6458333333</v>
      </c>
      <c r="D124" s="17">
        <f>IFERROR(__xludf.DUMMYFUNCTION("""COMPUTED_VALUE"""),974.9)</f>
        <v>974.9</v>
      </c>
      <c r="E124" s="16">
        <f>IFERROR(__xludf.DUMMYFUNCTION("""COMPUTED_VALUE"""),45919.6458333333)</f>
        <v>45919.6458333333</v>
      </c>
      <c r="F124" s="17">
        <f>IFERROR(__xludf.DUMMYFUNCTION("""COMPUTED_VALUE"""),31243267)</f>
        <v>31243267</v>
      </c>
      <c r="G124" s="16">
        <f>IFERROR(__xludf.DUMMYFUNCTION("""COMPUTED_VALUE"""),45919.6458333333)</f>
        <v>45919.6458333333</v>
      </c>
      <c r="H124" s="17">
        <f>IFERROR(__xludf.DUMMYFUNCTION("""COMPUTED_VALUE"""),976.7)</f>
        <v>976.7</v>
      </c>
      <c r="I124" s="16">
        <f>IFERROR(__xludf.DUMMYFUNCTION("""COMPUTED_VALUE"""),45919.6458333333)</f>
        <v>45919.6458333333</v>
      </c>
      <c r="J124" s="17">
        <f>IFERROR(__xludf.DUMMYFUNCTION("""COMPUTED_VALUE"""),962.1)</f>
        <v>962.1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IFERROR(__xludf.DUMMYFUNCTION("""COMPUTED_VALUE"""),964.2)</f>
        <v>964.2</v>
      </c>
      <c r="C125" s="16">
        <f>IFERROR(__xludf.DUMMYFUNCTION("""COMPUTED_VALUE"""),45922.6458333333)</f>
        <v>45922.6458333333</v>
      </c>
      <c r="D125" s="17">
        <f>IFERROR(__xludf.DUMMYFUNCTION("""COMPUTED_VALUE"""),964)</f>
        <v>964</v>
      </c>
      <c r="E125" s="16">
        <f>IFERROR(__xludf.DUMMYFUNCTION("""COMPUTED_VALUE"""),45922.6458333333)</f>
        <v>45922.6458333333</v>
      </c>
      <c r="F125" s="17">
        <f>IFERROR(__xludf.DUMMYFUNCTION("""COMPUTED_VALUE"""),10854415)</f>
        <v>10854415</v>
      </c>
      <c r="G125" s="16">
        <f>IFERROR(__xludf.DUMMYFUNCTION("""COMPUTED_VALUE"""),45922.6458333333)</f>
        <v>45922.6458333333</v>
      </c>
      <c r="H125" s="17">
        <f>IFERROR(__xludf.DUMMYFUNCTION("""COMPUTED_VALUE"""),971.2)</f>
        <v>971.2</v>
      </c>
      <c r="I125" s="16">
        <f>IFERROR(__xludf.DUMMYFUNCTION("""COMPUTED_VALUE"""),45922.6458333333)</f>
        <v>45922.6458333333</v>
      </c>
      <c r="J125" s="17">
        <f>IFERROR(__xludf.DUMMYFUNCTION("""COMPUTED_VALUE"""),961.95)</f>
        <v>961.95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IFERROR(__xludf.DUMMYFUNCTION("""COMPUTED_VALUE"""),957.2)</f>
        <v>957.2</v>
      </c>
      <c r="C126" s="16">
        <f>IFERROR(__xludf.DUMMYFUNCTION("""COMPUTED_VALUE"""),45923.6458333333)</f>
        <v>45923.6458333333</v>
      </c>
      <c r="D126" s="17">
        <f>IFERROR(__xludf.DUMMYFUNCTION("""COMPUTED_VALUE"""),967)</f>
        <v>967</v>
      </c>
      <c r="E126" s="16">
        <f>IFERROR(__xludf.DUMMYFUNCTION("""COMPUTED_VALUE"""),45923.6458333333)</f>
        <v>45923.6458333333</v>
      </c>
      <c r="F126" s="17">
        <f>IFERROR(__xludf.DUMMYFUNCTION("""COMPUTED_VALUE"""),21022298)</f>
        <v>21022298</v>
      </c>
      <c r="G126" s="16">
        <f>IFERROR(__xludf.DUMMYFUNCTION("""COMPUTED_VALUE"""),45923.6458333333)</f>
        <v>45923.6458333333</v>
      </c>
      <c r="H126" s="17">
        <f>IFERROR(__xludf.DUMMYFUNCTION("""COMPUTED_VALUE"""),968.2)</f>
        <v>968.2</v>
      </c>
      <c r="I126" s="16">
        <f>IFERROR(__xludf.DUMMYFUNCTION("""COMPUTED_VALUE"""),45923.6458333333)</f>
        <v>45923.6458333333</v>
      </c>
      <c r="J126" s="17">
        <f>IFERROR(__xludf.DUMMYFUNCTION("""COMPUTED_VALUE"""),955.5)</f>
        <v>955.5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IFERROR(__xludf.DUMMYFUNCTION("""COMPUTED_VALUE"""),951.05)</f>
        <v>951.05</v>
      </c>
      <c r="C127" s="16">
        <f>IFERROR(__xludf.DUMMYFUNCTION("""COMPUTED_VALUE"""),45924.6458333333)</f>
        <v>45924.6458333333</v>
      </c>
      <c r="D127" s="17">
        <f>IFERROR(__xludf.DUMMYFUNCTION("""COMPUTED_VALUE"""),952.2)</f>
        <v>952.2</v>
      </c>
      <c r="E127" s="16">
        <f>IFERROR(__xludf.DUMMYFUNCTION("""COMPUTED_VALUE"""),45924.6458333333)</f>
        <v>45924.6458333333</v>
      </c>
      <c r="F127" s="17">
        <f>IFERROR(__xludf.DUMMYFUNCTION("""COMPUTED_VALUE"""),15117220)</f>
        <v>15117220</v>
      </c>
      <c r="G127" s="16">
        <f>IFERROR(__xludf.DUMMYFUNCTION("""COMPUTED_VALUE"""),45924.6458333333)</f>
        <v>45924.6458333333</v>
      </c>
      <c r="H127" s="17">
        <f>IFERROR(__xludf.DUMMYFUNCTION("""COMPUTED_VALUE"""),956.45)</f>
        <v>956.45</v>
      </c>
      <c r="I127" s="16">
        <f>IFERROR(__xludf.DUMMYFUNCTION("""COMPUTED_VALUE"""),45924.6458333333)</f>
        <v>45924.6458333333</v>
      </c>
      <c r="J127" s="17">
        <f>IFERROR(__xludf.DUMMYFUNCTION("""COMPUTED_VALUE"""),943)</f>
        <v>943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IFERROR(__xludf.DUMMYFUNCTION("""COMPUTED_VALUE"""),949.85)</f>
        <v>949.85</v>
      </c>
      <c r="C128" s="16">
        <f>IFERROR(__xludf.DUMMYFUNCTION("""COMPUTED_VALUE"""),45925.6458333333)</f>
        <v>45925.6458333333</v>
      </c>
      <c r="D128" s="17">
        <f>IFERROR(__xludf.DUMMYFUNCTION("""COMPUTED_VALUE"""),952.5)</f>
        <v>952.5</v>
      </c>
      <c r="E128" s="16">
        <f>IFERROR(__xludf.DUMMYFUNCTION("""COMPUTED_VALUE"""),45925.6458333333)</f>
        <v>45925.6458333333</v>
      </c>
      <c r="F128" s="17">
        <f>IFERROR(__xludf.DUMMYFUNCTION("""COMPUTED_VALUE"""),31413279)</f>
        <v>31413279</v>
      </c>
      <c r="G128" s="16">
        <f>IFERROR(__xludf.DUMMYFUNCTION("""COMPUTED_VALUE"""),45925.6458333333)</f>
        <v>45925.6458333333</v>
      </c>
      <c r="H128" s="17">
        <f>IFERROR(__xludf.DUMMYFUNCTION("""COMPUTED_VALUE"""),958)</f>
        <v>958</v>
      </c>
      <c r="I128" s="16">
        <f>IFERROR(__xludf.DUMMYFUNCTION("""COMPUTED_VALUE"""),45925.6458333333)</f>
        <v>45925.6458333333</v>
      </c>
      <c r="J128" s="17">
        <f>IFERROR(__xludf.DUMMYFUNCTION("""COMPUTED_VALUE"""),947.4)</f>
        <v>947.4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IFERROR(__xludf.DUMMYFUNCTION("""COMPUTED_VALUE"""),945.05)</f>
        <v>945.05</v>
      </c>
      <c r="C129" s="47">
        <f>IFERROR(__xludf.DUMMYFUNCTION("""COMPUTED_VALUE"""),45926.6458333333)</f>
        <v>45926.6458333333</v>
      </c>
      <c r="D129" s="48">
        <f>IFERROR(__xludf.DUMMYFUNCTION("""COMPUTED_VALUE"""),945.1)</f>
        <v>945.1</v>
      </c>
      <c r="E129" s="47">
        <f>IFERROR(__xludf.DUMMYFUNCTION("""COMPUTED_VALUE"""),45926.6458333333)</f>
        <v>45926.6458333333</v>
      </c>
      <c r="F129" s="48">
        <f>IFERROR(__xludf.DUMMYFUNCTION("""COMPUTED_VALUE"""),14874656)</f>
        <v>14874656</v>
      </c>
      <c r="G129" s="47">
        <f>IFERROR(__xludf.DUMMYFUNCTION("""COMPUTED_VALUE"""),45926.6458333333)</f>
        <v>45926.6458333333</v>
      </c>
      <c r="H129" s="48">
        <f>IFERROR(__xludf.DUMMYFUNCTION("""COMPUTED_VALUE"""),951.45)</f>
        <v>951.45</v>
      </c>
      <c r="I129" s="47">
        <f>IFERROR(__xludf.DUMMYFUNCTION("""COMPUTED_VALUE"""),45926.6458333333)</f>
        <v>45926.6458333333</v>
      </c>
      <c r="J129" s="48">
        <f>IFERROR(__xludf.DUMMYFUNCTION("""COMPUTED_VALUE"""),941.3)</f>
        <v>941.3</v>
      </c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48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""price"")"),5319)</f>
        <v>5319</v>
      </c>
      <c r="I3" s="22" t="s">
        <v>269</v>
      </c>
      <c r="J3" s="23">
        <f>IFERROR(__xludf.DUMMYFUNCTION("GOOGLEFINANCE(L3, ""volume"")"),689941)</f>
        <v>689941</v>
      </c>
      <c r="K3" s="24" t="s">
        <v>270</v>
      </c>
      <c r="L3" s="25" t="str">
        <f>Mastersheet!B20</f>
        <v>NSE:HEROMOTOCO</v>
      </c>
      <c r="M3" s="26">
        <f>IFERROR(__xludf.DUMMYFUNCTION("""COMPUTED_VALUE"""),45926.6458333333)</f>
        <v>45926.6458333333</v>
      </c>
      <c r="N3" s="27">
        <f>IFERROR(__xludf.DUMMYFUNCTION("""COMPUTED_VALUE"""),5328)</f>
        <v>5328</v>
      </c>
      <c r="O3" s="26">
        <f>IFERROR(__xludf.DUMMYFUNCTION("""COMPUTED_VALUE"""),45926.6458333333)</f>
        <v>45926.6458333333</v>
      </c>
      <c r="P3" s="27">
        <f>IFERROR(__xludf.DUMMYFUNCTION("""COMPUTED_VALUE"""),5354.5)</f>
        <v>5354.5</v>
      </c>
      <c r="Q3" s="16">
        <f>IFERROR(__xludf.DUMMYFUNCTION("""COMPUTED_VALUE"""),45926.6458333333)</f>
        <v>45926.6458333333</v>
      </c>
      <c r="R3" s="17">
        <f>IFERROR(__xludf.DUMMYFUNCTION("""COMPUTED_VALUE"""),5454)</f>
        <v>5454</v>
      </c>
      <c r="S3" s="16">
        <f>IFERROR(__xludf.DUMMYFUNCTION("""COMPUTED_VALUE"""),45926.6458333333)</f>
        <v>45926.6458333333</v>
      </c>
      <c r="T3" s="17">
        <f>IFERROR(__xludf.DUMMYFUNCTION("""COMPUTED_VALUE"""),5308.5)</f>
        <v>5308.5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IFERROR(__xludf.DUMMYFUNCTION("""COMPUTED_VALUE"""),3772.05)</f>
        <v>3772.05</v>
      </c>
      <c r="C5" s="14">
        <f>IFERROR(__xludf.DUMMYFUNCTION("""COMPUTED_VALUE"""),45743.6458333333)</f>
        <v>45743.6458333333</v>
      </c>
      <c r="D5" s="15">
        <f>IFERROR(__xludf.DUMMYFUNCTION("""COMPUTED_VALUE"""),3634)</f>
        <v>3634</v>
      </c>
      <c r="E5" s="14">
        <f>IFERROR(__xludf.DUMMYFUNCTION("""COMPUTED_VALUE"""),45743.6458333333)</f>
        <v>45743.6458333333</v>
      </c>
      <c r="F5" s="15">
        <f>IFERROR(__xludf.DUMMYFUNCTION("""COMPUTED_VALUE"""),1525094)</f>
        <v>1525094</v>
      </c>
      <c r="G5" s="14">
        <f>IFERROR(__xludf.DUMMYFUNCTION("""COMPUTED_VALUE"""),45743.6458333333)</f>
        <v>45743.6458333333</v>
      </c>
      <c r="H5" s="15">
        <f>IFERROR(__xludf.DUMMYFUNCTION("""COMPUTED_VALUE"""),3789)</f>
        <v>3789</v>
      </c>
      <c r="I5" s="30">
        <f>IFERROR(__xludf.DUMMYFUNCTION("""COMPUTED_VALUE"""),45743.6458333333)</f>
        <v>45743.6458333333</v>
      </c>
      <c r="J5" s="3">
        <f>IFERROR(__xludf.DUMMYFUNCTION("""COMPUTED_VALUE"""),3610.35)</f>
        <v>3610.35</v>
      </c>
      <c r="K5" s="5"/>
      <c r="L5" s="5"/>
      <c r="M5" s="3">
        <f t="array" ref="M5">INDEX(K11:K124,MATCH(SMALL(ABS(K11:K124-H3),1),ABS(K11:K124-H3),0))</f>
        <v>5443</v>
      </c>
      <c r="N5" s="3">
        <f t="array" ref="N5">INDEX(K11:K124,MATCH(SMALL(ABS(K11:K124-H3),2),ABS(K11:K124-H3),0))</f>
        <v>5136</v>
      </c>
      <c r="O5" s="3">
        <f t="array" ref="O5">INDEX(L11:L124,MATCH(SMALL(ABS(L11:L124-H3),1),ABS(L11:L124-H3),0))</f>
        <v>5288.5</v>
      </c>
      <c r="P5" s="3">
        <f t="array" ref="P5">INDEX(L11:L124,MATCH(SMALL(ABS(L11:L124-H3),2),ABS(L11:L124-H3),0))</f>
        <v>4230.7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4519.6</v>
      </c>
      <c r="T5" s="17">
        <f ca="1">IF(AND(H3&gt;=Mastersheet!I3*S5,H3&lt;=Mastersheet!J3*S5),1,0)</f>
        <v>0</v>
      </c>
      <c r="U5" s="36">
        <f>(N3+P3)/2</f>
        <v>5341.25</v>
      </c>
      <c r="V5" s="17">
        <f>(N3+P3+R3+T3)/4</f>
        <v>5361.25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IFERROR(__xludf.DUMMYFUNCTION("""COMPUTED_VALUE"""),3722.95)</f>
        <v>3722.95</v>
      </c>
      <c r="C6" s="16">
        <f>IFERROR(__xludf.DUMMYFUNCTION("""COMPUTED_VALUE"""),45744.6458333333)</f>
        <v>45744.6458333333</v>
      </c>
      <c r="D6" s="17">
        <f>IFERROR(__xludf.DUMMYFUNCTION("""COMPUTED_VALUE"""),3779)</f>
        <v>3779</v>
      </c>
      <c r="E6" s="16">
        <f>IFERROR(__xludf.DUMMYFUNCTION("""COMPUTED_VALUE"""),45744.6458333333)</f>
        <v>45744.6458333333</v>
      </c>
      <c r="F6" s="17">
        <f>IFERROR(__xludf.DUMMYFUNCTION("""COMPUTED_VALUE"""),509889)</f>
        <v>509889</v>
      </c>
      <c r="G6" s="16">
        <f>IFERROR(__xludf.DUMMYFUNCTION("""COMPUTED_VALUE"""),45744.6458333333)</f>
        <v>45744.6458333333</v>
      </c>
      <c r="H6" s="17">
        <f>IFERROR(__xludf.DUMMYFUNCTION("""COMPUTED_VALUE"""),3808.75)</f>
        <v>3808.75</v>
      </c>
      <c r="I6" s="16">
        <f>IFERROR(__xludf.DUMMYFUNCTION("""COMPUTED_VALUE"""),45744.6458333333)</f>
        <v>45744.6458333333</v>
      </c>
      <c r="J6" s="17">
        <f>IFERROR(__xludf.DUMMYFUNCTION("""COMPUTED_VALUE"""),3707.35)</f>
        <v>3707.35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IFERROR(__xludf.DUMMYFUNCTION("""COMPUTED_VALUE"""),3762.05)</f>
        <v>3762.05</v>
      </c>
      <c r="C7" s="16">
        <f>IFERROR(__xludf.DUMMYFUNCTION("""COMPUTED_VALUE"""),45748.6458333333)</f>
        <v>45748.6458333333</v>
      </c>
      <c r="D7" s="17">
        <f>IFERROR(__xludf.DUMMYFUNCTION("""COMPUTED_VALUE"""),3707.35)</f>
        <v>3707.35</v>
      </c>
      <c r="E7" s="16">
        <f>IFERROR(__xludf.DUMMYFUNCTION("""COMPUTED_VALUE"""),45748.6458333333)</f>
        <v>45748.6458333333</v>
      </c>
      <c r="F7" s="17">
        <f>IFERROR(__xludf.DUMMYFUNCTION("""COMPUTED_VALUE"""),506307)</f>
        <v>506307</v>
      </c>
      <c r="G7" s="16">
        <f>IFERROR(__xludf.DUMMYFUNCTION("""COMPUTED_VALUE"""),45748.6458333333)</f>
        <v>45748.6458333333</v>
      </c>
      <c r="H7" s="17">
        <f>IFERROR(__xludf.DUMMYFUNCTION("""COMPUTED_VALUE"""),3816.6)</f>
        <v>3816.6</v>
      </c>
      <c r="I7" s="16">
        <f>IFERROR(__xludf.DUMMYFUNCTION("""COMPUTED_VALUE"""),45748.6458333333)</f>
        <v>45748.6458333333</v>
      </c>
      <c r="J7" s="17">
        <f>IFERROR(__xludf.DUMMYFUNCTION("""COMPUTED_VALUE"""),3707.35)</f>
        <v>3707.35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IFERROR(__xludf.DUMMYFUNCTION("""COMPUTED_VALUE"""),3783.95)</f>
        <v>3783.95</v>
      </c>
      <c r="C8" s="16">
        <f>IFERROR(__xludf.DUMMYFUNCTION("""COMPUTED_VALUE"""),45749.6458333333)</f>
        <v>45749.6458333333</v>
      </c>
      <c r="D8" s="17">
        <f>IFERROR(__xludf.DUMMYFUNCTION("""COMPUTED_VALUE"""),3770)</f>
        <v>3770</v>
      </c>
      <c r="E8" s="16">
        <f>IFERROR(__xludf.DUMMYFUNCTION("""COMPUTED_VALUE"""),45749.6458333333)</f>
        <v>45749.6458333333</v>
      </c>
      <c r="F8" s="17">
        <f>IFERROR(__xludf.DUMMYFUNCTION("""COMPUTED_VALUE"""),321687)</f>
        <v>321687</v>
      </c>
      <c r="G8" s="16">
        <f>IFERROR(__xludf.DUMMYFUNCTION("""COMPUTED_VALUE"""),45749.6458333333)</f>
        <v>45749.6458333333</v>
      </c>
      <c r="H8" s="17">
        <f>IFERROR(__xludf.DUMMYFUNCTION("""COMPUTED_VALUE"""),3789.8)</f>
        <v>3789.8</v>
      </c>
      <c r="I8" s="16">
        <f>IFERROR(__xludf.DUMMYFUNCTION("""COMPUTED_VALUE"""),45749.6458333333)</f>
        <v>45749.6458333333</v>
      </c>
      <c r="J8" s="17">
        <f>IFERROR(__xludf.DUMMYFUNCTION("""COMPUTED_VALUE"""),3732.9)</f>
        <v>3732.9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IFERROR(__xludf.DUMMYFUNCTION("""COMPUTED_VALUE"""),3753.35)</f>
        <v>3753.35</v>
      </c>
      <c r="C9" s="16">
        <f>IFERROR(__xludf.DUMMYFUNCTION("""COMPUTED_VALUE"""),45750.6458333333)</f>
        <v>45750.6458333333</v>
      </c>
      <c r="D9" s="17">
        <f>IFERROR(__xludf.DUMMYFUNCTION("""COMPUTED_VALUE"""),3780)</f>
        <v>3780</v>
      </c>
      <c r="E9" s="16">
        <f>IFERROR(__xludf.DUMMYFUNCTION("""COMPUTED_VALUE"""),45750.6458333333)</f>
        <v>45750.6458333333</v>
      </c>
      <c r="F9" s="17">
        <f>IFERROR(__xludf.DUMMYFUNCTION("""COMPUTED_VALUE"""),339509)</f>
        <v>339509</v>
      </c>
      <c r="G9" s="16">
        <f>IFERROR(__xludf.DUMMYFUNCTION("""COMPUTED_VALUE"""),45750.6458333333)</f>
        <v>45750.6458333333</v>
      </c>
      <c r="H9" s="17">
        <f>IFERROR(__xludf.DUMMYFUNCTION("""COMPUTED_VALUE"""),3807.1)</f>
        <v>3807.1</v>
      </c>
      <c r="I9" s="16">
        <f>IFERROR(__xludf.DUMMYFUNCTION("""COMPUTED_VALUE"""),45750.6458333333)</f>
        <v>45750.6458333333</v>
      </c>
      <c r="J9" s="17">
        <f>IFERROR(__xludf.DUMMYFUNCTION("""COMPUTED_VALUE"""),3735.65)</f>
        <v>3735.65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IFERROR(__xludf.DUMMYFUNCTION("""COMPUTED_VALUE"""),3659.2)</f>
        <v>3659.2</v>
      </c>
      <c r="C10" s="16">
        <f>IFERROR(__xludf.DUMMYFUNCTION("""COMPUTED_VALUE"""),45751.6458333333)</f>
        <v>45751.6458333333</v>
      </c>
      <c r="D10" s="17">
        <f>IFERROR(__xludf.DUMMYFUNCTION("""COMPUTED_VALUE"""),3744.95)</f>
        <v>3744.95</v>
      </c>
      <c r="E10" s="16">
        <f>IFERROR(__xludf.DUMMYFUNCTION("""COMPUTED_VALUE"""),45751.6458333333)</f>
        <v>45751.6458333333</v>
      </c>
      <c r="F10" s="17">
        <f>IFERROR(__xludf.DUMMYFUNCTION("""COMPUTED_VALUE"""),330498)</f>
        <v>330498</v>
      </c>
      <c r="G10" s="16">
        <f>IFERROR(__xludf.DUMMYFUNCTION("""COMPUTED_VALUE"""),45751.6458333333)</f>
        <v>45751.6458333333</v>
      </c>
      <c r="H10" s="17">
        <f>IFERROR(__xludf.DUMMYFUNCTION("""COMPUTED_VALUE"""),3744.95)</f>
        <v>3744.95</v>
      </c>
      <c r="I10" s="16">
        <f>IFERROR(__xludf.DUMMYFUNCTION("""COMPUTED_VALUE"""),45751.6458333333)</f>
        <v>45751.6458333333</v>
      </c>
      <c r="J10" s="17">
        <f>IFERROR(__xludf.DUMMYFUNCTION("""COMPUTED_VALUE"""),3632.55)</f>
        <v>3632.55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IFERROR(__xludf.DUMMYFUNCTION("""COMPUTED_VALUE"""),3526.9)</f>
        <v>3526.9</v>
      </c>
      <c r="C11" s="16">
        <f>IFERROR(__xludf.DUMMYFUNCTION("""COMPUTED_VALUE"""),45754.6458333333)</f>
        <v>45754.6458333333</v>
      </c>
      <c r="D11" s="17">
        <f>IFERROR(__xludf.DUMMYFUNCTION("""COMPUTED_VALUE"""),3478.95)</f>
        <v>3478.95</v>
      </c>
      <c r="E11" s="16">
        <f>IFERROR(__xludf.DUMMYFUNCTION("""COMPUTED_VALUE"""),45754.6458333333)</f>
        <v>45754.6458333333</v>
      </c>
      <c r="F11" s="17">
        <f>IFERROR(__xludf.DUMMYFUNCTION("""COMPUTED_VALUE"""),605866)</f>
        <v>605866</v>
      </c>
      <c r="G11" s="16">
        <f>IFERROR(__xludf.DUMMYFUNCTION("""COMPUTED_VALUE"""),45754.6458333333)</f>
        <v>45754.6458333333</v>
      </c>
      <c r="H11" s="17">
        <f>IFERROR(__xludf.DUMMYFUNCTION("""COMPUTED_VALUE"""),3545)</f>
        <v>3545</v>
      </c>
      <c r="I11" s="16">
        <f>IFERROR(__xludf.DUMMYFUNCTION("""COMPUTED_VALUE"""),45754.6458333333)</f>
        <v>45754.6458333333</v>
      </c>
      <c r="J11" s="17">
        <f>IFERROR(__xludf.DUMMYFUNCTION("""COMPUTED_VALUE"""),3344)</f>
        <v>3344</v>
      </c>
      <c r="K11" s="3">
        <f t="shared" ref="K11:K125" si="2">IF(B11=MAX(B5:B17),B11,0)</f>
        <v>0</v>
      </c>
      <c r="L11" s="3">
        <f t="shared" ref="L11:L125" si="3">IF(B11=MIN(B5:B17),B11,0)</f>
        <v>3526.9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IFERROR(__xludf.DUMMYFUNCTION("""COMPUTED_VALUE"""),3574.15)</f>
        <v>3574.15</v>
      </c>
      <c r="C12" s="16">
        <f>IFERROR(__xludf.DUMMYFUNCTION("""COMPUTED_VALUE"""),45755.6458333333)</f>
        <v>45755.6458333333</v>
      </c>
      <c r="D12" s="17">
        <f>IFERROR(__xludf.DUMMYFUNCTION("""COMPUTED_VALUE"""),3600)</f>
        <v>3600</v>
      </c>
      <c r="E12" s="16">
        <f>IFERROR(__xludf.DUMMYFUNCTION("""COMPUTED_VALUE"""),45755.6458333333)</f>
        <v>45755.6458333333</v>
      </c>
      <c r="F12" s="17">
        <f>IFERROR(__xludf.DUMMYFUNCTION("""COMPUTED_VALUE"""),450859)</f>
        <v>450859</v>
      </c>
      <c r="G12" s="16">
        <f>IFERROR(__xludf.DUMMYFUNCTION("""COMPUTED_VALUE"""),45755.6458333333)</f>
        <v>45755.6458333333</v>
      </c>
      <c r="H12" s="17">
        <f>IFERROR(__xludf.DUMMYFUNCTION("""COMPUTED_VALUE"""),3622.9)</f>
        <v>3622.9</v>
      </c>
      <c r="I12" s="16">
        <f>IFERROR(__xludf.DUMMYFUNCTION("""COMPUTED_VALUE"""),45755.6458333333)</f>
        <v>45755.6458333333</v>
      </c>
      <c r="J12" s="17">
        <f>IFERROR(__xludf.DUMMYFUNCTION("""COMPUTED_VALUE"""),3510.25)</f>
        <v>3510.25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IFERROR(__xludf.DUMMYFUNCTION("""COMPUTED_VALUE"""),3610.9)</f>
        <v>3610.9</v>
      </c>
      <c r="C13" s="16">
        <f>IFERROR(__xludf.DUMMYFUNCTION("""COMPUTED_VALUE"""),45756.6458333333)</f>
        <v>45756.6458333333</v>
      </c>
      <c r="D13" s="17">
        <f>IFERROR(__xludf.DUMMYFUNCTION("""COMPUTED_VALUE"""),3590)</f>
        <v>3590</v>
      </c>
      <c r="E13" s="16">
        <f>IFERROR(__xludf.DUMMYFUNCTION("""COMPUTED_VALUE"""),45756.6458333333)</f>
        <v>45756.6458333333</v>
      </c>
      <c r="F13" s="17">
        <f>IFERROR(__xludf.DUMMYFUNCTION("""COMPUTED_VALUE"""),584571)</f>
        <v>584571</v>
      </c>
      <c r="G13" s="16">
        <f>IFERROR(__xludf.DUMMYFUNCTION("""COMPUTED_VALUE"""),45756.6458333333)</f>
        <v>45756.6458333333</v>
      </c>
      <c r="H13" s="17">
        <f>IFERROR(__xludf.DUMMYFUNCTION("""COMPUTED_VALUE"""),3678.75)</f>
        <v>3678.75</v>
      </c>
      <c r="I13" s="16">
        <f>IFERROR(__xludf.DUMMYFUNCTION("""COMPUTED_VALUE"""),45756.6458333333)</f>
        <v>45756.6458333333</v>
      </c>
      <c r="J13" s="17">
        <f>IFERROR(__xludf.DUMMYFUNCTION("""COMPUTED_VALUE"""),3538)</f>
        <v>3538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IFERROR(__xludf.DUMMYFUNCTION("""COMPUTED_VALUE"""),3666)</f>
        <v>3666</v>
      </c>
      <c r="C14" s="16">
        <f>IFERROR(__xludf.DUMMYFUNCTION("""COMPUTED_VALUE"""),45758.6458333333)</f>
        <v>45758.6458333333</v>
      </c>
      <c r="D14" s="17">
        <f>IFERROR(__xludf.DUMMYFUNCTION("""COMPUTED_VALUE"""),3620.45)</f>
        <v>3620.45</v>
      </c>
      <c r="E14" s="16">
        <f>IFERROR(__xludf.DUMMYFUNCTION("""COMPUTED_VALUE"""),45758.6458333333)</f>
        <v>45758.6458333333</v>
      </c>
      <c r="F14" s="17">
        <f>IFERROR(__xludf.DUMMYFUNCTION("""COMPUTED_VALUE"""),436704)</f>
        <v>436704</v>
      </c>
      <c r="G14" s="16">
        <f>IFERROR(__xludf.DUMMYFUNCTION("""COMPUTED_VALUE"""),45758.6458333333)</f>
        <v>45758.6458333333</v>
      </c>
      <c r="H14" s="17">
        <f>IFERROR(__xludf.DUMMYFUNCTION("""COMPUTED_VALUE"""),3704.1)</f>
        <v>3704.1</v>
      </c>
      <c r="I14" s="16">
        <f>IFERROR(__xludf.DUMMYFUNCTION("""COMPUTED_VALUE"""),45758.6458333333)</f>
        <v>45758.6458333333</v>
      </c>
      <c r="J14" s="17">
        <f>IFERROR(__xludf.DUMMYFUNCTION("""COMPUTED_VALUE"""),3620.45)</f>
        <v>3620.45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IFERROR(__xludf.DUMMYFUNCTION("""COMPUTED_VALUE"""),3803.9)</f>
        <v>3803.9</v>
      </c>
      <c r="C15" s="16">
        <f>IFERROR(__xludf.DUMMYFUNCTION("""COMPUTED_VALUE"""),45762.6458333333)</f>
        <v>45762.6458333333</v>
      </c>
      <c r="D15" s="17">
        <f>IFERROR(__xludf.DUMMYFUNCTION("""COMPUTED_VALUE"""),3749)</f>
        <v>3749</v>
      </c>
      <c r="E15" s="16">
        <f>IFERROR(__xludf.DUMMYFUNCTION("""COMPUTED_VALUE"""),45762.6458333333)</f>
        <v>45762.6458333333</v>
      </c>
      <c r="F15" s="17">
        <f>IFERROR(__xludf.DUMMYFUNCTION("""COMPUTED_VALUE"""),604277)</f>
        <v>604277</v>
      </c>
      <c r="G15" s="16">
        <f>IFERROR(__xludf.DUMMYFUNCTION("""COMPUTED_VALUE"""),45762.6458333333)</f>
        <v>45762.6458333333</v>
      </c>
      <c r="H15" s="17">
        <f>IFERROR(__xludf.DUMMYFUNCTION("""COMPUTED_VALUE"""),3816)</f>
        <v>3816</v>
      </c>
      <c r="I15" s="16">
        <f>IFERROR(__xludf.DUMMYFUNCTION("""COMPUTED_VALUE"""),45762.6458333333)</f>
        <v>45762.6458333333</v>
      </c>
      <c r="J15" s="17">
        <f>IFERROR(__xludf.DUMMYFUNCTION("""COMPUTED_VALUE"""),3686.5)</f>
        <v>3686.5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IFERROR(__xludf.DUMMYFUNCTION("""COMPUTED_VALUE"""),3781.9)</f>
        <v>3781.9</v>
      </c>
      <c r="C16" s="16">
        <f>IFERROR(__xludf.DUMMYFUNCTION("""COMPUTED_VALUE"""),45763.6458333333)</f>
        <v>45763.6458333333</v>
      </c>
      <c r="D16" s="17">
        <f>IFERROR(__xludf.DUMMYFUNCTION("""COMPUTED_VALUE"""),3809)</f>
        <v>3809</v>
      </c>
      <c r="E16" s="16">
        <f>IFERROR(__xludf.DUMMYFUNCTION("""COMPUTED_VALUE"""),45763.6458333333)</f>
        <v>45763.6458333333</v>
      </c>
      <c r="F16" s="17">
        <f>IFERROR(__xludf.DUMMYFUNCTION("""COMPUTED_VALUE"""),491227)</f>
        <v>491227</v>
      </c>
      <c r="G16" s="16">
        <f>IFERROR(__xludf.DUMMYFUNCTION("""COMPUTED_VALUE"""),45763.6458333333)</f>
        <v>45763.6458333333</v>
      </c>
      <c r="H16" s="17">
        <f>IFERROR(__xludf.DUMMYFUNCTION("""COMPUTED_VALUE"""),3816.6)</f>
        <v>3816.6</v>
      </c>
      <c r="I16" s="16">
        <f>IFERROR(__xludf.DUMMYFUNCTION("""COMPUTED_VALUE"""),45763.6458333333)</f>
        <v>45763.6458333333</v>
      </c>
      <c r="J16" s="17">
        <f>IFERROR(__xludf.DUMMYFUNCTION("""COMPUTED_VALUE"""),3742)</f>
        <v>3742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IFERROR(__xludf.DUMMYFUNCTION("""COMPUTED_VALUE"""),3771.8)</f>
        <v>3771.8</v>
      </c>
      <c r="C17" s="16">
        <f>IFERROR(__xludf.DUMMYFUNCTION("""COMPUTED_VALUE"""),45764.6458333333)</f>
        <v>45764.6458333333</v>
      </c>
      <c r="D17" s="17">
        <f>IFERROR(__xludf.DUMMYFUNCTION("""COMPUTED_VALUE"""),3781.9)</f>
        <v>3781.9</v>
      </c>
      <c r="E17" s="16">
        <f>IFERROR(__xludf.DUMMYFUNCTION("""COMPUTED_VALUE"""),45764.6458333333)</f>
        <v>45764.6458333333</v>
      </c>
      <c r="F17" s="17">
        <f>IFERROR(__xludf.DUMMYFUNCTION("""COMPUTED_VALUE"""),970749)</f>
        <v>970749</v>
      </c>
      <c r="G17" s="16">
        <f>IFERROR(__xludf.DUMMYFUNCTION("""COMPUTED_VALUE"""),45764.6458333333)</f>
        <v>45764.6458333333</v>
      </c>
      <c r="H17" s="17">
        <f>IFERROR(__xludf.DUMMYFUNCTION("""COMPUTED_VALUE"""),3797.6)</f>
        <v>3797.6</v>
      </c>
      <c r="I17" s="16">
        <f>IFERROR(__xludf.DUMMYFUNCTION("""COMPUTED_VALUE"""),45764.6458333333)</f>
        <v>45764.6458333333</v>
      </c>
      <c r="J17" s="17">
        <f>IFERROR(__xludf.DUMMYFUNCTION("""COMPUTED_VALUE"""),3664.3)</f>
        <v>3664.3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IFERROR(__xludf.DUMMYFUNCTION("""COMPUTED_VALUE"""),3917)</f>
        <v>3917</v>
      </c>
      <c r="C18" s="16">
        <f>IFERROR(__xludf.DUMMYFUNCTION("""COMPUTED_VALUE"""),45768.6458333333)</f>
        <v>45768.6458333333</v>
      </c>
      <c r="D18" s="17">
        <f>IFERROR(__xludf.DUMMYFUNCTION("""COMPUTED_VALUE"""),3794)</f>
        <v>3794</v>
      </c>
      <c r="E18" s="16">
        <f>IFERROR(__xludf.DUMMYFUNCTION("""COMPUTED_VALUE"""),45768.6458333333)</f>
        <v>45768.6458333333</v>
      </c>
      <c r="F18" s="17">
        <f>IFERROR(__xludf.DUMMYFUNCTION("""COMPUTED_VALUE"""),1031160)</f>
        <v>1031160</v>
      </c>
      <c r="G18" s="16">
        <f>IFERROR(__xludf.DUMMYFUNCTION("""COMPUTED_VALUE"""),45768.6458333333)</f>
        <v>45768.6458333333</v>
      </c>
      <c r="H18" s="17">
        <f>IFERROR(__xludf.DUMMYFUNCTION("""COMPUTED_VALUE"""),3932.5)</f>
        <v>3932.5</v>
      </c>
      <c r="I18" s="16">
        <f>IFERROR(__xludf.DUMMYFUNCTION("""COMPUTED_VALUE"""),45768.6458333333)</f>
        <v>45768.6458333333</v>
      </c>
      <c r="J18" s="17">
        <f>IFERROR(__xludf.DUMMYFUNCTION("""COMPUTED_VALUE"""),3756)</f>
        <v>3756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IFERROR(__xludf.DUMMYFUNCTION("""COMPUTED_VALUE"""),3833.6)</f>
        <v>3833.6</v>
      </c>
      <c r="C19" s="16">
        <f>IFERROR(__xludf.DUMMYFUNCTION("""COMPUTED_VALUE"""),45769.6458333333)</f>
        <v>45769.6458333333</v>
      </c>
      <c r="D19" s="17">
        <f>IFERROR(__xludf.DUMMYFUNCTION("""COMPUTED_VALUE"""),3901)</f>
        <v>3901</v>
      </c>
      <c r="E19" s="16">
        <f>IFERROR(__xludf.DUMMYFUNCTION("""COMPUTED_VALUE"""),45769.6458333333)</f>
        <v>45769.6458333333</v>
      </c>
      <c r="F19" s="17">
        <f>IFERROR(__xludf.DUMMYFUNCTION("""COMPUTED_VALUE"""),927543)</f>
        <v>927543</v>
      </c>
      <c r="G19" s="16">
        <f>IFERROR(__xludf.DUMMYFUNCTION("""COMPUTED_VALUE"""),45769.6458333333)</f>
        <v>45769.6458333333</v>
      </c>
      <c r="H19" s="17">
        <f>IFERROR(__xludf.DUMMYFUNCTION("""COMPUTED_VALUE"""),3902.9)</f>
        <v>3902.9</v>
      </c>
      <c r="I19" s="16">
        <f>IFERROR(__xludf.DUMMYFUNCTION("""COMPUTED_VALUE"""),45769.6458333333)</f>
        <v>45769.6458333333</v>
      </c>
      <c r="J19" s="17">
        <f>IFERROR(__xludf.DUMMYFUNCTION("""COMPUTED_VALUE"""),3821.2)</f>
        <v>3821.2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IFERROR(__xludf.DUMMYFUNCTION("""COMPUTED_VALUE"""),3940.5)</f>
        <v>3940.5</v>
      </c>
      <c r="C20" s="16">
        <f>IFERROR(__xludf.DUMMYFUNCTION("""COMPUTED_VALUE"""),45770.6458333333)</f>
        <v>45770.6458333333</v>
      </c>
      <c r="D20" s="17">
        <f>IFERROR(__xludf.DUMMYFUNCTION("""COMPUTED_VALUE"""),3862.1)</f>
        <v>3862.1</v>
      </c>
      <c r="E20" s="16">
        <f>IFERROR(__xludf.DUMMYFUNCTION("""COMPUTED_VALUE"""),45770.6458333333)</f>
        <v>45770.6458333333</v>
      </c>
      <c r="F20" s="17">
        <f>IFERROR(__xludf.DUMMYFUNCTION("""COMPUTED_VALUE"""),800615)</f>
        <v>800615</v>
      </c>
      <c r="G20" s="16">
        <f>IFERROR(__xludf.DUMMYFUNCTION("""COMPUTED_VALUE"""),45770.6458333333)</f>
        <v>45770.6458333333</v>
      </c>
      <c r="H20" s="17">
        <f>IFERROR(__xludf.DUMMYFUNCTION("""COMPUTED_VALUE"""),3954.2)</f>
        <v>3954.2</v>
      </c>
      <c r="I20" s="16">
        <f>IFERROR(__xludf.DUMMYFUNCTION("""COMPUTED_VALUE"""),45770.6458333333)</f>
        <v>45770.6458333333</v>
      </c>
      <c r="J20" s="17">
        <f>IFERROR(__xludf.DUMMYFUNCTION("""COMPUTED_VALUE"""),3822.6)</f>
        <v>3822.6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IFERROR(__xludf.DUMMYFUNCTION("""COMPUTED_VALUE"""),3954.5)</f>
        <v>3954.5</v>
      </c>
      <c r="C21" s="16">
        <f>IFERROR(__xludf.DUMMYFUNCTION("""COMPUTED_VALUE"""),45771.6458333333)</f>
        <v>45771.6458333333</v>
      </c>
      <c r="D21" s="17">
        <f>IFERROR(__xludf.DUMMYFUNCTION("""COMPUTED_VALUE"""),3940.6)</f>
        <v>3940.6</v>
      </c>
      <c r="E21" s="16">
        <f>IFERROR(__xludf.DUMMYFUNCTION("""COMPUTED_VALUE"""),45771.6458333333)</f>
        <v>45771.6458333333</v>
      </c>
      <c r="F21" s="17">
        <f>IFERROR(__xludf.DUMMYFUNCTION("""COMPUTED_VALUE"""),1227984)</f>
        <v>1227984</v>
      </c>
      <c r="G21" s="16">
        <f>IFERROR(__xludf.DUMMYFUNCTION("""COMPUTED_VALUE"""),45771.6458333333)</f>
        <v>45771.6458333333</v>
      </c>
      <c r="H21" s="17">
        <f>IFERROR(__xludf.DUMMYFUNCTION("""COMPUTED_VALUE"""),3988)</f>
        <v>3988</v>
      </c>
      <c r="I21" s="16">
        <f>IFERROR(__xludf.DUMMYFUNCTION("""COMPUTED_VALUE"""),45771.6458333333)</f>
        <v>45771.6458333333</v>
      </c>
      <c r="J21" s="17">
        <f>IFERROR(__xludf.DUMMYFUNCTION("""COMPUTED_VALUE"""),3924.9)</f>
        <v>3924.9</v>
      </c>
      <c r="K21" s="3">
        <f t="shared" si="2"/>
        <v>3954.5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IFERROR(__xludf.DUMMYFUNCTION("""COMPUTED_VALUE"""),3895.5)</f>
        <v>3895.5</v>
      </c>
      <c r="C22" s="16">
        <f>IFERROR(__xludf.DUMMYFUNCTION("""COMPUTED_VALUE"""),45772.6458333333)</f>
        <v>45772.6458333333</v>
      </c>
      <c r="D22" s="17">
        <f>IFERROR(__xludf.DUMMYFUNCTION("""COMPUTED_VALUE"""),3960)</f>
        <v>3960</v>
      </c>
      <c r="E22" s="16">
        <f>IFERROR(__xludf.DUMMYFUNCTION("""COMPUTED_VALUE"""),45772.6458333333)</f>
        <v>45772.6458333333</v>
      </c>
      <c r="F22" s="17">
        <f>IFERROR(__xludf.DUMMYFUNCTION("""COMPUTED_VALUE"""),652719)</f>
        <v>652719</v>
      </c>
      <c r="G22" s="16">
        <f>IFERROR(__xludf.DUMMYFUNCTION("""COMPUTED_VALUE"""),45772.6458333333)</f>
        <v>45772.6458333333</v>
      </c>
      <c r="H22" s="17">
        <f>IFERROR(__xludf.DUMMYFUNCTION("""COMPUTED_VALUE"""),3994.1)</f>
        <v>3994.1</v>
      </c>
      <c r="I22" s="16">
        <f>IFERROR(__xludf.DUMMYFUNCTION("""COMPUTED_VALUE"""),45772.6458333333)</f>
        <v>45772.6458333333</v>
      </c>
      <c r="J22" s="17">
        <f>IFERROR(__xludf.DUMMYFUNCTION("""COMPUTED_VALUE"""),3839.9)</f>
        <v>3839.9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IFERROR(__xludf.DUMMYFUNCTION("""COMPUTED_VALUE"""),3911.7)</f>
        <v>3911.7</v>
      </c>
      <c r="C23" s="16">
        <f>IFERROR(__xludf.DUMMYFUNCTION("""COMPUTED_VALUE"""),45775.6458333333)</f>
        <v>45775.6458333333</v>
      </c>
      <c r="D23" s="17">
        <f>IFERROR(__xludf.DUMMYFUNCTION("""COMPUTED_VALUE"""),3895)</f>
        <v>3895</v>
      </c>
      <c r="E23" s="16">
        <f>IFERROR(__xludf.DUMMYFUNCTION("""COMPUTED_VALUE"""),45775.6458333333)</f>
        <v>45775.6458333333</v>
      </c>
      <c r="F23" s="17">
        <f>IFERROR(__xludf.DUMMYFUNCTION("""COMPUTED_VALUE"""),521342)</f>
        <v>521342</v>
      </c>
      <c r="G23" s="16">
        <f>IFERROR(__xludf.DUMMYFUNCTION("""COMPUTED_VALUE"""),45775.6458333333)</f>
        <v>45775.6458333333</v>
      </c>
      <c r="H23" s="17">
        <f>IFERROR(__xludf.DUMMYFUNCTION("""COMPUTED_VALUE"""),3935)</f>
        <v>3935</v>
      </c>
      <c r="I23" s="16">
        <f>IFERROR(__xludf.DUMMYFUNCTION("""COMPUTED_VALUE"""),45775.6458333333)</f>
        <v>45775.6458333333</v>
      </c>
      <c r="J23" s="17">
        <f>IFERROR(__xludf.DUMMYFUNCTION("""COMPUTED_VALUE"""),3846.5)</f>
        <v>3846.5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IFERROR(__xludf.DUMMYFUNCTION("""COMPUTED_VALUE"""),3852.7)</f>
        <v>3852.7</v>
      </c>
      <c r="C24" s="16">
        <f>IFERROR(__xludf.DUMMYFUNCTION("""COMPUTED_VALUE"""),45776.6458333333)</f>
        <v>45776.6458333333</v>
      </c>
      <c r="D24" s="17">
        <f>IFERROR(__xludf.DUMMYFUNCTION("""COMPUTED_VALUE"""),3935.5)</f>
        <v>3935.5</v>
      </c>
      <c r="E24" s="16">
        <f>IFERROR(__xludf.DUMMYFUNCTION("""COMPUTED_VALUE"""),45776.6458333333)</f>
        <v>45776.6458333333</v>
      </c>
      <c r="F24" s="17">
        <f>IFERROR(__xludf.DUMMYFUNCTION("""COMPUTED_VALUE"""),428581)</f>
        <v>428581</v>
      </c>
      <c r="G24" s="16">
        <f>IFERROR(__xludf.DUMMYFUNCTION("""COMPUTED_VALUE"""),45776.6458333333)</f>
        <v>45776.6458333333</v>
      </c>
      <c r="H24" s="17">
        <f>IFERROR(__xludf.DUMMYFUNCTION("""COMPUTED_VALUE"""),3953.9)</f>
        <v>3953.9</v>
      </c>
      <c r="I24" s="16">
        <f>IFERROR(__xludf.DUMMYFUNCTION("""COMPUTED_VALUE"""),45776.6458333333)</f>
        <v>45776.6458333333</v>
      </c>
      <c r="J24" s="17">
        <f>IFERROR(__xludf.DUMMYFUNCTION("""COMPUTED_VALUE"""),3846.4)</f>
        <v>3846.4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IFERROR(__xludf.DUMMYFUNCTION("""COMPUTED_VALUE"""),3827.4)</f>
        <v>3827.4</v>
      </c>
      <c r="C25" s="16">
        <f>IFERROR(__xludf.DUMMYFUNCTION("""COMPUTED_VALUE"""),45777.6458333333)</f>
        <v>45777.6458333333</v>
      </c>
      <c r="D25" s="17">
        <f>IFERROR(__xludf.DUMMYFUNCTION("""COMPUTED_VALUE"""),3852.7)</f>
        <v>3852.7</v>
      </c>
      <c r="E25" s="16">
        <f>IFERROR(__xludf.DUMMYFUNCTION("""COMPUTED_VALUE"""),45777.6458333333)</f>
        <v>45777.6458333333</v>
      </c>
      <c r="F25" s="17">
        <f>IFERROR(__xludf.DUMMYFUNCTION("""COMPUTED_VALUE"""),892342)</f>
        <v>892342</v>
      </c>
      <c r="G25" s="16">
        <f>IFERROR(__xludf.DUMMYFUNCTION("""COMPUTED_VALUE"""),45777.6458333333)</f>
        <v>45777.6458333333</v>
      </c>
      <c r="H25" s="17">
        <f>IFERROR(__xludf.DUMMYFUNCTION("""COMPUTED_VALUE"""),3867.5)</f>
        <v>3867.5</v>
      </c>
      <c r="I25" s="16">
        <f>IFERROR(__xludf.DUMMYFUNCTION("""COMPUTED_VALUE"""),45777.6458333333)</f>
        <v>45777.6458333333</v>
      </c>
      <c r="J25" s="17">
        <f>IFERROR(__xludf.DUMMYFUNCTION("""COMPUTED_VALUE"""),3806.5)</f>
        <v>3806.5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IFERROR(__xludf.DUMMYFUNCTION("""COMPUTED_VALUE"""),3740.5)</f>
        <v>3740.5</v>
      </c>
      <c r="C26" s="16">
        <f>IFERROR(__xludf.DUMMYFUNCTION("""COMPUTED_VALUE"""),45779.6458333333)</f>
        <v>45779.6458333333</v>
      </c>
      <c r="D26" s="17">
        <f>IFERROR(__xludf.DUMMYFUNCTION("""COMPUTED_VALUE"""),3803.6)</f>
        <v>3803.6</v>
      </c>
      <c r="E26" s="16">
        <f>IFERROR(__xludf.DUMMYFUNCTION("""COMPUTED_VALUE"""),45779.6458333333)</f>
        <v>45779.6458333333</v>
      </c>
      <c r="F26" s="17">
        <f>IFERROR(__xludf.DUMMYFUNCTION("""COMPUTED_VALUE"""),881303)</f>
        <v>881303</v>
      </c>
      <c r="G26" s="16">
        <f>IFERROR(__xludf.DUMMYFUNCTION("""COMPUTED_VALUE"""),45779.6458333333)</f>
        <v>45779.6458333333</v>
      </c>
      <c r="H26" s="17">
        <f>IFERROR(__xludf.DUMMYFUNCTION("""COMPUTED_VALUE"""),3914)</f>
        <v>3914</v>
      </c>
      <c r="I26" s="16">
        <f>IFERROR(__xludf.DUMMYFUNCTION("""COMPUTED_VALUE"""),45779.6458333333)</f>
        <v>45779.6458333333</v>
      </c>
      <c r="J26" s="17">
        <f>IFERROR(__xludf.DUMMYFUNCTION("""COMPUTED_VALUE"""),3725)</f>
        <v>3725</v>
      </c>
      <c r="K26" s="3">
        <f t="shared" si="2"/>
        <v>0</v>
      </c>
      <c r="L26" s="3">
        <f t="shared" si="3"/>
        <v>3740.5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IFERROR(__xludf.DUMMYFUNCTION("""COMPUTED_VALUE"""),3767.6)</f>
        <v>3767.6</v>
      </c>
      <c r="C27" s="16">
        <f>IFERROR(__xludf.DUMMYFUNCTION("""COMPUTED_VALUE"""),45782.6458333333)</f>
        <v>45782.6458333333</v>
      </c>
      <c r="D27" s="17">
        <f>IFERROR(__xludf.DUMMYFUNCTION("""COMPUTED_VALUE"""),3769)</f>
        <v>3769</v>
      </c>
      <c r="E27" s="16">
        <f>IFERROR(__xludf.DUMMYFUNCTION("""COMPUTED_VALUE"""),45782.6458333333)</f>
        <v>45782.6458333333</v>
      </c>
      <c r="F27" s="17">
        <f>IFERROR(__xludf.DUMMYFUNCTION("""COMPUTED_VALUE"""),640182)</f>
        <v>640182</v>
      </c>
      <c r="G27" s="16">
        <f>IFERROR(__xludf.DUMMYFUNCTION("""COMPUTED_VALUE"""),45782.6458333333)</f>
        <v>45782.6458333333</v>
      </c>
      <c r="H27" s="17">
        <f>IFERROR(__xludf.DUMMYFUNCTION("""COMPUTED_VALUE"""),3794.5)</f>
        <v>3794.5</v>
      </c>
      <c r="I27" s="16">
        <f>IFERROR(__xludf.DUMMYFUNCTION("""COMPUTED_VALUE"""),45782.6458333333)</f>
        <v>45782.6458333333</v>
      </c>
      <c r="J27" s="17">
        <f>IFERROR(__xludf.DUMMYFUNCTION("""COMPUTED_VALUE"""),3742.3)</f>
        <v>3742.3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IFERROR(__xludf.DUMMYFUNCTION("""COMPUTED_VALUE"""),3872.6)</f>
        <v>3872.6</v>
      </c>
      <c r="C28" s="16">
        <f>IFERROR(__xludf.DUMMYFUNCTION("""COMPUTED_VALUE"""),45783.6458333333)</f>
        <v>45783.6458333333</v>
      </c>
      <c r="D28" s="17">
        <f>IFERROR(__xludf.DUMMYFUNCTION("""COMPUTED_VALUE"""),3785)</f>
        <v>3785</v>
      </c>
      <c r="E28" s="16">
        <f>IFERROR(__xludf.DUMMYFUNCTION("""COMPUTED_VALUE"""),45783.6458333333)</f>
        <v>45783.6458333333</v>
      </c>
      <c r="F28" s="17">
        <f>IFERROR(__xludf.DUMMYFUNCTION("""COMPUTED_VALUE"""),1210118)</f>
        <v>1210118</v>
      </c>
      <c r="G28" s="16">
        <f>IFERROR(__xludf.DUMMYFUNCTION("""COMPUTED_VALUE"""),45783.6458333333)</f>
        <v>45783.6458333333</v>
      </c>
      <c r="H28" s="17">
        <f>IFERROR(__xludf.DUMMYFUNCTION("""COMPUTED_VALUE"""),3908)</f>
        <v>3908</v>
      </c>
      <c r="I28" s="16">
        <f>IFERROR(__xludf.DUMMYFUNCTION("""COMPUTED_VALUE"""),45783.6458333333)</f>
        <v>45783.6458333333</v>
      </c>
      <c r="J28" s="17">
        <f>IFERROR(__xludf.DUMMYFUNCTION("""COMPUTED_VALUE"""),3781)</f>
        <v>3781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IFERROR(__xludf.DUMMYFUNCTION("""COMPUTED_VALUE"""),3868)</f>
        <v>3868</v>
      </c>
      <c r="C29" s="16">
        <f>IFERROR(__xludf.DUMMYFUNCTION("""COMPUTED_VALUE"""),45784.6458333333)</f>
        <v>45784.6458333333</v>
      </c>
      <c r="D29" s="17">
        <f>IFERROR(__xludf.DUMMYFUNCTION("""COMPUTED_VALUE"""),3820)</f>
        <v>3820</v>
      </c>
      <c r="E29" s="16">
        <f>IFERROR(__xludf.DUMMYFUNCTION("""COMPUTED_VALUE"""),45784.6458333333)</f>
        <v>45784.6458333333</v>
      </c>
      <c r="F29" s="17">
        <f>IFERROR(__xludf.DUMMYFUNCTION("""COMPUTED_VALUE"""),448141)</f>
        <v>448141</v>
      </c>
      <c r="G29" s="16">
        <f>IFERROR(__xludf.DUMMYFUNCTION("""COMPUTED_VALUE"""),45784.6458333333)</f>
        <v>45784.6458333333</v>
      </c>
      <c r="H29" s="17">
        <f>IFERROR(__xludf.DUMMYFUNCTION("""COMPUTED_VALUE"""),3894.8)</f>
        <v>3894.8</v>
      </c>
      <c r="I29" s="16">
        <f>IFERROR(__xludf.DUMMYFUNCTION("""COMPUTED_VALUE"""),45784.6458333333)</f>
        <v>45784.6458333333</v>
      </c>
      <c r="J29" s="17">
        <f>IFERROR(__xludf.DUMMYFUNCTION("""COMPUTED_VALUE"""),3813.6)</f>
        <v>3813.6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IFERROR(__xludf.DUMMYFUNCTION("""COMPUTED_VALUE"""),3800.5)</f>
        <v>3800.5</v>
      </c>
      <c r="C30" s="16">
        <f>IFERROR(__xludf.DUMMYFUNCTION("""COMPUTED_VALUE"""),45785.6458333333)</f>
        <v>45785.6458333333</v>
      </c>
      <c r="D30" s="17">
        <f>IFERROR(__xludf.DUMMYFUNCTION("""COMPUTED_VALUE"""),3869)</f>
        <v>3869</v>
      </c>
      <c r="E30" s="16">
        <f>IFERROR(__xludf.DUMMYFUNCTION("""COMPUTED_VALUE"""),45785.6458333333)</f>
        <v>45785.6458333333</v>
      </c>
      <c r="F30" s="17">
        <f>IFERROR(__xludf.DUMMYFUNCTION("""COMPUTED_VALUE"""),739365)</f>
        <v>739365</v>
      </c>
      <c r="G30" s="16">
        <f>IFERROR(__xludf.DUMMYFUNCTION("""COMPUTED_VALUE"""),45785.6458333333)</f>
        <v>45785.6458333333</v>
      </c>
      <c r="H30" s="17">
        <f>IFERROR(__xludf.DUMMYFUNCTION("""COMPUTED_VALUE"""),3875)</f>
        <v>3875</v>
      </c>
      <c r="I30" s="16">
        <f>IFERROR(__xludf.DUMMYFUNCTION("""COMPUTED_VALUE"""),45785.6458333333)</f>
        <v>45785.6458333333</v>
      </c>
      <c r="J30" s="17">
        <f>IFERROR(__xludf.DUMMYFUNCTION("""COMPUTED_VALUE"""),3775.7)</f>
        <v>3775.7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IFERROR(__xludf.DUMMYFUNCTION("""COMPUTED_VALUE"""),3853.9)</f>
        <v>3853.9</v>
      </c>
      <c r="C31" s="16">
        <f>IFERROR(__xludf.DUMMYFUNCTION("""COMPUTED_VALUE"""),45786.6458333333)</f>
        <v>45786.6458333333</v>
      </c>
      <c r="D31" s="17">
        <f>IFERROR(__xludf.DUMMYFUNCTION("""COMPUTED_VALUE"""),3735)</f>
        <v>3735</v>
      </c>
      <c r="E31" s="16">
        <f>IFERROR(__xludf.DUMMYFUNCTION("""COMPUTED_VALUE"""),45786.6458333333)</f>
        <v>45786.6458333333</v>
      </c>
      <c r="F31" s="17">
        <f>IFERROR(__xludf.DUMMYFUNCTION("""COMPUTED_VALUE"""),859973)</f>
        <v>859973</v>
      </c>
      <c r="G31" s="16">
        <f>IFERROR(__xludf.DUMMYFUNCTION("""COMPUTED_VALUE"""),45786.6458333333)</f>
        <v>45786.6458333333</v>
      </c>
      <c r="H31" s="17">
        <f>IFERROR(__xludf.DUMMYFUNCTION("""COMPUTED_VALUE"""),3896.1)</f>
        <v>3896.1</v>
      </c>
      <c r="I31" s="16">
        <f>IFERROR(__xludf.DUMMYFUNCTION("""COMPUTED_VALUE"""),45786.6458333333)</f>
        <v>45786.6458333333</v>
      </c>
      <c r="J31" s="17">
        <f>IFERROR(__xludf.DUMMYFUNCTION("""COMPUTED_VALUE"""),3735)</f>
        <v>3735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IFERROR(__xludf.DUMMYFUNCTION("""COMPUTED_VALUE"""),3984.9)</f>
        <v>3984.9</v>
      </c>
      <c r="C32" s="16">
        <f>IFERROR(__xludf.DUMMYFUNCTION("""COMPUTED_VALUE"""),45789.6458333333)</f>
        <v>45789.6458333333</v>
      </c>
      <c r="D32" s="17">
        <f>IFERROR(__xludf.DUMMYFUNCTION("""COMPUTED_VALUE"""),3929.9)</f>
        <v>3929.9</v>
      </c>
      <c r="E32" s="16">
        <f>IFERROR(__xludf.DUMMYFUNCTION("""COMPUTED_VALUE"""),45789.6458333333)</f>
        <v>45789.6458333333</v>
      </c>
      <c r="F32" s="17">
        <f>IFERROR(__xludf.DUMMYFUNCTION("""COMPUTED_VALUE"""),547435)</f>
        <v>547435</v>
      </c>
      <c r="G32" s="16">
        <f>IFERROR(__xludf.DUMMYFUNCTION("""COMPUTED_VALUE"""),45789.6458333333)</f>
        <v>45789.6458333333</v>
      </c>
      <c r="H32" s="17">
        <f>IFERROR(__xludf.DUMMYFUNCTION("""COMPUTED_VALUE"""),3999.5)</f>
        <v>3999.5</v>
      </c>
      <c r="I32" s="16">
        <f>IFERROR(__xludf.DUMMYFUNCTION("""COMPUTED_VALUE"""),45789.6458333333)</f>
        <v>45789.6458333333</v>
      </c>
      <c r="J32" s="17">
        <f>IFERROR(__xludf.DUMMYFUNCTION("""COMPUTED_VALUE"""),3910)</f>
        <v>3910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IFERROR(__xludf.DUMMYFUNCTION("""COMPUTED_VALUE"""),4063.6)</f>
        <v>4063.6</v>
      </c>
      <c r="C33" s="16">
        <f>IFERROR(__xludf.DUMMYFUNCTION("""COMPUTED_VALUE"""),45790.6458333333)</f>
        <v>45790.6458333333</v>
      </c>
      <c r="D33" s="17">
        <f>IFERROR(__xludf.DUMMYFUNCTION("""COMPUTED_VALUE"""),3999)</f>
        <v>3999</v>
      </c>
      <c r="E33" s="16">
        <f>IFERROR(__xludf.DUMMYFUNCTION("""COMPUTED_VALUE"""),45790.6458333333)</f>
        <v>45790.6458333333</v>
      </c>
      <c r="F33" s="17">
        <f>IFERROR(__xludf.DUMMYFUNCTION("""COMPUTED_VALUE"""),1197629)</f>
        <v>1197629</v>
      </c>
      <c r="G33" s="16">
        <f>IFERROR(__xludf.DUMMYFUNCTION("""COMPUTED_VALUE"""),45790.6458333333)</f>
        <v>45790.6458333333</v>
      </c>
      <c r="H33" s="17">
        <f>IFERROR(__xludf.DUMMYFUNCTION("""COMPUTED_VALUE"""),4098.4)</f>
        <v>4098.4</v>
      </c>
      <c r="I33" s="16">
        <f>IFERROR(__xludf.DUMMYFUNCTION("""COMPUTED_VALUE"""),45790.6458333333)</f>
        <v>45790.6458333333</v>
      </c>
      <c r="J33" s="17">
        <f>IFERROR(__xludf.DUMMYFUNCTION("""COMPUTED_VALUE"""),3957.5)</f>
        <v>3957.5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IFERROR(__xludf.DUMMYFUNCTION("""COMPUTED_VALUE"""),4067.2)</f>
        <v>4067.2</v>
      </c>
      <c r="C34" s="16">
        <f>IFERROR(__xludf.DUMMYFUNCTION("""COMPUTED_VALUE"""),45791.6458333333)</f>
        <v>45791.6458333333</v>
      </c>
      <c r="D34" s="17">
        <f>IFERROR(__xludf.DUMMYFUNCTION("""COMPUTED_VALUE"""),4070)</f>
        <v>4070</v>
      </c>
      <c r="E34" s="16">
        <f>IFERROR(__xludf.DUMMYFUNCTION("""COMPUTED_VALUE"""),45791.6458333333)</f>
        <v>45791.6458333333</v>
      </c>
      <c r="F34" s="17">
        <f>IFERROR(__xludf.DUMMYFUNCTION("""COMPUTED_VALUE"""),1199813)</f>
        <v>1199813</v>
      </c>
      <c r="G34" s="16">
        <f>IFERROR(__xludf.DUMMYFUNCTION("""COMPUTED_VALUE"""),45791.6458333333)</f>
        <v>45791.6458333333</v>
      </c>
      <c r="H34" s="17">
        <f>IFERROR(__xludf.DUMMYFUNCTION("""COMPUTED_VALUE"""),4107.8)</f>
        <v>4107.8</v>
      </c>
      <c r="I34" s="16">
        <f>IFERROR(__xludf.DUMMYFUNCTION("""COMPUTED_VALUE"""),45791.6458333333)</f>
        <v>45791.6458333333</v>
      </c>
      <c r="J34" s="17">
        <f>IFERROR(__xludf.DUMMYFUNCTION("""COMPUTED_VALUE"""),3933)</f>
        <v>3933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IFERROR(__xludf.DUMMYFUNCTION("""COMPUTED_VALUE"""),4325)</f>
        <v>4325</v>
      </c>
      <c r="C35" s="16">
        <f>IFERROR(__xludf.DUMMYFUNCTION("""COMPUTED_VALUE"""),45792.6458333333)</f>
        <v>45792.6458333333</v>
      </c>
      <c r="D35" s="17">
        <f>IFERROR(__xludf.DUMMYFUNCTION("""COMPUTED_VALUE"""),4083)</f>
        <v>4083</v>
      </c>
      <c r="E35" s="16">
        <f>IFERROR(__xludf.DUMMYFUNCTION("""COMPUTED_VALUE"""),45792.6458333333)</f>
        <v>45792.6458333333</v>
      </c>
      <c r="F35" s="17">
        <f>IFERROR(__xludf.DUMMYFUNCTION("""COMPUTED_VALUE"""),2629014)</f>
        <v>2629014</v>
      </c>
      <c r="G35" s="16">
        <f>IFERROR(__xludf.DUMMYFUNCTION("""COMPUTED_VALUE"""),45792.6458333333)</f>
        <v>45792.6458333333</v>
      </c>
      <c r="H35" s="17">
        <f>IFERROR(__xludf.DUMMYFUNCTION("""COMPUTED_VALUE"""),4347)</f>
        <v>4347</v>
      </c>
      <c r="I35" s="16">
        <f>IFERROR(__xludf.DUMMYFUNCTION("""COMPUTED_VALUE"""),45792.6458333333)</f>
        <v>45792.6458333333</v>
      </c>
      <c r="J35" s="17">
        <f>IFERROR(__xludf.DUMMYFUNCTION("""COMPUTED_VALUE"""),4067.2)</f>
        <v>4067.2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IFERROR(__xludf.DUMMYFUNCTION("""COMPUTED_VALUE"""),4345.3)</f>
        <v>4345.3</v>
      </c>
      <c r="C36" s="16">
        <f>IFERROR(__xludf.DUMMYFUNCTION("""COMPUTED_VALUE"""),45793.6458333333)</f>
        <v>45793.6458333333</v>
      </c>
      <c r="D36" s="17">
        <f>IFERROR(__xludf.DUMMYFUNCTION("""COMPUTED_VALUE"""),4330)</f>
        <v>4330</v>
      </c>
      <c r="E36" s="16">
        <f>IFERROR(__xludf.DUMMYFUNCTION("""COMPUTED_VALUE"""),45793.6458333333)</f>
        <v>45793.6458333333</v>
      </c>
      <c r="F36" s="17">
        <f>IFERROR(__xludf.DUMMYFUNCTION("""COMPUTED_VALUE"""),765257)</f>
        <v>765257</v>
      </c>
      <c r="G36" s="16">
        <f>IFERROR(__xludf.DUMMYFUNCTION("""COMPUTED_VALUE"""),45793.6458333333)</f>
        <v>45793.6458333333</v>
      </c>
      <c r="H36" s="17">
        <f>IFERROR(__xludf.DUMMYFUNCTION("""COMPUTED_VALUE"""),4363)</f>
        <v>4363</v>
      </c>
      <c r="I36" s="16">
        <f>IFERROR(__xludf.DUMMYFUNCTION("""COMPUTED_VALUE"""),45793.6458333333)</f>
        <v>45793.6458333333</v>
      </c>
      <c r="J36" s="17">
        <f>IFERROR(__xludf.DUMMYFUNCTION("""COMPUTED_VALUE"""),4294.3)</f>
        <v>4294.3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IFERROR(__xludf.DUMMYFUNCTION("""COMPUTED_VALUE"""),4387.7)</f>
        <v>4387.7</v>
      </c>
      <c r="C37" s="16">
        <f>IFERROR(__xludf.DUMMYFUNCTION("""COMPUTED_VALUE"""),45796.6458333333)</f>
        <v>45796.6458333333</v>
      </c>
      <c r="D37" s="17">
        <f>IFERROR(__xludf.DUMMYFUNCTION("""COMPUTED_VALUE"""),4323.1)</f>
        <v>4323.1</v>
      </c>
      <c r="E37" s="16">
        <f>IFERROR(__xludf.DUMMYFUNCTION("""COMPUTED_VALUE"""),45796.6458333333)</f>
        <v>45796.6458333333</v>
      </c>
      <c r="F37" s="17">
        <f>IFERROR(__xludf.DUMMYFUNCTION("""COMPUTED_VALUE"""),753807)</f>
        <v>753807</v>
      </c>
      <c r="G37" s="16">
        <f>IFERROR(__xludf.DUMMYFUNCTION("""COMPUTED_VALUE"""),45796.6458333333)</f>
        <v>45796.6458333333</v>
      </c>
      <c r="H37" s="17">
        <f>IFERROR(__xludf.DUMMYFUNCTION("""COMPUTED_VALUE"""),4454.6)</f>
        <v>4454.6</v>
      </c>
      <c r="I37" s="16">
        <f>IFERROR(__xludf.DUMMYFUNCTION("""COMPUTED_VALUE"""),45796.6458333333)</f>
        <v>45796.6458333333</v>
      </c>
      <c r="J37" s="17">
        <f>IFERROR(__xludf.DUMMYFUNCTION("""COMPUTED_VALUE"""),4323.1)</f>
        <v>4323.1</v>
      </c>
      <c r="K37" s="3">
        <f t="shared" si="2"/>
        <v>4387.7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IFERROR(__xludf.DUMMYFUNCTION("""COMPUTED_VALUE"""),4241.6)</f>
        <v>4241.6</v>
      </c>
      <c r="C38" s="16">
        <f>IFERROR(__xludf.DUMMYFUNCTION("""COMPUTED_VALUE"""),45797.6458333333)</f>
        <v>45797.6458333333</v>
      </c>
      <c r="D38" s="17">
        <f>IFERROR(__xludf.DUMMYFUNCTION("""COMPUTED_VALUE"""),4409)</f>
        <v>4409</v>
      </c>
      <c r="E38" s="16">
        <f>IFERROR(__xludf.DUMMYFUNCTION("""COMPUTED_VALUE"""),45797.6458333333)</f>
        <v>45797.6458333333</v>
      </c>
      <c r="F38" s="17">
        <f>IFERROR(__xludf.DUMMYFUNCTION("""COMPUTED_VALUE"""),842529)</f>
        <v>842529</v>
      </c>
      <c r="G38" s="16">
        <f>IFERROR(__xludf.DUMMYFUNCTION("""COMPUTED_VALUE"""),45797.6458333333)</f>
        <v>45797.6458333333</v>
      </c>
      <c r="H38" s="17">
        <f>IFERROR(__xludf.DUMMYFUNCTION("""COMPUTED_VALUE"""),4437.2)</f>
        <v>4437.2</v>
      </c>
      <c r="I38" s="16">
        <f>IFERROR(__xludf.DUMMYFUNCTION("""COMPUTED_VALUE"""),45797.6458333333)</f>
        <v>45797.6458333333</v>
      </c>
      <c r="J38" s="17">
        <f>IFERROR(__xludf.DUMMYFUNCTION("""COMPUTED_VALUE"""),4231.4)</f>
        <v>4231.4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IFERROR(__xludf.DUMMYFUNCTION("""COMPUTED_VALUE"""),4263.8)</f>
        <v>4263.8</v>
      </c>
      <c r="C39" s="16">
        <f>IFERROR(__xludf.DUMMYFUNCTION("""COMPUTED_VALUE"""),45798.6458333333)</f>
        <v>45798.6458333333</v>
      </c>
      <c r="D39" s="17">
        <f>IFERROR(__xludf.DUMMYFUNCTION("""COMPUTED_VALUE"""),4241)</f>
        <v>4241</v>
      </c>
      <c r="E39" s="16">
        <f>IFERROR(__xludf.DUMMYFUNCTION("""COMPUTED_VALUE"""),45798.6458333333)</f>
        <v>45798.6458333333</v>
      </c>
      <c r="F39" s="17">
        <f>IFERROR(__xludf.DUMMYFUNCTION("""COMPUTED_VALUE"""),396931)</f>
        <v>396931</v>
      </c>
      <c r="G39" s="16">
        <f>IFERROR(__xludf.DUMMYFUNCTION("""COMPUTED_VALUE"""),45798.6458333333)</f>
        <v>45798.6458333333</v>
      </c>
      <c r="H39" s="17">
        <f>IFERROR(__xludf.DUMMYFUNCTION("""COMPUTED_VALUE"""),4288.9)</f>
        <v>4288.9</v>
      </c>
      <c r="I39" s="16">
        <f>IFERROR(__xludf.DUMMYFUNCTION("""COMPUTED_VALUE"""),45798.6458333333)</f>
        <v>45798.6458333333</v>
      </c>
      <c r="J39" s="17">
        <f>IFERROR(__xludf.DUMMYFUNCTION("""COMPUTED_VALUE"""),4212)</f>
        <v>4212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IFERROR(__xludf.DUMMYFUNCTION("""COMPUTED_VALUE"""),4276.3)</f>
        <v>4276.3</v>
      </c>
      <c r="C40" s="16">
        <f>IFERROR(__xludf.DUMMYFUNCTION("""COMPUTED_VALUE"""),45799.6458333333)</f>
        <v>45799.6458333333</v>
      </c>
      <c r="D40" s="17">
        <f>IFERROR(__xludf.DUMMYFUNCTION("""COMPUTED_VALUE"""),4250)</f>
        <v>4250</v>
      </c>
      <c r="E40" s="16">
        <f>IFERROR(__xludf.DUMMYFUNCTION("""COMPUTED_VALUE"""),45799.6458333333)</f>
        <v>45799.6458333333</v>
      </c>
      <c r="F40" s="17">
        <f>IFERROR(__xludf.DUMMYFUNCTION("""COMPUTED_VALUE"""),394809)</f>
        <v>394809</v>
      </c>
      <c r="G40" s="16">
        <f>IFERROR(__xludf.DUMMYFUNCTION("""COMPUTED_VALUE"""),45799.6458333333)</f>
        <v>45799.6458333333</v>
      </c>
      <c r="H40" s="17">
        <f>IFERROR(__xludf.DUMMYFUNCTION("""COMPUTED_VALUE"""),4284)</f>
        <v>4284</v>
      </c>
      <c r="I40" s="16">
        <f>IFERROR(__xludf.DUMMYFUNCTION("""COMPUTED_VALUE"""),45799.6458333333)</f>
        <v>45799.6458333333</v>
      </c>
      <c r="J40" s="17">
        <f>IFERROR(__xludf.DUMMYFUNCTION("""COMPUTED_VALUE"""),4202.9)</f>
        <v>4202.9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IFERROR(__xludf.DUMMYFUNCTION("""COMPUTED_VALUE"""),4308.8)</f>
        <v>4308.8</v>
      </c>
      <c r="C41" s="16">
        <f>IFERROR(__xludf.DUMMYFUNCTION("""COMPUTED_VALUE"""),45800.6458333333)</f>
        <v>45800.6458333333</v>
      </c>
      <c r="D41" s="17">
        <f>IFERROR(__xludf.DUMMYFUNCTION("""COMPUTED_VALUE"""),4288.9)</f>
        <v>4288.9</v>
      </c>
      <c r="E41" s="16">
        <f>IFERROR(__xludf.DUMMYFUNCTION("""COMPUTED_VALUE"""),45800.6458333333)</f>
        <v>45800.6458333333</v>
      </c>
      <c r="F41" s="17">
        <f>IFERROR(__xludf.DUMMYFUNCTION("""COMPUTED_VALUE"""),461297)</f>
        <v>461297</v>
      </c>
      <c r="G41" s="16">
        <f>IFERROR(__xludf.DUMMYFUNCTION("""COMPUTED_VALUE"""),45800.6458333333)</f>
        <v>45800.6458333333</v>
      </c>
      <c r="H41" s="17">
        <f>IFERROR(__xludf.DUMMYFUNCTION("""COMPUTED_VALUE"""),4335)</f>
        <v>4335</v>
      </c>
      <c r="I41" s="16">
        <f>IFERROR(__xludf.DUMMYFUNCTION("""COMPUTED_VALUE"""),45800.6458333333)</f>
        <v>45800.6458333333</v>
      </c>
      <c r="J41" s="17">
        <f>IFERROR(__xludf.DUMMYFUNCTION("""COMPUTED_VALUE"""),4276.4)</f>
        <v>4276.4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IFERROR(__xludf.DUMMYFUNCTION("""COMPUTED_VALUE"""),4359.4)</f>
        <v>4359.4</v>
      </c>
      <c r="C42" s="16">
        <f>IFERROR(__xludf.DUMMYFUNCTION("""COMPUTED_VALUE"""),45803.6458333333)</f>
        <v>45803.6458333333</v>
      </c>
      <c r="D42" s="17">
        <f>IFERROR(__xludf.DUMMYFUNCTION("""COMPUTED_VALUE"""),4309.9)</f>
        <v>4309.9</v>
      </c>
      <c r="E42" s="16">
        <f>IFERROR(__xludf.DUMMYFUNCTION("""COMPUTED_VALUE"""),45803.6458333333)</f>
        <v>45803.6458333333</v>
      </c>
      <c r="F42" s="17">
        <f>IFERROR(__xludf.DUMMYFUNCTION("""COMPUTED_VALUE"""),765160)</f>
        <v>765160</v>
      </c>
      <c r="G42" s="16">
        <f>IFERROR(__xludf.DUMMYFUNCTION("""COMPUTED_VALUE"""),45803.6458333333)</f>
        <v>45803.6458333333</v>
      </c>
      <c r="H42" s="17">
        <f>IFERROR(__xludf.DUMMYFUNCTION("""COMPUTED_VALUE"""),4418.3)</f>
        <v>4418.3</v>
      </c>
      <c r="I42" s="16">
        <f>IFERROR(__xludf.DUMMYFUNCTION("""COMPUTED_VALUE"""),45803.6458333333)</f>
        <v>45803.6458333333</v>
      </c>
      <c r="J42" s="17">
        <f>IFERROR(__xludf.DUMMYFUNCTION("""COMPUTED_VALUE"""),4300)</f>
        <v>4300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IFERROR(__xludf.DUMMYFUNCTION("""COMPUTED_VALUE"""),4338.2)</f>
        <v>4338.2</v>
      </c>
      <c r="C43" s="16">
        <f>IFERROR(__xludf.DUMMYFUNCTION("""COMPUTED_VALUE"""),45804.6458333333)</f>
        <v>45804.6458333333</v>
      </c>
      <c r="D43" s="17">
        <f>IFERROR(__xludf.DUMMYFUNCTION("""COMPUTED_VALUE"""),4370.5)</f>
        <v>4370.5</v>
      </c>
      <c r="E43" s="16">
        <f>IFERROR(__xludf.DUMMYFUNCTION("""COMPUTED_VALUE"""),45804.6458333333)</f>
        <v>45804.6458333333</v>
      </c>
      <c r="F43" s="17">
        <f>IFERROR(__xludf.DUMMYFUNCTION("""COMPUTED_VALUE"""),411809)</f>
        <v>411809</v>
      </c>
      <c r="G43" s="16">
        <f>IFERROR(__xludf.DUMMYFUNCTION("""COMPUTED_VALUE"""),45804.6458333333)</f>
        <v>45804.6458333333</v>
      </c>
      <c r="H43" s="17">
        <f>IFERROR(__xludf.DUMMYFUNCTION("""COMPUTED_VALUE"""),4374.9)</f>
        <v>4374.9</v>
      </c>
      <c r="I43" s="16">
        <f>IFERROR(__xludf.DUMMYFUNCTION("""COMPUTED_VALUE"""),45804.6458333333)</f>
        <v>45804.6458333333</v>
      </c>
      <c r="J43" s="17">
        <f>IFERROR(__xludf.DUMMYFUNCTION("""COMPUTED_VALUE"""),4300)</f>
        <v>4300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IFERROR(__xludf.DUMMYFUNCTION("""COMPUTED_VALUE"""),4362.2)</f>
        <v>4362.2</v>
      </c>
      <c r="C44" s="16">
        <f>IFERROR(__xludf.DUMMYFUNCTION("""COMPUTED_VALUE"""),45805.6458333333)</f>
        <v>45805.6458333333</v>
      </c>
      <c r="D44" s="17">
        <f>IFERROR(__xludf.DUMMYFUNCTION("""COMPUTED_VALUE"""),4368)</f>
        <v>4368</v>
      </c>
      <c r="E44" s="16">
        <f>IFERROR(__xludf.DUMMYFUNCTION("""COMPUTED_VALUE"""),45805.6458333333)</f>
        <v>45805.6458333333</v>
      </c>
      <c r="F44" s="17">
        <f>IFERROR(__xludf.DUMMYFUNCTION("""COMPUTED_VALUE"""),424160)</f>
        <v>424160</v>
      </c>
      <c r="G44" s="16">
        <f>IFERROR(__xludf.DUMMYFUNCTION("""COMPUTED_VALUE"""),45805.6458333333)</f>
        <v>45805.6458333333</v>
      </c>
      <c r="H44" s="17">
        <f>IFERROR(__xludf.DUMMYFUNCTION("""COMPUTED_VALUE"""),4383.4)</f>
        <v>4383.4</v>
      </c>
      <c r="I44" s="16">
        <f>IFERROR(__xludf.DUMMYFUNCTION("""COMPUTED_VALUE"""),45805.6458333333)</f>
        <v>45805.6458333333</v>
      </c>
      <c r="J44" s="17">
        <f>IFERROR(__xludf.DUMMYFUNCTION("""COMPUTED_VALUE"""),4310.5)</f>
        <v>4310.5</v>
      </c>
      <c r="K44" s="3">
        <f t="shared" si="2"/>
        <v>4362.2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IFERROR(__xludf.DUMMYFUNCTION("""COMPUTED_VALUE"""),4356.6)</f>
        <v>4356.6</v>
      </c>
      <c r="C45" s="16">
        <f>IFERROR(__xludf.DUMMYFUNCTION("""COMPUTED_VALUE"""),45806.6458333333)</f>
        <v>45806.6458333333</v>
      </c>
      <c r="D45" s="17">
        <f>IFERROR(__xludf.DUMMYFUNCTION("""COMPUTED_VALUE"""),4384)</f>
        <v>4384</v>
      </c>
      <c r="E45" s="16">
        <f>IFERROR(__xludf.DUMMYFUNCTION("""COMPUTED_VALUE"""),45806.6458333333)</f>
        <v>45806.6458333333</v>
      </c>
      <c r="F45" s="17">
        <f>IFERROR(__xludf.DUMMYFUNCTION("""COMPUTED_VALUE"""),369150)</f>
        <v>369150</v>
      </c>
      <c r="G45" s="16">
        <f>IFERROR(__xludf.DUMMYFUNCTION("""COMPUTED_VALUE"""),45806.6458333333)</f>
        <v>45806.6458333333</v>
      </c>
      <c r="H45" s="17">
        <f>IFERROR(__xludf.DUMMYFUNCTION("""COMPUTED_VALUE"""),4384)</f>
        <v>4384</v>
      </c>
      <c r="I45" s="16">
        <f>IFERROR(__xludf.DUMMYFUNCTION("""COMPUTED_VALUE"""),45806.6458333333)</f>
        <v>45806.6458333333</v>
      </c>
      <c r="J45" s="17">
        <f>IFERROR(__xludf.DUMMYFUNCTION("""COMPUTED_VALUE"""),4332.1)</f>
        <v>4332.1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IFERROR(__xludf.DUMMYFUNCTION("""COMPUTED_VALUE"""),4309.3)</f>
        <v>4309.3</v>
      </c>
      <c r="C46" s="16">
        <f>IFERROR(__xludf.DUMMYFUNCTION("""COMPUTED_VALUE"""),45807.6458333333)</f>
        <v>45807.6458333333</v>
      </c>
      <c r="D46" s="17">
        <f>IFERROR(__xludf.DUMMYFUNCTION("""COMPUTED_VALUE"""),4341.6)</f>
        <v>4341.6</v>
      </c>
      <c r="E46" s="16">
        <f>IFERROR(__xludf.DUMMYFUNCTION("""COMPUTED_VALUE"""),45807.6458333333)</f>
        <v>45807.6458333333</v>
      </c>
      <c r="F46" s="17">
        <f>IFERROR(__xludf.DUMMYFUNCTION("""COMPUTED_VALUE"""),914311)</f>
        <v>914311</v>
      </c>
      <c r="G46" s="16">
        <f>IFERROR(__xludf.DUMMYFUNCTION("""COMPUTED_VALUE"""),45807.6458333333)</f>
        <v>45807.6458333333</v>
      </c>
      <c r="H46" s="17">
        <f>IFERROR(__xludf.DUMMYFUNCTION("""COMPUTED_VALUE"""),4380)</f>
        <v>4380</v>
      </c>
      <c r="I46" s="16">
        <f>IFERROR(__xludf.DUMMYFUNCTION("""COMPUTED_VALUE"""),45807.6458333333)</f>
        <v>45807.6458333333</v>
      </c>
      <c r="J46" s="17">
        <f>IFERROR(__xludf.DUMMYFUNCTION("""COMPUTED_VALUE"""),4289.3)</f>
        <v>4289.3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IFERROR(__xludf.DUMMYFUNCTION("""COMPUTED_VALUE"""),4232.3)</f>
        <v>4232.3</v>
      </c>
      <c r="C47" s="16">
        <f>IFERROR(__xludf.DUMMYFUNCTION("""COMPUTED_VALUE"""),45810.6458333333)</f>
        <v>45810.6458333333</v>
      </c>
      <c r="D47" s="17">
        <f>IFERROR(__xludf.DUMMYFUNCTION("""COMPUTED_VALUE"""),4310.1)</f>
        <v>4310.1</v>
      </c>
      <c r="E47" s="16">
        <f>IFERROR(__xludf.DUMMYFUNCTION("""COMPUTED_VALUE"""),45810.6458333333)</f>
        <v>45810.6458333333</v>
      </c>
      <c r="F47" s="17">
        <f>IFERROR(__xludf.DUMMYFUNCTION("""COMPUTED_VALUE"""),771163)</f>
        <v>771163</v>
      </c>
      <c r="G47" s="16">
        <f>IFERROR(__xludf.DUMMYFUNCTION("""COMPUTED_VALUE"""),45810.6458333333)</f>
        <v>45810.6458333333</v>
      </c>
      <c r="H47" s="17">
        <f>IFERROR(__xludf.DUMMYFUNCTION("""COMPUTED_VALUE"""),4318.7)</f>
        <v>4318.7</v>
      </c>
      <c r="I47" s="16">
        <f>IFERROR(__xludf.DUMMYFUNCTION("""COMPUTED_VALUE"""),45810.6458333333)</f>
        <v>45810.6458333333</v>
      </c>
      <c r="J47" s="17">
        <f>IFERROR(__xludf.DUMMYFUNCTION("""COMPUTED_VALUE"""),4196)</f>
        <v>4196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IFERROR(__xludf.DUMMYFUNCTION("""COMPUTED_VALUE"""),4208.6)</f>
        <v>4208.6</v>
      </c>
      <c r="C48" s="16">
        <f>IFERROR(__xludf.DUMMYFUNCTION("""COMPUTED_VALUE"""),45811.6458333333)</f>
        <v>45811.6458333333</v>
      </c>
      <c r="D48" s="17">
        <f>IFERROR(__xludf.DUMMYFUNCTION("""COMPUTED_VALUE"""),4250)</f>
        <v>4250</v>
      </c>
      <c r="E48" s="16">
        <f>IFERROR(__xludf.DUMMYFUNCTION("""COMPUTED_VALUE"""),45811.6458333333)</f>
        <v>45811.6458333333</v>
      </c>
      <c r="F48" s="17">
        <f>IFERROR(__xludf.DUMMYFUNCTION("""COMPUTED_VALUE"""),417447)</f>
        <v>417447</v>
      </c>
      <c r="G48" s="16">
        <f>IFERROR(__xludf.DUMMYFUNCTION("""COMPUTED_VALUE"""),45811.6458333333)</f>
        <v>45811.6458333333</v>
      </c>
      <c r="H48" s="17">
        <f>IFERROR(__xludf.DUMMYFUNCTION("""COMPUTED_VALUE"""),4280.5)</f>
        <v>4280.5</v>
      </c>
      <c r="I48" s="16">
        <f>IFERROR(__xludf.DUMMYFUNCTION("""COMPUTED_VALUE"""),45811.6458333333)</f>
        <v>45811.6458333333</v>
      </c>
      <c r="J48" s="17">
        <f>IFERROR(__xludf.DUMMYFUNCTION("""COMPUTED_VALUE"""),4201)</f>
        <v>4201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IFERROR(__xludf.DUMMYFUNCTION("""COMPUTED_VALUE"""),4200.6)</f>
        <v>4200.6</v>
      </c>
      <c r="C49" s="16">
        <f>IFERROR(__xludf.DUMMYFUNCTION("""COMPUTED_VALUE"""),45812.6458333333)</f>
        <v>45812.6458333333</v>
      </c>
      <c r="D49" s="17">
        <f>IFERROR(__xludf.DUMMYFUNCTION("""COMPUTED_VALUE"""),4213)</f>
        <v>4213</v>
      </c>
      <c r="E49" s="16">
        <f>IFERROR(__xludf.DUMMYFUNCTION("""COMPUTED_VALUE"""),45812.6458333333)</f>
        <v>45812.6458333333</v>
      </c>
      <c r="F49" s="17">
        <f>IFERROR(__xludf.DUMMYFUNCTION("""COMPUTED_VALUE"""),353642)</f>
        <v>353642</v>
      </c>
      <c r="G49" s="16">
        <f>IFERROR(__xludf.DUMMYFUNCTION("""COMPUTED_VALUE"""),45812.6458333333)</f>
        <v>45812.6458333333</v>
      </c>
      <c r="H49" s="17">
        <f>IFERROR(__xludf.DUMMYFUNCTION("""COMPUTED_VALUE"""),4240.7)</f>
        <v>4240.7</v>
      </c>
      <c r="I49" s="16">
        <f>IFERROR(__xludf.DUMMYFUNCTION("""COMPUTED_VALUE"""),45812.6458333333)</f>
        <v>45812.6458333333</v>
      </c>
      <c r="J49" s="17">
        <f>IFERROR(__xludf.DUMMYFUNCTION("""COMPUTED_VALUE"""),4191.3)</f>
        <v>4191.3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IFERROR(__xludf.DUMMYFUNCTION("""COMPUTED_VALUE"""),4178.9)</f>
        <v>4178.9</v>
      </c>
      <c r="C50" s="16">
        <f>IFERROR(__xludf.DUMMYFUNCTION("""COMPUTED_VALUE"""),45813.6458333333)</f>
        <v>45813.6458333333</v>
      </c>
      <c r="D50" s="17">
        <f>IFERROR(__xludf.DUMMYFUNCTION("""COMPUTED_VALUE"""),4227.8)</f>
        <v>4227.8</v>
      </c>
      <c r="E50" s="16">
        <f>IFERROR(__xludf.DUMMYFUNCTION("""COMPUTED_VALUE"""),45813.6458333333)</f>
        <v>45813.6458333333</v>
      </c>
      <c r="F50" s="17">
        <f>IFERROR(__xludf.DUMMYFUNCTION("""COMPUTED_VALUE"""),394746)</f>
        <v>394746</v>
      </c>
      <c r="G50" s="16">
        <f>IFERROR(__xludf.DUMMYFUNCTION("""COMPUTED_VALUE"""),45813.6458333333)</f>
        <v>45813.6458333333</v>
      </c>
      <c r="H50" s="17">
        <f>IFERROR(__xludf.DUMMYFUNCTION("""COMPUTED_VALUE"""),4227.8)</f>
        <v>4227.8</v>
      </c>
      <c r="I50" s="16">
        <f>IFERROR(__xludf.DUMMYFUNCTION("""COMPUTED_VALUE"""),45813.6458333333)</f>
        <v>45813.6458333333</v>
      </c>
      <c r="J50" s="17">
        <f>IFERROR(__xludf.DUMMYFUNCTION("""COMPUTED_VALUE"""),4172.8)</f>
        <v>4172.8</v>
      </c>
      <c r="K50" s="3">
        <f t="shared" si="2"/>
        <v>0</v>
      </c>
      <c r="L50" s="3">
        <f t="shared" si="3"/>
        <v>4178.9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IFERROR(__xludf.DUMMYFUNCTION("""COMPUTED_VALUE"""),4268)</f>
        <v>4268</v>
      </c>
      <c r="C51" s="16">
        <f>IFERROR(__xludf.DUMMYFUNCTION("""COMPUTED_VALUE"""),45814.6458333333)</f>
        <v>45814.6458333333</v>
      </c>
      <c r="D51" s="17">
        <f>IFERROR(__xludf.DUMMYFUNCTION("""COMPUTED_VALUE"""),4189)</f>
        <v>4189</v>
      </c>
      <c r="E51" s="16">
        <f>IFERROR(__xludf.DUMMYFUNCTION("""COMPUTED_VALUE"""),45814.6458333333)</f>
        <v>45814.6458333333</v>
      </c>
      <c r="F51" s="17">
        <f>IFERROR(__xludf.DUMMYFUNCTION("""COMPUTED_VALUE"""),551467)</f>
        <v>551467</v>
      </c>
      <c r="G51" s="16">
        <f>IFERROR(__xludf.DUMMYFUNCTION("""COMPUTED_VALUE"""),45814.6458333333)</f>
        <v>45814.6458333333</v>
      </c>
      <c r="H51" s="17">
        <f>IFERROR(__xludf.DUMMYFUNCTION("""COMPUTED_VALUE"""),4296.9)</f>
        <v>4296.9</v>
      </c>
      <c r="I51" s="16">
        <f>IFERROR(__xludf.DUMMYFUNCTION("""COMPUTED_VALUE"""),45814.6458333333)</f>
        <v>45814.6458333333</v>
      </c>
      <c r="J51" s="17">
        <f>IFERROR(__xludf.DUMMYFUNCTION("""COMPUTED_VALUE"""),4158.1)</f>
        <v>4158.1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IFERROR(__xludf.DUMMYFUNCTION("""COMPUTED_VALUE"""),4349.4)</f>
        <v>4349.4</v>
      </c>
      <c r="C52" s="16">
        <f>IFERROR(__xludf.DUMMYFUNCTION("""COMPUTED_VALUE"""),45817.6458333333)</f>
        <v>45817.6458333333</v>
      </c>
      <c r="D52" s="17">
        <f>IFERROR(__xludf.DUMMYFUNCTION("""COMPUTED_VALUE"""),4304.9)</f>
        <v>4304.9</v>
      </c>
      <c r="E52" s="16">
        <f>IFERROR(__xludf.DUMMYFUNCTION("""COMPUTED_VALUE"""),45817.6458333333)</f>
        <v>45817.6458333333</v>
      </c>
      <c r="F52" s="17">
        <f>IFERROR(__xludf.DUMMYFUNCTION("""COMPUTED_VALUE"""),495256)</f>
        <v>495256</v>
      </c>
      <c r="G52" s="16">
        <f>IFERROR(__xludf.DUMMYFUNCTION("""COMPUTED_VALUE"""),45817.6458333333)</f>
        <v>45817.6458333333</v>
      </c>
      <c r="H52" s="17">
        <f>IFERROR(__xludf.DUMMYFUNCTION("""COMPUTED_VALUE"""),4360)</f>
        <v>4360</v>
      </c>
      <c r="I52" s="16">
        <f>IFERROR(__xludf.DUMMYFUNCTION("""COMPUTED_VALUE"""),45817.6458333333)</f>
        <v>45817.6458333333</v>
      </c>
      <c r="J52" s="17">
        <f>IFERROR(__xludf.DUMMYFUNCTION("""COMPUTED_VALUE"""),4275)</f>
        <v>4275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IFERROR(__xludf.DUMMYFUNCTION("""COMPUTED_VALUE"""),4379)</f>
        <v>4379</v>
      </c>
      <c r="C53" s="16">
        <f>IFERROR(__xludf.DUMMYFUNCTION("""COMPUTED_VALUE"""),45818.6458333333)</f>
        <v>45818.6458333333</v>
      </c>
      <c r="D53" s="17">
        <f>IFERROR(__xludf.DUMMYFUNCTION("""COMPUTED_VALUE"""),4370.1)</f>
        <v>4370.1</v>
      </c>
      <c r="E53" s="16">
        <f>IFERROR(__xludf.DUMMYFUNCTION("""COMPUTED_VALUE"""),45818.6458333333)</f>
        <v>45818.6458333333</v>
      </c>
      <c r="F53" s="17">
        <f>IFERROR(__xludf.DUMMYFUNCTION("""COMPUTED_VALUE"""),469185)</f>
        <v>469185</v>
      </c>
      <c r="G53" s="16">
        <f>IFERROR(__xludf.DUMMYFUNCTION("""COMPUTED_VALUE"""),45818.6458333333)</f>
        <v>45818.6458333333</v>
      </c>
      <c r="H53" s="17">
        <f>IFERROR(__xludf.DUMMYFUNCTION("""COMPUTED_VALUE"""),4392)</f>
        <v>4392</v>
      </c>
      <c r="I53" s="16">
        <f>IFERROR(__xludf.DUMMYFUNCTION("""COMPUTED_VALUE"""),45818.6458333333)</f>
        <v>45818.6458333333</v>
      </c>
      <c r="J53" s="17">
        <f>IFERROR(__xludf.DUMMYFUNCTION("""COMPUTED_VALUE"""),4329.7)</f>
        <v>4329.7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IFERROR(__xludf.DUMMYFUNCTION("""COMPUTED_VALUE"""),4410.3)</f>
        <v>4410.3</v>
      </c>
      <c r="C54" s="16">
        <f>IFERROR(__xludf.DUMMYFUNCTION("""COMPUTED_VALUE"""),45819.6458333333)</f>
        <v>45819.6458333333</v>
      </c>
      <c r="D54" s="17">
        <f>IFERROR(__xludf.DUMMYFUNCTION("""COMPUTED_VALUE"""),4375)</f>
        <v>4375</v>
      </c>
      <c r="E54" s="16">
        <f>IFERROR(__xludf.DUMMYFUNCTION("""COMPUTED_VALUE"""),45819.6458333333)</f>
        <v>45819.6458333333</v>
      </c>
      <c r="F54" s="17">
        <f>IFERROR(__xludf.DUMMYFUNCTION("""COMPUTED_VALUE"""),1241569)</f>
        <v>1241569</v>
      </c>
      <c r="G54" s="16">
        <f>IFERROR(__xludf.DUMMYFUNCTION("""COMPUTED_VALUE"""),45819.6458333333)</f>
        <v>45819.6458333333</v>
      </c>
      <c r="H54" s="17">
        <f>IFERROR(__xludf.DUMMYFUNCTION("""COMPUTED_VALUE"""),4486.7)</f>
        <v>4486.7</v>
      </c>
      <c r="I54" s="16">
        <f>IFERROR(__xludf.DUMMYFUNCTION("""COMPUTED_VALUE"""),45819.6458333333)</f>
        <v>45819.6458333333</v>
      </c>
      <c r="J54" s="17">
        <f>IFERROR(__xludf.DUMMYFUNCTION("""COMPUTED_VALUE"""),4365.9)</f>
        <v>4365.9</v>
      </c>
      <c r="K54" s="3">
        <f t="shared" si="2"/>
        <v>4410.3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IFERROR(__xludf.DUMMYFUNCTION("""COMPUTED_VALUE"""),4362.8)</f>
        <v>4362.8</v>
      </c>
      <c r="C55" s="16">
        <f>IFERROR(__xludf.DUMMYFUNCTION("""COMPUTED_VALUE"""),45820.6458333333)</f>
        <v>45820.6458333333</v>
      </c>
      <c r="D55" s="17">
        <f>IFERROR(__xludf.DUMMYFUNCTION("""COMPUTED_VALUE"""),4410.3)</f>
        <v>4410.3</v>
      </c>
      <c r="E55" s="16">
        <f>IFERROR(__xludf.DUMMYFUNCTION("""COMPUTED_VALUE"""),45820.6458333333)</f>
        <v>45820.6458333333</v>
      </c>
      <c r="F55" s="17">
        <f>IFERROR(__xludf.DUMMYFUNCTION("""COMPUTED_VALUE"""),813687)</f>
        <v>813687</v>
      </c>
      <c r="G55" s="16">
        <f>IFERROR(__xludf.DUMMYFUNCTION("""COMPUTED_VALUE"""),45820.6458333333)</f>
        <v>45820.6458333333</v>
      </c>
      <c r="H55" s="17">
        <f>IFERROR(__xludf.DUMMYFUNCTION("""COMPUTED_VALUE"""),4425)</f>
        <v>4425</v>
      </c>
      <c r="I55" s="16">
        <f>IFERROR(__xludf.DUMMYFUNCTION("""COMPUTED_VALUE"""),45820.6458333333)</f>
        <v>45820.6458333333</v>
      </c>
      <c r="J55" s="17">
        <f>IFERROR(__xludf.DUMMYFUNCTION("""COMPUTED_VALUE"""),4340)</f>
        <v>4340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IFERROR(__xludf.DUMMYFUNCTION("""COMPUTED_VALUE"""),4333.8)</f>
        <v>4333.8</v>
      </c>
      <c r="C56" s="16">
        <f>IFERROR(__xludf.DUMMYFUNCTION("""COMPUTED_VALUE"""),45821.6458333333)</f>
        <v>45821.6458333333</v>
      </c>
      <c r="D56" s="17">
        <f>IFERROR(__xludf.DUMMYFUNCTION("""COMPUTED_VALUE"""),4266.1)</f>
        <v>4266.1</v>
      </c>
      <c r="E56" s="16">
        <f>IFERROR(__xludf.DUMMYFUNCTION("""COMPUTED_VALUE"""),45821.6458333333)</f>
        <v>45821.6458333333</v>
      </c>
      <c r="F56" s="17">
        <f>IFERROR(__xludf.DUMMYFUNCTION("""COMPUTED_VALUE"""),521000)</f>
        <v>521000</v>
      </c>
      <c r="G56" s="16">
        <f>IFERROR(__xludf.DUMMYFUNCTION("""COMPUTED_VALUE"""),45821.6458333333)</f>
        <v>45821.6458333333</v>
      </c>
      <c r="H56" s="17">
        <f>IFERROR(__xludf.DUMMYFUNCTION("""COMPUTED_VALUE"""),4347)</f>
        <v>4347</v>
      </c>
      <c r="I56" s="16">
        <f>IFERROR(__xludf.DUMMYFUNCTION("""COMPUTED_VALUE"""),45821.6458333333)</f>
        <v>45821.6458333333</v>
      </c>
      <c r="J56" s="17">
        <f>IFERROR(__xludf.DUMMYFUNCTION("""COMPUTED_VALUE"""),4251.4)</f>
        <v>4251.4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IFERROR(__xludf.DUMMYFUNCTION("""COMPUTED_VALUE"""),4364.5)</f>
        <v>4364.5</v>
      </c>
      <c r="C57" s="16">
        <f>IFERROR(__xludf.DUMMYFUNCTION("""COMPUTED_VALUE"""),45824.6458333333)</f>
        <v>45824.6458333333</v>
      </c>
      <c r="D57" s="17">
        <f>IFERROR(__xludf.DUMMYFUNCTION("""COMPUTED_VALUE"""),4316)</f>
        <v>4316</v>
      </c>
      <c r="E57" s="16">
        <f>IFERROR(__xludf.DUMMYFUNCTION("""COMPUTED_VALUE"""),45824.6458333333)</f>
        <v>45824.6458333333</v>
      </c>
      <c r="F57" s="17">
        <f>IFERROR(__xludf.DUMMYFUNCTION("""COMPUTED_VALUE"""),360242)</f>
        <v>360242</v>
      </c>
      <c r="G57" s="16">
        <f>IFERROR(__xludf.DUMMYFUNCTION("""COMPUTED_VALUE"""),45824.6458333333)</f>
        <v>45824.6458333333</v>
      </c>
      <c r="H57" s="17">
        <f>IFERROR(__xludf.DUMMYFUNCTION("""COMPUTED_VALUE"""),4414.1)</f>
        <v>4414.1</v>
      </c>
      <c r="I57" s="16">
        <f>IFERROR(__xludf.DUMMYFUNCTION("""COMPUTED_VALUE"""),45824.6458333333)</f>
        <v>45824.6458333333</v>
      </c>
      <c r="J57" s="17">
        <f>IFERROR(__xludf.DUMMYFUNCTION("""COMPUTED_VALUE"""),4312.5)</f>
        <v>4312.5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IFERROR(__xludf.DUMMYFUNCTION("""COMPUTED_VALUE"""),4371)</f>
        <v>4371</v>
      </c>
      <c r="C58" s="16">
        <f>IFERROR(__xludf.DUMMYFUNCTION("""COMPUTED_VALUE"""),45825.6458333333)</f>
        <v>45825.6458333333</v>
      </c>
      <c r="D58" s="17">
        <f>IFERROR(__xludf.DUMMYFUNCTION("""COMPUTED_VALUE"""),4369)</f>
        <v>4369</v>
      </c>
      <c r="E58" s="16">
        <f>IFERROR(__xludf.DUMMYFUNCTION("""COMPUTED_VALUE"""),45825.6458333333)</f>
        <v>45825.6458333333</v>
      </c>
      <c r="F58" s="17">
        <f>IFERROR(__xludf.DUMMYFUNCTION("""COMPUTED_VALUE"""),331648)</f>
        <v>331648</v>
      </c>
      <c r="G58" s="16">
        <f>IFERROR(__xludf.DUMMYFUNCTION("""COMPUTED_VALUE"""),45825.6458333333)</f>
        <v>45825.6458333333</v>
      </c>
      <c r="H58" s="17">
        <f>IFERROR(__xludf.DUMMYFUNCTION("""COMPUTED_VALUE"""),4390)</f>
        <v>4390</v>
      </c>
      <c r="I58" s="16">
        <f>IFERROR(__xludf.DUMMYFUNCTION("""COMPUTED_VALUE"""),45825.6458333333)</f>
        <v>45825.6458333333</v>
      </c>
      <c r="J58" s="17">
        <f>IFERROR(__xludf.DUMMYFUNCTION("""COMPUTED_VALUE"""),4333.8)</f>
        <v>4333.8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IFERROR(__xludf.DUMMYFUNCTION("""COMPUTED_VALUE"""),4357.9)</f>
        <v>4357.9</v>
      </c>
      <c r="C59" s="16">
        <f>IFERROR(__xludf.DUMMYFUNCTION("""COMPUTED_VALUE"""),45826.6458333333)</f>
        <v>45826.6458333333</v>
      </c>
      <c r="D59" s="17">
        <f>IFERROR(__xludf.DUMMYFUNCTION("""COMPUTED_VALUE"""),4352)</f>
        <v>4352</v>
      </c>
      <c r="E59" s="16">
        <f>IFERROR(__xludf.DUMMYFUNCTION("""COMPUTED_VALUE"""),45826.6458333333)</f>
        <v>45826.6458333333</v>
      </c>
      <c r="F59" s="17">
        <f>IFERROR(__xludf.DUMMYFUNCTION("""COMPUTED_VALUE"""),370443)</f>
        <v>370443</v>
      </c>
      <c r="G59" s="16">
        <f>IFERROR(__xludf.DUMMYFUNCTION("""COMPUTED_VALUE"""),45826.6458333333)</f>
        <v>45826.6458333333</v>
      </c>
      <c r="H59" s="17">
        <f>IFERROR(__xludf.DUMMYFUNCTION("""COMPUTED_VALUE"""),4432)</f>
        <v>4432</v>
      </c>
      <c r="I59" s="16">
        <f>IFERROR(__xludf.DUMMYFUNCTION("""COMPUTED_VALUE"""),45826.6458333333)</f>
        <v>45826.6458333333</v>
      </c>
      <c r="J59" s="17">
        <f>IFERROR(__xludf.DUMMYFUNCTION("""COMPUTED_VALUE"""),4350)</f>
        <v>4350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IFERROR(__xludf.DUMMYFUNCTION("""COMPUTED_VALUE"""),4384.3)</f>
        <v>4384.3</v>
      </c>
      <c r="C60" s="16">
        <f>IFERROR(__xludf.DUMMYFUNCTION("""COMPUTED_VALUE"""),45827.6458333333)</f>
        <v>45827.6458333333</v>
      </c>
      <c r="D60" s="17">
        <f>IFERROR(__xludf.DUMMYFUNCTION("""COMPUTED_VALUE"""),4374.9)</f>
        <v>4374.9</v>
      </c>
      <c r="E60" s="16">
        <f>IFERROR(__xludf.DUMMYFUNCTION("""COMPUTED_VALUE"""),45827.6458333333)</f>
        <v>45827.6458333333</v>
      </c>
      <c r="F60" s="17">
        <f>IFERROR(__xludf.DUMMYFUNCTION("""COMPUTED_VALUE"""),425692)</f>
        <v>425692</v>
      </c>
      <c r="G60" s="16">
        <f>IFERROR(__xludf.DUMMYFUNCTION("""COMPUTED_VALUE"""),45827.6458333333)</f>
        <v>45827.6458333333</v>
      </c>
      <c r="H60" s="17">
        <f>IFERROR(__xludf.DUMMYFUNCTION("""COMPUTED_VALUE"""),4404)</f>
        <v>4404</v>
      </c>
      <c r="I60" s="16">
        <f>IFERROR(__xludf.DUMMYFUNCTION("""COMPUTED_VALUE"""),45827.6458333333)</f>
        <v>45827.6458333333</v>
      </c>
      <c r="J60" s="17">
        <f>IFERROR(__xludf.DUMMYFUNCTION("""COMPUTED_VALUE"""),4350.3)</f>
        <v>4350.3</v>
      </c>
      <c r="K60" s="3">
        <f t="shared" si="2"/>
        <v>0</v>
      </c>
      <c r="L60" s="3">
        <f t="shared" si="3"/>
        <v>0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IFERROR(__xludf.DUMMYFUNCTION("""COMPUTED_VALUE"""),4338.5)</f>
        <v>4338.5</v>
      </c>
      <c r="C61" s="16">
        <f>IFERROR(__xludf.DUMMYFUNCTION("""COMPUTED_VALUE"""),45828.6458333333)</f>
        <v>45828.6458333333</v>
      </c>
      <c r="D61" s="17">
        <f>IFERROR(__xludf.DUMMYFUNCTION("""COMPUTED_VALUE"""),4380.5)</f>
        <v>4380.5</v>
      </c>
      <c r="E61" s="16">
        <f>IFERROR(__xludf.DUMMYFUNCTION("""COMPUTED_VALUE"""),45828.6458333333)</f>
        <v>45828.6458333333</v>
      </c>
      <c r="F61" s="17">
        <f>IFERROR(__xludf.DUMMYFUNCTION("""COMPUTED_VALUE"""),1159015)</f>
        <v>1159015</v>
      </c>
      <c r="G61" s="16">
        <f>IFERROR(__xludf.DUMMYFUNCTION("""COMPUTED_VALUE"""),45828.6458333333)</f>
        <v>45828.6458333333</v>
      </c>
      <c r="H61" s="17">
        <f>IFERROR(__xludf.DUMMYFUNCTION("""COMPUTED_VALUE"""),4382.4)</f>
        <v>4382.4</v>
      </c>
      <c r="I61" s="16">
        <f>IFERROR(__xludf.DUMMYFUNCTION("""COMPUTED_VALUE"""),45828.6458333333)</f>
        <v>45828.6458333333</v>
      </c>
      <c r="J61" s="17">
        <f>IFERROR(__xludf.DUMMYFUNCTION("""COMPUTED_VALUE"""),4204.9)</f>
        <v>4204.9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IFERROR(__xludf.DUMMYFUNCTION("""COMPUTED_VALUE"""),4253.1)</f>
        <v>4253.1</v>
      </c>
      <c r="C62" s="16">
        <f>IFERROR(__xludf.DUMMYFUNCTION("""COMPUTED_VALUE"""),45831.6458333333)</f>
        <v>45831.6458333333</v>
      </c>
      <c r="D62" s="17">
        <f>IFERROR(__xludf.DUMMYFUNCTION("""COMPUTED_VALUE"""),4320)</f>
        <v>4320</v>
      </c>
      <c r="E62" s="16">
        <f>IFERROR(__xludf.DUMMYFUNCTION("""COMPUTED_VALUE"""),45831.6458333333)</f>
        <v>45831.6458333333</v>
      </c>
      <c r="F62" s="17">
        <f>IFERROR(__xludf.DUMMYFUNCTION("""COMPUTED_VALUE"""),580717)</f>
        <v>580717</v>
      </c>
      <c r="G62" s="16">
        <f>IFERROR(__xludf.DUMMYFUNCTION("""COMPUTED_VALUE"""),45831.6458333333)</f>
        <v>45831.6458333333</v>
      </c>
      <c r="H62" s="17">
        <f>IFERROR(__xludf.DUMMYFUNCTION("""COMPUTED_VALUE"""),4324.7)</f>
        <v>4324.7</v>
      </c>
      <c r="I62" s="16">
        <f>IFERROR(__xludf.DUMMYFUNCTION("""COMPUTED_VALUE"""),45831.6458333333)</f>
        <v>45831.6458333333</v>
      </c>
      <c r="J62" s="17">
        <f>IFERROR(__xludf.DUMMYFUNCTION("""COMPUTED_VALUE"""),4245)</f>
        <v>4245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IFERROR(__xludf.DUMMYFUNCTION("""COMPUTED_VALUE"""),4292.5)</f>
        <v>4292.5</v>
      </c>
      <c r="C63" s="16">
        <f>IFERROR(__xludf.DUMMYFUNCTION("""COMPUTED_VALUE"""),45832.6458333333)</f>
        <v>45832.6458333333</v>
      </c>
      <c r="D63" s="17">
        <f>IFERROR(__xludf.DUMMYFUNCTION("""COMPUTED_VALUE"""),4283.1)</f>
        <v>4283.1</v>
      </c>
      <c r="E63" s="16">
        <f>IFERROR(__xludf.DUMMYFUNCTION("""COMPUTED_VALUE"""),45832.6458333333)</f>
        <v>45832.6458333333</v>
      </c>
      <c r="F63" s="17">
        <f>IFERROR(__xludf.DUMMYFUNCTION("""COMPUTED_VALUE"""),469217)</f>
        <v>469217</v>
      </c>
      <c r="G63" s="16">
        <f>IFERROR(__xludf.DUMMYFUNCTION("""COMPUTED_VALUE"""),45832.6458333333)</f>
        <v>45832.6458333333</v>
      </c>
      <c r="H63" s="17">
        <f>IFERROR(__xludf.DUMMYFUNCTION("""COMPUTED_VALUE"""),4330)</f>
        <v>4330</v>
      </c>
      <c r="I63" s="16">
        <f>IFERROR(__xludf.DUMMYFUNCTION("""COMPUTED_VALUE"""),45832.6458333333)</f>
        <v>45832.6458333333</v>
      </c>
      <c r="J63" s="17">
        <f>IFERROR(__xludf.DUMMYFUNCTION("""COMPUTED_VALUE"""),4262)</f>
        <v>4262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IFERROR(__xludf.DUMMYFUNCTION("""COMPUTED_VALUE"""),4300.8)</f>
        <v>4300.8</v>
      </c>
      <c r="C64" s="16">
        <f>IFERROR(__xludf.DUMMYFUNCTION("""COMPUTED_VALUE"""),45833.6458333333)</f>
        <v>45833.6458333333</v>
      </c>
      <c r="D64" s="17">
        <f>IFERROR(__xludf.DUMMYFUNCTION("""COMPUTED_VALUE"""),4301.5)</f>
        <v>4301.5</v>
      </c>
      <c r="E64" s="16">
        <f>IFERROR(__xludf.DUMMYFUNCTION("""COMPUTED_VALUE"""),45833.6458333333)</f>
        <v>45833.6458333333</v>
      </c>
      <c r="F64" s="17">
        <f>IFERROR(__xludf.DUMMYFUNCTION("""COMPUTED_VALUE"""),412213)</f>
        <v>412213</v>
      </c>
      <c r="G64" s="16">
        <f>IFERROR(__xludf.DUMMYFUNCTION("""COMPUTED_VALUE"""),45833.6458333333)</f>
        <v>45833.6458333333</v>
      </c>
      <c r="H64" s="17">
        <f>IFERROR(__xludf.DUMMYFUNCTION("""COMPUTED_VALUE"""),4357.9)</f>
        <v>4357.9</v>
      </c>
      <c r="I64" s="16">
        <f>IFERROR(__xludf.DUMMYFUNCTION("""COMPUTED_VALUE"""),45833.6458333333)</f>
        <v>45833.6458333333</v>
      </c>
      <c r="J64" s="17">
        <f>IFERROR(__xludf.DUMMYFUNCTION("""COMPUTED_VALUE"""),4290)</f>
        <v>4290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IFERROR(__xludf.DUMMYFUNCTION("""COMPUTED_VALUE"""),4278)</f>
        <v>4278</v>
      </c>
      <c r="C65" s="16">
        <f>IFERROR(__xludf.DUMMYFUNCTION("""COMPUTED_VALUE"""),45834.6458333333)</f>
        <v>45834.6458333333</v>
      </c>
      <c r="D65" s="17">
        <f>IFERROR(__xludf.DUMMYFUNCTION("""COMPUTED_VALUE"""),4305.9)</f>
        <v>4305.9</v>
      </c>
      <c r="E65" s="16">
        <f>IFERROR(__xludf.DUMMYFUNCTION("""COMPUTED_VALUE"""),45834.6458333333)</f>
        <v>45834.6458333333</v>
      </c>
      <c r="F65" s="17">
        <f>IFERROR(__xludf.DUMMYFUNCTION("""COMPUTED_VALUE"""),795726)</f>
        <v>795726</v>
      </c>
      <c r="G65" s="16">
        <f>IFERROR(__xludf.DUMMYFUNCTION("""COMPUTED_VALUE"""),45834.6458333333)</f>
        <v>45834.6458333333</v>
      </c>
      <c r="H65" s="17">
        <f>IFERROR(__xludf.DUMMYFUNCTION("""COMPUTED_VALUE"""),4324.9)</f>
        <v>4324.9</v>
      </c>
      <c r="I65" s="16">
        <f>IFERROR(__xludf.DUMMYFUNCTION("""COMPUTED_VALUE"""),45834.6458333333)</f>
        <v>45834.6458333333</v>
      </c>
      <c r="J65" s="17">
        <f>IFERROR(__xludf.DUMMYFUNCTION("""COMPUTED_VALUE"""),4248.1)</f>
        <v>4248.1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IFERROR(__xludf.DUMMYFUNCTION("""COMPUTED_VALUE"""),4320.3)</f>
        <v>4320.3</v>
      </c>
      <c r="C66" s="16">
        <f>IFERROR(__xludf.DUMMYFUNCTION("""COMPUTED_VALUE"""),45835.6458333333)</f>
        <v>45835.6458333333</v>
      </c>
      <c r="D66" s="17">
        <f>IFERROR(__xludf.DUMMYFUNCTION("""COMPUTED_VALUE"""),4299)</f>
        <v>4299</v>
      </c>
      <c r="E66" s="16">
        <f>IFERROR(__xludf.DUMMYFUNCTION("""COMPUTED_VALUE"""),45835.6458333333)</f>
        <v>45835.6458333333</v>
      </c>
      <c r="F66" s="17">
        <f>IFERROR(__xludf.DUMMYFUNCTION("""COMPUTED_VALUE"""),543489)</f>
        <v>543489</v>
      </c>
      <c r="G66" s="16">
        <f>IFERROR(__xludf.DUMMYFUNCTION("""COMPUTED_VALUE"""),45835.6458333333)</f>
        <v>45835.6458333333</v>
      </c>
      <c r="H66" s="17">
        <f>IFERROR(__xludf.DUMMYFUNCTION("""COMPUTED_VALUE"""),4349.9)</f>
        <v>4349.9</v>
      </c>
      <c r="I66" s="16">
        <f>IFERROR(__xludf.DUMMYFUNCTION("""COMPUTED_VALUE"""),45835.6458333333)</f>
        <v>45835.6458333333</v>
      </c>
      <c r="J66" s="17">
        <f>IFERROR(__xludf.DUMMYFUNCTION("""COMPUTED_VALUE"""),4285)</f>
        <v>4285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IFERROR(__xludf.DUMMYFUNCTION("""COMPUTED_VALUE"""),4237.1)</f>
        <v>4237.1</v>
      </c>
      <c r="C67" s="16">
        <f>IFERROR(__xludf.DUMMYFUNCTION("""COMPUTED_VALUE"""),45838.6458333333)</f>
        <v>45838.6458333333</v>
      </c>
      <c r="D67" s="17">
        <f>IFERROR(__xludf.DUMMYFUNCTION("""COMPUTED_VALUE"""),4344)</f>
        <v>4344</v>
      </c>
      <c r="E67" s="16">
        <f>IFERROR(__xludf.DUMMYFUNCTION("""COMPUTED_VALUE"""),45838.6458333333)</f>
        <v>45838.6458333333</v>
      </c>
      <c r="F67" s="17">
        <f>IFERROR(__xludf.DUMMYFUNCTION("""COMPUTED_VALUE"""),871009)</f>
        <v>871009</v>
      </c>
      <c r="G67" s="16">
        <f>IFERROR(__xludf.DUMMYFUNCTION("""COMPUTED_VALUE"""),45838.6458333333)</f>
        <v>45838.6458333333</v>
      </c>
      <c r="H67" s="17">
        <f>IFERROR(__xludf.DUMMYFUNCTION("""COMPUTED_VALUE"""),4344)</f>
        <v>4344</v>
      </c>
      <c r="I67" s="16">
        <f>IFERROR(__xludf.DUMMYFUNCTION("""COMPUTED_VALUE"""),45838.6458333333)</f>
        <v>45838.6458333333</v>
      </c>
      <c r="J67" s="17">
        <f>IFERROR(__xludf.DUMMYFUNCTION("""COMPUTED_VALUE"""),4211)</f>
        <v>4211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IFERROR(__xludf.DUMMYFUNCTION("""COMPUTED_VALUE"""),4226)</f>
        <v>4226</v>
      </c>
      <c r="C68" s="16">
        <f>IFERROR(__xludf.DUMMYFUNCTION("""COMPUTED_VALUE"""),45839.6458333333)</f>
        <v>45839.6458333333</v>
      </c>
      <c r="D68" s="17">
        <f>IFERROR(__xludf.DUMMYFUNCTION("""COMPUTED_VALUE"""),4258.3)</f>
        <v>4258.3</v>
      </c>
      <c r="E68" s="16">
        <f>IFERROR(__xludf.DUMMYFUNCTION("""COMPUTED_VALUE"""),45839.6458333333)</f>
        <v>45839.6458333333</v>
      </c>
      <c r="F68" s="17">
        <f>IFERROR(__xludf.DUMMYFUNCTION("""COMPUTED_VALUE"""),480538)</f>
        <v>480538</v>
      </c>
      <c r="G68" s="16">
        <f>IFERROR(__xludf.DUMMYFUNCTION("""COMPUTED_VALUE"""),45839.6458333333)</f>
        <v>45839.6458333333</v>
      </c>
      <c r="H68" s="17">
        <f>IFERROR(__xludf.DUMMYFUNCTION("""COMPUTED_VALUE"""),4264)</f>
        <v>4264</v>
      </c>
      <c r="I68" s="16">
        <f>IFERROR(__xludf.DUMMYFUNCTION("""COMPUTED_VALUE"""),45839.6458333333)</f>
        <v>45839.6458333333</v>
      </c>
      <c r="J68" s="17">
        <f>IFERROR(__xludf.DUMMYFUNCTION("""COMPUTED_VALUE"""),4190.1)</f>
        <v>4190.1</v>
      </c>
      <c r="K68" s="3">
        <f t="shared" si="2"/>
        <v>0</v>
      </c>
      <c r="L68" s="3">
        <f t="shared" si="3"/>
        <v>4226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IFERROR(__xludf.DUMMYFUNCTION("""COMPUTED_VALUE"""),4243.7)</f>
        <v>4243.7</v>
      </c>
      <c r="C69" s="16">
        <f>IFERROR(__xludf.DUMMYFUNCTION("""COMPUTED_VALUE"""),45840.6458333333)</f>
        <v>45840.6458333333</v>
      </c>
      <c r="D69" s="17">
        <f>IFERROR(__xludf.DUMMYFUNCTION("""COMPUTED_VALUE"""),4284.4)</f>
        <v>4284.4</v>
      </c>
      <c r="E69" s="16">
        <f>IFERROR(__xludf.DUMMYFUNCTION("""COMPUTED_VALUE"""),45840.6458333333)</f>
        <v>45840.6458333333</v>
      </c>
      <c r="F69" s="17">
        <f>IFERROR(__xludf.DUMMYFUNCTION("""COMPUTED_VALUE"""),808159)</f>
        <v>808159</v>
      </c>
      <c r="G69" s="16">
        <f>IFERROR(__xludf.DUMMYFUNCTION("""COMPUTED_VALUE"""),45840.6458333333)</f>
        <v>45840.6458333333</v>
      </c>
      <c r="H69" s="17">
        <f>IFERROR(__xludf.DUMMYFUNCTION("""COMPUTED_VALUE"""),4324.6)</f>
        <v>4324.6</v>
      </c>
      <c r="I69" s="16">
        <f>IFERROR(__xludf.DUMMYFUNCTION("""COMPUTED_VALUE"""),45840.6458333333)</f>
        <v>45840.6458333333</v>
      </c>
      <c r="J69" s="17">
        <f>IFERROR(__xludf.DUMMYFUNCTION("""COMPUTED_VALUE"""),4230.1)</f>
        <v>4230.1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IFERROR(__xludf.DUMMYFUNCTION("""COMPUTED_VALUE"""),4310.6)</f>
        <v>4310.6</v>
      </c>
      <c r="C70" s="16">
        <f>IFERROR(__xludf.DUMMYFUNCTION("""COMPUTED_VALUE"""),45841.6458333333)</f>
        <v>45841.6458333333</v>
      </c>
      <c r="D70" s="17">
        <f>IFERROR(__xludf.DUMMYFUNCTION("""COMPUTED_VALUE"""),4244)</f>
        <v>4244</v>
      </c>
      <c r="E70" s="16">
        <f>IFERROR(__xludf.DUMMYFUNCTION("""COMPUTED_VALUE"""),45841.6458333333)</f>
        <v>45841.6458333333</v>
      </c>
      <c r="F70" s="17">
        <f>IFERROR(__xludf.DUMMYFUNCTION("""COMPUTED_VALUE"""),650625)</f>
        <v>650625</v>
      </c>
      <c r="G70" s="16">
        <f>IFERROR(__xludf.DUMMYFUNCTION("""COMPUTED_VALUE"""),45841.6458333333)</f>
        <v>45841.6458333333</v>
      </c>
      <c r="H70" s="17">
        <f>IFERROR(__xludf.DUMMYFUNCTION("""COMPUTED_VALUE"""),4350)</f>
        <v>4350</v>
      </c>
      <c r="I70" s="16">
        <f>IFERROR(__xludf.DUMMYFUNCTION("""COMPUTED_VALUE"""),45841.6458333333)</f>
        <v>45841.6458333333</v>
      </c>
      <c r="J70" s="17">
        <f>IFERROR(__xludf.DUMMYFUNCTION("""COMPUTED_VALUE"""),4238)</f>
        <v>4238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IFERROR(__xludf.DUMMYFUNCTION("""COMPUTED_VALUE"""),4345)</f>
        <v>4345</v>
      </c>
      <c r="C71" s="16">
        <f>IFERROR(__xludf.DUMMYFUNCTION("""COMPUTED_VALUE"""),45842.6458333333)</f>
        <v>45842.6458333333</v>
      </c>
      <c r="D71" s="17">
        <f>IFERROR(__xludf.DUMMYFUNCTION("""COMPUTED_VALUE"""),4325)</f>
        <v>4325</v>
      </c>
      <c r="E71" s="16">
        <f>IFERROR(__xludf.DUMMYFUNCTION("""COMPUTED_VALUE"""),45842.6458333333)</f>
        <v>45842.6458333333</v>
      </c>
      <c r="F71" s="17">
        <f>IFERROR(__xludf.DUMMYFUNCTION("""COMPUTED_VALUE"""),437195)</f>
        <v>437195</v>
      </c>
      <c r="G71" s="16">
        <f>IFERROR(__xludf.DUMMYFUNCTION("""COMPUTED_VALUE"""),45842.6458333333)</f>
        <v>45842.6458333333</v>
      </c>
      <c r="H71" s="17">
        <f>IFERROR(__xludf.DUMMYFUNCTION("""COMPUTED_VALUE"""),4374.7)</f>
        <v>4374.7</v>
      </c>
      <c r="I71" s="16">
        <f>IFERROR(__xludf.DUMMYFUNCTION("""COMPUTED_VALUE"""),45842.6458333333)</f>
        <v>45842.6458333333</v>
      </c>
      <c r="J71" s="17">
        <f>IFERROR(__xludf.DUMMYFUNCTION("""COMPUTED_VALUE"""),4307.1)</f>
        <v>4307.1</v>
      </c>
      <c r="K71" s="3">
        <f t="shared" si="2"/>
        <v>4345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IFERROR(__xludf.DUMMYFUNCTION("""COMPUTED_VALUE"""),4307)</f>
        <v>4307</v>
      </c>
      <c r="C72" s="16">
        <f>IFERROR(__xludf.DUMMYFUNCTION("""COMPUTED_VALUE"""),45845.6458333333)</f>
        <v>45845.6458333333</v>
      </c>
      <c r="D72" s="17">
        <f>IFERROR(__xludf.DUMMYFUNCTION("""COMPUTED_VALUE"""),4340)</f>
        <v>4340</v>
      </c>
      <c r="E72" s="16">
        <f>IFERROR(__xludf.DUMMYFUNCTION("""COMPUTED_VALUE"""),45845.6458333333)</f>
        <v>45845.6458333333</v>
      </c>
      <c r="F72" s="17">
        <f>IFERROR(__xludf.DUMMYFUNCTION("""COMPUTED_VALUE"""),353771)</f>
        <v>353771</v>
      </c>
      <c r="G72" s="16">
        <f>IFERROR(__xludf.DUMMYFUNCTION("""COMPUTED_VALUE"""),45845.6458333333)</f>
        <v>45845.6458333333</v>
      </c>
      <c r="H72" s="17">
        <f>IFERROR(__xludf.DUMMYFUNCTION("""COMPUTED_VALUE"""),4359.6)</f>
        <v>4359.6</v>
      </c>
      <c r="I72" s="16">
        <f>IFERROR(__xludf.DUMMYFUNCTION("""COMPUTED_VALUE"""),45845.6458333333)</f>
        <v>45845.6458333333</v>
      </c>
      <c r="J72" s="17">
        <f>IFERROR(__xludf.DUMMYFUNCTION("""COMPUTED_VALUE"""),4293)</f>
        <v>4293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IFERROR(__xludf.DUMMYFUNCTION("""COMPUTED_VALUE"""),4300.4)</f>
        <v>4300.4</v>
      </c>
      <c r="C73" s="16">
        <f>IFERROR(__xludf.DUMMYFUNCTION("""COMPUTED_VALUE"""),45846.6458333333)</f>
        <v>45846.6458333333</v>
      </c>
      <c r="D73" s="17">
        <f>IFERROR(__xludf.DUMMYFUNCTION("""COMPUTED_VALUE"""),4305.1)</f>
        <v>4305.1</v>
      </c>
      <c r="E73" s="16">
        <f>IFERROR(__xludf.DUMMYFUNCTION("""COMPUTED_VALUE"""),45846.6458333333)</f>
        <v>45846.6458333333</v>
      </c>
      <c r="F73" s="17">
        <f>IFERROR(__xludf.DUMMYFUNCTION("""COMPUTED_VALUE"""),467771)</f>
        <v>467771</v>
      </c>
      <c r="G73" s="16">
        <f>IFERROR(__xludf.DUMMYFUNCTION("""COMPUTED_VALUE"""),45846.6458333333)</f>
        <v>45846.6458333333</v>
      </c>
      <c r="H73" s="17">
        <f>IFERROR(__xludf.DUMMYFUNCTION("""COMPUTED_VALUE"""),4329)</f>
        <v>4329</v>
      </c>
      <c r="I73" s="16">
        <f>IFERROR(__xludf.DUMMYFUNCTION("""COMPUTED_VALUE"""),45846.6458333333)</f>
        <v>45846.6458333333</v>
      </c>
      <c r="J73" s="17">
        <f>IFERROR(__xludf.DUMMYFUNCTION("""COMPUTED_VALUE"""),4240)</f>
        <v>4240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IFERROR(__xludf.DUMMYFUNCTION("""COMPUTED_VALUE"""),4333.1)</f>
        <v>4333.1</v>
      </c>
      <c r="C74" s="16">
        <f>IFERROR(__xludf.DUMMYFUNCTION("""COMPUTED_VALUE"""),45847.6458333333)</f>
        <v>45847.6458333333</v>
      </c>
      <c r="D74" s="17">
        <f>IFERROR(__xludf.DUMMYFUNCTION("""COMPUTED_VALUE"""),4300)</f>
        <v>4300</v>
      </c>
      <c r="E74" s="16">
        <f>IFERROR(__xludf.DUMMYFUNCTION("""COMPUTED_VALUE"""),45847.6458333333)</f>
        <v>45847.6458333333</v>
      </c>
      <c r="F74" s="17">
        <f>IFERROR(__xludf.DUMMYFUNCTION("""COMPUTED_VALUE"""),276485)</f>
        <v>276485</v>
      </c>
      <c r="G74" s="16">
        <f>IFERROR(__xludf.DUMMYFUNCTION("""COMPUTED_VALUE"""),45847.6458333333)</f>
        <v>45847.6458333333</v>
      </c>
      <c r="H74" s="17">
        <f>IFERROR(__xludf.DUMMYFUNCTION("""COMPUTED_VALUE"""),4344)</f>
        <v>4344</v>
      </c>
      <c r="I74" s="16">
        <f>IFERROR(__xludf.DUMMYFUNCTION("""COMPUTED_VALUE"""),45847.6458333333)</f>
        <v>45847.6458333333</v>
      </c>
      <c r="J74" s="17">
        <f>IFERROR(__xludf.DUMMYFUNCTION("""COMPUTED_VALUE"""),4290.2)</f>
        <v>4290.2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IFERROR(__xludf.DUMMYFUNCTION("""COMPUTED_VALUE"""),4321.3)</f>
        <v>4321.3</v>
      </c>
      <c r="C75" s="16">
        <f>IFERROR(__xludf.DUMMYFUNCTION("""COMPUTED_VALUE"""),45848.6458333333)</f>
        <v>45848.6458333333</v>
      </c>
      <c r="D75" s="17">
        <f>IFERROR(__xludf.DUMMYFUNCTION("""COMPUTED_VALUE"""),4330.1)</f>
        <v>4330.1</v>
      </c>
      <c r="E75" s="16">
        <f>IFERROR(__xludf.DUMMYFUNCTION("""COMPUTED_VALUE"""),45848.6458333333)</f>
        <v>45848.6458333333</v>
      </c>
      <c r="F75" s="17">
        <f>IFERROR(__xludf.DUMMYFUNCTION("""COMPUTED_VALUE"""),368728)</f>
        <v>368728</v>
      </c>
      <c r="G75" s="16">
        <f>IFERROR(__xludf.DUMMYFUNCTION("""COMPUTED_VALUE"""),45848.6458333333)</f>
        <v>45848.6458333333</v>
      </c>
      <c r="H75" s="17">
        <f>IFERROR(__xludf.DUMMYFUNCTION("""COMPUTED_VALUE"""),4348.9)</f>
        <v>4348.9</v>
      </c>
      <c r="I75" s="16">
        <f>IFERROR(__xludf.DUMMYFUNCTION("""COMPUTED_VALUE"""),45848.6458333333)</f>
        <v>45848.6458333333</v>
      </c>
      <c r="J75" s="17">
        <f>IFERROR(__xludf.DUMMYFUNCTION("""COMPUTED_VALUE"""),4310)</f>
        <v>4310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IFERROR(__xludf.DUMMYFUNCTION("""COMPUTED_VALUE"""),4218.7)</f>
        <v>4218.7</v>
      </c>
      <c r="C76" s="16">
        <f>IFERROR(__xludf.DUMMYFUNCTION("""COMPUTED_VALUE"""),45849.6458333333)</f>
        <v>45849.6458333333</v>
      </c>
      <c r="D76" s="17">
        <f>IFERROR(__xludf.DUMMYFUNCTION("""COMPUTED_VALUE"""),4300.1)</f>
        <v>4300.1</v>
      </c>
      <c r="E76" s="16">
        <f>IFERROR(__xludf.DUMMYFUNCTION("""COMPUTED_VALUE"""),45849.6458333333)</f>
        <v>45849.6458333333</v>
      </c>
      <c r="F76" s="17">
        <f>IFERROR(__xludf.DUMMYFUNCTION("""COMPUTED_VALUE"""),556464)</f>
        <v>556464</v>
      </c>
      <c r="G76" s="16">
        <f>IFERROR(__xludf.DUMMYFUNCTION("""COMPUTED_VALUE"""),45849.6458333333)</f>
        <v>45849.6458333333</v>
      </c>
      <c r="H76" s="17">
        <f>IFERROR(__xludf.DUMMYFUNCTION("""COMPUTED_VALUE"""),4340)</f>
        <v>4340</v>
      </c>
      <c r="I76" s="16">
        <f>IFERROR(__xludf.DUMMYFUNCTION("""COMPUTED_VALUE"""),45849.6458333333)</f>
        <v>45849.6458333333</v>
      </c>
      <c r="J76" s="17">
        <f>IFERROR(__xludf.DUMMYFUNCTION("""COMPUTED_VALUE"""),4190)</f>
        <v>4190</v>
      </c>
      <c r="K76" s="3">
        <f t="shared" si="2"/>
        <v>0</v>
      </c>
      <c r="L76" s="3">
        <f t="shared" si="3"/>
        <v>4218.7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IFERROR(__xludf.DUMMYFUNCTION("""COMPUTED_VALUE"""),4251.7)</f>
        <v>4251.7</v>
      </c>
      <c r="C77" s="16">
        <f>IFERROR(__xludf.DUMMYFUNCTION("""COMPUTED_VALUE"""),45852.6458333333)</f>
        <v>45852.6458333333</v>
      </c>
      <c r="D77" s="17">
        <f>IFERROR(__xludf.DUMMYFUNCTION("""COMPUTED_VALUE"""),4219)</f>
        <v>4219</v>
      </c>
      <c r="E77" s="16">
        <f>IFERROR(__xludf.DUMMYFUNCTION("""COMPUTED_VALUE"""),45852.6458333333)</f>
        <v>45852.6458333333</v>
      </c>
      <c r="F77" s="17">
        <f>IFERROR(__xludf.DUMMYFUNCTION("""COMPUTED_VALUE"""),293675)</f>
        <v>293675</v>
      </c>
      <c r="G77" s="16">
        <f>IFERROR(__xludf.DUMMYFUNCTION("""COMPUTED_VALUE"""),45852.6458333333)</f>
        <v>45852.6458333333</v>
      </c>
      <c r="H77" s="17">
        <f>IFERROR(__xludf.DUMMYFUNCTION("""COMPUTED_VALUE"""),4259)</f>
        <v>4259</v>
      </c>
      <c r="I77" s="16">
        <f>IFERROR(__xludf.DUMMYFUNCTION("""COMPUTED_VALUE"""),45852.6458333333)</f>
        <v>45852.6458333333</v>
      </c>
      <c r="J77" s="17">
        <f>IFERROR(__xludf.DUMMYFUNCTION("""COMPUTED_VALUE"""),4197.2)</f>
        <v>4197.2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IFERROR(__xludf.DUMMYFUNCTION("""COMPUTED_VALUE"""),4454)</f>
        <v>4454</v>
      </c>
      <c r="C78" s="16">
        <f>IFERROR(__xludf.DUMMYFUNCTION("""COMPUTED_VALUE"""),45853.6458333333)</f>
        <v>45853.6458333333</v>
      </c>
      <c r="D78" s="17">
        <f>IFERROR(__xludf.DUMMYFUNCTION("""COMPUTED_VALUE"""),4275.8)</f>
        <v>4275.8</v>
      </c>
      <c r="E78" s="16">
        <f>IFERROR(__xludf.DUMMYFUNCTION("""COMPUTED_VALUE"""),45853.6458333333)</f>
        <v>45853.6458333333</v>
      </c>
      <c r="F78" s="17">
        <f>IFERROR(__xludf.DUMMYFUNCTION("""COMPUTED_VALUE"""),1756329)</f>
        <v>1756329</v>
      </c>
      <c r="G78" s="16">
        <f>IFERROR(__xludf.DUMMYFUNCTION("""COMPUTED_VALUE"""),45853.6458333333)</f>
        <v>45853.6458333333</v>
      </c>
      <c r="H78" s="17">
        <f>IFERROR(__xludf.DUMMYFUNCTION("""COMPUTED_VALUE"""),4465)</f>
        <v>4465</v>
      </c>
      <c r="I78" s="16">
        <f>IFERROR(__xludf.DUMMYFUNCTION("""COMPUTED_VALUE"""),45853.6458333333)</f>
        <v>45853.6458333333</v>
      </c>
      <c r="J78" s="17">
        <f>IFERROR(__xludf.DUMMYFUNCTION("""COMPUTED_VALUE"""),4260.1)</f>
        <v>4260.1</v>
      </c>
      <c r="K78" s="3">
        <f t="shared" si="2"/>
        <v>4454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IFERROR(__xludf.DUMMYFUNCTION("""COMPUTED_VALUE"""),4424.5)</f>
        <v>4424.5</v>
      </c>
      <c r="C79" s="16">
        <f>IFERROR(__xludf.DUMMYFUNCTION("""COMPUTED_VALUE"""),45854.6458333333)</f>
        <v>45854.6458333333</v>
      </c>
      <c r="D79" s="17">
        <f>IFERROR(__xludf.DUMMYFUNCTION("""COMPUTED_VALUE"""),4454)</f>
        <v>4454</v>
      </c>
      <c r="E79" s="16">
        <f>IFERROR(__xludf.DUMMYFUNCTION("""COMPUTED_VALUE"""),45854.6458333333)</f>
        <v>45854.6458333333</v>
      </c>
      <c r="F79" s="17">
        <f>IFERROR(__xludf.DUMMYFUNCTION("""COMPUTED_VALUE"""),791606)</f>
        <v>791606</v>
      </c>
      <c r="G79" s="16">
        <f>IFERROR(__xludf.DUMMYFUNCTION("""COMPUTED_VALUE"""),45854.6458333333)</f>
        <v>45854.6458333333</v>
      </c>
      <c r="H79" s="17">
        <f>IFERROR(__xludf.DUMMYFUNCTION("""COMPUTED_VALUE"""),4470)</f>
        <v>4470</v>
      </c>
      <c r="I79" s="16">
        <f>IFERROR(__xludf.DUMMYFUNCTION("""COMPUTED_VALUE"""),45854.6458333333)</f>
        <v>45854.6458333333</v>
      </c>
      <c r="J79" s="17">
        <f>IFERROR(__xludf.DUMMYFUNCTION("""COMPUTED_VALUE"""),4371)</f>
        <v>4371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IFERROR(__xludf.DUMMYFUNCTION("""COMPUTED_VALUE"""),4443.6)</f>
        <v>4443.6</v>
      </c>
      <c r="C80" s="16">
        <f>IFERROR(__xludf.DUMMYFUNCTION("""COMPUTED_VALUE"""),45855.6458333333)</f>
        <v>45855.6458333333</v>
      </c>
      <c r="D80" s="17">
        <f>IFERROR(__xludf.DUMMYFUNCTION("""COMPUTED_VALUE"""),4437)</f>
        <v>4437</v>
      </c>
      <c r="E80" s="16">
        <f>IFERROR(__xludf.DUMMYFUNCTION("""COMPUTED_VALUE"""),45855.6458333333)</f>
        <v>45855.6458333333</v>
      </c>
      <c r="F80" s="17">
        <f>IFERROR(__xludf.DUMMYFUNCTION("""COMPUTED_VALUE"""),414759)</f>
        <v>414759</v>
      </c>
      <c r="G80" s="16">
        <f>IFERROR(__xludf.DUMMYFUNCTION("""COMPUTED_VALUE"""),45855.6458333333)</f>
        <v>45855.6458333333</v>
      </c>
      <c r="H80" s="17">
        <f>IFERROR(__xludf.DUMMYFUNCTION("""COMPUTED_VALUE"""),4463.9)</f>
        <v>4463.9</v>
      </c>
      <c r="I80" s="16">
        <f>IFERROR(__xludf.DUMMYFUNCTION("""COMPUTED_VALUE"""),45855.6458333333)</f>
        <v>45855.6458333333</v>
      </c>
      <c r="J80" s="17">
        <f>IFERROR(__xludf.DUMMYFUNCTION("""COMPUTED_VALUE"""),4412)</f>
        <v>4412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IFERROR(__xludf.DUMMYFUNCTION("""COMPUTED_VALUE"""),4396.7)</f>
        <v>4396.7</v>
      </c>
      <c r="C81" s="16">
        <f>IFERROR(__xludf.DUMMYFUNCTION("""COMPUTED_VALUE"""),45856.6458333333)</f>
        <v>45856.6458333333</v>
      </c>
      <c r="D81" s="17">
        <f>IFERROR(__xludf.DUMMYFUNCTION("""COMPUTED_VALUE"""),4450)</f>
        <v>4450</v>
      </c>
      <c r="E81" s="16">
        <f>IFERROR(__xludf.DUMMYFUNCTION("""COMPUTED_VALUE"""),45856.6458333333)</f>
        <v>45856.6458333333</v>
      </c>
      <c r="F81" s="17">
        <f>IFERROR(__xludf.DUMMYFUNCTION("""COMPUTED_VALUE"""),370997)</f>
        <v>370997</v>
      </c>
      <c r="G81" s="16">
        <f>IFERROR(__xludf.DUMMYFUNCTION("""COMPUTED_VALUE"""),45856.6458333333)</f>
        <v>45856.6458333333</v>
      </c>
      <c r="H81" s="17">
        <f>IFERROR(__xludf.DUMMYFUNCTION("""COMPUTED_VALUE"""),4484)</f>
        <v>4484</v>
      </c>
      <c r="I81" s="16">
        <f>IFERROR(__xludf.DUMMYFUNCTION("""COMPUTED_VALUE"""),45856.6458333333)</f>
        <v>45856.6458333333</v>
      </c>
      <c r="J81" s="17">
        <f>IFERROR(__xludf.DUMMYFUNCTION("""COMPUTED_VALUE"""),4387.2)</f>
        <v>4387.2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IFERROR(__xludf.DUMMYFUNCTION("""COMPUTED_VALUE"""),4408.2)</f>
        <v>4408.2</v>
      </c>
      <c r="C82" s="16">
        <f>IFERROR(__xludf.DUMMYFUNCTION("""COMPUTED_VALUE"""),45859.6458333333)</f>
        <v>45859.6458333333</v>
      </c>
      <c r="D82" s="17">
        <f>IFERROR(__xludf.DUMMYFUNCTION("""COMPUTED_VALUE"""),4410)</f>
        <v>4410</v>
      </c>
      <c r="E82" s="16">
        <f>IFERROR(__xludf.DUMMYFUNCTION("""COMPUTED_VALUE"""),45859.6458333333)</f>
        <v>45859.6458333333</v>
      </c>
      <c r="F82" s="17">
        <f>IFERROR(__xludf.DUMMYFUNCTION("""COMPUTED_VALUE"""),269975)</f>
        <v>269975</v>
      </c>
      <c r="G82" s="16">
        <f>IFERROR(__xludf.DUMMYFUNCTION("""COMPUTED_VALUE"""),45859.6458333333)</f>
        <v>45859.6458333333</v>
      </c>
      <c r="H82" s="17">
        <f>IFERROR(__xludf.DUMMYFUNCTION("""COMPUTED_VALUE"""),4422)</f>
        <v>4422</v>
      </c>
      <c r="I82" s="16">
        <f>IFERROR(__xludf.DUMMYFUNCTION("""COMPUTED_VALUE"""),45859.6458333333)</f>
        <v>45859.6458333333</v>
      </c>
      <c r="J82" s="17">
        <f>IFERROR(__xludf.DUMMYFUNCTION("""COMPUTED_VALUE"""),4346.2)</f>
        <v>4346.2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IFERROR(__xludf.DUMMYFUNCTION("""COMPUTED_VALUE"""),4342.4)</f>
        <v>4342.4</v>
      </c>
      <c r="C83" s="16">
        <f>IFERROR(__xludf.DUMMYFUNCTION("""COMPUTED_VALUE"""),45860.6458333333)</f>
        <v>45860.6458333333</v>
      </c>
      <c r="D83" s="17">
        <f>IFERROR(__xludf.DUMMYFUNCTION("""COMPUTED_VALUE"""),4418)</f>
        <v>4418</v>
      </c>
      <c r="E83" s="16">
        <f>IFERROR(__xludf.DUMMYFUNCTION("""COMPUTED_VALUE"""),45860.6458333333)</f>
        <v>45860.6458333333</v>
      </c>
      <c r="F83" s="17">
        <f>IFERROR(__xludf.DUMMYFUNCTION("""COMPUTED_VALUE"""),463290)</f>
        <v>463290</v>
      </c>
      <c r="G83" s="16">
        <f>IFERROR(__xludf.DUMMYFUNCTION("""COMPUTED_VALUE"""),45860.6458333333)</f>
        <v>45860.6458333333</v>
      </c>
      <c r="H83" s="17">
        <f>IFERROR(__xludf.DUMMYFUNCTION("""COMPUTED_VALUE"""),4431.7)</f>
        <v>4431.7</v>
      </c>
      <c r="I83" s="16">
        <f>IFERROR(__xludf.DUMMYFUNCTION("""COMPUTED_VALUE"""),45860.6458333333)</f>
        <v>45860.6458333333</v>
      </c>
      <c r="J83" s="17">
        <f>IFERROR(__xludf.DUMMYFUNCTION("""COMPUTED_VALUE"""),4318.8)</f>
        <v>4318.8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IFERROR(__xludf.DUMMYFUNCTION("""COMPUTED_VALUE"""),4363.7)</f>
        <v>4363.7</v>
      </c>
      <c r="C84" s="16">
        <f>IFERROR(__xludf.DUMMYFUNCTION("""COMPUTED_VALUE"""),45861.6458333333)</f>
        <v>45861.6458333333</v>
      </c>
      <c r="D84" s="17">
        <f>IFERROR(__xludf.DUMMYFUNCTION("""COMPUTED_VALUE"""),4360)</f>
        <v>4360</v>
      </c>
      <c r="E84" s="16">
        <f>IFERROR(__xludf.DUMMYFUNCTION("""COMPUTED_VALUE"""),45861.6458333333)</f>
        <v>45861.6458333333</v>
      </c>
      <c r="F84" s="17">
        <f>IFERROR(__xludf.DUMMYFUNCTION("""COMPUTED_VALUE"""),376802)</f>
        <v>376802</v>
      </c>
      <c r="G84" s="16">
        <f>IFERROR(__xludf.DUMMYFUNCTION("""COMPUTED_VALUE"""),45861.6458333333)</f>
        <v>45861.6458333333</v>
      </c>
      <c r="H84" s="17">
        <f>IFERROR(__xludf.DUMMYFUNCTION("""COMPUTED_VALUE"""),4377)</f>
        <v>4377</v>
      </c>
      <c r="I84" s="16">
        <f>IFERROR(__xludf.DUMMYFUNCTION("""COMPUTED_VALUE"""),45861.6458333333)</f>
        <v>45861.6458333333</v>
      </c>
      <c r="J84" s="17">
        <f>IFERROR(__xludf.DUMMYFUNCTION("""COMPUTED_VALUE"""),4325.9)</f>
        <v>4325.9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IFERROR(__xludf.DUMMYFUNCTION("""COMPUTED_VALUE"""),4301.9)</f>
        <v>4301.9</v>
      </c>
      <c r="C85" s="16">
        <f>IFERROR(__xludf.DUMMYFUNCTION("""COMPUTED_VALUE"""),45862.6458333333)</f>
        <v>45862.6458333333</v>
      </c>
      <c r="D85" s="17">
        <f>IFERROR(__xludf.DUMMYFUNCTION("""COMPUTED_VALUE"""),4310)</f>
        <v>4310</v>
      </c>
      <c r="E85" s="16">
        <f>IFERROR(__xludf.DUMMYFUNCTION("""COMPUTED_VALUE"""),45862.6458333333)</f>
        <v>45862.6458333333</v>
      </c>
      <c r="F85" s="17">
        <f>IFERROR(__xludf.DUMMYFUNCTION("""COMPUTED_VALUE"""),584473)</f>
        <v>584473</v>
      </c>
      <c r="G85" s="16">
        <f>IFERROR(__xludf.DUMMYFUNCTION("""COMPUTED_VALUE"""),45862.6458333333)</f>
        <v>45862.6458333333</v>
      </c>
      <c r="H85" s="17">
        <f>IFERROR(__xludf.DUMMYFUNCTION("""COMPUTED_VALUE"""),4320)</f>
        <v>4320</v>
      </c>
      <c r="I85" s="16">
        <f>IFERROR(__xludf.DUMMYFUNCTION("""COMPUTED_VALUE"""),45862.6458333333)</f>
        <v>45862.6458333333</v>
      </c>
      <c r="J85" s="17">
        <f>IFERROR(__xludf.DUMMYFUNCTION("""COMPUTED_VALUE"""),4255.1)</f>
        <v>4255.1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IFERROR(__xludf.DUMMYFUNCTION("""COMPUTED_VALUE"""),4230.7)</f>
        <v>4230.7</v>
      </c>
      <c r="C86" s="16">
        <f>IFERROR(__xludf.DUMMYFUNCTION("""COMPUTED_VALUE"""),45863.6458333333)</f>
        <v>45863.6458333333</v>
      </c>
      <c r="D86" s="17">
        <f>IFERROR(__xludf.DUMMYFUNCTION("""COMPUTED_VALUE"""),4278)</f>
        <v>4278</v>
      </c>
      <c r="E86" s="16">
        <f>IFERROR(__xludf.DUMMYFUNCTION("""COMPUTED_VALUE"""),45863.6458333333)</f>
        <v>45863.6458333333</v>
      </c>
      <c r="F86" s="17">
        <f>IFERROR(__xludf.DUMMYFUNCTION("""COMPUTED_VALUE"""),630896)</f>
        <v>630896</v>
      </c>
      <c r="G86" s="16">
        <f>IFERROR(__xludf.DUMMYFUNCTION("""COMPUTED_VALUE"""),45863.6458333333)</f>
        <v>45863.6458333333</v>
      </c>
      <c r="H86" s="17">
        <f>IFERROR(__xludf.DUMMYFUNCTION("""COMPUTED_VALUE"""),4290.8)</f>
        <v>4290.8</v>
      </c>
      <c r="I86" s="16">
        <f>IFERROR(__xludf.DUMMYFUNCTION("""COMPUTED_VALUE"""),45863.6458333333)</f>
        <v>45863.6458333333</v>
      </c>
      <c r="J86" s="17">
        <f>IFERROR(__xludf.DUMMYFUNCTION("""COMPUTED_VALUE"""),4195)</f>
        <v>4195</v>
      </c>
      <c r="K86" s="3">
        <f t="shared" si="2"/>
        <v>0</v>
      </c>
      <c r="L86" s="3">
        <f t="shared" si="3"/>
        <v>4230.7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IFERROR(__xludf.DUMMYFUNCTION("""COMPUTED_VALUE"""),4291.1)</f>
        <v>4291.1</v>
      </c>
      <c r="C87" s="16">
        <f>IFERROR(__xludf.DUMMYFUNCTION("""COMPUTED_VALUE"""),45866.6458333333)</f>
        <v>45866.6458333333</v>
      </c>
      <c r="D87" s="17">
        <f>IFERROR(__xludf.DUMMYFUNCTION("""COMPUTED_VALUE"""),4215.5)</f>
        <v>4215.5</v>
      </c>
      <c r="E87" s="16">
        <f>IFERROR(__xludf.DUMMYFUNCTION("""COMPUTED_VALUE"""),45866.6458333333)</f>
        <v>45866.6458333333</v>
      </c>
      <c r="F87" s="17">
        <f>IFERROR(__xludf.DUMMYFUNCTION("""COMPUTED_VALUE"""),462891)</f>
        <v>462891</v>
      </c>
      <c r="G87" s="16">
        <f>IFERROR(__xludf.DUMMYFUNCTION("""COMPUTED_VALUE"""),45866.6458333333)</f>
        <v>45866.6458333333</v>
      </c>
      <c r="H87" s="17">
        <f>IFERROR(__xludf.DUMMYFUNCTION("""COMPUTED_VALUE"""),4307)</f>
        <v>4307</v>
      </c>
      <c r="I87" s="16">
        <f>IFERROR(__xludf.DUMMYFUNCTION("""COMPUTED_VALUE"""),45866.6458333333)</f>
        <v>45866.6458333333</v>
      </c>
      <c r="J87" s="17">
        <f>IFERROR(__xludf.DUMMYFUNCTION("""COMPUTED_VALUE"""),4215.5)</f>
        <v>4215.5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IFERROR(__xludf.DUMMYFUNCTION("""COMPUTED_VALUE"""),4325.2)</f>
        <v>4325.2</v>
      </c>
      <c r="C88" s="16">
        <f>IFERROR(__xludf.DUMMYFUNCTION("""COMPUTED_VALUE"""),45867.6458333333)</f>
        <v>45867.6458333333</v>
      </c>
      <c r="D88" s="17">
        <f>IFERROR(__xludf.DUMMYFUNCTION("""COMPUTED_VALUE"""),4290)</f>
        <v>4290</v>
      </c>
      <c r="E88" s="16">
        <f>IFERROR(__xludf.DUMMYFUNCTION("""COMPUTED_VALUE"""),45867.6458333333)</f>
        <v>45867.6458333333</v>
      </c>
      <c r="F88" s="17">
        <f>IFERROR(__xludf.DUMMYFUNCTION("""COMPUTED_VALUE"""),422393)</f>
        <v>422393</v>
      </c>
      <c r="G88" s="16">
        <f>IFERROR(__xludf.DUMMYFUNCTION("""COMPUTED_VALUE"""),45867.6458333333)</f>
        <v>45867.6458333333</v>
      </c>
      <c r="H88" s="17">
        <f>IFERROR(__xludf.DUMMYFUNCTION("""COMPUTED_VALUE"""),4334.4)</f>
        <v>4334.4</v>
      </c>
      <c r="I88" s="16">
        <f>IFERROR(__xludf.DUMMYFUNCTION("""COMPUTED_VALUE"""),45867.6458333333)</f>
        <v>45867.6458333333</v>
      </c>
      <c r="J88" s="17">
        <f>IFERROR(__xludf.DUMMYFUNCTION("""COMPUTED_VALUE"""),4265.6)</f>
        <v>4265.6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IFERROR(__xludf.DUMMYFUNCTION("""COMPUTED_VALUE"""),4251.3)</f>
        <v>4251.3</v>
      </c>
      <c r="C89" s="16">
        <f>IFERROR(__xludf.DUMMYFUNCTION("""COMPUTED_VALUE"""),45868.6458333333)</f>
        <v>45868.6458333333</v>
      </c>
      <c r="D89" s="17">
        <f>IFERROR(__xludf.DUMMYFUNCTION("""COMPUTED_VALUE"""),4311)</f>
        <v>4311</v>
      </c>
      <c r="E89" s="16">
        <f>IFERROR(__xludf.DUMMYFUNCTION("""COMPUTED_VALUE"""),45868.6458333333)</f>
        <v>45868.6458333333</v>
      </c>
      <c r="F89" s="17">
        <f>IFERROR(__xludf.DUMMYFUNCTION("""COMPUTED_VALUE"""),547169)</f>
        <v>547169</v>
      </c>
      <c r="G89" s="16">
        <f>IFERROR(__xludf.DUMMYFUNCTION("""COMPUTED_VALUE"""),45868.6458333333)</f>
        <v>45868.6458333333</v>
      </c>
      <c r="H89" s="17">
        <f>IFERROR(__xludf.DUMMYFUNCTION("""COMPUTED_VALUE"""),4325.8)</f>
        <v>4325.8</v>
      </c>
      <c r="I89" s="16">
        <f>IFERROR(__xludf.DUMMYFUNCTION("""COMPUTED_VALUE"""),45868.6458333333)</f>
        <v>45868.6458333333</v>
      </c>
      <c r="J89" s="17">
        <f>IFERROR(__xludf.DUMMYFUNCTION("""COMPUTED_VALUE"""),4215.7)</f>
        <v>4215.7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IFERROR(__xludf.DUMMYFUNCTION("""COMPUTED_VALUE"""),4260.7)</f>
        <v>4260.7</v>
      </c>
      <c r="C90" s="16">
        <f>IFERROR(__xludf.DUMMYFUNCTION("""COMPUTED_VALUE"""),45869.6458333333)</f>
        <v>45869.6458333333</v>
      </c>
      <c r="D90" s="17">
        <f>IFERROR(__xludf.DUMMYFUNCTION("""COMPUTED_VALUE"""),4210)</f>
        <v>4210</v>
      </c>
      <c r="E90" s="16">
        <f>IFERROR(__xludf.DUMMYFUNCTION("""COMPUTED_VALUE"""),45869.6458333333)</f>
        <v>45869.6458333333</v>
      </c>
      <c r="F90" s="17">
        <f>IFERROR(__xludf.DUMMYFUNCTION("""COMPUTED_VALUE"""),446590)</f>
        <v>446590</v>
      </c>
      <c r="G90" s="16">
        <f>IFERROR(__xludf.DUMMYFUNCTION("""COMPUTED_VALUE"""),45869.6458333333)</f>
        <v>45869.6458333333</v>
      </c>
      <c r="H90" s="17">
        <f>IFERROR(__xludf.DUMMYFUNCTION("""COMPUTED_VALUE"""),4303)</f>
        <v>4303</v>
      </c>
      <c r="I90" s="16">
        <f>IFERROR(__xludf.DUMMYFUNCTION("""COMPUTED_VALUE"""),45869.6458333333)</f>
        <v>45869.6458333333</v>
      </c>
      <c r="J90" s="17">
        <f>IFERROR(__xludf.DUMMYFUNCTION("""COMPUTED_VALUE"""),4201)</f>
        <v>4201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IFERROR(__xludf.DUMMYFUNCTION("""COMPUTED_VALUE"""),4311.6)</f>
        <v>4311.6</v>
      </c>
      <c r="C91" s="16">
        <f>IFERROR(__xludf.DUMMYFUNCTION("""COMPUTED_VALUE"""),45870.6458333333)</f>
        <v>45870.6458333333</v>
      </c>
      <c r="D91" s="17">
        <f>IFERROR(__xludf.DUMMYFUNCTION("""COMPUTED_VALUE"""),4255.1)</f>
        <v>4255.1</v>
      </c>
      <c r="E91" s="16">
        <f>IFERROR(__xludf.DUMMYFUNCTION("""COMPUTED_VALUE"""),45870.6458333333)</f>
        <v>45870.6458333333</v>
      </c>
      <c r="F91" s="17">
        <f>IFERROR(__xludf.DUMMYFUNCTION("""COMPUTED_VALUE"""),473918)</f>
        <v>473918</v>
      </c>
      <c r="G91" s="16">
        <f>IFERROR(__xludf.DUMMYFUNCTION("""COMPUTED_VALUE"""),45870.6458333333)</f>
        <v>45870.6458333333</v>
      </c>
      <c r="H91" s="17">
        <f>IFERROR(__xludf.DUMMYFUNCTION("""COMPUTED_VALUE"""),4322)</f>
        <v>4322</v>
      </c>
      <c r="I91" s="16">
        <f>IFERROR(__xludf.DUMMYFUNCTION("""COMPUTED_VALUE"""),45870.6458333333)</f>
        <v>45870.6458333333</v>
      </c>
      <c r="J91" s="17">
        <f>IFERROR(__xludf.DUMMYFUNCTION("""COMPUTED_VALUE"""),4240)</f>
        <v>4240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IFERROR(__xludf.DUMMYFUNCTION("""COMPUTED_VALUE"""),4535.9)</f>
        <v>4535.9</v>
      </c>
      <c r="C92" s="16">
        <f>IFERROR(__xludf.DUMMYFUNCTION("""COMPUTED_VALUE"""),45873.6458333333)</f>
        <v>45873.6458333333</v>
      </c>
      <c r="D92" s="17">
        <f>IFERROR(__xludf.DUMMYFUNCTION("""COMPUTED_VALUE"""),4315.9)</f>
        <v>4315.9</v>
      </c>
      <c r="E92" s="16">
        <f>IFERROR(__xludf.DUMMYFUNCTION("""COMPUTED_VALUE"""),45873.6458333333)</f>
        <v>45873.6458333333</v>
      </c>
      <c r="F92" s="17">
        <f>IFERROR(__xludf.DUMMYFUNCTION("""COMPUTED_VALUE"""),1454995)</f>
        <v>1454995</v>
      </c>
      <c r="G92" s="16">
        <f>IFERROR(__xludf.DUMMYFUNCTION("""COMPUTED_VALUE"""),45873.6458333333)</f>
        <v>45873.6458333333</v>
      </c>
      <c r="H92" s="17">
        <f>IFERROR(__xludf.DUMMYFUNCTION("""COMPUTED_VALUE"""),4550)</f>
        <v>4550</v>
      </c>
      <c r="I92" s="16">
        <f>IFERROR(__xludf.DUMMYFUNCTION("""COMPUTED_VALUE"""),45873.6458333333)</f>
        <v>45873.6458333333</v>
      </c>
      <c r="J92" s="17">
        <f>IFERROR(__xludf.DUMMYFUNCTION("""COMPUTED_VALUE"""),4310.1)</f>
        <v>4310.1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IFERROR(__xludf.DUMMYFUNCTION("""COMPUTED_VALUE"""),4546.8)</f>
        <v>4546.8</v>
      </c>
      <c r="C93" s="16">
        <f>IFERROR(__xludf.DUMMYFUNCTION("""COMPUTED_VALUE"""),45874.6458333333)</f>
        <v>45874.6458333333</v>
      </c>
      <c r="D93" s="17">
        <f>IFERROR(__xludf.DUMMYFUNCTION("""COMPUTED_VALUE"""),4536)</f>
        <v>4536</v>
      </c>
      <c r="E93" s="16">
        <f>IFERROR(__xludf.DUMMYFUNCTION("""COMPUTED_VALUE"""),45874.6458333333)</f>
        <v>45874.6458333333</v>
      </c>
      <c r="F93" s="17">
        <f>IFERROR(__xludf.DUMMYFUNCTION("""COMPUTED_VALUE"""),803505)</f>
        <v>803505</v>
      </c>
      <c r="G93" s="16">
        <f>IFERROR(__xludf.DUMMYFUNCTION("""COMPUTED_VALUE"""),45874.6458333333)</f>
        <v>45874.6458333333</v>
      </c>
      <c r="H93" s="17">
        <f>IFERROR(__xludf.DUMMYFUNCTION("""COMPUTED_VALUE"""),4581.5)</f>
        <v>4581.5</v>
      </c>
      <c r="I93" s="16">
        <f>IFERROR(__xludf.DUMMYFUNCTION("""COMPUTED_VALUE"""),45874.6458333333)</f>
        <v>45874.6458333333</v>
      </c>
      <c r="J93" s="17">
        <f>IFERROR(__xludf.DUMMYFUNCTION("""COMPUTED_VALUE"""),4515.9)</f>
        <v>4515.9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IFERROR(__xludf.DUMMYFUNCTION("""COMPUTED_VALUE"""),4474.9)</f>
        <v>4474.9</v>
      </c>
      <c r="C94" s="16">
        <f>IFERROR(__xludf.DUMMYFUNCTION("""COMPUTED_VALUE"""),45875.6458333333)</f>
        <v>45875.6458333333</v>
      </c>
      <c r="D94" s="17">
        <f>IFERROR(__xludf.DUMMYFUNCTION("""COMPUTED_VALUE"""),4549.6)</f>
        <v>4549.6</v>
      </c>
      <c r="E94" s="16">
        <f>IFERROR(__xludf.DUMMYFUNCTION("""COMPUTED_VALUE"""),45875.6458333333)</f>
        <v>45875.6458333333</v>
      </c>
      <c r="F94" s="17">
        <f>IFERROR(__xludf.DUMMYFUNCTION("""COMPUTED_VALUE"""),574216)</f>
        <v>574216</v>
      </c>
      <c r="G94" s="16">
        <f>IFERROR(__xludf.DUMMYFUNCTION("""COMPUTED_VALUE"""),45875.6458333333)</f>
        <v>45875.6458333333</v>
      </c>
      <c r="H94" s="17">
        <f>IFERROR(__xludf.DUMMYFUNCTION("""COMPUTED_VALUE"""),4549.9)</f>
        <v>4549.9</v>
      </c>
      <c r="I94" s="16">
        <f>IFERROR(__xludf.DUMMYFUNCTION("""COMPUTED_VALUE"""),45875.6458333333)</f>
        <v>45875.6458333333</v>
      </c>
      <c r="J94" s="17">
        <f>IFERROR(__xludf.DUMMYFUNCTION("""COMPUTED_VALUE"""),4462.1)</f>
        <v>4462.1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IFERROR(__xludf.DUMMYFUNCTION("""COMPUTED_VALUE"""),4660.7)</f>
        <v>4660.7</v>
      </c>
      <c r="C95" s="16">
        <f>IFERROR(__xludf.DUMMYFUNCTION("""COMPUTED_VALUE"""),45876.6458333333)</f>
        <v>45876.6458333333</v>
      </c>
      <c r="D95" s="17">
        <f>IFERROR(__xludf.DUMMYFUNCTION("""COMPUTED_VALUE"""),4430)</f>
        <v>4430</v>
      </c>
      <c r="E95" s="16">
        <f>IFERROR(__xludf.DUMMYFUNCTION("""COMPUTED_VALUE"""),45876.6458333333)</f>
        <v>45876.6458333333</v>
      </c>
      <c r="F95" s="17">
        <f>IFERROR(__xludf.DUMMYFUNCTION("""COMPUTED_VALUE"""),2121194)</f>
        <v>2121194</v>
      </c>
      <c r="G95" s="16">
        <f>IFERROR(__xludf.DUMMYFUNCTION("""COMPUTED_VALUE"""),45876.6458333333)</f>
        <v>45876.6458333333</v>
      </c>
      <c r="H95" s="17">
        <f>IFERROR(__xludf.DUMMYFUNCTION("""COMPUTED_VALUE"""),4674.9)</f>
        <v>4674.9</v>
      </c>
      <c r="I95" s="16">
        <f>IFERROR(__xludf.DUMMYFUNCTION("""COMPUTED_VALUE"""),45876.6458333333)</f>
        <v>45876.6458333333</v>
      </c>
      <c r="J95" s="17">
        <f>IFERROR(__xludf.DUMMYFUNCTION("""COMPUTED_VALUE"""),4422.3)</f>
        <v>4422.3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IFERROR(__xludf.DUMMYFUNCTION("""COMPUTED_VALUE"""),4599.8)</f>
        <v>4599.8</v>
      </c>
      <c r="C96" s="16">
        <f>IFERROR(__xludf.DUMMYFUNCTION("""COMPUTED_VALUE"""),45877.6458333333)</f>
        <v>45877.6458333333</v>
      </c>
      <c r="D96" s="17">
        <f>IFERROR(__xludf.DUMMYFUNCTION("""COMPUTED_VALUE"""),4660)</f>
        <v>4660</v>
      </c>
      <c r="E96" s="16">
        <f>IFERROR(__xludf.DUMMYFUNCTION("""COMPUTED_VALUE"""),45877.6458333333)</f>
        <v>45877.6458333333</v>
      </c>
      <c r="F96" s="17">
        <f>IFERROR(__xludf.DUMMYFUNCTION("""COMPUTED_VALUE"""),972461)</f>
        <v>972461</v>
      </c>
      <c r="G96" s="16">
        <f>IFERROR(__xludf.DUMMYFUNCTION("""COMPUTED_VALUE"""),45877.6458333333)</f>
        <v>45877.6458333333</v>
      </c>
      <c r="H96" s="17">
        <f>IFERROR(__xludf.DUMMYFUNCTION("""COMPUTED_VALUE"""),4712)</f>
        <v>4712</v>
      </c>
      <c r="I96" s="16">
        <f>IFERROR(__xludf.DUMMYFUNCTION("""COMPUTED_VALUE"""),45877.6458333333)</f>
        <v>45877.6458333333</v>
      </c>
      <c r="J96" s="17">
        <f>IFERROR(__xludf.DUMMYFUNCTION("""COMPUTED_VALUE"""),4588.1)</f>
        <v>4588.1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IFERROR(__xludf.DUMMYFUNCTION("""COMPUTED_VALUE"""),4562.2)</f>
        <v>4562.2</v>
      </c>
      <c r="C97" s="16">
        <f>IFERROR(__xludf.DUMMYFUNCTION("""COMPUTED_VALUE"""),45880.6458333333)</f>
        <v>45880.6458333333</v>
      </c>
      <c r="D97" s="17">
        <f>IFERROR(__xludf.DUMMYFUNCTION("""COMPUTED_VALUE"""),4603)</f>
        <v>4603</v>
      </c>
      <c r="E97" s="16">
        <f>IFERROR(__xludf.DUMMYFUNCTION("""COMPUTED_VALUE"""),45880.6458333333)</f>
        <v>45880.6458333333</v>
      </c>
      <c r="F97" s="17">
        <f>IFERROR(__xludf.DUMMYFUNCTION("""COMPUTED_VALUE"""),455558)</f>
        <v>455558</v>
      </c>
      <c r="G97" s="16">
        <f>IFERROR(__xludf.DUMMYFUNCTION("""COMPUTED_VALUE"""),45880.6458333333)</f>
        <v>45880.6458333333</v>
      </c>
      <c r="H97" s="17">
        <f>IFERROR(__xludf.DUMMYFUNCTION("""COMPUTED_VALUE"""),4624.7)</f>
        <v>4624.7</v>
      </c>
      <c r="I97" s="16">
        <f>IFERROR(__xludf.DUMMYFUNCTION("""COMPUTED_VALUE"""),45880.6458333333)</f>
        <v>45880.6458333333</v>
      </c>
      <c r="J97" s="17">
        <f>IFERROR(__xludf.DUMMYFUNCTION("""COMPUTED_VALUE"""),4539)</f>
        <v>4539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IFERROR(__xludf.DUMMYFUNCTION("""COMPUTED_VALUE"""),4645.2)</f>
        <v>4645.2</v>
      </c>
      <c r="C98" s="16">
        <f>IFERROR(__xludf.DUMMYFUNCTION("""COMPUTED_VALUE"""),45881.6458333333)</f>
        <v>45881.6458333333</v>
      </c>
      <c r="D98" s="17">
        <f>IFERROR(__xludf.DUMMYFUNCTION("""COMPUTED_VALUE"""),4589)</f>
        <v>4589</v>
      </c>
      <c r="E98" s="16">
        <f>IFERROR(__xludf.DUMMYFUNCTION("""COMPUTED_VALUE"""),45881.6458333333)</f>
        <v>45881.6458333333</v>
      </c>
      <c r="F98" s="17">
        <f>IFERROR(__xludf.DUMMYFUNCTION("""COMPUTED_VALUE"""),723767)</f>
        <v>723767</v>
      </c>
      <c r="G98" s="16">
        <f>IFERROR(__xludf.DUMMYFUNCTION("""COMPUTED_VALUE"""),45881.6458333333)</f>
        <v>45881.6458333333</v>
      </c>
      <c r="H98" s="17">
        <f>IFERROR(__xludf.DUMMYFUNCTION("""COMPUTED_VALUE"""),4669.6)</f>
        <v>4669.6</v>
      </c>
      <c r="I98" s="16">
        <f>IFERROR(__xludf.DUMMYFUNCTION("""COMPUTED_VALUE"""),45881.6458333333)</f>
        <v>45881.6458333333</v>
      </c>
      <c r="J98" s="17">
        <f>IFERROR(__xludf.DUMMYFUNCTION("""COMPUTED_VALUE"""),4571)</f>
        <v>4571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IFERROR(__xludf.DUMMYFUNCTION("""COMPUTED_VALUE"""),4768.7)</f>
        <v>4768.7</v>
      </c>
      <c r="C99" s="16">
        <f>IFERROR(__xludf.DUMMYFUNCTION("""COMPUTED_VALUE"""),45882.6458333333)</f>
        <v>45882.6458333333</v>
      </c>
      <c r="D99" s="17">
        <f>IFERROR(__xludf.DUMMYFUNCTION("""COMPUTED_VALUE"""),4668.3)</f>
        <v>4668.3</v>
      </c>
      <c r="E99" s="16">
        <f>IFERROR(__xludf.DUMMYFUNCTION("""COMPUTED_VALUE"""),45882.6458333333)</f>
        <v>45882.6458333333</v>
      </c>
      <c r="F99" s="17">
        <f>IFERROR(__xludf.DUMMYFUNCTION("""COMPUTED_VALUE"""),1342794)</f>
        <v>1342794</v>
      </c>
      <c r="G99" s="16">
        <f>IFERROR(__xludf.DUMMYFUNCTION("""COMPUTED_VALUE"""),45882.6458333333)</f>
        <v>45882.6458333333</v>
      </c>
      <c r="H99" s="17">
        <f>IFERROR(__xludf.DUMMYFUNCTION("""COMPUTED_VALUE"""),4793.5)</f>
        <v>4793.5</v>
      </c>
      <c r="I99" s="16">
        <f>IFERROR(__xludf.DUMMYFUNCTION("""COMPUTED_VALUE"""),45882.6458333333)</f>
        <v>45882.6458333333</v>
      </c>
      <c r="J99" s="17">
        <f>IFERROR(__xludf.DUMMYFUNCTION("""COMPUTED_VALUE"""),4650.2)</f>
        <v>4650.2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IFERROR(__xludf.DUMMYFUNCTION("""COMPUTED_VALUE"""),4708.1)</f>
        <v>4708.1</v>
      </c>
      <c r="C100" s="16">
        <f>IFERROR(__xludf.DUMMYFUNCTION("""COMPUTED_VALUE"""),45883.6458333333)</f>
        <v>45883.6458333333</v>
      </c>
      <c r="D100" s="17">
        <f>IFERROR(__xludf.DUMMYFUNCTION("""COMPUTED_VALUE"""),4770)</f>
        <v>4770</v>
      </c>
      <c r="E100" s="16">
        <f>IFERROR(__xludf.DUMMYFUNCTION("""COMPUTED_VALUE"""),45883.6458333333)</f>
        <v>45883.6458333333</v>
      </c>
      <c r="F100" s="17">
        <f>IFERROR(__xludf.DUMMYFUNCTION("""COMPUTED_VALUE"""),373862)</f>
        <v>373862</v>
      </c>
      <c r="G100" s="16">
        <f>IFERROR(__xludf.DUMMYFUNCTION("""COMPUTED_VALUE"""),45883.6458333333)</f>
        <v>45883.6458333333</v>
      </c>
      <c r="H100" s="17">
        <f>IFERROR(__xludf.DUMMYFUNCTION("""COMPUTED_VALUE"""),4773.5)</f>
        <v>4773.5</v>
      </c>
      <c r="I100" s="16">
        <f>IFERROR(__xludf.DUMMYFUNCTION("""COMPUTED_VALUE"""),45883.6458333333)</f>
        <v>45883.6458333333</v>
      </c>
      <c r="J100" s="17">
        <f>IFERROR(__xludf.DUMMYFUNCTION("""COMPUTED_VALUE"""),4690.5)</f>
        <v>4690.5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IFERROR(__xludf.DUMMYFUNCTION("""COMPUTED_VALUE"""),4984)</f>
        <v>4984</v>
      </c>
      <c r="C101" s="16">
        <f>IFERROR(__xludf.DUMMYFUNCTION("""COMPUTED_VALUE"""),45887.6458333333)</f>
        <v>45887.6458333333</v>
      </c>
      <c r="D101" s="17">
        <f>IFERROR(__xludf.DUMMYFUNCTION("""COMPUTED_VALUE"""),4900)</f>
        <v>4900</v>
      </c>
      <c r="E101" s="16">
        <f>IFERROR(__xludf.DUMMYFUNCTION("""COMPUTED_VALUE"""),45887.6458333333)</f>
        <v>45887.6458333333</v>
      </c>
      <c r="F101" s="17">
        <f>IFERROR(__xludf.DUMMYFUNCTION("""COMPUTED_VALUE"""),3698091)</f>
        <v>3698091</v>
      </c>
      <c r="G101" s="16">
        <f>IFERROR(__xludf.DUMMYFUNCTION("""COMPUTED_VALUE"""),45887.6458333333)</f>
        <v>45887.6458333333</v>
      </c>
      <c r="H101" s="17">
        <f>IFERROR(__xludf.DUMMYFUNCTION("""COMPUTED_VALUE"""),5119)</f>
        <v>5119</v>
      </c>
      <c r="I101" s="16">
        <f>IFERROR(__xludf.DUMMYFUNCTION("""COMPUTED_VALUE"""),45887.6458333333)</f>
        <v>45887.6458333333</v>
      </c>
      <c r="J101" s="17">
        <f>IFERROR(__xludf.DUMMYFUNCTION("""COMPUTED_VALUE"""),4900)</f>
        <v>4900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IFERROR(__xludf.DUMMYFUNCTION("""COMPUTED_VALUE"""),5118.2)</f>
        <v>5118.2</v>
      </c>
      <c r="C102" s="16">
        <f>IFERROR(__xludf.DUMMYFUNCTION("""COMPUTED_VALUE"""),45888.6458333333)</f>
        <v>45888.6458333333</v>
      </c>
      <c r="D102" s="17">
        <f>IFERROR(__xludf.DUMMYFUNCTION("""COMPUTED_VALUE"""),4984)</f>
        <v>4984</v>
      </c>
      <c r="E102" s="16">
        <f>IFERROR(__xludf.DUMMYFUNCTION("""COMPUTED_VALUE"""),45888.6458333333)</f>
        <v>45888.6458333333</v>
      </c>
      <c r="F102" s="17">
        <f>IFERROR(__xludf.DUMMYFUNCTION("""COMPUTED_VALUE"""),1509894)</f>
        <v>1509894</v>
      </c>
      <c r="G102" s="16">
        <f>IFERROR(__xludf.DUMMYFUNCTION("""COMPUTED_VALUE"""),45888.6458333333)</f>
        <v>45888.6458333333</v>
      </c>
      <c r="H102" s="17">
        <f>IFERROR(__xludf.DUMMYFUNCTION("""COMPUTED_VALUE"""),5139)</f>
        <v>5139</v>
      </c>
      <c r="I102" s="16">
        <f>IFERROR(__xludf.DUMMYFUNCTION("""COMPUTED_VALUE"""),45888.6458333333)</f>
        <v>45888.6458333333</v>
      </c>
      <c r="J102" s="17">
        <f>IFERROR(__xludf.DUMMYFUNCTION("""COMPUTED_VALUE"""),4984)</f>
        <v>4984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IFERROR(__xludf.DUMMYFUNCTION("""COMPUTED_VALUE"""),5136)</f>
        <v>5136</v>
      </c>
      <c r="C103" s="16">
        <f>IFERROR(__xludf.DUMMYFUNCTION("""COMPUTED_VALUE"""),45889.6458333333)</f>
        <v>45889.6458333333</v>
      </c>
      <c r="D103" s="17">
        <f>IFERROR(__xludf.DUMMYFUNCTION("""COMPUTED_VALUE"""),5120)</f>
        <v>5120</v>
      </c>
      <c r="E103" s="16">
        <f>IFERROR(__xludf.DUMMYFUNCTION("""COMPUTED_VALUE"""),45889.6458333333)</f>
        <v>45889.6458333333</v>
      </c>
      <c r="F103" s="17">
        <f>IFERROR(__xludf.DUMMYFUNCTION("""COMPUTED_VALUE"""),916240)</f>
        <v>916240</v>
      </c>
      <c r="G103" s="16">
        <f>IFERROR(__xludf.DUMMYFUNCTION("""COMPUTED_VALUE"""),45889.6458333333)</f>
        <v>45889.6458333333</v>
      </c>
      <c r="H103" s="17">
        <f>IFERROR(__xludf.DUMMYFUNCTION("""COMPUTED_VALUE"""),5165)</f>
        <v>5165</v>
      </c>
      <c r="I103" s="16">
        <f>IFERROR(__xludf.DUMMYFUNCTION("""COMPUTED_VALUE"""),45889.6458333333)</f>
        <v>45889.6458333333</v>
      </c>
      <c r="J103" s="17">
        <f>IFERROR(__xludf.DUMMYFUNCTION("""COMPUTED_VALUE"""),5111.1)</f>
        <v>5111.1</v>
      </c>
      <c r="K103" s="3">
        <f t="shared" si="2"/>
        <v>5136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IFERROR(__xludf.DUMMYFUNCTION("""COMPUTED_VALUE"""),5097.1)</f>
        <v>5097.1</v>
      </c>
      <c r="C104" s="16">
        <f>IFERROR(__xludf.DUMMYFUNCTION("""COMPUTED_VALUE"""),45890.6458333333)</f>
        <v>45890.6458333333</v>
      </c>
      <c r="D104" s="17">
        <f>IFERROR(__xludf.DUMMYFUNCTION("""COMPUTED_VALUE"""),5136)</f>
        <v>5136</v>
      </c>
      <c r="E104" s="16">
        <f>IFERROR(__xludf.DUMMYFUNCTION("""COMPUTED_VALUE"""),45890.6458333333)</f>
        <v>45890.6458333333</v>
      </c>
      <c r="F104" s="17">
        <f>IFERROR(__xludf.DUMMYFUNCTION("""COMPUTED_VALUE"""),819430)</f>
        <v>819430</v>
      </c>
      <c r="G104" s="16">
        <f>IFERROR(__xludf.DUMMYFUNCTION("""COMPUTED_VALUE"""),45890.6458333333)</f>
        <v>45890.6458333333</v>
      </c>
      <c r="H104" s="17">
        <f>IFERROR(__xludf.DUMMYFUNCTION("""COMPUTED_VALUE"""),5158.9)</f>
        <v>5158.9</v>
      </c>
      <c r="I104" s="16">
        <f>IFERROR(__xludf.DUMMYFUNCTION("""COMPUTED_VALUE"""),45890.6458333333)</f>
        <v>45890.6458333333</v>
      </c>
      <c r="J104" s="17">
        <f>IFERROR(__xludf.DUMMYFUNCTION("""COMPUTED_VALUE"""),5040)</f>
        <v>5040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IFERROR(__xludf.DUMMYFUNCTION("""COMPUTED_VALUE"""),4997.9)</f>
        <v>4997.9</v>
      </c>
      <c r="C105" s="16">
        <f>IFERROR(__xludf.DUMMYFUNCTION("""COMPUTED_VALUE"""),45891.6458333333)</f>
        <v>45891.6458333333</v>
      </c>
      <c r="D105" s="17">
        <f>IFERROR(__xludf.DUMMYFUNCTION("""COMPUTED_VALUE"""),5097.1)</f>
        <v>5097.1</v>
      </c>
      <c r="E105" s="16">
        <f>IFERROR(__xludf.DUMMYFUNCTION("""COMPUTED_VALUE"""),45891.6458333333)</f>
        <v>45891.6458333333</v>
      </c>
      <c r="F105" s="17">
        <f>IFERROR(__xludf.DUMMYFUNCTION("""COMPUTED_VALUE"""),1357460)</f>
        <v>1357460</v>
      </c>
      <c r="G105" s="16">
        <f>IFERROR(__xludf.DUMMYFUNCTION("""COMPUTED_VALUE"""),45891.6458333333)</f>
        <v>45891.6458333333</v>
      </c>
      <c r="H105" s="17">
        <f>IFERROR(__xludf.DUMMYFUNCTION("""COMPUTED_VALUE"""),5123.3)</f>
        <v>5123.3</v>
      </c>
      <c r="I105" s="16">
        <f>IFERROR(__xludf.DUMMYFUNCTION("""COMPUTED_VALUE"""),45891.6458333333)</f>
        <v>45891.6458333333</v>
      </c>
      <c r="J105" s="17">
        <f>IFERROR(__xludf.DUMMYFUNCTION("""COMPUTED_VALUE"""),4982)</f>
        <v>4982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IFERROR(__xludf.DUMMYFUNCTION("""COMPUTED_VALUE"""),5063.8)</f>
        <v>5063.8</v>
      </c>
      <c r="C106" s="16">
        <f>IFERROR(__xludf.DUMMYFUNCTION("""COMPUTED_VALUE"""),45894.6458333333)</f>
        <v>45894.6458333333</v>
      </c>
      <c r="D106" s="17">
        <f>IFERROR(__xludf.DUMMYFUNCTION("""COMPUTED_VALUE"""),5010)</f>
        <v>5010</v>
      </c>
      <c r="E106" s="16">
        <f>IFERROR(__xludf.DUMMYFUNCTION("""COMPUTED_VALUE"""),45894.6458333333)</f>
        <v>45894.6458333333</v>
      </c>
      <c r="F106" s="17">
        <f>IFERROR(__xludf.DUMMYFUNCTION("""COMPUTED_VALUE"""),693190)</f>
        <v>693190</v>
      </c>
      <c r="G106" s="16">
        <f>IFERROR(__xludf.DUMMYFUNCTION("""COMPUTED_VALUE"""),45894.6458333333)</f>
        <v>45894.6458333333</v>
      </c>
      <c r="H106" s="17">
        <f>IFERROR(__xludf.DUMMYFUNCTION("""COMPUTED_VALUE"""),5079.9)</f>
        <v>5079.9</v>
      </c>
      <c r="I106" s="16">
        <f>IFERROR(__xludf.DUMMYFUNCTION("""COMPUTED_VALUE"""),45894.6458333333)</f>
        <v>45894.6458333333</v>
      </c>
      <c r="J106" s="17">
        <f>IFERROR(__xludf.DUMMYFUNCTION("""COMPUTED_VALUE"""),4976)</f>
        <v>4976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IFERROR(__xludf.DUMMYFUNCTION("""COMPUTED_VALUE"""),5073.4)</f>
        <v>5073.4</v>
      </c>
      <c r="C107" s="16">
        <f>IFERROR(__xludf.DUMMYFUNCTION("""COMPUTED_VALUE"""),45895.6458333333)</f>
        <v>45895.6458333333</v>
      </c>
      <c r="D107" s="17">
        <f>IFERROR(__xludf.DUMMYFUNCTION("""COMPUTED_VALUE"""),5063.8)</f>
        <v>5063.8</v>
      </c>
      <c r="E107" s="16">
        <f>IFERROR(__xludf.DUMMYFUNCTION("""COMPUTED_VALUE"""),45895.6458333333)</f>
        <v>45895.6458333333</v>
      </c>
      <c r="F107" s="17">
        <f>IFERROR(__xludf.DUMMYFUNCTION("""COMPUTED_VALUE"""),1662083)</f>
        <v>1662083</v>
      </c>
      <c r="G107" s="16">
        <f>IFERROR(__xludf.DUMMYFUNCTION("""COMPUTED_VALUE"""),45895.6458333333)</f>
        <v>45895.6458333333</v>
      </c>
      <c r="H107" s="17">
        <f>IFERROR(__xludf.DUMMYFUNCTION("""COMPUTED_VALUE"""),5143)</f>
        <v>5143</v>
      </c>
      <c r="I107" s="16">
        <f>IFERROR(__xludf.DUMMYFUNCTION("""COMPUTED_VALUE"""),45895.6458333333)</f>
        <v>45895.6458333333</v>
      </c>
      <c r="J107" s="17">
        <f>IFERROR(__xludf.DUMMYFUNCTION("""COMPUTED_VALUE"""),5041)</f>
        <v>5041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IFERROR(__xludf.DUMMYFUNCTION("""COMPUTED_VALUE"""),5091.7)</f>
        <v>5091.7</v>
      </c>
      <c r="C108" s="16">
        <f>IFERROR(__xludf.DUMMYFUNCTION("""COMPUTED_VALUE"""),45897.6458333333)</f>
        <v>45897.6458333333</v>
      </c>
      <c r="D108" s="17">
        <f>IFERROR(__xludf.DUMMYFUNCTION("""COMPUTED_VALUE"""),5230)</f>
        <v>5230</v>
      </c>
      <c r="E108" s="16">
        <f>IFERROR(__xludf.DUMMYFUNCTION("""COMPUTED_VALUE"""),45897.6458333333)</f>
        <v>45897.6458333333</v>
      </c>
      <c r="F108" s="17">
        <f>IFERROR(__xludf.DUMMYFUNCTION("""COMPUTED_VALUE"""),1584393)</f>
        <v>1584393</v>
      </c>
      <c r="G108" s="16">
        <f>IFERROR(__xludf.DUMMYFUNCTION("""COMPUTED_VALUE"""),45897.6458333333)</f>
        <v>45897.6458333333</v>
      </c>
      <c r="H108" s="17">
        <f>IFERROR(__xludf.DUMMYFUNCTION("""COMPUTED_VALUE"""),5246)</f>
        <v>5246</v>
      </c>
      <c r="I108" s="16">
        <f>IFERROR(__xludf.DUMMYFUNCTION("""COMPUTED_VALUE"""),45897.6458333333)</f>
        <v>45897.6458333333</v>
      </c>
      <c r="J108" s="17">
        <f>IFERROR(__xludf.DUMMYFUNCTION("""COMPUTED_VALUE"""),5078.4)</f>
        <v>5078.4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IFERROR(__xludf.DUMMYFUNCTION("""COMPUTED_VALUE"""),5087.7)</f>
        <v>5087.7</v>
      </c>
      <c r="C109" s="16">
        <f>IFERROR(__xludf.DUMMYFUNCTION("""COMPUTED_VALUE"""),45898.6458333333)</f>
        <v>45898.6458333333</v>
      </c>
      <c r="D109" s="17">
        <f>IFERROR(__xludf.DUMMYFUNCTION("""COMPUTED_VALUE"""),5099.5)</f>
        <v>5099.5</v>
      </c>
      <c r="E109" s="16">
        <f>IFERROR(__xludf.DUMMYFUNCTION("""COMPUTED_VALUE"""),45898.6458333333)</f>
        <v>45898.6458333333</v>
      </c>
      <c r="F109" s="17">
        <f>IFERROR(__xludf.DUMMYFUNCTION("""COMPUTED_VALUE"""),783364)</f>
        <v>783364</v>
      </c>
      <c r="G109" s="16">
        <f>IFERROR(__xludf.DUMMYFUNCTION("""COMPUTED_VALUE"""),45898.6458333333)</f>
        <v>45898.6458333333</v>
      </c>
      <c r="H109" s="17">
        <f>IFERROR(__xludf.DUMMYFUNCTION("""COMPUTED_VALUE"""),5148.3)</f>
        <v>5148.3</v>
      </c>
      <c r="I109" s="16">
        <f>IFERROR(__xludf.DUMMYFUNCTION("""COMPUTED_VALUE"""),45898.6458333333)</f>
        <v>45898.6458333333</v>
      </c>
      <c r="J109" s="17">
        <f>IFERROR(__xludf.DUMMYFUNCTION("""COMPUTED_VALUE"""),5061.4)</f>
        <v>5061.4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IFERROR(__xludf.DUMMYFUNCTION("""COMPUTED_VALUE"""),5244)</f>
        <v>5244</v>
      </c>
      <c r="C110" s="16">
        <f>IFERROR(__xludf.DUMMYFUNCTION("""COMPUTED_VALUE"""),45901.6458333333)</f>
        <v>45901.6458333333</v>
      </c>
      <c r="D110" s="17">
        <f>IFERROR(__xludf.DUMMYFUNCTION("""COMPUTED_VALUE"""),5113.5)</f>
        <v>5113.5</v>
      </c>
      <c r="E110" s="16">
        <f>IFERROR(__xludf.DUMMYFUNCTION("""COMPUTED_VALUE"""),45901.6458333333)</f>
        <v>45901.6458333333</v>
      </c>
      <c r="F110" s="17">
        <f>IFERROR(__xludf.DUMMYFUNCTION("""COMPUTED_VALUE"""),659443)</f>
        <v>659443</v>
      </c>
      <c r="G110" s="16">
        <f>IFERROR(__xludf.DUMMYFUNCTION("""COMPUTED_VALUE"""),45901.6458333333)</f>
        <v>45901.6458333333</v>
      </c>
      <c r="H110" s="17">
        <f>IFERROR(__xludf.DUMMYFUNCTION("""COMPUTED_VALUE"""),5259.5)</f>
        <v>5259.5</v>
      </c>
      <c r="I110" s="16">
        <f>IFERROR(__xludf.DUMMYFUNCTION("""COMPUTED_VALUE"""),45901.6458333333)</f>
        <v>45901.6458333333</v>
      </c>
      <c r="J110" s="17">
        <f>IFERROR(__xludf.DUMMYFUNCTION("""COMPUTED_VALUE"""),5109.5)</f>
        <v>5109.5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IFERROR(__xludf.DUMMYFUNCTION("""COMPUTED_VALUE"""),5312)</f>
        <v>5312</v>
      </c>
      <c r="C111" s="16">
        <f>IFERROR(__xludf.DUMMYFUNCTION("""COMPUTED_VALUE"""),45902.6458333333)</f>
        <v>45902.6458333333</v>
      </c>
      <c r="D111" s="17">
        <f>IFERROR(__xludf.DUMMYFUNCTION("""COMPUTED_VALUE"""),5290)</f>
        <v>5290</v>
      </c>
      <c r="E111" s="16">
        <f>IFERROR(__xludf.DUMMYFUNCTION("""COMPUTED_VALUE"""),45902.6458333333)</f>
        <v>45902.6458333333</v>
      </c>
      <c r="F111" s="17">
        <f>IFERROR(__xludf.DUMMYFUNCTION("""COMPUTED_VALUE"""),962257)</f>
        <v>962257</v>
      </c>
      <c r="G111" s="16">
        <f>IFERROR(__xludf.DUMMYFUNCTION("""COMPUTED_VALUE"""),45902.6458333333)</f>
        <v>45902.6458333333</v>
      </c>
      <c r="H111" s="17">
        <f>IFERROR(__xludf.DUMMYFUNCTION("""COMPUTED_VALUE"""),5348)</f>
        <v>5348</v>
      </c>
      <c r="I111" s="16">
        <f>IFERROR(__xludf.DUMMYFUNCTION("""COMPUTED_VALUE"""),45902.6458333333)</f>
        <v>45902.6458333333</v>
      </c>
      <c r="J111" s="17">
        <f>IFERROR(__xludf.DUMMYFUNCTION("""COMPUTED_VALUE"""),5208)</f>
        <v>5208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IFERROR(__xludf.DUMMYFUNCTION("""COMPUTED_VALUE"""),5349)</f>
        <v>5349</v>
      </c>
      <c r="C112" s="16">
        <f>IFERROR(__xludf.DUMMYFUNCTION("""COMPUTED_VALUE"""),45903.6458333333)</f>
        <v>45903.6458333333</v>
      </c>
      <c r="D112" s="17">
        <f>IFERROR(__xludf.DUMMYFUNCTION("""COMPUTED_VALUE"""),5325)</f>
        <v>5325</v>
      </c>
      <c r="E112" s="16">
        <f>IFERROR(__xludf.DUMMYFUNCTION("""COMPUTED_VALUE"""),45903.6458333333)</f>
        <v>45903.6458333333</v>
      </c>
      <c r="F112" s="17">
        <f>IFERROR(__xludf.DUMMYFUNCTION("""COMPUTED_VALUE"""),659989)</f>
        <v>659989</v>
      </c>
      <c r="G112" s="16">
        <f>IFERROR(__xludf.DUMMYFUNCTION("""COMPUTED_VALUE"""),45903.6458333333)</f>
        <v>45903.6458333333</v>
      </c>
      <c r="H112" s="17">
        <f>IFERROR(__xludf.DUMMYFUNCTION("""COMPUTED_VALUE"""),5363.5)</f>
        <v>5363.5</v>
      </c>
      <c r="I112" s="16">
        <f>IFERROR(__xludf.DUMMYFUNCTION("""COMPUTED_VALUE"""),45903.6458333333)</f>
        <v>45903.6458333333</v>
      </c>
      <c r="J112" s="17">
        <f>IFERROR(__xludf.DUMMYFUNCTION("""COMPUTED_VALUE"""),5256.5)</f>
        <v>5256.5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IFERROR(__xludf.DUMMYFUNCTION("""COMPUTED_VALUE"""),5351)</f>
        <v>5351</v>
      </c>
      <c r="C113" s="16">
        <f>IFERROR(__xludf.DUMMYFUNCTION("""COMPUTED_VALUE"""),45904.6458333333)</f>
        <v>45904.6458333333</v>
      </c>
      <c r="D113" s="17">
        <f>IFERROR(__xludf.DUMMYFUNCTION("""COMPUTED_VALUE"""),5505)</f>
        <v>5505</v>
      </c>
      <c r="E113" s="16">
        <f>IFERROR(__xludf.DUMMYFUNCTION("""COMPUTED_VALUE"""),45904.6458333333)</f>
        <v>45904.6458333333</v>
      </c>
      <c r="F113" s="17">
        <f>IFERROR(__xludf.DUMMYFUNCTION("""COMPUTED_VALUE"""),1187848)</f>
        <v>1187848</v>
      </c>
      <c r="G113" s="16">
        <f>IFERROR(__xludf.DUMMYFUNCTION("""COMPUTED_VALUE"""),45904.6458333333)</f>
        <v>45904.6458333333</v>
      </c>
      <c r="H113" s="17">
        <f>IFERROR(__xludf.DUMMYFUNCTION("""COMPUTED_VALUE"""),5519)</f>
        <v>5519</v>
      </c>
      <c r="I113" s="16">
        <f>IFERROR(__xludf.DUMMYFUNCTION("""COMPUTED_VALUE"""),45904.6458333333)</f>
        <v>45904.6458333333</v>
      </c>
      <c r="J113" s="17">
        <f>IFERROR(__xludf.DUMMYFUNCTION("""COMPUTED_VALUE"""),5341)</f>
        <v>5341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IFERROR(__xludf.DUMMYFUNCTION("""COMPUTED_VALUE"""),5363)</f>
        <v>5363</v>
      </c>
      <c r="C114" s="16">
        <f>IFERROR(__xludf.DUMMYFUNCTION("""COMPUTED_VALUE"""),45905.6458333333)</f>
        <v>45905.6458333333</v>
      </c>
      <c r="D114" s="17">
        <f>IFERROR(__xludf.DUMMYFUNCTION("""COMPUTED_VALUE"""),5360)</f>
        <v>5360</v>
      </c>
      <c r="E114" s="16">
        <f>IFERROR(__xludf.DUMMYFUNCTION("""COMPUTED_VALUE"""),45905.6458333333)</f>
        <v>45905.6458333333</v>
      </c>
      <c r="F114" s="17">
        <f>IFERROR(__xludf.DUMMYFUNCTION("""COMPUTED_VALUE"""),517415)</f>
        <v>517415</v>
      </c>
      <c r="G114" s="16">
        <f>IFERROR(__xludf.DUMMYFUNCTION("""COMPUTED_VALUE"""),45905.6458333333)</f>
        <v>45905.6458333333</v>
      </c>
      <c r="H114" s="17">
        <f>IFERROR(__xludf.DUMMYFUNCTION("""COMPUTED_VALUE"""),5419.5)</f>
        <v>5419.5</v>
      </c>
      <c r="I114" s="16">
        <f>IFERROR(__xludf.DUMMYFUNCTION("""COMPUTED_VALUE"""),45905.6458333333)</f>
        <v>45905.6458333333</v>
      </c>
      <c r="J114" s="17">
        <f>IFERROR(__xludf.DUMMYFUNCTION("""COMPUTED_VALUE"""),5348.5)</f>
        <v>5348.5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IFERROR(__xludf.DUMMYFUNCTION("""COMPUTED_VALUE"""),5443)</f>
        <v>5443</v>
      </c>
      <c r="C115" s="16">
        <f>IFERROR(__xludf.DUMMYFUNCTION("""COMPUTED_VALUE"""),45908.6458333333)</f>
        <v>45908.6458333333</v>
      </c>
      <c r="D115" s="17">
        <f>IFERROR(__xludf.DUMMYFUNCTION("""COMPUTED_VALUE"""),5370)</f>
        <v>5370</v>
      </c>
      <c r="E115" s="16">
        <f>IFERROR(__xludf.DUMMYFUNCTION("""COMPUTED_VALUE"""),45908.6458333333)</f>
        <v>45908.6458333333</v>
      </c>
      <c r="F115" s="17">
        <f>IFERROR(__xludf.DUMMYFUNCTION("""COMPUTED_VALUE"""),726543)</f>
        <v>726543</v>
      </c>
      <c r="G115" s="16">
        <f>IFERROR(__xludf.DUMMYFUNCTION("""COMPUTED_VALUE"""),45908.6458333333)</f>
        <v>45908.6458333333</v>
      </c>
      <c r="H115" s="17">
        <f>IFERROR(__xludf.DUMMYFUNCTION("""COMPUTED_VALUE"""),5524.5)</f>
        <v>5524.5</v>
      </c>
      <c r="I115" s="16">
        <f>IFERROR(__xludf.DUMMYFUNCTION("""COMPUTED_VALUE"""),45908.6458333333)</f>
        <v>45908.6458333333</v>
      </c>
      <c r="J115" s="17">
        <f>IFERROR(__xludf.DUMMYFUNCTION("""COMPUTED_VALUE"""),5335)</f>
        <v>5335</v>
      </c>
      <c r="K115" s="3">
        <f t="shared" si="2"/>
        <v>5443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IFERROR(__xludf.DUMMYFUNCTION("""COMPUTED_VALUE"""),5423.5)</f>
        <v>5423.5</v>
      </c>
      <c r="C116" s="16">
        <f>IFERROR(__xludf.DUMMYFUNCTION("""COMPUTED_VALUE"""),45909.6458333333)</f>
        <v>45909.6458333333</v>
      </c>
      <c r="D116" s="17">
        <f>IFERROR(__xludf.DUMMYFUNCTION("""COMPUTED_VALUE"""),5465.5)</f>
        <v>5465.5</v>
      </c>
      <c r="E116" s="16">
        <f>IFERROR(__xludf.DUMMYFUNCTION("""COMPUTED_VALUE"""),45909.6458333333)</f>
        <v>45909.6458333333</v>
      </c>
      <c r="F116" s="17">
        <f>IFERROR(__xludf.DUMMYFUNCTION("""COMPUTED_VALUE"""),608443)</f>
        <v>608443</v>
      </c>
      <c r="G116" s="16">
        <f>IFERROR(__xludf.DUMMYFUNCTION("""COMPUTED_VALUE"""),45909.6458333333)</f>
        <v>45909.6458333333</v>
      </c>
      <c r="H116" s="17">
        <f>IFERROR(__xludf.DUMMYFUNCTION("""COMPUTED_VALUE"""),5488)</f>
        <v>5488</v>
      </c>
      <c r="I116" s="16">
        <f>IFERROR(__xludf.DUMMYFUNCTION("""COMPUTED_VALUE"""),45909.6458333333)</f>
        <v>45909.6458333333</v>
      </c>
      <c r="J116" s="17">
        <f>IFERROR(__xludf.DUMMYFUNCTION("""COMPUTED_VALUE"""),5391)</f>
        <v>5391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IFERROR(__xludf.DUMMYFUNCTION("""COMPUTED_VALUE"""),5350.5)</f>
        <v>5350.5</v>
      </c>
      <c r="C117" s="16">
        <f>IFERROR(__xludf.DUMMYFUNCTION("""COMPUTED_VALUE"""),45910.6458333333)</f>
        <v>45910.6458333333</v>
      </c>
      <c r="D117" s="17">
        <f>IFERROR(__xludf.DUMMYFUNCTION("""COMPUTED_VALUE"""),5450)</f>
        <v>5450</v>
      </c>
      <c r="E117" s="16">
        <f>IFERROR(__xludf.DUMMYFUNCTION("""COMPUTED_VALUE"""),45910.6458333333)</f>
        <v>45910.6458333333</v>
      </c>
      <c r="F117" s="17">
        <f>IFERROR(__xludf.DUMMYFUNCTION("""COMPUTED_VALUE"""),536616)</f>
        <v>536616</v>
      </c>
      <c r="G117" s="16">
        <f>IFERROR(__xludf.DUMMYFUNCTION("""COMPUTED_VALUE"""),45910.6458333333)</f>
        <v>45910.6458333333</v>
      </c>
      <c r="H117" s="17">
        <f>IFERROR(__xludf.DUMMYFUNCTION("""COMPUTED_VALUE"""),5458)</f>
        <v>5458</v>
      </c>
      <c r="I117" s="16">
        <f>IFERROR(__xludf.DUMMYFUNCTION("""COMPUTED_VALUE"""),45910.6458333333)</f>
        <v>45910.6458333333</v>
      </c>
      <c r="J117" s="17">
        <f>IFERROR(__xludf.DUMMYFUNCTION("""COMPUTED_VALUE"""),5317.5)</f>
        <v>5317.5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IFERROR(__xludf.DUMMYFUNCTION("""COMPUTED_VALUE"""),5302)</f>
        <v>5302</v>
      </c>
      <c r="C118" s="16">
        <f>IFERROR(__xludf.DUMMYFUNCTION("""COMPUTED_VALUE"""),45911.6458333333)</f>
        <v>45911.6458333333</v>
      </c>
      <c r="D118" s="17">
        <f>IFERROR(__xludf.DUMMYFUNCTION("""COMPUTED_VALUE"""),5350.5)</f>
        <v>5350.5</v>
      </c>
      <c r="E118" s="16">
        <f>IFERROR(__xludf.DUMMYFUNCTION("""COMPUTED_VALUE"""),45911.6458333333)</f>
        <v>45911.6458333333</v>
      </c>
      <c r="F118" s="17">
        <f>IFERROR(__xludf.DUMMYFUNCTION("""COMPUTED_VALUE"""),765635)</f>
        <v>765635</v>
      </c>
      <c r="G118" s="16">
        <f>IFERROR(__xludf.DUMMYFUNCTION("""COMPUTED_VALUE"""),45911.6458333333)</f>
        <v>45911.6458333333</v>
      </c>
      <c r="H118" s="17">
        <f>IFERROR(__xludf.DUMMYFUNCTION("""COMPUTED_VALUE"""),5363)</f>
        <v>5363</v>
      </c>
      <c r="I118" s="16">
        <f>IFERROR(__xludf.DUMMYFUNCTION("""COMPUTED_VALUE"""),45911.6458333333)</f>
        <v>45911.6458333333</v>
      </c>
      <c r="J118" s="17">
        <f>IFERROR(__xludf.DUMMYFUNCTION("""COMPUTED_VALUE"""),5286)</f>
        <v>5286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IFERROR(__xludf.DUMMYFUNCTION("""COMPUTED_VALUE"""),5301.5)</f>
        <v>5301.5</v>
      </c>
      <c r="C119" s="16">
        <f>IFERROR(__xludf.DUMMYFUNCTION("""COMPUTED_VALUE"""),45912.6458333333)</f>
        <v>45912.6458333333</v>
      </c>
      <c r="D119" s="17">
        <f>IFERROR(__xludf.DUMMYFUNCTION("""COMPUTED_VALUE"""),5306)</f>
        <v>5306</v>
      </c>
      <c r="E119" s="16">
        <f>IFERROR(__xludf.DUMMYFUNCTION("""COMPUTED_VALUE"""),45912.6458333333)</f>
        <v>45912.6458333333</v>
      </c>
      <c r="F119" s="17">
        <f>IFERROR(__xludf.DUMMYFUNCTION("""COMPUTED_VALUE"""),537933)</f>
        <v>537933</v>
      </c>
      <c r="G119" s="16">
        <f>IFERROR(__xludf.DUMMYFUNCTION("""COMPUTED_VALUE"""),45912.6458333333)</f>
        <v>45912.6458333333</v>
      </c>
      <c r="H119" s="17">
        <f>IFERROR(__xludf.DUMMYFUNCTION("""COMPUTED_VALUE"""),5389.5)</f>
        <v>5389.5</v>
      </c>
      <c r="I119" s="16">
        <f>IFERROR(__xludf.DUMMYFUNCTION("""COMPUTED_VALUE"""),45912.6458333333)</f>
        <v>45912.6458333333</v>
      </c>
      <c r="J119" s="17">
        <f>IFERROR(__xludf.DUMMYFUNCTION("""COMPUTED_VALUE"""),5286)</f>
        <v>5286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IFERROR(__xludf.DUMMYFUNCTION("""COMPUTED_VALUE"""),5288.5)</f>
        <v>5288.5</v>
      </c>
      <c r="C120" s="16">
        <f>IFERROR(__xludf.DUMMYFUNCTION("""COMPUTED_VALUE"""),45915.6458333333)</f>
        <v>45915.6458333333</v>
      </c>
      <c r="D120" s="17">
        <f>IFERROR(__xludf.DUMMYFUNCTION("""COMPUTED_VALUE"""),5324)</f>
        <v>5324</v>
      </c>
      <c r="E120" s="16">
        <f>IFERROR(__xludf.DUMMYFUNCTION("""COMPUTED_VALUE"""),45915.6458333333)</f>
        <v>45915.6458333333</v>
      </c>
      <c r="F120" s="17">
        <f>IFERROR(__xludf.DUMMYFUNCTION("""COMPUTED_VALUE"""),588879)</f>
        <v>588879</v>
      </c>
      <c r="G120" s="16">
        <f>IFERROR(__xludf.DUMMYFUNCTION("""COMPUTED_VALUE"""),45915.6458333333)</f>
        <v>45915.6458333333</v>
      </c>
      <c r="H120" s="17">
        <f>IFERROR(__xludf.DUMMYFUNCTION("""COMPUTED_VALUE"""),5356)</f>
        <v>5356</v>
      </c>
      <c r="I120" s="16">
        <f>IFERROR(__xludf.DUMMYFUNCTION("""COMPUTED_VALUE"""),45915.6458333333)</f>
        <v>45915.6458333333</v>
      </c>
      <c r="J120" s="17">
        <f>IFERROR(__xludf.DUMMYFUNCTION("""COMPUTED_VALUE"""),5268)</f>
        <v>5268</v>
      </c>
      <c r="K120" s="3">
        <f t="shared" si="2"/>
        <v>0</v>
      </c>
      <c r="L120" s="3">
        <f t="shared" si="3"/>
        <v>5288.5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IFERROR(__xludf.DUMMYFUNCTION("""COMPUTED_VALUE"""),5316)</f>
        <v>5316</v>
      </c>
      <c r="C121" s="16">
        <f>IFERROR(__xludf.DUMMYFUNCTION("""COMPUTED_VALUE"""),45916.6458333333)</f>
        <v>45916.6458333333</v>
      </c>
      <c r="D121" s="17">
        <f>IFERROR(__xludf.DUMMYFUNCTION("""COMPUTED_VALUE"""),5307)</f>
        <v>5307</v>
      </c>
      <c r="E121" s="16">
        <f>IFERROR(__xludf.DUMMYFUNCTION("""COMPUTED_VALUE"""),45916.6458333333)</f>
        <v>45916.6458333333</v>
      </c>
      <c r="F121" s="17">
        <f>IFERROR(__xludf.DUMMYFUNCTION("""COMPUTED_VALUE"""),925160)</f>
        <v>925160</v>
      </c>
      <c r="G121" s="16">
        <f>IFERROR(__xludf.DUMMYFUNCTION("""COMPUTED_VALUE"""),45916.6458333333)</f>
        <v>45916.6458333333</v>
      </c>
      <c r="H121" s="17">
        <f>IFERROR(__xludf.DUMMYFUNCTION("""COMPUTED_VALUE"""),5349)</f>
        <v>5349</v>
      </c>
      <c r="I121" s="16">
        <f>IFERROR(__xludf.DUMMYFUNCTION("""COMPUTED_VALUE"""),45916.6458333333)</f>
        <v>45916.6458333333</v>
      </c>
      <c r="J121" s="17">
        <f>IFERROR(__xludf.DUMMYFUNCTION("""COMPUTED_VALUE"""),5284)</f>
        <v>5284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IFERROR(__xludf.DUMMYFUNCTION("""COMPUTED_VALUE"""),5350)</f>
        <v>5350</v>
      </c>
      <c r="C122" s="16">
        <f>IFERROR(__xludf.DUMMYFUNCTION("""COMPUTED_VALUE"""),45917.6458333333)</f>
        <v>45917.6458333333</v>
      </c>
      <c r="D122" s="17">
        <f>IFERROR(__xludf.DUMMYFUNCTION("""COMPUTED_VALUE"""),5344)</f>
        <v>5344</v>
      </c>
      <c r="E122" s="16">
        <f>IFERROR(__xludf.DUMMYFUNCTION("""COMPUTED_VALUE"""),45917.6458333333)</f>
        <v>45917.6458333333</v>
      </c>
      <c r="F122" s="17">
        <f>IFERROR(__xludf.DUMMYFUNCTION("""COMPUTED_VALUE"""),616629)</f>
        <v>616629</v>
      </c>
      <c r="G122" s="16">
        <f>IFERROR(__xludf.DUMMYFUNCTION("""COMPUTED_VALUE"""),45917.6458333333)</f>
        <v>45917.6458333333</v>
      </c>
      <c r="H122" s="17">
        <f>IFERROR(__xludf.DUMMYFUNCTION("""COMPUTED_VALUE"""),5388)</f>
        <v>5388</v>
      </c>
      <c r="I122" s="16">
        <f>IFERROR(__xludf.DUMMYFUNCTION("""COMPUTED_VALUE"""),45917.6458333333)</f>
        <v>45917.6458333333</v>
      </c>
      <c r="J122" s="17">
        <f>IFERROR(__xludf.DUMMYFUNCTION("""COMPUTED_VALUE"""),5310.5)</f>
        <v>5310.5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IFERROR(__xludf.DUMMYFUNCTION("""COMPUTED_VALUE"""),5370)</f>
        <v>5370</v>
      </c>
      <c r="C123" s="16">
        <f>IFERROR(__xludf.DUMMYFUNCTION("""COMPUTED_VALUE"""),45918.6458333333)</f>
        <v>45918.6458333333</v>
      </c>
      <c r="D123" s="17">
        <f>IFERROR(__xludf.DUMMYFUNCTION("""COMPUTED_VALUE"""),5360)</f>
        <v>5360</v>
      </c>
      <c r="E123" s="16">
        <f>IFERROR(__xludf.DUMMYFUNCTION("""COMPUTED_VALUE"""),45918.6458333333)</f>
        <v>45918.6458333333</v>
      </c>
      <c r="F123" s="17">
        <f>IFERROR(__xludf.DUMMYFUNCTION("""COMPUTED_VALUE"""),420977)</f>
        <v>420977</v>
      </c>
      <c r="G123" s="16">
        <f>IFERROR(__xludf.DUMMYFUNCTION("""COMPUTED_VALUE"""),45918.6458333333)</f>
        <v>45918.6458333333</v>
      </c>
      <c r="H123" s="17">
        <f>IFERROR(__xludf.DUMMYFUNCTION("""COMPUTED_VALUE"""),5387)</f>
        <v>5387</v>
      </c>
      <c r="I123" s="16">
        <f>IFERROR(__xludf.DUMMYFUNCTION("""COMPUTED_VALUE"""),45918.6458333333)</f>
        <v>45918.6458333333</v>
      </c>
      <c r="J123" s="17">
        <f>IFERROR(__xludf.DUMMYFUNCTION("""COMPUTED_VALUE"""),5340)</f>
        <v>5340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IFERROR(__xludf.DUMMYFUNCTION("""COMPUTED_VALUE"""),5408)</f>
        <v>5408</v>
      </c>
      <c r="C124" s="16">
        <f>IFERROR(__xludf.DUMMYFUNCTION("""COMPUTED_VALUE"""),45919.6458333333)</f>
        <v>45919.6458333333</v>
      </c>
      <c r="D124" s="17">
        <f>IFERROR(__xludf.DUMMYFUNCTION("""COMPUTED_VALUE"""),5390)</f>
        <v>5390</v>
      </c>
      <c r="E124" s="16">
        <f>IFERROR(__xludf.DUMMYFUNCTION("""COMPUTED_VALUE"""),45919.6458333333)</f>
        <v>45919.6458333333</v>
      </c>
      <c r="F124" s="17">
        <f>IFERROR(__xludf.DUMMYFUNCTION("""COMPUTED_VALUE"""),579031)</f>
        <v>579031</v>
      </c>
      <c r="G124" s="16">
        <f>IFERROR(__xludf.DUMMYFUNCTION("""COMPUTED_VALUE"""),45919.6458333333)</f>
        <v>45919.6458333333</v>
      </c>
      <c r="H124" s="17">
        <f>IFERROR(__xludf.DUMMYFUNCTION("""COMPUTED_VALUE"""),5435)</f>
        <v>5435</v>
      </c>
      <c r="I124" s="16">
        <f>IFERROR(__xludf.DUMMYFUNCTION("""COMPUTED_VALUE"""),45919.6458333333)</f>
        <v>45919.6458333333</v>
      </c>
      <c r="J124" s="17">
        <f>IFERROR(__xludf.DUMMYFUNCTION("""COMPUTED_VALUE"""),5372)</f>
        <v>5372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IFERROR(__xludf.DUMMYFUNCTION("""COMPUTED_VALUE"""),5429.5)</f>
        <v>5429.5</v>
      </c>
      <c r="C125" s="16">
        <f>IFERROR(__xludf.DUMMYFUNCTION("""COMPUTED_VALUE"""),45922.6458333333)</f>
        <v>45922.6458333333</v>
      </c>
      <c r="D125" s="17">
        <f>IFERROR(__xludf.DUMMYFUNCTION("""COMPUTED_VALUE"""),5409)</f>
        <v>5409</v>
      </c>
      <c r="E125" s="16">
        <f>IFERROR(__xludf.DUMMYFUNCTION("""COMPUTED_VALUE"""),45922.6458333333)</f>
        <v>45922.6458333333</v>
      </c>
      <c r="F125" s="17">
        <f>IFERROR(__xludf.DUMMYFUNCTION("""COMPUTED_VALUE"""),672445)</f>
        <v>672445</v>
      </c>
      <c r="G125" s="16">
        <f>IFERROR(__xludf.DUMMYFUNCTION("""COMPUTED_VALUE"""),45922.6458333333)</f>
        <v>45922.6458333333</v>
      </c>
      <c r="H125" s="17">
        <f>IFERROR(__xludf.DUMMYFUNCTION("""COMPUTED_VALUE"""),5499)</f>
        <v>5499</v>
      </c>
      <c r="I125" s="16">
        <f>IFERROR(__xludf.DUMMYFUNCTION("""COMPUTED_VALUE"""),45922.6458333333)</f>
        <v>45922.6458333333</v>
      </c>
      <c r="J125" s="17">
        <f>IFERROR(__xludf.DUMMYFUNCTION("""COMPUTED_VALUE"""),5400)</f>
        <v>5400</v>
      </c>
      <c r="K125" s="3">
        <f t="shared" si="2"/>
        <v>5429.5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IFERROR(__xludf.DUMMYFUNCTION("""COMPUTED_VALUE"""),5370.5)</f>
        <v>5370.5</v>
      </c>
      <c r="C126" s="16">
        <f>IFERROR(__xludf.DUMMYFUNCTION("""COMPUTED_VALUE"""),45923.6458333333)</f>
        <v>45923.6458333333</v>
      </c>
      <c r="D126" s="17">
        <f>IFERROR(__xludf.DUMMYFUNCTION("""COMPUTED_VALUE"""),5450)</f>
        <v>5450</v>
      </c>
      <c r="E126" s="16">
        <f>IFERROR(__xludf.DUMMYFUNCTION("""COMPUTED_VALUE"""),45923.6458333333)</f>
        <v>45923.6458333333</v>
      </c>
      <c r="F126" s="17">
        <f>IFERROR(__xludf.DUMMYFUNCTION("""COMPUTED_VALUE"""),507377)</f>
        <v>507377</v>
      </c>
      <c r="G126" s="16">
        <f>IFERROR(__xludf.DUMMYFUNCTION("""COMPUTED_VALUE"""),45923.6458333333)</f>
        <v>45923.6458333333</v>
      </c>
      <c r="H126" s="17">
        <f>IFERROR(__xludf.DUMMYFUNCTION("""COMPUTED_VALUE"""),5514)</f>
        <v>5514</v>
      </c>
      <c r="I126" s="16">
        <f>IFERROR(__xludf.DUMMYFUNCTION("""COMPUTED_VALUE"""),45923.6458333333)</f>
        <v>45923.6458333333</v>
      </c>
      <c r="J126" s="17">
        <f>IFERROR(__xludf.DUMMYFUNCTION("""COMPUTED_VALUE"""),5351)</f>
        <v>5351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IFERROR(__xludf.DUMMYFUNCTION("""COMPUTED_VALUE"""),5277)</f>
        <v>5277</v>
      </c>
      <c r="C127" s="16">
        <f>IFERROR(__xludf.DUMMYFUNCTION("""COMPUTED_VALUE"""),45924.6458333333)</f>
        <v>45924.6458333333</v>
      </c>
      <c r="D127" s="17">
        <f>IFERROR(__xludf.DUMMYFUNCTION("""COMPUTED_VALUE"""),5370)</f>
        <v>5370</v>
      </c>
      <c r="E127" s="16">
        <f>IFERROR(__xludf.DUMMYFUNCTION("""COMPUTED_VALUE"""),45924.6458333333)</f>
        <v>45924.6458333333</v>
      </c>
      <c r="F127" s="17">
        <f>IFERROR(__xludf.DUMMYFUNCTION("""COMPUTED_VALUE"""),410267)</f>
        <v>410267</v>
      </c>
      <c r="G127" s="16">
        <f>IFERROR(__xludf.DUMMYFUNCTION("""COMPUTED_VALUE"""),45924.6458333333)</f>
        <v>45924.6458333333</v>
      </c>
      <c r="H127" s="17">
        <f>IFERROR(__xludf.DUMMYFUNCTION("""COMPUTED_VALUE"""),5376)</f>
        <v>5376</v>
      </c>
      <c r="I127" s="16">
        <f>IFERROR(__xludf.DUMMYFUNCTION("""COMPUTED_VALUE"""),45924.6458333333)</f>
        <v>45924.6458333333</v>
      </c>
      <c r="J127" s="17">
        <f>IFERROR(__xludf.DUMMYFUNCTION("""COMPUTED_VALUE"""),5265)</f>
        <v>5265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IFERROR(__xludf.DUMMYFUNCTION("""COMPUTED_VALUE"""),5354.5)</f>
        <v>5354.5</v>
      </c>
      <c r="C128" s="16">
        <f>IFERROR(__xludf.DUMMYFUNCTION("""COMPUTED_VALUE"""),45925.6458333333)</f>
        <v>45925.6458333333</v>
      </c>
      <c r="D128" s="17">
        <f>IFERROR(__xludf.DUMMYFUNCTION("""COMPUTED_VALUE"""),5270)</f>
        <v>5270</v>
      </c>
      <c r="E128" s="16">
        <f>IFERROR(__xludf.DUMMYFUNCTION("""COMPUTED_VALUE"""),45925.6458333333)</f>
        <v>45925.6458333333</v>
      </c>
      <c r="F128" s="17">
        <f>IFERROR(__xludf.DUMMYFUNCTION("""COMPUTED_VALUE"""),640474)</f>
        <v>640474</v>
      </c>
      <c r="G128" s="16">
        <f>IFERROR(__xludf.DUMMYFUNCTION("""COMPUTED_VALUE"""),45925.6458333333)</f>
        <v>45925.6458333333</v>
      </c>
      <c r="H128" s="17">
        <f>IFERROR(__xludf.DUMMYFUNCTION("""COMPUTED_VALUE"""),5374)</f>
        <v>5374</v>
      </c>
      <c r="I128" s="16">
        <f>IFERROR(__xludf.DUMMYFUNCTION("""COMPUTED_VALUE"""),45925.6458333333)</f>
        <v>45925.6458333333</v>
      </c>
      <c r="J128" s="17">
        <f>IFERROR(__xludf.DUMMYFUNCTION("""COMPUTED_VALUE"""),5231)</f>
        <v>5231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IFERROR(__xludf.DUMMYFUNCTION("""COMPUTED_VALUE"""),5328)</f>
        <v>5328</v>
      </c>
      <c r="C129" s="47">
        <f>IFERROR(__xludf.DUMMYFUNCTION("""COMPUTED_VALUE"""),45926.6458333333)</f>
        <v>45926.6458333333</v>
      </c>
      <c r="D129" s="48">
        <f>IFERROR(__xludf.DUMMYFUNCTION("""COMPUTED_VALUE"""),5354.5)</f>
        <v>5354.5</v>
      </c>
      <c r="E129" s="47">
        <f>IFERROR(__xludf.DUMMYFUNCTION("""COMPUTED_VALUE"""),45926.6458333333)</f>
        <v>45926.6458333333</v>
      </c>
      <c r="F129" s="48">
        <f>IFERROR(__xludf.DUMMYFUNCTION("""COMPUTED_VALUE"""),689941)</f>
        <v>689941</v>
      </c>
      <c r="G129" s="47">
        <f>IFERROR(__xludf.DUMMYFUNCTION("""COMPUTED_VALUE"""),45926.6458333333)</f>
        <v>45926.6458333333</v>
      </c>
      <c r="H129" s="48">
        <f>IFERROR(__xludf.DUMMYFUNCTION("""COMPUTED_VALUE"""),5454)</f>
        <v>5454</v>
      </c>
      <c r="I129" s="47">
        <f>IFERROR(__xludf.DUMMYFUNCTION("""COMPUTED_VALUE"""),45926.6458333333)</f>
        <v>45926.6458333333</v>
      </c>
      <c r="J129" s="48">
        <f>IFERROR(__xludf.DUMMYFUNCTION("""COMPUTED_VALUE"""),5308.5)</f>
        <v>5308.5</v>
      </c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50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""price"")"),742.5)</f>
        <v>742.5</v>
      </c>
      <c r="I3" s="22" t="s">
        <v>269</v>
      </c>
      <c r="J3" s="23">
        <f>IFERROR(__xludf.DUMMYFUNCTION("GOOGLEFINANCE(L3, ""volume"")"),3636265)</f>
        <v>3636265</v>
      </c>
      <c r="K3" s="24" t="s">
        <v>270</v>
      </c>
      <c r="L3" s="25" t="str">
        <f>Mastersheet!B21</f>
        <v>NSE:HINDALCO</v>
      </c>
      <c r="M3" s="26">
        <f>IFERROR(__xludf.DUMMYFUNCTION("""COMPUTED_VALUE"""),45926.6458333333)</f>
        <v>45926.6458333333</v>
      </c>
      <c r="N3" s="27">
        <f>IFERROR(__xludf.DUMMYFUNCTION("""COMPUTED_VALUE"""),743.85)</f>
        <v>743.85</v>
      </c>
      <c r="O3" s="26">
        <f>IFERROR(__xludf.DUMMYFUNCTION("""COMPUTED_VALUE"""),45926.6458333333)</f>
        <v>45926.6458333333</v>
      </c>
      <c r="P3" s="27">
        <f>IFERROR(__xludf.DUMMYFUNCTION("""COMPUTED_VALUE"""),745.9)</f>
        <v>745.9</v>
      </c>
      <c r="Q3" s="16">
        <f>IFERROR(__xludf.DUMMYFUNCTION("""COMPUTED_VALUE"""),45926.6458333333)</f>
        <v>45926.6458333333</v>
      </c>
      <c r="R3" s="17">
        <f>IFERROR(__xludf.DUMMYFUNCTION("""COMPUTED_VALUE"""),749.5)</f>
        <v>749.5</v>
      </c>
      <c r="S3" s="16">
        <f>IFERROR(__xludf.DUMMYFUNCTION("""COMPUTED_VALUE"""),45926.6458333333)</f>
        <v>45926.6458333333</v>
      </c>
      <c r="T3" s="17">
        <f>IFERROR(__xludf.DUMMYFUNCTION("""COMPUTED_VALUE"""),731.95)</f>
        <v>731.95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IFERROR(__xludf.DUMMYFUNCTION("""COMPUTED_VALUE"""),693.35)</f>
        <v>693.35</v>
      </c>
      <c r="C5" s="14">
        <f>IFERROR(__xludf.DUMMYFUNCTION("""COMPUTED_VALUE"""),45743.6458333333)</f>
        <v>45743.6458333333</v>
      </c>
      <c r="D5" s="15">
        <f>IFERROR(__xludf.DUMMYFUNCTION("""COMPUTED_VALUE"""),690.95)</f>
        <v>690.95</v>
      </c>
      <c r="E5" s="14">
        <f>IFERROR(__xludf.DUMMYFUNCTION("""COMPUTED_VALUE"""),45743.6458333333)</f>
        <v>45743.6458333333</v>
      </c>
      <c r="F5" s="15">
        <f>IFERROR(__xludf.DUMMYFUNCTION("""COMPUTED_VALUE"""),5002247)</f>
        <v>5002247</v>
      </c>
      <c r="G5" s="14">
        <f>IFERROR(__xludf.DUMMYFUNCTION("""COMPUTED_VALUE"""),45743.6458333333)</f>
        <v>45743.6458333333</v>
      </c>
      <c r="H5" s="15">
        <f>IFERROR(__xludf.DUMMYFUNCTION("""COMPUTED_VALUE"""),697.9)</f>
        <v>697.9</v>
      </c>
      <c r="I5" s="30">
        <f>IFERROR(__xludf.DUMMYFUNCTION("""COMPUTED_VALUE"""),45743.6458333333)</f>
        <v>45743.6458333333</v>
      </c>
      <c r="J5" s="3">
        <f>IFERROR(__xludf.DUMMYFUNCTION("""COMPUTED_VALUE"""),689.2)</f>
        <v>689.2</v>
      </c>
      <c r="K5" s="5"/>
      <c r="L5" s="5"/>
      <c r="M5" s="3">
        <f t="array" ref="M5">INDEX(K11:K124,MATCH(SMALL(ABS(K11:K124-H3),1),ABS(K11:K124-H3),0))</f>
        <v>758.05</v>
      </c>
      <c r="N5" s="3">
        <f t="array" ref="N5">INDEX(K11:K124,MATCH(SMALL(ABS(K11:K124-H3),2),ABS(K11:K124-H3),0))</f>
        <v>699.45</v>
      </c>
      <c r="O5" s="3">
        <f t="array" ref="O5">INDEX(L11:L124,MATCH(SMALL(ABS(L11:L124-H3),1),ABS(L11:L124-H3),0))</f>
        <v>672.45</v>
      </c>
      <c r="P5" s="3">
        <f t="array" ref="P5">INDEX(L11:L124,MATCH(SMALL(ABS(L11:L124-H3),2),ABS(L11:L124-H3),0))</f>
        <v>667.05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699.45</v>
      </c>
      <c r="T5" s="17">
        <f ca="1">IF(AND(H3&gt;=Mastersheet!I3*S5,H3&lt;=Mastersheet!J3*S5),1,0)</f>
        <v>1</v>
      </c>
      <c r="U5" s="36">
        <f>(N3+P3)/2</f>
        <v>744.875</v>
      </c>
      <c r="V5" s="17">
        <f>(N3+P3+R3+T3)/4</f>
        <v>742.8</v>
      </c>
      <c r="W5" s="17">
        <f>IF(V5&gt;U5,1,0)</f>
        <v>0</v>
      </c>
      <c r="X5" s="17">
        <f>IF(V5&gt;U5,0,1)</f>
        <v>1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IFERROR(__xludf.DUMMYFUNCTION("""COMPUTED_VALUE"""),682.45)</f>
        <v>682.45</v>
      </c>
      <c r="C6" s="16">
        <f>IFERROR(__xludf.DUMMYFUNCTION("""COMPUTED_VALUE"""),45744.6458333333)</f>
        <v>45744.6458333333</v>
      </c>
      <c r="D6" s="17">
        <f>IFERROR(__xludf.DUMMYFUNCTION("""COMPUTED_VALUE"""),690.5)</f>
        <v>690.5</v>
      </c>
      <c r="E6" s="16">
        <f>IFERROR(__xludf.DUMMYFUNCTION("""COMPUTED_VALUE"""),45744.6458333333)</f>
        <v>45744.6458333333</v>
      </c>
      <c r="F6" s="17">
        <f>IFERROR(__xludf.DUMMYFUNCTION("""COMPUTED_VALUE"""),4362212)</f>
        <v>4362212</v>
      </c>
      <c r="G6" s="16">
        <f>IFERROR(__xludf.DUMMYFUNCTION("""COMPUTED_VALUE"""),45744.6458333333)</f>
        <v>45744.6458333333</v>
      </c>
      <c r="H6" s="17">
        <f>IFERROR(__xludf.DUMMYFUNCTION("""COMPUTED_VALUE"""),697.45)</f>
        <v>697.45</v>
      </c>
      <c r="I6" s="16">
        <f>IFERROR(__xludf.DUMMYFUNCTION("""COMPUTED_VALUE"""),45744.6458333333)</f>
        <v>45744.6458333333</v>
      </c>
      <c r="J6" s="17">
        <f>IFERROR(__xludf.DUMMYFUNCTION("""COMPUTED_VALUE"""),679.3)</f>
        <v>679.3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1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IFERROR(__xludf.DUMMYFUNCTION("""COMPUTED_VALUE"""),663.75)</f>
        <v>663.75</v>
      </c>
      <c r="C7" s="16">
        <f>IFERROR(__xludf.DUMMYFUNCTION("""COMPUTED_VALUE"""),45748.6458333333)</f>
        <v>45748.6458333333</v>
      </c>
      <c r="D7" s="17">
        <f>IFERROR(__xludf.DUMMYFUNCTION("""COMPUTED_VALUE"""),672)</f>
        <v>672</v>
      </c>
      <c r="E7" s="16">
        <f>IFERROR(__xludf.DUMMYFUNCTION("""COMPUTED_VALUE"""),45748.6458333333)</f>
        <v>45748.6458333333</v>
      </c>
      <c r="F7" s="17">
        <f>IFERROR(__xludf.DUMMYFUNCTION("""COMPUTED_VALUE"""),5131883)</f>
        <v>5131883</v>
      </c>
      <c r="G7" s="16">
        <f>IFERROR(__xludf.DUMMYFUNCTION("""COMPUTED_VALUE"""),45748.6458333333)</f>
        <v>45748.6458333333</v>
      </c>
      <c r="H7" s="17">
        <f>IFERROR(__xludf.DUMMYFUNCTION("""COMPUTED_VALUE"""),683.1)</f>
        <v>683.1</v>
      </c>
      <c r="I7" s="16">
        <f>IFERROR(__xludf.DUMMYFUNCTION("""COMPUTED_VALUE"""),45748.6458333333)</f>
        <v>45748.6458333333</v>
      </c>
      <c r="J7" s="17">
        <f>IFERROR(__xludf.DUMMYFUNCTION("""COMPUTED_VALUE"""),661.95)</f>
        <v>661.95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IFERROR(__xludf.DUMMYFUNCTION("""COMPUTED_VALUE"""),661.2)</f>
        <v>661.2</v>
      </c>
      <c r="C8" s="16">
        <f>IFERROR(__xludf.DUMMYFUNCTION("""COMPUTED_VALUE"""),45749.6458333333)</f>
        <v>45749.6458333333</v>
      </c>
      <c r="D8" s="17">
        <f>IFERROR(__xludf.DUMMYFUNCTION("""COMPUTED_VALUE"""),668.7)</f>
        <v>668.7</v>
      </c>
      <c r="E8" s="16">
        <f>IFERROR(__xludf.DUMMYFUNCTION("""COMPUTED_VALUE"""),45749.6458333333)</f>
        <v>45749.6458333333</v>
      </c>
      <c r="F8" s="17">
        <f>IFERROR(__xludf.DUMMYFUNCTION("""COMPUTED_VALUE"""),8357384)</f>
        <v>8357384</v>
      </c>
      <c r="G8" s="16">
        <f>IFERROR(__xludf.DUMMYFUNCTION("""COMPUTED_VALUE"""),45749.6458333333)</f>
        <v>45749.6458333333</v>
      </c>
      <c r="H8" s="17">
        <f>IFERROR(__xludf.DUMMYFUNCTION("""COMPUTED_VALUE"""),669)</f>
        <v>669</v>
      </c>
      <c r="I8" s="16">
        <f>IFERROR(__xludf.DUMMYFUNCTION("""COMPUTED_VALUE"""),45749.6458333333)</f>
        <v>45749.6458333333</v>
      </c>
      <c r="J8" s="17">
        <f>IFERROR(__xludf.DUMMYFUNCTION("""COMPUTED_VALUE"""),652.75)</f>
        <v>652.75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IFERROR(__xludf.DUMMYFUNCTION("""COMPUTED_VALUE"""),652.65)</f>
        <v>652.65</v>
      </c>
      <c r="C9" s="16">
        <f>IFERROR(__xludf.DUMMYFUNCTION("""COMPUTED_VALUE"""),45750.6458333333)</f>
        <v>45750.6458333333</v>
      </c>
      <c r="D9" s="17">
        <f>IFERROR(__xludf.DUMMYFUNCTION("""COMPUTED_VALUE"""),658)</f>
        <v>658</v>
      </c>
      <c r="E9" s="16">
        <f>IFERROR(__xludf.DUMMYFUNCTION("""COMPUTED_VALUE"""),45750.6458333333)</f>
        <v>45750.6458333333</v>
      </c>
      <c r="F9" s="17">
        <f>IFERROR(__xludf.DUMMYFUNCTION("""COMPUTED_VALUE"""),5646497)</f>
        <v>5646497</v>
      </c>
      <c r="G9" s="16">
        <f>IFERROR(__xludf.DUMMYFUNCTION("""COMPUTED_VALUE"""),45750.6458333333)</f>
        <v>45750.6458333333</v>
      </c>
      <c r="H9" s="17">
        <f>IFERROR(__xludf.DUMMYFUNCTION("""COMPUTED_VALUE"""),658)</f>
        <v>658</v>
      </c>
      <c r="I9" s="16">
        <f>IFERROR(__xludf.DUMMYFUNCTION("""COMPUTED_VALUE"""),45750.6458333333)</f>
        <v>45750.6458333333</v>
      </c>
      <c r="J9" s="17">
        <f>IFERROR(__xludf.DUMMYFUNCTION("""COMPUTED_VALUE"""),647.6)</f>
        <v>647.6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IFERROR(__xludf.DUMMYFUNCTION("""COMPUTED_VALUE"""),599.95)</f>
        <v>599.95</v>
      </c>
      <c r="C10" s="16">
        <f>IFERROR(__xludf.DUMMYFUNCTION("""COMPUTED_VALUE"""),45751.6458333333)</f>
        <v>45751.6458333333</v>
      </c>
      <c r="D10" s="17">
        <f>IFERROR(__xludf.DUMMYFUNCTION("""COMPUTED_VALUE"""),645)</f>
        <v>645</v>
      </c>
      <c r="E10" s="16">
        <f>IFERROR(__xludf.DUMMYFUNCTION("""COMPUTED_VALUE"""),45751.6458333333)</f>
        <v>45751.6458333333</v>
      </c>
      <c r="F10" s="17">
        <f>IFERROR(__xludf.DUMMYFUNCTION("""COMPUTED_VALUE"""),9393865)</f>
        <v>9393865</v>
      </c>
      <c r="G10" s="16">
        <f>IFERROR(__xludf.DUMMYFUNCTION("""COMPUTED_VALUE"""),45751.6458333333)</f>
        <v>45751.6458333333</v>
      </c>
      <c r="H10" s="17">
        <f>IFERROR(__xludf.DUMMYFUNCTION("""COMPUTED_VALUE"""),645)</f>
        <v>645</v>
      </c>
      <c r="I10" s="16">
        <f>IFERROR(__xludf.DUMMYFUNCTION("""COMPUTED_VALUE"""),45751.6458333333)</f>
        <v>45751.6458333333</v>
      </c>
      <c r="J10" s="17">
        <f>IFERROR(__xludf.DUMMYFUNCTION("""COMPUTED_VALUE"""),596.55)</f>
        <v>596.55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IFERROR(__xludf.DUMMYFUNCTION("""COMPUTED_VALUE"""),561.8)</f>
        <v>561.8</v>
      </c>
      <c r="C11" s="16">
        <f>IFERROR(__xludf.DUMMYFUNCTION("""COMPUTED_VALUE"""),45754.6458333333)</f>
        <v>45754.6458333333</v>
      </c>
      <c r="D11" s="17">
        <f>IFERROR(__xludf.DUMMYFUNCTION("""COMPUTED_VALUE"""),559)</f>
        <v>559</v>
      </c>
      <c r="E11" s="16">
        <f>IFERROR(__xludf.DUMMYFUNCTION("""COMPUTED_VALUE"""),45754.6458333333)</f>
        <v>45754.6458333333</v>
      </c>
      <c r="F11" s="17">
        <f>IFERROR(__xludf.DUMMYFUNCTION("""COMPUTED_VALUE"""),13117998)</f>
        <v>13117998</v>
      </c>
      <c r="G11" s="16">
        <f>IFERROR(__xludf.DUMMYFUNCTION("""COMPUTED_VALUE"""),45754.6458333333)</f>
        <v>45754.6458333333</v>
      </c>
      <c r="H11" s="17">
        <f>IFERROR(__xludf.DUMMYFUNCTION("""COMPUTED_VALUE"""),570)</f>
        <v>570</v>
      </c>
      <c r="I11" s="16">
        <f>IFERROR(__xludf.DUMMYFUNCTION("""COMPUTED_VALUE"""),45754.6458333333)</f>
        <v>45754.6458333333</v>
      </c>
      <c r="J11" s="17">
        <f>IFERROR(__xludf.DUMMYFUNCTION("""COMPUTED_VALUE"""),546.45)</f>
        <v>546.45</v>
      </c>
      <c r="K11" s="3">
        <f t="shared" ref="K11:K125" si="2">IF(B11=MAX(B5:B17),B11,0)</f>
        <v>0</v>
      </c>
      <c r="L11" s="3">
        <f t="shared" ref="L11:L125" si="3">IF(B11=MIN(B5:B17),B11,0)</f>
        <v>561.8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IFERROR(__xludf.DUMMYFUNCTION("""COMPUTED_VALUE"""),568.35)</f>
        <v>568.35</v>
      </c>
      <c r="C12" s="16">
        <f>IFERROR(__xludf.DUMMYFUNCTION("""COMPUTED_VALUE"""),45755.6458333333)</f>
        <v>45755.6458333333</v>
      </c>
      <c r="D12" s="17">
        <f>IFERROR(__xludf.DUMMYFUNCTION("""COMPUTED_VALUE"""),575)</f>
        <v>575</v>
      </c>
      <c r="E12" s="16">
        <f>IFERROR(__xludf.DUMMYFUNCTION("""COMPUTED_VALUE"""),45755.6458333333)</f>
        <v>45755.6458333333</v>
      </c>
      <c r="F12" s="17">
        <f>IFERROR(__xludf.DUMMYFUNCTION("""COMPUTED_VALUE"""),8831753)</f>
        <v>8831753</v>
      </c>
      <c r="G12" s="16">
        <f>IFERROR(__xludf.DUMMYFUNCTION("""COMPUTED_VALUE"""),45755.6458333333)</f>
        <v>45755.6458333333</v>
      </c>
      <c r="H12" s="17">
        <f>IFERROR(__xludf.DUMMYFUNCTION("""COMPUTED_VALUE"""),584.35)</f>
        <v>584.35</v>
      </c>
      <c r="I12" s="16">
        <f>IFERROR(__xludf.DUMMYFUNCTION("""COMPUTED_VALUE"""),45755.6458333333)</f>
        <v>45755.6458333333</v>
      </c>
      <c r="J12" s="17">
        <f>IFERROR(__xludf.DUMMYFUNCTION("""COMPUTED_VALUE"""),555.95)</f>
        <v>555.95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IFERROR(__xludf.DUMMYFUNCTION("""COMPUTED_VALUE"""),564)</f>
        <v>564</v>
      </c>
      <c r="C13" s="16">
        <f>IFERROR(__xludf.DUMMYFUNCTION("""COMPUTED_VALUE"""),45756.6458333333)</f>
        <v>45756.6458333333</v>
      </c>
      <c r="D13" s="17">
        <f>IFERROR(__xludf.DUMMYFUNCTION("""COMPUTED_VALUE"""),567.75)</f>
        <v>567.75</v>
      </c>
      <c r="E13" s="16">
        <f>IFERROR(__xludf.DUMMYFUNCTION("""COMPUTED_VALUE"""),45756.6458333333)</f>
        <v>45756.6458333333</v>
      </c>
      <c r="F13" s="17">
        <f>IFERROR(__xludf.DUMMYFUNCTION("""COMPUTED_VALUE"""),7009318)</f>
        <v>7009318</v>
      </c>
      <c r="G13" s="16">
        <f>IFERROR(__xludf.DUMMYFUNCTION("""COMPUTED_VALUE"""),45756.6458333333)</f>
        <v>45756.6458333333</v>
      </c>
      <c r="H13" s="17">
        <f>IFERROR(__xludf.DUMMYFUNCTION("""COMPUTED_VALUE"""),567.75)</f>
        <v>567.75</v>
      </c>
      <c r="I13" s="16">
        <f>IFERROR(__xludf.DUMMYFUNCTION("""COMPUTED_VALUE"""),45756.6458333333)</f>
        <v>45756.6458333333</v>
      </c>
      <c r="J13" s="17">
        <f>IFERROR(__xludf.DUMMYFUNCTION("""COMPUTED_VALUE"""),552.2)</f>
        <v>552.2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IFERROR(__xludf.DUMMYFUNCTION("""COMPUTED_VALUE"""),600.3)</f>
        <v>600.3</v>
      </c>
      <c r="C14" s="16">
        <f>IFERROR(__xludf.DUMMYFUNCTION("""COMPUTED_VALUE"""),45758.6458333333)</f>
        <v>45758.6458333333</v>
      </c>
      <c r="D14" s="17">
        <f>IFERROR(__xludf.DUMMYFUNCTION("""COMPUTED_VALUE"""),585)</f>
        <v>585</v>
      </c>
      <c r="E14" s="16">
        <f>IFERROR(__xludf.DUMMYFUNCTION("""COMPUTED_VALUE"""),45758.6458333333)</f>
        <v>45758.6458333333</v>
      </c>
      <c r="F14" s="17">
        <f>IFERROR(__xludf.DUMMYFUNCTION("""COMPUTED_VALUE"""),12562852)</f>
        <v>12562852</v>
      </c>
      <c r="G14" s="16">
        <f>IFERROR(__xludf.DUMMYFUNCTION("""COMPUTED_VALUE"""),45758.6458333333)</f>
        <v>45758.6458333333</v>
      </c>
      <c r="H14" s="17">
        <f>IFERROR(__xludf.DUMMYFUNCTION("""COMPUTED_VALUE"""),607.95)</f>
        <v>607.95</v>
      </c>
      <c r="I14" s="16">
        <f>IFERROR(__xludf.DUMMYFUNCTION("""COMPUTED_VALUE"""),45758.6458333333)</f>
        <v>45758.6458333333</v>
      </c>
      <c r="J14" s="17">
        <f>IFERROR(__xludf.DUMMYFUNCTION("""COMPUTED_VALUE"""),576.1)</f>
        <v>576.1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IFERROR(__xludf.DUMMYFUNCTION("""COMPUTED_VALUE"""),617.6)</f>
        <v>617.6</v>
      </c>
      <c r="C15" s="16">
        <f>IFERROR(__xludf.DUMMYFUNCTION("""COMPUTED_VALUE"""),45762.6458333333)</f>
        <v>45762.6458333333</v>
      </c>
      <c r="D15" s="17">
        <f>IFERROR(__xludf.DUMMYFUNCTION("""COMPUTED_VALUE"""),613)</f>
        <v>613</v>
      </c>
      <c r="E15" s="16">
        <f>IFERROR(__xludf.DUMMYFUNCTION("""COMPUTED_VALUE"""),45762.6458333333)</f>
        <v>45762.6458333333</v>
      </c>
      <c r="F15" s="17">
        <f>IFERROR(__xludf.DUMMYFUNCTION("""COMPUTED_VALUE"""),4871858)</f>
        <v>4871858</v>
      </c>
      <c r="G15" s="16">
        <f>IFERROR(__xludf.DUMMYFUNCTION("""COMPUTED_VALUE"""),45762.6458333333)</f>
        <v>45762.6458333333</v>
      </c>
      <c r="H15" s="17">
        <f>IFERROR(__xludf.DUMMYFUNCTION("""COMPUTED_VALUE"""),619.3)</f>
        <v>619.3</v>
      </c>
      <c r="I15" s="16">
        <f>IFERROR(__xludf.DUMMYFUNCTION("""COMPUTED_VALUE"""),45762.6458333333)</f>
        <v>45762.6458333333</v>
      </c>
      <c r="J15" s="17">
        <f>IFERROR(__xludf.DUMMYFUNCTION("""COMPUTED_VALUE"""),606.35)</f>
        <v>606.35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IFERROR(__xludf.DUMMYFUNCTION("""COMPUTED_VALUE"""),609.9)</f>
        <v>609.9</v>
      </c>
      <c r="C16" s="16">
        <f>IFERROR(__xludf.DUMMYFUNCTION("""COMPUTED_VALUE"""),45763.6458333333)</f>
        <v>45763.6458333333</v>
      </c>
      <c r="D16" s="17">
        <f>IFERROR(__xludf.DUMMYFUNCTION("""COMPUTED_VALUE"""),618.15)</f>
        <v>618.15</v>
      </c>
      <c r="E16" s="16">
        <f>IFERROR(__xludf.DUMMYFUNCTION("""COMPUTED_VALUE"""),45763.6458333333)</f>
        <v>45763.6458333333</v>
      </c>
      <c r="F16" s="17">
        <f>IFERROR(__xludf.DUMMYFUNCTION("""COMPUTED_VALUE"""),4447732)</f>
        <v>4447732</v>
      </c>
      <c r="G16" s="16">
        <f>IFERROR(__xludf.DUMMYFUNCTION("""COMPUTED_VALUE"""),45763.6458333333)</f>
        <v>45763.6458333333</v>
      </c>
      <c r="H16" s="17">
        <f>IFERROR(__xludf.DUMMYFUNCTION("""COMPUTED_VALUE"""),619.35)</f>
        <v>619.35</v>
      </c>
      <c r="I16" s="16">
        <f>IFERROR(__xludf.DUMMYFUNCTION("""COMPUTED_VALUE"""),45763.6458333333)</f>
        <v>45763.6458333333</v>
      </c>
      <c r="J16" s="17">
        <f>IFERROR(__xludf.DUMMYFUNCTION("""COMPUTED_VALUE"""),602)</f>
        <v>602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IFERROR(__xludf.DUMMYFUNCTION("""COMPUTED_VALUE"""),609.5)</f>
        <v>609.5</v>
      </c>
      <c r="C17" s="16">
        <f>IFERROR(__xludf.DUMMYFUNCTION("""COMPUTED_VALUE"""),45764.6458333333)</f>
        <v>45764.6458333333</v>
      </c>
      <c r="D17" s="17">
        <f>IFERROR(__xludf.DUMMYFUNCTION("""COMPUTED_VALUE"""),608.9)</f>
        <v>608.9</v>
      </c>
      <c r="E17" s="16">
        <f>IFERROR(__xludf.DUMMYFUNCTION("""COMPUTED_VALUE"""),45764.6458333333)</f>
        <v>45764.6458333333</v>
      </c>
      <c r="F17" s="17">
        <f>IFERROR(__xludf.DUMMYFUNCTION("""COMPUTED_VALUE"""),4518317)</f>
        <v>4518317</v>
      </c>
      <c r="G17" s="16">
        <f>IFERROR(__xludf.DUMMYFUNCTION("""COMPUTED_VALUE"""),45764.6458333333)</f>
        <v>45764.6458333333</v>
      </c>
      <c r="H17" s="17">
        <f>IFERROR(__xludf.DUMMYFUNCTION("""COMPUTED_VALUE"""),616)</f>
        <v>616</v>
      </c>
      <c r="I17" s="16">
        <f>IFERROR(__xludf.DUMMYFUNCTION("""COMPUTED_VALUE"""),45764.6458333333)</f>
        <v>45764.6458333333</v>
      </c>
      <c r="J17" s="17">
        <f>IFERROR(__xludf.DUMMYFUNCTION("""COMPUTED_VALUE"""),604)</f>
        <v>604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IFERROR(__xludf.DUMMYFUNCTION("""COMPUTED_VALUE"""),622)</f>
        <v>622</v>
      </c>
      <c r="C18" s="16">
        <f>IFERROR(__xludf.DUMMYFUNCTION("""COMPUTED_VALUE"""),45768.6458333333)</f>
        <v>45768.6458333333</v>
      </c>
      <c r="D18" s="17">
        <f>IFERROR(__xludf.DUMMYFUNCTION("""COMPUTED_VALUE"""),611.5)</f>
        <v>611.5</v>
      </c>
      <c r="E18" s="16">
        <f>IFERROR(__xludf.DUMMYFUNCTION("""COMPUTED_VALUE"""),45768.6458333333)</f>
        <v>45768.6458333333</v>
      </c>
      <c r="F18" s="17">
        <f>IFERROR(__xludf.DUMMYFUNCTION("""COMPUTED_VALUE"""),2655716)</f>
        <v>2655716</v>
      </c>
      <c r="G18" s="16">
        <f>IFERROR(__xludf.DUMMYFUNCTION("""COMPUTED_VALUE"""),45768.6458333333)</f>
        <v>45768.6458333333</v>
      </c>
      <c r="H18" s="17">
        <f>IFERROR(__xludf.DUMMYFUNCTION("""COMPUTED_VALUE"""),624.9)</f>
        <v>624.9</v>
      </c>
      <c r="I18" s="16">
        <f>IFERROR(__xludf.DUMMYFUNCTION("""COMPUTED_VALUE"""),45768.6458333333)</f>
        <v>45768.6458333333</v>
      </c>
      <c r="J18" s="17">
        <f>IFERROR(__xludf.DUMMYFUNCTION("""COMPUTED_VALUE"""),607.05)</f>
        <v>607.05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IFERROR(__xludf.DUMMYFUNCTION("""COMPUTED_VALUE"""),620.1)</f>
        <v>620.1</v>
      </c>
      <c r="C19" s="16">
        <f>IFERROR(__xludf.DUMMYFUNCTION("""COMPUTED_VALUE"""),45769.6458333333)</f>
        <v>45769.6458333333</v>
      </c>
      <c r="D19" s="17">
        <f>IFERROR(__xludf.DUMMYFUNCTION("""COMPUTED_VALUE"""),625)</f>
        <v>625</v>
      </c>
      <c r="E19" s="16">
        <f>IFERROR(__xludf.DUMMYFUNCTION("""COMPUTED_VALUE"""),45769.6458333333)</f>
        <v>45769.6458333333</v>
      </c>
      <c r="F19" s="17">
        <f>IFERROR(__xludf.DUMMYFUNCTION("""COMPUTED_VALUE"""),4970919)</f>
        <v>4970919</v>
      </c>
      <c r="G19" s="16">
        <f>IFERROR(__xludf.DUMMYFUNCTION("""COMPUTED_VALUE"""),45769.6458333333)</f>
        <v>45769.6458333333</v>
      </c>
      <c r="H19" s="17">
        <f>IFERROR(__xludf.DUMMYFUNCTION("""COMPUTED_VALUE"""),631.05)</f>
        <v>631.05</v>
      </c>
      <c r="I19" s="16">
        <f>IFERROR(__xludf.DUMMYFUNCTION("""COMPUTED_VALUE"""),45769.6458333333)</f>
        <v>45769.6458333333</v>
      </c>
      <c r="J19" s="17">
        <f>IFERROR(__xludf.DUMMYFUNCTION("""COMPUTED_VALUE"""),619.05)</f>
        <v>619.05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IFERROR(__xludf.DUMMYFUNCTION("""COMPUTED_VALUE"""),629.1)</f>
        <v>629.1</v>
      </c>
      <c r="C20" s="16">
        <f>IFERROR(__xludf.DUMMYFUNCTION("""COMPUTED_VALUE"""),45770.6458333333)</f>
        <v>45770.6458333333</v>
      </c>
      <c r="D20" s="17">
        <f>IFERROR(__xludf.DUMMYFUNCTION("""COMPUTED_VALUE"""),628.75)</f>
        <v>628.75</v>
      </c>
      <c r="E20" s="16">
        <f>IFERROR(__xludf.DUMMYFUNCTION("""COMPUTED_VALUE"""),45770.6458333333)</f>
        <v>45770.6458333333</v>
      </c>
      <c r="F20" s="17">
        <f>IFERROR(__xludf.DUMMYFUNCTION("""COMPUTED_VALUE"""),4674766)</f>
        <v>4674766</v>
      </c>
      <c r="G20" s="16">
        <f>IFERROR(__xludf.DUMMYFUNCTION("""COMPUTED_VALUE"""),45770.6458333333)</f>
        <v>45770.6458333333</v>
      </c>
      <c r="H20" s="17">
        <f>IFERROR(__xludf.DUMMYFUNCTION("""COMPUTED_VALUE"""),633)</f>
        <v>633</v>
      </c>
      <c r="I20" s="16">
        <f>IFERROR(__xludf.DUMMYFUNCTION("""COMPUTED_VALUE"""),45770.6458333333)</f>
        <v>45770.6458333333</v>
      </c>
      <c r="J20" s="17">
        <f>IFERROR(__xludf.DUMMYFUNCTION("""COMPUTED_VALUE"""),620.7)</f>
        <v>620.7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IFERROR(__xludf.DUMMYFUNCTION("""COMPUTED_VALUE"""),628.35)</f>
        <v>628.35</v>
      </c>
      <c r="C21" s="16">
        <f>IFERROR(__xludf.DUMMYFUNCTION("""COMPUTED_VALUE"""),45771.6458333333)</f>
        <v>45771.6458333333</v>
      </c>
      <c r="D21" s="17">
        <f>IFERROR(__xludf.DUMMYFUNCTION("""COMPUTED_VALUE"""),630)</f>
        <v>630</v>
      </c>
      <c r="E21" s="16">
        <f>IFERROR(__xludf.DUMMYFUNCTION("""COMPUTED_VALUE"""),45771.6458333333)</f>
        <v>45771.6458333333</v>
      </c>
      <c r="F21" s="17">
        <f>IFERROR(__xludf.DUMMYFUNCTION("""COMPUTED_VALUE"""),3367773)</f>
        <v>3367773</v>
      </c>
      <c r="G21" s="16">
        <f>IFERROR(__xludf.DUMMYFUNCTION("""COMPUTED_VALUE"""),45771.6458333333)</f>
        <v>45771.6458333333</v>
      </c>
      <c r="H21" s="17">
        <f>IFERROR(__xludf.DUMMYFUNCTION("""COMPUTED_VALUE"""),632.55)</f>
        <v>632.55</v>
      </c>
      <c r="I21" s="16">
        <f>IFERROR(__xludf.DUMMYFUNCTION("""COMPUTED_VALUE"""),45771.6458333333)</f>
        <v>45771.6458333333</v>
      </c>
      <c r="J21" s="17">
        <f>IFERROR(__xludf.DUMMYFUNCTION("""COMPUTED_VALUE"""),626.1)</f>
        <v>626.1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IFERROR(__xludf.DUMMYFUNCTION("""COMPUTED_VALUE"""),622.1)</f>
        <v>622.1</v>
      </c>
      <c r="C22" s="16">
        <f>IFERROR(__xludf.DUMMYFUNCTION("""COMPUTED_VALUE"""),45772.6458333333)</f>
        <v>45772.6458333333</v>
      </c>
      <c r="D22" s="17">
        <f>IFERROR(__xludf.DUMMYFUNCTION("""COMPUTED_VALUE"""),632.4)</f>
        <v>632.4</v>
      </c>
      <c r="E22" s="16">
        <f>IFERROR(__xludf.DUMMYFUNCTION("""COMPUTED_VALUE"""),45772.6458333333)</f>
        <v>45772.6458333333</v>
      </c>
      <c r="F22" s="17">
        <f>IFERROR(__xludf.DUMMYFUNCTION("""COMPUTED_VALUE"""),3925971)</f>
        <v>3925971</v>
      </c>
      <c r="G22" s="16">
        <f>IFERROR(__xludf.DUMMYFUNCTION("""COMPUTED_VALUE"""),45772.6458333333)</f>
        <v>45772.6458333333</v>
      </c>
      <c r="H22" s="17">
        <f>IFERROR(__xludf.DUMMYFUNCTION("""COMPUTED_VALUE"""),634.3)</f>
        <v>634.3</v>
      </c>
      <c r="I22" s="16">
        <f>IFERROR(__xludf.DUMMYFUNCTION("""COMPUTED_VALUE"""),45772.6458333333)</f>
        <v>45772.6458333333</v>
      </c>
      <c r="J22" s="17">
        <f>IFERROR(__xludf.DUMMYFUNCTION("""COMPUTED_VALUE"""),612.95)</f>
        <v>612.95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IFERROR(__xludf.DUMMYFUNCTION("""COMPUTED_VALUE"""),628.65)</f>
        <v>628.65</v>
      </c>
      <c r="C23" s="16">
        <f>IFERROR(__xludf.DUMMYFUNCTION("""COMPUTED_VALUE"""),45775.6458333333)</f>
        <v>45775.6458333333</v>
      </c>
      <c r="D23" s="17">
        <f>IFERROR(__xludf.DUMMYFUNCTION("""COMPUTED_VALUE"""),622.45)</f>
        <v>622.45</v>
      </c>
      <c r="E23" s="16">
        <f>IFERROR(__xludf.DUMMYFUNCTION("""COMPUTED_VALUE"""),45775.6458333333)</f>
        <v>45775.6458333333</v>
      </c>
      <c r="F23" s="17">
        <f>IFERROR(__xludf.DUMMYFUNCTION("""COMPUTED_VALUE"""),3965901)</f>
        <v>3965901</v>
      </c>
      <c r="G23" s="16">
        <f>IFERROR(__xludf.DUMMYFUNCTION("""COMPUTED_VALUE"""),45775.6458333333)</f>
        <v>45775.6458333333</v>
      </c>
      <c r="H23" s="17">
        <f>IFERROR(__xludf.DUMMYFUNCTION("""COMPUTED_VALUE"""),631.5)</f>
        <v>631.5</v>
      </c>
      <c r="I23" s="16">
        <f>IFERROR(__xludf.DUMMYFUNCTION("""COMPUTED_VALUE"""),45775.6458333333)</f>
        <v>45775.6458333333</v>
      </c>
      <c r="J23" s="17">
        <f>IFERROR(__xludf.DUMMYFUNCTION("""COMPUTED_VALUE"""),622.4)</f>
        <v>622.4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IFERROR(__xludf.DUMMYFUNCTION("""COMPUTED_VALUE"""),622.55)</f>
        <v>622.55</v>
      </c>
      <c r="C24" s="16">
        <f>IFERROR(__xludf.DUMMYFUNCTION("""COMPUTED_VALUE"""),45776.6458333333)</f>
        <v>45776.6458333333</v>
      </c>
      <c r="D24" s="17">
        <f>IFERROR(__xludf.DUMMYFUNCTION("""COMPUTED_VALUE"""),631.05)</f>
        <v>631.05</v>
      </c>
      <c r="E24" s="16">
        <f>IFERROR(__xludf.DUMMYFUNCTION("""COMPUTED_VALUE"""),45776.6458333333)</f>
        <v>45776.6458333333</v>
      </c>
      <c r="F24" s="17">
        <f>IFERROR(__xludf.DUMMYFUNCTION("""COMPUTED_VALUE"""),4528870)</f>
        <v>4528870</v>
      </c>
      <c r="G24" s="16">
        <f>IFERROR(__xludf.DUMMYFUNCTION("""COMPUTED_VALUE"""),45776.6458333333)</f>
        <v>45776.6458333333</v>
      </c>
      <c r="H24" s="17">
        <f>IFERROR(__xludf.DUMMYFUNCTION("""COMPUTED_VALUE"""),634.25)</f>
        <v>634.25</v>
      </c>
      <c r="I24" s="16">
        <f>IFERROR(__xludf.DUMMYFUNCTION("""COMPUTED_VALUE"""),45776.6458333333)</f>
        <v>45776.6458333333</v>
      </c>
      <c r="J24" s="17">
        <f>IFERROR(__xludf.DUMMYFUNCTION("""COMPUTED_VALUE"""),621.65)</f>
        <v>621.65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IFERROR(__xludf.DUMMYFUNCTION("""COMPUTED_VALUE"""),624.65)</f>
        <v>624.65</v>
      </c>
      <c r="C25" s="16">
        <f>IFERROR(__xludf.DUMMYFUNCTION("""COMPUTED_VALUE"""),45777.6458333333)</f>
        <v>45777.6458333333</v>
      </c>
      <c r="D25" s="17">
        <f>IFERROR(__xludf.DUMMYFUNCTION("""COMPUTED_VALUE"""),622.55)</f>
        <v>622.55</v>
      </c>
      <c r="E25" s="16">
        <f>IFERROR(__xludf.DUMMYFUNCTION("""COMPUTED_VALUE"""),45777.6458333333)</f>
        <v>45777.6458333333</v>
      </c>
      <c r="F25" s="17">
        <f>IFERROR(__xludf.DUMMYFUNCTION("""COMPUTED_VALUE"""),5905186)</f>
        <v>5905186</v>
      </c>
      <c r="G25" s="16">
        <f>IFERROR(__xludf.DUMMYFUNCTION("""COMPUTED_VALUE"""),45777.6458333333)</f>
        <v>45777.6458333333</v>
      </c>
      <c r="H25" s="17">
        <f>IFERROR(__xludf.DUMMYFUNCTION("""COMPUTED_VALUE"""),632.55)</f>
        <v>632.55</v>
      </c>
      <c r="I25" s="16">
        <f>IFERROR(__xludf.DUMMYFUNCTION("""COMPUTED_VALUE"""),45777.6458333333)</f>
        <v>45777.6458333333</v>
      </c>
      <c r="J25" s="17">
        <f>IFERROR(__xludf.DUMMYFUNCTION("""COMPUTED_VALUE"""),615)</f>
        <v>615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IFERROR(__xludf.DUMMYFUNCTION("""COMPUTED_VALUE"""),632.1)</f>
        <v>632.1</v>
      </c>
      <c r="C26" s="16">
        <f>IFERROR(__xludf.DUMMYFUNCTION("""COMPUTED_VALUE"""),45779.6458333333)</f>
        <v>45779.6458333333</v>
      </c>
      <c r="D26" s="17">
        <f>IFERROR(__xludf.DUMMYFUNCTION("""COMPUTED_VALUE"""),624)</f>
        <v>624</v>
      </c>
      <c r="E26" s="16">
        <f>IFERROR(__xludf.DUMMYFUNCTION("""COMPUTED_VALUE"""),45779.6458333333)</f>
        <v>45779.6458333333</v>
      </c>
      <c r="F26" s="17">
        <f>IFERROR(__xludf.DUMMYFUNCTION("""COMPUTED_VALUE"""),5494275)</f>
        <v>5494275</v>
      </c>
      <c r="G26" s="16">
        <f>IFERROR(__xludf.DUMMYFUNCTION("""COMPUTED_VALUE"""),45779.6458333333)</f>
        <v>45779.6458333333</v>
      </c>
      <c r="H26" s="17">
        <f>IFERROR(__xludf.DUMMYFUNCTION("""COMPUTED_VALUE"""),650.1)</f>
        <v>650.1</v>
      </c>
      <c r="I26" s="16">
        <f>IFERROR(__xludf.DUMMYFUNCTION("""COMPUTED_VALUE"""),45779.6458333333)</f>
        <v>45779.6458333333</v>
      </c>
      <c r="J26" s="17">
        <f>IFERROR(__xludf.DUMMYFUNCTION("""COMPUTED_VALUE"""),621.8)</f>
        <v>621.8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IFERROR(__xludf.DUMMYFUNCTION("""COMPUTED_VALUE"""),633.4)</f>
        <v>633.4</v>
      </c>
      <c r="C27" s="16">
        <f>IFERROR(__xludf.DUMMYFUNCTION("""COMPUTED_VALUE"""),45782.6458333333)</f>
        <v>45782.6458333333</v>
      </c>
      <c r="D27" s="17">
        <f>IFERROR(__xludf.DUMMYFUNCTION("""COMPUTED_VALUE"""),635.25)</f>
        <v>635.25</v>
      </c>
      <c r="E27" s="16">
        <f>IFERROR(__xludf.DUMMYFUNCTION("""COMPUTED_VALUE"""),45782.6458333333)</f>
        <v>45782.6458333333</v>
      </c>
      <c r="F27" s="17">
        <f>IFERROR(__xludf.DUMMYFUNCTION("""COMPUTED_VALUE"""),2552160)</f>
        <v>2552160</v>
      </c>
      <c r="G27" s="16">
        <f>IFERROR(__xludf.DUMMYFUNCTION("""COMPUTED_VALUE"""),45782.6458333333)</f>
        <v>45782.6458333333</v>
      </c>
      <c r="H27" s="17">
        <f>IFERROR(__xludf.DUMMYFUNCTION("""COMPUTED_VALUE"""),641.6)</f>
        <v>641.6</v>
      </c>
      <c r="I27" s="16">
        <f>IFERROR(__xludf.DUMMYFUNCTION("""COMPUTED_VALUE"""),45782.6458333333)</f>
        <v>45782.6458333333</v>
      </c>
      <c r="J27" s="17">
        <f>IFERROR(__xludf.DUMMYFUNCTION("""COMPUTED_VALUE"""),629.55)</f>
        <v>629.55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IFERROR(__xludf.DUMMYFUNCTION("""COMPUTED_VALUE"""),630.05)</f>
        <v>630.05</v>
      </c>
      <c r="C28" s="16">
        <f>IFERROR(__xludf.DUMMYFUNCTION("""COMPUTED_VALUE"""),45783.6458333333)</f>
        <v>45783.6458333333</v>
      </c>
      <c r="D28" s="17">
        <f>IFERROR(__xludf.DUMMYFUNCTION("""COMPUTED_VALUE"""),638.95)</f>
        <v>638.95</v>
      </c>
      <c r="E28" s="16">
        <f>IFERROR(__xludf.DUMMYFUNCTION("""COMPUTED_VALUE"""),45783.6458333333)</f>
        <v>45783.6458333333</v>
      </c>
      <c r="F28" s="17">
        <f>IFERROR(__xludf.DUMMYFUNCTION("""COMPUTED_VALUE"""),2778131)</f>
        <v>2778131</v>
      </c>
      <c r="G28" s="16">
        <f>IFERROR(__xludf.DUMMYFUNCTION("""COMPUTED_VALUE"""),45783.6458333333)</f>
        <v>45783.6458333333</v>
      </c>
      <c r="H28" s="17">
        <f>IFERROR(__xludf.DUMMYFUNCTION("""COMPUTED_VALUE"""),642.7)</f>
        <v>642.7</v>
      </c>
      <c r="I28" s="16">
        <f>IFERROR(__xludf.DUMMYFUNCTION("""COMPUTED_VALUE"""),45783.6458333333)</f>
        <v>45783.6458333333</v>
      </c>
      <c r="J28" s="17">
        <f>IFERROR(__xludf.DUMMYFUNCTION("""COMPUTED_VALUE"""),627.45)</f>
        <v>627.45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IFERROR(__xludf.DUMMYFUNCTION("""COMPUTED_VALUE"""),636.3)</f>
        <v>636.3</v>
      </c>
      <c r="C29" s="16">
        <f>IFERROR(__xludf.DUMMYFUNCTION("""COMPUTED_VALUE"""),45784.6458333333)</f>
        <v>45784.6458333333</v>
      </c>
      <c r="D29" s="17">
        <f>IFERROR(__xludf.DUMMYFUNCTION("""COMPUTED_VALUE"""),633)</f>
        <v>633</v>
      </c>
      <c r="E29" s="16">
        <f>IFERROR(__xludf.DUMMYFUNCTION("""COMPUTED_VALUE"""),45784.6458333333)</f>
        <v>45784.6458333333</v>
      </c>
      <c r="F29" s="17">
        <f>IFERROR(__xludf.DUMMYFUNCTION("""COMPUTED_VALUE"""),3587997)</f>
        <v>3587997</v>
      </c>
      <c r="G29" s="16">
        <f>IFERROR(__xludf.DUMMYFUNCTION("""COMPUTED_VALUE"""),45784.6458333333)</f>
        <v>45784.6458333333</v>
      </c>
      <c r="H29" s="17">
        <f>IFERROR(__xludf.DUMMYFUNCTION("""COMPUTED_VALUE"""),638.7)</f>
        <v>638.7</v>
      </c>
      <c r="I29" s="16">
        <f>IFERROR(__xludf.DUMMYFUNCTION("""COMPUTED_VALUE"""),45784.6458333333)</f>
        <v>45784.6458333333</v>
      </c>
      <c r="J29" s="17">
        <f>IFERROR(__xludf.DUMMYFUNCTION("""COMPUTED_VALUE"""),629.35)</f>
        <v>629.35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IFERROR(__xludf.DUMMYFUNCTION("""COMPUTED_VALUE"""),620.2)</f>
        <v>620.2</v>
      </c>
      <c r="C30" s="16">
        <f>IFERROR(__xludf.DUMMYFUNCTION("""COMPUTED_VALUE"""),45785.6458333333)</f>
        <v>45785.6458333333</v>
      </c>
      <c r="D30" s="17">
        <f>IFERROR(__xludf.DUMMYFUNCTION("""COMPUTED_VALUE"""),635.8)</f>
        <v>635.8</v>
      </c>
      <c r="E30" s="16">
        <f>IFERROR(__xludf.DUMMYFUNCTION("""COMPUTED_VALUE"""),45785.6458333333)</f>
        <v>45785.6458333333</v>
      </c>
      <c r="F30" s="17">
        <f>IFERROR(__xludf.DUMMYFUNCTION("""COMPUTED_VALUE"""),5791783)</f>
        <v>5791783</v>
      </c>
      <c r="G30" s="16">
        <f>IFERROR(__xludf.DUMMYFUNCTION("""COMPUTED_VALUE"""),45785.6458333333)</f>
        <v>45785.6458333333</v>
      </c>
      <c r="H30" s="17">
        <f>IFERROR(__xludf.DUMMYFUNCTION("""COMPUTED_VALUE"""),636.3)</f>
        <v>636.3</v>
      </c>
      <c r="I30" s="16">
        <f>IFERROR(__xludf.DUMMYFUNCTION("""COMPUTED_VALUE"""),45785.6458333333)</f>
        <v>45785.6458333333</v>
      </c>
      <c r="J30" s="17">
        <f>IFERROR(__xludf.DUMMYFUNCTION("""COMPUTED_VALUE"""),615.05)</f>
        <v>615.05</v>
      </c>
      <c r="K30" s="3">
        <f t="shared" si="2"/>
        <v>0</v>
      </c>
      <c r="L30" s="3">
        <f t="shared" si="3"/>
        <v>620.2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IFERROR(__xludf.DUMMYFUNCTION("""COMPUTED_VALUE"""),627.15)</f>
        <v>627.15</v>
      </c>
      <c r="C31" s="16">
        <f>IFERROR(__xludf.DUMMYFUNCTION("""COMPUTED_VALUE"""),45786.6458333333)</f>
        <v>45786.6458333333</v>
      </c>
      <c r="D31" s="17">
        <f>IFERROR(__xludf.DUMMYFUNCTION("""COMPUTED_VALUE"""),609.1)</f>
        <v>609.1</v>
      </c>
      <c r="E31" s="16">
        <f>IFERROR(__xludf.DUMMYFUNCTION("""COMPUTED_VALUE"""),45786.6458333333)</f>
        <v>45786.6458333333</v>
      </c>
      <c r="F31" s="17">
        <f>IFERROR(__xludf.DUMMYFUNCTION("""COMPUTED_VALUE"""),3870212)</f>
        <v>3870212</v>
      </c>
      <c r="G31" s="16">
        <f>IFERROR(__xludf.DUMMYFUNCTION("""COMPUTED_VALUE"""),45786.6458333333)</f>
        <v>45786.6458333333</v>
      </c>
      <c r="H31" s="17">
        <f>IFERROR(__xludf.DUMMYFUNCTION("""COMPUTED_VALUE"""),630.3)</f>
        <v>630.3</v>
      </c>
      <c r="I31" s="16">
        <f>IFERROR(__xludf.DUMMYFUNCTION("""COMPUTED_VALUE"""),45786.6458333333)</f>
        <v>45786.6458333333</v>
      </c>
      <c r="J31" s="17">
        <f>IFERROR(__xludf.DUMMYFUNCTION("""COMPUTED_VALUE"""),603.75)</f>
        <v>603.75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IFERROR(__xludf.DUMMYFUNCTION("""COMPUTED_VALUE"""),651.95)</f>
        <v>651.95</v>
      </c>
      <c r="C32" s="16">
        <f>IFERROR(__xludf.DUMMYFUNCTION("""COMPUTED_VALUE"""),45789.6458333333)</f>
        <v>45789.6458333333</v>
      </c>
      <c r="D32" s="17">
        <f>IFERROR(__xludf.DUMMYFUNCTION("""COMPUTED_VALUE"""),640.15)</f>
        <v>640.15</v>
      </c>
      <c r="E32" s="16">
        <f>IFERROR(__xludf.DUMMYFUNCTION("""COMPUTED_VALUE"""),45789.6458333333)</f>
        <v>45789.6458333333</v>
      </c>
      <c r="F32" s="17">
        <f>IFERROR(__xludf.DUMMYFUNCTION("""COMPUTED_VALUE"""),5474816)</f>
        <v>5474816</v>
      </c>
      <c r="G32" s="16">
        <f>IFERROR(__xludf.DUMMYFUNCTION("""COMPUTED_VALUE"""),45789.6458333333)</f>
        <v>45789.6458333333</v>
      </c>
      <c r="H32" s="17">
        <f>IFERROR(__xludf.DUMMYFUNCTION("""COMPUTED_VALUE"""),654.25)</f>
        <v>654.25</v>
      </c>
      <c r="I32" s="16">
        <f>IFERROR(__xludf.DUMMYFUNCTION("""COMPUTED_VALUE"""),45789.6458333333)</f>
        <v>45789.6458333333</v>
      </c>
      <c r="J32" s="17">
        <f>IFERROR(__xludf.DUMMYFUNCTION("""COMPUTED_VALUE"""),638.05)</f>
        <v>638.05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IFERROR(__xludf.DUMMYFUNCTION("""COMPUTED_VALUE"""),634.75)</f>
        <v>634.75</v>
      </c>
      <c r="C33" s="16">
        <f>IFERROR(__xludf.DUMMYFUNCTION("""COMPUTED_VALUE"""),45790.6458333333)</f>
        <v>45790.6458333333</v>
      </c>
      <c r="D33" s="17">
        <f>IFERROR(__xludf.DUMMYFUNCTION("""COMPUTED_VALUE"""),645)</f>
        <v>645</v>
      </c>
      <c r="E33" s="16">
        <f>IFERROR(__xludf.DUMMYFUNCTION("""COMPUTED_VALUE"""),45790.6458333333)</f>
        <v>45790.6458333333</v>
      </c>
      <c r="F33" s="17">
        <f>IFERROR(__xludf.DUMMYFUNCTION("""COMPUTED_VALUE"""),6025310)</f>
        <v>6025310</v>
      </c>
      <c r="G33" s="16">
        <f>IFERROR(__xludf.DUMMYFUNCTION("""COMPUTED_VALUE"""),45790.6458333333)</f>
        <v>45790.6458333333</v>
      </c>
      <c r="H33" s="17">
        <f>IFERROR(__xludf.DUMMYFUNCTION("""COMPUTED_VALUE"""),646.35)</f>
        <v>646.35</v>
      </c>
      <c r="I33" s="16">
        <f>IFERROR(__xludf.DUMMYFUNCTION("""COMPUTED_VALUE"""),45790.6458333333)</f>
        <v>45790.6458333333</v>
      </c>
      <c r="J33" s="17">
        <f>IFERROR(__xludf.DUMMYFUNCTION("""COMPUTED_VALUE"""),632)</f>
        <v>632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IFERROR(__xludf.DUMMYFUNCTION("""COMPUTED_VALUE"""),650.55)</f>
        <v>650.55</v>
      </c>
      <c r="C34" s="16">
        <f>IFERROR(__xludf.DUMMYFUNCTION("""COMPUTED_VALUE"""),45791.6458333333)</f>
        <v>45791.6458333333</v>
      </c>
      <c r="D34" s="17">
        <f>IFERROR(__xludf.DUMMYFUNCTION("""COMPUTED_VALUE"""),635.5)</f>
        <v>635.5</v>
      </c>
      <c r="E34" s="16">
        <f>IFERROR(__xludf.DUMMYFUNCTION("""COMPUTED_VALUE"""),45791.6458333333)</f>
        <v>45791.6458333333</v>
      </c>
      <c r="F34" s="17">
        <f>IFERROR(__xludf.DUMMYFUNCTION("""COMPUTED_VALUE"""),4819584)</f>
        <v>4819584</v>
      </c>
      <c r="G34" s="16">
        <f>IFERROR(__xludf.DUMMYFUNCTION("""COMPUTED_VALUE"""),45791.6458333333)</f>
        <v>45791.6458333333</v>
      </c>
      <c r="H34" s="17">
        <f>IFERROR(__xludf.DUMMYFUNCTION("""COMPUTED_VALUE"""),652.95)</f>
        <v>652.95</v>
      </c>
      <c r="I34" s="16">
        <f>IFERROR(__xludf.DUMMYFUNCTION("""COMPUTED_VALUE"""),45791.6458333333)</f>
        <v>45791.6458333333</v>
      </c>
      <c r="J34" s="17">
        <f>IFERROR(__xludf.DUMMYFUNCTION("""COMPUTED_VALUE"""),634)</f>
        <v>634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IFERROR(__xludf.DUMMYFUNCTION("""COMPUTED_VALUE"""),661.35)</f>
        <v>661.35</v>
      </c>
      <c r="C35" s="16">
        <f>IFERROR(__xludf.DUMMYFUNCTION("""COMPUTED_VALUE"""),45792.6458333333)</f>
        <v>45792.6458333333</v>
      </c>
      <c r="D35" s="17">
        <f>IFERROR(__xludf.DUMMYFUNCTION("""COMPUTED_VALUE"""),649.5)</f>
        <v>649.5</v>
      </c>
      <c r="E35" s="16">
        <f>IFERROR(__xludf.DUMMYFUNCTION("""COMPUTED_VALUE"""),45792.6458333333)</f>
        <v>45792.6458333333</v>
      </c>
      <c r="F35" s="17">
        <f>IFERROR(__xludf.DUMMYFUNCTION("""COMPUTED_VALUE"""),7133226)</f>
        <v>7133226</v>
      </c>
      <c r="G35" s="16">
        <f>IFERROR(__xludf.DUMMYFUNCTION("""COMPUTED_VALUE"""),45792.6458333333)</f>
        <v>45792.6458333333</v>
      </c>
      <c r="H35" s="17">
        <f>IFERROR(__xludf.DUMMYFUNCTION("""COMPUTED_VALUE"""),663.65)</f>
        <v>663.65</v>
      </c>
      <c r="I35" s="16">
        <f>IFERROR(__xludf.DUMMYFUNCTION("""COMPUTED_VALUE"""),45792.6458333333)</f>
        <v>45792.6458333333</v>
      </c>
      <c r="J35" s="17">
        <f>IFERROR(__xludf.DUMMYFUNCTION("""COMPUTED_VALUE"""),646.3)</f>
        <v>646.3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IFERROR(__xludf.DUMMYFUNCTION("""COMPUTED_VALUE"""),657.55)</f>
        <v>657.55</v>
      </c>
      <c r="C36" s="16">
        <f>IFERROR(__xludf.DUMMYFUNCTION("""COMPUTED_VALUE"""),45793.6458333333)</f>
        <v>45793.6458333333</v>
      </c>
      <c r="D36" s="17">
        <f>IFERROR(__xludf.DUMMYFUNCTION("""COMPUTED_VALUE"""),659.5)</f>
        <v>659.5</v>
      </c>
      <c r="E36" s="16">
        <f>IFERROR(__xludf.DUMMYFUNCTION("""COMPUTED_VALUE"""),45793.6458333333)</f>
        <v>45793.6458333333</v>
      </c>
      <c r="F36" s="17">
        <f>IFERROR(__xludf.DUMMYFUNCTION("""COMPUTED_VALUE"""),2701320)</f>
        <v>2701320</v>
      </c>
      <c r="G36" s="16">
        <f>IFERROR(__xludf.DUMMYFUNCTION("""COMPUTED_VALUE"""),45793.6458333333)</f>
        <v>45793.6458333333</v>
      </c>
      <c r="H36" s="17">
        <f>IFERROR(__xludf.DUMMYFUNCTION("""COMPUTED_VALUE"""),662.95)</f>
        <v>662.95</v>
      </c>
      <c r="I36" s="16">
        <f>IFERROR(__xludf.DUMMYFUNCTION("""COMPUTED_VALUE"""),45793.6458333333)</f>
        <v>45793.6458333333</v>
      </c>
      <c r="J36" s="17">
        <f>IFERROR(__xludf.DUMMYFUNCTION("""COMPUTED_VALUE"""),654.35)</f>
        <v>654.35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IFERROR(__xludf.DUMMYFUNCTION("""COMPUTED_VALUE"""),658.35)</f>
        <v>658.35</v>
      </c>
      <c r="C37" s="16">
        <f>IFERROR(__xludf.DUMMYFUNCTION("""COMPUTED_VALUE"""),45796.6458333333)</f>
        <v>45796.6458333333</v>
      </c>
      <c r="D37" s="17">
        <f>IFERROR(__xludf.DUMMYFUNCTION("""COMPUTED_VALUE"""),655)</f>
        <v>655</v>
      </c>
      <c r="E37" s="16">
        <f>IFERROR(__xludf.DUMMYFUNCTION("""COMPUTED_VALUE"""),45796.6458333333)</f>
        <v>45796.6458333333</v>
      </c>
      <c r="F37" s="17">
        <f>IFERROR(__xludf.DUMMYFUNCTION("""COMPUTED_VALUE"""),3320756)</f>
        <v>3320756</v>
      </c>
      <c r="G37" s="16">
        <f>IFERROR(__xludf.DUMMYFUNCTION("""COMPUTED_VALUE"""),45796.6458333333)</f>
        <v>45796.6458333333</v>
      </c>
      <c r="H37" s="17">
        <f>IFERROR(__xludf.DUMMYFUNCTION("""COMPUTED_VALUE"""),661.75)</f>
        <v>661.75</v>
      </c>
      <c r="I37" s="16">
        <f>IFERROR(__xludf.DUMMYFUNCTION("""COMPUTED_VALUE"""),45796.6458333333)</f>
        <v>45796.6458333333</v>
      </c>
      <c r="J37" s="17">
        <f>IFERROR(__xludf.DUMMYFUNCTION("""COMPUTED_VALUE"""),652)</f>
        <v>652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IFERROR(__xludf.DUMMYFUNCTION("""COMPUTED_VALUE"""),662.75)</f>
        <v>662.75</v>
      </c>
      <c r="C38" s="16">
        <f>IFERROR(__xludf.DUMMYFUNCTION("""COMPUTED_VALUE"""),45797.6458333333)</f>
        <v>45797.6458333333</v>
      </c>
      <c r="D38" s="17">
        <f>IFERROR(__xludf.DUMMYFUNCTION("""COMPUTED_VALUE"""),668)</f>
        <v>668</v>
      </c>
      <c r="E38" s="16">
        <f>IFERROR(__xludf.DUMMYFUNCTION("""COMPUTED_VALUE"""),45797.6458333333)</f>
        <v>45797.6458333333</v>
      </c>
      <c r="F38" s="17">
        <f>IFERROR(__xludf.DUMMYFUNCTION("""COMPUTED_VALUE"""),7950974)</f>
        <v>7950974</v>
      </c>
      <c r="G38" s="16">
        <f>IFERROR(__xludf.DUMMYFUNCTION("""COMPUTED_VALUE"""),45797.6458333333)</f>
        <v>45797.6458333333</v>
      </c>
      <c r="H38" s="17">
        <f>IFERROR(__xludf.DUMMYFUNCTION("""COMPUTED_VALUE"""),671)</f>
        <v>671</v>
      </c>
      <c r="I38" s="16">
        <f>IFERROR(__xludf.DUMMYFUNCTION("""COMPUTED_VALUE"""),45797.6458333333)</f>
        <v>45797.6458333333</v>
      </c>
      <c r="J38" s="17">
        <f>IFERROR(__xludf.DUMMYFUNCTION("""COMPUTED_VALUE"""),655.55)</f>
        <v>655.55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IFERROR(__xludf.DUMMYFUNCTION("""COMPUTED_VALUE"""),663)</f>
        <v>663</v>
      </c>
      <c r="C39" s="16">
        <f>IFERROR(__xludf.DUMMYFUNCTION("""COMPUTED_VALUE"""),45798.6458333333)</f>
        <v>45798.6458333333</v>
      </c>
      <c r="D39" s="17">
        <f>IFERROR(__xludf.DUMMYFUNCTION("""COMPUTED_VALUE"""),667.1)</f>
        <v>667.1</v>
      </c>
      <c r="E39" s="16">
        <f>IFERROR(__xludf.DUMMYFUNCTION("""COMPUTED_VALUE"""),45798.6458333333)</f>
        <v>45798.6458333333</v>
      </c>
      <c r="F39" s="17">
        <f>IFERROR(__xludf.DUMMYFUNCTION("""COMPUTED_VALUE"""),8623519)</f>
        <v>8623519</v>
      </c>
      <c r="G39" s="16">
        <f>IFERROR(__xludf.DUMMYFUNCTION("""COMPUTED_VALUE"""),45798.6458333333)</f>
        <v>45798.6458333333</v>
      </c>
      <c r="H39" s="17">
        <f>IFERROR(__xludf.DUMMYFUNCTION("""COMPUTED_VALUE"""),671)</f>
        <v>671</v>
      </c>
      <c r="I39" s="16">
        <f>IFERROR(__xludf.DUMMYFUNCTION("""COMPUTED_VALUE"""),45798.6458333333)</f>
        <v>45798.6458333333</v>
      </c>
      <c r="J39" s="17">
        <f>IFERROR(__xludf.DUMMYFUNCTION("""COMPUTED_VALUE"""),654.6)</f>
        <v>654.6</v>
      </c>
      <c r="K39" s="3">
        <f t="shared" si="2"/>
        <v>663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IFERROR(__xludf.DUMMYFUNCTION("""COMPUTED_VALUE"""),649.55)</f>
        <v>649.55</v>
      </c>
      <c r="C40" s="16">
        <f>IFERROR(__xludf.DUMMYFUNCTION("""COMPUTED_VALUE"""),45799.6458333333)</f>
        <v>45799.6458333333</v>
      </c>
      <c r="D40" s="17">
        <f>IFERROR(__xludf.DUMMYFUNCTION("""COMPUTED_VALUE"""),663)</f>
        <v>663</v>
      </c>
      <c r="E40" s="16">
        <f>IFERROR(__xludf.DUMMYFUNCTION("""COMPUTED_VALUE"""),45799.6458333333)</f>
        <v>45799.6458333333</v>
      </c>
      <c r="F40" s="17">
        <f>IFERROR(__xludf.DUMMYFUNCTION("""COMPUTED_VALUE"""),6784976)</f>
        <v>6784976</v>
      </c>
      <c r="G40" s="16">
        <f>IFERROR(__xludf.DUMMYFUNCTION("""COMPUTED_VALUE"""),45799.6458333333)</f>
        <v>45799.6458333333</v>
      </c>
      <c r="H40" s="17">
        <f>IFERROR(__xludf.DUMMYFUNCTION("""COMPUTED_VALUE"""),663.7)</f>
        <v>663.7</v>
      </c>
      <c r="I40" s="16">
        <f>IFERROR(__xludf.DUMMYFUNCTION("""COMPUTED_VALUE"""),45799.6458333333)</f>
        <v>45799.6458333333</v>
      </c>
      <c r="J40" s="17">
        <f>IFERROR(__xludf.DUMMYFUNCTION("""COMPUTED_VALUE"""),642.5)</f>
        <v>642.5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IFERROR(__xludf.DUMMYFUNCTION("""COMPUTED_VALUE"""),650.1)</f>
        <v>650.1</v>
      </c>
      <c r="C41" s="16">
        <f>IFERROR(__xludf.DUMMYFUNCTION("""COMPUTED_VALUE"""),45800.6458333333)</f>
        <v>45800.6458333333</v>
      </c>
      <c r="D41" s="17">
        <f>IFERROR(__xludf.DUMMYFUNCTION("""COMPUTED_VALUE"""),653)</f>
        <v>653</v>
      </c>
      <c r="E41" s="16">
        <f>IFERROR(__xludf.DUMMYFUNCTION("""COMPUTED_VALUE"""),45800.6458333333)</f>
        <v>45800.6458333333</v>
      </c>
      <c r="F41" s="17">
        <f>IFERROR(__xludf.DUMMYFUNCTION("""COMPUTED_VALUE"""),3448707)</f>
        <v>3448707</v>
      </c>
      <c r="G41" s="16">
        <f>IFERROR(__xludf.DUMMYFUNCTION("""COMPUTED_VALUE"""),45800.6458333333)</f>
        <v>45800.6458333333</v>
      </c>
      <c r="H41" s="17">
        <f>IFERROR(__xludf.DUMMYFUNCTION("""COMPUTED_VALUE"""),655.55)</f>
        <v>655.55</v>
      </c>
      <c r="I41" s="16">
        <f>IFERROR(__xludf.DUMMYFUNCTION("""COMPUTED_VALUE"""),45800.6458333333)</f>
        <v>45800.6458333333</v>
      </c>
      <c r="J41" s="17">
        <f>IFERROR(__xludf.DUMMYFUNCTION("""COMPUTED_VALUE"""),642.6)</f>
        <v>642.6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IFERROR(__xludf.DUMMYFUNCTION("""COMPUTED_VALUE"""),661.45)</f>
        <v>661.45</v>
      </c>
      <c r="C42" s="16">
        <f>IFERROR(__xludf.DUMMYFUNCTION("""COMPUTED_VALUE"""),45803.6458333333)</f>
        <v>45803.6458333333</v>
      </c>
      <c r="D42" s="17">
        <f>IFERROR(__xludf.DUMMYFUNCTION("""COMPUTED_VALUE"""),655)</f>
        <v>655</v>
      </c>
      <c r="E42" s="16">
        <f>IFERROR(__xludf.DUMMYFUNCTION("""COMPUTED_VALUE"""),45803.6458333333)</f>
        <v>45803.6458333333</v>
      </c>
      <c r="F42" s="17">
        <f>IFERROR(__xludf.DUMMYFUNCTION("""COMPUTED_VALUE"""),6826417)</f>
        <v>6826417</v>
      </c>
      <c r="G42" s="16">
        <f>IFERROR(__xludf.DUMMYFUNCTION("""COMPUTED_VALUE"""),45803.6458333333)</f>
        <v>45803.6458333333</v>
      </c>
      <c r="H42" s="17">
        <f>IFERROR(__xludf.DUMMYFUNCTION("""COMPUTED_VALUE"""),669.7)</f>
        <v>669.7</v>
      </c>
      <c r="I42" s="16">
        <f>IFERROR(__xludf.DUMMYFUNCTION("""COMPUTED_VALUE"""),45803.6458333333)</f>
        <v>45803.6458333333</v>
      </c>
      <c r="J42" s="17">
        <f>IFERROR(__xludf.DUMMYFUNCTION("""COMPUTED_VALUE"""),653.3)</f>
        <v>653.3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IFERROR(__xludf.DUMMYFUNCTION("""COMPUTED_VALUE"""),659.45)</f>
        <v>659.45</v>
      </c>
      <c r="C43" s="16">
        <f>IFERROR(__xludf.DUMMYFUNCTION("""COMPUTED_VALUE"""),45804.6458333333)</f>
        <v>45804.6458333333</v>
      </c>
      <c r="D43" s="17">
        <f>IFERROR(__xludf.DUMMYFUNCTION("""COMPUTED_VALUE"""),661.4)</f>
        <v>661.4</v>
      </c>
      <c r="E43" s="16">
        <f>IFERROR(__xludf.DUMMYFUNCTION("""COMPUTED_VALUE"""),45804.6458333333)</f>
        <v>45804.6458333333</v>
      </c>
      <c r="F43" s="17">
        <f>IFERROR(__xludf.DUMMYFUNCTION("""COMPUTED_VALUE"""),4223074)</f>
        <v>4223074</v>
      </c>
      <c r="G43" s="16">
        <f>IFERROR(__xludf.DUMMYFUNCTION("""COMPUTED_VALUE"""),45804.6458333333)</f>
        <v>45804.6458333333</v>
      </c>
      <c r="H43" s="17">
        <f>IFERROR(__xludf.DUMMYFUNCTION("""COMPUTED_VALUE"""),665.7)</f>
        <v>665.7</v>
      </c>
      <c r="I43" s="16">
        <f>IFERROR(__xludf.DUMMYFUNCTION("""COMPUTED_VALUE"""),45804.6458333333)</f>
        <v>45804.6458333333</v>
      </c>
      <c r="J43" s="17">
        <f>IFERROR(__xludf.DUMMYFUNCTION("""COMPUTED_VALUE"""),656.5)</f>
        <v>656.5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IFERROR(__xludf.DUMMYFUNCTION("""COMPUTED_VALUE"""),649.95)</f>
        <v>649.95</v>
      </c>
      <c r="C44" s="16">
        <f>IFERROR(__xludf.DUMMYFUNCTION("""COMPUTED_VALUE"""),45805.6458333333)</f>
        <v>45805.6458333333</v>
      </c>
      <c r="D44" s="17">
        <f>IFERROR(__xludf.DUMMYFUNCTION("""COMPUTED_VALUE"""),659.45)</f>
        <v>659.45</v>
      </c>
      <c r="E44" s="16">
        <f>IFERROR(__xludf.DUMMYFUNCTION("""COMPUTED_VALUE"""),45805.6458333333)</f>
        <v>45805.6458333333</v>
      </c>
      <c r="F44" s="17">
        <f>IFERROR(__xludf.DUMMYFUNCTION("""COMPUTED_VALUE"""),3546275)</f>
        <v>3546275</v>
      </c>
      <c r="G44" s="16">
        <f>IFERROR(__xludf.DUMMYFUNCTION("""COMPUTED_VALUE"""),45805.6458333333)</f>
        <v>45805.6458333333</v>
      </c>
      <c r="H44" s="17">
        <f>IFERROR(__xludf.DUMMYFUNCTION("""COMPUTED_VALUE"""),662)</f>
        <v>662</v>
      </c>
      <c r="I44" s="16">
        <f>IFERROR(__xludf.DUMMYFUNCTION("""COMPUTED_VALUE"""),45805.6458333333)</f>
        <v>45805.6458333333</v>
      </c>
      <c r="J44" s="17">
        <f>IFERROR(__xludf.DUMMYFUNCTION("""COMPUTED_VALUE"""),647.9)</f>
        <v>647.9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IFERROR(__xludf.DUMMYFUNCTION("""COMPUTED_VALUE"""),650)</f>
        <v>650</v>
      </c>
      <c r="C45" s="16">
        <f>IFERROR(__xludf.DUMMYFUNCTION("""COMPUTED_VALUE"""),45806.6458333333)</f>
        <v>45806.6458333333</v>
      </c>
      <c r="D45" s="17">
        <f>IFERROR(__xludf.DUMMYFUNCTION("""COMPUTED_VALUE"""),649.95)</f>
        <v>649.95</v>
      </c>
      <c r="E45" s="16">
        <f>IFERROR(__xludf.DUMMYFUNCTION("""COMPUTED_VALUE"""),45806.6458333333)</f>
        <v>45806.6458333333</v>
      </c>
      <c r="F45" s="17">
        <f>IFERROR(__xludf.DUMMYFUNCTION("""COMPUTED_VALUE"""),4545776)</f>
        <v>4545776</v>
      </c>
      <c r="G45" s="16">
        <f>IFERROR(__xludf.DUMMYFUNCTION("""COMPUTED_VALUE"""),45806.6458333333)</f>
        <v>45806.6458333333</v>
      </c>
      <c r="H45" s="17">
        <f>IFERROR(__xludf.DUMMYFUNCTION("""COMPUTED_VALUE"""),653.55)</f>
        <v>653.55</v>
      </c>
      <c r="I45" s="16">
        <f>IFERROR(__xludf.DUMMYFUNCTION("""COMPUTED_VALUE"""),45806.6458333333)</f>
        <v>45806.6458333333</v>
      </c>
      <c r="J45" s="17">
        <f>IFERROR(__xludf.DUMMYFUNCTION("""COMPUTED_VALUE"""),645.1)</f>
        <v>645.1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IFERROR(__xludf.DUMMYFUNCTION("""COMPUTED_VALUE"""),633.5)</f>
        <v>633.5</v>
      </c>
      <c r="C46" s="16">
        <f>IFERROR(__xludf.DUMMYFUNCTION("""COMPUTED_VALUE"""),45807.6458333333)</f>
        <v>45807.6458333333</v>
      </c>
      <c r="D46" s="17">
        <f>IFERROR(__xludf.DUMMYFUNCTION("""COMPUTED_VALUE"""),647.8)</f>
        <v>647.8</v>
      </c>
      <c r="E46" s="16">
        <f>IFERROR(__xludf.DUMMYFUNCTION("""COMPUTED_VALUE"""),45807.6458333333)</f>
        <v>45807.6458333333</v>
      </c>
      <c r="F46" s="17">
        <f>IFERROR(__xludf.DUMMYFUNCTION("""COMPUTED_VALUE"""),9054009)</f>
        <v>9054009</v>
      </c>
      <c r="G46" s="16">
        <f>IFERROR(__xludf.DUMMYFUNCTION("""COMPUTED_VALUE"""),45807.6458333333)</f>
        <v>45807.6458333333</v>
      </c>
      <c r="H46" s="17">
        <f>IFERROR(__xludf.DUMMYFUNCTION("""COMPUTED_VALUE"""),650.9)</f>
        <v>650.9</v>
      </c>
      <c r="I46" s="16">
        <f>IFERROR(__xludf.DUMMYFUNCTION("""COMPUTED_VALUE"""),45807.6458333333)</f>
        <v>45807.6458333333</v>
      </c>
      <c r="J46" s="17">
        <f>IFERROR(__xludf.DUMMYFUNCTION("""COMPUTED_VALUE"""),632.15)</f>
        <v>632.15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IFERROR(__xludf.DUMMYFUNCTION("""COMPUTED_VALUE"""),631.1)</f>
        <v>631.1</v>
      </c>
      <c r="C47" s="16">
        <f>IFERROR(__xludf.DUMMYFUNCTION("""COMPUTED_VALUE"""),45810.6458333333)</f>
        <v>45810.6458333333</v>
      </c>
      <c r="D47" s="17">
        <f>IFERROR(__xludf.DUMMYFUNCTION("""COMPUTED_VALUE"""),628.95)</f>
        <v>628.95</v>
      </c>
      <c r="E47" s="16">
        <f>IFERROR(__xludf.DUMMYFUNCTION("""COMPUTED_VALUE"""),45810.6458333333)</f>
        <v>45810.6458333333</v>
      </c>
      <c r="F47" s="17">
        <f>IFERROR(__xludf.DUMMYFUNCTION("""COMPUTED_VALUE"""),8397065)</f>
        <v>8397065</v>
      </c>
      <c r="G47" s="16">
        <f>IFERROR(__xludf.DUMMYFUNCTION("""COMPUTED_VALUE"""),45810.6458333333)</f>
        <v>45810.6458333333</v>
      </c>
      <c r="H47" s="17">
        <f>IFERROR(__xludf.DUMMYFUNCTION("""COMPUTED_VALUE"""),635.75)</f>
        <v>635.75</v>
      </c>
      <c r="I47" s="16">
        <f>IFERROR(__xludf.DUMMYFUNCTION("""COMPUTED_VALUE"""),45810.6458333333)</f>
        <v>45810.6458333333</v>
      </c>
      <c r="J47" s="17">
        <f>IFERROR(__xludf.DUMMYFUNCTION("""COMPUTED_VALUE"""),618)</f>
        <v>618</v>
      </c>
      <c r="K47" s="3">
        <f t="shared" si="2"/>
        <v>0</v>
      </c>
      <c r="L47" s="3">
        <f t="shared" si="3"/>
        <v>631.1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IFERROR(__xludf.DUMMYFUNCTION("""COMPUTED_VALUE"""),632)</f>
        <v>632</v>
      </c>
      <c r="C48" s="16">
        <f>IFERROR(__xludf.DUMMYFUNCTION("""COMPUTED_VALUE"""),45811.6458333333)</f>
        <v>45811.6458333333</v>
      </c>
      <c r="D48" s="17">
        <f>IFERROR(__xludf.DUMMYFUNCTION("""COMPUTED_VALUE"""),636)</f>
        <v>636</v>
      </c>
      <c r="E48" s="16">
        <f>IFERROR(__xludf.DUMMYFUNCTION("""COMPUTED_VALUE"""),45811.6458333333)</f>
        <v>45811.6458333333</v>
      </c>
      <c r="F48" s="17">
        <f>IFERROR(__xludf.DUMMYFUNCTION("""COMPUTED_VALUE"""),3783426)</f>
        <v>3783426</v>
      </c>
      <c r="G48" s="16">
        <f>IFERROR(__xludf.DUMMYFUNCTION("""COMPUTED_VALUE"""),45811.6458333333)</f>
        <v>45811.6458333333</v>
      </c>
      <c r="H48" s="17">
        <f>IFERROR(__xludf.DUMMYFUNCTION("""COMPUTED_VALUE"""),640.9)</f>
        <v>640.9</v>
      </c>
      <c r="I48" s="16">
        <f>IFERROR(__xludf.DUMMYFUNCTION("""COMPUTED_VALUE"""),45811.6458333333)</f>
        <v>45811.6458333333</v>
      </c>
      <c r="J48" s="17">
        <f>IFERROR(__xludf.DUMMYFUNCTION("""COMPUTED_VALUE"""),629.6)</f>
        <v>629.6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IFERROR(__xludf.DUMMYFUNCTION("""COMPUTED_VALUE"""),635.85)</f>
        <v>635.85</v>
      </c>
      <c r="C49" s="16">
        <f>IFERROR(__xludf.DUMMYFUNCTION("""COMPUTED_VALUE"""),45812.6458333333)</f>
        <v>45812.6458333333</v>
      </c>
      <c r="D49" s="17">
        <f>IFERROR(__xludf.DUMMYFUNCTION("""COMPUTED_VALUE"""),634.1)</f>
        <v>634.1</v>
      </c>
      <c r="E49" s="16">
        <f>IFERROR(__xludf.DUMMYFUNCTION("""COMPUTED_VALUE"""),45812.6458333333)</f>
        <v>45812.6458333333</v>
      </c>
      <c r="F49" s="17">
        <f>IFERROR(__xludf.DUMMYFUNCTION("""COMPUTED_VALUE"""),3066925)</f>
        <v>3066925</v>
      </c>
      <c r="G49" s="16">
        <f>IFERROR(__xludf.DUMMYFUNCTION("""COMPUTED_VALUE"""),45812.6458333333)</f>
        <v>45812.6458333333</v>
      </c>
      <c r="H49" s="17">
        <f>IFERROR(__xludf.DUMMYFUNCTION("""COMPUTED_VALUE"""),640.9)</f>
        <v>640.9</v>
      </c>
      <c r="I49" s="16">
        <f>IFERROR(__xludf.DUMMYFUNCTION("""COMPUTED_VALUE"""),45812.6458333333)</f>
        <v>45812.6458333333</v>
      </c>
      <c r="J49" s="17">
        <f>IFERROR(__xludf.DUMMYFUNCTION("""COMPUTED_VALUE"""),630.65)</f>
        <v>630.65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IFERROR(__xludf.DUMMYFUNCTION("""COMPUTED_VALUE"""),637.25)</f>
        <v>637.25</v>
      </c>
      <c r="C50" s="16">
        <f>IFERROR(__xludf.DUMMYFUNCTION("""COMPUTED_VALUE"""),45813.6458333333)</f>
        <v>45813.6458333333</v>
      </c>
      <c r="D50" s="17">
        <f>IFERROR(__xludf.DUMMYFUNCTION("""COMPUTED_VALUE"""),638)</f>
        <v>638</v>
      </c>
      <c r="E50" s="16">
        <f>IFERROR(__xludf.DUMMYFUNCTION("""COMPUTED_VALUE"""),45813.6458333333)</f>
        <v>45813.6458333333</v>
      </c>
      <c r="F50" s="17">
        <f>IFERROR(__xludf.DUMMYFUNCTION("""COMPUTED_VALUE"""),3565664)</f>
        <v>3565664</v>
      </c>
      <c r="G50" s="16">
        <f>IFERROR(__xludf.DUMMYFUNCTION("""COMPUTED_VALUE"""),45813.6458333333)</f>
        <v>45813.6458333333</v>
      </c>
      <c r="H50" s="17">
        <f>IFERROR(__xludf.DUMMYFUNCTION("""COMPUTED_VALUE"""),641.4)</f>
        <v>641.4</v>
      </c>
      <c r="I50" s="16">
        <f>IFERROR(__xludf.DUMMYFUNCTION("""COMPUTED_VALUE"""),45813.6458333333)</f>
        <v>45813.6458333333</v>
      </c>
      <c r="J50" s="17">
        <f>IFERROR(__xludf.DUMMYFUNCTION("""COMPUTED_VALUE"""),633.5)</f>
        <v>633.5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IFERROR(__xludf.DUMMYFUNCTION("""COMPUTED_VALUE"""),650.15)</f>
        <v>650.15</v>
      </c>
      <c r="C51" s="16">
        <f>IFERROR(__xludf.DUMMYFUNCTION("""COMPUTED_VALUE"""),45814.6458333333)</f>
        <v>45814.6458333333</v>
      </c>
      <c r="D51" s="17">
        <f>IFERROR(__xludf.DUMMYFUNCTION("""COMPUTED_VALUE"""),637.25)</f>
        <v>637.25</v>
      </c>
      <c r="E51" s="16">
        <f>IFERROR(__xludf.DUMMYFUNCTION("""COMPUTED_VALUE"""),45814.6458333333)</f>
        <v>45814.6458333333</v>
      </c>
      <c r="F51" s="17">
        <f>IFERROR(__xludf.DUMMYFUNCTION("""COMPUTED_VALUE"""),5492102)</f>
        <v>5492102</v>
      </c>
      <c r="G51" s="16">
        <f>IFERROR(__xludf.DUMMYFUNCTION("""COMPUTED_VALUE"""),45814.6458333333)</f>
        <v>45814.6458333333</v>
      </c>
      <c r="H51" s="17">
        <f>IFERROR(__xludf.DUMMYFUNCTION("""COMPUTED_VALUE"""),651.25)</f>
        <v>651.25</v>
      </c>
      <c r="I51" s="16">
        <f>IFERROR(__xludf.DUMMYFUNCTION("""COMPUTED_VALUE"""),45814.6458333333)</f>
        <v>45814.6458333333</v>
      </c>
      <c r="J51" s="17">
        <f>IFERROR(__xludf.DUMMYFUNCTION("""COMPUTED_VALUE"""),635.1)</f>
        <v>635.1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IFERROR(__xludf.DUMMYFUNCTION("""COMPUTED_VALUE"""),650.8)</f>
        <v>650.8</v>
      </c>
      <c r="C52" s="16">
        <f>IFERROR(__xludf.DUMMYFUNCTION("""COMPUTED_VALUE"""),45817.6458333333)</f>
        <v>45817.6458333333</v>
      </c>
      <c r="D52" s="17">
        <f>IFERROR(__xludf.DUMMYFUNCTION("""COMPUTED_VALUE"""),653.4)</f>
        <v>653.4</v>
      </c>
      <c r="E52" s="16">
        <f>IFERROR(__xludf.DUMMYFUNCTION("""COMPUTED_VALUE"""),45817.6458333333)</f>
        <v>45817.6458333333</v>
      </c>
      <c r="F52" s="17">
        <f>IFERROR(__xludf.DUMMYFUNCTION("""COMPUTED_VALUE"""),2822003)</f>
        <v>2822003</v>
      </c>
      <c r="G52" s="16">
        <f>IFERROR(__xludf.DUMMYFUNCTION("""COMPUTED_VALUE"""),45817.6458333333)</f>
        <v>45817.6458333333</v>
      </c>
      <c r="H52" s="17">
        <f>IFERROR(__xludf.DUMMYFUNCTION("""COMPUTED_VALUE"""),654.6)</f>
        <v>654.6</v>
      </c>
      <c r="I52" s="16">
        <f>IFERROR(__xludf.DUMMYFUNCTION("""COMPUTED_VALUE"""),45817.6458333333)</f>
        <v>45817.6458333333</v>
      </c>
      <c r="J52" s="17">
        <f>IFERROR(__xludf.DUMMYFUNCTION("""COMPUTED_VALUE"""),649.25)</f>
        <v>649.25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IFERROR(__xludf.DUMMYFUNCTION("""COMPUTED_VALUE"""),658.35)</f>
        <v>658.35</v>
      </c>
      <c r="C53" s="16">
        <f>IFERROR(__xludf.DUMMYFUNCTION("""COMPUTED_VALUE"""),45818.6458333333)</f>
        <v>45818.6458333333</v>
      </c>
      <c r="D53" s="17">
        <f>IFERROR(__xludf.DUMMYFUNCTION("""COMPUTED_VALUE"""),653.8)</f>
        <v>653.8</v>
      </c>
      <c r="E53" s="16">
        <f>IFERROR(__xludf.DUMMYFUNCTION("""COMPUTED_VALUE"""),45818.6458333333)</f>
        <v>45818.6458333333</v>
      </c>
      <c r="F53" s="17">
        <f>IFERROR(__xludf.DUMMYFUNCTION("""COMPUTED_VALUE"""),5693888)</f>
        <v>5693888</v>
      </c>
      <c r="G53" s="16">
        <f>IFERROR(__xludf.DUMMYFUNCTION("""COMPUTED_VALUE"""),45818.6458333333)</f>
        <v>45818.6458333333</v>
      </c>
      <c r="H53" s="17">
        <f>IFERROR(__xludf.DUMMYFUNCTION("""COMPUTED_VALUE"""),663.5)</f>
        <v>663.5</v>
      </c>
      <c r="I53" s="16">
        <f>IFERROR(__xludf.DUMMYFUNCTION("""COMPUTED_VALUE"""),45818.6458333333)</f>
        <v>45818.6458333333</v>
      </c>
      <c r="J53" s="17">
        <f>IFERROR(__xludf.DUMMYFUNCTION("""COMPUTED_VALUE"""),652.15)</f>
        <v>652.15</v>
      </c>
      <c r="K53" s="3">
        <f t="shared" si="2"/>
        <v>658.35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IFERROR(__xludf.DUMMYFUNCTION("""COMPUTED_VALUE"""),655.2)</f>
        <v>655.2</v>
      </c>
      <c r="C54" s="16">
        <f>IFERROR(__xludf.DUMMYFUNCTION("""COMPUTED_VALUE"""),45819.6458333333)</f>
        <v>45819.6458333333</v>
      </c>
      <c r="D54" s="17">
        <f>IFERROR(__xludf.DUMMYFUNCTION("""COMPUTED_VALUE"""),660.5)</f>
        <v>660.5</v>
      </c>
      <c r="E54" s="16">
        <f>IFERROR(__xludf.DUMMYFUNCTION("""COMPUTED_VALUE"""),45819.6458333333)</f>
        <v>45819.6458333333</v>
      </c>
      <c r="F54" s="17">
        <f>IFERROR(__xludf.DUMMYFUNCTION("""COMPUTED_VALUE"""),3928464)</f>
        <v>3928464</v>
      </c>
      <c r="G54" s="16">
        <f>IFERROR(__xludf.DUMMYFUNCTION("""COMPUTED_VALUE"""),45819.6458333333)</f>
        <v>45819.6458333333</v>
      </c>
      <c r="H54" s="17">
        <f>IFERROR(__xludf.DUMMYFUNCTION("""COMPUTED_VALUE"""),662.9)</f>
        <v>662.9</v>
      </c>
      <c r="I54" s="16">
        <f>IFERROR(__xludf.DUMMYFUNCTION("""COMPUTED_VALUE"""),45819.6458333333)</f>
        <v>45819.6458333333</v>
      </c>
      <c r="J54" s="17">
        <f>IFERROR(__xludf.DUMMYFUNCTION("""COMPUTED_VALUE"""),654.1)</f>
        <v>654.1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IFERROR(__xludf.DUMMYFUNCTION("""COMPUTED_VALUE"""),651.05)</f>
        <v>651.05</v>
      </c>
      <c r="C55" s="16">
        <f>IFERROR(__xludf.DUMMYFUNCTION("""COMPUTED_VALUE"""),45820.6458333333)</f>
        <v>45820.6458333333</v>
      </c>
      <c r="D55" s="17">
        <f>IFERROR(__xludf.DUMMYFUNCTION("""COMPUTED_VALUE"""),656)</f>
        <v>656</v>
      </c>
      <c r="E55" s="16">
        <f>IFERROR(__xludf.DUMMYFUNCTION("""COMPUTED_VALUE"""),45820.6458333333)</f>
        <v>45820.6458333333</v>
      </c>
      <c r="F55" s="17">
        <f>IFERROR(__xludf.DUMMYFUNCTION("""COMPUTED_VALUE"""),6539340)</f>
        <v>6539340</v>
      </c>
      <c r="G55" s="16">
        <f>IFERROR(__xludf.DUMMYFUNCTION("""COMPUTED_VALUE"""),45820.6458333333)</f>
        <v>45820.6458333333</v>
      </c>
      <c r="H55" s="17">
        <f>IFERROR(__xludf.DUMMYFUNCTION("""COMPUTED_VALUE"""),661.75)</f>
        <v>661.75</v>
      </c>
      <c r="I55" s="16">
        <f>IFERROR(__xludf.DUMMYFUNCTION("""COMPUTED_VALUE"""),45820.6458333333)</f>
        <v>45820.6458333333</v>
      </c>
      <c r="J55" s="17">
        <f>IFERROR(__xludf.DUMMYFUNCTION("""COMPUTED_VALUE"""),648.2)</f>
        <v>648.2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IFERROR(__xludf.DUMMYFUNCTION("""COMPUTED_VALUE"""),641.8)</f>
        <v>641.8</v>
      </c>
      <c r="C56" s="16">
        <f>IFERROR(__xludf.DUMMYFUNCTION("""COMPUTED_VALUE"""),45821.6458333333)</f>
        <v>45821.6458333333</v>
      </c>
      <c r="D56" s="17">
        <f>IFERROR(__xludf.DUMMYFUNCTION("""COMPUTED_VALUE"""),635)</f>
        <v>635</v>
      </c>
      <c r="E56" s="16">
        <f>IFERROR(__xludf.DUMMYFUNCTION("""COMPUTED_VALUE"""),45821.6458333333)</f>
        <v>45821.6458333333</v>
      </c>
      <c r="F56" s="17">
        <f>IFERROR(__xludf.DUMMYFUNCTION("""COMPUTED_VALUE"""),4543933)</f>
        <v>4543933</v>
      </c>
      <c r="G56" s="16">
        <f>IFERROR(__xludf.DUMMYFUNCTION("""COMPUTED_VALUE"""),45821.6458333333)</f>
        <v>45821.6458333333</v>
      </c>
      <c r="H56" s="17">
        <f>IFERROR(__xludf.DUMMYFUNCTION("""COMPUTED_VALUE"""),648)</f>
        <v>648</v>
      </c>
      <c r="I56" s="16">
        <f>IFERROR(__xludf.DUMMYFUNCTION("""COMPUTED_VALUE"""),45821.6458333333)</f>
        <v>45821.6458333333</v>
      </c>
      <c r="J56" s="17">
        <f>IFERROR(__xludf.DUMMYFUNCTION("""COMPUTED_VALUE"""),635)</f>
        <v>635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IFERROR(__xludf.DUMMYFUNCTION("""COMPUTED_VALUE"""),649.6)</f>
        <v>649.6</v>
      </c>
      <c r="C57" s="16">
        <f>IFERROR(__xludf.DUMMYFUNCTION("""COMPUTED_VALUE"""),45824.6458333333)</f>
        <v>45824.6458333333</v>
      </c>
      <c r="D57" s="17">
        <f>IFERROR(__xludf.DUMMYFUNCTION("""COMPUTED_VALUE"""),641.8)</f>
        <v>641.8</v>
      </c>
      <c r="E57" s="16">
        <f>IFERROR(__xludf.DUMMYFUNCTION("""COMPUTED_VALUE"""),45824.6458333333)</f>
        <v>45824.6458333333</v>
      </c>
      <c r="F57" s="17">
        <f>IFERROR(__xludf.DUMMYFUNCTION("""COMPUTED_VALUE"""),3422978)</f>
        <v>3422978</v>
      </c>
      <c r="G57" s="16">
        <f>IFERROR(__xludf.DUMMYFUNCTION("""COMPUTED_VALUE"""),45824.6458333333)</f>
        <v>45824.6458333333</v>
      </c>
      <c r="H57" s="17">
        <f>IFERROR(__xludf.DUMMYFUNCTION("""COMPUTED_VALUE"""),651.05)</f>
        <v>651.05</v>
      </c>
      <c r="I57" s="16">
        <f>IFERROR(__xludf.DUMMYFUNCTION("""COMPUTED_VALUE"""),45824.6458333333)</f>
        <v>45824.6458333333</v>
      </c>
      <c r="J57" s="17">
        <f>IFERROR(__xludf.DUMMYFUNCTION("""COMPUTED_VALUE"""),636)</f>
        <v>636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IFERROR(__xludf.DUMMYFUNCTION("""COMPUTED_VALUE"""),641.7)</f>
        <v>641.7</v>
      </c>
      <c r="C58" s="16">
        <f>IFERROR(__xludf.DUMMYFUNCTION("""COMPUTED_VALUE"""),45825.6458333333)</f>
        <v>45825.6458333333</v>
      </c>
      <c r="D58" s="17">
        <f>IFERROR(__xludf.DUMMYFUNCTION("""COMPUTED_VALUE"""),649.15)</f>
        <v>649.15</v>
      </c>
      <c r="E58" s="16">
        <f>IFERROR(__xludf.DUMMYFUNCTION("""COMPUTED_VALUE"""),45825.6458333333)</f>
        <v>45825.6458333333</v>
      </c>
      <c r="F58" s="17">
        <f>IFERROR(__xludf.DUMMYFUNCTION("""COMPUTED_VALUE"""),4199339)</f>
        <v>4199339</v>
      </c>
      <c r="G58" s="16">
        <f>IFERROR(__xludf.DUMMYFUNCTION("""COMPUTED_VALUE"""),45825.6458333333)</f>
        <v>45825.6458333333</v>
      </c>
      <c r="H58" s="17">
        <f>IFERROR(__xludf.DUMMYFUNCTION("""COMPUTED_VALUE"""),650.4)</f>
        <v>650.4</v>
      </c>
      <c r="I58" s="16">
        <f>IFERROR(__xludf.DUMMYFUNCTION("""COMPUTED_VALUE"""),45825.6458333333)</f>
        <v>45825.6458333333</v>
      </c>
      <c r="J58" s="17">
        <f>IFERROR(__xludf.DUMMYFUNCTION("""COMPUTED_VALUE"""),637.6)</f>
        <v>637.6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IFERROR(__xludf.DUMMYFUNCTION("""COMPUTED_VALUE"""),645.35)</f>
        <v>645.35</v>
      </c>
      <c r="C59" s="16">
        <f>IFERROR(__xludf.DUMMYFUNCTION("""COMPUTED_VALUE"""),45826.6458333333)</f>
        <v>45826.6458333333</v>
      </c>
      <c r="D59" s="17">
        <f>IFERROR(__xludf.DUMMYFUNCTION("""COMPUTED_VALUE"""),638)</f>
        <v>638</v>
      </c>
      <c r="E59" s="16">
        <f>IFERROR(__xludf.DUMMYFUNCTION("""COMPUTED_VALUE"""),45826.6458333333)</f>
        <v>45826.6458333333</v>
      </c>
      <c r="F59" s="17">
        <f>IFERROR(__xludf.DUMMYFUNCTION("""COMPUTED_VALUE"""),3412544)</f>
        <v>3412544</v>
      </c>
      <c r="G59" s="16">
        <f>IFERROR(__xludf.DUMMYFUNCTION("""COMPUTED_VALUE"""),45826.6458333333)</f>
        <v>45826.6458333333</v>
      </c>
      <c r="H59" s="17">
        <f>IFERROR(__xludf.DUMMYFUNCTION("""COMPUTED_VALUE"""),648.9)</f>
        <v>648.9</v>
      </c>
      <c r="I59" s="16">
        <f>IFERROR(__xludf.DUMMYFUNCTION("""COMPUTED_VALUE"""),45826.6458333333)</f>
        <v>45826.6458333333</v>
      </c>
      <c r="J59" s="17">
        <f>IFERROR(__xludf.DUMMYFUNCTION("""COMPUTED_VALUE"""),638)</f>
        <v>638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IFERROR(__xludf.DUMMYFUNCTION("""COMPUTED_VALUE"""),641.35)</f>
        <v>641.35</v>
      </c>
      <c r="C60" s="16">
        <f>IFERROR(__xludf.DUMMYFUNCTION("""COMPUTED_VALUE"""),45827.6458333333)</f>
        <v>45827.6458333333</v>
      </c>
      <c r="D60" s="17">
        <f>IFERROR(__xludf.DUMMYFUNCTION("""COMPUTED_VALUE"""),643)</f>
        <v>643</v>
      </c>
      <c r="E60" s="16">
        <f>IFERROR(__xludf.DUMMYFUNCTION("""COMPUTED_VALUE"""),45827.6458333333)</f>
        <v>45827.6458333333</v>
      </c>
      <c r="F60" s="17">
        <f>IFERROR(__xludf.DUMMYFUNCTION("""COMPUTED_VALUE"""),4392425)</f>
        <v>4392425</v>
      </c>
      <c r="G60" s="16">
        <f>IFERROR(__xludf.DUMMYFUNCTION("""COMPUTED_VALUE"""),45827.6458333333)</f>
        <v>45827.6458333333</v>
      </c>
      <c r="H60" s="17">
        <f>IFERROR(__xludf.DUMMYFUNCTION("""COMPUTED_VALUE"""),644.7)</f>
        <v>644.7</v>
      </c>
      <c r="I60" s="16">
        <f>IFERROR(__xludf.DUMMYFUNCTION("""COMPUTED_VALUE"""),45827.6458333333)</f>
        <v>45827.6458333333</v>
      </c>
      <c r="J60" s="17">
        <f>IFERROR(__xludf.DUMMYFUNCTION("""COMPUTED_VALUE"""),635.05)</f>
        <v>635.05</v>
      </c>
      <c r="K60" s="3">
        <f t="shared" si="2"/>
        <v>0</v>
      </c>
      <c r="L60" s="3">
        <f t="shared" si="3"/>
        <v>641.35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IFERROR(__xludf.DUMMYFUNCTION("""COMPUTED_VALUE"""),649.15)</f>
        <v>649.15</v>
      </c>
      <c r="C61" s="16">
        <f>IFERROR(__xludf.DUMMYFUNCTION("""COMPUTED_VALUE"""),45828.6458333333)</f>
        <v>45828.6458333333</v>
      </c>
      <c r="D61" s="17">
        <f>IFERROR(__xludf.DUMMYFUNCTION("""COMPUTED_VALUE"""),641.35)</f>
        <v>641.35</v>
      </c>
      <c r="E61" s="16">
        <f>IFERROR(__xludf.DUMMYFUNCTION("""COMPUTED_VALUE"""),45828.6458333333)</f>
        <v>45828.6458333333</v>
      </c>
      <c r="F61" s="17">
        <f>IFERROR(__xludf.DUMMYFUNCTION("""COMPUTED_VALUE"""),7166880)</f>
        <v>7166880</v>
      </c>
      <c r="G61" s="16">
        <f>IFERROR(__xludf.DUMMYFUNCTION("""COMPUTED_VALUE"""),45828.6458333333)</f>
        <v>45828.6458333333</v>
      </c>
      <c r="H61" s="17">
        <f>IFERROR(__xludf.DUMMYFUNCTION("""COMPUTED_VALUE"""),654.5)</f>
        <v>654.5</v>
      </c>
      <c r="I61" s="16">
        <f>IFERROR(__xludf.DUMMYFUNCTION("""COMPUTED_VALUE"""),45828.6458333333)</f>
        <v>45828.6458333333</v>
      </c>
      <c r="J61" s="17">
        <f>IFERROR(__xludf.DUMMYFUNCTION("""COMPUTED_VALUE"""),638.6)</f>
        <v>638.6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IFERROR(__xludf.DUMMYFUNCTION("""COMPUTED_VALUE"""),661.4)</f>
        <v>661.4</v>
      </c>
      <c r="C62" s="16">
        <f>IFERROR(__xludf.DUMMYFUNCTION("""COMPUTED_VALUE"""),45831.6458333333)</f>
        <v>45831.6458333333</v>
      </c>
      <c r="D62" s="17">
        <f>IFERROR(__xludf.DUMMYFUNCTION("""COMPUTED_VALUE"""),644)</f>
        <v>644</v>
      </c>
      <c r="E62" s="16">
        <f>IFERROR(__xludf.DUMMYFUNCTION("""COMPUTED_VALUE"""),45831.6458333333)</f>
        <v>45831.6458333333</v>
      </c>
      <c r="F62" s="17">
        <f>IFERROR(__xludf.DUMMYFUNCTION("""COMPUTED_VALUE"""),6080547)</f>
        <v>6080547</v>
      </c>
      <c r="G62" s="16">
        <f>IFERROR(__xludf.DUMMYFUNCTION("""COMPUTED_VALUE"""),45831.6458333333)</f>
        <v>45831.6458333333</v>
      </c>
      <c r="H62" s="17">
        <f>IFERROR(__xludf.DUMMYFUNCTION("""COMPUTED_VALUE"""),666)</f>
        <v>666</v>
      </c>
      <c r="I62" s="16">
        <f>IFERROR(__xludf.DUMMYFUNCTION("""COMPUTED_VALUE"""),45831.6458333333)</f>
        <v>45831.6458333333</v>
      </c>
      <c r="J62" s="17">
        <f>IFERROR(__xludf.DUMMYFUNCTION("""COMPUTED_VALUE"""),640.15)</f>
        <v>640.15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IFERROR(__xludf.DUMMYFUNCTION("""COMPUTED_VALUE"""),669.4)</f>
        <v>669.4</v>
      </c>
      <c r="C63" s="16">
        <f>IFERROR(__xludf.DUMMYFUNCTION("""COMPUTED_VALUE"""),45832.6458333333)</f>
        <v>45832.6458333333</v>
      </c>
      <c r="D63" s="17">
        <f>IFERROR(__xludf.DUMMYFUNCTION("""COMPUTED_VALUE"""),668.8)</f>
        <v>668.8</v>
      </c>
      <c r="E63" s="16">
        <f>IFERROR(__xludf.DUMMYFUNCTION("""COMPUTED_VALUE"""),45832.6458333333)</f>
        <v>45832.6458333333</v>
      </c>
      <c r="F63" s="17">
        <f>IFERROR(__xludf.DUMMYFUNCTION("""COMPUTED_VALUE"""),5510353)</f>
        <v>5510353</v>
      </c>
      <c r="G63" s="16">
        <f>IFERROR(__xludf.DUMMYFUNCTION("""COMPUTED_VALUE"""),45832.6458333333)</f>
        <v>45832.6458333333</v>
      </c>
      <c r="H63" s="17">
        <f>IFERROR(__xludf.DUMMYFUNCTION("""COMPUTED_VALUE"""),674)</f>
        <v>674</v>
      </c>
      <c r="I63" s="16">
        <f>IFERROR(__xludf.DUMMYFUNCTION("""COMPUTED_VALUE"""),45832.6458333333)</f>
        <v>45832.6458333333</v>
      </c>
      <c r="J63" s="17">
        <f>IFERROR(__xludf.DUMMYFUNCTION("""COMPUTED_VALUE"""),664.7)</f>
        <v>664.7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IFERROR(__xludf.DUMMYFUNCTION("""COMPUTED_VALUE"""),672.65)</f>
        <v>672.65</v>
      </c>
      <c r="C64" s="16">
        <f>IFERROR(__xludf.DUMMYFUNCTION("""COMPUTED_VALUE"""),45833.6458333333)</f>
        <v>45833.6458333333</v>
      </c>
      <c r="D64" s="17">
        <f>IFERROR(__xludf.DUMMYFUNCTION("""COMPUTED_VALUE"""),676.95)</f>
        <v>676.95</v>
      </c>
      <c r="E64" s="16">
        <f>IFERROR(__xludf.DUMMYFUNCTION("""COMPUTED_VALUE"""),45833.6458333333)</f>
        <v>45833.6458333333</v>
      </c>
      <c r="F64" s="17">
        <f>IFERROR(__xludf.DUMMYFUNCTION("""COMPUTED_VALUE"""),5533268)</f>
        <v>5533268</v>
      </c>
      <c r="G64" s="16">
        <f>IFERROR(__xludf.DUMMYFUNCTION("""COMPUTED_VALUE"""),45833.6458333333)</f>
        <v>45833.6458333333</v>
      </c>
      <c r="H64" s="17">
        <f>IFERROR(__xludf.DUMMYFUNCTION("""COMPUTED_VALUE"""),676.95)</f>
        <v>676.95</v>
      </c>
      <c r="I64" s="16">
        <f>IFERROR(__xludf.DUMMYFUNCTION("""COMPUTED_VALUE"""),45833.6458333333)</f>
        <v>45833.6458333333</v>
      </c>
      <c r="J64" s="17">
        <f>IFERROR(__xludf.DUMMYFUNCTION("""COMPUTED_VALUE"""),668.45)</f>
        <v>668.45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IFERROR(__xludf.DUMMYFUNCTION("""COMPUTED_VALUE"""),690.6)</f>
        <v>690.6</v>
      </c>
      <c r="C65" s="16">
        <f>IFERROR(__xludf.DUMMYFUNCTION("""COMPUTED_VALUE"""),45834.6458333333)</f>
        <v>45834.6458333333</v>
      </c>
      <c r="D65" s="17">
        <f>IFERROR(__xludf.DUMMYFUNCTION("""COMPUTED_VALUE"""),674.1)</f>
        <v>674.1</v>
      </c>
      <c r="E65" s="16">
        <f>IFERROR(__xludf.DUMMYFUNCTION("""COMPUTED_VALUE"""),45834.6458333333)</f>
        <v>45834.6458333333</v>
      </c>
      <c r="F65" s="17">
        <f>IFERROR(__xludf.DUMMYFUNCTION("""COMPUTED_VALUE"""),8196123)</f>
        <v>8196123</v>
      </c>
      <c r="G65" s="16">
        <f>IFERROR(__xludf.DUMMYFUNCTION("""COMPUTED_VALUE"""),45834.6458333333)</f>
        <v>45834.6458333333</v>
      </c>
      <c r="H65" s="17">
        <f>IFERROR(__xludf.DUMMYFUNCTION("""COMPUTED_VALUE"""),693)</f>
        <v>693</v>
      </c>
      <c r="I65" s="16">
        <f>IFERROR(__xludf.DUMMYFUNCTION("""COMPUTED_VALUE"""),45834.6458333333)</f>
        <v>45834.6458333333</v>
      </c>
      <c r="J65" s="17">
        <f>IFERROR(__xludf.DUMMYFUNCTION("""COMPUTED_VALUE"""),672.7)</f>
        <v>672.7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IFERROR(__xludf.DUMMYFUNCTION("""COMPUTED_VALUE"""),697.35)</f>
        <v>697.35</v>
      </c>
      <c r="C66" s="16">
        <f>IFERROR(__xludf.DUMMYFUNCTION("""COMPUTED_VALUE"""),45835.6458333333)</f>
        <v>45835.6458333333</v>
      </c>
      <c r="D66" s="17">
        <f>IFERROR(__xludf.DUMMYFUNCTION("""COMPUTED_VALUE"""),695)</f>
        <v>695</v>
      </c>
      <c r="E66" s="16">
        <f>IFERROR(__xludf.DUMMYFUNCTION("""COMPUTED_VALUE"""),45835.6458333333)</f>
        <v>45835.6458333333</v>
      </c>
      <c r="F66" s="17">
        <f>IFERROR(__xludf.DUMMYFUNCTION("""COMPUTED_VALUE"""),5666934)</f>
        <v>5666934</v>
      </c>
      <c r="G66" s="16">
        <f>IFERROR(__xludf.DUMMYFUNCTION("""COMPUTED_VALUE"""),45835.6458333333)</f>
        <v>45835.6458333333</v>
      </c>
      <c r="H66" s="17">
        <f>IFERROR(__xludf.DUMMYFUNCTION("""COMPUTED_VALUE"""),700.05)</f>
        <v>700.05</v>
      </c>
      <c r="I66" s="16">
        <f>IFERROR(__xludf.DUMMYFUNCTION("""COMPUTED_VALUE"""),45835.6458333333)</f>
        <v>45835.6458333333</v>
      </c>
      <c r="J66" s="17">
        <f>IFERROR(__xludf.DUMMYFUNCTION("""COMPUTED_VALUE"""),691.35)</f>
        <v>691.35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IFERROR(__xludf.DUMMYFUNCTION("""COMPUTED_VALUE"""),692.85)</f>
        <v>692.85</v>
      </c>
      <c r="C67" s="16">
        <f>IFERROR(__xludf.DUMMYFUNCTION("""COMPUTED_VALUE"""),45838.6458333333)</f>
        <v>45838.6458333333</v>
      </c>
      <c r="D67" s="17">
        <f>IFERROR(__xludf.DUMMYFUNCTION("""COMPUTED_VALUE"""),700)</f>
        <v>700</v>
      </c>
      <c r="E67" s="16">
        <f>IFERROR(__xludf.DUMMYFUNCTION("""COMPUTED_VALUE"""),45838.6458333333)</f>
        <v>45838.6458333333</v>
      </c>
      <c r="F67" s="17">
        <f>IFERROR(__xludf.DUMMYFUNCTION("""COMPUTED_VALUE"""),4919088)</f>
        <v>4919088</v>
      </c>
      <c r="G67" s="16">
        <f>IFERROR(__xludf.DUMMYFUNCTION("""COMPUTED_VALUE"""),45838.6458333333)</f>
        <v>45838.6458333333</v>
      </c>
      <c r="H67" s="17">
        <f>IFERROR(__xludf.DUMMYFUNCTION("""COMPUTED_VALUE"""),700)</f>
        <v>700</v>
      </c>
      <c r="I67" s="16">
        <f>IFERROR(__xludf.DUMMYFUNCTION("""COMPUTED_VALUE"""),45838.6458333333)</f>
        <v>45838.6458333333</v>
      </c>
      <c r="J67" s="17">
        <f>IFERROR(__xludf.DUMMYFUNCTION("""COMPUTED_VALUE"""),691.45)</f>
        <v>691.45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IFERROR(__xludf.DUMMYFUNCTION("""COMPUTED_VALUE"""),694.3)</f>
        <v>694.3</v>
      </c>
      <c r="C68" s="16">
        <f>IFERROR(__xludf.DUMMYFUNCTION("""COMPUTED_VALUE"""),45839.6458333333)</f>
        <v>45839.6458333333</v>
      </c>
      <c r="D68" s="17">
        <f>IFERROR(__xludf.DUMMYFUNCTION("""COMPUTED_VALUE"""),692.4)</f>
        <v>692.4</v>
      </c>
      <c r="E68" s="16">
        <f>IFERROR(__xludf.DUMMYFUNCTION("""COMPUTED_VALUE"""),45839.6458333333)</f>
        <v>45839.6458333333</v>
      </c>
      <c r="F68" s="17">
        <f>IFERROR(__xludf.DUMMYFUNCTION("""COMPUTED_VALUE"""),5468762)</f>
        <v>5468762</v>
      </c>
      <c r="G68" s="16">
        <f>IFERROR(__xludf.DUMMYFUNCTION("""COMPUTED_VALUE"""),45839.6458333333)</f>
        <v>45839.6458333333</v>
      </c>
      <c r="H68" s="17">
        <f>IFERROR(__xludf.DUMMYFUNCTION("""COMPUTED_VALUE"""),699.6)</f>
        <v>699.6</v>
      </c>
      <c r="I68" s="16">
        <f>IFERROR(__xludf.DUMMYFUNCTION("""COMPUTED_VALUE"""),45839.6458333333)</f>
        <v>45839.6458333333</v>
      </c>
      <c r="J68" s="17">
        <f>IFERROR(__xludf.DUMMYFUNCTION("""COMPUTED_VALUE"""),684.35)</f>
        <v>684.35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IFERROR(__xludf.DUMMYFUNCTION("""COMPUTED_VALUE"""),698.35)</f>
        <v>698.35</v>
      </c>
      <c r="C69" s="16">
        <f>IFERROR(__xludf.DUMMYFUNCTION("""COMPUTED_VALUE"""),45840.6458333333)</f>
        <v>45840.6458333333</v>
      </c>
      <c r="D69" s="17">
        <f>IFERROR(__xludf.DUMMYFUNCTION("""COMPUTED_VALUE"""),695.7)</f>
        <v>695.7</v>
      </c>
      <c r="E69" s="16">
        <f>IFERROR(__xludf.DUMMYFUNCTION("""COMPUTED_VALUE"""),45840.6458333333)</f>
        <v>45840.6458333333</v>
      </c>
      <c r="F69" s="17">
        <f>IFERROR(__xludf.DUMMYFUNCTION("""COMPUTED_VALUE"""),4566893)</f>
        <v>4566893</v>
      </c>
      <c r="G69" s="16">
        <f>IFERROR(__xludf.DUMMYFUNCTION("""COMPUTED_VALUE"""),45840.6458333333)</f>
        <v>45840.6458333333</v>
      </c>
      <c r="H69" s="17">
        <f>IFERROR(__xludf.DUMMYFUNCTION("""COMPUTED_VALUE"""),705.75)</f>
        <v>705.75</v>
      </c>
      <c r="I69" s="16">
        <f>IFERROR(__xludf.DUMMYFUNCTION("""COMPUTED_VALUE"""),45840.6458333333)</f>
        <v>45840.6458333333</v>
      </c>
      <c r="J69" s="17">
        <f>IFERROR(__xludf.DUMMYFUNCTION("""COMPUTED_VALUE"""),693.65)</f>
        <v>693.65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IFERROR(__xludf.DUMMYFUNCTION("""COMPUTED_VALUE"""),692.85)</f>
        <v>692.85</v>
      </c>
      <c r="C70" s="16">
        <f>IFERROR(__xludf.DUMMYFUNCTION("""COMPUTED_VALUE"""),45841.6458333333)</f>
        <v>45841.6458333333</v>
      </c>
      <c r="D70" s="17">
        <f>IFERROR(__xludf.DUMMYFUNCTION("""COMPUTED_VALUE"""),701)</f>
        <v>701</v>
      </c>
      <c r="E70" s="16">
        <f>IFERROR(__xludf.DUMMYFUNCTION("""COMPUTED_VALUE"""),45841.6458333333)</f>
        <v>45841.6458333333</v>
      </c>
      <c r="F70" s="17">
        <f>IFERROR(__xludf.DUMMYFUNCTION("""COMPUTED_VALUE"""),4216075)</f>
        <v>4216075</v>
      </c>
      <c r="G70" s="16">
        <f>IFERROR(__xludf.DUMMYFUNCTION("""COMPUTED_VALUE"""),45841.6458333333)</f>
        <v>45841.6458333333</v>
      </c>
      <c r="H70" s="17">
        <f>IFERROR(__xludf.DUMMYFUNCTION("""COMPUTED_VALUE"""),708.1)</f>
        <v>708.1</v>
      </c>
      <c r="I70" s="16">
        <f>IFERROR(__xludf.DUMMYFUNCTION("""COMPUTED_VALUE"""),45841.6458333333)</f>
        <v>45841.6458333333</v>
      </c>
      <c r="J70" s="17">
        <f>IFERROR(__xludf.DUMMYFUNCTION("""COMPUTED_VALUE"""),691.8)</f>
        <v>691.8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IFERROR(__xludf.DUMMYFUNCTION("""COMPUTED_VALUE"""),699.45)</f>
        <v>699.45</v>
      </c>
      <c r="C71" s="16">
        <f>IFERROR(__xludf.DUMMYFUNCTION("""COMPUTED_VALUE"""),45842.6458333333)</f>
        <v>45842.6458333333</v>
      </c>
      <c r="D71" s="17">
        <f>IFERROR(__xludf.DUMMYFUNCTION("""COMPUTED_VALUE"""),692)</f>
        <v>692</v>
      </c>
      <c r="E71" s="16">
        <f>IFERROR(__xludf.DUMMYFUNCTION("""COMPUTED_VALUE"""),45842.6458333333)</f>
        <v>45842.6458333333</v>
      </c>
      <c r="F71" s="17">
        <f>IFERROR(__xludf.DUMMYFUNCTION("""COMPUTED_VALUE"""),2680991)</f>
        <v>2680991</v>
      </c>
      <c r="G71" s="16">
        <f>IFERROR(__xludf.DUMMYFUNCTION("""COMPUTED_VALUE"""),45842.6458333333)</f>
        <v>45842.6458333333</v>
      </c>
      <c r="H71" s="17">
        <f>IFERROR(__xludf.DUMMYFUNCTION("""COMPUTED_VALUE"""),700.75)</f>
        <v>700.75</v>
      </c>
      <c r="I71" s="16">
        <f>IFERROR(__xludf.DUMMYFUNCTION("""COMPUTED_VALUE"""),45842.6458333333)</f>
        <v>45842.6458333333</v>
      </c>
      <c r="J71" s="17">
        <f>IFERROR(__xludf.DUMMYFUNCTION("""COMPUTED_VALUE"""),689.4)</f>
        <v>689.4</v>
      </c>
      <c r="K71" s="3">
        <f t="shared" si="2"/>
        <v>699.45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IFERROR(__xludf.DUMMYFUNCTION("""COMPUTED_VALUE"""),692.1)</f>
        <v>692.1</v>
      </c>
      <c r="C72" s="16">
        <f>IFERROR(__xludf.DUMMYFUNCTION("""COMPUTED_VALUE"""),45845.6458333333)</f>
        <v>45845.6458333333</v>
      </c>
      <c r="D72" s="17">
        <f>IFERROR(__xludf.DUMMYFUNCTION("""COMPUTED_VALUE"""),699.45)</f>
        <v>699.45</v>
      </c>
      <c r="E72" s="16">
        <f>IFERROR(__xludf.DUMMYFUNCTION("""COMPUTED_VALUE"""),45845.6458333333)</f>
        <v>45845.6458333333</v>
      </c>
      <c r="F72" s="17">
        <f>IFERROR(__xludf.DUMMYFUNCTION("""COMPUTED_VALUE"""),2481724)</f>
        <v>2481724</v>
      </c>
      <c r="G72" s="16">
        <f>IFERROR(__xludf.DUMMYFUNCTION("""COMPUTED_VALUE"""),45845.6458333333)</f>
        <v>45845.6458333333</v>
      </c>
      <c r="H72" s="17">
        <f>IFERROR(__xludf.DUMMYFUNCTION("""COMPUTED_VALUE"""),699.45)</f>
        <v>699.45</v>
      </c>
      <c r="I72" s="16">
        <f>IFERROR(__xludf.DUMMYFUNCTION("""COMPUTED_VALUE"""),45845.6458333333)</f>
        <v>45845.6458333333</v>
      </c>
      <c r="J72" s="17">
        <f>IFERROR(__xludf.DUMMYFUNCTION("""COMPUTED_VALUE"""),688.1)</f>
        <v>688.1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IFERROR(__xludf.DUMMYFUNCTION("""COMPUTED_VALUE"""),685.6)</f>
        <v>685.6</v>
      </c>
      <c r="C73" s="16">
        <f>IFERROR(__xludf.DUMMYFUNCTION("""COMPUTED_VALUE"""),45846.6458333333)</f>
        <v>45846.6458333333</v>
      </c>
      <c r="D73" s="17">
        <f>IFERROR(__xludf.DUMMYFUNCTION("""COMPUTED_VALUE"""),692.1)</f>
        <v>692.1</v>
      </c>
      <c r="E73" s="16">
        <f>IFERROR(__xludf.DUMMYFUNCTION("""COMPUTED_VALUE"""),45846.6458333333)</f>
        <v>45846.6458333333</v>
      </c>
      <c r="F73" s="17">
        <f>IFERROR(__xludf.DUMMYFUNCTION("""COMPUTED_VALUE"""),3923236)</f>
        <v>3923236</v>
      </c>
      <c r="G73" s="16">
        <f>IFERROR(__xludf.DUMMYFUNCTION("""COMPUTED_VALUE"""),45846.6458333333)</f>
        <v>45846.6458333333</v>
      </c>
      <c r="H73" s="17">
        <f>IFERROR(__xludf.DUMMYFUNCTION("""COMPUTED_VALUE"""),696.3)</f>
        <v>696.3</v>
      </c>
      <c r="I73" s="16">
        <f>IFERROR(__xludf.DUMMYFUNCTION("""COMPUTED_VALUE"""),45846.6458333333)</f>
        <v>45846.6458333333</v>
      </c>
      <c r="J73" s="17">
        <f>IFERROR(__xludf.DUMMYFUNCTION("""COMPUTED_VALUE"""),683.1)</f>
        <v>683.1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IFERROR(__xludf.DUMMYFUNCTION("""COMPUTED_VALUE"""),673.95)</f>
        <v>673.95</v>
      </c>
      <c r="C74" s="16">
        <f>IFERROR(__xludf.DUMMYFUNCTION("""COMPUTED_VALUE"""),45847.6458333333)</f>
        <v>45847.6458333333</v>
      </c>
      <c r="D74" s="17">
        <f>IFERROR(__xludf.DUMMYFUNCTION("""COMPUTED_VALUE"""),692)</f>
        <v>692</v>
      </c>
      <c r="E74" s="16">
        <f>IFERROR(__xludf.DUMMYFUNCTION("""COMPUTED_VALUE"""),45847.6458333333)</f>
        <v>45847.6458333333</v>
      </c>
      <c r="F74" s="17">
        <f>IFERROR(__xludf.DUMMYFUNCTION("""COMPUTED_VALUE"""),6703774)</f>
        <v>6703774</v>
      </c>
      <c r="G74" s="16">
        <f>IFERROR(__xludf.DUMMYFUNCTION("""COMPUTED_VALUE"""),45847.6458333333)</f>
        <v>45847.6458333333</v>
      </c>
      <c r="H74" s="17">
        <f>IFERROR(__xludf.DUMMYFUNCTION("""COMPUTED_VALUE"""),692)</f>
        <v>692</v>
      </c>
      <c r="I74" s="16">
        <f>IFERROR(__xludf.DUMMYFUNCTION("""COMPUTED_VALUE"""),45847.6458333333)</f>
        <v>45847.6458333333</v>
      </c>
      <c r="J74" s="17">
        <f>IFERROR(__xludf.DUMMYFUNCTION("""COMPUTED_VALUE"""),664.1)</f>
        <v>664.1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IFERROR(__xludf.DUMMYFUNCTION("""COMPUTED_VALUE"""),675.05)</f>
        <v>675.05</v>
      </c>
      <c r="C75" s="16">
        <f>IFERROR(__xludf.DUMMYFUNCTION("""COMPUTED_VALUE"""),45848.6458333333)</f>
        <v>45848.6458333333</v>
      </c>
      <c r="D75" s="17">
        <f>IFERROR(__xludf.DUMMYFUNCTION("""COMPUTED_VALUE"""),675)</f>
        <v>675</v>
      </c>
      <c r="E75" s="16">
        <f>IFERROR(__xludf.DUMMYFUNCTION("""COMPUTED_VALUE"""),45848.6458333333)</f>
        <v>45848.6458333333</v>
      </c>
      <c r="F75" s="17">
        <f>IFERROR(__xludf.DUMMYFUNCTION("""COMPUTED_VALUE"""),3641238)</f>
        <v>3641238</v>
      </c>
      <c r="G75" s="16">
        <f>IFERROR(__xludf.DUMMYFUNCTION("""COMPUTED_VALUE"""),45848.6458333333)</f>
        <v>45848.6458333333</v>
      </c>
      <c r="H75" s="17">
        <f>IFERROR(__xludf.DUMMYFUNCTION("""COMPUTED_VALUE"""),679.5)</f>
        <v>679.5</v>
      </c>
      <c r="I75" s="16">
        <f>IFERROR(__xludf.DUMMYFUNCTION("""COMPUTED_VALUE"""),45848.6458333333)</f>
        <v>45848.6458333333</v>
      </c>
      <c r="J75" s="17">
        <f>IFERROR(__xludf.DUMMYFUNCTION("""COMPUTED_VALUE"""),672.55)</f>
        <v>672.55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IFERROR(__xludf.DUMMYFUNCTION("""COMPUTED_VALUE"""),670.95)</f>
        <v>670.95</v>
      </c>
      <c r="C76" s="16">
        <f>IFERROR(__xludf.DUMMYFUNCTION("""COMPUTED_VALUE"""),45849.6458333333)</f>
        <v>45849.6458333333</v>
      </c>
      <c r="D76" s="17">
        <f>IFERROR(__xludf.DUMMYFUNCTION("""COMPUTED_VALUE"""),673)</f>
        <v>673</v>
      </c>
      <c r="E76" s="16">
        <f>IFERROR(__xludf.DUMMYFUNCTION("""COMPUTED_VALUE"""),45849.6458333333)</f>
        <v>45849.6458333333</v>
      </c>
      <c r="F76" s="17">
        <f>IFERROR(__xludf.DUMMYFUNCTION("""COMPUTED_VALUE"""),4450346)</f>
        <v>4450346</v>
      </c>
      <c r="G76" s="16">
        <f>IFERROR(__xludf.DUMMYFUNCTION("""COMPUTED_VALUE"""),45849.6458333333)</f>
        <v>45849.6458333333</v>
      </c>
      <c r="H76" s="17">
        <f>IFERROR(__xludf.DUMMYFUNCTION("""COMPUTED_VALUE"""),676.05)</f>
        <v>676.05</v>
      </c>
      <c r="I76" s="16">
        <f>IFERROR(__xludf.DUMMYFUNCTION("""COMPUTED_VALUE"""),45849.6458333333)</f>
        <v>45849.6458333333</v>
      </c>
      <c r="J76" s="17">
        <f>IFERROR(__xludf.DUMMYFUNCTION("""COMPUTED_VALUE"""),661.55)</f>
        <v>661.55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IFERROR(__xludf.DUMMYFUNCTION("""COMPUTED_VALUE"""),666.5)</f>
        <v>666.5</v>
      </c>
      <c r="C77" s="16">
        <f>IFERROR(__xludf.DUMMYFUNCTION("""COMPUTED_VALUE"""),45852.6458333333)</f>
        <v>45852.6458333333</v>
      </c>
      <c r="D77" s="17">
        <f>IFERROR(__xludf.DUMMYFUNCTION("""COMPUTED_VALUE"""),671)</f>
        <v>671</v>
      </c>
      <c r="E77" s="16">
        <f>IFERROR(__xludf.DUMMYFUNCTION("""COMPUTED_VALUE"""),45852.6458333333)</f>
        <v>45852.6458333333</v>
      </c>
      <c r="F77" s="17">
        <f>IFERROR(__xludf.DUMMYFUNCTION("""COMPUTED_VALUE"""),4338084)</f>
        <v>4338084</v>
      </c>
      <c r="G77" s="16">
        <f>IFERROR(__xludf.DUMMYFUNCTION("""COMPUTED_VALUE"""),45852.6458333333)</f>
        <v>45852.6458333333</v>
      </c>
      <c r="H77" s="17">
        <f>IFERROR(__xludf.DUMMYFUNCTION("""COMPUTED_VALUE"""),680.55)</f>
        <v>680.55</v>
      </c>
      <c r="I77" s="16">
        <f>IFERROR(__xludf.DUMMYFUNCTION("""COMPUTED_VALUE"""),45852.6458333333)</f>
        <v>45852.6458333333</v>
      </c>
      <c r="J77" s="17">
        <f>IFERROR(__xludf.DUMMYFUNCTION("""COMPUTED_VALUE"""),665)</f>
        <v>665</v>
      </c>
      <c r="K77" s="3">
        <f t="shared" si="2"/>
        <v>0</v>
      </c>
      <c r="L77" s="3">
        <f t="shared" si="3"/>
        <v>666.5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IFERROR(__xludf.DUMMYFUNCTION("""COMPUTED_VALUE"""),670.85)</f>
        <v>670.85</v>
      </c>
      <c r="C78" s="16">
        <f>IFERROR(__xludf.DUMMYFUNCTION("""COMPUTED_VALUE"""),45853.6458333333)</f>
        <v>45853.6458333333</v>
      </c>
      <c r="D78" s="17">
        <f>IFERROR(__xludf.DUMMYFUNCTION("""COMPUTED_VALUE"""),670)</f>
        <v>670</v>
      </c>
      <c r="E78" s="16">
        <f>IFERROR(__xludf.DUMMYFUNCTION("""COMPUTED_VALUE"""),45853.6458333333)</f>
        <v>45853.6458333333</v>
      </c>
      <c r="F78" s="17">
        <f>IFERROR(__xludf.DUMMYFUNCTION("""COMPUTED_VALUE"""),4815703)</f>
        <v>4815703</v>
      </c>
      <c r="G78" s="16">
        <f>IFERROR(__xludf.DUMMYFUNCTION("""COMPUTED_VALUE"""),45853.6458333333)</f>
        <v>45853.6458333333</v>
      </c>
      <c r="H78" s="17">
        <f>IFERROR(__xludf.DUMMYFUNCTION("""COMPUTED_VALUE"""),674.25)</f>
        <v>674.25</v>
      </c>
      <c r="I78" s="16">
        <f>IFERROR(__xludf.DUMMYFUNCTION("""COMPUTED_VALUE"""),45853.6458333333)</f>
        <v>45853.6458333333</v>
      </c>
      <c r="J78" s="17">
        <f>IFERROR(__xludf.DUMMYFUNCTION("""COMPUTED_VALUE"""),662.9)</f>
        <v>662.9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IFERROR(__xludf.DUMMYFUNCTION("""COMPUTED_VALUE"""),666.75)</f>
        <v>666.75</v>
      </c>
      <c r="C79" s="16">
        <f>IFERROR(__xludf.DUMMYFUNCTION("""COMPUTED_VALUE"""),45854.6458333333)</f>
        <v>45854.6458333333</v>
      </c>
      <c r="D79" s="17">
        <f>IFERROR(__xludf.DUMMYFUNCTION("""COMPUTED_VALUE"""),668)</f>
        <v>668</v>
      </c>
      <c r="E79" s="16">
        <f>IFERROR(__xludf.DUMMYFUNCTION("""COMPUTED_VALUE"""),45854.6458333333)</f>
        <v>45854.6458333333</v>
      </c>
      <c r="F79" s="17">
        <f>IFERROR(__xludf.DUMMYFUNCTION("""COMPUTED_VALUE"""),4497141)</f>
        <v>4497141</v>
      </c>
      <c r="G79" s="16">
        <f>IFERROR(__xludf.DUMMYFUNCTION("""COMPUTED_VALUE"""),45854.6458333333)</f>
        <v>45854.6458333333</v>
      </c>
      <c r="H79" s="17">
        <f>IFERROR(__xludf.DUMMYFUNCTION("""COMPUTED_VALUE"""),670.6)</f>
        <v>670.6</v>
      </c>
      <c r="I79" s="16">
        <f>IFERROR(__xludf.DUMMYFUNCTION("""COMPUTED_VALUE"""),45854.6458333333)</f>
        <v>45854.6458333333</v>
      </c>
      <c r="J79" s="17">
        <f>IFERROR(__xludf.DUMMYFUNCTION("""COMPUTED_VALUE"""),664)</f>
        <v>664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IFERROR(__xludf.DUMMYFUNCTION("""COMPUTED_VALUE"""),674.55)</f>
        <v>674.55</v>
      </c>
      <c r="C80" s="16">
        <f>IFERROR(__xludf.DUMMYFUNCTION("""COMPUTED_VALUE"""),45855.6458333333)</f>
        <v>45855.6458333333</v>
      </c>
      <c r="D80" s="17">
        <f>IFERROR(__xludf.DUMMYFUNCTION("""COMPUTED_VALUE"""),670)</f>
        <v>670</v>
      </c>
      <c r="E80" s="16">
        <f>IFERROR(__xludf.DUMMYFUNCTION("""COMPUTED_VALUE"""),45855.6458333333)</f>
        <v>45855.6458333333</v>
      </c>
      <c r="F80" s="17">
        <f>IFERROR(__xludf.DUMMYFUNCTION("""COMPUTED_VALUE"""),4022119)</f>
        <v>4022119</v>
      </c>
      <c r="G80" s="16">
        <f>IFERROR(__xludf.DUMMYFUNCTION("""COMPUTED_VALUE"""),45855.6458333333)</f>
        <v>45855.6458333333</v>
      </c>
      <c r="H80" s="17">
        <f>IFERROR(__xludf.DUMMYFUNCTION("""COMPUTED_VALUE"""),678)</f>
        <v>678</v>
      </c>
      <c r="I80" s="16">
        <f>IFERROR(__xludf.DUMMYFUNCTION("""COMPUTED_VALUE"""),45855.6458333333)</f>
        <v>45855.6458333333</v>
      </c>
      <c r="J80" s="17">
        <f>IFERROR(__xludf.DUMMYFUNCTION("""COMPUTED_VALUE"""),668.4)</f>
        <v>668.4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IFERROR(__xludf.DUMMYFUNCTION("""COMPUTED_VALUE"""),675.9)</f>
        <v>675.9</v>
      </c>
      <c r="C81" s="16">
        <f>IFERROR(__xludf.DUMMYFUNCTION("""COMPUTED_VALUE"""),45856.6458333333)</f>
        <v>45856.6458333333</v>
      </c>
      <c r="D81" s="17">
        <f>IFERROR(__xludf.DUMMYFUNCTION("""COMPUTED_VALUE"""),676.5)</f>
        <v>676.5</v>
      </c>
      <c r="E81" s="16">
        <f>IFERROR(__xludf.DUMMYFUNCTION("""COMPUTED_VALUE"""),45856.6458333333)</f>
        <v>45856.6458333333</v>
      </c>
      <c r="F81" s="17">
        <f>IFERROR(__xludf.DUMMYFUNCTION("""COMPUTED_VALUE"""),3400654)</f>
        <v>3400654</v>
      </c>
      <c r="G81" s="16">
        <f>IFERROR(__xludf.DUMMYFUNCTION("""COMPUTED_VALUE"""),45856.6458333333)</f>
        <v>45856.6458333333</v>
      </c>
      <c r="H81" s="17">
        <f>IFERROR(__xludf.DUMMYFUNCTION("""COMPUTED_VALUE"""),679.3)</f>
        <v>679.3</v>
      </c>
      <c r="I81" s="16">
        <f>IFERROR(__xludf.DUMMYFUNCTION("""COMPUTED_VALUE"""),45856.6458333333)</f>
        <v>45856.6458333333</v>
      </c>
      <c r="J81" s="17">
        <f>IFERROR(__xludf.DUMMYFUNCTION("""COMPUTED_VALUE"""),671)</f>
        <v>671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IFERROR(__xludf.DUMMYFUNCTION("""COMPUTED_VALUE"""),682.7)</f>
        <v>682.7</v>
      </c>
      <c r="C82" s="16">
        <f>IFERROR(__xludf.DUMMYFUNCTION("""COMPUTED_VALUE"""),45859.6458333333)</f>
        <v>45859.6458333333</v>
      </c>
      <c r="D82" s="17">
        <f>IFERROR(__xludf.DUMMYFUNCTION("""COMPUTED_VALUE"""),679)</f>
        <v>679</v>
      </c>
      <c r="E82" s="16">
        <f>IFERROR(__xludf.DUMMYFUNCTION("""COMPUTED_VALUE"""),45859.6458333333)</f>
        <v>45859.6458333333</v>
      </c>
      <c r="F82" s="17">
        <f>IFERROR(__xludf.DUMMYFUNCTION("""COMPUTED_VALUE"""),4912558)</f>
        <v>4912558</v>
      </c>
      <c r="G82" s="16">
        <f>IFERROR(__xludf.DUMMYFUNCTION("""COMPUTED_VALUE"""),45859.6458333333)</f>
        <v>45859.6458333333</v>
      </c>
      <c r="H82" s="17">
        <f>IFERROR(__xludf.DUMMYFUNCTION("""COMPUTED_VALUE"""),687.15)</f>
        <v>687.15</v>
      </c>
      <c r="I82" s="16">
        <f>IFERROR(__xludf.DUMMYFUNCTION("""COMPUTED_VALUE"""),45859.6458333333)</f>
        <v>45859.6458333333</v>
      </c>
      <c r="J82" s="17">
        <f>IFERROR(__xludf.DUMMYFUNCTION("""COMPUTED_VALUE"""),679)</f>
        <v>679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IFERROR(__xludf.DUMMYFUNCTION("""COMPUTED_VALUE"""),690.05)</f>
        <v>690.05</v>
      </c>
      <c r="C83" s="16">
        <f>IFERROR(__xludf.DUMMYFUNCTION("""COMPUTED_VALUE"""),45860.6458333333)</f>
        <v>45860.6458333333</v>
      </c>
      <c r="D83" s="17">
        <f>IFERROR(__xludf.DUMMYFUNCTION("""COMPUTED_VALUE"""),683.2)</f>
        <v>683.2</v>
      </c>
      <c r="E83" s="16">
        <f>IFERROR(__xludf.DUMMYFUNCTION("""COMPUTED_VALUE"""),45860.6458333333)</f>
        <v>45860.6458333333</v>
      </c>
      <c r="F83" s="17">
        <f>IFERROR(__xludf.DUMMYFUNCTION("""COMPUTED_VALUE"""),3802270)</f>
        <v>3802270</v>
      </c>
      <c r="G83" s="16">
        <f>IFERROR(__xludf.DUMMYFUNCTION("""COMPUTED_VALUE"""),45860.6458333333)</f>
        <v>45860.6458333333</v>
      </c>
      <c r="H83" s="17">
        <f>IFERROR(__xludf.DUMMYFUNCTION("""COMPUTED_VALUE"""),692.5)</f>
        <v>692.5</v>
      </c>
      <c r="I83" s="16">
        <f>IFERROR(__xludf.DUMMYFUNCTION("""COMPUTED_VALUE"""),45860.6458333333)</f>
        <v>45860.6458333333</v>
      </c>
      <c r="J83" s="17">
        <f>IFERROR(__xludf.DUMMYFUNCTION("""COMPUTED_VALUE"""),683.2)</f>
        <v>683.2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IFERROR(__xludf.DUMMYFUNCTION("""COMPUTED_VALUE"""),695.4)</f>
        <v>695.4</v>
      </c>
      <c r="C84" s="16">
        <f>IFERROR(__xludf.DUMMYFUNCTION("""COMPUTED_VALUE"""),45861.6458333333)</f>
        <v>45861.6458333333</v>
      </c>
      <c r="D84" s="17">
        <f>IFERROR(__xludf.DUMMYFUNCTION("""COMPUTED_VALUE"""),692)</f>
        <v>692</v>
      </c>
      <c r="E84" s="16">
        <f>IFERROR(__xludf.DUMMYFUNCTION("""COMPUTED_VALUE"""),45861.6458333333)</f>
        <v>45861.6458333333</v>
      </c>
      <c r="F84" s="17">
        <f>IFERROR(__xludf.DUMMYFUNCTION("""COMPUTED_VALUE"""),3640968)</f>
        <v>3640968</v>
      </c>
      <c r="G84" s="16">
        <f>IFERROR(__xludf.DUMMYFUNCTION("""COMPUTED_VALUE"""),45861.6458333333)</f>
        <v>45861.6458333333</v>
      </c>
      <c r="H84" s="17">
        <f>IFERROR(__xludf.DUMMYFUNCTION("""COMPUTED_VALUE"""),696)</f>
        <v>696</v>
      </c>
      <c r="I84" s="16">
        <f>IFERROR(__xludf.DUMMYFUNCTION("""COMPUTED_VALUE"""),45861.6458333333)</f>
        <v>45861.6458333333</v>
      </c>
      <c r="J84" s="17">
        <f>IFERROR(__xludf.DUMMYFUNCTION("""COMPUTED_VALUE"""),689.6)</f>
        <v>689.6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IFERROR(__xludf.DUMMYFUNCTION("""COMPUTED_VALUE"""),695.6)</f>
        <v>695.6</v>
      </c>
      <c r="C85" s="16">
        <f>IFERROR(__xludf.DUMMYFUNCTION("""COMPUTED_VALUE"""),45862.6458333333)</f>
        <v>45862.6458333333</v>
      </c>
      <c r="D85" s="17">
        <f>IFERROR(__xludf.DUMMYFUNCTION("""COMPUTED_VALUE"""),697)</f>
        <v>697</v>
      </c>
      <c r="E85" s="16">
        <f>IFERROR(__xludf.DUMMYFUNCTION("""COMPUTED_VALUE"""),45862.6458333333)</f>
        <v>45862.6458333333</v>
      </c>
      <c r="F85" s="17">
        <f>IFERROR(__xludf.DUMMYFUNCTION("""COMPUTED_VALUE"""),4593102)</f>
        <v>4593102</v>
      </c>
      <c r="G85" s="16">
        <f>IFERROR(__xludf.DUMMYFUNCTION("""COMPUTED_VALUE"""),45862.6458333333)</f>
        <v>45862.6458333333</v>
      </c>
      <c r="H85" s="17">
        <f>IFERROR(__xludf.DUMMYFUNCTION("""COMPUTED_VALUE"""),704.4)</f>
        <v>704.4</v>
      </c>
      <c r="I85" s="16">
        <f>IFERROR(__xludf.DUMMYFUNCTION("""COMPUTED_VALUE"""),45862.6458333333)</f>
        <v>45862.6458333333</v>
      </c>
      <c r="J85" s="17">
        <f>IFERROR(__xludf.DUMMYFUNCTION("""COMPUTED_VALUE"""),691.6)</f>
        <v>691.6</v>
      </c>
      <c r="K85" s="3">
        <f t="shared" si="2"/>
        <v>695.6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IFERROR(__xludf.DUMMYFUNCTION("""COMPUTED_VALUE"""),693.45)</f>
        <v>693.45</v>
      </c>
      <c r="C86" s="16">
        <f>IFERROR(__xludf.DUMMYFUNCTION("""COMPUTED_VALUE"""),45863.6458333333)</f>
        <v>45863.6458333333</v>
      </c>
      <c r="D86" s="17">
        <f>IFERROR(__xludf.DUMMYFUNCTION("""COMPUTED_VALUE"""),697)</f>
        <v>697</v>
      </c>
      <c r="E86" s="16">
        <f>IFERROR(__xludf.DUMMYFUNCTION("""COMPUTED_VALUE"""),45863.6458333333)</f>
        <v>45863.6458333333</v>
      </c>
      <c r="F86" s="17">
        <f>IFERROR(__xludf.DUMMYFUNCTION("""COMPUTED_VALUE"""),5220901)</f>
        <v>5220901</v>
      </c>
      <c r="G86" s="16">
        <f>IFERROR(__xludf.DUMMYFUNCTION("""COMPUTED_VALUE"""),45863.6458333333)</f>
        <v>45863.6458333333</v>
      </c>
      <c r="H86" s="17">
        <f>IFERROR(__xludf.DUMMYFUNCTION("""COMPUTED_VALUE"""),698.8)</f>
        <v>698.8</v>
      </c>
      <c r="I86" s="16">
        <f>IFERROR(__xludf.DUMMYFUNCTION("""COMPUTED_VALUE"""),45863.6458333333)</f>
        <v>45863.6458333333</v>
      </c>
      <c r="J86" s="17">
        <f>IFERROR(__xludf.DUMMYFUNCTION("""COMPUTED_VALUE"""),687.95)</f>
        <v>687.95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IFERROR(__xludf.DUMMYFUNCTION("""COMPUTED_VALUE"""),689.35)</f>
        <v>689.35</v>
      </c>
      <c r="C87" s="16">
        <f>IFERROR(__xludf.DUMMYFUNCTION("""COMPUTED_VALUE"""),45866.6458333333)</f>
        <v>45866.6458333333</v>
      </c>
      <c r="D87" s="17">
        <f>IFERROR(__xludf.DUMMYFUNCTION("""COMPUTED_VALUE"""),693.45)</f>
        <v>693.45</v>
      </c>
      <c r="E87" s="16">
        <f>IFERROR(__xludf.DUMMYFUNCTION("""COMPUTED_VALUE"""),45866.6458333333)</f>
        <v>45866.6458333333</v>
      </c>
      <c r="F87" s="17">
        <f>IFERROR(__xludf.DUMMYFUNCTION("""COMPUTED_VALUE"""),5031797)</f>
        <v>5031797</v>
      </c>
      <c r="G87" s="16">
        <f>IFERROR(__xludf.DUMMYFUNCTION("""COMPUTED_VALUE"""),45866.6458333333)</f>
        <v>45866.6458333333</v>
      </c>
      <c r="H87" s="17">
        <f>IFERROR(__xludf.DUMMYFUNCTION("""COMPUTED_VALUE"""),693.95)</f>
        <v>693.95</v>
      </c>
      <c r="I87" s="16">
        <f>IFERROR(__xludf.DUMMYFUNCTION("""COMPUTED_VALUE"""),45866.6458333333)</f>
        <v>45866.6458333333</v>
      </c>
      <c r="J87" s="17">
        <f>IFERROR(__xludf.DUMMYFUNCTION("""COMPUTED_VALUE"""),682.8)</f>
        <v>682.8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IFERROR(__xludf.DUMMYFUNCTION("""COMPUTED_VALUE"""),692.7)</f>
        <v>692.7</v>
      </c>
      <c r="C88" s="16">
        <f>IFERROR(__xludf.DUMMYFUNCTION("""COMPUTED_VALUE"""),45867.6458333333)</f>
        <v>45867.6458333333</v>
      </c>
      <c r="D88" s="17">
        <f>IFERROR(__xludf.DUMMYFUNCTION("""COMPUTED_VALUE"""),686.1)</f>
        <v>686.1</v>
      </c>
      <c r="E88" s="16">
        <f>IFERROR(__xludf.DUMMYFUNCTION("""COMPUTED_VALUE"""),45867.6458333333)</f>
        <v>45867.6458333333</v>
      </c>
      <c r="F88" s="17">
        <f>IFERROR(__xludf.DUMMYFUNCTION("""COMPUTED_VALUE"""),2985507)</f>
        <v>2985507</v>
      </c>
      <c r="G88" s="16">
        <f>IFERROR(__xludf.DUMMYFUNCTION("""COMPUTED_VALUE"""),45867.6458333333)</f>
        <v>45867.6458333333</v>
      </c>
      <c r="H88" s="17">
        <f>IFERROR(__xludf.DUMMYFUNCTION("""COMPUTED_VALUE"""),695)</f>
        <v>695</v>
      </c>
      <c r="I88" s="16">
        <f>IFERROR(__xludf.DUMMYFUNCTION("""COMPUTED_VALUE"""),45867.6458333333)</f>
        <v>45867.6458333333</v>
      </c>
      <c r="J88" s="17">
        <f>IFERROR(__xludf.DUMMYFUNCTION("""COMPUTED_VALUE"""),685)</f>
        <v>685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IFERROR(__xludf.DUMMYFUNCTION("""COMPUTED_VALUE"""),688.8)</f>
        <v>688.8</v>
      </c>
      <c r="C89" s="16">
        <f>IFERROR(__xludf.DUMMYFUNCTION("""COMPUTED_VALUE"""),45868.6458333333)</f>
        <v>45868.6458333333</v>
      </c>
      <c r="D89" s="17">
        <f>IFERROR(__xludf.DUMMYFUNCTION("""COMPUTED_VALUE"""),689.15)</f>
        <v>689.15</v>
      </c>
      <c r="E89" s="16">
        <f>IFERROR(__xludf.DUMMYFUNCTION("""COMPUTED_VALUE"""),45868.6458333333)</f>
        <v>45868.6458333333</v>
      </c>
      <c r="F89" s="17">
        <f>IFERROR(__xludf.DUMMYFUNCTION("""COMPUTED_VALUE"""),2829322)</f>
        <v>2829322</v>
      </c>
      <c r="G89" s="16">
        <f>IFERROR(__xludf.DUMMYFUNCTION("""COMPUTED_VALUE"""),45868.6458333333)</f>
        <v>45868.6458333333</v>
      </c>
      <c r="H89" s="17">
        <f>IFERROR(__xludf.DUMMYFUNCTION("""COMPUTED_VALUE"""),697.55)</f>
        <v>697.55</v>
      </c>
      <c r="I89" s="16">
        <f>IFERROR(__xludf.DUMMYFUNCTION("""COMPUTED_VALUE"""),45868.6458333333)</f>
        <v>45868.6458333333</v>
      </c>
      <c r="J89" s="17">
        <f>IFERROR(__xludf.DUMMYFUNCTION("""COMPUTED_VALUE"""),684.8)</f>
        <v>684.8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IFERROR(__xludf.DUMMYFUNCTION("""COMPUTED_VALUE"""),683.05)</f>
        <v>683.05</v>
      </c>
      <c r="C90" s="16">
        <f>IFERROR(__xludf.DUMMYFUNCTION("""COMPUTED_VALUE"""),45869.6458333333)</f>
        <v>45869.6458333333</v>
      </c>
      <c r="D90" s="17">
        <f>IFERROR(__xludf.DUMMYFUNCTION("""COMPUTED_VALUE"""),677.1)</f>
        <v>677.1</v>
      </c>
      <c r="E90" s="16">
        <f>IFERROR(__xludf.DUMMYFUNCTION("""COMPUTED_VALUE"""),45869.6458333333)</f>
        <v>45869.6458333333</v>
      </c>
      <c r="F90" s="17">
        <f>IFERROR(__xludf.DUMMYFUNCTION("""COMPUTED_VALUE"""),6136890)</f>
        <v>6136890</v>
      </c>
      <c r="G90" s="16">
        <f>IFERROR(__xludf.DUMMYFUNCTION("""COMPUTED_VALUE"""),45869.6458333333)</f>
        <v>45869.6458333333</v>
      </c>
      <c r="H90" s="17">
        <f>IFERROR(__xludf.DUMMYFUNCTION("""COMPUTED_VALUE"""),692.3)</f>
        <v>692.3</v>
      </c>
      <c r="I90" s="16">
        <f>IFERROR(__xludf.DUMMYFUNCTION("""COMPUTED_VALUE"""),45869.6458333333)</f>
        <v>45869.6458333333</v>
      </c>
      <c r="J90" s="17">
        <f>IFERROR(__xludf.DUMMYFUNCTION("""COMPUTED_VALUE"""),674.95)</f>
        <v>674.95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IFERROR(__xludf.DUMMYFUNCTION("""COMPUTED_VALUE"""),672.45)</f>
        <v>672.45</v>
      </c>
      <c r="C91" s="16">
        <f>IFERROR(__xludf.DUMMYFUNCTION("""COMPUTED_VALUE"""),45870.6458333333)</f>
        <v>45870.6458333333</v>
      </c>
      <c r="D91" s="17">
        <f>IFERROR(__xludf.DUMMYFUNCTION("""COMPUTED_VALUE"""),680)</f>
        <v>680</v>
      </c>
      <c r="E91" s="16">
        <f>IFERROR(__xludf.DUMMYFUNCTION("""COMPUTED_VALUE"""),45870.6458333333)</f>
        <v>45870.6458333333</v>
      </c>
      <c r="F91" s="17">
        <f>IFERROR(__xludf.DUMMYFUNCTION("""COMPUTED_VALUE"""),3475656)</f>
        <v>3475656</v>
      </c>
      <c r="G91" s="16">
        <f>IFERROR(__xludf.DUMMYFUNCTION("""COMPUTED_VALUE"""),45870.6458333333)</f>
        <v>45870.6458333333</v>
      </c>
      <c r="H91" s="17">
        <f>IFERROR(__xludf.DUMMYFUNCTION("""COMPUTED_VALUE"""),683.3)</f>
        <v>683.3</v>
      </c>
      <c r="I91" s="16">
        <f>IFERROR(__xludf.DUMMYFUNCTION("""COMPUTED_VALUE"""),45870.6458333333)</f>
        <v>45870.6458333333</v>
      </c>
      <c r="J91" s="17">
        <f>IFERROR(__xludf.DUMMYFUNCTION("""COMPUTED_VALUE"""),670.85)</f>
        <v>670.85</v>
      </c>
      <c r="K91" s="3">
        <f t="shared" si="2"/>
        <v>0</v>
      </c>
      <c r="L91" s="3">
        <f t="shared" si="3"/>
        <v>672.45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IFERROR(__xludf.DUMMYFUNCTION("""COMPUTED_VALUE"""),687.7)</f>
        <v>687.7</v>
      </c>
      <c r="C92" s="16">
        <f>IFERROR(__xludf.DUMMYFUNCTION("""COMPUTED_VALUE"""),45873.6458333333)</f>
        <v>45873.6458333333</v>
      </c>
      <c r="D92" s="17">
        <f>IFERROR(__xludf.DUMMYFUNCTION("""COMPUTED_VALUE"""),676)</f>
        <v>676</v>
      </c>
      <c r="E92" s="16">
        <f>IFERROR(__xludf.DUMMYFUNCTION("""COMPUTED_VALUE"""),45873.6458333333)</f>
        <v>45873.6458333333</v>
      </c>
      <c r="F92" s="17">
        <f>IFERROR(__xludf.DUMMYFUNCTION("""COMPUTED_VALUE"""),2286286)</f>
        <v>2286286</v>
      </c>
      <c r="G92" s="16">
        <f>IFERROR(__xludf.DUMMYFUNCTION("""COMPUTED_VALUE"""),45873.6458333333)</f>
        <v>45873.6458333333</v>
      </c>
      <c r="H92" s="17">
        <f>IFERROR(__xludf.DUMMYFUNCTION("""COMPUTED_VALUE"""),688.8)</f>
        <v>688.8</v>
      </c>
      <c r="I92" s="16">
        <f>IFERROR(__xludf.DUMMYFUNCTION("""COMPUTED_VALUE"""),45873.6458333333)</f>
        <v>45873.6458333333</v>
      </c>
      <c r="J92" s="17">
        <f>IFERROR(__xludf.DUMMYFUNCTION("""COMPUTED_VALUE"""),671.8)</f>
        <v>671.8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IFERROR(__xludf.DUMMYFUNCTION("""COMPUTED_VALUE"""),687.1)</f>
        <v>687.1</v>
      </c>
      <c r="C93" s="16">
        <f>IFERROR(__xludf.DUMMYFUNCTION("""COMPUTED_VALUE"""),45874.6458333333)</f>
        <v>45874.6458333333</v>
      </c>
      <c r="D93" s="17">
        <f>IFERROR(__xludf.DUMMYFUNCTION("""COMPUTED_VALUE"""),692)</f>
        <v>692</v>
      </c>
      <c r="E93" s="16">
        <f>IFERROR(__xludf.DUMMYFUNCTION("""COMPUTED_VALUE"""),45874.6458333333)</f>
        <v>45874.6458333333</v>
      </c>
      <c r="F93" s="17">
        <f>IFERROR(__xludf.DUMMYFUNCTION("""COMPUTED_VALUE"""),3302614)</f>
        <v>3302614</v>
      </c>
      <c r="G93" s="16">
        <f>IFERROR(__xludf.DUMMYFUNCTION("""COMPUTED_VALUE"""),45874.6458333333)</f>
        <v>45874.6458333333</v>
      </c>
      <c r="H93" s="17">
        <f>IFERROR(__xludf.DUMMYFUNCTION("""COMPUTED_VALUE"""),692)</f>
        <v>692</v>
      </c>
      <c r="I93" s="16">
        <f>IFERROR(__xludf.DUMMYFUNCTION("""COMPUTED_VALUE"""),45874.6458333333)</f>
        <v>45874.6458333333</v>
      </c>
      <c r="J93" s="17">
        <f>IFERROR(__xludf.DUMMYFUNCTION("""COMPUTED_VALUE"""),682.15)</f>
        <v>682.15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IFERROR(__xludf.DUMMYFUNCTION("""COMPUTED_VALUE"""),684.85)</f>
        <v>684.85</v>
      </c>
      <c r="C94" s="16">
        <f>IFERROR(__xludf.DUMMYFUNCTION("""COMPUTED_VALUE"""),45875.6458333333)</f>
        <v>45875.6458333333</v>
      </c>
      <c r="D94" s="17">
        <f>IFERROR(__xludf.DUMMYFUNCTION("""COMPUTED_VALUE"""),692)</f>
        <v>692</v>
      </c>
      <c r="E94" s="16">
        <f>IFERROR(__xludf.DUMMYFUNCTION("""COMPUTED_VALUE"""),45875.6458333333)</f>
        <v>45875.6458333333</v>
      </c>
      <c r="F94" s="17">
        <f>IFERROR(__xludf.DUMMYFUNCTION("""COMPUTED_VALUE"""),2498667)</f>
        <v>2498667</v>
      </c>
      <c r="G94" s="16">
        <f>IFERROR(__xludf.DUMMYFUNCTION("""COMPUTED_VALUE"""),45875.6458333333)</f>
        <v>45875.6458333333</v>
      </c>
      <c r="H94" s="17">
        <f>IFERROR(__xludf.DUMMYFUNCTION("""COMPUTED_VALUE"""),692)</f>
        <v>692</v>
      </c>
      <c r="I94" s="16">
        <f>IFERROR(__xludf.DUMMYFUNCTION("""COMPUTED_VALUE"""),45875.6458333333)</f>
        <v>45875.6458333333</v>
      </c>
      <c r="J94" s="17">
        <f>IFERROR(__xludf.DUMMYFUNCTION("""COMPUTED_VALUE"""),683.35)</f>
        <v>683.35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IFERROR(__xludf.DUMMYFUNCTION("""COMPUTED_VALUE"""),686.8)</f>
        <v>686.8</v>
      </c>
      <c r="C95" s="16">
        <f>IFERROR(__xludf.DUMMYFUNCTION("""COMPUTED_VALUE"""),45876.6458333333)</f>
        <v>45876.6458333333</v>
      </c>
      <c r="D95" s="17">
        <f>IFERROR(__xludf.DUMMYFUNCTION("""COMPUTED_VALUE"""),681.9)</f>
        <v>681.9</v>
      </c>
      <c r="E95" s="16">
        <f>IFERROR(__xludf.DUMMYFUNCTION("""COMPUTED_VALUE"""),45876.6458333333)</f>
        <v>45876.6458333333</v>
      </c>
      <c r="F95" s="17">
        <f>IFERROR(__xludf.DUMMYFUNCTION("""COMPUTED_VALUE"""),3417324)</f>
        <v>3417324</v>
      </c>
      <c r="G95" s="16">
        <f>IFERROR(__xludf.DUMMYFUNCTION("""COMPUTED_VALUE"""),45876.6458333333)</f>
        <v>45876.6458333333</v>
      </c>
      <c r="H95" s="17">
        <f>IFERROR(__xludf.DUMMYFUNCTION("""COMPUTED_VALUE"""),689.9)</f>
        <v>689.9</v>
      </c>
      <c r="I95" s="16">
        <f>IFERROR(__xludf.DUMMYFUNCTION("""COMPUTED_VALUE"""),45876.6458333333)</f>
        <v>45876.6458333333</v>
      </c>
      <c r="J95" s="17">
        <f>IFERROR(__xludf.DUMMYFUNCTION("""COMPUTED_VALUE"""),674.35)</f>
        <v>674.35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IFERROR(__xludf.DUMMYFUNCTION("""COMPUTED_VALUE"""),672.75)</f>
        <v>672.75</v>
      </c>
      <c r="C96" s="16">
        <f>IFERROR(__xludf.DUMMYFUNCTION("""COMPUTED_VALUE"""),45877.6458333333)</f>
        <v>45877.6458333333</v>
      </c>
      <c r="D96" s="17">
        <f>IFERROR(__xludf.DUMMYFUNCTION("""COMPUTED_VALUE"""),684)</f>
        <v>684</v>
      </c>
      <c r="E96" s="16">
        <f>IFERROR(__xludf.DUMMYFUNCTION("""COMPUTED_VALUE"""),45877.6458333333)</f>
        <v>45877.6458333333</v>
      </c>
      <c r="F96" s="17">
        <f>IFERROR(__xludf.DUMMYFUNCTION("""COMPUTED_VALUE"""),3471816)</f>
        <v>3471816</v>
      </c>
      <c r="G96" s="16">
        <f>IFERROR(__xludf.DUMMYFUNCTION("""COMPUTED_VALUE"""),45877.6458333333)</f>
        <v>45877.6458333333</v>
      </c>
      <c r="H96" s="17">
        <f>IFERROR(__xludf.DUMMYFUNCTION("""COMPUTED_VALUE"""),686.4)</f>
        <v>686.4</v>
      </c>
      <c r="I96" s="16">
        <f>IFERROR(__xludf.DUMMYFUNCTION("""COMPUTED_VALUE"""),45877.6458333333)</f>
        <v>45877.6458333333</v>
      </c>
      <c r="J96" s="17">
        <f>IFERROR(__xludf.DUMMYFUNCTION("""COMPUTED_VALUE"""),669.05)</f>
        <v>669.05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IFERROR(__xludf.DUMMYFUNCTION("""COMPUTED_VALUE"""),672.85)</f>
        <v>672.85</v>
      </c>
      <c r="C97" s="16">
        <f>IFERROR(__xludf.DUMMYFUNCTION("""COMPUTED_VALUE"""),45880.6458333333)</f>
        <v>45880.6458333333</v>
      </c>
      <c r="D97" s="17">
        <f>IFERROR(__xludf.DUMMYFUNCTION("""COMPUTED_VALUE"""),673.75)</f>
        <v>673.75</v>
      </c>
      <c r="E97" s="16">
        <f>IFERROR(__xludf.DUMMYFUNCTION("""COMPUTED_VALUE"""),45880.6458333333)</f>
        <v>45880.6458333333</v>
      </c>
      <c r="F97" s="17">
        <f>IFERROR(__xludf.DUMMYFUNCTION("""COMPUTED_VALUE"""),3235082)</f>
        <v>3235082</v>
      </c>
      <c r="G97" s="16">
        <f>IFERROR(__xludf.DUMMYFUNCTION("""COMPUTED_VALUE"""),45880.6458333333)</f>
        <v>45880.6458333333</v>
      </c>
      <c r="H97" s="17">
        <f>IFERROR(__xludf.DUMMYFUNCTION("""COMPUTED_VALUE"""),683.45)</f>
        <v>683.45</v>
      </c>
      <c r="I97" s="16">
        <f>IFERROR(__xludf.DUMMYFUNCTION("""COMPUTED_VALUE"""),45880.6458333333)</f>
        <v>45880.6458333333</v>
      </c>
      <c r="J97" s="17">
        <f>IFERROR(__xludf.DUMMYFUNCTION("""COMPUTED_VALUE"""),667.25)</f>
        <v>667.25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IFERROR(__xludf.DUMMYFUNCTION("""COMPUTED_VALUE"""),667.05)</f>
        <v>667.05</v>
      </c>
      <c r="C98" s="16">
        <f>IFERROR(__xludf.DUMMYFUNCTION("""COMPUTED_VALUE"""),45881.6458333333)</f>
        <v>45881.6458333333</v>
      </c>
      <c r="D98" s="17">
        <f>IFERROR(__xludf.DUMMYFUNCTION("""COMPUTED_VALUE"""),658)</f>
        <v>658</v>
      </c>
      <c r="E98" s="16">
        <f>IFERROR(__xludf.DUMMYFUNCTION("""COMPUTED_VALUE"""),45881.6458333333)</f>
        <v>45881.6458333333</v>
      </c>
      <c r="F98" s="17">
        <f>IFERROR(__xludf.DUMMYFUNCTION("""COMPUTED_VALUE"""),12238878)</f>
        <v>12238878</v>
      </c>
      <c r="G98" s="16">
        <f>IFERROR(__xludf.DUMMYFUNCTION("""COMPUTED_VALUE"""),45881.6458333333)</f>
        <v>45881.6458333333</v>
      </c>
      <c r="H98" s="17">
        <f>IFERROR(__xludf.DUMMYFUNCTION("""COMPUTED_VALUE"""),677.75)</f>
        <v>677.75</v>
      </c>
      <c r="I98" s="16">
        <f>IFERROR(__xludf.DUMMYFUNCTION("""COMPUTED_VALUE"""),45881.6458333333)</f>
        <v>45881.6458333333</v>
      </c>
      <c r="J98" s="17">
        <f>IFERROR(__xludf.DUMMYFUNCTION("""COMPUTED_VALUE"""),657.5)</f>
        <v>657.5</v>
      </c>
      <c r="K98" s="3">
        <f t="shared" si="2"/>
        <v>0</v>
      </c>
      <c r="L98" s="3">
        <f t="shared" si="3"/>
        <v>667.05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IFERROR(__xludf.DUMMYFUNCTION("""COMPUTED_VALUE"""),700.5)</f>
        <v>700.5</v>
      </c>
      <c r="C99" s="16">
        <f>IFERROR(__xludf.DUMMYFUNCTION("""COMPUTED_VALUE"""),45882.6458333333)</f>
        <v>45882.6458333333</v>
      </c>
      <c r="D99" s="17">
        <f>IFERROR(__xludf.DUMMYFUNCTION("""COMPUTED_VALUE"""),673)</f>
        <v>673</v>
      </c>
      <c r="E99" s="16">
        <f>IFERROR(__xludf.DUMMYFUNCTION("""COMPUTED_VALUE"""),45882.6458333333)</f>
        <v>45882.6458333333</v>
      </c>
      <c r="F99" s="17">
        <f>IFERROR(__xludf.DUMMYFUNCTION("""COMPUTED_VALUE"""),13151356)</f>
        <v>13151356</v>
      </c>
      <c r="G99" s="16">
        <f>IFERROR(__xludf.DUMMYFUNCTION("""COMPUTED_VALUE"""),45882.6458333333)</f>
        <v>45882.6458333333</v>
      </c>
      <c r="H99" s="17">
        <f>IFERROR(__xludf.DUMMYFUNCTION("""COMPUTED_VALUE"""),704.95)</f>
        <v>704.95</v>
      </c>
      <c r="I99" s="16">
        <f>IFERROR(__xludf.DUMMYFUNCTION("""COMPUTED_VALUE"""),45882.6458333333)</f>
        <v>45882.6458333333</v>
      </c>
      <c r="J99" s="17">
        <f>IFERROR(__xludf.DUMMYFUNCTION("""COMPUTED_VALUE"""),670.95)</f>
        <v>670.95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IFERROR(__xludf.DUMMYFUNCTION("""COMPUTED_VALUE"""),695.25)</f>
        <v>695.25</v>
      </c>
      <c r="C100" s="16">
        <f>IFERROR(__xludf.DUMMYFUNCTION("""COMPUTED_VALUE"""),45883.6458333333)</f>
        <v>45883.6458333333</v>
      </c>
      <c r="D100" s="17">
        <f>IFERROR(__xludf.DUMMYFUNCTION("""COMPUTED_VALUE"""),701)</f>
        <v>701</v>
      </c>
      <c r="E100" s="16">
        <f>IFERROR(__xludf.DUMMYFUNCTION("""COMPUTED_VALUE"""),45883.6458333333)</f>
        <v>45883.6458333333</v>
      </c>
      <c r="F100" s="17">
        <f>IFERROR(__xludf.DUMMYFUNCTION("""COMPUTED_VALUE"""),4179259)</f>
        <v>4179259</v>
      </c>
      <c r="G100" s="16">
        <f>IFERROR(__xludf.DUMMYFUNCTION("""COMPUTED_VALUE"""),45883.6458333333)</f>
        <v>45883.6458333333</v>
      </c>
      <c r="H100" s="17">
        <f>IFERROR(__xludf.DUMMYFUNCTION("""COMPUTED_VALUE"""),702.35)</f>
        <v>702.35</v>
      </c>
      <c r="I100" s="16">
        <f>IFERROR(__xludf.DUMMYFUNCTION("""COMPUTED_VALUE"""),45883.6458333333)</f>
        <v>45883.6458333333</v>
      </c>
      <c r="J100" s="17">
        <f>IFERROR(__xludf.DUMMYFUNCTION("""COMPUTED_VALUE"""),688)</f>
        <v>688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IFERROR(__xludf.DUMMYFUNCTION("""COMPUTED_VALUE"""),714.15)</f>
        <v>714.15</v>
      </c>
      <c r="C101" s="16">
        <f>IFERROR(__xludf.DUMMYFUNCTION("""COMPUTED_VALUE"""),45887.6458333333)</f>
        <v>45887.6458333333</v>
      </c>
      <c r="D101" s="17">
        <f>IFERROR(__xludf.DUMMYFUNCTION("""COMPUTED_VALUE"""),700)</f>
        <v>700</v>
      </c>
      <c r="E101" s="16">
        <f>IFERROR(__xludf.DUMMYFUNCTION("""COMPUTED_VALUE"""),45887.6458333333)</f>
        <v>45887.6458333333</v>
      </c>
      <c r="F101" s="17">
        <f>IFERROR(__xludf.DUMMYFUNCTION("""COMPUTED_VALUE"""),7211389)</f>
        <v>7211389</v>
      </c>
      <c r="G101" s="16">
        <f>IFERROR(__xludf.DUMMYFUNCTION("""COMPUTED_VALUE"""),45887.6458333333)</f>
        <v>45887.6458333333</v>
      </c>
      <c r="H101" s="17">
        <f>IFERROR(__xludf.DUMMYFUNCTION("""COMPUTED_VALUE"""),719)</f>
        <v>719</v>
      </c>
      <c r="I101" s="16">
        <f>IFERROR(__xludf.DUMMYFUNCTION("""COMPUTED_VALUE"""),45887.6458333333)</f>
        <v>45887.6458333333</v>
      </c>
      <c r="J101" s="17">
        <f>IFERROR(__xludf.DUMMYFUNCTION("""COMPUTED_VALUE"""),697.1)</f>
        <v>697.1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IFERROR(__xludf.DUMMYFUNCTION("""COMPUTED_VALUE"""),706.7)</f>
        <v>706.7</v>
      </c>
      <c r="C102" s="16">
        <f>IFERROR(__xludf.DUMMYFUNCTION("""COMPUTED_VALUE"""),45888.6458333333)</f>
        <v>45888.6458333333</v>
      </c>
      <c r="D102" s="17">
        <f>IFERROR(__xludf.DUMMYFUNCTION("""COMPUTED_VALUE"""),714)</f>
        <v>714</v>
      </c>
      <c r="E102" s="16">
        <f>IFERROR(__xludf.DUMMYFUNCTION("""COMPUTED_VALUE"""),45888.6458333333)</f>
        <v>45888.6458333333</v>
      </c>
      <c r="F102" s="17">
        <f>IFERROR(__xludf.DUMMYFUNCTION("""COMPUTED_VALUE"""),5641195)</f>
        <v>5641195</v>
      </c>
      <c r="G102" s="16">
        <f>IFERROR(__xludf.DUMMYFUNCTION("""COMPUTED_VALUE"""),45888.6458333333)</f>
        <v>45888.6458333333</v>
      </c>
      <c r="H102" s="17">
        <f>IFERROR(__xludf.DUMMYFUNCTION("""COMPUTED_VALUE"""),715.15)</f>
        <v>715.15</v>
      </c>
      <c r="I102" s="16">
        <f>IFERROR(__xludf.DUMMYFUNCTION("""COMPUTED_VALUE"""),45888.6458333333)</f>
        <v>45888.6458333333</v>
      </c>
      <c r="J102" s="17">
        <f>IFERROR(__xludf.DUMMYFUNCTION("""COMPUTED_VALUE"""),705.55)</f>
        <v>705.55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IFERROR(__xludf.DUMMYFUNCTION("""COMPUTED_VALUE"""),700.85)</f>
        <v>700.85</v>
      </c>
      <c r="C103" s="16">
        <f>IFERROR(__xludf.DUMMYFUNCTION("""COMPUTED_VALUE"""),45889.6458333333)</f>
        <v>45889.6458333333</v>
      </c>
      <c r="D103" s="17">
        <f>IFERROR(__xludf.DUMMYFUNCTION("""COMPUTED_VALUE"""),701)</f>
        <v>701</v>
      </c>
      <c r="E103" s="16">
        <f>IFERROR(__xludf.DUMMYFUNCTION("""COMPUTED_VALUE"""),45889.6458333333)</f>
        <v>45889.6458333333</v>
      </c>
      <c r="F103" s="17">
        <f>IFERROR(__xludf.DUMMYFUNCTION("""COMPUTED_VALUE"""),5358070)</f>
        <v>5358070</v>
      </c>
      <c r="G103" s="16">
        <f>IFERROR(__xludf.DUMMYFUNCTION("""COMPUTED_VALUE"""),45889.6458333333)</f>
        <v>45889.6458333333</v>
      </c>
      <c r="H103" s="17">
        <f>IFERROR(__xludf.DUMMYFUNCTION("""COMPUTED_VALUE"""),705.9)</f>
        <v>705.9</v>
      </c>
      <c r="I103" s="16">
        <f>IFERROR(__xludf.DUMMYFUNCTION("""COMPUTED_VALUE"""),45889.6458333333)</f>
        <v>45889.6458333333</v>
      </c>
      <c r="J103" s="17">
        <f>IFERROR(__xludf.DUMMYFUNCTION("""COMPUTED_VALUE"""),698.05)</f>
        <v>698.05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IFERROR(__xludf.DUMMYFUNCTION("""COMPUTED_VALUE"""),707.3)</f>
        <v>707.3</v>
      </c>
      <c r="C104" s="16">
        <f>IFERROR(__xludf.DUMMYFUNCTION("""COMPUTED_VALUE"""),45890.6458333333)</f>
        <v>45890.6458333333</v>
      </c>
      <c r="D104" s="17">
        <f>IFERROR(__xludf.DUMMYFUNCTION("""COMPUTED_VALUE"""),701.05)</f>
        <v>701.05</v>
      </c>
      <c r="E104" s="16">
        <f>IFERROR(__xludf.DUMMYFUNCTION("""COMPUTED_VALUE"""),45890.6458333333)</f>
        <v>45890.6458333333</v>
      </c>
      <c r="F104" s="17">
        <f>IFERROR(__xludf.DUMMYFUNCTION("""COMPUTED_VALUE"""),3231092)</f>
        <v>3231092</v>
      </c>
      <c r="G104" s="16">
        <f>IFERROR(__xludf.DUMMYFUNCTION("""COMPUTED_VALUE"""),45890.6458333333)</f>
        <v>45890.6458333333</v>
      </c>
      <c r="H104" s="17">
        <f>IFERROR(__xludf.DUMMYFUNCTION("""COMPUTED_VALUE"""),709)</f>
        <v>709</v>
      </c>
      <c r="I104" s="16">
        <f>IFERROR(__xludf.DUMMYFUNCTION("""COMPUTED_VALUE"""),45890.6458333333)</f>
        <v>45890.6458333333</v>
      </c>
      <c r="J104" s="17">
        <f>IFERROR(__xludf.DUMMYFUNCTION("""COMPUTED_VALUE"""),700.5)</f>
        <v>700.5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IFERROR(__xludf.DUMMYFUNCTION("""COMPUTED_VALUE"""),704.2)</f>
        <v>704.2</v>
      </c>
      <c r="C105" s="16">
        <f>IFERROR(__xludf.DUMMYFUNCTION("""COMPUTED_VALUE"""),45891.6458333333)</f>
        <v>45891.6458333333</v>
      </c>
      <c r="D105" s="17">
        <f>IFERROR(__xludf.DUMMYFUNCTION("""COMPUTED_VALUE"""),708)</f>
        <v>708</v>
      </c>
      <c r="E105" s="16">
        <f>IFERROR(__xludf.DUMMYFUNCTION("""COMPUTED_VALUE"""),45891.6458333333)</f>
        <v>45891.6458333333</v>
      </c>
      <c r="F105" s="17">
        <f>IFERROR(__xludf.DUMMYFUNCTION("""COMPUTED_VALUE"""),5623045)</f>
        <v>5623045</v>
      </c>
      <c r="G105" s="16">
        <f>IFERROR(__xludf.DUMMYFUNCTION("""COMPUTED_VALUE"""),45891.6458333333)</f>
        <v>45891.6458333333</v>
      </c>
      <c r="H105" s="17">
        <f>IFERROR(__xludf.DUMMYFUNCTION("""COMPUTED_VALUE"""),709.6)</f>
        <v>709.6</v>
      </c>
      <c r="I105" s="16">
        <f>IFERROR(__xludf.DUMMYFUNCTION("""COMPUTED_VALUE"""),45891.6458333333)</f>
        <v>45891.6458333333</v>
      </c>
      <c r="J105" s="17">
        <f>IFERROR(__xludf.DUMMYFUNCTION("""COMPUTED_VALUE"""),701.55)</f>
        <v>701.55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IFERROR(__xludf.DUMMYFUNCTION("""COMPUTED_VALUE"""),715.85)</f>
        <v>715.85</v>
      </c>
      <c r="C106" s="16">
        <f>IFERROR(__xludf.DUMMYFUNCTION("""COMPUTED_VALUE"""),45894.6458333333)</f>
        <v>45894.6458333333</v>
      </c>
      <c r="D106" s="17">
        <f>IFERROR(__xludf.DUMMYFUNCTION("""COMPUTED_VALUE"""),708)</f>
        <v>708</v>
      </c>
      <c r="E106" s="16">
        <f>IFERROR(__xludf.DUMMYFUNCTION("""COMPUTED_VALUE"""),45894.6458333333)</f>
        <v>45894.6458333333</v>
      </c>
      <c r="F106" s="17">
        <f>IFERROR(__xludf.DUMMYFUNCTION("""COMPUTED_VALUE"""),4539337)</f>
        <v>4539337</v>
      </c>
      <c r="G106" s="16">
        <f>IFERROR(__xludf.DUMMYFUNCTION("""COMPUTED_VALUE"""),45894.6458333333)</f>
        <v>45894.6458333333</v>
      </c>
      <c r="H106" s="17">
        <f>IFERROR(__xludf.DUMMYFUNCTION("""COMPUTED_VALUE"""),720.9)</f>
        <v>720.9</v>
      </c>
      <c r="I106" s="16">
        <f>IFERROR(__xludf.DUMMYFUNCTION("""COMPUTED_VALUE"""),45894.6458333333)</f>
        <v>45894.6458333333</v>
      </c>
      <c r="J106" s="17">
        <f>IFERROR(__xludf.DUMMYFUNCTION("""COMPUTED_VALUE"""),707.55)</f>
        <v>707.55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IFERROR(__xludf.DUMMYFUNCTION("""COMPUTED_VALUE"""),705.7)</f>
        <v>705.7</v>
      </c>
      <c r="C107" s="16">
        <f>IFERROR(__xludf.DUMMYFUNCTION("""COMPUTED_VALUE"""),45895.6458333333)</f>
        <v>45895.6458333333</v>
      </c>
      <c r="D107" s="17">
        <f>IFERROR(__xludf.DUMMYFUNCTION("""COMPUTED_VALUE"""),714)</f>
        <v>714</v>
      </c>
      <c r="E107" s="16">
        <f>IFERROR(__xludf.DUMMYFUNCTION("""COMPUTED_VALUE"""),45895.6458333333)</f>
        <v>45895.6458333333</v>
      </c>
      <c r="F107" s="17">
        <f>IFERROR(__xludf.DUMMYFUNCTION("""COMPUTED_VALUE"""),5229246)</f>
        <v>5229246</v>
      </c>
      <c r="G107" s="16">
        <f>IFERROR(__xludf.DUMMYFUNCTION("""COMPUTED_VALUE"""),45895.6458333333)</f>
        <v>45895.6458333333</v>
      </c>
      <c r="H107" s="17">
        <f>IFERROR(__xludf.DUMMYFUNCTION("""COMPUTED_VALUE"""),714)</f>
        <v>714</v>
      </c>
      <c r="I107" s="16">
        <f>IFERROR(__xludf.DUMMYFUNCTION("""COMPUTED_VALUE"""),45895.6458333333)</f>
        <v>45895.6458333333</v>
      </c>
      <c r="J107" s="17">
        <f>IFERROR(__xludf.DUMMYFUNCTION("""COMPUTED_VALUE"""),701.25)</f>
        <v>701.25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IFERROR(__xludf.DUMMYFUNCTION("""COMPUTED_VALUE"""),701.4)</f>
        <v>701.4</v>
      </c>
      <c r="C108" s="16">
        <f>IFERROR(__xludf.DUMMYFUNCTION("""COMPUTED_VALUE"""),45897.6458333333)</f>
        <v>45897.6458333333</v>
      </c>
      <c r="D108" s="17">
        <f>IFERROR(__xludf.DUMMYFUNCTION("""COMPUTED_VALUE"""),700.8)</f>
        <v>700.8</v>
      </c>
      <c r="E108" s="16">
        <f>IFERROR(__xludf.DUMMYFUNCTION("""COMPUTED_VALUE"""),45897.6458333333)</f>
        <v>45897.6458333333</v>
      </c>
      <c r="F108" s="17">
        <f>IFERROR(__xludf.DUMMYFUNCTION("""COMPUTED_VALUE"""),5620555)</f>
        <v>5620555</v>
      </c>
      <c r="G108" s="16">
        <f>IFERROR(__xludf.DUMMYFUNCTION("""COMPUTED_VALUE"""),45897.6458333333)</f>
        <v>45897.6458333333</v>
      </c>
      <c r="H108" s="17">
        <f>IFERROR(__xludf.DUMMYFUNCTION("""COMPUTED_VALUE"""),707)</f>
        <v>707</v>
      </c>
      <c r="I108" s="16">
        <f>IFERROR(__xludf.DUMMYFUNCTION("""COMPUTED_VALUE"""),45897.6458333333)</f>
        <v>45897.6458333333</v>
      </c>
      <c r="J108" s="17">
        <f>IFERROR(__xludf.DUMMYFUNCTION("""COMPUTED_VALUE"""),698.1)</f>
        <v>698.1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IFERROR(__xludf.DUMMYFUNCTION("""COMPUTED_VALUE"""),703.95)</f>
        <v>703.95</v>
      </c>
      <c r="C109" s="16">
        <f>IFERROR(__xludf.DUMMYFUNCTION("""COMPUTED_VALUE"""),45898.6458333333)</f>
        <v>45898.6458333333</v>
      </c>
      <c r="D109" s="17">
        <f>IFERROR(__xludf.DUMMYFUNCTION("""COMPUTED_VALUE"""),701)</f>
        <v>701</v>
      </c>
      <c r="E109" s="16">
        <f>IFERROR(__xludf.DUMMYFUNCTION("""COMPUTED_VALUE"""),45898.6458333333)</f>
        <v>45898.6458333333</v>
      </c>
      <c r="F109" s="17">
        <f>IFERROR(__xludf.DUMMYFUNCTION("""COMPUTED_VALUE"""),5335149)</f>
        <v>5335149</v>
      </c>
      <c r="G109" s="16">
        <f>IFERROR(__xludf.DUMMYFUNCTION("""COMPUTED_VALUE"""),45898.6458333333)</f>
        <v>45898.6458333333</v>
      </c>
      <c r="H109" s="17">
        <f>IFERROR(__xludf.DUMMYFUNCTION("""COMPUTED_VALUE"""),708.75)</f>
        <v>708.75</v>
      </c>
      <c r="I109" s="16">
        <f>IFERROR(__xludf.DUMMYFUNCTION("""COMPUTED_VALUE"""),45898.6458333333)</f>
        <v>45898.6458333333</v>
      </c>
      <c r="J109" s="17">
        <f>IFERROR(__xludf.DUMMYFUNCTION("""COMPUTED_VALUE"""),697)</f>
        <v>697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IFERROR(__xludf.DUMMYFUNCTION("""COMPUTED_VALUE"""),719.6)</f>
        <v>719.6</v>
      </c>
      <c r="C110" s="16">
        <f>IFERROR(__xludf.DUMMYFUNCTION("""COMPUTED_VALUE"""),45901.6458333333)</f>
        <v>45901.6458333333</v>
      </c>
      <c r="D110" s="17">
        <f>IFERROR(__xludf.DUMMYFUNCTION("""COMPUTED_VALUE"""),704.5)</f>
        <v>704.5</v>
      </c>
      <c r="E110" s="16">
        <f>IFERROR(__xludf.DUMMYFUNCTION("""COMPUTED_VALUE"""),45901.6458333333)</f>
        <v>45901.6458333333</v>
      </c>
      <c r="F110" s="17">
        <f>IFERROR(__xludf.DUMMYFUNCTION("""COMPUTED_VALUE"""),3771744)</f>
        <v>3771744</v>
      </c>
      <c r="G110" s="16">
        <f>IFERROR(__xludf.DUMMYFUNCTION("""COMPUTED_VALUE"""),45901.6458333333)</f>
        <v>45901.6458333333</v>
      </c>
      <c r="H110" s="17">
        <f>IFERROR(__xludf.DUMMYFUNCTION("""COMPUTED_VALUE"""),721)</f>
        <v>721</v>
      </c>
      <c r="I110" s="16">
        <f>IFERROR(__xludf.DUMMYFUNCTION("""COMPUTED_VALUE"""),45901.6458333333)</f>
        <v>45901.6458333333</v>
      </c>
      <c r="J110" s="17">
        <f>IFERROR(__xludf.DUMMYFUNCTION("""COMPUTED_VALUE"""),702.4)</f>
        <v>702.4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IFERROR(__xludf.DUMMYFUNCTION("""COMPUTED_VALUE"""),720.95)</f>
        <v>720.95</v>
      </c>
      <c r="C111" s="16">
        <f>IFERROR(__xludf.DUMMYFUNCTION("""COMPUTED_VALUE"""),45902.6458333333)</f>
        <v>45902.6458333333</v>
      </c>
      <c r="D111" s="17">
        <f>IFERROR(__xludf.DUMMYFUNCTION("""COMPUTED_VALUE"""),720)</f>
        <v>720</v>
      </c>
      <c r="E111" s="16">
        <f>IFERROR(__xludf.DUMMYFUNCTION("""COMPUTED_VALUE"""),45902.6458333333)</f>
        <v>45902.6458333333</v>
      </c>
      <c r="F111" s="17">
        <f>IFERROR(__xludf.DUMMYFUNCTION("""COMPUTED_VALUE"""),4660894)</f>
        <v>4660894</v>
      </c>
      <c r="G111" s="16">
        <f>IFERROR(__xludf.DUMMYFUNCTION("""COMPUTED_VALUE"""),45902.6458333333)</f>
        <v>45902.6458333333</v>
      </c>
      <c r="H111" s="17">
        <f>IFERROR(__xludf.DUMMYFUNCTION("""COMPUTED_VALUE"""),726.1)</f>
        <v>726.1</v>
      </c>
      <c r="I111" s="16">
        <f>IFERROR(__xludf.DUMMYFUNCTION("""COMPUTED_VALUE"""),45902.6458333333)</f>
        <v>45902.6458333333</v>
      </c>
      <c r="J111" s="17">
        <f>IFERROR(__xludf.DUMMYFUNCTION("""COMPUTED_VALUE"""),714.2)</f>
        <v>714.2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IFERROR(__xludf.DUMMYFUNCTION("""COMPUTED_VALUE"""),742.95)</f>
        <v>742.95</v>
      </c>
      <c r="C112" s="16">
        <f>IFERROR(__xludf.DUMMYFUNCTION("""COMPUTED_VALUE"""),45903.6458333333)</f>
        <v>45903.6458333333</v>
      </c>
      <c r="D112" s="17">
        <f>IFERROR(__xludf.DUMMYFUNCTION("""COMPUTED_VALUE"""),725)</f>
        <v>725</v>
      </c>
      <c r="E112" s="16">
        <f>IFERROR(__xludf.DUMMYFUNCTION("""COMPUTED_VALUE"""),45903.6458333333)</f>
        <v>45903.6458333333</v>
      </c>
      <c r="F112" s="17">
        <f>IFERROR(__xludf.DUMMYFUNCTION("""COMPUTED_VALUE"""),8986550)</f>
        <v>8986550</v>
      </c>
      <c r="G112" s="16">
        <f>IFERROR(__xludf.DUMMYFUNCTION("""COMPUTED_VALUE"""),45903.6458333333)</f>
        <v>45903.6458333333</v>
      </c>
      <c r="H112" s="17">
        <f>IFERROR(__xludf.DUMMYFUNCTION("""COMPUTED_VALUE"""),744)</f>
        <v>744</v>
      </c>
      <c r="I112" s="16">
        <f>IFERROR(__xludf.DUMMYFUNCTION("""COMPUTED_VALUE"""),45903.6458333333)</f>
        <v>45903.6458333333</v>
      </c>
      <c r="J112" s="17">
        <f>IFERROR(__xludf.DUMMYFUNCTION("""COMPUTED_VALUE"""),723.1)</f>
        <v>723.1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IFERROR(__xludf.DUMMYFUNCTION("""COMPUTED_VALUE"""),739.05)</f>
        <v>739.05</v>
      </c>
      <c r="C113" s="16">
        <f>IFERROR(__xludf.DUMMYFUNCTION("""COMPUTED_VALUE"""),45904.6458333333)</f>
        <v>45904.6458333333</v>
      </c>
      <c r="D113" s="17">
        <f>IFERROR(__xludf.DUMMYFUNCTION("""COMPUTED_VALUE"""),744.05)</f>
        <v>744.05</v>
      </c>
      <c r="E113" s="16">
        <f>IFERROR(__xludf.DUMMYFUNCTION("""COMPUTED_VALUE"""),45904.6458333333)</f>
        <v>45904.6458333333</v>
      </c>
      <c r="F113" s="17">
        <f>IFERROR(__xludf.DUMMYFUNCTION("""COMPUTED_VALUE"""),3763325)</f>
        <v>3763325</v>
      </c>
      <c r="G113" s="16">
        <f>IFERROR(__xludf.DUMMYFUNCTION("""COMPUTED_VALUE"""),45904.6458333333)</f>
        <v>45904.6458333333</v>
      </c>
      <c r="H113" s="17">
        <f>IFERROR(__xludf.DUMMYFUNCTION("""COMPUTED_VALUE"""),745)</f>
        <v>745</v>
      </c>
      <c r="I113" s="16">
        <f>IFERROR(__xludf.DUMMYFUNCTION("""COMPUTED_VALUE"""),45904.6458333333)</f>
        <v>45904.6458333333</v>
      </c>
      <c r="J113" s="17">
        <f>IFERROR(__xludf.DUMMYFUNCTION("""COMPUTED_VALUE"""),737.2)</f>
        <v>737.2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IFERROR(__xludf.DUMMYFUNCTION("""COMPUTED_VALUE"""),743.8)</f>
        <v>743.8</v>
      </c>
      <c r="C114" s="16">
        <f>IFERROR(__xludf.DUMMYFUNCTION("""COMPUTED_VALUE"""),45905.6458333333)</f>
        <v>45905.6458333333</v>
      </c>
      <c r="D114" s="17">
        <f>IFERROR(__xludf.DUMMYFUNCTION("""COMPUTED_VALUE"""),738)</f>
        <v>738</v>
      </c>
      <c r="E114" s="16">
        <f>IFERROR(__xludf.DUMMYFUNCTION("""COMPUTED_VALUE"""),45905.6458333333)</f>
        <v>45905.6458333333</v>
      </c>
      <c r="F114" s="17">
        <f>IFERROR(__xludf.DUMMYFUNCTION("""COMPUTED_VALUE"""),2778157)</f>
        <v>2778157</v>
      </c>
      <c r="G114" s="16">
        <f>IFERROR(__xludf.DUMMYFUNCTION("""COMPUTED_VALUE"""),45905.6458333333)</f>
        <v>45905.6458333333</v>
      </c>
      <c r="H114" s="17">
        <f>IFERROR(__xludf.DUMMYFUNCTION("""COMPUTED_VALUE"""),746.65)</f>
        <v>746.65</v>
      </c>
      <c r="I114" s="16">
        <f>IFERROR(__xludf.DUMMYFUNCTION("""COMPUTED_VALUE"""),45905.6458333333)</f>
        <v>45905.6458333333</v>
      </c>
      <c r="J114" s="17">
        <f>IFERROR(__xludf.DUMMYFUNCTION("""COMPUTED_VALUE"""),738)</f>
        <v>738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IFERROR(__xludf.DUMMYFUNCTION("""COMPUTED_VALUE"""),738.75)</f>
        <v>738.75</v>
      </c>
      <c r="C115" s="16">
        <f>IFERROR(__xludf.DUMMYFUNCTION("""COMPUTED_VALUE"""),45908.6458333333)</f>
        <v>45908.6458333333</v>
      </c>
      <c r="D115" s="17">
        <f>IFERROR(__xludf.DUMMYFUNCTION("""COMPUTED_VALUE"""),745)</f>
        <v>745</v>
      </c>
      <c r="E115" s="16">
        <f>IFERROR(__xludf.DUMMYFUNCTION("""COMPUTED_VALUE"""),45908.6458333333)</f>
        <v>45908.6458333333</v>
      </c>
      <c r="F115" s="17">
        <f>IFERROR(__xludf.DUMMYFUNCTION("""COMPUTED_VALUE"""),2703395)</f>
        <v>2703395</v>
      </c>
      <c r="G115" s="16">
        <f>IFERROR(__xludf.DUMMYFUNCTION("""COMPUTED_VALUE"""),45908.6458333333)</f>
        <v>45908.6458333333</v>
      </c>
      <c r="H115" s="17">
        <f>IFERROR(__xludf.DUMMYFUNCTION("""COMPUTED_VALUE"""),749.85)</f>
        <v>749.85</v>
      </c>
      <c r="I115" s="16">
        <f>IFERROR(__xludf.DUMMYFUNCTION("""COMPUTED_VALUE"""),45908.6458333333)</f>
        <v>45908.6458333333</v>
      </c>
      <c r="J115" s="17">
        <f>IFERROR(__xludf.DUMMYFUNCTION("""COMPUTED_VALUE"""),737.4)</f>
        <v>737.4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IFERROR(__xludf.DUMMYFUNCTION("""COMPUTED_VALUE"""),742.9)</f>
        <v>742.9</v>
      </c>
      <c r="C116" s="16">
        <f>IFERROR(__xludf.DUMMYFUNCTION("""COMPUTED_VALUE"""),45909.6458333333)</f>
        <v>45909.6458333333</v>
      </c>
      <c r="D116" s="17">
        <f>IFERROR(__xludf.DUMMYFUNCTION("""COMPUTED_VALUE"""),740.7)</f>
        <v>740.7</v>
      </c>
      <c r="E116" s="16">
        <f>IFERROR(__xludf.DUMMYFUNCTION("""COMPUTED_VALUE"""),45909.6458333333)</f>
        <v>45909.6458333333</v>
      </c>
      <c r="F116" s="17">
        <f>IFERROR(__xludf.DUMMYFUNCTION("""COMPUTED_VALUE"""),3393363)</f>
        <v>3393363</v>
      </c>
      <c r="G116" s="16">
        <f>IFERROR(__xludf.DUMMYFUNCTION("""COMPUTED_VALUE"""),45909.6458333333)</f>
        <v>45909.6458333333</v>
      </c>
      <c r="H116" s="17">
        <f>IFERROR(__xludf.DUMMYFUNCTION("""COMPUTED_VALUE"""),750.55)</f>
        <v>750.55</v>
      </c>
      <c r="I116" s="16">
        <f>IFERROR(__xludf.DUMMYFUNCTION("""COMPUTED_VALUE"""),45909.6458333333)</f>
        <v>45909.6458333333</v>
      </c>
      <c r="J116" s="17">
        <f>IFERROR(__xludf.DUMMYFUNCTION("""COMPUTED_VALUE"""),739)</f>
        <v>739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IFERROR(__xludf.DUMMYFUNCTION("""COMPUTED_VALUE"""),743.15)</f>
        <v>743.15</v>
      </c>
      <c r="C117" s="16">
        <f>IFERROR(__xludf.DUMMYFUNCTION("""COMPUTED_VALUE"""),45910.6458333333)</f>
        <v>45910.6458333333</v>
      </c>
      <c r="D117" s="17">
        <f>IFERROR(__xludf.DUMMYFUNCTION("""COMPUTED_VALUE"""),745)</f>
        <v>745</v>
      </c>
      <c r="E117" s="16">
        <f>IFERROR(__xludf.DUMMYFUNCTION("""COMPUTED_VALUE"""),45910.6458333333)</f>
        <v>45910.6458333333</v>
      </c>
      <c r="F117" s="17">
        <f>IFERROR(__xludf.DUMMYFUNCTION("""COMPUTED_VALUE"""),3351988)</f>
        <v>3351988</v>
      </c>
      <c r="G117" s="16">
        <f>IFERROR(__xludf.DUMMYFUNCTION("""COMPUTED_VALUE"""),45910.6458333333)</f>
        <v>45910.6458333333</v>
      </c>
      <c r="H117" s="17">
        <f>IFERROR(__xludf.DUMMYFUNCTION("""COMPUTED_VALUE"""),749.8)</f>
        <v>749.8</v>
      </c>
      <c r="I117" s="16">
        <f>IFERROR(__xludf.DUMMYFUNCTION("""COMPUTED_VALUE"""),45910.6458333333)</f>
        <v>45910.6458333333</v>
      </c>
      <c r="J117" s="17">
        <f>IFERROR(__xludf.DUMMYFUNCTION("""COMPUTED_VALUE"""),741.05)</f>
        <v>741.05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IFERROR(__xludf.DUMMYFUNCTION("""COMPUTED_VALUE"""),742.65)</f>
        <v>742.65</v>
      </c>
      <c r="C118" s="16">
        <f>IFERROR(__xludf.DUMMYFUNCTION("""COMPUTED_VALUE"""),45911.6458333333)</f>
        <v>45911.6458333333</v>
      </c>
      <c r="D118" s="17">
        <f>IFERROR(__xludf.DUMMYFUNCTION("""COMPUTED_VALUE"""),742)</f>
        <v>742</v>
      </c>
      <c r="E118" s="16">
        <f>IFERROR(__xludf.DUMMYFUNCTION("""COMPUTED_VALUE"""),45911.6458333333)</f>
        <v>45911.6458333333</v>
      </c>
      <c r="F118" s="17">
        <f>IFERROR(__xludf.DUMMYFUNCTION("""COMPUTED_VALUE"""),3756027)</f>
        <v>3756027</v>
      </c>
      <c r="G118" s="16">
        <f>IFERROR(__xludf.DUMMYFUNCTION("""COMPUTED_VALUE"""),45911.6458333333)</f>
        <v>45911.6458333333</v>
      </c>
      <c r="H118" s="17">
        <f>IFERROR(__xludf.DUMMYFUNCTION("""COMPUTED_VALUE"""),747.95)</f>
        <v>747.95</v>
      </c>
      <c r="I118" s="16">
        <f>IFERROR(__xludf.DUMMYFUNCTION("""COMPUTED_VALUE"""),45911.6458333333)</f>
        <v>45911.6458333333</v>
      </c>
      <c r="J118" s="17">
        <f>IFERROR(__xludf.DUMMYFUNCTION("""COMPUTED_VALUE"""),738)</f>
        <v>738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IFERROR(__xludf.DUMMYFUNCTION("""COMPUTED_VALUE"""),758.05)</f>
        <v>758.05</v>
      </c>
      <c r="C119" s="16">
        <f>IFERROR(__xludf.DUMMYFUNCTION("""COMPUTED_VALUE"""),45912.6458333333)</f>
        <v>45912.6458333333</v>
      </c>
      <c r="D119" s="17">
        <f>IFERROR(__xludf.DUMMYFUNCTION("""COMPUTED_VALUE"""),748.9)</f>
        <v>748.9</v>
      </c>
      <c r="E119" s="16">
        <f>IFERROR(__xludf.DUMMYFUNCTION("""COMPUTED_VALUE"""),45912.6458333333)</f>
        <v>45912.6458333333</v>
      </c>
      <c r="F119" s="17">
        <f>IFERROR(__xludf.DUMMYFUNCTION("""COMPUTED_VALUE"""),5698959)</f>
        <v>5698959</v>
      </c>
      <c r="G119" s="16">
        <f>IFERROR(__xludf.DUMMYFUNCTION("""COMPUTED_VALUE"""),45912.6458333333)</f>
        <v>45912.6458333333</v>
      </c>
      <c r="H119" s="17">
        <f>IFERROR(__xludf.DUMMYFUNCTION("""COMPUTED_VALUE"""),759.6)</f>
        <v>759.6</v>
      </c>
      <c r="I119" s="16">
        <f>IFERROR(__xludf.DUMMYFUNCTION("""COMPUTED_VALUE"""),45912.6458333333)</f>
        <v>45912.6458333333</v>
      </c>
      <c r="J119" s="17">
        <f>IFERROR(__xludf.DUMMYFUNCTION("""COMPUTED_VALUE"""),745.15)</f>
        <v>745.15</v>
      </c>
      <c r="K119" s="3">
        <f t="shared" si="2"/>
        <v>758.05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IFERROR(__xludf.DUMMYFUNCTION("""COMPUTED_VALUE"""),753.65)</f>
        <v>753.65</v>
      </c>
      <c r="C120" s="16">
        <f>IFERROR(__xludf.DUMMYFUNCTION("""COMPUTED_VALUE"""),45915.6458333333)</f>
        <v>45915.6458333333</v>
      </c>
      <c r="D120" s="17">
        <f>IFERROR(__xludf.DUMMYFUNCTION("""COMPUTED_VALUE"""),758.15)</f>
        <v>758.15</v>
      </c>
      <c r="E120" s="16">
        <f>IFERROR(__xludf.DUMMYFUNCTION("""COMPUTED_VALUE"""),45915.6458333333)</f>
        <v>45915.6458333333</v>
      </c>
      <c r="F120" s="17">
        <f>IFERROR(__xludf.DUMMYFUNCTION("""COMPUTED_VALUE"""),2554957)</f>
        <v>2554957</v>
      </c>
      <c r="G120" s="16">
        <f>IFERROR(__xludf.DUMMYFUNCTION("""COMPUTED_VALUE"""),45915.6458333333)</f>
        <v>45915.6458333333</v>
      </c>
      <c r="H120" s="17">
        <f>IFERROR(__xludf.DUMMYFUNCTION("""COMPUTED_VALUE"""),763.4)</f>
        <v>763.4</v>
      </c>
      <c r="I120" s="16">
        <f>IFERROR(__xludf.DUMMYFUNCTION("""COMPUTED_VALUE"""),45915.6458333333)</f>
        <v>45915.6458333333</v>
      </c>
      <c r="J120" s="17">
        <f>IFERROR(__xludf.DUMMYFUNCTION("""COMPUTED_VALUE"""),752.6)</f>
        <v>752.6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IFERROR(__xludf.DUMMYFUNCTION("""COMPUTED_VALUE"""),755.95)</f>
        <v>755.95</v>
      </c>
      <c r="C121" s="16">
        <f>IFERROR(__xludf.DUMMYFUNCTION("""COMPUTED_VALUE"""),45916.6458333333)</f>
        <v>45916.6458333333</v>
      </c>
      <c r="D121" s="17">
        <f>IFERROR(__xludf.DUMMYFUNCTION("""COMPUTED_VALUE"""),754.4)</f>
        <v>754.4</v>
      </c>
      <c r="E121" s="16">
        <f>IFERROR(__xludf.DUMMYFUNCTION("""COMPUTED_VALUE"""),45916.6458333333)</f>
        <v>45916.6458333333</v>
      </c>
      <c r="F121" s="17">
        <f>IFERROR(__xludf.DUMMYFUNCTION("""COMPUTED_VALUE"""),2662690)</f>
        <v>2662690</v>
      </c>
      <c r="G121" s="16">
        <f>IFERROR(__xludf.DUMMYFUNCTION("""COMPUTED_VALUE"""),45916.6458333333)</f>
        <v>45916.6458333333</v>
      </c>
      <c r="H121" s="17">
        <f>IFERROR(__xludf.DUMMYFUNCTION("""COMPUTED_VALUE"""),757.3)</f>
        <v>757.3</v>
      </c>
      <c r="I121" s="16">
        <f>IFERROR(__xludf.DUMMYFUNCTION("""COMPUTED_VALUE"""),45916.6458333333)</f>
        <v>45916.6458333333</v>
      </c>
      <c r="J121" s="17">
        <f>IFERROR(__xludf.DUMMYFUNCTION("""COMPUTED_VALUE"""),749.15)</f>
        <v>749.15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IFERROR(__xludf.DUMMYFUNCTION("""COMPUTED_VALUE"""),750.1)</f>
        <v>750.1</v>
      </c>
      <c r="C122" s="16">
        <f>IFERROR(__xludf.DUMMYFUNCTION("""COMPUTED_VALUE"""),45917.6458333333)</f>
        <v>45917.6458333333</v>
      </c>
      <c r="D122" s="17">
        <f>IFERROR(__xludf.DUMMYFUNCTION("""COMPUTED_VALUE"""),756)</f>
        <v>756</v>
      </c>
      <c r="E122" s="16">
        <f>IFERROR(__xludf.DUMMYFUNCTION("""COMPUTED_VALUE"""),45917.6458333333)</f>
        <v>45917.6458333333</v>
      </c>
      <c r="F122" s="17">
        <f>IFERROR(__xludf.DUMMYFUNCTION("""COMPUTED_VALUE"""),4182521)</f>
        <v>4182521</v>
      </c>
      <c r="G122" s="16">
        <f>IFERROR(__xludf.DUMMYFUNCTION("""COMPUTED_VALUE"""),45917.6458333333)</f>
        <v>45917.6458333333</v>
      </c>
      <c r="H122" s="17">
        <f>IFERROR(__xludf.DUMMYFUNCTION("""COMPUTED_VALUE"""),759.7)</f>
        <v>759.7</v>
      </c>
      <c r="I122" s="16">
        <f>IFERROR(__xludf.DUMMYFUNCTION("""COMPUTED_VALUE"""),45917.6458333333)</f>
        <v>45917.6458333333</v>
      </c>
      <c r="J122" s="17">
        <f>IFERROR(__xludf.DUMMYFUNCTION("""COMPUTED_VALUE"""),744.4)</f>
        <v>744.4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IFERROR(__xludf.DUMMYFUNCTION("""COMPUTED_VALUE"""),750.15)</f>
        <v>750.15</v>
      </c>
      <c r="C123" s="16">
        <f>IFERROR(__xludf.DUMMYFUNCTION("""COMPUTED_VALUE"""),45918.6458333333)</f>
        <v>45918.6458333333</v>
      </c>
      <c r="D123" s="17">
        <f>IFERROR(__xludf.DUMMYFUNCTION("""COMPUTED_VALUE"""),746.35)</f>
        <v>746.35</v>
      </c>
      <c r="E123" s="16">
        <f>IFERROR(__xludf.DUMMYFUNCTION("""COMPUTED_VALUE"""),45918.6458333333)</f>
        <v>45918.6458333333</v>
      </c>
      <c r="F123" s="17">
        <f>IFERROR(__xludf.DUMMYFUNCTION("""COMPUTED_VALUE"""),4915450)</f>
        <v>4915450</v>
      </c>
      <c r="G123" s="16">
        <f>IFERROR(__xludf.DUMMYFUNCTION("""COMPUTED_VALUE"""),45918.6458333333)</f>
        <v>45918.6458333333</v>
      </c>
      <c r="H123" s="17">
        <f>IFERROR(__xludf.DUMMYFUNCTION("""COMPUTED_VALUE"""),751.45)</f>
        <v>751.45</v>
      </c>
      <c r="I123" s="16">
        <f>IFERROR(__xludf.DUMMYFUNCTION("""COMPUTED_VALUE"""),45918.6458333333)</f>
        <v>45918.6458333333</v>
      </c>
      <c r="J123" s="17">
        <f>IFERROR(__xludf.DUMMYFUNCTION("""COMPUTED_VALUE"""),736.25)</f>
        <v>736.25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IFERROR(__xludf.DUMMYFUNCTION("""COMPUTED_VALUE"""),743.3)</f>
        <v>743.3</v>
      </c>
      <c r="C124" s="16">
        <f>IFERROR(__xludf.DUMMYFUNCTION("""COMPUTED_VALUE"""),45919.6458333333)</f>
        <v>45919.6458333333</v>
      </c>
      <c r="D124" s="17">
        <f>IFERROR(__xludf.DUMMYFUNCTION("""COMPUTED_VALUE"""),752)</f>
        <v>752</v>
      </c>
      <c r="E124" s="16">
        <f>IFERROR(__xludf.DUMMYFUNCTION("""COMPUTED_VALUE"""),45919.6458333333)</f>
        <v>45919.6458333333</v>
      </c>
      <c r="F124" s="17">
        <f>IFERROR(__xludf.DUMMYFUNCTION("""COMPUTED_VALUE"""),5132517)</f>
        <v>5132517</v>
      </c>
      <c r="G124" s="16">
        <f>IFERROR(__xludf.DUMMYFUNCTION("""COMPUTED_VALUE"""),45919.6458333333)</f>
        <v>45919.6458333333</v>
      </c>
      <c r="H124" s="17">
        <f>IFERROR(__xludf.DUMMYFUNCTION("""COMPUTED_VALUE"""),756.8)</f>
        <v>756.8</v>
      </c>
      <c r="I124" s="16">
        <f>IFERROR(__xludf.DUMMYFUNCTION("""COMPUTED_VALUE"""),45919.6458333333)</f>
        <v>45919.6458333333</v>
      </c>
      <c r="J124" s="17">
        <f>IFERROR(__xludf.DUMMYFUNCTION("""COMPUTED_VALUE"""),739)</f>
        <v>739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IFERROR(__xludf.DUMMYFUNCTION("""COMPUTED_VALUE"""),745.7)</f>
        <v>745.7</v>
      </c>
      <c r="C125" s="16">
        <f>IFERROR(__xludf.DUMMYFUNCTION("""COMPUTED_VALUE"""),45922.6458333333)</f>
        <v>45922.6458333333</v>
      </c>
      <c r="D125" s="17">
        <f>IFERROR(__xludf.DUMMYFUNCTION("""COMPUTED_VALUE"""),743.3)</f>
        <v>743.3</v>
      </c>
      <c r="E125" s="16">
        <f>IFERROR(__xludf.DUMMYFUNCTION("""COMPUTED_VALUE"""),45922.6458333333)</f>
        <v>45922.6458333333</v>
      </c>
      <c r="F125" s="17">
        <f>IFERROR(__xludf.DUMMYFUNCTION("""COMPUTED_VALUE"""),2232330)</f>
        <v>2232330</v>
      </c>
      <c r="G125" s="16">
        <f>IFERROR(__xludf.DUMMYFUNCTION("""COMPUTED_VALUE"""),45922.6458333333)</f>
        <v>45922.6458333333</v>
      </c>
      <c r="H125" s="17">
        <f>IFERROR(__xludf.DUMMYFUNCTION("""COMPUTED_VALUE"""),752.5)</f>
        <v>752.5</v>
      </c>
      <c r="I125" s="16">
        <f>IFERROR(__xludf.DUMMYFUNCTION("""COMPUTED_VALUE"""),45922.6458333333)</f>
        <v>45922.6458333333</v>
      </c>
      <c r="J125" s="17">
        <f>IFERROR(__xludf.DUMMYFUNCTION("""COMPUTED_VALUE"""),741.55)</f>
        <v>741.55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IFERROR(__xludf.DUMMYFUNCTION("""COMPUTED_VALUE"""),745.9)</f>
        <v>745.9</v>
      </c>
      <c r="C126" s="16">
        <f>IFERROR(__xludf.DUMMYFUNCTION("""COMPUTED_VALUE"""),45923.6458333333)</f>
        <v>45923.6458333333</v>
      </c>
      <c r="D126" s="17">
        <f>IFERROR(__xludf.DUMMYFUNCTION("""COMPUTED_VALUE"""),745)</f>
        <v>745</v>
      </c>
      <c r="E126" s="16">
        <f>IFERROR(__xludf.DUMMYFUNCTION("""COMPUTED_VALUE"""),45923.6458333333)</f>
        <v>45923.6458333333</v>
      </c>
      <c r="F126" s="17">
        <f>IFERROR(__xludf.DUMMYFUNCTION("""COMPUTED_VALUE"""),3783529)</f>
        <v>3783529</v>
      </c>
      <c r="G126" s="16">
        <f>IFERROR(__xludf.DUMMYFUNCTION("""COMPUTED_VALUE"""),45923.6458333333)</f>
        <v>45923.6458333333</v>
      </c>
      <c r="H126" s="17">
        <f>IFERROR(__xludf.DUMMYFUNCTION("""COMPUTED_VALUE"""),752.25)</f>
        <v>752.25</v>
      </c>
      <c r="I126" s="16">
        <f>IFERROR(__xludf.DUMMYFUNCTION("""COMPUTED_VALUE"""),45923.6458333333)</f>
        <v>45923.6458333333</v>
      </c>
      <c r="J126" s="17">
        <f>IFERROR(__xludf.DUMMYFUNCTION("""COMPUTED_VALUE"""),739.65)</f>
        <v>739.65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IFERROR(__xludf.DUMMYFUNCTION("""COMPUTED_VALUE"""),741.05)</f>
        <v>741.05</v>
      </c>
      <c r="C127" s="16">
        <f>IFERROR(__xludf.DUMMYFUNCTION("""COMPUTED_VALUE"""),45924.6458333333)</f>
        <v>45924.6458333333</v>
      </c>
      <c r="D127" s="17">
        <f>IFERROR(__xludf.DUMMYFUNCTION("""COMPUTED_VALUE"""),744)</f>
        <v>744</v>
      </c>
      <c r="E127" s="16">
        <f>IFERROR(__xludf.DUMMYFUNCTION("""COMPUTED_VALUE"""),45924.6458333333)</f>
        <v>45924.6458333333</v>
      </c>
      <c r="F127" s="17">
        <f>IFERROR(__xludf.DUMMYFUNCTION("""COMPUTED_VALUE"""),2415165)</f>
        <v>2415165</v>
      </c>
      <c r="G127" s="16">
        <f>IFERROR(__xludf.DUMMYFUNCTION("""COMPUTED_VALUE"""),45924.6458333333)</f>
        <v>45924.6458333333</v>
      </c>
      <c r="H127" s="17">
        <f>IFERROR(__xludf.DUMMYFUNCTION("""COMPUTED_VALUE"""),748.95)</f>
        <v>748.95</v>
      </c>
      <c r="I127" s="16">
        <f>IFERROR(__xludf.DUMMYFUNCTION("""COMPUTED_VALUE"""),45924.6458333333)</f>
        <v>45924.6458333333</v>
      </c>
      <c r="J127" s="17">
        <f>IFERROR(__xludf.DUMMYFUNCTION("""COMPUTED_VALUE"""),737.7)</f>
        <v>737.7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IFERROR(__xludf.DUMMYFUNCTION("""COMPUTED_VALUE"""),745.65)</f>
        <v>745.65</v>
      </c>
      <c r="C128" s="16">
        <f>IFERROR(__xludf.DUMMYFUNCTION("""COMPUTED_VALUE"""),45925.6458333333)</f>
        <v>45925.6458333333</v>
      </c>
      <c r="D128" s="17">
        <f>IFERROR(__xludf.DUMMYFUNCTION("""COMPUTED_VALUE"""),746)</f>
        <v>746</v>
      </c>
      <c r="E128" s="16">
        <f>IFERROR(__xludf.DUMMYFUNCTION("""COMPUTED_VALUE"""),45925.6458333333)</f>
        <v>45925.6458333333</v>
      </c>
      <c r="F128" s="17">
        <f>IFERROR(__xludf.DUMMYFUNCTION("""COMPUTED_VALUE"""),4702510)</f>
        <v>4702510</v>
      </c>
      <c r="G128" s="16">
        <f>IFERROR(__xludf.DUMMYFUNCTION("""COMPUTED_VALUE"""),45925.6458333333)</f>
        <v>45925.6458333333</v>
      </c>
      <c r="H128" s="17">
        <f>IFERROR(__xludf.DUMMYFUNCTION("""COMPUTED_VALUE"""),769.1)</f>
        <v>769.1</v>
      </c>
      <c r="I128" s="16">
        <f>IFERROR(__xludf.DUMMYFUNCTION("""COMPUTED_VALUE"""),45925.6458333333)</f>
        <v>45925.6458333333</v>
      </c>
      <c r="J128" s="17">
        <f>IFERROR(__xludf.DUMMYFUNCTION("""COMPUTED_VALUE"""),740.05)</f>
        <v>740.05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IFERROR(__xludf.DUMMYFUNCTION("""COMPUTED_VALUE"""),743.85)</f>
        <v>743.85</v>
      </c>
      <c r="C129" s="47">
        <f>IFERROR(__xludf.DUMMYFUNCTION("""COMPUTED_VALUE"""),45926.6458333333)</f>
        <v>45926.6458333333</v>
      </c>
      <c r="D129" s="48">
        <f>IFERROR(__xludf.DUMMYFUNCTION("""COMPUTED_VALUE"""),745.9)</f>
        <v>745.9</v>
      </c>
      <c r="E129" s="47">
        <f>IFERROR(__xludf.DUMMYFUNCTION("""COMPUTED_VALUE"""),45926.6458333333)</f>
        <v>45926.6458333333</v>
      </c>
      <c r="F129" s="48">
        <f>IFERROR(__xludf.DUMMYFUNCTION("""COMPUTED_VALUE"""),3636265)</f>
        <v>3636265</v>
      </c>
      <c r="G129" s="47">
        <f>IFERROR(__xludf.DUMMYFUNCTION("""COMPUTED_VALUE"""),45926.6458333333)</f>
        <v>45926.6458333333</v>
      </c>
      <c r="H129" s="48">
        <f>IFERROR(__xludf.DUMMYFUNCTION("""COMPUTED_VALUE"""),749.5)</f>
        <v>749.5</v>
      </c>
      <c r="I129" s="47">
        <f>IFERROR(__xludf.DUMMYFUNCTION("""COMPUTED_VALUE"""),45926.6458333333)</f>
        <v>45926.6458333333</v>
      </c>
      <c r="J129" s="48">
        <f>IFERROR(__xludf.DUMMYFUNCTION("""COMPUTED_VALUE"""),731.95)</f>
        <v>731.95</v>
      </c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cols>
    <col min="12" max="12" width="17.5" customWidth="1"/>
    <col min="13" max="13" width="16.2545454545455" customWidth="1"/>
    <col min="17" max="17" width="17.1272727272727" customWidth="1"/>
  </cols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52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""price"")"),2512)</f>
        <v>2512</v>
      </c>
      <c r="I3" s="22" t="s">
        <v>269</v>
      </c>
      <c r="J3" s="23">
        <f>IFERROR(__xludf.DUMMYFUNCTION("GOOGLEFINANCE(L3, ""volume"")"),885612)</f>
        <v>885612</v>
      </c>
      <c r="K3" s="24" t="s">
        <v>270</v>
      </c>
      <c r="L3" s="25" t="str">
        <f>Mastersheet!B22</f>
        <v>NSE:HINDUNILVR</v>
      </c>
      <c r="M3" s="26">
        <f>IFERROR(__xludf.DUMMYFUNCTION("""COMPUTED_VALUE"""),45926.6458333333)</f>
        <v>45926.6458333333</v>
      </c>
      <c r="N3" s="27">
        <f>IFERROR(__xludf.DUMMYFUNCTION("""COMPUTED_VALUE"""),2511.8)</f>
        <v>2511.8</v>
      </c>
      <c r="O3" s="26">
        <f>IFERROR(__xludf.DUMMYFUNCTION("""COMPUTED_VALUE"""),45926.6458333333)</f>
        <v>45926.6458333333</v>
      </c>
      <c r="P3" s="27">
        <f>IFERROR(__xludf.DUMMYFUNCTION("""COMPUTED_VALUE"""),2535)</f>
        <v>2535</v>
      </c>
      <c r="Q3" s="16">
        <f>IFERROR(__xludf.DUMMYFUNCTION("""COMPUTED_VALUE"""),45926.6458333333)</f>
        <v>45926.6458333333</v>
      </c>
      <c r="R3" s="17">
        <f>IFERROR(__xludf.DUMMYFUNCTION("""COMPUTED_VALUE"""),2545.4)</f>
        <v>2545.4</v>
      </c>
      <c r="S3" s="16">
        <f>IFERROR(__xludf.DUMMYFUNCTION("""COMPUTED_VALUE"""),45926.6458333333)</f>
        <v>45926.6458333333</v>
      </c>
      <c r="T3" s="17">
        <f>IFERROR(__xludf.DUMMYFUNCTION("""COMPUTED_VALUE"""),2499.4)</f>
        <v>2499.4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IFERROR(__xludf.DUMMYFUNCTION("""COMPUTED_VALUE"""),2244.65)</f>
        <v>2244.65</v>
      </c>
      <c r="C5" s="14">
        <f>IFERROR(__xludf.DUMMYFUNCTION("""COMPUTED_VALUE"""),45743.6458333333)</f>
        <v>45743.6458333333</v>
      </c>
      <c r="D5" s="15">
        <f>IFERROR(__xludf.DUMMYFUNCTION("""COMPUTED_VALUE"""),2244.2)</f>
        <v>2244.2</v>
      </c>
      <c r="E5" s="14">
        <f>IFERROR(__xludf.DUMMYFUNCTION("""COMPUTED_VALUE"""),45743.6458333333)</f>
        <v>45743.6458333333</v>
      </c>
      <c r="F5" s="15">
        <f>IFERROR(__xludf.DUMMYFUNCTION("""COMPUTED_VALUE"""),3752627)</f>
        <v>3752627</v>
      </c>
      <c r="G5" s="14">
        <f>IFERROR(__xludf.DUMMYFUNCTION("""COMPUTED_VALUE"""),45743.6458333333)</f>
        <v>45743.6458333333</v>
      </c>
      <c r="H5" s="15">
        <f>IFERROR(__xludf.DUMMYFUNCTION("""COMPUTED_VALUE"""),2260.9)</f>
        <v>2260.9</v>
      </c>
      <c r="I5" s="30">
        <f>IFERROR(__xludf.DUMMYFUNCTION("""COMPUTED_VALUE"""),45743.6458333333)</f>
        <v>45743.6458333333</v>
      </c>
      <c r="J5" s="3">
        <f>IFERROR(__xludf.DUMMYFUNCTION("""COMPUTED_VALUE"""),2200)</f>
        <v>2200</v>
      </c>
      <c r="K5" s="5"/>
      <c r="L5" s="5"/>
      <c r="M5" s="3">
        <f t="array" ref="M5">INDEX(K11:K124,MATCH(SMALL(ABS(K11:K124-H3),1),ABS(K11:K124-H3),0))</f>
        <v>2526.9</v>
      </c>
      <c r="N5" s="3">
        <f t="array" ref="N5">INDEX(K11:K124,MATCH(SMALL(ABS(K11:K124-H3),2),ABS(K11:K124-H3),0))</f>
        <v>2553.7</v>
      </c>
      <c r="O5" s="3">
        <f t="array" ref="O5">INDEX(L11:L124,MATCH(SMALL(ABS(L11:L124-H3),1),ABS(L11:L124-H3),0))</f>
        <v>2480.6</v>
      </c>
      <c r="P5" s="3">
        <f t="array" ref="P5">INDEX(L11:L124,MATCH(SMALL(ABS(L11:L124-H3),2),ABS(L11:L124-H3),0))</f>
        <v>2415.4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2348.6</v>
      </c>
      <c r="T5" s="17">
        <f ca="1">IF(AND(H3&gt;=Mastersheet!I3*S5,H3&lt;=Mastersheet!J3*S5),1,0)</f>
        <v>1</v>
      </c>
      <c r="U5" s="36">
        <f>(N3+P3)/2</f>
        <v>2523.4</v>
      </c>
      <c r="V5" s="17">
        <f>(N3+P3+R3+T3)/4</f>
        <v>2522.9</v>
      </c>
      <c r="W5" s="17">
        <f>IF(V5&gt;U5,1,0)</f>
        <v>0</v>
      </c>
      <c r="X5" s="17">
        <f>IF(V5&gt;U5,0,1)</f>
        <v>1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IFERROR(__xludf.DUMMYFUNCTION("""COMPUTED_VALUE"""),2258.85)</f>
        <v>2258.85</v>
      </c>
      <c r="C6" s="16">
        <f>IFERROR(__xludf.DUMMYFUNCTION("""COMPUTED_VALUE"""),45744.6458333333)</f>
        <v>45744.6458333333</v>
      </c>
      <c r="D6" s="17">
        <f>IFERROR(__xludf.DUMMYFUNCTION("""COMPUTED_VALUE"""),2247)</f>
        <v>2247</v>
      </c>
      <c r="E6" s="16">
        <f>IFERROR(__xludf.DUMMYFUNCTION("""COMPUTED_VALUE"""),45744.6458333333)</f>
        <v>45744.6458333333</v>
      </c>
      <c r="F6" s="17">
        <f>IFERROR(__xludf.DUMMYFUNCTION("""COMPUTED_VALUE"""),2280152)</f>
        <v>2280152</v>
      </c>
      <c r="G6" s="16">
        <f>IFERROR(__xludf.DUMMYFUNCTION("""COMPUTED_VALUE"""),45744.6458333333)</f>
        <v>45744.6458333333</v>
      </c>
      <c r="H6" s="17">
        <f>IFERROR(__xludf.DUMMYFUNCTION("""COMPUTED_VALUE"""),2296)</f>
        <v>2296</v>
      </c>
      <c r="I6" s="16">
        <f>IFERROR(__xludf.DUMMYFUNCTION("""COMPUTED_VALUE"""),45744.6458333333)</f>
        <v>45744.6458333333</v>
      </c>
      <c r="J6" s="17">
        <f>IFERROR(__xludf.DUMMYFUNCTION("""COMPUTED_VALUE"""),2240.3)</f>
        <v>2240.3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1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IFERROR(__xludf.DUMMYFUNCTION("""COMPUTED_VALUE"""),2233.85)</f>
        <v>2233.85</v>
      </c>
      <c r="C7" s="16">
        <f>IFERROR(__xludf.DUMMYFUNCTION("""COMPUTED_VALUE"""),45748.6458333333)</f>
        <v>45748.6458333333</v>
      </c>
      <c r="D7" s="17">
        <f>IFERROR(__xludf.DUMMYFUNCTION("""COMPUTED_VALUE"""),2259)</f>
        <v>2259</v>
      </c>
      <c r="E7" s="16">
        <f>IFERROR(__xludf.DUMMYFUNCTION("""COMPUTED_VALUE"""),45748.6458333333)</f>
        <v>45748.6458333333</v>
      </c>
      <c r="F7" s="17">
        <f>IFERROR(__xludf.DUMMYFUNCTION("""COMPUTED_VALUE"""),2495962)</f>
        <v>2495962</v>
      </c>
      <c r="G7" s="16">
        <f>IFERROR(__xludf.DUMMYFUNCTION("""COMPUTED_VALUE"""),45748.6458333333)</f>
        <v>45748.6458333333</v>
      </c>
      <c r="H7" s="17">
        <f>IFERROR(__xludf.DUMMYFUNCTION("""COMPUTED_VALUE"""),2284.65)</f>
        <v>2284.65</v>
      </c>
      <c r="I7" s="16">
        <f>IFERROR(__xludf.DUMMYFUNCTION("""COMPUTED_VALUE"""),45748.6458333333)</f>
        <v>45748.6458333333</v>
      </c>
      <c r="J7" s="17">
        <f>IFERROR(__xludf.DUMMYFUNCTION("""COMPUTED_VALUE"""),2220)</f>
        <v>2220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IFERROR(__xludf.DUMMYFUNCTION("""COMPUTED_VALUE"""),2237.9)</f>
        <v>2237.9</v>
      </c>
      <c r="C8" s="16">
        <f>IFERROR(__xludf.DUMMYFUNCTION("""COMPUTED_VALUE"""),45749.6458333333)</f>
        <v>45749.6458333333</v>
      </c>
      <c r="D8" s="17">
        <f>IFERROR(__xludf.DUMMYFUNCTION("""COMPUTED_VALUE"""),2243.7)</f>
        <v>2243.7</v>
      </c>
      <c r="E8" s="16">
        <f>IFERROR(__xludf.DUMMYFUNCTION("""COMPUTED_VALUE"""),45749.6458333333)</f>
        <v>45749.6458333333</v>
      </c>
      <c r="F8" s="17">
        <f>IFERROR(__xludf.DUMMYFUNCTION("""COMPUTED_VALUE"""),1351493)</f>
        <v>1351493</v>
      </c>
      <c r="G8" s="16">
        <f>IFERROR(__xludf.DUMMYFUNCTION("""COMPUTED_VALUE"""),45749.6458333333)</f>
        <v>45749.6458333333</v>
      </c>
      <c r="H8" s="17">
        <f>IFERROR(__xludf.DUMMYFUNCTION("""COMPUTED_VALUE"""),2243.7)</f>
        <v>2243.7</v>
      </c>
      <c r="I8" s="16">
        <f>IFERROR(__xludf.DUMMYFUNCTION("""COMPUTED_VALUE"""),45749.6458333333)</f>
        <v>45749.6458333333</v>
      </c>
      <c r="J8" s="17">
        <f>IFERROR(__xludf.DUMMYFUNCTION("""COMPUTED_VALUE"""),2190.05)</f>
        <v>2190.05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IFERROR(__xludf.DUMMYFUNCTION("""COMPUTED_VALUE"""),2244.55)</f>
        <v>2244.55</v>
      </c>
      <c r="C9" s="16">
        <f>IFERROR(__xludf.DUMMYFUNCTION("""COMPUTED_VALUE"""),45750.6458333333)</f>
        <v>45750.6458333333</v>
      </c>
      <c r="D9" s="17">
        <f>IFERROR(__xludf.DUMMYFUNCTION("""COMPUTED_VALUE"""),2225.45)</f>
        <v>2225.45</v>
      </c>
      <c r="E9" s="16">
        <f>IFERROR(__xludf.DUMMYFUNCTION("""COMPUTED_VALUE"""),45750.6458333333)</f>
        <v>45750.6458333333</v>
      </c>
      <c r="F9" s="17">
        <f>IFERROR(__xludf.DUMMYFUNCTION("""COMPUTED_VALUE"""),1310088)</f>
        <v>1310088</v>
      </c>
      <c r="G9" s="16">
        <f>IFERROR(__xludf.DUMMYFUNCTION("""COMPUTED_VALUE"""),45750.6458333333)</f>
        <v>45750.6458333333</v>
      </c>
      <c r="H9" s="17">
        <f>IFERROR(__xludf.DUMMYFUNCTION("""COMPUTED_VALUE"""),2252.9)</f>
        <v>2252.9</v>
      </c>
      <c r="I9" s="16">
        <f>IFERROR(__xludf.DUMMYFUNCTION("""COMPUTED_VALUE"""),45750.6458333333)</f>
        <v>45750.6458333333</v>
      </c>
      <c r="J9" s="17">
        <f>IFERROR(__xludf.DUMMYFUNCTION("""COMPUTED_VALUE"""),2220.6)</f>
        <v>2220.6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IFERROR(__xludf.DUMMYFUNCTION("""COMPUTED_VALUE"""),2244.55)</f>
        <v>2244.55</v>
      </c>
      <c r="C10" s="16">
        <f>IFERROR(__xludf.DUMMYFUNCTION("""COMPUTED_VALUE"""),45751.6458333333)</f>
        <v>45751.6458333333</v>
      </c>
      <c r="D10" s="17">
        <f>IFERROR(__xludf.DUMMYFUNCTION("""COMPUTED_VALUE"""),2230)</f>
        <v>2230</v>
      </c>
      <c r="E10" s="16">
        <f>IFERROR(__xludf.DUMMYFUNCTION("""COMPUTED_VALUE"""),45751.6458333333)</f>
        <v>45751.6458333333</v>
      </c>
      <c r="F10" s="17">
        <f>IFERROR(__xludf.DUMMYFUNCTION("""COMPUTED_VALUE"""),1120226)</f>
        <v>1120226</v>
      </c>
      <c r="G10" s="16">
        <f>IFERROR(__xludf.DUMMYFUNCTION("""COMPUTED_VALUE"""),45751.6458333333)</f>
        <v>45751.6458333333</v>
      </c>
      <c r="H10" s="17">
        <f>IFERROR(__xludf.DUMMYFUNCTION("""COMPUTED_VALUE"""),2267.05)</f>
        <v>2267.05</v>
      </c>
      <c r="I10" s="16">
        <f>IFERROR(__xludf.DUMMYFUNCTION("""COMPUTED_VALUE"""),45751.6458333333)</f>
        <v>45751.6458333333</v>
      </c>
      <c r="J10" s="17">
        <f>IFERROR(__xludf.DUMMYFUNCTION("""COMPUTED_VALUE"""),2222)</f>
        <v>2222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IFERROR(__xludf.DUMMYFUNCTION("""COMPUTED_VALUE"""),2249.4)</f>
        <v>2249.4</v>
      </c>
      <c r="C11" s="16">
        <f>IFERROR(__xludf.DUMMYFUNCTION("""COMPUTED_VALUE"""),45754.6458333333)</f>
        <v>45754.6458333333</v>
      </c>
      <c r="D11" s="17">
        <f>IFERROR(__xludf.DUMMYFUNCTION("""COMPUTED_VALUE"""),2150)</f>
        <v>2150</v>
      </c>
      <c r="E11" s="16">
        <f>IFERROR(__xludf.DUMMYFUNCTION("""COMPUTED_VALUE"""),45754.6458333333)</f>
        <v>45754.6458333333</v>
      </c>
      <c r="F11" s="17">
        <f>IFERROR(__xludf.DUMMYFUNCTION("""COMPUTED_VALUE"""),3435185)</f>
        <v>3435185</v>
      </c>
      <c r="G11" s="16">
        <f>IFERROR(__xludf.DUMMYFUNCTION("""COMPUTED_VALUE"""),45754.6458333333)</f>
        <v>45754.6458333333</v>
      </c>
      <c r="H11" s="17">
        <f>IFERROR(__xludf.DUMMYFUNCTION("""COMPUTED_VALUE"""),2261.6)</f>
        <v>2261.6</v>
      </c>
      <c r="I11" s="16">
        <f>IFERROR(__xludf.DUMMYFUNCTION("""COMPUTED_VALUE"""),45754.6458333333)</f>
        <v>45754.6458333333</v>
      </c>
      <c r="J11" s="17">
        <f>IFERROR(__xludf.DUMMYFUNCTION("""COMPUTED_VALUE"""),2150)</f>
        <v>2150</v>
      </c>
      <c r="K11" s="3">
        <f t="shared" ref="K11:K125" si="2">IF(B11=MAX(B5:B17),B11,0)</f>
        <v>0</v>
      </c>
      <c r="L11" s="3">
        <f t="shared" ref="L11:L125" si="3">IF(B11=MIN(B5:B17),B11,0)</f>
        <v>0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IFERROR(__xludf.DUMMYFUNCTION("""COMPUTED_VALUE"""),2289.25)</f>
        <v>2289.25</v>
      </c>
      <c r="C12" s="16">
        <f>IFERROR(__xludf.DUMMYFUNCTION("""COMPUTED_VALUE"""),45755.6458333333)</f>
        <v>45755.6458333333</v>
      </c>
      <c r="D12" s="17">
        <f>IFERROR(__xludf.DUMMYFUNCTION("""COMPUTED_VALUE"""),2268.3)</f>
        <v>2268.3</v>
      </c>
      <c r="E12" s="16">
        <f>IFERROR(__xludf.DUMMYFUNCTION("""COMPUTED_VALUE"""),45755.6458333333)</f>
        <v>45755.6458333333</v>
      </c>
      <c r="F12" s="17">
        <f>IFERROR(__xludf.DUMMYFUNCTION("""COMPUTED_VALUE"""),2774874)</f>
        <v>2774874</v>
      </c>
      <c r="G12" s="16">
        <f>IFERROR(__xludf.DUMMYFUNCTION("""COMPUTED_VALUE"""),45755.6458333333)</f>
        <v>45755.6458333333</v>
      </c>
      <c r="H12" s="17">
        <f>IFERROR(__xludf.DUMMYFUNCTION("""COMPUTED_VALUE"""),2306.2)</f>
        <v>2306.2</v>
      </c>
      <c r="I12" s="16">
        <f>IFERROR(__xludf.DUMMYFUNCTION("""COMPUTED_VALUE"""),45755.6458333333)</f>
        <v>45755.6458333333</v>
      </c>
      <c r="J12" s="17">
        <f>IFERROR(__xludf.DUMMYFUNCTION("""COMPUTED_VALUE"""),2252.35)</f>
        <v>2252.35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IFERROR(__xludf.DUMMYFUNCTION("""COMPUTED_VALUE"""),2350)</f>
        <v>2350</v>
      </c>
      <c r="C13" s="16">
        <f>IFERROR(__xludf.DUMMYFUNCTION("""COMPUTED_VALUE"""),45756.6458333333)</f>
        <v>45756.6458333333</v>
      </c>
      <c r="D13" s="17">
        <f>IFERROR(__xludf.DUMMYFUNCTION("""COMPUTED_VALUE"""),2293.95)</f>
        <v>2293.95</v>
      </c>
      <c r="E13" s="16">
        <f>IFERROR(__xludf.DUMMYFUNCTION("""COMPUTED_VALUE"""),45756.6458333333)</f>
        <v>45756.6458333333</v>
      </c>
      <c r="F13" s="17">
        <f>IFERROR(__xludf.DUMMYFUNCTION("""COMPUTED_VALUE"""),2989089)</f>
        <v>2989089</v>
      </c>
      <c r="G13" s="16">
        <f>IFERROR(__xludf.DUMMYFUNCTION("""COMPUTED_VALUE"""),45756.6458333333)</f>
        <v>45756.6458333333</v>
      </c>
      <c r="H13" s="17">
        <f>IFERROR(__xludf.DUMMYFUNCTION("""COMPUTED_VALUE"""),2354.15)</f>
        <v>2354.15</v>
      </c>
      <c r="I13" s="16">
        <f>IFERROR(__xludf.DUMMYFUNCTION("""COMPUTED_VALUE"""),45756.6458333333)</f>
        <v>45756.6458333333</v>
      </c>
      <c r="J13" s="17">
        <f>IFERROR(__xludf.DUMMYFUNCTION("""COMPUTED_VALUE"""),2289.5)</f>
        <v>2289.5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IFERROR(__xludf.DUMMYFUNCTION("""COMPUTED_VALUE"""),2366.15)</f>
        <v>2366.15</v>
      </c>
      <c r="C14" s="16">
        <f>IFERROR(__xludf.DUMMYFUNCTION("""COMPUTED_VALUE"""),45758.6458333333)</f>
        <v>45758.6458333333</v>
      </c>
      <c r="D14" s="17">
        <f>IFERROR(__xludf.DUMMYFUNCTION("""COMPUTED_VALUE"""),2394.6)</f>
        <v>2394.6</v>
      </c>
      <c r="E14" s="16">
        <f>IFERROR(__xludf.DUMMYFUNCTION("""COMPUTED_VALUE"""),45758.6458333333)</f>
        <v>45758.6458333333</v>
      </c>
      <c r="F14" s="17">
        <f>IFERROR(__xludf.DUMMYFUNCTION("""COMPUTED_VALUE"""),3836083)</f>
        <v>3836083</v>
      </c>
      <c r="G14" s="16">
        <f>IFERROR(__xludf.DUMMYFUNCTION("""COMPUTED_VALUE"""),45758.6458333333)</f>
        <v>45758.6458333333</v>
      </c>
      <c r="H14" s="17">
        <f>IFERROR(__xludf.DUMMYFUNCTION("""COMPUTED_VALUE"""),2394.85)</f>
        <v>2394.85</v>
      </c>
      <c r="I14" s="16">
        <f>IFERROR(__xludf.DUMMYFUNCTION("""COMPUTED_VALUE"""),45758.6458333333)</f>
        <v>45758.6458333333</v>
      </c>
      <c r="J14" s="17">
        <f>IFERROR(__xludf.DUMMYFUNCTION("""COMPUTED_VALUE"""),2344.35)</f>
        <v>2344.35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IFERROR(__xludf.DUMMYFUNCTION("""COMPUTED_VALUE"""),2361.5)</f>
        <v>2361.5</v>
      </c>
      <c r="C15" s="16">
        <f>IFERROR(__xludf.DUMMYFUNCTION("""COMPUTED_VALUE"""),45762.6458333333)</f>
        <v>45762.6458333333</v>
      </c>
      <c r="D15" s="17">
        <f>IFERROR(__xludf.DUMMYFUNCTION("""COMPUTED_VALUE"""),2400)</f>
        <v>2400</v>
      </c>
      <c r="E15" s="16">
        <f>IFERROR(__xludf.DUMMYFUNCTION("""COMPUTED_VALUE"""),45762.6458333333)</f>
        <v>45762.6458333333</v>
      </c>
      <c r="F15" s="17">
        <f>IFERROR(__xludf.DUMMYFUNCTION("""COMPUTED_VALUE"""),3042779)</f>
        <v>3042779</v>
      </c>
      <c r="G15" s="16">
        <f>IFERROR(__xludf.DUMMYFUNCTION("""COMPUTED_VALUE"""),45762.6458333333)</f>
        <v>45762.6458333333</v>
      </c>
      <c r="H15" s="17">
        <f>IFERROR(__xludf.DUMMYFUNCTION("""COMPUTED_VALUE"""),2400)</f>
        <v>2400</v>
      </c>
      <c r="I15" s="16">
        <f>IFERROR(__xludf.DUMMYFUNCTION("""COMPUTED_VALUE"""),45762.6458333333)</f>
        <v>45762.6458333333</v>
      </c>
      <c r="J15" s="17">
        <f>IFERROR(__xludf.DUMMYFUNCTION("""COMPUTED_VALUE"""),2345.2)</f>
        <v>2345.2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IFERROR(__xludf.DUMMYFUNCTION("""COMPUTED_VALUE"""),2366.6)</f>
        <v>2366.6</v>
      </c>
      <c r="C16" s="16">
        <f>IFERROR(__xludf.DUMMYFUNCTION("""COMPUTED_VALUE"""),45763.6458333333)</f>
        <v>45763.6458333333</v>
      </c>
      <c r="D16" s="17">
        <f>IFERROR(__xludf.DUMMYFUNCTION("""COMPUTED_VALUE"""),2351)</f>
        <v>2351</v>
      </c>
      <c r="E16" s="16">
        <f>IFERROR(__xludf.DUMMYFUNCTION("""COMPUTED_VALUE"""),45763.6458333333)</f>
        <v>45763.6458333333</v>
      </c>
      <c r="F16" s="17">
        <f>IFERROR(__xludf.DUMMYFUNCTION("""COMPUTED_VALUE"""),1131979)</f>
        <v>1131979</v>
      </c>
      <c r="G16" s="16">
        <f>IFERROR(__xludf.DUMMYFUNCTION("""COMPUTED_VALUE"""),45763.6458333333)</f>
        <v>45763.6458333333</v>
      </c>
      <c r="H16" s="17">
        <f>IFERROR(__xludf.DUMMYFUNCTION("""COMPUTED_VALUE"""),2376)</f>
        <v>2376</v>
      </c>
      <c r="I16" s="16">
        <f>IFERROR(__xludf.DUMMYFUNCTION("""COMPUTED_VALUE"""),45763.6458333333)</f>
        <v>45763.6458333333</v>
      </c>
      <c r="J16" s="17">
        <f>IFERROR(__xludf.DUMMYFUNCTION("""COMPUTED_VALUE"""),2351)</f>
        <v>2351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IFERROR(__xludf.DUMMYFUNCTION("""COMPUTED_VALUE"""),2375)</f>
        <v>2375</v>
      </c>
      <c r="C17" s="16">
        <f>IFERROR(__xludf.DUMMYFUNCTION("""COMPUTED_VALUE"""),45764.6458333333)</f>
        <v>45764.6458333333</v>
      </c>
      <c r="D17" s="17">
        <f>IFERROR(__xludf.DUMMYFUNCTION("""COMPUTED_VALUE"""),2357.1)</f>
        <v>2357.1</v>
      </c>
      <c r="E17" s="16">
        <f>IFERROR(__xludf.DUMMYFUNCTION("""COMPUTED_VALUE"""),45764.6458333333)</f>
        <v>45764.6458333333</v>
      </c>
      <c r="F17" s="17">
        <f>IFERROR(__xludf.DUMMYFUNCTION("""COMPUTED_VALUE"""),1962402)</f>
        <v>1962402</v>
      </c>
      <c r="G17" s="16">
        <f>IFERROR(__xludf.DUMMYFUNCTION("""COMPUTED_VALUE"""),45764.6458333333)</f>
        <v>45764.6458333333</v>
      </c>
      <c r="H17" s="17">
        <f>IFERROR(__xludf.DUMMYFUNCTION("""COMPUTED_VALUE"""),2379.9)</f>
        <v>2379.9</v>
      </c>
      <c r="I17" s="16">
        <f>IFERROR(__xludf.DUMMYFUNCTION("""COMPUTED_VALUE"""),45764.6458333333)</f>
        <v>45764.6458333333</v>
      </c>
      <c r="J17" s="17">
        <f>IFERROR(__xludf.DUMMYFUNCTION("""COMPUTED_VALUE"""),2343.1)</f>
        <v>2343.1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IFERROR(__xludf.DUMMYFUNCTION("""COMPUTED_VALUE"""),2351)</f>
        <v>2351</v>
      </c>
      <c r="C18" s="16">
        <f>IFERROR(__xludf.DUMMYFUNCTION("""COMPUTED_VALUE"""),45768.6458333333)</f>
        <v>45768.6458333333</v>
      </c>
      <c r="D18" s="17">
        <f>IFERROR(__xludf.DUMMYFUNCTION("""COMPUTED_VALUE"""),2368.1)</f>
        <v>2368.1</v>
      </c>
      <c r="E18" s="16">
        <f>IFERROR(__xludf.DUMMYFUNCTION("""COMPUTED_VALUE"""),45768.6458333333)</f>
        <v>45768.6458333333</v>
      </c>
      <c r="F18" s="17">
        <f>IFERROR(__xludf.DUMMYFUNCTION("""COMPUTED_VALUE"""),1478430)</f>
        <v>1478430</v>
      </c>
      <c r="G18" s="16">
        <f>IFERROR(__xludf.DUMMYFUNCTION("""COMPUTED_VALUE"""),45768.6458333333)</f>
        <v>45768.6458333333</v>
      </c>
      <c r="H18" s="17">
        <f>IFERROR(__xludf.DUMMYFUNCTION("""COMPUTED_VALUE"""),2372.4)</f>
        <v>2372.4</v>
      </c>
      <c r="I18" s="16">
        <f>IFERROR(__xludf.DUMMYFUNCTION("""COMPUTED_VALUE"""),45768.6458333333)</f>
        <v>45768.6458333333</v>
      </c>
      <c r="J18" s="17">
        <f>IFERROR(__xludf.DUMMYFUNCTION("""COMPUTED_VALUE"""),2348.8)</f>
        <v>2348.8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IFERROR(__xludf.DUMMYFUNCTION("""COMPUTED_VALUE"""),2398.7)</f>
        <v>2398.7</v>
      </c>
      <c r="C19" s="16">
        <f>IFERROR(__xludf.DUMMYFUNCTION("""COMPUTED_VALUE"""),45769.6458333333)</f>
        <v>45769.6458333333</v>
      </c>
      <c r="D19" s="17">
        <f>IFERROR(__xludf.DUMMYFUNCTION("""COMPUTED_VALUE"""),2370)</f>
        <v>2370</v>
      </c>
      <c r="E19" s="16">
        <f>IFERROR(__xludf.DUMMYFUNCTION("""COMPUTED_VALUE"""),45769.6458333333)</f>
        <v>45769.6458333333</v>
      </c>
      <c r="F19" s="17">
        <f>IFERROR(__xludf.DUMMYFUNCTION("""COMPUTED_VALUE"""),2352346)</f>
        <v>2352346</v>
      </c>
      <c r="G19" s="16">
        <f>IFERROR(__xludf.DUMMYFUNCTION("""COMPUTED_VALUE"""),45769.6458333333)</f>
        <v>45769.6458333333</v>
      </c>
      <c r="H19" s="17">
        <f>IFERROR(__xludf.DUMMYFUNCTION("""COMPUTED_VALUE"""),2406)</f>
        <v>2406</v>
      </c>
      <c r="I19" s="16">
        <f>IFERROR(__xludf.DUMMYFUNCTION("""COMPUTED_VALUE"""),45769.6458333333)</f>
        <v>45769.6458333333</v>
      </c>
      <c r="J19" s="17">
        <f>IFERROR(__xludf.DUMMYFUNCTION("""COMPUTED_VALUE"""),2355.1)</f>
        <v>2355.1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IFERROR(__xludf.DUMMYFUNCTION("""COMPUTED_VALUE"""),2423.8)</f>
        <v>2423.8</v>
      </c>
      <c r="C20" s="16">
        <f>IFERROR(__xludf.DUMMYFUNCTION("""COMPUTED_VALUE"""),45770.6458333333)</f>
        <v>45770.6458333333</v>
      </c>
      <c r="D20" s="17">
        <f>IFERROR(__xludf.DUMMYFUNCTION("""COMPUTED_VALUE"""),2410)</f>
        <v>2410</v>
      </c>
      <c r="E20" s="16">
        <f>IFERROR(__xludf.DUMMYFUNCTION("""COMPUTED_VALUE"""),45770.6458333333)</f>
        <v>45770.6458333333</v>
      </c>
      <c r="F20" s="17">
        <f>IFERROR(__xludf.DUMMYFUNCTION("""COMPUTED_VALUE"""),2226066)</f>
        <v>2226066</v>
      </c>
      <c r="G20" s="16">
        <f>IFERROR(__xludf.DUMMYFUNCTION("""COMPUTED_VALUE"""),45770.6458333333)</f>
        <v>45770.6458333333</v>
      </c>
      <c r="H20" s="17">
        <f>IFERROR(__xludf.DUMMYFUNCTION("""COMPUTED_VALUE"""),2438)</f>
        <v>2438</v>
      </c>
      <c r="I20" s="16">
        <f>IFERROR(__xludf.DUMMYFUNCTION("""COMPUTED_VALUE"""),45770.6458333333)</f>
        <v>45770.6458333333</v>
      </c>
      <c r="J20" s="17">
        <f>IFERROR(__xludf.DUMMYFUNCTION("""COMPUTED_VALUE"""),2393.4)</f>
        <v>2393.4</v>
      </c>
      <c r="K20" s="3">
        <f t="shared" si="2"/>
        <v>2423.8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IFERROR(__xludf.DUMMYFUNCTION("""COMPUTED_VALUE"""),2325.3)</f>
        <v>2325.3</v>
      </c>
      <c r="C21" s="16">
        <f>IFERROR(__xludf.DUMMYFUNCTION("""COMPUTED_VALUE"""),45771.6458333333)</f>
        <v>45771.6458333333</v>
      </c>
      <c r="D21" s="17">
        <f>IFERROR(__xludf.DUMMYFUNCTION("""COMPUTED_VALUE"""),2423.8)</f>
        <v>2423.8</v>
      </c>
      <c r="E21" s="16">
        <f>IFERROR(__xludf.DUMMYFUNCTION("""COMPUTED_VALUE"""),45771.6458333333)</f>
        <v>45771.6458333333</v>
      </c>
      <c r="F21" s="17">
        <f>IFERROR(__xludf.DUMMYFUNCTION("""COMPUTED_VALUE"""),7065430)</f>
        <v>7065430</v>
      </c>
      <c r="G21" s="16">
        <f>IFERROR(__xludf.DUMMYFUNCTION("""COMPUTED_VALUE"""),45771.6458333333)</f>
        <v>45771.6458333333</v>
      </c>
      <c r="H21" s="17">
        <f>IFERROR(__xludf.DUMMYFUNCTION("""COMPUTED_VALUE"""),2487.4)</f>
        <v>2487.4</v>
      </c>
      <c r="I21" s="16">
        <f>IFERROR(__xludf.DUMMYFUNCTION("""COMPUTED_VALUE"""),45771.6458333333)</f>
        <v>45771.6458333333</v>
      </c>
      <c r="J21" s="17">
        <f>IFERROR(__xludf.DUMMYFUNCTION("""COMPUTED_VALUE"""),2317.1)</f>
        <v>2317.1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IFERROR(__xludf.DUMMYFUNCTION("""COMPUTED_VALUE"""),2332.2)</f>
        <v>2332.2</v>
      </c>
      <c r="C22" s="16">
        <f>IFERROR(__xludf.DUMMYFUNCTION("""COMPUTED_VALUE"""),45772.6458333333)</f>
        <v>45772.6458333333</v>
      </c>
      <c r="D22" s="17">
        <f>IFERROR(__xludf.DUMMYFUNCTION("""COMPUTED_VALUE"""),2331.9)</f>
        <v>2331.9</v>
      </c>
      <c r="E22" s="16">
        <f>IFERROR(__xludf.DUMMYFUNCTION("""COMPUTED_VALUE"""),45772.6458333333)</f>
        <v>45772.6458333333</v>
      </c>
      <c r="F22" s="17">
        <f>IFERROR(__xludf.DUMMYFUNCTION("""COMPUTED_VALUE"""),2859858)</f>
        <v>2859858</v>
      </c>
      <c r="G22" s="16">
        <f>IFERROR(__xludf.DUMMYFUNCTION("""COMPUTED_VALUE"""),45772.6458333333)</f>
        <v>45772.6458333333</v>
      </c>
      <c r="H22" s="17">
        <f>IFERROR(__xludf.DUMMYFUNCTION("""COMPUTED_VALUE"""),2341.9)</f>
        <v>2341.9</v>
      </c>
      <c r="I22" s="16">
        <f>IFERROR(__xludf.DUMMYFUNCTION("""COMPUTED_VALUE"""),45772.6458333333)</f>
        <v>45772.6458333333</v>
      </c>
      <c r="J22" s="17">
        <f>IFERROR(__xludf.DUMMYFUNCTION("""COMPUTED_VALUE"""),2294.4)</f>
        <v>2294.4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IFERROR(__xludf.DUMMYFUNCTION("""COMPUTED_VALUE"""),2318.6)</f>
        <v>2318.6</v>
      </c>
      <c r="C23" s="16">
        <f>IFERROR(__xludf.DUMMYFUNCTION("""COMPUTED_VALUE"""),45775.6458333333)</f>
        <v>45775.6458333333</v>
      </c>
      <c r="D23" s="17">
        <f>IFERROR(__xludf.DUMMYFUNCTION("""COMPUTED_VALUE"""),2345)</f>
        <v>2345</v>
      </c>
      <c r="E23" s="16">
        <f>IFERROR(__xludf.DUMMYFUNCTION("""COMPUTED_VALUE"""),45775.6458333333)</f>
        <v>45775.6458333333</v>
      </c>
      <c r="F23" s="17">
        <f>IFERROR(__xludf.DUMMYFUNCTION("""COMPUTED_VALUE"""),1555660)</f>
        <v>1555660</v>
      </c>
      <c r="G23" s="16">
        <f>IFERROR(__xludf.DUMMYFUNCTION("""COMPUTED_VALUE"""),45775.6458333333)</f>
        <v>45775.6458333333</v>
      </c>
      <c r="H23" s="17">
        <f>IFERROR(__xludf.DUMMYFUNCTION("""COMPUTED_VALUE"""),2349)</f>
        <v>2349</v>
      </c>
      <c r="I23" s="16">
        <f>IFERROR(__xludf.DUMMYFUNCTION("""COMPUTED_VALUE"""),45775.6458333333)</f>
        <v>45775.6458333333</v>
      </c>
      <c r="J23" s="17">
        <f>IFERROR(__xludf.DUMMYFUNCTION("""COMPUTED_VALUE"""),2315)</f>
        <v>2315</v>
      </c>
      <c r="K23" s="3">
        <f t="shared" si="2"/>
        <v>0</v>
      </c>
      <c r="L23" s="3">
        <f t="shared" si="3"/>
        <v>2318.6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IFERROR(__xludf.DUMMYFUNCTION("""COMPUTED_VALUE"""),2321.7)</f>
        <v>2321.7</v>
      </c>
      <c r="C24" s="16">
        <f>IFERROR(__xludf.DUMMYFUNCTION("""COMPUTED_VALUE"""),45776.6458333333)</f>
        <v>45776.6458333333</v>
      </c>
      <c r="D24" s="17">
        <f>IFERROR(__xludf.DUMMYFUNCTION("""COMPUTED_VALUE"""),2328)</f>
        <v>2328</v>
      </c>
      <c r="E24" s="16">
        <f>IFERROR(__xludf.DUMMYFUNCTION("""COMPUTED_VALUE"""),45776.6458333333)</f>
        <v>45776.6458333333</v>
      </c>
      <c r="F24" s="17">
        <f>IFERROR(__xludf.DUMMYFUNCTION("""COMPUTED_VALUE"""),1896387)</f>
        <v>1896387</v>
      </c>
      <c r="G24" s="16">
        <f>IFERROR(__xludf.DUMMYFUNCTION("""COMPUTED_VALUE"""),45776.6458333333)</f>
        <v>45776.6458333333</v>
      </c>
      <c r="H24" s="17">
        <f>IFERROR(__xludf.DUMMYFUNCTION("""COMPUTED_VALUE"""),2332.5)</f>
        <v>2332.5</v>
      </c>
      <c r="I24" s="16">
        <f>IFERROR(__xludf.DUMMYFUNCTION("""COMPUTED_VALUE"""),45776.6458333333)</f>
        <v>45776.6458333333</v>
      </c>
      <c r="J24" s="17">
        <f>IFERROR(__xludf.DUMMYFUNCTION("""COMPUTED_VALUE"""),2312.6)</f>
        <v>2312.6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IFERROR(__xludf.DUMMYFUNCTION("""COMPUTED_VALUE"""),2342.1)</f>
        <v>2342.1</v>
      </c>
      <c r="C25" s="16">
        <f>IFERROR(__xludf.DUMMYFUNCTION("""COMPUTED_VALUE"""),45777.6458333333)</f>
        <v>45777.6458333333</v>
      </c>
      <c r="D25" s="17">
        <f>IFERROR(__xludf.DUMMYFUNCTION("""COMPUTED_VALUE"""),2320)</f>
        <v>2320</v>
      </c>
      <c r="E25" s="16">
        <f>IFERROR(__xludf.DUMMYFUNCTION("""COMPUTED_VALUE"""),45777.6458333333)</f>
        <v>45777.6458333333</v>
      </c>
      <c r="F25" s="17">
        <f>IFERROR(__xludf.DUMMYFUNCTION("""COMPUTED_VALUE"""),2083807)</f>
        <v>2083807</v>
      </c>
      <c r="G25" s="16">
        <f>IFERROR(__xludf.DUMMYFUNCTION("""COMPUTED_VALUE"""),45777.6458333333)</f>
        <v>45777.6458333333</v>
      </c>
      <c r="H25" s="17">
        <f>IFERROR(__xludf.DUMMYFUNCTION("""COMPUTED_VALUE"""),2352.5)</f>
        <v>2352.5</v>
      </c>
      <c r="I25" s="16">
        <f>IFERROR(__xludf.DUMMYFUNCTION("""COMPUTED_VALUE"""),45777.6458333333)</f>
        <v>45777.6458333333</v>
      </c>
      <c r="J25" s="17">
        <f>IFERROR(__xludf.DUMMYFUNCTION("""COMPUTED_VALUE"""),2316)</f>
        <v>2316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IFERROR(__xludf.DUMMYFUNCTION("""COMPUTED_VALUE"""),2323.9)</f>
        <v>2323.9</v>
      </c>
      <c r="C26" s="16">
        <f>IFERROR(__xludf.DUMMYFUNCTION("""COMPUTED_VALUE"""),45779.6458333333)</f>
        <v>45779.6458333333</v>
      </c>
      <c r="D26" s="17">
        <f>IFERROR(__xludf.DUMMYFUNCTION("""COMPUTED_VALUE"""),2334.1)</f>
        <v>2334.1</v>
      </c>
      <c r="E26" s="16">
        <f>IFERROR(__xludf.DUMMYFUNCTION("""COMPUTED_VALUE"""),45779.6458333333)</f>
        <v>45779.6458333333</v>
      </c>
      <c r="F26" s="17">
        <f>IFERROR(__xludf.DUMMYFUNCTION("""COMPUTED_VALUE"""),1424284)</f>
        <v>1424284</v>
      </c>
      <c r="G26" s="16">
        <f>IFERROR(__xludf.DUMMYFUNCTION("""COMPUTED_VALUE"""),45779.6458333333)</f>
        <v>45779.6458333333</v>
      </c>
      <c r="H26" s="17">
        <f>IFERROR(__xludf.DUMMYFUNCTION("""COMPUTED_VALUE"""),2345)</f>
        <v>2345</v>
      </c>
      <c r="I26" s="16">
        <f>IFERROR(__xludf.DUMMYFUNCTION("""COMPUTED_VALUE"""),45779.6458333333)</f>
        <v>45779.6458333333</v>
      </c>
      <c r="J26" s="17">
        <f>IFERROR(__xludf.DUMMYFUNCTION("""COMPUTED_VALUE"""),2310)</f>
        <v>2310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IFERROR(__xludf.DUMMYFUNCTION("""COMPUTED_VALUE"""),2348.6)</f>
        <v>2348.6</v>
      </c>
      <c r="C27" s="16">
        <f>IFERROR(__xludf.DUMMYFUNCTION("""COMPUTED_VALUE"""),45782.6458333333)</f>
        <v>45782.6458333333</v>
      </c>
      <c r="D27" s="17">
        <f>IFERROR(__xludf.DUMMYFUNCTION("""COMPUTED_VALUE"""),2324.1)</f>
        <v>2324.1</v>
      </c>
      <c r="E27" s="16">
        <f>IFERROR(__xludf.DUMMYFUNCTION("""COMPUTED_VALUE"""),45782.6458333333)</f>
        <v>45782.6458333333</v>
      </c>
      <c r="F27" s="17">
        <f>IFERROR(__xludf.DUMMYFUNCTION("""COMPUTED_VALUE"""),2074103)</f>
        <v>2074103</v>
      </c>
      <c r="G27" s="16">
        <f>IFERROR(__xludf.DUMMYFUNCTION("""COMPUTED_VALUE"""),45782.6458333333)</f>
        <v>45782.6458333333</v>
      </c>
      <c r="H27" s="17">
        <f>IFERROR(__xludf.DUMMYFUNCTION("""COMPUTED_VALUE"""),2354.9)</f>
        <v>2354.9</v>
      </c>
      <c r="I27" s="16">
        <f>IFERROR(__xludf.DUMMYFUNCTION("""COMPUTED_VALUE"""),45782.6458333333)</f>
        <v>45782.6458333333</v>
      </c>
      <c r="J27" s="17">
        <f>IFERROR(__xludf.DUMMYFUNCTION("""COMPUTED_VALUE"""),2319.1)</f>
        <v>2319.1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IFERROR(__xludf.DUMMYFUNCTION("""COMPUTED_VALUE"""),2381.8)</f>
        <v>2381.8</v>
      </c>
      <c r="C28" s="16">
        <f>IFERROR(__xludf.DUMMYFUNCTION("""COMPUTED_VALUE"""),45783.6458333333)</f>
        <v>45783.6458333333</v>
      </c>
      <c r="D28" s="17">
        <f>IFERROR(__xludf.DUMMYFUNCTION("""COMPUTED_VALUE"""),2340.2)</f>
        <v>2340.2</v>
      </c>
      <c r="E28" s="16">
        <f>IFERROR(__xludf.DUMMYFUNCTION("""COMPUTED_VALUE"""),45783.6458333333)</f>
        <v>45783.6458333333</v>
      </c>
      <c r="F28" s="17">
        <f>IFERROR(__xludf.DUMMYFUNCTION("""COMPUTED_VALUE"""),1888125)</f>
        <v>1888125</v>
      </c>
      <c r="G28" s="16">
        <f>IFERROR(__xludf.DUMMYFUNCTION("""COMPUTED_VALUE"""),45783.6458333333)</f>
        <v>45783.6458333333</v>
      </c>
      <c r="H28" s="17">
        <f>IFERROR(__xludf.DUMMYFUNCTION("""COMPUTED_VALUE"""),2390.1)</f>
        <v>2390.1</v>
      </c>
      <c r="I28" s="16">
        <f>IFERROR(__xludf.DUMMYFUNCTION("""COMPUTED_VALUE"""),45783.6458333333)</f>
        <v>45783.6458333333</v>
      </c>
      <c r="J28" s="17">
        <f>IFERROR(__xludf.DUMMYFUNCTION("""COMPUTED_VALUE"""),2340.2)</f>
        <v>2340.2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IFERROR(__xludf.DUMMYFUNCTION("""COMPUTED_VALUE"""),2370.8)</f>
        <v>2370.8</v>
      </c>
      <c r="C29" s="16">
        <f>IFERROR(__xludf.DUMMYFUNCTION("""COMPUTED_VALUE"""),45784.6458333333)</f>
        <v>45784.6458333333</v>
      </c>
      <c r="D29" s="17">
        <f>IFERROR(__xludf.DUMMYFUNCTION("""COMPUTED_VALUE"""),2369)</f>
        <v>2369</v>
      </c>
      <c r="E29" s="16">
        <f>IFERROR(__xludf.DUMMYFUNCTION("""COMPUTED_VALUE"""),45784.6458333333)</f>
        <v>45784.6458333333</v>
      </c>
      <c r="F29" s="17">
        <f>IFERROR(__xludf.DUMMYFUNCTION("""COMPUTED_VALUE"""),1610400)</f>
        <v>1610400</v>
      </c>
      <c r="G29" s="16">
        <f>IFERROR(__xludf.DUMMYFUNCTION("""COMPUTED_VALUE"""),45784.6458333333)</f>
        <v>45784.6458333333</v>
      </c>
      <c r="H29" s="17">
        <f>IFERROR(__xludf.DUMMYFUNCTION("""COMPUTED_VALUE"""),2386.9)</f>
        <v>2386.9</v>
      </c>
      <c r="I29" s="16">
        <f>IFERROR(__xludf.DUMMYFUNCTION("""COMPUTED_VALUE"""),45784.6458333333)</f>
        <v>45784.6458333333</v>
      </c>
      <c r="J29" s="17">
        <f>IFERROR(__xludf.DUMMYFUNCTION("""COMPUTED_VALUE"""),2355.3)</f>
        <v>2355.3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IFERROR(__xludf.DUMMYFUNCTION("""COMPUTED_VALUE"""),2354.9)</f>
        <v>2354.9</v>
      </c>
      <c r="C30" s="16">
        <f>IFERROR(__xludf.DUMMYFUNCTION("""COMPUTED_VALUE"""),45785.6458333333)</f>
        <v>45785.6458333333</v>
      </c>
      <c r="D30" s="17">
        <f>IFERROR(__xludf.DUMMYFUNCTION("""COMPUTED_VALUE"""),2361.7)</f>
        <v>2361.7</v>
      </c>
      <c r="E30" s="16">
        <f>IFERROR(__xludf.DUMMYFUNCTION("""COMPUTED_VALUE"""),45785.6458333333)</f>
        <v>45785.6458333333</v>
      </c>
      <c r="F30" s="17">
        <f>IFERROR(__xludf.DUMMYFUNCTION("""COMPUTED_VALUE"""),2323073)</f>
        <v>2323073</v>
      </c>
      <c r="G30" s="16">
        <f>IFERROR(__xludf.DUMMYFUNCTION("""COMPUTED_VALUE"""),45785.6458333333)</f>
        <v>45785.6458333333</v>
      </c>
      <c r="H30" s="17">
        <f>IFERROR(__xludf.DUMMYFUNCTION("""COMPUTED_VALUE"""),2371.9)</f>
        <v>2371.9</v>
      </c>
      <c r="I30" s="16">
        <f>IFERROR(__xludf.DUMMYFUNCTION("""COMPUTED_VALUE"""),45785.6458333333)</f>
        <v>45785.6458333333</v>
      </c>
      <c r="J30" s="17">
        <f>IFERROR(__xludf.DUMMYFUNCTION("""COMPUTED_VALUE"""),2341)</f>
        <v>2341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IFERROR(__xludf.DUMMYFUNCTION("""COMPUTED_VALUE"""),2332.9)</f>
        <v>2332.9</v>
      </c>
      <c r="C31" s="16">
        <f>IFERROR(__xludf.DUMMYFUNCTION("""COMPUTED_VALUE"""),45786.6458333333)</f>
        <v>45786.6458333333</v>
      </c>
      <c r="D31" s="17">
        <f>IFERROR(__xludf.DUMMYFUNCTION("""COMPUTED_VALUE"""),2330)</f>
        <v>2330</v>
      </c>
      <c r="E31" s="16">
        <f>IFERROR(__xludf.DUMMYFUNCTION("""COMPUTED_VALUE"""),45786.6458333333)</f>
        <v>45786.6458333333</v>
      </c>
      <c r="F31" s="17">
        <f>IFERROR(__xludf.DUMMYFUNCTION("""COMPUTED_VALUE"""),1805685)</f>
        <v>1805685</v>
      </c>
      <c r="G31" s="16">
        <f>IFERROR(__xludf.DUMMYFUNCTION("""COMPUTED_VALUE"""),45786.6458333333)</f>
        <v>45786.6458333333</v>
      </c>
      <c r="H31" s="17">
        <f>IFERROR(__xludf.DUMMYFUNCTION("""COMPUTED_VALUE"""),2342.7)</f>
        <v>2342.7</v>
      </c>
      <c r="I31" s="16">
        <f>IFERROR(__xludf.DUMMYFUNCTION("""COMPUTED_VALUE"""),45786.6458333333)</f>
        <v>45786.6458333333</v>
      </c>
      <c r="J31" s="17">
        <f>IFERROR(__xludf.DUMMYFUNCTION("""COMPUTED_VALUE"""),2302.3)</f>
        <v>2302.3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IFERROR(__xludf.DUMMYFUNCTION("""COMPUTED_VALUE"""),2382.5)</f>
        <v>2382.5</v>
      </c>
      <c r="C32" s="16">
        <f>IFERROR(__xludf.DUMMYFUNCTION("""COMPUTED_VALUE"""),45789.6458333333)</f>
        <v>45789.6458333333</v>
      </c>
      <c r="D32" s="17">
        <f>IFERROR(__xludf.DUMMYFUNCTION("""COMPUTED_VALUE"""),2360)</f>
        <v>2360</v>
      </c>
      <c r="E32" s="16">
        <f>IFERROR(__xludf.DUMMYFUNCTION("""COMPUTED_VALUE"""),45789.6458333333)</f>
        <v>45789.6458333333</v>
      </c>
      <c r="F32" s="17">
        <f>IFERROR(__xludf.DUMMYFUNCTION("""COMPUTED_VALUE"""),1274873)</f>
        <v>1274873</v>
      </c>
      <c r="G32" s="16">
        <f>IFERROR(__xludf.DUMMYFUNCTION("""COMPUTED_VALUE"""),45789.6458333333)</f>
        <v>45789.6458333333</v>
      </c>
      <c r="H32" s="17">
        <f>IFERROR(__xludf.DUMMYFUNCTION("""COMPUTED_VALUE"""),2387)</f>
        <v>2387</v>
      </c>
      <c r="I32" s="16">
        <f>IFERROR(__xludf.DUMMYFUNCTION("""COMPUTED_VALUE"""),45789.6458333333)</f>
        <v>45789.6458333333</v>
      </c>
      <c r="J32" s="17">
        <f>IFERROR(__xludf.DUMMYFUNCTION("""COMPUTED_VALUE"""),2346.1)</f>
        <v>2346.1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IFERROR(__xludf.DUMMYFUNCTION("""COMPUTED_VALUE"""),2360)</f>
        <v>2360</v>
      </c>
      <c r="C33" s="16">
        <f>IFERROR(__xludf.DUMMYFUNCTION("""COMPUTED_VALUE"""),45790.6458333333)</f>
        <v>45790.6458333333</v>
      </c>
      <c r="D33" s="17">
        <f>IFERROR(__xludf.DUMMYFUNCTION("""COMPUTED_VALUE"""),2375.6)</f>
        <v>2375.6</v>
      </c>
      <c r="E33" s="16">
        <f>IFERROR(__xludf.DUMMYFUNCTION("""COMPUTED_VALUE"""),45790.6458333333)</f>
        <v>45790.6458333333</v>
      </c>
      <c r="F33" s="17">
        <f>IFERROR(__xludf.DUMMYFUNCTION("""COMPUTED_VALUE"""),1929665)</f>
        <v>1929665</v>
      </c>
      <c r="G33" s="16">
        <f>IFERROR(__xludf.DUMMYFUNCTION("""COMPUTED_VALUE"""),45790.6458333333)</f>
        <v>45790.6458333333</v>
      </c>
      <c r="H33" s="17">
        <f>IFERROR(__xludf.DUMMYFUNCTION("""COMPUTED_VALUE"""),2398)</f>
        <v>2398</v>
      </c>
      <c r="I33" s="16">
        <f>IFERROR(__xludf.DUMMYFUNCTION("""COMPUTED_VALUE"""),45790.6458333333)</f>
        <v>45790.6458333333</v>
      </c>
      <c r="J33" s="17">
        <f>IFERROR(__xludf.DUMMYFUNCTION("""COMPUTED_VALUE"""),2352.8)</f>
        <v>2352.8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IFERROR(__xludf.DUMMYFUNCTION("""COMPUTED_VALUE"""),2350.5)</f>
        <v>2350.5</v>
      </c>
      <c r="C34" s="16">
        <f>IFERROR(__xludf.DUMMYFUNCTION("""COMPUTED_VALUE"""),45791.6458333333)</f>
        <v>45791.6458333333</v>
      </c>
      <c r="D34" s="17">
        <f>IFERROR(__xludf.DUMMYFUNCTION("""COMPUTED_VALUE"""),2370)</f>
        <v>2370</v>
      </c>
      <c r="E34" s="16">
        <f>IFERROR(__xludf.DUMMYFUNCTION("""COMPUTED_VALUE"""),45791.6458333333)</f>
        <v>45791.6458333333</v>
      </c>
      <c r="F34" s="17">
        <f>IFERROR(__xludf.DUMMYFUNCTION("""COMPUTED_VALUE"""),1568111)</f>
        <v>1568111</v>
      </c>
      <c r="G34" s="16">
        <f>IFERROR(__xludf.DUMMYFUNCTION("""COMPUTED_VALUE"""),45791.6458333333)</f>
        <v>45791.6458333333</v>
      </c>
      <c r="H34" s="17">
        <f>IFERROR(__xludf.DUMMYFUNCTION("""COMPUTED_VALUE"""),2370)</f>
        <v>2370</v>
      </c>
      <c r="I34" s="16">
        <f>IFERROR(__xludf.DUMMYFUNCTION("""COMPUTED_VALUE"""),45791.6458333333)</f>
        <v>45791.6458333333</v>
      </c>
      <c r="J34" s="17">
        <f>IFERROR(__xludf.DUMMYFUNCTION("""COMPUTED_VALUE"""),2338.5)</f>
        <v>2338.5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IFERROR(__xludf.DUMMYFUNCTION("""COMPUTED_VALUE"""),2355.2)</f>
        <v>2355.2</v>
      </c>
      <c r="C35" s="16">
        <f>IFERROR(__xludf.DUMMYFUNCTION("""COMPUTED_VALUE"""),45792.6458333333)</f>
        <v>45792.6458333333</v>
      </c>
      <c r="D35" s="17">
        <f>IFERROR(__xludf.DUMMYFUNCTION("""COMPUTED_VALUE"""),2351.6)</f>
        <v>2351.6</v>
      </c>
      <c r="E35" s="16">
        <f>IFERROR(__xludf.DUMMYFUNCTION("""COMPUTED_VALUE"""),45792.6458333333)</f>
        <v>45792.6458333333</v>
      </c>
      <c r="F35" s="17">
        <f>IFERROR(__xludf.DUMMYFUNCTION("""COMPUTED_VALUE"""),3236681)</f>
        <v>3236681</v>
      </c>
      <c r="G35" s="16">
        <f>IFERROR(__xludf.DUMMYFUNCTION("""COMPUTED_VALUE"""),45792.6458333333)</f>
        <v>45792.6458333333</v>
      </c>
      <c r="H35" s="17">
        <f>IFERROR(__xludf.DUMMYFUNCTION("""COMPUTED_VALUE"""),2369.9)</f>
        <v>2369.9</v>
      </c>
      <c r="I35" s="16">
        <f>IFERROR(__xludf.DUMMYFUNCTION("""COMPUTED_VALUE"""),45792.6458333333)</f>
        <v>45792.6458333333</v>
      </c>
      <c r="J35" s="17">
        <f>IFERROR(__xludf.DUMMYFUNCTION("""COMPUTED_VALUE"""),2340)</f>
        <v>2340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IFERROR(__xludf.DUMMYFUNCTION("""COMPUTED_VALUE"""),2381.4)</f>
        <v>2381.4</v>
      </c>
      <c r="C36" s="16">
        <f>IFERROR(__xludf.DUMMYFUNCTION("""COMPUTED_VALUE"""),45793.6458333333)</f>
        <v>45793.6458333333</v>
      </c>
      <c r="D36" s="17">
        <f>IFERROR(__xludf.DUMMYFUNCTION("""COMPUTED_VALUE"""),2360)</f>
        <v>2360</v>
      </c>
      <c r="E36" s="16">
        <f>IFERROR(__xludf.DUMMYFUNCTION("""COMPUTED_VALUE"""),45793.6458333333)</f>
        <v>45793.6458333333</v>
      </c>
      <c r="F36" s="17">
        <f>IFERROR(__xludf.DUMMYFUNCTION("""COMPUTED_VALUE"""),1473000)</f>
        <v>1473000</v>
      </c>
      <c r="G36" s="16">
        <f>IFERROR(__xludf.DUMMYFUNCTION("""COMPUTED_VALUE"""),45793.6458333333)</f>
        <v>45793.6458333333</v>
      </c>
      <c r="H36" s="17">
        <f>IFERROR(__xludf.DUMMYFUNCTION("""COMPUTED_VALUE"""),2387)</f>
        <v>2387</v>
      </c>
      <c r="I36" s="16">
        <f>IFERROR(__xludf.DUMMYFUNCTION("""COMPUTED_VALUE"""),45793.6458333333)</f>
        <v>45793.6458333333</v>
      </c>
      <c r="J36" s="17">
        <f>IFERROR(__xludf.DUMMYFUNCTION("""COMPUTED_VALUE"""),2349)</f>
        <v>2349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IFERROR(__xludf.DUMMYFUNCTION("""COMPUTED_VALUE"""),2382.7)</f>
        <v>2382.7</v>
      </c>
      <c r="C37" s="16">
        <f>IFERROR(__xludf.DUMMYFUNCTION("""COMPUTED_VALUE"""),45796.6458333333)</f>
        <v>45796.6458333333</v>
      </c>
      <c r="D37" s="17">
        <f>IFERROR(__xludf.DUMMYFUNCTION("""COMPUTED_VALUE"""),2375)</f>
        <v>2375</v>
      </c>
      <c r="E37" s="16">
        <f>IFERROR(__xludf.DUMMYFUNCTION("""COMPUTED_VALUE"""),45796.6458333333)</f>
        <v>45796.6458333333</v>
      </c>
      <c r="F37" s="17">
        <f>IFERROR(__xludf.DUMMYFUNCTION("""COMPUTED_VALUE"""),936655)</f>
        <v>936655</v>
      </c>
      <c r="G37" s="16">
        <f>IFERROR(__xludf.DUMMYFUNCTION("""COMPUTED_VALUE"""),45796.6458333333)</f>
        <v>45796.6458333333</v>
      </c>
      <c r="H37" s="17">
        <f>IFERROR(__xludf.DUMMYFUNCTION("""COMPUTED_VALUE"""),2405)</f>
        <v>2405</v>
      </c>
      <c r="I37" s="16">
        <f>IFERROR(__xludf.DUMMYFUNCTION("""COMPUTED_VALUE"""),45796.6458333333)</f>
        <v>45796.6458333333</v>
      </c>
      <c r="J37" s="17">
        <f>IFERROR(__xludf.DUMMYFUNCTION("""COMPUTED_VALUE"""),2375)</f>
        <v>2375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IFERROR(__xludf.DUMMYFUNCTION("""COMPUTED_VALUE"""),2341.1)</f>
        <v>2341.1</v>
      </c>
      <c r="C38" s="16">
        <f>IFERROR(__xludf.DUMMYFUNCTION("""COMPUTED_VALUE"""),45797.6458333333)</f>
        <v>45797.6458333333</v>
      </c>
      <c r="D38" s="17">
        <f>IFERROR(__xludf.DUMMYFUNCTION("""COMPUTED_VALUE"""),2394.6)</f>
        <v>2394.6</v>
      </c>
      <c r="E38" s="16">
        <f>IFERROR(__xludf.DUMMYFUNCTION("""COMPUTED_VALUE"""),45797.6458333333)</f>
        <v>45797.6458333333</v>
      </c>
      <c r="F38" s="17">
        <f>IFERROR(__xludf.DUMMYFUNCTION("""COMPUTED_VALUE"""),1617408)</f>
        <v>1617408</v>
      </c>
      <c r="G38" s="16">
        <f>IFERROR(__xludf.DUMMYFUNCTION("""COMPUTED_VALUE"""),45797.6458333333)</f>
        <v>45797.6458333333</v>
      </c>
      <c r="H38" s="17">
        <f>IFERROR(__xludf.DUMMYFUNCTION("""COMPUTED_VALUE"""),2394.6)</f>
        <v>2394.6</v>
      </c>
      <c r="I38" s="16">
        <f>IFERROR(__xludf.DUMMYFUNCTION("""COMPUTED_VALUE"""),45797.6458333333)</f>
        <v>45797.6458333333</v>
      </c>
      <c r="J38" s="17">
        <f>IFERROR(__xludf.DUMMYFUNCTION("""COMPUTED_VALUE"""),2338.5)</f>
        <v>2338.5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IFERROR(__xludf.DUMMYFUNCTION("""COMPUTED_VALUE"""),2363.9)</f>
        <v>2363.9</v>
      </c>
      <c r="C39" s="16">
        <f>IFERROR(__xludf.DUMMYFUNCTION("""COMPUTED_VALUE"""),45798.6458333333)</f>
        <v>45798.6458333333</v>
      </c>
      <c r="D39" s="17">
        <f>IFERROR(__xludf.DUMMYFUNCTION("""COMPUTED_VALUE"""),2346)</f>
        <v>2346</v>
      </c>
      <c r="E39" s="16">
        <f>IFERROR(__xludf.DUMMYFUNCTION("""COMPUTED_VALUE"""),45798.6458333333)</f>
        <v>45798.6458333333</v>
      </c>
      <c r="F39" s="17">
        <f>IFERROR(__xludf.DUMMYFUNCTION("""COMPUTED_VALUE"""),1570754)</f>
        <v>1570754</v>
      </c>
      <c r="G39" s="16">
        <f>IFERROR(__xludf.DUMMYFUNCTION("""COMPUTED_VALUE"""),45798.6458333333)</f>
        <v>45798.6458333333</v>
      </c>
      <c r="H39" s="17">
        <f>IFERROR(__xludf.DUMMYFUNCTION("""COMPUTED_VALUE"""),2375.7)</f>
        <v>2375.7</v>
      </c>
      <c r="I39" s="16">
        <f>IFERROR(__xludf.DUMMYFUNCTION("""COMPUTED_VALUE"""),45798.6458333333)</f>
        <v>45798.6458333333</v>
      </c>
      <c r="J39" s="17">
        <f>IFERROR(__xludf.DUMMYFUNCTION("""COMPUTED_VALUE"""),2345)</f>
        <v>2345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IFERROR(__xludf.DUMMYFUNCTION("""COMPUTED_VALUE"""),2330.7)</f>
        <v>2330.7</v>
      </c>
      <c r="C40" s="16">
        <f>IFERROR(__xludf.DUMMYFUNCTION("""COMPUTED_VALUE"""),45799.6458333333)</f>
        <v>45799.6458333333</v>
      </c>
      <c r="D40" s="17">
        <f>IFERROR(__xludf.DUMMYFUNCTION("""COMPUTED_VALUE"""),2355)</f>
        <v>2355</v>
      </c>
      <c r="E40" s="16">
        <f>IFERROR(__xludf.DUMMYFUNCTION("""COMPUTED_VALUE"""),45799.6458333333)</f>
        <v>45799.6458333333</v>
      </c>
      <c r="F40" s="17">
        <f>IFERROR(__xludf.DUMMYFUNCTION("""COMPUTED_VALUE"""),2423653)</f>
        <v>2423653</v>
      </c>
      <c r="G40" s="16">
        <f>IFERROR(__xludf.DUMMYFUNCTION("""COMPUTED_VALUE"""),45799.6458333333)</f>
        <v>45799.6458333333</v>
      </c>
      <c r="H40" s="17">
        <f>IFERROR(__xludf.DUMMYFUNCTION("""COMPUTED_VALUE"""),2363.1)</f>
        <v>2363.1</v>
      </c>
      <c r="I40" s="16">
        <f>IFERROR(__xludf.DUMMYFUNCTION("""COMPUTED_VALUE"""),45799.6458333333)</f>
        <v>45799.6458333333</v>
      </c>
      <c r="J40" s="17">
        <f>IFERROR(__xludf.DUMMYFUNCTION("""COMPUTED_VALUE"""),2313.1)</f>
        <v>2313.1</v>
      </c>
      <c r="K40" s="3">
        <f t="shared" si="2"/>
        <v>0</v>
      </c>
      <c r="L40" s="3">
        <f t="shared" si="3"/>
        <v>2330.7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IFERROR(__xludf.DUMMYFUNCTION("""COMPUTED_VALUE"""),2359.2)</f>
        <v>2359.2</v>
      </c>
      <c r="C41" s="16">
        <f>IFERROR(__xludf.DUMMYFUNCTION("""COMPUTED_VALUE"""),45800.6458333333)</f>
        <v>45800.6458333333</v>
      </c>
      <c r="D41" s="17">
        <f>IFERROR(__xludf.DUMMYFUNCTION("""COMPUTED_VALUE"""),2336.9)</f>
        <v>2336.9</v>
      </c>
      <c r="E41" s="16">
        <f>IFERROR(__xludf.DUMMYFUNCTION("""COMPUTED_VALUE"""),45800.6458333333)</f>
        <v>45800.6458333333</v>
      </c>
      <c r="F41" s="17">
        <f>IFERROR(__xludf.DUMMYFUNCTION("""COMPUTED_VALUE"""),844118)</f>
        <v>844118</v>
      </c>
      <c r="G41" s="16">
        <f>IFERROR(__xludf.DUMMYFUNCTION("""COMPUTED_VALUE"""),45800.6458333333)</f>
        <v>45800.6458333333</v>
      </c>
      <c r="H41" s="17">
        <f>IFERROR(__xludf.DUMMYFUNCTION("""COMPUTED_VALUE"""),2364.5)</f>
        <v>2364.5</v>
      </c>
      <c r="I41" s="16">
        <f>IFERROR(__xludf.DUMMYFUNCTION("""COMPUTED_VALUE"""),45800.6458333333)</f>
        <v>45800.6458333333</v>
      </c>
      <c r="J41" s="17">
        <f>IFERROR(__xludf.DUMMYFUNCTION("""COMPUTED_VALUE"""),2329.6)</f>
        <v>2329.6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IFERROR(__xludf.DUMMYFUNCTION("""COMPUTED_VALUE"""),2394.1)</f>
        <v>2394.1</v>
      </c>
      <c r="C42" s="16">
        <f>IFERROR(__xludf.DUMMYFUNCTION("""COMPUTED_VALUE"""),45803.6458333333)</f>
        <v>45803.6458333333</v>
      </c>
      <c r="D42" s="17">
        <f>IFERROR(__xludf.DUMMYFUNCTION("""COMPUTED_VALUE"""),2368)</f>
        <v>2368</v>
      </c>
      <c r="E42" s="16">
        <f>IFERROR(__xludf.DUMMYFUNCTION("""COMPUTED_VALUE"""),45803.6458333333)</f>
        <v>45803.6458333333</v>
      </c>
      <c r="F42" s="17">
        <f>IFERROR(__xludf.DUMMYFUNCTION("""COMPUTED_VALUE"""),892618)</f>
        <v>892618</v>
      </c>
      <c r="G42" s="16">
        <f>IFERROR(__xludf.DUMMYFUNCTION("""COMPUTED_VALUE"""),45803.6458333333)</f>
        <v>45803.6458333333</v>
      </c>
      <c r="H42" s="17">
        <f>IFERROR(__xludf.DUMMYFUNCTION("""COMPUTED_VALUE"""),2397.3)</f>
        <v>2397.3</v>
      </c>
      <c r="I42" s="16">
        <f>IFERROR(__xludf.DUMMYFUNCTION("""COMPUTED_VALUE"""),45803.6458333333)</f>
        <v>45803.6458333333</v>
      </c>
      <c r="J42" s="17">
        <f>IFERROR(__xludf.DUMMYFUNCTION("""COMPUTED_VALUE"""),2364.1)</f>
        <v>2364.1</v>
      </c>
      <c r="K42" s="3">
        <f t="shared" si="2"/>
        <v>2394.1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IFERROR(__xludf.DUMMYFUNCTION("""COMPUTED_VALUE"""),2380.2)</f>
        <v>2380.2</v>
      </c>
      <c r="C43" s="16">
        <f>IFERROR(__xludf.DUMMYFUNCTION("""COMPUTED_VALUE"""),45804.6458333333)</f>
        <v>45804.6458333333</v>
      </c>
      <c r="D43" s="17">
        <f>IFERROR(__xludf.DUMMYFUNCTION("""COMPUTED_VALUE"""),2394.1)</f>
        <v>2394.1</v>
      </c>
      <c r="E43" s="16">
        <f>IFERROR(__xludf.DUMMYFUNCTION("""COMPUTED_VALUE"""),45804.6458333333)</f>
        <v>45804.6458333333</v>
      </c>
      <c r="F43" s="17">
        <f>IFERROR(__xludf.DUMMYFUNCTION("""COMPUTED_VALUE"""),1865258)</f>
        <v>1865258</v>
      </c>
      <c r="G43" s="16">
        <f>IFERROR(__xludf.DUMMYFUNCTION("""COMPUTED_VALUE"""),45804.6458333333)</f>
        <v>45804.6458333333</v>
      </c>
      <c r="H43" s="17">
        <f>IFERROR(__xludf.DUMMYFUNCTION("""COMPUTED_VALUE"""),2409.5)</f>
        <v>2409.5</v>
      </c>
      <c r="I43" s="16">
        <f>IFERROR(__xludf.DUMMYFUNCTION("""COMPUTED_VALUE"""),45804.6458333333)</f>
        <v>45804.6458333333</v>
      </c>
      <c r="J43" s="17">
        <f>IFERROR(__xludf.DUMMYFUNCTION("""COMPUTED_VALUE"""),2360.3)</f>
        <v>2360.3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IFERROR(__xludf.DUMMYFUNCTION("""COMPUTED_VALUE"""),2362)</f>
        <v>2362</v>
      </c>
      <c r="C44" s="16">
        <f>IFERROR(__xludf.DUMMYFUNCTION("""COMPUTED_VALUE"""),45805.6458333333)</f>
        <v>45805.6458333333</v>
      </c>
      <c r="D44" s="17">
        <f>IFERROR(__xludf.DUMMYFUNCTION("""COMPUTED_VALUE"""),2388)</f>
        <v>2388</v>
      </c>
      <c r="E44" s="16">
        <f>IFERROR(__xludf.DUMMYFUNCTION("""COMPUTED_VALUE"""),45805.6458333333)</f>
        <v>45805.6458333333</v>
      </c>
      <c r="F44" s="17">
        <f>IFERROR(__xludf.DUMMYFUNCTION("""COMPUTED_VALUE"""),897517)</f>
        <v>897517</v>
      </c>
      <c r="G44" s="16">
        <f>IFERROR(__xludf.DUMMYFUNCTION("""COMPUTED_VALUE"""),45805.6458333333)</f>
        <v>45805.6458333333</v>
      </c>
      <c r="H44" s="17">
        <f>IFERROR(__xludf.DUMMYFUNCTION("""COMPUTED_VALUE"""),2388)</f>
        <v>2388</v>
      </c>
      <c r="I44" s="16">
        <f>IFERROR(__xludf.DUMMYFUNCTION("""COMPUTED_VALUE"""),45805.6458333333)</f>
        <v>45805.6458333333</v>
      </c>
      <c r="J44" s="17">
        <f>IFERROR(__xludf.DUMMYFUNCTION("""COMPUTED_VALUE"""),2352)</f>
        <v>2352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IFERROR(__xludf.DUMMYFUNCTION("""COMPUTED_VALUE"""),2366.7)</f>
        <v>2366.7</v>
      </c>
      <c r="C45" s="16">
        <f>IFERROR(__xludf.DUMMYFUNCTION("""COMPUTED_VALUE"""),45806.6458333333)</f>
        <v>45806.6458333333</v>
      </c>
      <c r="D45" s="17">
        <f>IFERROR(__xludf.DUMMYFUNCTION("""COMPUTED_VALUE"""),2369)</f>
        <v>2369</v>
      </c>
      <c r="E45" s="16">
        <f>IFERROR(__xludf.DUMMYFUNCTION("""COMPUTED_VALUE"""),45806.6458333333)</f>
        <v>45806.6458333333</v>
      </c>
      <c r="F45" s="17">
        <f>IFERROR(__xludf.DUMMYFUNCTION("""COMPUTED_VALUE"""),1111275)</f>
        <v>1111275</v>
      </c>
      <c r="G45" s="16">
        <f>IFERROR(__xludf.DUMMYFUNCTION("""COMPUTED_VALUE"""),45806.6458333333)</f>
        <v>45806.6458333333</v>
      </c>
      <c r="H45" s="17">
        <f>IFERROR(__xludf.DUMMYFUNCTION("""COMPUTED_VALUE"""),2376)</f>
        <v>2376</v>
      </c>
      <c r="I45" s="16">
        <f>IFERROR(__xludf.DUMMYFUNCTION("""COMPUTED_VALUE"""),45806.6458333333)</f>
        <v>45806.6458333333</v>
      </c>
      <c r="J45" s="17">
        <f>IFERROR(__xludf.DUMMYFUNCTION("""COMPUTED_VALUE"""),2355.5)</f>
        <v>2355.5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IFERROR(__xludf.DUMMYFUNCTION("""COMPUTED_VALUE"""),2348.3)</f>
        <v>2348.3</v>
      </c>
      <c r="C46" s="16">
        <f>IFERROR(__xludf.DUMMYFUNCTION("""COMPUTED_VALUE"""),45807.6458333333)</f>
        <v>45807.6458333333</v>
      </c>
      <c r="D46" s="17">
        <f>IFERROR(__xludf.DUMMYFUNCTION("""COMPUTED_VALUE"""),2360)</f>
        <v>2360</v>
      </c>
      <c r="E46" s="16">
        <f>IFERROR(__xludf.DUMMYFUNCTION("""COMPUTED_VALUE"""),45807.6458333333)</f>
        <v>45807.6458333333</v>
      </c>
      <c r="F46" s="17">
        <f>IFERROR(__xludf.DUMMYFUNCTION("""COMPUTED_VALUE"""),3288892)</f>
        <v>3288892</v>
      </c>
      <c r="G46" s="16">
        <f>IFERROR(__xludf.DUMMYFUNCTION("""COMPUTED_VALUE"""),45807.6458333333)</f>
        <v>45807.6458333333</v>
      </c>
      <c r="H46" s="17">
        <f>IFERROR(__xludf.DUMMYFUNCTION("""COMPUTED_VALUE"""),2374.9)</f>
        <v>2374.9</v>
      </c>
      <c r="I46" s="16">
        <f>IFERROR(__xludf.DUMMYFUNCTION("""COMPUTED_VALUE"""),45807.6458333333)</f>
        <v>45807.6458333333</v>
      </c>
      <c r="J46" s="17">
        <f>IFERROR(__xludf.DUMMYFUNCTION("""COMPUTED_VALUE"""),2343.5)</f>
        <v>2343.5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IFERROR(__xludf.DUMMYFUNCTION("""COMPUTED_VALUE"""),2371.6)</f>
        <v>2371.6</v>
      </c>
      <c r="C47" s="16">
        <f>IFERROR(__xludf.DUMMYFUNCTION("""COMPUTED_VALUE"""),45810.6458333333)</f>
        <v>45810.6458333333</v>
      </c>
      <c r="D47" s="17">
        <f>IFERROR(__xludf.DUMMYFUNCTION("""COMPUTED_VALUE"""),2347.9)</f>
        <v>2347.9</v>
      </c>
      <c r="E47" s="16">
        <f>IFERROR(__xludf.DUMMYFUNCTION("""COMPUTED_VALUE"""),45810.6458333333)</f>
        <v>45810.6458333333</v>
      </c>
      <c r="F47" s="17">
        <f>IFERROR(__xludf.DUMMYFUNCTION("""COMPUTED_VALUE"""),1178205)</f>
        <v>1178205</v>
      </c>
      <c r="G47" s="16">
        <f>IFERROR(__xludf.DUMMYFUNCTION("""COMPUTED_VALUE"""),45810.6458333333)</f>
        <v>45810.6458333333</v>
      </c>
      <c r="H47" s="17">
        <f>IFERROR(__xludf.DUMMYFUNCTION("""COMPUTED_VALUE"""),2384)</f>
        <v>2384</v>
      </c>
      <c r="I47" s="16">
        <f>IFERROR(__xludf.DUMMYFUNCTION("""COMPUTED_VALUE"""),45810.6458333333)</f>
        <v>45810.6458333333</v>
      </c>
      <c r="J47" s="17">
        <f>IFERROR(__xludf.DUMMYFUNCTION("""COMPUTED_VALUE"""),2343.6)</f>
        <v>2343.6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IFERROR(__xludf.DUMMYFUNCTION("""COMPUTED_VALUE"""),2352.3)</f>
        <v>2352.3</v>
      </c>
      <c r="C48" s="16">
        <f>IFERROR(__xludf.DUMMYFUNCTION("""COMPUTED_VALUE"""),45811.6458333333)</f>
        <v>45811.6458333333</v>
      </c>
      <c r="D48" s="17">
        <f>IFERROR(__xludf.DUMMYFUNCTION("""COMPUTED_VALUE"""),2365.1)</f>
        <v>2365.1</v>
      </c>
      <c r="E48" s="16">
        <f>IFERROR(__xludf.DUMMYFUNCTION("""COMPUTED_VALUE"""),45811.6458333333)</f>
        <v>45811.6458333333</v>
      </c>
      <c r="F48" s="17">
        <f>IFERROR(__xludf.DUMMYFUNCTION("""COMPUTED_VALUE"""),1643913)</f>
        <v>1643913</v>
      </c>
      <c r="G48" s="16">
        <f>IFERROR(__xludf.DUMMYFUNCTION("""COMPUTED_VALUE"""),45811.6458333333)</f>
        <v>45811.6458333333</v>
      </c>
      <c r="H48" s="17">
        <f>IFERROR(__xludf.DUMMYFUNCTION("""COMPUTED_VALUE"""),2379.5)</f>
        <v>2379.5</v>
      </c>
      <c r="I48" s="16">
        <f>IFERROR(__xludf.DUMMYFUNCTION("""COMPUTED_VALUE"""),45811.6458333333)</f>
        <v>45811.6458333333</v>
      </c>
      <c r="J48" s="17">
        <f>IFERROR(__xludf.DUMMYFUNCTION("""COMPUTED_VALUE"""),2342.6)</f>
        <v>2342.6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IFERROR(__xludf.DUMMYFUNCTION("""COMPUTED_VALUE"""),2364.5)</f>
        <v>2364.5</v>
      </c>
      <c r="C49" s="16">
        <f>IFERROR(__xludf.DUMMYFUNCTION("""COMPUTED_VALUE"""),45812.6458333333)</f>
        <v>45812.6458333333</v>
      </c>
      <c r="D49" s="17">
        <f>IFERROR(__xludf.DUMMYFUNCTION("""COMPUTED_VALUE"""),2359.5)</f>
        <v>2359.5</v>
      </c>
      <c r="E49" s="16">
        <f>IFERROR(__xludf.DUMMYFUNCTION("""COMPUTED_VALUE"""),45812.6458333333)</f>
        <v>45812.6458333333</v>
      </c>
      <c r="F49" s="17">
        <f>IFERROR(__xludf.DUMMYFUNCTION("""COMPUTED_VALUE"""),3287896)</f>
        <v>3287896</v>
      </c>
      <c r="G49" s="16">
        <f>IFERROR(__xludf.DUMMYFUNCTION("""COMPUTED_VALUE"""),45812.6458333333)</f>
        <v>45812.6458333333</v>
      </c>
      <c r="H49" s="17">
        <f>IFERROR(__xludf.DUMMYFUNCTION("""COMPUTED_VALUE"""),2367.6)</f>
        <v>2367.6</v>
      </c>
      <c r="I49" s="16">
        <f>IFERROR(__xludf.DUMMYFUNCTION("""COMPUTED_VALUE"""),45812.6458333333)</f>
        <v>45812.6458333333</v>
      </c>
      <c r="J49" s="17">
        <f>IFERROR(__xludf.DUMMYFUNCTION("""COMPUTED_VALUE"""),2342.1)</f>
        <v>2342.1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IFERROR(__xludf.DUMMYFUNCTION("""COMPUTED_VALUE"""),2376.4)</f>
        <v>2376.4</v>
      </c>
      <c r="C50" s="16">
        <f>IFERROR(__xludf.DUMMYFUNCTION("""COMPUTED_VALUE"""),45813.6458333333)</f>
        <v>45813.6458333333</v>
      </c>
      <c r="D50" s="17">
        <f>IFERROR(__xludf.DUMMYFUNCTION("""COMPUTED_VALUE"""),2364.5)</f>
        <v>2364.5</v>
      </c>
      <c r="E50" s="16">
        <f>IFERROR(__xludf.DUMMYFUNCTION("""COMPUTED_VALUE"""),45813.6458333333)</f>
        <v>45813.6458333333</v>
      </c>
      <c r="F50" s="17">
        <f>IFERROR(__xludf.DUMMYFUNCTION("""COMPUTED_VALUE"""),1787978)</f>
        <v>1787978</v>
      </c>
      <c r="G50" s="16">
        <f>IFERROR(__xludf.DUMMYFUNCTION("""COMPUTED_VALUE"""),45813.6458333333)</f>
        <v>45813.6458333333</v>
      </c>
      <c r="H50" s="17">
        <f>IFERROR(__xludf.DUMMYFUNCTION("""COMPUTED_VALUE"""),2380)</f>
        <v>2380</v>
      </c>
      <c r="I50" s="16">
        <f>IFERROR(__xludf.DUMMYFUNCTION("""COMPUTED_VALUE"""),45813.6458333333)</f>
        <v>45813.6458333333</v>
      </c>
      <c r="J50" s="17">
        <f>IFERROR(__xludf.DUMMYFUNCTION("""COMPUTED_VALUE"""),2348.9)</f>
        <v>2348.9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IFERROR(__xludf.DUMMYFUNCTION("""COMPUTED_VALUE"""),2389.8)</f>
        <v>2389.8</v>
      </c>
      <c r="C51" s="16">
        <f>IFERROR(__xludf.DUMMYFUNCTION("""COMPUTED_VALUE"""),45814.6458333333)</f>
        <v>45814.6458333333</v>
      </c>
      <c r="D51" s="17">
        <f>IFERROR(__xludf.DUMMYFUNCTION("""COMPUTED_VALUE"""),2373.3)</f>
        <v>2373.3</v>
      </c>
      <c r="E51" s="16">
        <f>IFERROR(__xludf.DUMMYFUNCTION("""COMPUTED_VALUE"""),45814.6458333333)</f>
        <v>45814.6458333333</v>
      </c>
      <c r="F51" s="17">
        <f>IFERROR(__xludf.DUMMYFUNCTION("""COMPUTED_VALUE"""),997488)</f>
        <v>997488</v>
      </c>
      <c r="G51" s="16">
        <f>IFERROR(__xludf.DUMMYFUNCTION("""COMPUTED_VALUE"""),45814.6458333333)</f>
        <v>45814.6458333333</v>
      </c>
      <c r="H51" s="17">
        <f>IFERROR(__xludf.DUMMYFUNCTION("""COMPUTED_VALUE"""),2396.5)</f>
        <v>2396.5</v>
      </c>
      <c r="I51" s="16">
        <f>IFERROR(__xludf.DUMMYFUNCTION("""COMPUTED_VALUE"""),45814.6458333333)</f>
        <v>45814.6458333333</v>
      </c>
      <c r="J51" s="17">
        <f>IFERROR(__xludf.DUMMYFUNCTION("""COMPUTED_VALUE"""),2370.1)</f>
        <v>2370.1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IFERROR(__xludf.DUMMYFUNCTION("""COMPUTED_VALUE"""),2393.2)</f>
        <v>2393.2</v>
      </c>
      <c r="C52" s="16">
        <f>IFERROR(__xludf.DUMMYFUNCTION("""COMPUTED_VALUE"""),45817.6458333333)</f>
        <v>45817.6458333333</v>
      </c>
      <c r="D52" s="17">
        <f>IFERROR(__xludf.DUMMYFUNCTION("""COMPUTED_VALUE"""),2394)</f>
        <v>2394</v>
      </c>
      <c r="E52" s="16">
        <f>IFERROR(__xludf.DUMMYFUNCTION("""COMPUTED_VALUE"""),45817.6458333333)</f>
        <v>45817.6458333333</v>
      </c>
      <c r="F52" s="17">
        <f>IFERROR(__xludf.DUMMYFUNCTION("""COMPUTED_VALUE"""),1293622)</f>
        <v>1293622</v>
      </c>
      <c r="G52" s="16">
        <f>IFERROR(__xludf.DUMMYFUNCTION("""COMPUTED_VALUE"""),45817.6458333333)</f>
        <v>45817.6458333333</v>
      </c>
      <c r="H52" s="17">
        <f>IFERROR(__xludf.DUMMYFUNCTION("""COMPUTED_VALUE"""),2399)</f>
        <v>2399</v>
      </c>
      <c r="I52" s="16">
        <f>IFERROR(__xludf.DUMMYFUNCTION("""COMPUTED_VALUE"""),45817.6458333333)</f>
        <v>45817.6458333333</v>
      </c>
      <c r="J52" s="17">
        <f>IFERROR(__xludf.DUMMYFUNCTION("""COMPUTED_VALUE"""),2378.3)</f>
        <v>2378.3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IFERROR(__xludf.DUMMYFUNCTION("""COMPUTED_VALUE"""),2395.2)</f>
        <v>2395.2</v>
      </c>
      <c r="C53" s="16">
        <f>IFERROR(__xludf.DUMMYFUNCTION("""COMPUTED_VALUE"""),45818.6458333333)</f>
        <v>45818.6458333333</v>
      </c>
      <c r="D53" s="17">
        <f>IFERROR(__xludf.DUMMYFUNCTION("""COMPUTED_VALUE"""),2393.4)</f>
        <v>2393.4</v>
      </c>
      <c r="E53" s="16">
        <f>IFERROR(__xludf.DUMMYFUNCTION("""COMPUTED_VALUE"""),45818.6458333333)</f>
        <v>45818.6458333333</v>
      </c>
      <c r="F53" s="17">
        <f>IFERROR(__xludf.DUMMYFUNCTION("""COMPUTED_VALUE"""),1778782)</f>
        <v>1778782</v>
      </c>
      <c r="G53" s="16">
        <f>IFERROR(__xludf.DUMMYFUNCTION("""COMPUTED_VALUE"""),45818.6458333333)</f>
        <v>45818.6458333333</v>
      </c>
      <c r="H53" s="17">
        <f>IFERROR(__xludf.DUMMYFUNCTION("""COMPUTED_VALUE"""),2400.2)</f>
        <v>2400.2</v>
      </c>
      <c r="I53" s="16">
        <f>IFERROR(__xludf.DUMMYFUNCTION("""COMPUTED_VALUE"""),45818.6458333333)</f>
        <v>45818.6458333333</v>
      </c>
      <c r="J53" s="17">
        <f>IFERROR(__xludf.DUMMYFUNCTION("""COMPUTED_VALUE"""),2378.4)</f>
        <v>2378.4</v>
      </c>
      <c r="K53" s="3">
        <f t="shared" si="2"/>
        <v>2395.2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IFERROR(__xludf.DUMMYFUNCTION("""COMPUTED_VALUE"""),2376.4)</f>
        <v>2376.4</v>
      </c>
      <c r="C54" s="16">
        <f>IFERROR(__xludf.DUMMYFUNCTION("""COMPUTED_VALUE"""),45819.6458333333)</f>
        <v>45819.6458333333</v>
      </c>
      <c r="D54" s="17">
        <f>IFERROR(__xludf.DUMMYFUNCTION("""COMPUTED_VALUE"""),2395.2)</f>
        <v>2395.2</v>
      </c>
      <c r="E54" s="16">
        <f>IFERROR(__xludf.DUMMYFUNCTION("""COMPUTED_VALUE"""),45819.6458333333)</f>
        <v>45819.6458333333</v>
      </c>
      <c r="F54" s="17">
        <f>IFERROR(__xludf.DUMMYFUNCTION("""COMPUTED_VALUE"""),1977707)</f>
        <v>1977707</v>
      </c>
      <c r="G54" s="16">
        <f>IFERROR(__xludf.DUMMYFUNCTION("""COMPUTED_VALUE"""),45819.6458333333)</f>
        <v>45819.6458333333</v>
      </c>
      <c r="H54" s="17">
        <f>IFERROR(__xludf.DUMMYFUNCTION("""COMPUTED_VALUE"""),2402.9)</f>
        <v>2402.9</v>
      </c>
      <c r="I54" s="16">
        <f>IFERROR(__xludf.DUMMYFUNCTION("""COMPUTED_VALUE"""),45819.6458333333)</f>
        <v>45819.6458333333</v>
      </c>
      <c r="J54" s="17">
        <f>IFERROR(__xludf.DUMMYFUNCTION("""COMPUTED_VALUE"""),2371.3)</f>
        <v>2371.3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IFERROR(__xludf.DUMMYFUNCTION("""COMPUTED_VALUE"""),2332.7)</f>
        <v>2332.7</v>
      </c>
      <c r="C55" s="16">
        <f>IFERROR(__xludf.DUMMYFUNCTION("""COMPUTED_VALUE"""),45820.6458333333)</f>
        <v>45820.6458333333</v>
      </c>
      <c r="D55" s="17">
        <f>IFERROR(__xludf.DUMMYFUNCTION("""COMPUTED_VALUE"""),2386.9)</f>
        <v>2386.9</v>
      </c>
      <c r="E55" s="16">
        <f>IFERROR(__xludf.DUMMYFUNCTION("""COMPUTED_VALUE"""),45820.6458333333)</f>
        <v>45820.6458333333</v>
      </c>
      <c r="F55" s="17">
        <f>IFERROR(__xludf.DUMMYFUNCTION("""COMPUTED_VALUE"""),3339584)</f>
        <v>3339584</v>
      </c>
      <c r="G55" s="16">
        <f>IFERROR(__xludf.DUMMYFUNCTION("""COMPUTED_VALUE"""),45820.6458333333)</f>
        <v>45820.6458333333</v>
      </c>
      <c r="H55" s="17">
        <f>IFERROR(__xludf.DUMMYFUNCTION("""COMPUTED_VALUE"""),2388)</f>
        <v>2388</v>
      </c>
      <c r="I55" s="16">
        <f>IFERROR(__xludf.DUMMYFUNCTION("""COMPUTED_VALUE"""),45820.6458333333)</f>
        <v>45820.6458333333</v>
      </c>
      <c r="J55" s="17">
        <f>IFERROR(__xludf.DUMMYFUNCTION("""COMPUTED_VALUE"""),2324.1)</f>
        <v>2324.1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IFERROR(__xludf.DUMMYFUNCTION("""COMPUTED_VALUE"""),2319)</f>
        <v>2319</v>
      </c>
      <c r="C56" s="16">
        <f>IFERROR(__xludf.DUMMYFUNCTION("""COMPUTED_VALUE"""),45821.6458333333)</f>
        <v>45821.6458333333</v>
      </c>
      <c r="D56" s="17">
        <f>IFERROR(__xludf.DUMMYFUNCTION("""COMPUTED_VALUE"""),2305)</f>
        <v>2305</v>
      </c>
      <c r="E56" s="16">
        <f>IFERROR(__xludf.DUMMYFUNCTION("""COMPUTED_VALUE"""),45821.6458333333)</f>
        <v>45821.6458333333</v>
      </c>
      <c r="F56" s="17">
        <f>IFERROR(__xludf.DUMMYFUNCTION("""COMPUTED_VALUE"""),1740682)</f>
        <v>1740682</v>
      </c>
      <c r="G56" s="16">
        <f>IFERROR(__xludf.DUMMYFUNCTION("""COMPUTED_VALUE"""),45821.6458333333)</f>
        <v>45821.6458333333</v>
      </c>
      <c r="H56" s="17">
        <f>IFERROR(__xludf.DUMMYFUNCTION("""COMPUTED_VALUE"""),2324.9)</f>
        <v>2324.9</v>
      </c>
      <c r="I56" s="16">
        <f>IFERROR(__xludf.DUMMYFUNCTION("""COMPUTED_VALUE"""),45821.6458333333)</f>
        <v>45821.6458333333</v>
      </c>
      <c r="J56" s="17">
        <f>IFERROR(__xludf.DUMMYFUNCTION("""COMPUTED_VALUE"""),2302)</f>
        <v>2302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IFERROR(__xludf.DUMMYFUNCTION("""COMPUTED_VALUE"""),2327.4)</f>
        <v>2327.4</v>
      </c>
      <c r="C57" s="16">
        <f>IFERROR(__xludf.DUMMYFUNCTION("""COMPUTED_VALUE"""),45824.6458333333)</f>
        <v>45824.6458333333</v>
      </c>
      <c r="D57" s="17">
        <f>IFERROR(__xludf.DUMMYFUNCTION("""COMPUTED_VALUE"""),2320)</f>
        <v>2320</v>
      </c>
      <c r="E57" s="16">
        <f>IFERROR(__xludf.DUMMYFUNCTION("""COMPUTED_VALUE"""),45824.6458333333)</f>
        <v>45824.6458333333</v>
      </c>
      <c r="F57" s="17">
        <f>IFERROR(__xludf.DUMMYFUNCTION("""COMPUTED_VALUE"""),1105297)</f>
        <v>1105297</v>
      </c>
      <c r="G57" s="16">
        <f>IFERROR(__xludf.DUMMYFUNCTION("""COMPUTED_VALUE"""),45824.6458333333)</f>
        <v>45824.6458333333</v>
      </c>
      <c r="H57" s="17">
        <f>IFERROR(__xludf.DUMMYFUNCTION("""COMPUTED_VALUE"""),2336.6)</f>
        <v>2336.6</v>
      </c>
      <c r="I57" s="16">
        <f>IFERROR(__xludf.DUMMYFUNCTION("""COMPUTED_VALUE"""),45824.6458333333)</f>
        <v>45824.6458333333</v>
      </c>
      <c r="J57" s="17">
        <f>IFERROR(__xludf.DUMMYFUNCTION("""COMPUTED_VALUE"""),2313.1)</f>
        <v>2313.1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IFERROR(__xludf.DUMMYFUNCTION("""COMPUTED_VALUE"""),2328.6)</f>
        <v>2328.6</v>
      </c>
      <c r="C58" s="16">
        <f>IFERROR(__xludf.DUMMYFUNCTION("""COMPUTED_VALUE"""),45825.6458333333)</f>
        <v>45825.6458333333</v>
      </c>
      <c r="D58" s="17">
        <f>IFERROR(__xludf.DUMMYFUNCTION("""COMPUTED_VALUE"""),2320)</f>
        <v>2320</v>
      </c>
      <c r="E58" s="16">
        <f>IFERROR(__xludf.DUMMYFUNCTION("""COMPUTED_VALUE"""),45825.6458333333)</f>
        <v>45825.6458333333</v>
      </c>
      <c r="F58" s="17">
        <f>IFERROR(__xludf.DUMMYFUNCTION("""COMPUTED_VALUE"""),1119284)</f>
        <v>1119284</v>
      </c>
      <c r="G58" s="16">
        <f>IFERROR(__xludf.DUMMYFUNCTION("""COMPUTED_VALUE"""),45825.6458333333)</f>
        <v>45825.6458333333</v>
      </c>
      <c r="H58" s="17">
        <f>IFERROR(__xludf.DUMMYFUNCTION("""COMPUTED_VALUE"""),2333.1)</f>
        <v>2333.1</v>
      </c>
      <c r="I58" s="16">
        <f>IFERROR(__xludf.DUMMYFUNCTION("""COMPUTED_VALUE"""),45825.6458333333)</f>
        <v>45825.6458333333</v>
      </c>
      <c r="J58" s="17">
        <f>IFERROR(__xludf.DUMMYFUNCTION("""COMPUTED_VALUE"""),2313.1)</f>
        <v>2313.1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IFERROR(__xludf.DUMMYFUNCTION("""COMPUTED_VALUE"""),2297.3)</f>
        <v>2297.3</v>
      </c>
      <c r="C59" s="16">
        <f>IFERROR(__xludf.DUMMYFUNCTION("""COMPUTED_VALUE"""),45826.6458333333)</f>
        <v>45826.6458333333</v>
      </c>
      <c r="D59" s="17">
        <f>IFERROR(__xludf.DUMMYFUNCTION("""COMPUTED_VALUE"""),2327.7)</f>
        <v>2327.7</v>
      </c>
      <c r="E59" s="16">
        <f>IFERROR(__xludf.DUMMYFUNCTION("""COMPUTED_VALUE"""),45826.6458333333)</f>
        <v>45826.6458333333</v>
      </c>
      <c r="F59" s="17">
        <f>IFERROR(__xludf.DUMMYFUNCTION("""COMPUTED_VALUE"""),2056563)</f>
        <v>2056563</v>
      </c>
      <c r="G59" s="16">
        <f>IFERROR(__xludf.DUMMYFUNCTION("""COMPUTED_VALUE"""),45826.6458333333)</f>
        <v>45826.6458333333</v>
      </c>
      <c r="H59" s="17">
        <f>IFERROR(__xludf.DUMMYFUNCTION("""COMPUTED_VALUE"""),2331.4)</f>
        <v>2331.4</v>
      </c>
      <c r="I59" s="16">
        <f>IFERROR(__xludf.DUMMYFUNCTION("""COMPUTED_VALUE"""),45826.6458333333)</f>
        <v>45826.6458333333</v>
      </c>
      <c r="J59" s="17">
        <f>IFERROR(__xludf.DUMMYFUNCTION("""COMPUTED_VALUE"""),2285.5)</f>
        <v>2285.5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IFERROR(__xludf.DUMMYFUNCTION("""COMPUTED_VALUE"""),2294.2)</f>
        <v>2294.2</v>
      </c>
      <c r="C60" s="16">
        <f>IFERROR(__xludf.DUMMYFUNCTION("""COMPUTED_VALUE"""),45827.6458333333)</f>
        <v>45827.6458333333</v>
      </c>
      <c r="D60" s="17">
        <f>IFERROR(__xludf.DUMMYFUNCTION("""COMPUTED_VALUE"""),2300.1)</f>
        <v>2300.1</v>
      </c>
      <c r="E60" s="16">
        <f>IFERROR(__xludf.DUMMYFUNCTION("""COMPUTED_VALUE"""),45827.6458333333)</f>
        <v>45827.6458333333</v>
      </c>
      <c r="F60" s="17">
        <f>IFERROR(__xludf.DUMMYFUNCTION("""COMPUTED_VALUE"""),1214549)</f>
        <v>1214549</v>
      </c>
      <c r="G60" s="16">
        <f>IFERROR(__xludf.DUMMYFUNCTION("""COMPUTED_VALUE"""),45827.6458333333)</f>
        <v>45827.6458333333</v>
      </c>
      <c r="H60" s="17">
        <f>IFERROR(__xludf.DUMMYFUNCTION("""COMPUTED_VALUE"""),2307.8)</f>
        <v>2307.8</v>
      </c>
      <c r="I60" s="16">
        <f>IFERROR(__xludf.DUMMYFUNCTION("""COMPUTED_VALUE"""),45827.6458333333)</f>
        <v>45827.6458333333</v>
      </c>
      <c r="J60" s="17">
        <f>IFERROR(__xludf.DUMMYFUNCTION("""COMPUTED_VALUE"""),2290.3)</f>
        <v>2290.3</v>
      </c>
      <c r="K60" s="3">
        <f t="shared" si="2"/>
        <v>0</v>
      </c>
      <c r="L60" s="3">
        <f t="shared" si="3"/>
        <v>0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IFERROR(__xludf.DUMMYFUNCTION("""COMPUTED_VALUE"""),2306.2)</f>
        <v>2306.2</v>
      </c>
      <c r="C61" s="16">
        <f>IFERROR(__xludf.DUMMYFUNCTION("""COMPUTED_VALUE"""),45828.6458333333)</f>
        <v>45828.6458333333</v>
      </c>
      <c r="D61" s="17">
        <f>IFERROR(__xludf.DUMMYFUNCTION("""COMPUTED_VALUE"""),2295)</f>
        <v>2295</v>
      </c>
      <c r="E61" s="16">
        <f>IFERROR(__xludf.DUMMYFUNCTION("""COMPUTED_VALUE"""),45828.6458333333)</f>
        <v>45828.6458333333</v>
      </c>
      <c r="F61" s="17">
        <f>IFERROR(__xludf.DUMMYFUNCTION("""COMPUTED_VALUE"""),2685864)</f>
        <v>2685864</v>
      </c>
      <c r="G61" s="16">
        <f>IFERROR(__xludf.DUMMYFUNCTION("""COMPUTED_VALUE"""),45828.6458333333)</f>
        <v>45828.6458333333</v>
      </c>
      <c r="H61" s="17">
        <f>IFERROR(__xludf.DUMMYFUNCTION("""COMPUTED_VALUE"""),2313)</f>
        <v>2313</v>
      </c>
      <c r="I61" s="16">
        <f>IFERROR(__xludf.DUMMYFUNCTION("""COMPUTED_VALUE"""),45828.6458333333)</f>
        <v>45828.6458333333</v>
      </c>
      <c r="J61" s="17">
        <f>IFERROR(__xludf.DUMMYFUNCTION("""COMPUTED_VALUE"""),2292.4)</f>
        <v>2292.4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IFERROR(__xludf.DUMMYFUNCTION("""COMPUTED_VALUE"""),2275.1)</f>
        <v>2275.1</v>
      </c>
      <c r="C62" s="16">
        <f>IFERROR(__xludf.DUMMYFUNCTION("""COMPUTED_VALUE"""),45831.6458333333)</f>
        <v>45831.6458333333</v>
      </c>
      <c r="D62" s="17">
        <f>IFERROR(__xludf.DUMMYFUNCTION("""COMPUTED_VALUE"""),2283.4)</f>
        <v>2283.4</v>
      </c>
      <c r="E62" s="16">
        <f>IFERROR(__xludf.DUMMYFUNCTION("""COMPUTED_VALUE"""),45831.6458333333)</f>
        <v>45831.6458333333</v>
      </c>
      <c r="F62" s="17">
        <f>IFERROR(__xludf.DUMMYFUNCTION("""COMPUTED_VALUE"""),842856)</f>
        <v>842856</v>
      </c>
      <c r="G62" s="16">
        <f>IFERROR(__xludf.DUMMYFUNCTION("""COMPUTED_VALUE"""),45831.6458333333)</f>
        <v>45831.6458333333</v>
      </c>
      <c r="H62" s="17">
        <f>IFERROR(__xludf.DUMMYFUNCTION("""COMPUTED_VALUE"""),2286)</f>
        <v>2286</v>
      </c>
      <c r="I62" s="16">
        <f>IFERROR(__xludf.DUMMYFUNCTION("""COMPUTED_VALUE"""),45831.6458333333)</f>
        <v>45831.6458333333</v>
      </c>
      <c r="J62" s="17">
        <f>IFERROR(__xludf.DUMMYFUNCTION("""COMPUTED_VALUE"""),2258.7)</f>
        <v>2258.7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IFERROR(__xludf.DUMMYFUNCTION("""COMPUTED_VALUE"""),2263.1)</f>
        <v>2263.1</v>
      </c>
      <c r="C63" s="16">
        <f>IFERROR(__xludf.DUMMYFUNCTION("""COMPUTED_VALUE"""),45832.6458333333)</f>
        <v>45832.6458333333</v>
      </c>
      <c r="D63" s="17">
        <f>IFERROR(__xludf.DUMMYFUNCTION("""COMPUTED_VALUE"""),2295)</f>
        <v>2295</v>
      </c>
      <c r="E63" s="16">
        <f>IFERROR(__xludf.DUMMYFUNCTION("""COMPUTED_VALUE"""),45832.6458333333)</f>
        <v>45832.6458333333</v>
      </c>
      <c r="F63" s="17">
        <f>IFERROR(__xludf.DUMMYFUNCTION("""COMPUTED_VALUE"""),2440747)</f>
        <v>2440747</v>
      </c>
      <c r="G63" s="16">
        <f>IFERROR(__xludf.DUMMYFUNCTION("""COMPUTED_VALUE"""),45832.6458333333)</f>
        <v>45832.6458333333</v>
      </c>
      <c r="H63" s="17">
        <f>IFERROR(__xludf.DUMMYFUNCTION("""COMPUTED_VALUE"""),2301)</f>
        <v>2301</v>
      </c>
      <c r="I63" s="16">
        <f>IFERROR(__xludf.DUMMYFUNCTION("""COMPUTED_VALUE"""),45832.6458333333)</f>
        <v>45832.6458333333</v>
      </c>
      <c r="J63" s="17">
        <f>IFERROR(__xludf.DUMMYFUNCTION("""COMPUTED_VALUE"""),2260.3)</f>
        <v>2260.3</v>
      </c>
      <c r="K63" s="3">
        <f t="shared" si="2"/>
        <v>0</v>
      </c>
      <c r="L63" s="3">
        <f t="shared" si="3"/>
        <v>2263.1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IFERROR(__xludf.DUMMYFUNCTION("""COMPUTED_VALUE"""),2278.7)</f>
        <v>2278.7</v>
      </c>
      <c r="C64" s="16">
        <f>IFERROR(__xludf.DUMMYFUNCTION("""COMPUTED_VALUE"""),45833.6458333333)</f>
        <v>45833.6458333333</v>
      </c>
      <c r="D64" s="17">
        <f>IFERROR(__xludf.DUMMYFUNCTION("""COMPUTED_VALUE"""),2279)</f>
        <v>2279</v>
      </c>
      <c r="E64" s="16">
        <f>IFERROR(__xludf.DUMMYFUNCTION("""COMPUTED_VALUE"""),45833.6458333333)</f>
        <v>45833.6458333333</v>
      </c>
      <c r="F64" s="17">
        <f>IFERROR(__xludf.DUMMYFUNCTION("""COMPUTED_VALUE"""),1047270)</f>
        <v>1047270</v>
      </c>
      <c r="G64" s="16">
        <f>IFERROR(__xludf.DUMMYFUNCTION("""COMPUTED_VALUE"""),45833.6458333333)</f>
        <v>45833.6458333333</v>
      </c>
      <c r="H64" s="17">
        <f>IFERROR(__xludf.DUMMYFUNCTION("""COMPUTED_VALUE"""),2290.5)</f>
        <v>2290.5</v>
      </c>
      <c r="I64" s="16">
        <f>IFERROR(__xludf.DUMMYFUNCTION("""COMPUTED_VALUE"""),45833.6458333333)</f>
        <v>45833.6458333333</v>
      </c>
      <c r="J64" s="17">
        <f>IFERROR(__xludf.DUMMYFUNCTION("""COMPUTED_VALUE"""),2271.4)</f>
        <v>2271.4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IFERROR(__xludf.DUMMYFUNCTION("""COMPUTED_VALUE"""),2280.8)</f>
        <v>2280.8</v>
      </c>
      <c r="C65" s="16">
        <f>IFERROR(__xludf.DUMMYFUNCTION("""COMPUTED_VALUE"""),45834.6458333333)</f>
        <v>45834.6458333333</v>
      </c>
      <c r="D65" s="17">
        <f>IFERROR(__xludf.DUMMYFUNCTION("""COMPUTED_VALUE"""),2288.9)</f>
        <v>2288.9</v>
      </c>
      <c r="E65" s="16">
        <f>IFERROR(__xludf.DUMMYFUNCTION("""COMPUTED_VALUE"""),45834.6458333333)</f>
        <v>45834.6458333333</v>
      </c>
      <c r="F65" s="17">
        <f>IFERROR(__xludf.DUMMYFUNCTION("""COMPUTED_VALUE"""),1874722)</f>
        <v>1874722</v>
      </c>
      <c r="G65" s="16">
        <f>IFERROR(__xludf.DUMMYFUNCTION("""COMPUTED_VALUE"""),45834.6458333333)</f>
        <v>45834.6458333333</v>
      </c>
      <c r="H65" s="17">
        <f>IFERROR(__xludf.DUMMYFUNCTION("""COMPUTED_VALUE"""),2291)</f>
        <v>2291</v>
      </c>
      <c r="I65" s="16">
        <f>IFERROR(__xludf.DUMMYFUNCTION("""COMPUTED_VALUE"""),45834.6458333333)</f>
        <v>45834.6458333333</v>
      </c>
      <c r="J65" s="17">
        <f>IFERROR(__xludf.DUMMYFUNCTION("""COMPUTED_VALUE"""),2271.6)</f>
        <v>2271.6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IFERROR(__xludf.DUMMYFUNCTION("""COMPUTED_VALUE"""),2306.9)</f>
        <v>2306.9</v>
      </c>
      <c r="C66" s="16">
        <f>IFERROR(__xludf.DUMMYFUNCTION("""COMPUTED_VALUE"""),45835.6458333333)</f>
        <v>45835.6458333333</v>
      </c>
      <c r="D66" s="17">
        <f>IFERROR(__xludf.DUMMYFUNCTION("""COMPUTED_VALUE"""),2280.8)</f>
        <v>2280.8</v>
      </c>
      <c r="E66" s="16">
        <f>IFERROR(__xludf.DUMMYFUNCTION("""COMPUTED_VALUE"""),45835.6458333333)</f>
        <v>45835.6458333333</v>
      </c>
      <c r="F66" s="17">
        <f>IFERROR(__xludf.DUMMYFUNCTION("""COMPUTED_VALUE"""),1050745)</f>
        <v>1050745</v>
      </c>
      <c r="G66" s="16">
        <f>IFERROR(__xludf.DUMMYFUNCTION("""COMPUTED_VALUE"""),45835.6458333333)</f>
        <v>45835.6458333333</v>
      </c>
      <c r="H66" s="17">
        <f>IFERROR(__xludf.DUMMYFUNCTION("""COMPUTED_VALUE"""),2310.5)</f>
        <v>2310.5</v>
      </c>
      <c r="I66" s="16">
        <f>IFERROR(__xludf.DUMMYFUNCTION("""COMPUTED_VALUE"""),45835.6458333333)</f>
        <v>45835.6458333333</v>
      </c>
      <c r="J66" s="17">
        <f>IFERROR(__xludf.DUMMYFUNCTION("""COMPUTED_VALUE"""),2279.3)</f>
        <v>2279.3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IFERROR(__xludf.DUMMYFUNCTION("""COMPUTED_VALUE"""),2294.6)</f>
        <v>2294.6</v>
      </c>
      <c r="C67" s="16">
        <f>IFERROR(__xludf.DUMMYFUNCTION("""COMPUTED_VALUE"""),45838.6458333333)</f>
        <v>45838.6458333333</v>
      </c>
      <c r="D67" s="17">
        <f>IFERROR(__xludf.DUMMYFUNCTION("""COMPUTED_VALUE"""),2309.9)</f>
        <v>2309.9</v>
      </c>
      <c r="E67" s="16">
        <f>IFERROR(__xludf.DUMMYFUNCTION("""COMPUTED_VALUE"""),45838.6458333333)</f>
        <v>45838.6458333333</v>
      </c>
      <c r="F67" s="17">
        <f>IFERROR(__xludf.DUMMYFUNCTION("""COMPUTED_VALUE"""),1403754)</f>
        <v>1403754</v>
      </c>
      <c r="G67" s="16">
        <f>IFERROR(__xludf.DUMMYFUNCTION("""COMPUTED_VALUE"""),45838.6458333333)</f>
        <v>45838.6458333333</v>
      </c>
      <c r="H67" s="17">
        <f>IFERROR(__xludf.DUMMYFUNCTION("""COMPUTED_VALUE"""),2317)</f>
        <v>2317</v>
      </c>
      <c r="I67" s="16">
        <f>IFERROR(__xludf.DUMMYFUNCTION("""COMPUTED_VALUE"""),45838.6458333333)</f>
        <v>45838.6458333333</v>
      </c>
      <c r="J67" s="17">
        <f>IFERROR(__xludf.DUMMYFUNCTION("""COMPUTED_VALUE"""),2288)</f>
        <v>2288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IFERROR(__xludf.DUMMYFUNCTION("""COMPUTED_VALUE"""),2295.5)</f>
        <v>2295.5</v>
      </c>
      <c r="C68" s="16">
        <f>IFERROR(__xludf.DUMMYFUNCTION("""COMPUTED_VALUE"""),45839.6458333333)</f>
        <v>45839.6458333333</v>
      </c>
      <c r="D68" s="17">
        <f>IFERROR(__xludf.DUMMYFUNCTION("""COMPUTED_VALUE"""),2300)</f>
        <v>2300</v>
      </c>
      <c r="E68" s="16">
        <f>IFERROR(__xludf.DUMMYFUNCTION("""COMPUTED_VALUE"""),45839.6458333333)</f>
        <v>45839.6458333333</v>
      </c>
      <c r="F68" s="17">
        <f>IFERROR(__xludf.DUMMYFUNCTION("""COMPUTED_VALUE"""),759914)</f>
        <v>759914</v>
      </c>
      <c r="G68" s="16">
        <f>IFERROR(__xludf.DUMMYFUNCTION("""COMPUTED_VALUE"""),45839.6458333333)</f>
        <v>45839.6458333333</v>
      </c>
      <c r="H68" s="17">
        <f>IFERROR(__xludf.DUMMYFUNCTION("""COMPUTED_VALUE"""),2302.6)</f>
        <v>2302.6</v>
      </c>
      <c r="I68" s="16">
        <f>IFERROR(__xludf.DUMMYFUNCTION("""COMPUTED_VALUE"""),45839.6458333333)</f>
        <v>45839.6458333333</v>
      </c>
      <c r="J68" s="17">
        <f>IFERROR(__xludf.DUMMYFUNCTION("""COMPUTED_VALUE"""),2286.6)</f>
        <v>2286.6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IFERROR(__xludf.DUMMYFUNCTION("""COMPUTED_VALUE"""),2307.1)</f>
        <v>2307.1</v>
      </c>
      <c r="C69" s="16">
        <f>IFERROR(__xludf.DUMMYFUNCTION("""COMPUTED_VALUE"""),45840.6458333333)</f>
        <v>45840.6458333333</v>
      </c>
      <c r="D69" s="17">
        <f>IFERROR(__xludf.DUMMYFUNCTION("""COMPUTED_VALUE"""),2295)</f>
        <v>2295</v>
      </c>
      <c r="E69" s="16">
        <f>IFERROR(__xludf.DUMMYFUNCTION("""COMPUTED_VALUE"""),45840.6458333333)</f>
        <v>45840.6458333333</v>
      </c>
      <c r="F69" s="17">
        <f>IFERROR(__xludf.DUMMYFUNCTION("""COMPUTED_VALUE"""),1128034)</f>
        <v>1128034</v>
      </c>
      <c r="G69" s="16">
        <f>IFERROR(__xludf.DUMMYFUNCTION("""COMPUTED_VALUE"""),45840.6458333333)</f>
        <v>45840.6458333333</v>
      </c>
      <c r="H69" s="17">
        <f>IFERROR(__xludf.DUMMYFUNCTION("""COMPUTED_VALUE"""),2309)</f>
        <v>2309</v>
      </c>
      <c r="I69" s="16">
        <f>IFERROR(__xludf.DUMMYFUNCTION("""COMPUTED_VALUE"""),45840.6458333333)</f>
        <v>45840.6458333333</v>
      </c>
      <c r="J69" s="17">
        <f>IFERROR(__xludf.DUMMYFUNCTION("""COMPUTED_VALUE"""),2287.6)</f>
        <v>2287.6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IFERROR(__xludf.DUMMYFUNCTION("""COMPUTED_VALUE"""),2313.4)</f>
        <v>2313.4</v>
      </c>
      <c r="C70" s="16">
        <f>IFERROR(__xludf.DUMMYFUNCTION("""COMPUTED_VALUE"""),45841.6458333333)</f>
        <v>45841.6458333333</v>
      </c>
      <c r="D70" s="17">
        <f>IFERROR(__xludf.DUMMYFUNCTION("""COMPUTED_VALUE"""),2310)</f>
        <v>2310</v>
      </c>
      <c r="E70" s="16">
        <f>IFERROR(__xludf.DUMMYFUNCTION("""COMPUTED_VALUE"""),45841.6458333333)</f>
        <v>45841.6458333333</v>
      </c>
      <c r="F70" s="17">
        <f>IFERROR(__xludf.DUMMYFUNCTION("""COMPUTED_VALUE"""),1060039)</f>
        <v>1060039</v>
      </c>
      <c r="G70" s="16">
        <f>IFERROR(__xludf.DUMMYFUNCTION("""COMPUTED_VALUE"""),45841.6458333333)</f>
        <v>45841.6458333333</v>
      </c>
      <c r="H70" s="17">
        <f>IFERROR(__xludf.DUMMYFUNCTION("""COMPUTED_VALUE"""),2326.9)</f>
        <v>2326.9</v>
      </c>
      <c r="I70" s="16">
        <f>IFERROR(__xludf.DUMMYFUNCTION("""COMPUTED_VALUE"""),45841.6458333333)</f>
        <v>45841.6458333333</v>
      </c>
      <c r="J70" s="17">
        <f>IFERROR(__xludf.DUMMYFUNCTION("""COMPUTED_VALUE"""),2304)</f>
        <v>2304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IFERROR(__xludf.DUMMYFUNCTION("""COMPUTED_VALUE"""),2339.3)</f>
        <v>2339.3</v>
      </c>
      <c r="C71" s="16">
        <f>IFERROR(__xludf.DUMMYFUNCTION("""COMPUTED_VALUE"""),45842.6458333333)</f>
        <v>45842.6458333333</v>
      </c>
      <c r="D71" s="17">
        <f>IFERROR(__xludf.DUMMYFUNCTION("""COMPUTED_VALUE"""),2318)</f>
        <v>2318</v>
      </c>
      <c r="E71" s="16">
        <f>IFERROR(__xludf.DUMMYFUNCTION("""COMPUTED_VALUE"""),45842.6458333333)</f>
        <v>45842.6458333333</v>
      </c>
      <c r="F71" s="17">
        <f>IFERROR(__xludf.DUMMYFUNCTION("""COMPUTED_VALUE"""),1242346)</f>
        <v>1242346</v>
      </c>
      <c r="G71" s="16">
        <f>IFERROR(__xludf.DUMMYFUNCTION("""COMPUTED_VALUE"""),45842.6458333333)</f>
        <v>45842.6458333333</v>
      </c>
      <c r="H71" s="17">
        <f>IFERROR(__xludf.DUMMYFUNCTION("""COMPUTED_VALUE"""),2341.4)</f>
        <v>2341.4</v>
      </c>
      <c r="I71" s="16">
        <f>IFERROR(__xludf.DUMMYFUNCTION("""COMPUTED_VALUE"""),45842.6458333333)</f>
        <v>45842.6458333333</v>
      </c>
      <c r="J71" s="17">
        <f>IFERROR(__xludf.DUMMYFUNCTION("""COMPUTED_VALUE"""),2310.3)</f>
        <v>2310.3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IFERROR(__xludf.DUMMYFUNCTION("""COMPUTED_VALUE"""),2410.4)</f>
        <v>2410.4</v>
      </c>
      <c r="C72" s="16">
        <f>IFERROR(__xludf.DUMMYFUNCTION("""COMPUTED_VALUE"""),45845.6458333333)</f>
        <v>45845.6458333333</v>
      </c>
      <c r="D72" s="17">
        <f>IFERROR(__xludf.DUMMYFUNCTION("""COMPUTED_VALUE"""),2341)</f>
        <v>2341</v>
      </c>
      <c r="E72" s="16">
        <f>IFERROR(__xludf.DUMMYFUNCTION("""COMPUTED_VALUE"""),45845.6458333333)</f>
        <v>45845.6458333333</v>
      </c>
      <c r="F72" s="17">
        <f>IFERROR(__xludf.DUMMYFUNCTION("""COMPUTED_VALUE"""),2701583)</f>
        <v>2701583</v>
      </c>
      <c r="G72" s="16">
        <f>IFERROR(__xludf.DUMMYFUNCTION("""COMPUTED_VALUE"""),45845.6458333333)</f>
        <v>45845.6458333333</v>
      </c>
      <c r="H72" s="17">
        <f>IFERROR(__xludf.DUMMYFUNCTION("""COMPUTED_VALUE"""),2415.7)</f>
        <v>2415.7</v>
      </c>
      <c r="I72" s="16">
        <f>IFERROR(__xludf.DUMMYFUNCTION("""COMPUTED_VALUE"""),45845.6458333333)</f>
        <v>45845.6458333333</v>
      </c>
      <c r="J72" s="17">
        <f>IFERROR(__xludf.DUMMYFUNCTION("""COMPUTED_VALUE"""),2341)</f>
        <v>2341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IFERROR(__xludf.DUMMYFUNCTION("""COMPUTED_VALUE"""),2392.7)</f>
        <v>2392.7</v>
      </c>
      <c r="C73" s="16">
        <f>IFERROR(__xludf.DUMMYFUNCTION("""COMPUTED_VALUE"""),45846.6458333333)</f>
        <v>45846.6458333333</v>
      </c>
      <c r="D73" s="17">
        <f>IFERROR(__xludf.DUMMYFUNCTION("""COMPUTED_VALUE"""),2405.4)</f>
        <v>2405.4</v>
      </c>
      <c r="E73" s="16">
        <f>IFERROR(__xludf.DUMMYFUNCTION("""COMPUTED_VALUE"""),45846.6458333333)</f>
        <v>45846.6458333333</v>
      </c>
      <c r="F73" s="17">
        <f>IFERROR(__xludf.DUMMYFUNCTION("""COMPUTED_VALUE"""),1471046)</f>
        <v>1471046</v>
      </c>
      <c r="G73" s="16">
        <f>IFERROR(__xludf.DUMMYFUNCTION("""COMPUTED_VALUE"""),45846.6458333333)</f>
        <v>45846.6458333333</v>
      </c>
      <c r="H73" s="17">
        <f>IFERROR(__xludf.DUMMYFUNCTION("""COMPUTED_VALUE"""),2418.5)</f>
        <v>2418.5</v>
      </c>
      <c r="I73" s="16">
        <f>IFERROR(__xludf.DUMMYFUNCTION("""COMPUTED_VALUE"""),45846.6458333333)</f>
        <v>45846.6458333333</v>
      </c>
      <c r="J73" s="17">
        <f>IFERROR(__xludf.DUMMYFUNCTION("""COMPUTED_VALUE"""),2386)</f>
        <v>2386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IFERROR(__xludf.DUMMYFUNCTION("""COMPUTED_VALUE"""),2423.4)</f>
        <v>2423.4</v>
      </c>
      <c r="C74" s="16">
        <f>IFERROR(__xludf.DUMMYFUNCTION("""COMPUTED_VALUE"""),45847.6458333333)</f>
        <v>45847.6458333333</v>
      </c>
      <c r="D74" s="17">
        <f>IFERROR(__xludf.DUMMYFUNCTION("""COMPUTED_VALUE"""),2399)</f>
        <v>2399</v>
      </c>
      <c r="E74" s="16">
        <f>IFERROR(__xludf.DUMMYFUNCTION("""COMPUTED_VALUE"""),45847.6458333333)</f>
        <v>45847.6458333333</v>
      </c>
      <c r="F74" s="17">
        <f>IFERROR(__xludf.DUMMYFUNCTION("""COMPUTED_VALUE"""),1741690)</f>
        <v>1741690</v>
      </c>
      <c r="G74" s="16">
        <f>IFERROR(__xludf.DUMMYFUNCTION("""COMPUTED_VALUE"""),45847.6458333333)</f>
        <v>45847.6458333333</v>
      </c>
      <c r="H74" s="17">
        <f>IFERROR(__xludf.DUMMYFUNCTION("""COMPUTED_VALUE"""),2439.7)</f>
        <v>2439.7</v>
      </c>
      <c r="I74" s="16">
        <f>IFERROR(__xludf.DUMMYFUNCTION("""COMPUTED_VALUE"""),45847.6458333333)</f>
        <v>45847.6458333333</v>
      </c>
      <c r="J74" s="17">
        <f>IFERROR(__xludf.DUMMYFUNCTION("""COMPUTED_VALUE"""),2397.1)</f>
        <v>2397.1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IFERROR(__xludf.DUMMYFUNCTION("""COMPUTED_VALUE"""),2408.4)</f>
        <v>2408.4</v>
      </c>
      <c r="C75" s="16">
        <f>IFERROR(__xludf.DUMMYFUNCTION("""COMPUTED_VALUE"""),45848.6458333333)</f>
        <v>45848.6458333333</v>
      </c>
      <c r="D75" s="17">
        <f>IFERROR(__xludf.DUMMYFUNCTION("""COMPUTED_VALUE"""),2423.4)</f>
        <v>2423.4</v>
      </c>
      <c r="E75" s="16">
        <f>IFERROR(__xludf.DUMMYFUNCTION("""COMPUTED_VALUE"""),45848.6458333333)</f>
        <v>45848.6458333333</v>
      </c>
      <c r="F75" s="17">
        <f>IFERROR(__xludf.DUMMYFUNCTION("""COMPUTED_VALUE"""),1053695)</f>
        <v>1053695</v>
      </c>
      <c r="G75" s="16">
        <f>IFERROR(__xludf.DUMMYFUNCTION("""COMPUTED_VALUE"""),45848.6458333333)</f>
        <v>45848.6458333333</v>
      </c>
      <c r="H75" s="17">
        <f>IFERROR(__xludf.DUMMYFUNCTION("""COMPUTED_VALUE"""),2434)</f>
        <v>2434</v>
      </c>
      <c r="I75" s="16">
        <f>IFERROR(__xludf.DUMMYFUNCTION("""COMPUTED_VALUE"""),45848.6458333333)</f>
        <v>45848.6458333333</v>
      </c>
      <c r="J75" s="17">
        <f>IFERROR(__xludf.DUMMYFUNCTION("""COMPUTED_VALUE"""),2397.6)</f>
        <v>2397.6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IFERROR(__xludf.DUMMYFUNCTION("""COMPUTED_VALUE"""),2519.6)</f>
        <v>2519.6</v>
      </c>
      <c r="C76" s="16">
        <f>IFERROR(__xludf.DUMMYFUNCTION("""COMPUTED_VALUE"""),45849.6458333333)</f>
        <v>45849.6458333333</v>
      </c>
      <c r="D76" s="17">
        <f>IFERROR(__xludf.DUMMYFUNCTION("""COMPUTED_VALUE"""),2500)</f>
        <v>2500</v>
      </c>
      <c r="E76" s="16">
        <f>IFERROR(__xludf.DUMMYFUNCTION("""COMPUTED_VALUE"""),45849.6458333333)</f>
        <v>45849.6458333333</v>
      </c>
      <c r="F76" s="17">
        <f>IFERROR(__xludf.DUMMYFUNCTION("""COMPUTED_VALUE"""),7242235)</f>
        <v>7242235</v>
      </c>
      <c r="G76" s="16">
        <f>IFERROR(__xludf.DUMMYFUNCTION("""COMPUTED_VALUE"""),45849.6458333333)</f>
        <v>45849.6458333333</v>
      </c>
      <c r="H76" s="17">
        <f>IFERROR(__xludf.DUMMYFUNCTION("""COMPUTED_VALUE"""),2530)</f>
        <v>2530</v>
      </c>
      <c r="I76" s="16">
        <f>IFERROR(__xludf.DUMMYFUNCTION("""COMPUTED_VALUE"""),45849.6458333333)</f>
        <v>45849.6458333333</v>
      </c>
      <c r="J76" s="17">
        <f>IFERROR(__xludf.DUMMYFUNCTION("""COMPUTED_VALUE"""),2461)</f>
        <v>2461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IFERROR(__xludf.DUMMYFUNCTION("""COMPUTED_VALUE"""),2516.6)</f>
        <v>2516.6</v>
      </c>
      <c r="C77" s="16">
        <f>IFERROR(__xludf.DUMMYFUNCTION("""COMPUTED_VALUE"""),45852.6458333333)</f>
        <v>45852.6458333333</v>
      </c>
      <c r="D77" s="17">
        <f>IFERROR(__xludf.DUMMYFUNCTION("""COMPUTED_VALUE"""),2500)</f>
        <v>2500</v>
      </c>
      <c r="E77" s="16">
        <f>IFERROR(__xludf.DUMMYFUNCTION("""COMPUTED_VALUE"""),45852.6458333333)</f>
        <v>45852.6458333333</v>
      </c>
      <c r="F77" s="17">
        <f>IFERROR(__xludf.DUMMYFUNCTION("""COMPUTED_VALUE"""),2427712)</f>
        <v>2427712</v>
      </c>
      <c r="G77" s="16">
        <f>IFERROR(__xludf.DUMMYFUNCTION("""COMPUTED_VALUE"""),45852.6458333333)</f>
        <v>45852.6458333333</v>
      </c>
      <c r="H77" s="17">
        <f>IFERROR(__xludf.DUMMYFUNCTION("""COMPUTED_VALUE"""),2532.5)</f>
        <v>2532.5</v>
      </c>
      <c r="I77" s="16">
        <f>IFERROR(__xludf.DUMMYFUNCTION("""COMPUTED_VALUE"""),45852.6458333333)</f>
        <v>45852.6458333333</v>
      </c>
      <c r="J77" s="17">
        <f>IFERROR(__xludf.DUMMYFUNCTION("""COMPUTED_VALUE"""),2490)</f>
        <v>2490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IFERROR(__xludf.DUMMYFUNCTION("""COMPUTED_VALUE"""),2526.9)</f>
        <v>2526.9</v>
      </c>
      <c r="C78" s="16">
        <f>IFERROR(__xludf.DUMMYFUNCTION("""COMPUTED_VALUE"""),45853.6458333333)</f>
        <v>45853.6458333333</v>
      </c>
      <c r="D78" s="17">
        <f>IFERROR(__xludf.DUMMYFUNCTION("""COMPUTED_VALUE"""),2520.7)</f>
        <v>2520.7</v>
      </c>
      <c r="E78" s="16">
        <f>IFERROR(__xludf.DUMMYFUNCTION("""COMPUTED_VALUE"""),45853.6458333333)</f>
        <v>45853.6458333333</v>
      </c>
      <c r="F78" s="17">
        <f>IFERROR(__xludf.DUMMYFUNCTION("""COMPUTED_VALUE"""),1700294)</f>
        <v>1700294</v>
      </c>
      <c r="G78" s="16">
        <f>IFERROR(__xludf.DUMMYFUNCTION("""COMPUTED_VALUE"""),45853.6458333333)</f>
        <v>45853.6458333333</v>
      </c>
      <c r="H78" s="17">
        <f>IFERROR(__xludf.DUMMYFUNCTION("""COMPUTED_VALUE"""),2529.9)</f>
        <v>2529.9</v>
      </c>
      <c r="I78" s="16">
        <f>IFERROR(__xludf.DUMMYFUNCTION("""COMPUTED_VALUE"""),45853.6458333333)</f>
        <v>45853.6458333333</v>
      </c>
      <c r="J78" s="17">
        <f>IFERROR(__xludf.DUMMYFUNCTION("""COMPUTED_VALUE"""),2510)</f>
        <v>2510</v>
      </c>
      <c r="K78" s="3">
        <f t="shared" si="2"/>
        <v>2526.9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IFERROR(__xludf.DUMMYFUNCTION("""COMPUTED_VALUE"""),2517.6)</f>
        <v>2517.6</v>
      </c>
      <c r="C79" s="16">
        <f>IFERROR(__xludf.DUMMYFUNCTION("""COMPUTED_VALUE"""),45854.6458333333)</f>
        <v>45854.6458333333</v>
      </c>
      <c r="D79" s="17">
        <f>IFERROR(__xludf.DUMMYFUNCTION("""COMPUTED_VALUE"""),2526.3)</f>
        <v>2526.3</v>
      </c>
      <c r="E79" s="16">
        <f>IFERROR(__xludf.DUMMYFUNCTION("""COMPUTED_VALUE"""),45854.6458333333)</f>
        <v>45854.6458333333</v>
      </c>
      <c r="F79" s="17">
        <f>IFERROR(__xludf.DUMMYFUNCTION("""COMPUTED_VALUE"""),1284379)</f>
        <v>1284379</v>
      </c>
      <c r="G79" s="16">
        <f>IFERROR(__xludf.DUMMYFUNCTION("""COMPUTED_VALUE"""),45854.6458333333)</f>
        <v>45854.6458333333</v>
      </c>
      <c r="H79" s="17">
        <f>IFERROR(__xludf.DUMMYFUNCTION("""COMPUTED_VALUE"""),2532.9)</f>
        <v>2532.9</v>
      </c>
      <c r="I79" s="16">
        <f>IFERROR(__xludf.DUMMYFUNCTION("""COMPUTED_VALUE"""),45854.6458333333)</f>
        <v>45854.6458333333</v>
      </c>
      <c r="J79" s="17">
        <f>IFERROR(__xludf.DUMMYFUNCTION("""COMPUTED_VALUE"""),2507.5)</f>
        <v>2507.5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IFERROR(__xludf.DUMMYFUNCTION("""COMPUTED_VALUE"""),2509.8)</f>
        <v>2509.8</v>
      </c>
      <c r="C80" s="16">
        <f>IFERROR(__xludf.DUMMYFUNCTION("""COMPUTED_VALUE"""),45855.6458333333)</f>
        <v>45855.6458333333</v>
      </c>
      <c r="D80" s="17">
        <f>IFERROR(__xludf.DUMMYFUNCTION("""COMPUTED_VALUE"""),2513)</f>
        <v>2513</v>
      </c>
      <c r="E80" s="16">
        <f>IFERROR(__xludf.DUMMYFUNCTION("""COMPUTED_VALUE"""),45855.6458333333)</f>
        <v>45855.6458333333</v>
      </c>
      <c r="F80" s="17">
        <f>IFERROR(__xludf.DUMMYFUNCTION("""COMPUTED_VALUE"""),807474)</f>
        <v>807474</v>
      </c>
      <c r="G80" s="16">
        <f>IFERROR(__xludf.DUMMYFUNCTION("""COMPUTED_VALUE"""),45855.6458333333)</f>
        <v>45855.6458333333</v>
      </c>
      <c r="H80" s="17">
        <f>IFERROR(__xludf.DUMMYFUNCTION("""COMPUTED_VALUE"""),2525.4)</f>
        <v>2525.4</v>
      </c>
      <c r="I80" s="16">
        <f>IFERROR(__xludf.DUMMYFUNCTION("""COMPUTED_VALUE"""),45855.6458333333)</f>
        <v>45855.6458333333</v>
      </c>
      <c r="J80" s="17">
        <f>IFERROR(__xludf.DUMMYFUNCTION("""COMPUTED_VALUE"""),2506.2)</f>
        <v>2506.2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IFERROR(__xludf.DUMMYFUNCTION("""COMPUTED_VALUE"""),2489.6)</f>
        <v>2489.6</v>
      </c>
      <c r="C81" s="16">
        <f>IFERROR(__xludf.DUMMYFUNCTION("""COMPUTED_VALUE"""),45856.6458333333)</f>
        <v>45856.6458333333</v>
      </c>
      <c r="D81" s="17">
        <f>IFERROR(__xludf.DUMMYFUNCTION("""COMPUTED_VALUE"""),2514.9)</f>
        <v>2514.9</v>
      </c>
      <c r="E81" s="16">
        <f>IFERROR(__xludf.DUMMYFUNCTION("""COMPUTED_VALUE"""),45856.6458333333)</f>
        <v>45856.6458333333</v>
      </c>
      <c r="F81" s="17">
        <f>IFERROR(__xludf.DUMMYFUNCTION("""COMPUTED_VALUE"""),771112)</f>
        <v>771112</v>
      </c>
      <c r="G81" s="16">
        <f>IFERROR(__xludf.DUMMYFUNCTION("""COMPUTED_VALUE"""),45856.6458333333)</f>
        <v>45856.6458333333</v>
      </c>
      <c r="H81" s="17">
        <f>IFERROR(__xludf.DUMMYFUNCTION("""COMPUTED_VALUE"""),2514.9)</f>
        <v>2514.9</v>
      </c>
      <c r="I81" s="16">
        <f>IFERROR(__xludf.DUMMYFUNCTION("""COMPUTED_VALUE"""),45856.6458333333)</f>
        <v>45856.6458333333</v>
      </c>
      <c r="J81" s="17">
        <f>IFERROR(__xludf.DUMMYFUNCTION("""COMPUTED_VALUE"""),2481.5)</f>
        <v>2481.5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IFERROR(__xludf.DUMMYFUNCTION("""COMPUTED_VALUE"""),2464.9)</f>
        <v>2464.9</v>
      </c>
      <c r="C82" s="16">
        <f>IFERROR(__xludf.DUMMYFUNCTION("""COMPUTED_VALUE"""),45859.6458333333)</f>
        <v>45859.6458333333</v>
      </c>
      <c r="D82" s="17">
        <f>IFERROR(__xludf.DUMMYFUNCTION("""COMPUTED_VALUE"""),2490.9)</f>
        <v>2490.9</v>
      </c>
      <c r="E82" s="16">
        <f>IFERROR(__xludf.DUMMYFUNCTION("""COMPUTED_VALUE"""),45859.6458333333)</f>
        <v>45859.6458333333</v>
      </c>
      <c r="F82" s="17">
        <f>IFERROR(__xludf.DUMMYFUNCTION("""COMPUTED_VALUE"""),1169960)</f>
        <v>1169960</v>
      </c>
      <c r="G82" s="16">
        <f>IFERROR(__xludf.DUMMYFUNCTION("""COMPUTED_VALUE"""),45859.6458333333)</f>
        <v>45859.6458333333</v>
      </c>
      <c r="H82" s="17">
        <f>IFERROR(__xludf.DUMMYFUNCTION("""COMPUTED_VALUE"""),2493.6)</f>
        <v>2493.6</v>
      </c>
      <c r="I82" s="16">
        <f>IFERROR(__xludf.DUMMYFUNCTION("""COMPUTED_VALUE"""),45859.6458333333)</f>
        <v>45859.6458333333</v>
      </c>
      <c r="J82" s="17">
        <f>IFERROR(__xludf.DUMMYFUNCTION("""COMPUTED_VALUE"""),2455.4)</f>
        <v>2455.4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IFERROR(__xludf.DUMMYFUNCTION("""COMPUTED_VALUE"""),2479.7)</f>
        <v>2479.7</v>
      </c>
      <c r="C83" s="16">
        <f>IFERROR(__xludf.DUMMYFUNCTION("""COMPUTED_VALUE"""),45860.6458333333)</f>
        <v>45860.6458333333</v>
      </c>
      <c r="D83" s="17">
        <f>IFERROR(__xludf.DUMMYFUNCTION("""COMPUTED_VALUE"""),2470)</f>
        <v>2470</v>
      </c>
      <c r="E83" s="16">
        <f>IFERROR(__xludf.DUMMYFUNCTION("""COMPUTED_VALUE"""),45860.6458333333)</f>
        <v>45860.6458333333</v>
      </c>
      <c r="F83" s="17">
        <f>IFERROR(__xludf.DUMMYFUNCTION("""COMPUTED_VALUE"""),861632)</f>
        <v>861632</v>
      </c>
      <c r="G83" s="16">
        <f>IFERROR(__xludf.DUMMYFUNCTION("""COMPUTED_VALUE"""),45860.6458333333)</f>
        <v>45860.6458333333</v>
      </c>
      <c r="H83" s="17">
        <f>IFERROR(__xludf.DUMMYFUNCTION("""COMPUTED_VALUE"""),2485)</f>
        <v>2485</v>
      </c>
      <c r="I83" s="16">
        <f>IFERROR(__xludf.DUMMYFUNCTION("""COMPUTED_VALUE"""),45860.6458333333)</f>
        <v>45860.6458333333</v>
      </c>
      <c r="J83" s="17">
        <f>IFERROR(__xludf.DUMMYFUNCTION("""COMPUTED_VALUE"""),2452.6)</f>
        <v>2452.6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IFERROR(__xludf.DUMMYFUNCTION("""COMPUTED_VALUE"""),2450.4)</f>
        <v>2450.4</v>
      </c>
      <c r="C84" s="16">
        <f>IFERROR(__xludf.DUMMYFUNCTION("""COMPUTED_VALUE"""),45861.6458333333)</f>
        <v>45861.6458333333</v>
      </c>
      <c r="D84" s="17">
        <f>IFERROR(__xludf.DUMMYFUNCTION("""COMPUTED_VALUE"""),2481)</f>
        <v>2481</v>
      </c>
      <c r="E84" s="16">
        <f>IFERROR(__xludf.DUMMYFUNCTION("""COMPUTED_VALUE"""),45861.6458333333)</f>
        <v>45861.6458333333</v>
      </c>
      <c r="F84" s="17">
        <f>IFERROR(__xludf.DUMMYFUNCTION("""COMPUTED_VALUE"""),1320795)</f>
        <v>1320795</v>
      </c>
      <c r="G84" s="16">
        <f>IFERROR(__xludf.DUMMYFUNCTION("""COMPUTED_VALUE"""),45861.6458333333)</f>
        <v>45861.6458333333</v>
      </c>
      <c r="H84" s="17">
        <f>IFERROR(__xludf.DUMMYFUNCTION("""COMPUTED_VALUE"""),2487)</f>
        <v>2487</v>
      </c>
      <c r="I84" s="16">
        <f>IFERROR(__xludf.DUMMYFUNCTION("""COMPUTED_VALUE"""),45861.6458333333)</f>
        <v>45861.6458333333</v>
      </c>
      <c r="J84" s="17">
        <f>IFERROR(__xludf.DUMMYFUNCTION("""COMPUTED_VALUE"""),2442)</f>
        <v>2442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IFERROR(__xludf.DUMMYFUNCTION("""COMPUTED_VALUE"""),2437.8)</f>
        <v>2437.8</v>
      </c>
      <c r="C85" s="16">
        <f>IFERROR(__xludf.DUMMYFUNCTION("""COMPUTED_VALUE"""),45862.6458333333)</f>
        <v>45862.6458333333</v>
      </c>
      <c r="D85" s="17">
        <f>IFERROR(__xludf.DUMMYFUNCTION("""COMPUTED_VALUE"""),2455.9)</f>
        <v>2455.9</v>
      </c>
      <c r="E85" s="16">
        <f>IFERROR(__xludf.DUMMYFUNCTION("""COMPUTED_VALUE"""),45862.6458333333)</f>
        <v>45862.6458333333</v>
      </c>
      <c r="F85" s="17">
        <f>IFERROR(__xludf.DUMMYFUNCTION("""COMPUTED_VALUE"""),693984)</f>
        <v>693984</v>
      </c>
      <c r="G85" s="16">
        <f>IFERROR(__xludf.DUMMYFUNCTION("""COMPUTED_VALUE"""),45862.6458333333)</f>
        <v>45862.6458333333</v>
      </c>
      <c r="H85" s="17">
        <f>IFERROR(__xludf.DUMMYFUNCTION("""COMPUTED_VALUE"""),2466)</f>
        <v>2466</v>
      </c>
      <c r="I85" s="16">
        <f>IFERROR(__xludf.DUMMYFUNCTION("""COMPUTED_VALUE"""),45862.6458333333)</f>
        <v>45862.6458333333</v>
      </c>
      <c r="J85" s="17">
        <f>IFERROR(__xludf.DUMMYFUNCTION("""COMPUTED_VALUE"""),2421)</f>
        <v>2421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IFERROR(__xludf.DUMMYFUNCTION("""COMPUTED_VALUE"""),2415.4)</f>
        <v>2415.4</v>
      </c>
      <c r="C86" s="16">
        <f>IFERROR(__xludf.DUMMYFUNCTION("""COMPUTED_VALUE"""),45863.6458333333)</f>
        <v>45863.6458333333</v>
      </c>
      <c r="D86" s="17">
        <f>IFERROR(__xludf.DUMMYFUNCTION("""COMPUTED_VALUE"""),2426.1)</f>
        <v>2426.1</v>
      </c>
      <c r="E86" s="16">
        <f>IFERROR(__xludf.DUMMYFUNCTION("""COMPUTED_VALUE"""),45863.6458333333)</f>
        <v>45863.6458333333</v>
      </c>
      <c r="F86" s="17">
        <f>IFERROR(__xludf.DUMMYFUNCTION("""COMPUTED_VALUE"""),769388)</f>
        <v>769388</v>
      </c>
      <c r="G86" s="16">
        <f>IFERROR(__xludf.DUMMYFUNCTION("""COMPUTED_VALUE"""),45863.6458333333)</f>
        <v>45863.6458333333</v>
      </c>
      <c r="H86" s="17">
        <f>IFERROR(__xludf.DUMMYFUNCTION("""COMPUTED_VALUE"""),2428.6)</f>
        <v>2428.6</v>
      </c>
      <c r="I86" s="16">
        <f>IFERROR(__xludf.DUMMYFUNCTION("""COMPUTED_VALUE"""),45863.6458333333)</f>
        <v>45863.6458333333</v>
      </c>
      <c r="J86" s="17">
        <f>IFERROR(__xludf.DUMMYFUNCTION("""COMPUTED_VALUE"""),2405.4)</f>
        <v>2405.4</v>
      </c>
      <c r="K86" s="3">
        <f t="shared" si="2"/>
        <v>0</v>
      </c>
      <c r="L86" s="3">
        <f t="shared" si="3"/>
        <v>2415.4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IFERROR(__xludf.DUMMYFUNCTION("""COMPUTED_VALUE"""),2441.6)</f>
        <v>2441.6</v>
      </c>
      <c r="C87" s="16">
        <f>IFERROR(__xludf.DUMMYFUNCTION("""COMPUTED_VALUE"""),45866.6458333333)</f>
        <v>45866.6458333333</v>
      </c>
      <c r="D87" s="17">
        <f>IFERROR(__xludf.DUMMYFUNCTION("""COMPUTED_VALUE"""),2415.4)</f>
        <v>2415.4</v>
      </c>
      <c r="E87" s="16">
        <f>IFERROR(__xludf.DUMMYFUNCTION("""COMPUTED_VALUE"""),45866.6458333333)</f>
        <v>45866.6458333333</v>
      </c>
      <c r="F87" s="17">
        <f>IFERROR(__xludf.DUMMYFUNCTION("""COMPUTED_VALUE"""),987995)</f>
        <v>987995</v>
      </c>
      <c r="G87" s="16">
        <f>IFERROR(__xludf.DUMMYFUNCTION("""COMPUTED_VALUE"""),45866.6458333333)</f>
        <v>45866.6458333333</v>
      </c>
      <c r="H87" s="17">
        <f>IFERROR(__xludf.DUMMYFUNCTION("""COMPUTED_VALUE"""),2448.3)</f>
        <v>2448.3</v>
      </c>
      <c r="I87" s="16">
        <f>IFERROR(__xludf.DUMMYFUNCTION("""COMPUTED_VALUE"""),45866.6458333333)</f>
        <v>45866.6458333333</v>
      </c>
      <c r="J87" s="17">
        <f>IFERROR(__xludf.DUMMYFUNCTION("""COMPUTED_VALUE"""),2412.3)</f>
        <v>2412.3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IFERROR(__xludf.DUMMYFUNCTION("""COMPUTED_VALUE"""),2453.6)</f>
        <v>2453.6</v>
      </c>
      <c r="C88" s="16">
        <f>IFERROR(__xludf.DUMMYFUNCTION("""COMPUTED_VALUE"""),45867.6458333333)</f>
        <v>45867.6458333333</v>
      </c>
      <c r="D88" s="17">
        <f>IFERROR(__xludf.DUMMYFUNCTION("""COMPUTED_VALUE"""),2444.8)</f>
        <v>2444.8</v>
      </c>
      <c r="E88" s="16">
        <f>IFERROR(__xludf.DUMMYFUNCTION("""COMPUTED_VALUE"""),45867.6458333333)</f>
        <v>45867.6458333333</v>
      </c>
      <c r="F88" s="17">
        <f>IFERROR(__xludf.DUMMYFUNCTION("""COMPUTED_VALUE"""),732282)</f>
        <v>732282</v>
      </c>
      <c r="G88" s="16">
        <f>IFERROR(__xludf.DUMMYFUNCTION("""COMPUTED_VALUE"""),45867.6458333333)</f>
        <v>45867.6458333333</v>
      </c>
      <c r="H88" s="17">
        <f>IFERROR(__xludf.DUMMYFUNCTION("""COMPUTED_VALUE"""),2457.5)</f>
        <v>2457.5</v>
      </c>
      <c r="I88" s="16">
        <f>IFERROR(__xludf.DUMMYFUNCTION("""COMPUTED_VALUE"""),45867.6458333333)</f>
        <v>45867.6458333333</v>
      </c>
      <c r="J88" s="17">
        <f>IFERROR(__xludf.DUMMYFUNCTION("""COMPUTED_VALUE"""),2429.7)</f>
        <v>2429.7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IFERROR(__xludf.DUMMYFUNCTION("""COMPUTED_VALUE"""),2437.4)</f>
        <v>2437.4</v>
      </c>
      <c r="C89" s="16">
        <f>IFERROR(__xludf.DUMMYFUNCTION("""COMPUTED_VALUE"""),45868.6458333333)</f>
        <v>45868.6458333333</v>
      </c>
      <c r="D89" s="17">
        <f>IFERROR(__xludf.DUMMYFUNCTION("""COMPUTED_VALUE"""),2442)</f>
        <v>2442</v>
      </c>
      <c r="E89" s="16">
        <f>IFERROR(__xludf.DUMMYFUNCTION("""COMPUTED_VALUE"""),45868.6458333333)</f>
        <v>45868.6458333333</v>
      </c>
      <c r="F89" s="17">
        <f>IFERROR(__xludf.DUMMYFUNCTION("""COMPUTED_VALUE"""),1224146)</f>
        <v>1224146</v>
      </c>
      <c r="G89" s="16">
        <f>IFERROR(__xludf.DUMMYFUNCTION("""COMPUTED_VALUE"""),45868.6458333333)</f>
        <v>45868.6458333333</v>
      </c>
      <c r="H89" s="17">
        <f>IFERROR(__xludf.DUMMYFUNCTION("""COMPUTED_VALUE"""),2452.9)</f>
        <v>2452.9</v>
      </c>
      <c r="I89" s="16">
        <f>IFERROR(__xludf.DUMMYFUNCTION("""COMPUTED_VALUE"""),45868.6458333333)</f>
        <v>45868.6458333333</v>
      </c>
      <c r="J89" s="17">
        <f>IFERROR(__xludf.DUMMYFUNCTION("""COMPUTED_VALUE"""),2398.5)</f>
        <v>2398.5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IFERROR(__xludf.DUMMYFUNCTION("""COMPUTED_VALUE"""),2521.2)</f>
        <v>2521.2</v>
      </c>
      <c r="C90" s="16">
        <f>IFERROR(__xludf.DUMMYFUNCTION("""COMPUTED_VALUE"""),45869.6458333333)</f>
        <v>45869.6458333333</v>
      </c>
      <c r="D90" s="17">
        <f>IFERROR(__xludf.DUMMYFUNCTION("""COMPUTED_VALUE"""),2420.1)</f>
        <v>2420.1</v>
      </c>
      <c r="E90" s="16">
        <f>IFERROR(__xludf.DUMMYFUNCTION("""COMPUTED_VALUE"""),45869.6458333333)</f>
        <v>45869.6458333333</v>
      </c>
      <c r="F90" s="17">
        <f>IFERROR(__xludf.DUMMYFUNCTION("""COMPUTED_VALUE"""),5505507)</f>
        <v>5505507</v>
      </c>
      <c r="G90" s="16">
        <f>IFERROR(__xludf.DUMMYFUNCTION("""COMPUTED_VALUE"""),45869.6458333333)</f>
        <v>45869.6458333333</v>
      </c>
      <c r="H90" s="17">
        <f>IFERROR(__xludf.DUMMYFUNCTION("""COMPUTED_VALUE"""),2549)</f>
        <v>2549</v>
      </c>
      <c r="I90" s="16">
        <f>IFERROR(__xludf.DUMMYFUNCTION("""COMPUTED_VALUE"""),45869.6458333333)</f>
        <v>45869.6458333333</v>
      </c>
      <c r="J90" s="17">
        <f>IFERROR(__xludf.DUMMYFUNCTION("""COMPUTED_VALUE"""),2420.1)</f>
        <v>2420.1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IFERROR(__xludf.DUMMYFUNCTION("""COMPUTED_VALUE"""),2553.7)</f>
        <v>2553.7</v>
      </c>
      <c r="C91" s="16">
        <f>IFERROR(__xludf.DUMMYFUNCTION("""COMPUTED_VALUE"""),45870.6458333333)</f>
        <v>45870.6458333333</v>
      </c>
      <c r="D91" s="17">
        <f>IFERROR(__xludf.DUMMYFUNCTION("""COMPUTED_VALUE"""),2550)</f>
        <v>2550</v>
      </c>
      <c r="E91" s="16">
        <f>IFERROR(__xludf.DUMMYFUNCTION("""COMPUTED_VALUE"""),45870.6458333333)</f>
        <v>45870.6458333333</v>
      </c>
      <c r="F91" s="17">
        <f>IFERROR(__xludf.DUMMYFUNCTION("""COMPUTED_VALUE"""),4259653)</f>
        <v>4259653</v>
      </c>
      <c r="G91" s="16">
        <f>IFERROR(__xludf.DUMMYFUNCTION("""COMPUTED_VALUE"""),45870.6458333333)</f>
        <v>45870.6458333333</v>
      </c>
      <c r="H91" s="17">
        <f>IFERROR(__xludf.DUMMYFUNCTION("""COMPUTED_VALUE"""),2727.5)</f>
        <v>2727.5</v>
      </c>
      <c r="I91" s="16">
        <f>IFERROR(__xludf.DUMMYFUNCTION("""COMPUTED_VALUE"""),45870.6458333333)</f>
        <v>45870.6458333333</v>
      </c>
      <c r="J91" s="17">
        <f>IFERROR(__xludf.DUMMYFUNCTION("""COMPUTED_VALUE"""),2536.9)</f>
        <v>2536.9</v>
      </c>
      <c r="K91" s="3">
        <f t="shared" si="2"/>
        <v>2553.7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IFERROR(__xludf.DUMMYFUNCTION("""COMPUTED_VALUE"""),2543.7)</f>
        <v>2543.7</v>
      </c>
      <c r="C92" s="16">
        <f>IFERROR(__xludf.DUMMYFUNCTION("""COMPUTED_VALUE"""),45873.6458333333)</f>
        <v>45873.6458333333</v>
      </c>
      <c r="D92" s="17">
        <f>IFERROR(__xludf.DUMMYFUNCTION("""COMPUTED_VALUE"""),2547)</f>
        <v>2547</v>
      </c>
      <c r="E92" s="16">
        <f>IFERROR(__xludf.DUMMYFUNCTION("""COMPUTED_VALUE"""),45873.6458333333)</f>
        <v>45873.6458333333</v>
      </c>
      <c r="F92" s="17">
        <f>IFERROR(__xludf.DUMMYFUNCTION("""COMPUTED_VALUE"""),1293028)</f>
        <v>1293028</v>
      </c>
      <c r="G92" s="16">
        <f>IFERROR(__xludf.DUMMYFUNCTION("""COMPUTED_VALUE"""),45873.6458333333)</f>
        <v>45873.6458333333</v>
      </c>
      <c r="H92" s="17">
        <f>IFERROR(__xludf.DUMMYFUNCTION("""COMPUTED_VALUE"""),2583.2)</f>
        <v>2583.2</v>
      </c>
      <c r="I92" s="16">
        <f>IFERROR(__xludf.DUMMYFUNCTION("""COMPUTED_VALUE"""),45873.6458333333)</f>
        <v>45873.6458333333</v>
      </c>
      <c r="J92" s="17">
        <f>IFERROR(__xludf.DUMMYFUNCTION("""COMPUTED_VALUE"""),2535.1)</f>
        <v>2535.1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IFERROR(__xludf.DUMMYFUNCTION("""COMPUTED_VALUE"""),2534.7)</f>
        <v>2534.7</v>
      </c>
      <c r="C93" s="16">
        <f>IFERROR(__xludf.DUMMYFUNCTION("""COMPUTED_VALUE"""),45874.6458333333)</f>
        <v>45874.6458333333</v>
      </c>
      <c r="D93" s="17">
        <f>IFERROR(__xludf.DUMMYFUNCTION("""COMPUTED_VALUE"""),2537.5)</f>
        <v>2537.5</v>
      </c>
      <c r="E93" s="16">
        <f>IFERROR(__xludf.DUMMYFUNCTION("""COMPUTED_VALUE"""),45874.6458333333)</f>
        <v>45874.6458333333</v>
      </c>
      <c r="F93" s="17">
        <f>IFERROR(__xludf.DUMMYFUNCTION("""COMPUTED_VALUE"""),756361)</f>
        <v>756361</v>
      </c>
      <c r="G93" s="16">
        <f>IFERROR(__xludf.DUMMYFUNCTION("""COMPUTED_VALUE"""),45874.6458333333)</f>
        <v>45874.6458333333</v>
      </c>
      <c r="H93" s="17">
        <f>IFERROR(__xludf.DUMMYFUNCTION("""COMPUTED_VALUE"""),2553)</f>
        <v>2553</v>
      </c>
      <c r="I93" s="16">
        <f>IFERROR(__xludf.DUMMYFUNCTION("""COMPUTED_VALUE"""),45874.6458333333)</f>
        <v>45874.6458333333</v>
      </c>
      <c r="J93" s="17">
        <f>IFERROR(__xludf.DUMMYFUNCTION("""COMPUTED_VALUE"""),2517.3)</f>
        <v>2517.3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IFERROR(__xludf.DUMMYFUNCTION("""COMPUTED_VALUE"""),2535.6)</f>
        <v>2535.6</v>
      </c>
      <c r="C94" s="16">
        <f>IFERROR(__xludf.DUMMYFUNCTION("""COMPUTED_VALUE"""),45875.6458333333)</f>
        <v>45875.6458333333</v>
      </c>
      <c r="D94" s="17">
        <f>IFERROR(__xludf.DUMMYFUNCTION("""COMPUTED_VALUE"""),2538.7)</f>
        <v>2538.7</v>
      </c>
      <c r="E94" s="16">
        <f>IFERROR(__xludf.DUMMYFUNCTION("""COMPUTED_VALUE"""),45875.6458333333)</f>
        <v>45875.6458333333</v>
      </c>
      <c r="F94" s="17">
        <f>IFERROR(__xludf.DUMMYFUNCTION("""COMPUTED_VALUE"""),885487)</f>
        <v>885487</v>
      </c>
      <c r="G94" s="16">
        <f>IFERROR(__xludf.DUMMYFUNCTION("""COMPUTED_VALUE"""),45875.6458333333)</f>
        <v>45875.6458333333</v>
      </c>
      <c r="H94" s="17">
        <f>IFERROR(__xludf.DUMMYFUNCTION("""COMPUTED_VALUE"""),2563.1)</f>
        <v>2563.1</v>
      </c>
      <c r="I94" s="16">
        <f>IFERROR(__xludf.DUMMYFUNCTION("""COMPUTED_VALUE"""),45875.6458333333)</f>
        <v>45875.6458333333</v>
      </c>
      <c r="J94" s="17">
        <f>IFERROR(__xludf.DUMMYFUNCTION("""COMPUTED_VALUE"""),2526.6)</f>
        <v>2526.6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IFERROR(__xludf.DUMMYFUNCTION("""COMPUTED_VALUE"""),2517.5)</f>
        <v>2517.5</v>
      </c>
      <c r="C95" s="16">
        <f>IFERROR(__xludf.DUMMYFUNCTION("""COMPUTED_VALUE"""),45876.6458333333)</f>
        <v>45876.6458333333</v>
      </c>
      <c r="D95" s="17">
        <f>IFERROR(__xludf.DUMMYFUNCTION("""COMPUTED_VALUE"""),2535.7)</f>
        <v>2535.7</v>
      </c>
      <c r="E95" s="16">
        <f>IFERROR(__xludf.DUMMYFUNCTION("""COMPUTED_VALUE"""),45876.6458333333)</f>
        <v>45876.6458333333</v>
      </c>
      <c r="F95" s="17">
        <f>IFERROR(__xludf.DUMMYFUNCTION("""COMPUTED_VALUE"""),847151)</f>
        <v>847151</v>
      </c>
      <c r="G95" s="16">
        <f>IFERROR(__xludf.DUMMYFUNCTION("""COMPUTED_VALUE"""),45876.6458333333)</f>
        <v>45876.6458333333</v>
      </c>
      <c r="H95" s="17">
        <f>IFERROR(__xludf.DUMMYFUNCTION("""COMPUTED_VALUE"""),2544)</f>
        <v>2544</v>
      </c>
      <c r="I95" s="16">
        <f>IFERROR(__xludf.DUMMYFUNCTION("""COMPUTED_VALUE"""),45876.6458333333)</f>
        <v>45876.6458333333</v>
      </c>
      <c r="J95" s="17">
        <f>IFERROR(__xludf.DUMMYFUNCTION("""COMPUTED_VALUE"""),2495)</f>
        <v>2495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IFERROR(__xludf.DUMMYFUNCTION("""COMPUTED_VALUE"""),2498.6)</f>
        <v>2498.6</v>
      </c>
      <c r="C96" s="16">
        <f>IFERROR(__xludf.DUMMYFUNCTION("""COMPUTED_VALUE"""),45877.6458333333)</f>
        <v>45877.6458333333</v>
      </c>
      <c r="D96" s="17">
        <f>IFERROR(__xludf.DUMMYFUNCTION("""COMPUTED_VALUE"""),2516)</f>
        <v>2516</v>
      </c>
      <c r="E96" s="16">
        <f>IFERROR(__xludf.DUMMYFUNCTION("""COMPUTED_VALUE"""),45877.6458333333)</f>
        <v>45877.6458333333</v>
      </c>
      <c r="F96" s="17">
        <f>IFERROR(__xludf.DUMMYFUNCTION("""COMPUTED_VALUE"""),839794)</f>
        <v>839794</v>
      </c>
      <c r="G96" s="16">
        <f>IFERROR(__xludf.DUMMYFUNCTION("""COMPUTED_VALUE"""),45877.6458333333)</f>
        <v>45877.6458333333</v>
      </c>
      <c r="H96" s="17">
        <f>IFERROR(__xludf.DUMMYFUNCTION("""COMPUTED_VALUE"""),2529.9)</f>
        <v>2529.9</v>
      </c>
      <c r="I96" s="16">
        <f>IFERROR(__xludf.DUMMYFUNCTION("""COMPUTED_VALUE"""),45877.6458333333)</f>
        <v>45877.6458333333</v>
      </c>
      <c r="J96" s="17">
        <f>IFERROR(__xludf.DUMMYFUNCTION("""COMPUTED_VALUE"""),2486.6)</f>
        <v>2486.6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IFERROR(__xludf.DUMMYFUNCTION("""COMPUTED_VALUE"""),2518.4)</f>
        <v>2518.4</v>
      </c>
      <c r="C97" s="16">
        <f>IFERROR(__xludf.DUMMYFUNCTION("""COMPUTED_VALUE"""),45880.6458333333)</f>
        <v>45880.6458333333</v>
      </c>
      <c r="D97" s="17">
        <f>IFERROR(__xludf.DUMMYFUNCTION("""COMPUTED_VALUE"""),2490.1)</f>
        <v>2490.1</v>
      </c>
      <c r="E97" s="16">
        <f>IFERROR(__xludf.DUMMYFUNCTION("""COMPUTED_VALUE"""),45880.6458333333)</f>
        <v>45880.6458333333</v>
      </c>
      <c r="F97" s="17">
        <f>IFERROR(__xludf.DUMMYFUNCTION("""COMPUTED_VALUE"""),992436)</f>
        <v>992436</v>
      </c>
      <c r="G97" s="16">
        <f>IFERROR(__xludf.DUMMYFUNCTION("""COMPUTED_VALUE"""),45880.6458333333)</f>
        <v>45880.6458333333</v>
      </c>
      <c r="H97" s="17">
        <f>IFERROR(__xludf.DUMMYFUNCTION("""COMPUTED_VALUE"""),2524.5)</f>
        <v>2524.5</v>
      </c>
      <c r="I97" s="16">
        <f>IFERROR(__xludf.DUMMYFUNCTION("""COMPUTED_VALUE"""),45880.6458333333)</f>
        <v>45880.6458333333</v>
      </c>
      <c r="J97" s="17">
        <f>IFERROR(__xludf.DUMMYFUNCTION("""COMPUTED_VALUE"""),2478.5)</f>
        <v>2478.5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IFERROR(__xludf.DUMMYFUNCTION("""COMPUTED_VALUE"""),2483.8)</f>
        <v>2483.8</v>
      </c>
      <c r="C98" s="16">
        <f>IFERROR(__xludf.DUMMYFUNCTION("""COMPUTED_VALUE"""),45881.6458333333)</f>
        <v>45881.6458333333</v>
      </c>
      <c r="D98" s="17">
        <f>IFERROR(__xludf.DUMMYFUNCTION("""COMPUTED_VALUE"""),2518)</f>
        <v>2518</v>
      </c>
      <c r="E98" s="16">
        <f>IFERROR(__xludf.DUMMYFUNCTION("""COMPUTED_VALUE"""),45881.6458333333)</f>
        <v>45881.6458333333</v>
      </c>
      <c r="F98" s="17">
        <f>IFERROR(__xludf.DUMMYFUNCTION("""COMPUTED_VALUE"""),1406211)</f>
        <v>1406211</v>
      </c>
      <c r="G98" s="16">
        <f>IFERROR(__xludf.DUMMYFUNCTION("""COMPUTED_VALUE"""),45881.6458333333)</f>
        <v>45881.6458333333</v>
      </c>
      <c r="H98" s="17">
        <f>IFERROR(__xludf.DUMMYFUNCTION("""COMPUTED_VALUE"""),2536.6)</f>
        <v>2536.6</v>
      </c>
      <c r="I98" s="16">
        <f>IFERROR(__xludf.DUMMYFUNCTION("""COMPUTED_VALUE"""),45881.6458333333)</f>
        <v>45881.6458333333</v>
      </c>
      <c r="J98" s="17">
        <f>IFERROR(__xludf.DUMMYFUNCTION("""COMPUTED_VALUE"""),2480.1)</f>
        <v>2480.1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IFERROR(__xludf.DUMMYFUNCTION("""COMPUTED_VALUE"""),2495.1)</f>
        <v>2495.1</v>
      </c>
      <c r="C99" s="16">
        <f>IFERROR(__xludf.DUMMYFUNCTION("""COMPUTED_VALUE"""),45882.6458333333)</f>
        <v>45882.6458333333</v>
      </c>
      <c r="D99" s="17">
        <f>IFERROR(__xludf.DUMMYFUNCTION("""COMPUTED_VALUE"""),2485)</f>
        <v>2485</v>
      </c>
      <c r="E99" s="16">
        <f>IFERROR(__xludf.DUMMYFUNCTION("""COMPUTED_VALUE"""),45882.6458333333)</f>
        <v>45882.6458333333</v>
      </c>
      <c r="F99" s="17">
        <f>IFERROR(__xludf.DUMMYFUNCTION("""COMPUTED_VALUE"""),969803)</f>
        <v>969803</v>
      </c>
      <c r="G99" s="16">
        <f>IFERROR(__xludf.DUMMYFUNCTION("""COMPUTED_VALUE"""),45882.6458333333)</f>
        <v>45882.6458333333</v>
      </c>
      <c r="H99" s="17">
        <f>IFERROR(__xludf.DUMMYFUNCTION("""COMPUTED_VALUE"""),2501.5)</f>
        <v>2501.5</v>
      </c>
      <c r="I99" s="16">
        <f>IFERROR(__xludf.DUMMYFUNCTION("""COMPUTED_VALUE"""),45882.6458333333)</f>
        <v>45882.6458333333</v>
      </c>
      <c r="J99" s="17">
        <f>IFERROR(__xludf.DUMMYFUNCTION("""COMPUTED_VALUE"""),2473.4)</f>
        <v>2473.4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IFERROR(__xludf.DUMMYFUNCTION("""COMPUTED_VALUE"""),2480.6)</f>
        <v>2480.6</v>
      </c>
      <c r="C100" s="16">
        <f>IFERROR(__xludf.DUMMYFUNCTION("""COMPUTED_VALUE"""),45883.6458333333)</f>
        <v>45883.6458333333</v>
      </c>
      <c r="D100" s="17">
        <f>IFERROR(__xludf.DUMMYFUNCTION("""COMPUTED_VALUE"""),2498.9)</f>
        <v>2498.9</v>
      </c>
      <c r="E100" s="16">
        <f>IFERROR(__xludf.DUMMYFUNCTION("""COMPUTED_VALUE"""),45883.6458333333)</f>
        <v>45883.6458333333</v>
      </c>
      <c r="F100" s="17">
        <f>IFERROR(__xludf.DUMMYFUNCTION("""COMPUTED_VALUE"""),1104362)</f>
        <v>1104362</v>
      </c>
      <c r="G100" s="16">
        <f>IFERROR(__xludf.DUMMYFUNCTION("""COMPUTED_VALUE"""),45883.6458333333)</f>
        <v>45883.6458333333</v>
      </c>
      <c r="H100" s="17">
        <f>IFERROR(__xludf.DUMMYFUNCTION("""COMPUTED_VALUE"""),2509)</f>
        <v>2509</v>
      </c>
      <c r="I100" s="16">
        <f>IFERROR(__xludf.DUMMYFUNCTION("""COMPUTED_VALUE"""),45883.6458333333)</f>
        <v>45883.6458333333</v>
      </c>
      <c r="J100" s="17">
        <f>IFERROR(__xludf.DUMMYFUNCTION("""COMPUTED_VALUE"""),2473.2)</f>
        <v>2473.2</v>
      </c>
      <c r="K100" s="3">
        <f t="shared" si="2"/>
        <v>0</v>
      </c>
      <c r="L100" s="3">
        <f t="shared" si="3"/>
        <v>2480.6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IFERROR(__xludf.DUMMYFUNCTION("""COMPUTED_VALUE"""),2568.1)</f>
        <v>2568.1</v>
      </c>
      <c r="C101" s="16">
        <f>IFERROR(__xludf.DUMMYFUNCTION("""COMPUTED_VALUE"""),45887.6458333333)</f>
        <v>45887.6458333333</v>
      </c>
      <c r="D101" s="17">
        <f>IFERROR(__xludf.DUMMYFUNCTION("""COMPUTED_VALUE"""),2539)</f>
        <v>2539</v>
      </c>
      <c r="E101" s="16">
        <f>IFERROR(__xludf.DUMMYFUNCTION("""COMPUTED_VALUE"""),45887.6458333333)</f>
        <v>45887.6458333333</v>
      </c>
      <c r="F101" s="17">
        <f>IFERROR(__xludf.DUMMYFUNCTION("""COMPUTED_VALUE"""),3089136)</f>
        <v>3089136</v>
      </c>
      <c r="G101" s="16">
        <f>IFERROR(__xludf.DUMMYFUNCTION("""COMPUTED_VALUE"""),45887.6458333333)</f>
        <v>45887.6458333333</v>
      </c>
      <c r="H101" s="17">
        <f>IFERROR(__xludf.DUMMYFUNCTION("""COMPUTED_VALUE"""),2597)</f>
        <v>2597</v>
      </c>
      <c r="I101" s="16">
        <f>IFERROR(__xludf.DUMMYFUNCTION("""COMPUTED_VALUE"""),45887.6458333333)</f>
        <v>45887.6458333333</v>
      </c>
      <c r="J101" s="17">
        <f>IFERROR(__xludf.DUMMYFUNCTION("""COMPUTED_VALUE"""),2521.3)</f>
        <v>2521.3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IFERROR(__xludf.DUMMYFUNCTION("""COMPUTED_VALUE"""),2604.8)</f>
        <v>2604.8</v>
      </c>
      <c r="C102" s="16">
        <f>IFERROR(__xludf.DUMMYFUNCTION("""COMPUTED_VALUE"""),45888.6458333333)</f>
        <v>45888.6458333333</v>
      </c>
      <c r="D102" s="17">
        <f>IFERROR(__xludf.DUMMYFUNCTION("""COMPUTED_VALUE"""),2572.2)</f>
        <v>2572.2</v>
      </c>
      <c r="E102" s="16">
        <f>IFERROR(__xludf.DUMMYFUNCTION("""COMPUTED_VALUE"""),45888.6458333333)</f>
        <v>45888.6458333333</v>
      </c>
      <c r="F102" s="17">
        <f>IFERROR(__xludf.DUMMYFUNCTION("""COMPUTED_VALUE"""),1400717)</f>
        <v>1400717</v>
      </c>
      <c r="G102" s="16">
        <f>IFERROR(__xludf.DUMMYFUNCTION("""COMPUTED_VALUE"""),45888.6458333333)</f>
        <v>45888.6458333333</v>
      </c>
      <c r="H102" s="17">
        <f>IFERROR(__xludf.DUMMYFUNCTION("""COMPUTED_VALUE"""),2615)</f>
        <v>2615</v>
      </c>
      <c r="I102" s="16">
        <f>IFERROR(__xludf.DUMMYFUNCTION("""COMPUTED_VALUE"""),45888.6458333333)</f>
        <v>45888.6458333333</v>
      </c>
      <c r="J102" s="17">
        <f>IFERROR(__xludf.DUMMYFUNCTION("""COMPUTED_VALUE"""),2558.4)</f>
        <v>2558.4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IFERROR(__xludf.DUMMYFUNCTION("""COMPUTED_VALUE"""),2669.8)</f>
        <v>2669.8</v>
      </c>
      <c r="C103" s="16">
        <f>IFERROR(__xludf.DUMMYFUNCTION("""COMPUTED_VALUE"""),45889.6458333333)</f>
        <v>45889.6458333333</v>
      </c>
      <c r="D103" s="17">
        <f>IFERROR(__xludf.DUMMYFUNCTION("""COMPUTED_VALUE"""),2599)</f>
        <v>2599</v>
      </c>
      <c r="E103" s="16">
        <f>IFERROR(__xludf.DUMMYFUNCTION("""COMPUTED_VALUE"""),45889.6458333333)</f>
        <v>45889.6458333333</v>
      </c>
      <c r="F103" s="17">
        <f>IFERROR(__xludf.DUMMYFUNCTION("""COMPUTED_VALUE"""),3156954)</f>
        <v>3156954</v>
      </c>
      <c r="G103" s="16">
        <f>IFERROR(__xludf.DUMMYFUNCTION("""COMPUTED_VALUE"""),45889.6458333333)</f>
        <v>45889.6458333333</v>
      </c>
      <c r="H103" s="17">
        <f>IFERROR(__xludf.DUMMYFUNCTION("""COMPUTED_VALUE"""),2680)</f>
        <v>2680</v>
      </c>
      <c r="I103" s="16">
        <f>IFERROR(__xludf.DUMMYFUNCTION("""COMPUTED_VALUE"""),45889.6458333333)</f>
        <v>45889.6458333333</v>
      </c>
      <c r="J103" s="17">
        <f>IFERROR(__xludf.DUMMYFUNCTION("""COMPUTED_VALUE"""),2588.5)</f>
        <v>2588.5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IFERROR(__xludf.DUMMYFUNCTION("""COMPUTED_VALUE"""),2648)</f>
        <v>2648</v>
      </c>
      <c r="C104" s="16">
        <f>IFERROR(__xludf.DUMMYFUNCTION("""COMPUTED_VALUE"""),45890.6458333333)</f>
        <v>45890.6458333333</v>
      </c>
      <c r="D104" s="17">
        <f>IFERROR(__xludf.DUMMYFUNCTION("""COMPUTED_VALUE"""),2667.1)</f>
        <v>2667.1</v>
      </c>
      <c r="E104" s="16">
        <f>IFERROR(__xludf.DUMMYFUNCTION("""COMPUTED_VALUE"""),45890.6458333333)</f>
        <v>45890.6458333333</v>
      </c>
      <c r="F104" s="17">
        <f>IFERROR(__xludf.DUMMYFUNCTION("""COMPUTED_VALUE"""),2235686)</f>
        <v>2235686</v>
      </c>
      <c r="G104" s="16">
        <f>IFERROR(__xludf.DUMMYFUNCTION("""COMPUTED_VALUE"""),45890.6458333333)</f>
        <v>45890.6458333333</v>
      </c>
      <c r="H104" s="17">
        <f>IFERROR(__xludf.DUMMYFUNCTION("""COMPUTED_VALUE"""),2667.1)</f>
        <v>2667.1</v>
      </c>
      <c r="I104" s="16">
        <f>IFERROR(__xludf.DUMMYFUNCTION("""COMPUTED_VALUE"""),45890.6458333333)</f>
        <v>45890.6458333333</v>
      </c>
      <c r="J104" s="17">
        <f>IFERROR(__xludf.DUMMYFUNCTION("""COMPUTED_VALUE"""),2627.3)</f>
        <v>2627.3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IFERROR(__xludf.DUMMYFUNCTION("""COMPUTED_VALUE"""),2629.9)</f>
        <v>2629.9</v>
      </c>
      <c r="C105" s="16">
        <f>IFERROR(__xludf.DUMMYFUNCTION("""COMPUTED_VALUE"""),45891.6458333333)</f>
        <v>45891.6458333333</v>
      </c>
      <c r="D105" s="17">
        <f>IFERROR(__xludf.DUMMYFUNCTION("""COMPUTED_VALUE"""),2647)</f>
        <v>2647</v>
      </c>
      <c r="E105" s="16">
        <f>IFERROR(__xludf.DUMMYFUNCTION("""COMPUTED_VALUE"""),45891.6458333333)</f>
        <v>45891.6458333333</v>
      </c>
      <c r="F105" s="17">
        <f>IFERROR(__xludf.DUMMYFUNCTION("""COMPUTED_VALUE"""),1223445)</f>
        <v>1223445</v>
      </c>
      <c r="G105" s="16">
        <f>IFERROR(__xludf.DUMMYFUNCTION("""COMPUTED_VALUE"""),45891.6458333333)</f>
        <v>45891.6458333333</v>
      </c>
      <c r="H105" s="17">
        <f>IFERROR(__xludf.DUMMYFUNCTION("""COMPUTED_VALUE"""),2658.5)</f>
        <v>2658.5</v>
      </c>
      <c r="I105" s="16">
        <f>IFERROR(__xludf.DUMMYFUNCTION("""COMPUTED_VALUE"""),45891.6458333333)</f>
        <v>45891.6458333333</v>
      </c>
      <c r="J105" s="17">
        <f>IFERROR(__xludf.DUMMYFUNCTION("""COMPUTED_VALUE"""),2619)</f>
        <v>2619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IFERROR(__xludf.DUMMYFUNCTION("""COMPUTED_VALUE"""),2631.6)</f>
        <v>2631.6</v>
      </c>
      <c r="C106" s="16">
        <f>IFERROR(__xludf.DUMMYFUNCTION("""COMPUTED_VALUE"""),45894.6458333333)</f>
        <v>45894.6458333333</v>
      </c>
      <c r="D106" s="17">
        <f>IFERROR(__xludf.DUMMYFUNCTION("""COMPUTED_VALUE"""),2643)</f>
        <v>2643</v>
      </c>
      <c r="E106" s="16">
        <f>IFERROR(__xludf.DUMMYFUNCTION("""COMPUTED_VALUE"""),45894.6458333333)</f>
        <v>45894.6458333333</v>
      </c>
      <c r="F106" s="17">
        <f>IFERROR(__xludf.DUMMYFUNCTION("""COMPUTED_VALUE"""),667598)</f>
        <v>667598</v>
      </c>
      <c r="G106" s="16">
        <f>IFERROR(__xludf.DUMMYFUNCTION("""COMPUTED_VALUE"""),45894.6458333333)</f>
        <v>45894.6458333333</v>
      </c>
      <c r="H106" s="17">
        <f>IFERROR(__xludf.DUMMYFUNCTION("""COMPUTED_VALUE"""),2643)</f>
        <v>2643</v>
      </c>
      <c r="I106" s="16">
        <f>IFERROR(__xludf.DUMMYFUNCTION("""COMPUTED_VALUE"""),45894.6458333333)</f>
        <v>45894.6458333333</v>
      </c>
      <c r="J106" s="17">
        <f>IFERROR(__xludf.DUMMYFUNCTION("""COMPUTED_VALUE"""),2615.2)</f>
        <v>2615.2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IFERROR(__xludf.DUMMYFUNCTION("""COMPUTED_VALUE"""),2692.6)</f>
        <v>2692.6</v>
      </c>
      <c r="C107" s="16">
        <f>IFERROR(__xludf.DUMMYFUNCTION("""COMPUTED_VALUE"""),45895.6458333333)</f>
        <v>45895.6458333333</v>
      </c>
      <c r="D107" s="17">
        <f>IFERROR(__xludf.DUMMYFUNCTION("""COMPUTED_VALUE"""),2624.6)</f>
        <v>2624.6</v>
      </c>
      <c r="E107" s="16">
        <f>IFERROR(__xludf.DUMMYFUNCTION("""COMPUTED_VALUE"""),45895.6458333333)</f>
        <v>45895.6458333333</v>
      </c>
      <c r="F107" s="17">
        <f>IFERROR(__xludf.DUMMYFUNCTION("""COMPUTED_VALUE"""),4348648)</f>
        <v>4348648</v>
      </c>
      <c r="G107" s="16">
        <f>IFERROR(__xludf.DUMMYFUNCTION("""COMPUTED_VALUE"""),45895.6458333333)</f>
        <v>45895.6458333333</v>
      </c>
      <c r="H107" s="17">
        <f>IFERROR(__xludf.DUMMYFUNCTION("""COMPUTED_VALUE"""),2705)</f>
        <v>2705</v>
      </c>
      <c r="I107" s="16">
        <f>IFERROR(__xludf.DUMMYFUNCTION("""COMPUTED_VALUE"""),45895.6458333333)</f>
        <v>45895.6458333333</v>
      </c>
      <c r="J107" s="17">
        <f>IFERROR(__xludf.DUMMYFUNCTION("""COMPUTED_VALUE"""),2624.6)</f>
        <v>2624.6</v>
      </c>
      <c r="K107" s="3">
        <f t="shared" si="2"/>
        <v>2692.6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IFERROR(__xludf.DUMMYFUNCTION("""COMPUTED_VALUE"""),2654.4)</f>
        <v>2654.4</v>
      </c>
      <c r="C108" s="16">
        <f>IFERROR(__xludf.DUMMYFUNCTION("""COMPUTED_VALUE"""),45897.6458333333)</f>
        <v>45897.6458333333</v>
      </c>
      <c r="D108" s="17">
        <f>IFERROR(__xludf.DUMMYFUNCTION("""COMPUTED_VALUE"""),2748)</f>
        <v>2748</v>
      </c>
      <c r="E108" s="16">
        <f>IFERROR(__xludf.DUMMYFUNCTION("""COMPUTED_VALUE"""),45897.6458333333)</f>
        <v>45897.6458333333</v>
      </c>
      <c r="F108" s="17">
        <f>IFERROR(__xludf.DUMMYFUNCTION("""COMPUTED_VALUE"""),3198743)</f>
        <v>3198743</v>
      </c>
      <c r="G108" s="16">
        <f>IFERROR(__xludf.DUMMYFUNCTION("""COMPUTED_VALUE"""),45897.6458333333)</f>
        <v>45897.6458333333</v>
      </c>
      <c r="H108" s="17">
        <f>IFERROR(__xludf.DUMMYFUNCTION("""COMPUTED_VALUE"""),2748)</f>
        <v>2748</v>
      </c>
      <c r="I108" s="16">
        <f>IFERROR(__xludf.DUMMYFUNCTION("""COMPUTED_VALUE"""),45897.6458333333)</f>
        <v>45897.6458333333</v>
      </c>
      <c r="J108" s="17">
        <f>IFERROR(__xludf.DUMMYFUNCTION("""COMPUTED_VALUE"""),2646.8)</f>
        <v>2646.8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IFERROR(__xludf.DUMMYFUNCTION("""COMPUTED_VALUE"""),2659.8)</f>
        <v>2659.8</v>
      </c>
      <c r="C109" s="16">
        <f>IFERROR(__xludf.DUMMYFUNCTION("""COMPUTED_VALUE"""),45898.6458333333)</f>
        <v>45898.6458333333</v>
      </c>
      <c r="D109" s="17">
        <f>IFERROR(__xludf.DUMMYFUNCTION("""COMPUTED_VALUE"""),2664.8)</f>
        <v>2664.8</v>
      </c>
      <c r="E109" s="16">
        <f>IFERROR(__xludf.DUMMYFUNCTION("""COMPUTED_VALUE"""),45898.6458333333)</f>
        <v>45898.6458333333</v>
      </c>
      <c r="F109" s="17">
        <f>IFERROR(__xludf.DUMMYFUNCTION("""COMPUTED_VALUE"""),1972773)</f>
        <v>1972773</v>
      </c>
      <c r="G109" s="16">
        <f>IFERROR(__xludf.DUMMYFUNCTION("""COMPUTED_VALUE"""),45898.6458333333)</f>
        <v>45898.6458333333</v>
      </c>
      <c r="H109" s="17">
        <f>IFERROR(__xludf.DUMMYFUNCTION("""COMPUTED_VALUE"""),2723)</f>
        <v>2723</v>
      </c>
      <c r="I109" s="16">
        <f>IFERROR(__xludf.DUMMYFUNCTION("""COMPUTED_VALUE"""),45898.6458333333)</f>
        <v>45898.6458333333</v>
      </c>
      <c r="J109" s="17">
        <f>IFERROR(__xludf.DUMMYFUNCTION("""COMPUTED_VALUE"""),2641.4)</f>
        <v>2641.4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IFERROR(__xludf.DUMMYFUNCTION("""COMPUTED_VALUE"""),2649.5)</f>
        <v>2649.5</v>
      </c>
      <c r="C110" s="16">
        <f>IFERROR(__xludf.DUMMYFUNCTION("""COMPUTED_VALUE"""),45901.6458333333)</f>
        <v>45901.6458333333</v>
      </c>
      <c r="D110" s="17">
        <f>IFERROR(__xludf.DUMMYFUNCTION("""COMPUTED_VALUE"""),2659.8)</f>
        <v>2659.8</v>
      </c>
      <c r="E110" s="16">
        <f>IFERROR(__xludf.DUMMYFUNCTION("""COMPUTED_VALUE"""),45901.6458333333)</f>
        <v>45901.6458333333</v>
      </c>
      <c r="F110" s="17">
        <f>IFERROR(__xludf.DUMMYFUNCTION("""COMPUTED_VALUE"""),1096729)</f>
        <v>1096729</v>
      </c>
      <c r="G110" s="16">
        <f>IFERROR(__xludf.DUMMYFUNCTION("""COMPUTED_VALUE"""),45901.6458333333)</f>
        <v>45901.6458333333</v>
      </c>
      <c r="H110" s="17">
        <f>IFERROR(__xludf.DUMMYFUNCTION("""COMPUTED_VALUE"""),2673.3)</f>
        <v>2673.3</v>
      </c>
      <c r="I110" s="16">
        <f>IFERROR(__xludf.DUMMYFUNCTION("""COMPUTED_VALUE"""),45901.6458333333)</f>
        <v>45901.6458333333</v>
      </c>
      <c r="J110" s="17">
        <f>IFERROR(__xludf.DUMMYFUNCTION("""COMPUTED_VALUE"""),2639.3)</f>
        <v>2639.3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IFERROR(__xludf.DUMMYFUNCTION("""COMPUTED_VALUE"""),2677)</f>
        <v>2677</v>
      </c>
      <c r="C111" s="16">
        <f>IFERROR(__xludf.DUMMYFUNCTION("""COMPUTED_VALUE"""),45902.6458333333)</f>
        <v>45902.6458333333</v>
      </c>
      <c r="D111" s="17">
        <f>IFERROR(__xludf.DUMMYFUNCTION("""COMPUTED_VALUE"""),2649)</f>
        <v>2649</v>
      </c>
      <c r="E111" s="16">
        <f>IFERROR(__xludf.DUMMYFUNCTION("""COMPUTED_VALUE"""),45902.6458333333)</f>
        <v>45902.6458333333</v>
      </c>
      <c r="F111" s="17">
        <f>IFERROR(__xludf.DUMMYFUNCTION("""COMPUTED_VALUE"""),1525106)</f>
        <v>1525106</v>
      </c>
      <c r="G111" s="16">
        <f>IFERROR(__xludf.DUMMYFUNCTION("""COMPUTED_VALUE"""),45902.6458333333)</f>
        <v>45902.6458333333</v>
      </c>
      <c r="H111" s="17">
        <f>IFERROR(__xludf.DUMMYFUNCTION("""COMPUTED_VALUE"""),2692.4)</f>
        <v>2692.4</v>
      </c>
      <c r="I111" s="16">
        <f>IFERROR(__xludf.DUMMYFUNCTION("""COMPUTED_VALUE"""),45902.6458333333)</f>
        <v>45902.6458333333</v>
      </c>
      <c r="J111" s="17">
        <f>IFERROR(__xludf.DUMMYFUNCTION("""COMPUTED_VALUE"""),2645.1)</f>
        <v>2645.1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IFERROR(__xludf.DUMMYFUNCTION("""COMPUTED_VALUE"""),2664.7)</f>
        <v>2664.7</v>
      </c>
      <c r="C112" s="16">
        <f>IFERROR(__xludf.DUMMYFUNCTION("""COMPUTED_VALUE"""),45903.6458333333)</f>
        <v>45903.6458333333</v>
      </c>
      <c r="D112" s="17">
        <f>IFERROR(__xludf.DUMMYFUNCTION("""COMPUTED_VALUE"""),2681)</f>
        <v>2681</v>
      </c>
      <c r="E112" s="16">
        <f>IFERROR(__xludf.DUMMYFUNCTION("""COMPUTED_VALUE"""),45903.6458333333)</f>
        <v>45903.6458333333</v>
      </c>
      <c r="F112" s="17">
        <f>IFERROR(__xludf.DUMMYFUNCTION("""COMPUTED_VALUE"""),1010692)</f>
        <v>1010692</v>
      </c>
      <c r="G112" s="16">
        <f>IFERROR(__xludf.DUMMYFUNCTION("""COMPUTED_VALUE"""),45903.6458333333)</f>
        <v>45903.6458333333</v>
      </c>
      <c r="H112" s="17">
        <f>IFERROR(__xludf.DUMMYFUNCTION("""COMPUTED_VALUE"""),2686.9)</f>
        <v>2686.9</v>
      </c>
      <c r="I112" s="16">
        <f>IFERROR(__xludf.DUMMYFUNCTION("""COMPUTED_VALUE"""),45903.6458333333)</f>
        <v>45903.6458333333</v>
      </c>
      <c r="J112" s="17">
        <f>IFERROR(__xludf.DUMMYFUNCTION("""COMPUTED_VALUE"""),2658.3)</f>
        <v>2658.3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IFERROR(__xludf.DUMMYFUNCTION("""COMPUTED_VALUE"""),2666.6)</f>
        <v>2666.6</v>
      </c>
      <c r="C113" s="16">
        <f>IFERROR(__xludf.DUMMYFUNCTION("""COMPUTED_VALUE"""),45904.6458333333)</f>
        <v>45904.6458333333</v>
      </c>
      <c r="D113" s="17">
        <f>IFERROR(__xludf.DUMMYFUNCTION("""COMPUTED_VALUE"""),2750)</f>
        <v>2750</v>
      </c>
      <c r="E113" s="16">
        <f>IFERROR(__xludf.DUMMYFUNCTION("""COMPUTED_VALUE"""),45904.6458333333)</f>
        <v>45904.6458333333</v>
      </c>
      <c r="F113" s="17">
        <f>IFERROR(__xludf.DUMMYFUNCTION("""COMPUTED_VALUE"""),2494678)</f>
        <v>2494678</v>
      </c>
      <c r="G113" s="16">
        <f>IFERROR(__xludf.DUMMYFUNCTION("""COMPUTED_VALUE"""),45904.6458333333)</f>
        <v>45904.6458333333</v>
      </c>
      <c r="H113" s="17">
        <f>IFERROR(__xludf.DUMMYFUNCTION("""COMPUTED_VALUE"""),2750)</f>
        <v>2750</v>
      </c>
      <c r="I113" s="16">
        <f>IFERROR(__xludf.DUMMYFUNCTION("""COMPUTED_VALUE"""),45904.6458333333)</f>
        <v>45904.6458333333</v>
      </c>
      <c r="J113" s="17">
        <f>IFERROR(__xludf.DUMMYFUNCTION("""COMPUTED_VALUE"""),2655.5)</f>
        <v>2655.5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IFERROR(__xludf.DUMMYFUNCTION("""COMPUTED_VALUE"""),2633.4)</f>
        <v>2633.4</v>
      </c>
      <c r="C114" s="16">
        <f>IFERROR(__xludf.DUMMYFUNCTION("""COMPUTED_VALUE"""),45905.6458333333)</f>
        <v>45905.6458333333</v>
      </c>
      <c r="D114" s="17">
        <f>IFERROR(__xludf.DUMMYFUNCTION("""COMPUTED_VALUE"""),2667.6)</f>
        <v>2667.6</v>
      </c>
      <c r="E114" s="16">
        <f>IFERROR(__xludf.DUMMYFUNCTION("""COMPUTED_VALUE"""),45905.6458333333)</f>
        <v>45905.6458333333</v>
      </c>
      <c r="F114" s="17">
        <f>IFERROR(__xludf.DUMMYFUNCTION("""COMPUTED_VALUE"""),944879)</f>
        <v>944879</v>
      </c>
      <c r="G114" s="16">
        <f>IFERROR(__xludf.DUMMYFUNCTION("""COMPUTED_VALUE"""),45905.6458333333)</f>
        <v>45905.6458333333</v>
      </c>
      <c r="H114" s="17">
        <f>IFERROR(__xludf.DUMMYFUNCTION("""COMPUTED_VALUE"""),2672.9)</f>
        <v>2672.9</v>
      </c>
      <c r="I114" s="16">
        <f>IFERROR(__xludf.DUMMYFUNCTION("""COMPUTED_VALUE"""),45905.6458333333)</f>
        <v>45905.6458333333</v>
      </c>
      <c r="J114" s="17">
        <f>IFERROR(__xludf.DUMMYFUNCTION("""COMPUTED_VALUE"""),2623.8)</f>
        <v>2623.8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IFERROR(__xludf.DUMMYFUNCTION("""COMPUTED_VALUE"""),2623.9)</f>
        <v>2623.9</v>
      </c>
      <c r="C115" s="16">
        <f>IFERROR(__xludf.DUMMYFUNCTION("""COMPUTED_VALUE"""),45908.6458333333)</f>
        <v>45908.6458333333</v>
      </c>
      <c r="D115" s="17">
        <f>IFERROR(__xludf.DUMMYFUNCTION("""COMPUTED_VALUE"""),2630)</f>
        <v>2630</v>
      </c>
      <c r="E115" s="16">
        <f>IFERROR(__xludf.DUMMYFUNCTION("""COMPUTED_VALUE"""),45908.6458333333)</f>
        <v>45908.6458333333</v>
      </c>
      <c r="F115" s="17">
        <f>IFERROR(__xludf.DUMMYFUNCTION("""COMPUTED_VALUE"""),903410)</f>
        <v>903410</v>
      </c>
      <c r="G115" s="16">
        <f>IFERROR(__xludf.DUMMYFUNCTION("""COMPUTED_VALUE"""),45908.6458333333)</f>
        <v>45908.6458333333</v>
      </c>
      <c r="H115" s="17">
        <f>IFERROR(__xludf.DUMMYFUNCTION("""COMPUTED_VALUE"""),2644.6)</f>
        <v>2644.6</v>
      </c>
      <c r="I115" s="16">
        <f>IFERROR(__xludf.DUMMYFUNCTION("""COMPUTED_VALUE"""),45908.6458333333)</f>
        <v>45908.6458333333</v>
      </c>
      <c r="J115" s="17">
        <f>IFERROR(__xludf.DUMMYFUNCTION("""COMPUTED_VALUE"""),2618.8)</f>
        <v>2618.8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IFERROR(__xludf.DUMMYFUNCTION("""COMPUTED_VALUE"""),2642)</f>
        <v>2642</v>
      </c>
      <c r="C116" s="16">
        <f>IFERROR(__xludf.DUMMYFUNCTION("""COMPUTED_VALUE"""),45909.6458333333)</f>
        <v>45909.6458333333</v>
      </c>
      <c r="D116" s="17">
        <f>IFERROR(__xludf.DUMMYFUNCTION("""COMPUTED_VALUE"""),2637)</f>
        <v>2637</v>
      </c>
      <c r="E116" s="16">
        <f>IFERROR(__xludf.DUMMYFUNCTION("""COMPUTED_VALUE"""),45909.6458333333)</f>
        <v>45909.6458333333</v>
      </c>
      <c r="F116" s="17">
        <f>IFERROR(__xludf.DUMMYFUNCTION("""COMPUTED_VALUE"""),1610956)</f>
        <v>1610956</v>
      </c>
      <c r="G116" s="16">
        <f>IFERROR(__xludf.DUMMYFUNCTION("""COMPUTED_VALUE"""),45909.6458333333)</f>
        <v>45909.6458333333</v>
      </c>
      <c r="H116" s="17">
        <f>IFERROR(__xludf.DUMMYFUNCTION("""COMPUTED_VALUE"""),2646.2)</f>
        <v>2646.2</v>
      </c>
      <c r="I116" s="16">
        <f>IFERROR(__xludf.DUMMYFUNCTION("""COMPUTED_VALUE"""),45909.6458333333)</f>
        <v>45909.6458333333</v>
      </c>
      <c r="J116" s="17">
        <f>IFERROR(__xludf.DUMMYFUNCTION("""COMPUTED_VALUE"""),2611.3)</f>
        <v>2611.3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IFERROR(__xludf.DUMMYFUNCTION("""COMPUTED_VALUE"""),2643.5)</f>
        <v>2643.5</v>
      </c>
      <c r="C117" s="16">
        <f>IFERROR(__xludf.DUMMYFUNCTION("""COMPUTED_VALUE"""),45910.6458333333)</f>
        <v>45910.6458333333</v>
      </c>
      <c r="D117" s="17">
        <f>IFERROR(__xludf.DUMMYFUNCTION("""COMPUTED_VALUE"""),2642)</f>
        <v>2642</v>
      </c>
      <c r="E117" s="16">
        <f>IFERROR(__xludf.DUMMYFUNCTION("""COMPUTED_VALUE"""),45910.6458333333)</f>
        <v>45910.6458333333</v>
      </c>
      <c r="F117" s="17">
        <f>IFERROR(__xludf.DUMMYFUNCTION("""COMPUTED_VALUE"""),1031486)</f>
        <v>1031486</v>
      </c>
      <c r="G117" s="16">
        <f>IFERROR(__xludf.DUMMYFUNCTION("""COMPUTED_VALUE"""),45910.6458333333)</f>
        <v>45910.6458333333</v>
      </c>
      <c r="H117" s="17">
        <f>IFERROR(__xludf.DUMMYFUNCTION("""COMPUTED_VALUE"""),2652.9)</f>
        <v>2652.9</v>
      </c>
      <c r="I117" s="16">
        <f>IFERROR(__xludf.DUMMYFUNCTION("""COMPUTED_VALUE"""),45910.6458333333)</f>
        <v>45910.6458333333</v>
      </c>
      <c r="J117" s="17">
        <f>IFERROR(__xludf.DUMMYFUNCTION("""COMPUTED_VALUE"""),2619)</f>
        <v>2619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IFERROR(__xludf.DUMMYFUNCTION("""COMPUTED_VALUE"""),2622)</f>
        <v>2622</v>
      </c>
      <c r="C118" s="16">
        <f>IFERROR(__xludf.DUMMYFUNCTION("""COMPUTED_VALUE"""),45911.6458333333)</f>
        <v>45911.6458333333</v>
      </c>
      <c r="D118" s="17">
        <f>IFERROR(__xludf.DUMMYFUNCTION("""COMPUTED_VALUE"""),2643.8)</f>
        <v>2643.8</v>
      </c>
      <c r="E118" s="16">
        <f>IFERROR(__xludf.DUMMYFUNCTION("""COMPUTED_VALUE"""),45911.6458333333)</f>
        <v>45911.6458333333</v>
      </c>
      <c r="F118" s="17">
        <f>IFERROR(__xludf.DUMMYFUNCTION("""COMPUTED_VALUE"""),1212707)</f>
        <v>1212707</v>
      </c>
      <c r="G118" s="16">
        <f>IFERROR(__xludf.DUMMYFUNCTION("""COMPUTED_VALUE"""),45911.6458333333)</f>
        <v>45911.6458333333</v>
      </c>
      <c r="H118" s="17">
        <f>IFERROR(__xludf.DUMMYFUNCTION("""COMPUTED_VALUE"""),2657.7)</f>
        <v>2657.7</v>
      </c>
      <c r="I118" s="16">
        <f>IFERROR(__xludf.DUMMYFUNCTION("""COMPUTED_VALUE"""),45911.6458333333)</f>
        <v>45911.6458333333</v>
      </c>
      <c r="J118" s="17">
        <f>IFERROR(__xludf.DUMMYFUNCTION("""COMPUTED_VALUE"""),2614)</f>
        <v>2614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IFERROR(__xludf.DUMMYFUNCTION("""COMPUTED_VALUE"""),2580.5)</f>
        <v>2580.5</v>
      </c>
      <c r="C119" s="16">
        <f>IFERROR(__xludf.DUMMYFUNCTION("""COMPUTED_VALUE"""),45912.6458333333)</f>
        <v>45912.6458333333</v>
      </c>
      <c r="D119" s="17">
        <f>IFERROR(__xludf.DUMMYFUNCTION("""COMPUTED_VALUE"""),2625)</f>
        <v>2625</v>
      </c>
      <c r="E119" s="16">
        <f>IFERROR(__xludf.DUMMYFUNCTION("""COMPUTED_VALUE"""),45912.6458333333)</f>
        <v>45912.6458333333</v>
      </c>
      <c r="F119" s="17">
        <f>IFERROR(__xludf.DUMMYFUNCTION("""COMPUTED_VALUE"""),1368380)</f>
        <v>1368380</v>
      </c>
      <c r="G119" s="16">
        <f>IFERROR(__xludf.DUMMYFUNCTION("""COMPUTED_VALUE"""),45912.6458333333)</f>
        <v>45912.6458333333</v>
      </c>
      <c r="H119" s="17">
        <f>IFERROR(__xludf.DUMMYFUNCTION("""COMPUTED_VALUE"""),2628.9)</f>
        <v>2628.9</v>
      </c>
      <c r="I119" s="16">
        <f>IFERROR(__xludf.DUMMYFUNCTION("""COMPUTED_VALUE"""),45912.6458333333)</f>
        <v>45912.6458333333</v>
      </c>
      <c r="J119" s="17">
        <f>IFERROR(__xludf.DUMMYFUNCTION("""COMPUTED_VALUE"""),2569)</f>
        <v>2569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IFERROR(__xludf.DUMMYFUNCTION("""COMPUTED_VALUE"""),2581)</f>
        <v>2581</v>
      </c>
      <c r="C120" s="16">
        <f>IFERROR(__xludf.DUMMYFUNCTION("""COMPUTED_VALUE"""),45915.6458333333)</f>
        <v>45915.6458333333</v>
      </c>
      <c r="D120" s="17">
        <f>IFERROR(__xludf.DUMMYFUNCTION("""COMPUTED_VALUE"""),2580.5)</f>
        <v>2580.5</v>
      </c>
      <c r="E120" s="16">
        <f>IFERROR(__xludf.DUMMYFUNCTION("""COMPUTED_VALUE"""),45915.6458333333)</f>
        <v>45915.6458333333</v>
      </c>
      <c r="F120" s="17">
        <f>IFERROR(__xludf.DUMMYFUNCTION("""COMPUTED_VALUE"""),752745)</f>
        <v>752745</v>
      </c>
      <c r="G120" s="16">
        <f>IFERROR(__xludf.DUMMYFUNCTION("""COMPUTED_VALUE"""),45915.6458333333)</f>
        <v>45915.6458333333</v>
      </c>
      <c r="H120" s="17">
        <f>IFERROR(__xludf.DUMMYFUNCTION("""COMPUTED_VALUE"""),2593.4)</f>
        <v>2593.4</v>
      </c>
      <c r="I120" s="16">
        <f>IFERROR(__xludf.DUMMYFUNCTION("""COMPUTED_VALUE"""),45915.6458333333)</f>
        <v>45915.6458333333</v>
      </c>
      <c r="J120" s="17">
        <f>IFERROR(__xludf.DUMMYFUNCTION("""COMPUTED_VALUE"""),2568.4)</f>
        <v>2568.4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IFERROR(__xludf.DUMMYFUNCTION("""COMPUTED_VALUE"""),2580.9)</f>
        <v>2580.9</v>
      </c>
      <c r="C121" s="16">
        <f>IFERROR(__xludf.DUMMYFUNCTION("""COMPUTED_VALUE"""),45916.6458333333)</f>
        <v>45916.6458333333</v>
      </c>
      <c r="D121" s="17">
        <f>IFERROR(__xludf.DUMMYFUNCTION("""COMPUTED_VALUE"""),2588.2)</f>
        <v>2588.2</v>
      </c>
      <c r="E121" s="16">
        <f>IFERROR(__xludf.DUMMYFUNCTION("""COMPUTED_VALUE"""),45916.6458333333)</f>
        <v>45916.6458333333</v>
      </c>
      <c r="F121" s="17">
        <f>IFERROR(__xludf.DUMMYFUNCTION("""COMPUTED_VALUE"""),1040928)</f>
        <v>1040928</v>
      </c>
      <c r="G121" s="16">
        <f>IFERROR(__xludf.DUMMYFUNCTION("""COMPUTED_VALUE"""),45916.6458333333)</f>
        <v>45916.6458333333</v>
      </c>
      <c r="H121" s="17">
        <f>IFERROR(__xludf.DUMMYFUNCTION("""COMPUTED_VALUE"""),2590)</f>
        <v>2590</v>
      </c>
      <c r="I121" s="16">
        <f>IFERROR(__xludf.DUMMYFUNCTION("""COMPUTED_VALUE"""),45916.6458333333)</f>
        <v>45916.6458333333</v>
      </c>
      <c r="J121" s="17">
        <f>IFERROR(__xludf.DUMMYFUNCTION("""COMPUTED_VALUE"""),2572.6)</f>
        <v>2572.6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IFERROR(__xludf.DUMMYFUNCTION("""COMPUTED_VALUE"""),2569.7)</f>
        <v>2569.7</v>
      </c>
      <c r="C122" s="16">
        <f>IFERROR(__xludf.DUMMYFUNCTION("""COMPUTED_VALUE"""),45917.6458333333)</f>
        <v>45917.6458333333</v>
      </c>
      <c r="D122" s="17">
        <f>IFERROR(__xludf.DUMMYFUNCTION("""COMPUTED_VALUE"""),2587)</f>
        <v>2587</v>
      </c>
      <c r="E122" s="16">
        <f>IFERROR(__xludf.DUMMYFUNCTION("""COMPUTED_VALUE"""),45917.6458333333)</f>
        <v>45917.6458333333</v>
      </c>
      <c r="F122" s="17">
        <f>IFERROR(__xludf.DUMMYFUNCTION("""COMPUTED_VALUE"""),970247)</f>
        <v>970247</v>
      </c>
      <c r="G122" s="16">
        <f>IFERROR(__xludf.DUMMYFUNCTION("""COMPUTED_VALUE"""),45917.6458333333)</f>
        <v>45917.6458333333</v>
      </c>
      <c r="H122" s="17">
        <f>IFERROR(__xludf.DUMMYFUNCTION("""COMPUTED_VALUE"""),2591.1)</f>
        <v>2591.1</v>
      </c>
      <c r="I122" s="16">
        <f>IFERROR(__xludf.DUMMYFUNCTION("""COMPUTED_VALUE"""),45917.6458333333)</f>
        <v>45917.6458333333</v>
      </c>
      <c r="J122" s="17">
        <f>IFERROR(__xludf.DUMMYFUNCTION("""COMPUTED_VALUE"""),2566.5)</f>
        <v>2566.5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IFERROR(__xludf.DUMMYFUNCTION("""COMPUTED_VALUE"""),2586.8)</f>
        <v>2586.8</v>
      </c>
      <c r="C123" s="16">
        <f>IFERROR(__xludf.DUMMYFUNCTION("""COMPUTED_VALUE"""),45918.6458333333)</f>
        <v>45918.6458333333</v>
      </c>
      <c r="D123" s="17">
        <f>IFERROR(__xludf.DUMMYFUNCTION("""COMPUTED_VALUE"""),2570.9)</f>
        <v>2570.9</v>
      </c>
      <c r="E123" s="16">
        <f>IFERROR(__xludf.DUMMYFUNCTION("""COMPUTED_VALUE"""),45918.6458333333)</f>
        <v>45918.6458333333</v>
      </c>
      <c r="F123" s="17">
        <f>IFERROR(__xludf.DUMMYFUNCTION("""COMPUTED_VALUE"""),1550153)</f>
        <v>1550153</v>
      </c>
      <c r="G123" s="16">
        <f>IFERROR(__xludf.DUMMYFUNCTION("""COMPUTED_VALUE"""),45918.6458333333)</f>
        <v>45918.6458333333</v>
      </c>
      <c r="H123" s="17">
        <f>IFERROR(__xludf.DUMMYFUNCTION("""COMPUTED_VALUE"""),2609.9)</f>
        <v>2609.9</v>
      </c>
      <c r="I123" s="16">
        <f>IFERROR(__xludf.DUMMYFUNCTION("""COMPUTED_VALUE"""),45918.6458333333)</f>
        <v>45918.6458333333</v>
      </c>
      <c r="J123" s="17">
        <f>IFERROR(__xludf.DUMMYFUNCTION("""COMPUTED_VALUE"""),2570.9)</f>
        <v>2570.9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IFERROR(__xludf.DUMMYFUNCTION("""COMPUTED_VALUE"""),2559.6)</f>
        <v>2559.6</v>
      </c>
      <c r="C124" s="16">
        <f>IFERROR(__xludf.DUMMYFUNCTION("""COMPUTED_VALUE"""),45919.6458333333)</f>
        <v>45919.6458333333</v>
      </c>
      <c r="D124" s="17">
        <f>IFERROR(__xludf.DUMMYFUNCTION("""COMPUTED_VALUE"""),2600)</f>
        <v>2600</v>
      </c>
      <c r="E124" s="16">
        <f>IFERROR(__xludf.DUMMYFUNCTION("""COMPUTED_VALUE"""),45919.6458333333)</f>
        <v>45919.6458333333</v>
      </c>
      <c r="F124" s="17">
        <f>IFERROR(__xludf.DUMMYFUNCTION("""COMPUTED_VALUE"""),2214708)</f>
        <v>2214708</v>
      </c>
      <c r="G124" s="16">
        <f>IFERROR(__xludf.DUMMYFUNCTION("""COMPUTED_VALUE"""),45919.6458333333)</f>
        <v>45919.6458333333</v>
      </c>
      <c r="H124" s="17">
        <f>IFERROR(__xludf.DUMMYFUNCTION("""COMPUTED_VALUE"""),2604.7)</f>
        <v>2604.7</v>
      </c>
      <c r="I124" s="16">
        <f>IFERROR(__xludf.DUMMYFUNCTION("""COMPUTED_VALUE"""),45919.6458333333)</f>
        <v>45919.6458333333</v>
      </c>
      <c r="J124" s="17">
        <f>IFERROR(__xludf.DUMMYFUNCTION("""COMPUTED_VALUE"""),2554.8)</f>
        <v>2554.8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IFERROR(__xludf.DUMMYFUNCTION("""COMPUTED_VALUE"""),2572.2)</f>
        <v>2572.2</v>
      </c>
      <c r="C125" s="16">
        <f>IFERROR(__xludf.DUMMYFUNCTION("""COMPUTED_VALUE"""),45922.6458333333)</f>
        <v>45922.6458333333</v>
      </c>
      <c r="D125" s="17">
        <f>IFERROR(__xludf.DUMMYFUNCTION("""COMPUTED_VALUE"""),2569)</f>
        <v>2569</v>
      </c>
      <c r="E125" s="16">
        <f>IFERROR(__xludf.DUMMYFUNCTION("""COMPUTED_VALUE"""),45922.6458333333)</f>
        <v>45922.6458333333</v>
      </c>
      <c r="F125" s="17">
        <f>IFERROR(__xludf.DUMMYFUNCTION("""COMPUTED_VALUE"""),1174161)</f>
        <v>1174161</v>
      </c>
      <c r="G125" s="16">
        <f>IFERROR(__xludf.DUMMYFUNCTION("""COMPUTED_VALUE"""),45922.6458333333)</f>
        <v>45922.6458333333</v>
      </c>
      <c r="H125" s="17">
        <f>IFERROR(__xludf.DUMMYFUNCTION("""COMPUTED_VALUE"""),2587.2)</f>
        <v>2587.2</v>
      </c>
      <c r="I125" s="16">
        <f>IFERROR(__xludf.DUMMYFUNCTION("""COMPUTED_VALUE"""),45922.6458333333)</f>
        <v>45922.6458333333</v>
      </c>
      <c r="J125" s="17">
        <f>IFERROR(__xludf.DUMMYFUNCTION("""COMPUTED_VALUE"""),2560.2)</f>
        <v>2560.2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IFERROR(__xludf.DUMMYFUNCTION("""COMPUTED_VALUE"""),2522.2)</f>
        <v>2522.2</v>
      </c>
      <c r="C126" s="16">
        <f>IFERROR(__xludf.DUMMYFUNCTION("""COMPUTED_VALUE"""),45923.6458333333)</f>
        <v>45923.6458333333</v>
      </c>
      <c r="D126" s="17">
        <f>IFERROR(__xludf.DUMMYFUNCTION("""COMPUTED_VALUE"""),2568.9)</f>
        <v>2568.9</v>
      </c>
      <c r="E126" s="16">
        <f>IFERROR(__xludf.DUMMYFUNCTION("""COMPUTED_VALUE"""),45923.6458333333)</f>
        <v>45923.6458333333</v>
      </c>
      <c r="F126" s="17">
        <f>IFERROR(__xludf.DUMMYFUNCTION("""COMPUTED_VALUE"""),1430474)</f>
        <v>1430474</v>
      </c>
      <c r="G126" s="16">
        <f>IFERROR(__xludf.DUMMYFUNCTION("""COMPUTED_VALUE"""),45923.6458333333)</f>
        <v>45923.6458333333</v>
      </c>
      <c r="H126" s="17">
        <f>IFERROR(__xludf.DUMMYFUNCTION("""COMPUTED_VALUE"""),2575.3)</f>
        <v>2575.3</v>
      </c>
      <c r="I126" s="16">
        <f>IFERROR(__xludf.DUMMYFUNCTION("""COMPUTED_VALUE"""),45923.6458333333)</f>
        <v>45923.6458333333</v>
      </c>
      <c r="J126" s="17">
        <f>IFERROR(__xludf.DUMMYFUNCTION("""COMPUTED_VALUE"""),2518.2)</f>
        <v>2518.2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IFERROR(__xludf.DUMMYFUNCTION("""COMPUTED_VALUE"""),2549.5)</f>
        <v>2549.5</v>
      </c>
      <c r="C127" s="16">
        <f>IFERROR(__xludf.DUMMYFUNCTION("""COMPUTED_VALUE"""),45924.6458333333)</f>
        <v>45924.6458333333</v>
      </c>
      <c r="D127" s="17">
        <f>IFERROR(__xludf.DUMMYFUNCTION("""COMPUTED_VALUE"""),2522.2)</f>
        <v>2522.2</v>
      </c>
      <c r="E127" s="16">
        <f>IFERROR(__xludf.DUMMYFUNCTION("""COMPUTED_VALUE"""),45924.6458333333)</f>
        <v>45924.6458333333</v>
      </c>
      <c r="F127" s="17">
        <f>IFERROR(__xludf.DUMMYFUNCTION("""COMPUTED_VALUE"""),1882881)</f>
        <v>1882881</v>
      </c>
      <c r="G127" s="16">
        <f>IFERROR(__xludf.DUMMYFUNCTION("""COMPUTED_VALUE"""),45924.6458333333)</f>
        <v>45924.6458333333</v>
      </c>
      <c r="H127" s="17">
        <f>IFERROR(__xludf.DUMMYFUNCTION("""COMPUTED_VALUE"""),2576)</f>
        <v>2576</v>
      </c>
      <c r="I127" s="16">
        <f>IFERROR(__xludf.DUMMYFUNCTION("""COMPUTED_VALUE"""),45924.6458333333)</f>
        <v>45924.6458333333</v>
      </c>
      <c r="J127" s="17">
        <f>IFERROR(__xludf.DUMMYFUNCTION("""COMPUTED_VALUE"""),2510)</f>
        <v>2510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IFERROR(__xludf.DUMMYFUNCTION("""COMPUTED_VALUE"""),2538.3)</f>
        <v>2538.3</v>
      </c>
      <c r="C128" s="16">
        <f>IFERROR(__xludf.DUMMYFUNCTION("""COMPUTED_VALUE"""),45925.6458333333)</f>
        <v>45925.6458333333</v>
      </c>
      <c r="D128" s="17">
        <f>IFERROR(__xludf.DUMMYFUNCTION("""COMPUTED_VALUE"""),2546)</f>
        <v>2546</v>
      </c>
      <c r="E128" s="16">
        <f>IFERROR(__xludf.DUMMYFUNCTION("""COMPUTED_VALUE"""),45925.6458333333)</f>
        <v>45925.6458333333</v>
      </c>
      <c r="F128" s="17">
        <f>IFERROR(__xludf.DUMMYFUNCTION("""COMPUTED_VALUE"""),1624258)</f>
        <v>1624258</v>
      </c>
      <c r="G128" s="16">
        <f>IFERROR(__xludf.DUMMYFUNCTION("""COMPUTED_VALUE"""),45925.6458333333)</f>
        <v>45925.6458333333</v>
      </c>
      <c r="H128" s="17">
        <f>IFERROR(__xludf.DUMMYFUNCTION("""COMPUTED_VALUE"""),2567.5)</f>
        <v>2567.5</v>
      </c>
      <c r="I128" s="16">
        <f>IFERROR(__xludf.DUMMYFUNCTION("""COMPUTED_VALUE"""),45925.6458333333)</f>
        <v>45925.6458333333</v>
      </c>
      <c r="J128" s="17">
        <f>IFERROR(__xludf.DUMMYFUNCTION("""COMPUTED_VALUE"""),2531.8)</f>
        <v>2531.8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IFERROR(__xludf.DUMMYFUNCTION("""COMPUTED_VALUE"""),2511.8)</f>
        <v>2511.8</v>
      </c>
      <c r="C129" s="47">
        <f>IFERROR(__xludf.DUMMYFUNCTION("""COMPUTED_VALUE"""),45926.6458333333)</f>
        <v>45926.6458333333</v>
      </c>
      <c r="D129" s="48">
        <f>IFERROR(__xludf.DUMMYFUNCTION("""COMPUTED_VALUE"""),2535)</f>
        <v>2535</v>
      </c>
      <c r="E129" s="47">
        <f>IFERROR(__xludf.DUMMYFUNCTION("""COMPUTED_VALUE"""),45926.6458333333)</f>
        <v>45926.6458333333</v>
      </c>
      <c r="F129" s="48">
        <f>IFERROR(__xludf.DUMMYFUNCTION("""COMPUTED_VALUE"""),885612)</f>
        <v>885612</v>
      </c>
      <c r="G129" s="47">
        <f>IFERROR(__xludf.DUMMYFUNCTION("""COMPUTED_VALUE"""),45926.6458333333)</f>
        <v>45926.6458333333</v>
      </c>
      <c r="H129" s="48">
        <f>IFERROR(__xludf.DUMMYFUNCTION("""COMPUTED_VALUE"""),2545.4)</f>
        <v>2545.4</v>
      </c>
      <c r="I129" s="47">
        <f>IFERROR(__xludf.DUMMYFUNCTION("""COMPUTED_VALUE"""),45926.6458333333)</f>
        <v>45926.6458333333</v>
      </c>
      <c r="J129" s="48">
        <f>IFERROR(__xludf.DUMMYFUNCTION("""COMPUTED_VALUE"""),2499.4)</f>
        <v>2499.4</v>
      </c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16">
      <c r="A1" s="49" t="s">
        <v>264</v>
      </c>
      <c r="B1" s="50">
        <f ca="1">TODAY()</f>
        <v>45927</v>
      </c>
      <c r="C1" s="51">
        <f ca="1">DAY(B1)</f>
        <v>27</v>
      </c>
      <c r="D1" s="51">
        <f ca="1" t="shared" ref="D1:D2" si="0">MONTH(B1)</f>
        <v>9</v>
      </c>
      <c r="E1" s="51">
        <f ca="1" t="shared" ref="E1:E2" si="1">YEAR(B1)</f>
        <v>2025</v>
      </c>
      <c r="F1" s="52"/>
      <c r="G1" s="53"/>
      <c r="H1" s="51"/>
      <c r="I1" s="51"/>
      <c r="J1" s="51"/>
      <c r="K1" s="51"/>
      <c r="L1" s="51"/>
      <c r="M1" s="62" t="s">
        <v>265</v>
      </c>
      <c r="N1" s="19"/>
      <c r="O1" s="19"/>
      <c r="P1" s="19"/>
    </row>
    <row r="2" customHeight="1" spans="1:20">
      <c r="A2" s="49" t="s">
        <v>266</v>
      </c>
      <c r="B2" s="50">
        <f ca="1">EDATE(TODAY(),-6)</f>
        <v>45743</v>
      </c>
      <c r="C2" s="51">
        <f ca="1">DAY(B2)</f>
        <v>27</v>
      </c>
      <c r="D2" s="51">
        <f ca="1" t="shared" si="0"/>
        <v>3</v>
      </c>
      <c r="E2" s="51">
        <f ca="1" t="shared" si="1"/>
        <v>2025</v>
      </c>
      <c r="F2" s="52"/>
      <c r="G2" s="53"/>
      <c r="H2" s="51"/>
      <c r="I2" s="51"/>
      <c r="J2" s="51"/>
      <c r="K2" s="51"/>
      <c r="L2" s="51"/>
      <c r="M2" s="63" t="str">
        <f>IFERROR(__xludf.DUMMYFUNCTION("GOOGLEFINANCE(L3, ""close"", WORKDAY(TODAY(), -1), WORKDAY(TODAY(), -1))"),"Date")</f>
        <v>Date</v>
      </c>
      <c r="N2" s="64" t="str">
        <f>IFERROR(__xludf.DUMMYFUNCTION("""COMPUTED_VALUE"""),"Close")</f>
        <v>Close</v>
      </c>
      <c r="O2" s="63" t="str">
        <f>IFERROR(__xludf.DUMMYFUNCTION("GOOGLEFINANCE(L3, ""open"", WORKDAY(TODAY(), -1), WORKDAY(TODAY(), -1))"),"Date")</f>
        <v>Date</v>
      </c>
      <c r="P2" s="64" t="str">
        <f>IFERROR(__xludf.DUMMYFUNCTION("""COMPUTED_VALUE"""),"Open")</f>
        <v>Open</v>
      </c>
      <c r="Q2" s="72" t="str">
        <f>IFERROR(__xludf.DUMMYFUNCTION("GOOGLEFINANCE(L3, ""hIGH"", WORKDAY(TODAY(), -1), WORKDAY(TODAY(), -1))"),"Date")</f>
        <v>Date</v>
      </c>
      <c r="R2" s="48" t="str">
        <f>IFERROR(__xludf.DUMMYFUNCTION("""COMPUTED_VALUE"""),"High")</f>
        <v>High</v>
      </c>
      <c r="S2" s="72" t="str">
        <f>IFERROR(__xludf.DUMMYFUNCTION("GOOGLEFINANCE(L3, ""LOW"", WORKDAY(TODAY(), -1), WORKDAY(TODAY(), -1))"),"Date")</f>
        <v>Date</v>
      </c>
      <c r="T2" s="48" t="str">
        <f>IFERROR(__xludf.DUMMYFUNCTION("""COMPUTED_VALUE"""),"Low")</f>
        <v>Low</v>
      </c>
    </row>
    <row r="3" customHeight="1" spans="1:20">
      <c r="A3" s="54" t="s">
        <v>54</v>
      </c>
      <c r="B3" s="7"/>
      <c r="C3" s="7"/>
      <c r="D3" s="7"/>
      <c r="E3" s="7"/>
      <c r="F3" s="8"/>
      <c r="G3" s="55" t="s">
        <v>268</v>
      </c>
      <c r="H3" s="56">
        <f>IFERROR(__xludf.DUMMYFUNCTION("GOOGLEFINANCE(L3, ""price"")"),1362.5)</f>
        <v>1362.5</v>
      </c>
      <c r="I3" s="65" t="s">
        <v>269</v>
      </c>
      <c r="J3" s="56">
        <f>IFERROR(__xludf.DUMMYFUNCTION("GOOGLEFINANCE(L3, ""volume"")"),18342280)</f>
        <v>18342280</v>
      </c>
      <c r="K3" s="66" t="s">
        <v>270</v>
      </c>
      <c r="L3" s="67" t="str">
        <f>Mastersheet!B23</f>
        <v>NSE:ICICIBANK</v>
      </c>
      <c r="M3" s="68">
        <f>IFERROR(__xludf.DUMMYFUNCTION("""COMPUTED_VALUE"""),45926.6458333333)</f>
        <v>45926.6458333333</v>
      </c>
      <c r="N3" s="67">
        <f>IFERROR(__xludf.DUMMYFUNCTION("""COMPUTED_VALUE"""),1359.6)</f>
        <v>1359.6</v>
      </c>
      <c r="O3" s="68">
        <f>IFERROR(__xludf.DUMMYFUNCTION("""COMPUTED_VALUE"""),45926.6458333333)</f>
        <v>45926.6458333333</v>
      </c>
      <c r="P3" s="67">
        <f>IFERROR(__xludf.DUMMYFUNCTION("""COMPUTED_VALUE"""),1368)</f>
        <v>1368</v>
      </c>
      <c r="Q3" s="47">
        <f>IFERROR(__xludf.DUMMYFUNCTION("""COMPUTED_VALUE"""),45926.6458333333)</f>
        <v>45926.6458333333</v>
      </c>
      <c r="R3" s="48">
        <f>IFERROR(__xludf.DUMMYFUNCTION("""COMPUTED_VALUE"""),1372.7)</f>
        <v>1372.7</v>
      </c>
      <c r="S3" s="47">
        <f>IFERROR(__xludf.DUMMYFUNCTION("""COMPUTED_VALUE"""),45926.6458333333)</f>
        <v>45926.6458333333</v>
      </c>
      <c r="T3" s="48">
        <f>IFERROR(__xludf.DUMMYFUNCTION("""COMPUTED_VALUE"""),1357)</f>
        <v>1357</v>
      </c>
    </row>
    <row r="4" customHeight="1" spans="1:31">
      <c r="A4" s="57" t="str">
        <f>IFERROR(__xludf.DUMMYFUNCTION("GOOGLEFINANCE(L3, ""CLOSE"",DATE(E2,D2,C2), DATE(E1,D1,C1), ""DAILY"")"),"Date")</f>
        <v>Date</v>
      </c>
      <c r="B4" s="58" t="str">
        <f>IFERROR(__xludf.DUMMYFUNCTION("""COMPUTED_VALUE"""),"Close")</f>
        <v>Close</v>
      </c>
      <c r="C4" s="58" t="str">
        <f>IFERROR(__xludf.DUMMYFUNCTION("GOOGLEFINANCE(L3, ""open"", DATE(E2,D2,C2), DATE(E1,D1,C1), ""DAILY"")"),"Date")</f>
        <v>Date</v>
      </c>
      <c r="D4" s="58" t="str">
        <f>IFERROR(__xludf.DUMMYFUNCTION("""COMPUTED_VALUE"""),"Open")</f>
        <v>Open</v>
      </c>
      <c r="E4" s="59" t="str">
        <f>IFERROR(__xludf.DUMMYFUNCTION("GOOGLEFINANCE(L3, ""VOLUME"", DATE(E2,D2,C2), DATE(E1,D1,C1), ""DAILY"")"),"Date")</f>
        <v>Date</v>
      </c>
      <c r="F4" s="58" t="str">
        <f>IFERROR(__xludf.DUMMYFUNCTION("""COMPUTED_VALUE"""),"Volume")</f>
        <v>Volume</v>
      </c>
      <c r="G4" s="59" t="str">
        <f>IFERROR(__xludf.DUMMYFUNCTION("GOOGLEFINANCE(L3, ""HIGH"", DATE(E2,D2,C2), DATE(E1,D1,C1), ""DAILY"")"),"Date")</f>
        <v>Date</v>
      </c>
      <c r="H4" s="59" t="str">
        <f>IFERROR(__xludf.DUMMYFUNCTION("""COMPUTED_VALUE"""),"High")</f>
        <v>High</v>
      </c>
      <c r="I4" s="59" t="str">
        <f>IFERROR(__xludf.DUMMYFUNCTION("GOOGLEFINANCE(L3, ""LOW"", DATE(E2,D2,C2), DATE(E1,D1,C1), ""DAILY"")"),"Date")</f>
        <v>Date</v>
      </c>
      <c r="J4" s="69" t="str">
        <f>IFERROR(__xludf.DUMMYFUNCTION("""COMPUTED_VALUE"""),"Low")</f>
        <v>Low</v>
      </c>
      <c r="K4" s="70" t="s">
        <v>271</v>
      </c>
      <c r="L4" s="70" t="s">
        <v>272</v>
      </c>
      <c r="M4" s="70" t="s">
        <v>273</v>
      </c>
      <c r="N4" s="70" t="s">
        <v>274</v>
      </c>
      <c r="O4" s="70" t="s">
        <v>275</v>
      </c>
      <c r="P4" s="70" t="s">
        <v>276</v>
      </c>
      <c r="Q4" s="73" t="s">
        <v>277</v>
      </c>
      <c r="R4" s="73" t="s">
        <v>278</v>
      </c>
      <c r="S4" s="73" t="s">
        <v>279</v>
      </c>
      <c r="T4" s="73" t="s">
        <v>280</v>
      </c>
      <c r="U4" s="73" t="s">
        <v>281</v>
      </c>
      <c r="V4" s="73" t="s">
        <v>282</v>
      </c>
      <c r="W4" s="70" t="s">
        <v>283</v>
      </c>
      <c r="X4" s="74" t="s">
        <v>284</v>
      </c>
      <c r="Y4" s="37" t="s">
        <v>285</v>
      </c>
      <c r="Z4" s="77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60">
        <f>IFERROR(__xludf.DUMMYFUNCTION("""COMPUTED_VALUE"""),45743.6458333333)</f>
        <v>45743.6458333333</v>
      </c>
      <c r="B5" s="61">
        <f>IFERROR(__xludf.DUMMYFUNCTION("""COMPUTED_VALUE"""),1336.65)</f>
        <v>1336.65</v>
      </c>
      <c r="C5" s="60">
        <f>IFERROR(__xludf.DUMMYFUNCTION("""COMPUTED_VALUE"""),45743.6458333333)</f>
        <v>45743.6458333333</v>
      </c>
      <c r="D5" s="61">
        <f>IFERROR(__xludf.DUMMYFUNCTION("""COMPUTED_VALUE"""),1333.15)</f>
        <v>1333.15</v>
      </c>
      <c r="E5" s="60">
        <f>IFERROR(__xludf.DUMMYFUNCTION("""COMPUTED_VALUE"""),45743.6458333333)</f>
        <v>45743.6458333333</v>
      </c>
      <c r="F5" s="61">
        <f>IFERROR(__xludf.DUMMYFUNCTION("""COMPUTED_VALUE"""),15109614)</f>
        <v>15109614</v>
      </c>
      <c r="G5" s="60">
        <f>IFERROR(__xludf.DUMMYFUNCTION("""COMPUTED_VALUE"""),45743.6458333333)</f>
        <v>45743.6458333333</v>
      </c>
      <c r="H5" s="61">
        <f>IFERROR(__xludf.DUMMYFUNCTION("""COMPUTED_VALUE"""),1351.5)</f>
        <v>1351.5</v>
      </c>
      <c r="I5" s="71">
        <f>IFERROR(__xludf.DUMMYFUNCTION("""COMPUTED_VALUE"""),45743.6458333333)</f>
        <v>45743.6458333333</v>
      </c>
      <c r="J5" s="51">
        <f>IFERROR(__xludf.DUMMYFUNCTION("""COMPUTED_VALUE"""),1333.15)</f>
        <v>1333.15</v>
      </c>
      <c r="K5" s="51"/>
      <c r="L5" s="51"/>
      <c r="M5" s="51">
        <f t="array" ref="M5">INDEX(K11:K124,MATCH(SMALL(ABS(K11:K124-H3),1),ABS(K11:K124-H3),0))</f>
        <v>1421.7</v>
      </c>
      <c r="N5" s="51">
        <f t="array" ref="N5">INDEX(K11:K124,MATCH(SMALL(ABS(K11:K124-H3),2),ABS(K11:K124-H3),0))</f>
        <v>1446</v>
      </c>
      <c r="O5" s="51">
        <f t="array" ref="O5">INDEX(L11:L124,MATCH(SMALL(ABS(L11:L124-H3),1),ABS(L11:L124-H3),0))</f>
        <v>1388.9</v>
      </c>
      <c r="P5" s="51">
        <f t="array" ref="P5">INDEX(L11:L124,MATCH(SMALL(ABS(L11:L124-H3),2),ABS(L11:L124-H3),0))</f>
        <v>1394.2</v>
      </c>
      <c r="Q5" s="48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S5" s="75">
        <f ca="1">IF(Q5&gt;0,Q5,S5)</f>
        <v>1420.8</v>
      </c>
      <c r="T5" s="48">
        <f ca="1">IF(AND(H3&gt;=Mastersheet!I3*S5,H3&lt;=Mastersheet!J3*S5),1,0)</f>
        <v>0</v>
      </c>
      <c r="U5" s="76">
        <f>(N3+P3)/2</f>
        <v>1363.8</v>
      </c>
      <c r="V5" s="48">
        <f>(N3+P3+R3+T3)/4</f>
        <v>1364.325</v>
      </c>
      <c r="W5" s="48">
        <f>IF(V5&gt;U5,1,0)</f>
        <v>1</v>
      </c>
      <c r="X5" s="48">
        <f>IF(V5&gt;U5,0,1)</f>
        <v>0</v>
      </c>
      <c r="Y5" s="48">
        <f>IF(COUNTIF(Mastersheet!E:E,L3)&gt;0,0,1)</f>
        <v>1</v>
      </c>
      <c r="Z5" s="78">
        <f ca="1">IF(T5*W5*Y5=1,1,0)</f>
        <v>0</v>
      </c>
      <c r="AA5" s="79"/>
      <c r="AB5" s="44" t="s">
        <v>289</v>
      </c>
      <c r="AC5" s="80" t="s">
        <v>290</v>
      </c>
      <c r="AD5" s="81" t="s">
        <v>291</v>
      </c>
      <c r="AE5" s="81" t="s">
        <v>292</v>
      </c>
    </row>
    <row r="6" customHeight="1" spans="1:31">
      <c r="A6" s="47">
        <f>IFERROR(__xludf.DUMMYFUNCTION("""COMPUTED_VALUE"""),45744.6458333333)</f>
        <v>45744.6458333333</v>
      </c>
      <c r="B6" s="48">
        <f>IFERROR(__xludf.DUMMYFUNCTION("""COMPUTED_VALUE"""),1348.35)</f>
        <v>1348.35</v>
      </c>
      <c r="C6" s="47">
        <f>IFERROR(__xludf.DUMMYFUNCTION("""COMPUTED_VALUE"""),45744.6458333333)</f>
        <v>45744.6458333333</v>
      </c>
      <c r="D6" s="48">
        <f>IFERROR(__xludf.DUMMYFUNCTION("""COMPUTED_VALUE"""),1336)</f>
        <v>1336</v>
      </c>
      <c r="E6" s="47">
        <f>IFERROR(__xludf.DUMMYFUNCTION("""COMPUTED_VALUE"""),45744.6458333333)</f>
        <v>45744.6458333333</v>
      </c>
      <c r="F6" s="48">
        <f>IFERROR(__xludf.DUMMYFUNCTION("""COMPUTED_VALUE"""),8266544)</f>
        <v>8266544</v>
      </c>
      <c r="G6" s="47">
        <f>IFERROR(__xludf.DUMMYFUNCTION("""COMPUTED_VALUE"""),45744.6458333333)</f>
        <v>45744.6458333333</v>
      </c>
      <c r="H6" s="48">
        <f>IFERROR(__xludf.DUMMYFUNCTION("""COMPUTED_VALUE"""),1357.95)</f>
        <v>1357.95</v>
      </c>
      <c r="I6" s="47">
        <f>IFERROR(__xludf.DUMMYFUNCTION("""COMPUTED_VALUE"""),45744.6458333333)</f>
        <v>45744.6458333333</v>
      </c>
      <c r="J6" s="48">
        <f>IFERROR(__xludf.DUMMYFUNCTION("""COMPUTED_VALUE"""),1327.2)</f>
        <v>1327.2</v>
      </c>
      <c r="AB6" s="48">
        <f>IF(COUNTIF(Mastersheet!E:E,L3)&gt;0,1,0)</f>
        <v>0</v>
      </c>
      <c r="AC6" s="48">
        <f>IF(AND(H3&gt;Mastersheet!L3*Mastersheet!F3,X5),1,0)</f>
        <v>0</v>
      </c>
      <c r="AD6" s="76">
        <f>IF(H3&lt;Mastersheet!M3*Mastersheet!F3,1,0)</f>
        <v>0</v>
      </c>
      <c r="AE6" s="48">
        <f>IF(OR(AC6*AB6=1,AD6*AB6=1),1,0)</f>
        <v>0</v>
      </c>
    </row>
    <row r="7" customHeight="1" spans="1:10">
      <c r="A7" s="47">
        <f>IFERROR(__xludf.DUMMYFUNCTION("""COMPUTED_VALUE"""),45748.6458333333)</f>
        <v>45748.6458333333</v>
      </c>
      <c r="B7" s="48">
        <f>IFERROR(__xludf.DUMMYFUNCTION("""COMPUTED_VALUE"""),1318.45)</f>
        <v>1318.45</v>
      </c>
      <c r="C7" s="47">
        <f>IFERROR(__xludf.DUMMYFUNCTION("""COMPUTED_VALUE"""),45748.6458333333)</f>
        <v>45748.6458333333</v>
      </c>
      <c r="D7" s="48">
        <f>IFERROR(__xludf.DUMMYFUNCTION("""COMPUTED_VALUE"""),1340)</f>
        <v>1340</v>
      </c>
      <c r="E7" s="47">
        <f>IFERROR(__xludf.DUMMYFUNCTION("""COMPUTED_VALUE"""),45748.6458333333)</f>
        <v>45748.6458333333</v>
      </c>
      <c r="F7" s="48">
        <f>IFERROR(__xludf.DUMMYFUNCTION("""COMPUTED_VALUE"""),14288024)</f>
        <v>14288024</v>
      </c>
      <c r="G7" s="47">
        <f>IFERROR(__xludf.DUMMYFUNCTION("""COMPUTED_VALUE"""),45748.6458333333)</f>
        <v>45748.6458333333</v>
      </c>
      <c r="H7" s="48">
        <f>IFERROR(__xludf.DUMMYFUNCTION("""COMPUTED_VALUE"""),1352.35)</f>
        <v>1352.35</v>
      </c>
      <c r="I7" s="47">
        <f>IFERROR(__xludf.DUMMYFUNCTION("""COMPUTED_VALUE"""),45748.6458333333)</f>
        <v>45748.6458333333</v>
      </c>
      <c r="J7" s="48">
        <f>IFERROR(__xludf.DUMMYFUNCTION("""COMPUTED_VALUE"""),1315.4)</f>
        <v>1315.4</v>
      </c>
    </row>
    <row r="8" customHeight="1" spans="1:10">
      <c r="A8" s="47">
        <f>IFERROR(__xludf.DUMMYFUNCTION("""COMPUTED_VALUE"""),45749.6458333333)</f>
        <v>45749.6458333333</v>
      </c>
      <c r="B8" s="48">
        <f>IFERROR(__xludf.DUMMYFUNCTION("""COMPUTED_VALUE"""),1331.25)</f>
        <v>1331.25</v>
      </c>
      <c r="C8" s="47">
        <f>IFERROR(__xludf.DUMMYFUNCTION("""COMPUTED_VALUE"""),45749.6458333333)</f>
        <v>45749.6458333333</v>
      </c>
      <c r="D8" s="48">
        <f>IFERROR(__xludf.DUMMYFUNCTION("""COMPUTED_VALUE"""),1322.15)</f>
        <v>1322.15</v>
      </c>
      <c r="E8" s="47">
        <f>IFERROR(__xludf.DUMMYFUNCTION("""COMPUTED_VALUE"""),45749.6458333333)</f>
        <v>45749.6458333333</v>
      </c>
      <c r="F8" s="48">
        <f>IFERROR(__xludf.DUMMYFUNCTION("""COMPUTED_VALUE"""),8042214)</f>
        <v>8042214</v>
      </c>
      <c r="G8" s="47">
        <f>IFERROR(__xludf.DUMMYFUNCTION("""COMPUTED_VALUE"""),45749.6458333333)</f>
        <v>45749.6458333333</v>
      </c>
      <c r="H8" s="48">
        <f>IFERROR(__xludf.DUMMYFUNCTION("""COMPUTED_VALUE"""),1337.95)</f>
        <v>1337.95</v>
      </c>
      <c r="I8" s="47">
        <f>IFERROR(__xludf.DUMMYFUNCTION("""COMPUTED_VALUE"""),45749.6458333333)</f>
        <v>45749.6458333333</v>
      </c>
      <c r="J8" s="48">
        <f>IFERROR(__xludf.DUMMYFUNCTION("""COMPUTED_VALUE"""),1322.15)</f>
        <v>1322.15</v>
      </c>
    </row>
    <row r="9" customHeight="1" spans="1:10">
      <c r="A9" s="47">
        <f>IFERROR(__xludf.DUMMYFUNCTION("""COMPUTED_VALUE"""),45750.6458333333)</f>
        <v>45750.6458333333</v>
      </c>
      <c r="B9" s="48">
        <f>IFERROR(__xludf.DUMMYFUNCTION("""COMPUTED_VALUE"""),1329.55)</f>
        <v>1329.55</v>
      </c>
      <c r="C9" s="47">
        <f>IFERROR(__xludf.DUMMYFUNCTION("""COMPUTED_VALUE"""),45750.6458333333)</f>
        <v>45750.6458333333</v>
      </c>
      <c r="D9" s="48">
        <f>IFERROR(__xludf.DUMMYFUNCTION("""COMPUTED_VALUE"""),1321.95)</f>
        <v>1321.95</v>
      </c>
      <c r="E9" s="47">
        <f>IFERROR(__xludf.DUMMYFUNCTION("""COMPUTED_VALUE"""),45750.6458333333)</f>
        <v>45750.6458333333</v>
      </c>
      <c r="F9" s="48">
        <f>IFERROR(__xludf.DUMMYFUNCTION("""COMPUTED_VALUE"""),4591008)</f>
        <v>4591008</v>
      </c>
      <c r="G9" s="47">
        <f>IFERROR(__xludf.DUMMYFUNCTION("""COMPUTED_VALUE"""),45750.6458333333)</f>
        <v>45750.6458333333</v>
      </c>
      <c r="H9" s="48">
        <f>IFERROR(__xludf.DUMMYFUNCTION("""COMPUTED_VALUE"""),1333)</f>
        <v>1333</v>
      </c>
      <c r="I9" s="47">
        <f>IFERROR(__xludf.DUMMYFUNCTION("""COMPUTED_VALUE"""),45750.6458333333)</f>
        <v>45750.6458333333</v>
      </c>
      <c r="J9" s="48">
        <f>IFERROR(__xludf.DUMMYFUNCTION("""COMPUTED_VALUE"""),1321.25)</f>
        <v>1321.25</v>
      </c>
    </row>
    <row r="10" customHeight="1" spans="1:10">
      <c r="A10" s="47">
        <f>IFERROR(__xludf.DUMMYFUNCTION("""COMPUTED_VALUE"""),45751.6458333333)</f>
        <v>45751.6458333333</v>
      </c>
      <c r="B10" s="48">
        <f>IFERROR(__xludf.DUMMYFUNCTION("""COMPUTED_VALUE"""),1335.3)</f>
        <v>1335.3</v>
      </c>
      <c r="C10" s="47">
        <f>IFERROR(__xludf.DUMMYFUNCTION("""COMPUTED_VALUE"""),45751.6458333333)</f>
        <v>45751.6458333333</v>
      </c>
      <c r="D10" s="48">
        <f>IFERROR(__xludf.DUMMYFUNCTION("""COMPUTED_VALUE"""),1329.55)</f>
        <v>1329.55</v>
      </c>
      <c r="E10" s="47">
        <f>IFERROR(__xludf.DUMMYFUNCTION("""COMPUTED_VALUE"""),45751.6458333333)</f>
        <v>45751.6458333333</v>
      </c>
      <c r="F10" s="48">
        <f>IFERROR(__xludf.DUMMYFUNCTION("""COMPUTED_VALUE"""),8648542)</f>
        <v>8648542</v>
      </c>
      <c r="G10" s="47">
        <f>IFERROR(__xludf.DUMMYFUNCTION("""COMPUTED_VALUE"""),45751.6458333333)</f>
        <v>45751.6458333333</v>
      </c>
      <c r="H10" s="48">
        <f>IFERROR(__xludf.DUMMYFUNCTION("""COMPUTED_VALUE"""),1338.55)</f>
        <v>1338.55</v>
      </c>
      <c r="I10" s="47">
        <f>IFERROR(__xludf.DUMMYFUNCTION("""COMPUTED_VALUE"""),45751.6458333333)</f>
        <v>45751.6458333333</v>
      </c>
      <c r="J10" s="48">
        <f>IFERROR(__xludf.DUMMYFUNCTION("""COMPUTED_VALUE"""),1322.1)</f>
        <v>1322.1</v>
      </c>
    </row>
    <row r="11" customHeight="1" spans="1:12">
      <c r="A11" s="47">
        <f>IFERROR(__xludf.DUMMYFUNCTION("""COMPUTED_VALUE"""),45754.6458333333)</f>
        <v>45754.6458333333</v>
      </c>
      <c r="B11" s="48">
        <f>IFERROR(__xludf.DUMMYFUNCTION("""COMPUTED_VALUE"""),1287.55)</f>
        <v>1287.55</v>
      </c>
      <c r="C11" s="47">
        <f>IFERROR(__xludf.DUMMYFUNCTION("""COMPUTED_VALUE"""),45754.6458333333)</f>
        <v>45754.6458333333</v>
      </c>
      <c r="D11" s="48">
        <f>IFERROR(__xludf.DUMMYFUNCTION("""COMPUTED_VALUE"""),1295.25)</f>
        <v>1295.25</v>
      </c>
      <c r="E11" s="47">
        <f>IFERROR(__xludf.DUMMYFUNCTION("""COMPUTED_VALUE"""),45754.6458333333)</f>
        <v>45754.6458333333</v>
      </c>
      <c r="F11" s="48">
        <f>IFERROR(__xludf.DUMMYFUNCTION("""COMPUTED_VALUE"""),19185012)</f>
        <v>19185012</v>
      </c>
      <c r="G11" s="47">
        <f>IFERROR(__xludf.DUMMYFUNCTION("""COMPUTED_VALUE"""),45754.6458333333)</f>
        <v>45754.6458333333</v>
      </c>
      <c r="H11" s="48">
        <f>IFERROR(__xludf.DUMMYFUNCTION("""COMPUTED_VALUE"""),1325)</f>
        <v>1325</v>
      </c>
      <c r="I11" s="47">
        <f>IFERROR(__xludf.DUMMYFUNCTION("""COMPUTED_VALUE"""),45754.6458333333)</f>
        <v>45754.6458333333</v>
      </c>
      <c r="J11" s="48">
        <f>IFERROR(__xludf.DUMMYFUNCTION("""COMPUTED_VALUE"""),1265)</f>
        <v>1265</v>
      </c>
      <c r="K11" s="3">
        <f t="shared" ref="K11:K125" si="2">IF(B11=MAX(B5:B17),B11,0)</f>
        <v>0</v>
      </c>
      <c r="L11" s="3">
        <f t="shared" ref="L11:L125" si="3">IF(B11=MIN(B5:B17),B11,0)</f>
        <v>1287.55</v>
      </c>
    </row>
    <row r="12" customHeight="1" spans="1:12">
      <c r="A12" s="47">
        <f>IFERROR(__xludf.DUMMYFUNCTION("""COMPUTED_VALUE"""),45755.6458333333)</f>
        <v>45755.6458333333</v>
      </c>
      <c r="B12" s="48">
        <f>IFERROR(__xludf.DUMMYFUNCTION("""COMPUTED_VALUE"""),1299.9)</f>
        <v>1299.9</v>
      </c>
      <c r="C12" s="47">
        <f>IFERROR(__xludf.DUMMYFUNCTION("""COMPUTED_VALUE"""),45755.6458333333)</f>
        <v>45755.6458333333</v>
      </c>
      <c r="D12" s="48">
        <f>IFERROR(__xludf.DUMMYFUNCTION("""COMPUTED_VALUE"""),1299.85)</f>
        <v>1299.85</v>
      </c>
      <c r="E12" s="47">
        <f>IFERROR(__xludf.DUMMYFUNCTION("""COMPUTED_VALUE"""),45755.6458333333)</f>
        <v>45755.6458333333</v>
      </c>
      <c r="F12" s="48">
        <f>IFERROR(__xludf.DUMMYFUNCTION("""COMPUTED_VALUE"""),13085762)</f>
        <v>13085762</v>
      </c>
      <c r="G12" s="47">
        <f>IFERROR(__xludf.DUMMYFUNCTION("""COMPUTED_VALUE"""),45755.6458333333)</f>
        <v>45755.6458333333</v>
      </c>
      <c r="H12" s="48">
        <f>IFERROR(__xludf.DUMMYFUNCTION("""COMPUTED_VALUE"""),1310.05)</f>
        <v>1310.05</v>
      </c>
      <c r="I12" s="47">
        <f>IFERROR(__xludf.DUMMYFUNCTION("""COMPUTED_VALUE"""),45755.6458333333)</f>
        <v>45755.6458333333</v>
      </c>
      <c r="J12" s="48">
        <f>IFERROR(__xludf.DUMMYFUNCTION("""COMPUTED_VALUE"""),1287.35)</f>
        <v>1287.35</v>
      </c>
      <c r="K12" s="3">
        <f t="shared" si="2"/>
        <v>0</v>
      </c>
      <c r="L12" s="3">
        <f t="shared" si="3"/>
        <v>0</v>
      </c>
    </row>
    <row r="13" customHeight="1" spans="1:12">
      <c r="A13" s="47">
        <f>IFERROR(__xludf.DUMMYFUNCTION("""COMPUTED_VALUE"""),45756.6458333333)</f>
        <v>45756.6458333333</v>
      </c>
      <c r="B13" s="48">
        <f>IFERROR(__xludf.DUMMYFUNCTION("""COMPUTED_VALUE"""),1300.8)</f>
        <v>1300.8</v>
      </c>
      <c r="C13" s="47">
        <f>IFERROR(__xludf.DUMMYFUNCTION("""COMPUTED_VALUE"""),45756.6458333333)</f>
        <v>45756.6458333333</v>
      </c>
      <c r="D13" s="48">
        <f>IFERROR(__xludf.DUMMYFUNCTION("""COMPUTED_VALUE"""),1304.95)</f>
        <v>1304.95</v>
      </c>
      <c r="E13" s="47">
        <f>IFERROR(__xludf.DUMMYFUNCTION("""COMPUTED_VALUE"""),45756.6458333333)</f>
        <v>45756.6458333333</v>
      </c>
      <c r="F13" s="48">
        <f>IFERROR(__xludf.DUMMYFUNCTION("""COMPUTED_VALUE"""),13005622)</f>
        <v>13005622</v>
      </c>
      <c r="G13" s="47">
        <f>IFERROR(__xludf.DUMMYFUNCTION("""COMPUTED_VALUE"""),45756.6458333333)</f>
        <v>45756.6458333333</v>
      </c>
      <c r="H13" s="48">
        <f>IFERROR(__xludf.DUMMYFUNCTION("""COMPUTED_VALUE"""),1305.1)</f>
        <v>1305.1</v>
      </c>
      <c r="I13" s="47">
        <f>IFERROR(__xludf.DUMMYFUNCTION("""COMPUTED_VALUE"""),45756.6458333333)</f>
        <v>45756.6458333333</v>
      </c>
      <c r="J13" s="48">
        <f>IFERROR(__xludf.DUMMYFUNCTION("""COMPUTED_VALUE"""),1284.5)</f>
        <v>1284.5</v>
      </c>
      <c r="K13" s="3">
        <f t="shared" si="2"/>
        <v>0</v>
      </c>
      <c r="L13" s="3">
        <f t="shared" si="3"/>
        <v>0</v>
      </c>
    </row>
    <row r="14" customHeight="1" spans="1:12">
      <c r="A14" s="47">
        <f>IFERROR(__xludf.DUMMYFUNCTION("""COMPUTED_VALUE"""),45758.6458333333)</f>
        <v>45758.6458333333</v>
      </c>
      <c r="B14" s="48">
        <f>IFERROR(__xludf.DUMMYFUNCTION("""COMPUTED_VALUE"""),1311.65)</f>
        <v>1311.65</v>
      </c>
      <c r="C14" s="47">
        <f>IFERROR(__xludf.DUMMYFUNCTION("""COMPUTED_VALUE"""),45758.6458333333)</f>
        <v>45758.6458333333</v>
      </c>
      <c r="D14" s="48">
        <f>IFERROR(__xludf.DUMMYFUNCTION("""COMPUTED_VALUE"""),1305.1)</f>
        <v>1305.1</v>
      </c>
      <c r="E14" s="47">
        <f>IFERROR(__xludf.DUMMYFUNCTION("""COMPUTED_VALUE"""),45758.6458333333)</f>
        <v>45758.6458333333</v>
      </c>
      <c r="F14" s="48">
        <f>IFERROR(__xludf.DUMMYFUNCTION("""COMPUTED_VALUE"""),13064247)</f>
        <v>13064247</v>
      </c>
      <c r="G14" s="47">
        <f>IFERROR(__xludf.DUMMYFUNCTION("""COMPUTED_VALUE"""),45758.6458333333)</f>
        <v>45758.6458333333</v>
      </c>
      <c r="H14" s="48">
        <f>IFERROR(__xludf.DUMMYFUNCTION("""COMPUTED_VALUE"""),1325)</f>
        <v>1325</v>
      </c>
      <c r="I14" s="47">
        <f>IFERROR(__xludf.DUMMYFUNCTION("""COMPUTED_VALUE"""),45758.6458333333)</f>
        <v>45758.6458333333</v>
      </c>
      <c r="J14" s="48">
        <f>IFERROR(__xludf.DUMMYFUNCTION("""COMPUTED_VALUE"""),1305.1)</f>
        <v>1305.1</v>
      </c>
      <c r="K14" s="3">
        <f t="shared" si="2"/>
        <v>0</v>
      </c>
      <c r="L14" s="3">
        <f t="shared" si="3"/>
        <v>0</v>
      </c>
    </row>
    <row r="15" customHeight="1" spans="1:12">
      <c r="A15" s="47">
        <f>IFERROR(__xludf.DUMMYFUNCTION("""COMPUTED_VALUE"""),45762.6458333333)</f>
        <v>45762.6458333333</v>
      </c>
      <c r="B15" s="48">
        <f>IFERROR(__xludf.DUMMYFUNCTION("""COMPUTED_VALUE"""),1350.2)</f>
        <v>1350.2</v>
      </c>
      <c r="C15" s="47">
        <f>IFERROR(__xludf.DUMMYFUNCTION("""COMPUTED_VALUE"""),45762.6458333333)</f>
        <v>45762.6458333333</v>
      </c>
      <c r="D15" s="48">
        <f>IFERROR(__xludf.DUMMYFUNCTION("""COMPUTED_VALUE"""),1351)</f>
        <v>1351</v>
      </c>
      <c r="E15" s="47">
        <f>IFERROR(__xludf.DUMMYFUNCTION("""COMPUTED_VALUE"""),45762.6458333333)</f>
        <v>45762.6458333333</v>
      </c>
      <c r="F15" s="48">
        <f>IFERROR(__xludf.DUMMYFUNCTION("""COMPUTED_VALUE"""),15202603)</f>
        <v>15202603</v>
      </c>
      <c r="G15" s="47">
        <f>IFERROR(__xludf.DUMMYFUNCTION("""COMPUTED_VALUE"""),45762.6458333333)</f>
        <v>45762.6458333333</v>
      </c>
      <c r="H15" s="48">
        <f>IFERROR(__xludf.DUMMYFUNCTION("""COMPUTED_VALUE"""),1354.3)</f>
        <v>1354.3</v>
      </c>
      <c r="I15" s="47">
        <f>IFERROR(__xludf.DUMMYFUNCTION("""COMPUTED_VALUE"""),45762.6458333333)</f>
        <v>45762.6458333333</v>
      </c>
      <c r="J15" s="48">
        <f>IFERROR(__xludf.DUMMYFUNCTION("""COMPUTED_VALUE"""),1336.2)</f>
        <v>1336.2</v>
      </c>
      <c r="K15" s="3">
        <f t="shared" si="2"/>
        <v>0</v>
      </c>
      <c r="L15" s="3">
        <f t="shared" si="3"/>
        <v>0</v>
      </c>
    </row>
    <row r="16" customHeight="1" spans="1:12">
      <c r="A16" s="47">
        <f>IFERROR(__xludf.DUMMYFUNCTION("""COMPUTED_VALUE"""),45763.6458333333)</f>
        <v>45763.6458333333</v>
      </c>
      <c r="B16" s="48">
        <f>IFERROR(__xludf.DUMMYFUNCTION("""COMPUTED_VALUE"""),1356.4)</f>
        <v>1356.4</v>
      </c>
      <c r="C16" s="47">
        <f>IFERROR(__xludf.DUMMYFUNCTION("""COMPUTED_VALUE"""),45763.6458333333)</f>
        <v>45763.6458333333</v>
      </c>
      <c r="D16" s="48">
        <f>IFERROR(__xludf.DUMMYFUNCTION("""COMPUTED_VALUE"""),1357)</f>
        <v>1357</v>
      </c>
      <c r="E16" s="47">
        <f>IFERROR(__xludf.DUMMYFUNCTION("""COMPUTED_VALUE"""),45763.6458333333)</f>
        <v>45763.6458333333</v>
      </c>
      <c r="F16" s="48">
        <f>IFERROR(__xludf.DUMMYFUNCTION("""COMPUTED_VALUE"""),14039073)</f>
        <v>14039073</v>
      </c>
      <c r="G16" s="47">
        <f>IFERROR(__xludf.DUMMYFUNCTION("""COMPUTED_VALUE"""),45763.6458333333)</f>
        <v>45763.6458333333</v>
      </c>
      <c r="H16" s="48">
        <f>IFERROR(__xludf.DUMMYFUNCTION("""COMPUTED_VALUE"""),1359.7)</f>
        <v>1359.7</v>
      </c>
      <c r="I16" s="47">
        <f>IFERROR(__xludf.DUMMYFUNCTION("""COMPUTED_VALUE"""),45763.6458333333)</f>
        <v>45763.6458333333</v>
      </c>
      <c r="J16" s="48">
        <f>IFERROR(__xludf.DUMMYFUNCTION("""COMPUTED_VALUE"""),1342.9)</f>
        <v>1342.9</v>
      </c>
      <c r="K16" s="3">
        <f t="shared" si="2"/>
        <v>0</v>
      </c>
      <c r="L16" s="3">
        <f t="shared" si="3"/>
        <v>0</v>
      </c>
    </row>
    <row r="17" customHeight="1" spans="1:12">
      <c r="A17" s="47">
        <f>IFERROR(__xludf.DUMMYFUNCTION("""COMPUTED_VALUE"""),45764.6458333333)</f>
        <v>45764.6458333333</v>
      </c>
      <c r="B17" s="48">
        <f>IFERROR(__xludf.DUMMYFUNCTION("""COMPUTED_VALUE"""),1406.7)</f>
        <v>1406.7</v>
      </c>
      <c r="C17" s="47">
        <f>IFERROR(__xludf.DUMMYFUNCTION("""COMPUTED_VALUE"""),45764.6458333333)</f>
        <v>45764.6458333333</v>
      </c>
      <c r="D17" s="48">
        <f>IFERROR(__xludf.DUMMYFUNCTION("""COMPUTED_VALUE"""),1362)</f>
        <v>1362</v>
      </c>
      <c r="E17" s="47">
        <f>IFERROR(__xludf.DUMMYFUNCTION("""COMPUTED_VALUE"""),45764.6458333333)</f>
        <v>45764.6458333333</v>
      </c>
      <c r="F17" s="48">
        <f>IFERROR(__xludf.DUMMYFUNCTION("""COMPUTED_VALUE"""),17490424)</f>
        <v>17490424</v>
      </c>
      <c r="G17" s="47">
        <f>IFERROR(__xludf.DUMMYFUNCTION("""COMPUTED_VALUE"""),45764.6458333333)</f>
        <v>45764.6458333333</v>
      </c>
      <c r="H17" s="48">
        <f>IFERROR(__xludf.DUMMYFUNCTION("""COMPUTED_VALUE"""),1408.9)</f>
        <v>1408.9</v>
      </c>
      <c r="I17" s="47">
        <f>IFERROR(__xludf.DUMMYFUNCTION("""COMPUTED_VALUE"""),45764.6458333333)</f>
        <v>45764.6458333333</v>
      </c>
      <c r="J17" s="48">
        <f>IFERROR(__xludf.DUMMYFUNCTION("""COMPUTED_VALUE"""),1360.1)</f>
        <v>1360.1</v>
      </c>
      <c r="K17" s="3">
        <f t="shared" si="2"/>
        <v>0</v>
      </c>
      <c r="L17" s="3">
        <f t="shared" si="3"/>
        <v>0</v>
      </c>
    </row>
    <row r="18" customHeight="1" spans="1:12">
      <c r="A18" s="47">
        <f>IFERROR(__xludf.DUMMYFUNCTION("""COMPUTED_VALUE"""),45768.6458333333)</f>
        <v>45768.6458333333</v>
      </c>
      <c r="B18" s="48">
        <f>IFERROR(__xludf.DUMMYFUNCTION("""COMPUTED_VALUE"""),1409.8)</f>
        <v>1409.8</v>
      </c>
      <c r="C18" s="47">
        <f>IFERROR(__xludf.DUMMYFUNCTION("""COMPUTED_VALUE"""),45768.6458333333)</f>
        <v>45768.6458333333</v>
      </c>
      <c r="D18" s="48">
        <f>IFERROR(__xludf.DUMMYFUNCTION("""COMPUTED_VALUE"""),1436)</f>
        <v>1436</v>
      </c>
      <c r="E18" s="47">
        <f>IFERROR(__xludf.DUMMYFUNCTION("""COMPUTED_VALUE"""),45768.6458333333)</f>
        <v>45768.6458333333</v>
      </c>
      <c r="F18" s="48">
        <f>IFERROR(__xludf.DUMMYFUNCTION("""COMPUTED_VALUE"""),16882426)</f>
        <v>16882426</v>
      </c>
      <c r="G18" s="47">
        <f>IFERROR(__xludf.DUMMYFUNCTION("""COMPUTED_VALUE"""),45768.6458333333)</f>
        <v>45768.6458333333</v>
      </c>
      <c r="H18" s="48">
        <f>IFERROR(__xludf.DUMMYFUNCTION("""COMPUTED_VALUE"""),1436)</f>
        <v>1436</v>
      </c>
      <c r="I18" s="47">
        <f>IFERROR(__xludf.DUMMYFUNCTION("""COMPUTED_VALUE"""),45768.6458333333)</f>
        <v>45768.6458333333</v>
      </c>
      <c r="J18" s="48">
        <f>IFERROR(__xludf.DUMMYFUNCTION("""COMPUTED_VALUE"""),1404.7)</f>
        <v>1404.7</v>
      </c>
      <c r="K18" s="3">
        <f t="shared" si="2"/>
        <v>0</v>
      </c>
      <c r="L18" s="3">
        <f t="shared" si="3"/>
        <v>0</v>
      </c>
    </row>
    <row r="19" customHeight="1" spans="1:12">
      <c r="A19" s="47">
        <f>IFERROR(__xludf.DUMMYFUNCTION("""COMPUTED_VALUE"""),45769.6458333333)</f>
        <v>45769.6458333333</v>
      </c>
      <c r="B19" s="48">
        <f>IFERROR(__xludf.DUMMYFUNCTION("""COMPUTED_VALUE"""),1416.5)</f>
        <v>1416.5</v>
      </c>
      <c r="C19" s="47">
        <f>IFERROR(__xludf.DUMMYFUNCTION("""COMPUTED_VALUE"""),45769.6458333333)</f>
        <v>45769.6458333333</v>
      </c>
      <c r="D19" s="48">
        <f>IFERROR(__xludf.DUMMYFUNCTION("""COMPUTED_VALUE"""),1412.8)</f>
        <v>1412.8</v>
      </c>
      <c r="E19" s="47">
        <f>IFERROR(__xludf.DUMMYFUNCTION("""COMPUTED_VALUE"""),45769.6458333333)</f>
        <v>45769.6458333333</v>
      </c>
      <c r="F19" s="48">
        <f>IFERROR(__xludf.DUMMYFUNCTION("""COMPUTED_VALUE"""),16135274)</f>
        <v>16135274</v>
      </c>
      <c r="G19" s="47">
        <f>IFERROR(__xludf.DUMMYFUNCTION("""COMPUTED_VALUE"""),45769.6458333333)</f>
        <v>45769.6458333333</v>
      </c>
      <c r="H19" s="48">
        <f>IFERROR(__xludf.DUMMYFUNCTION("""COMPUTED_VALUE"""),1418.8)</f>
        <v>1418.8</v>
      </c>
      <c r="I19" s="47">
        <f>IFERROR(__xludf.DUMMYFUNCTION("""COMPUTED_VALUE"""),45769.6458333333)</f>
        <v>45769.6458333333</v>
      </c>
      <c r="J19" s="48">
        <f>IFERROR(__xludf.DUMMYFUNCTION("""COMPUTED_VALUE"""),1398.9)</f>
        <v>1398.9</v>
      </c>
      <c r="K19" s="3">
        <f t="shared" si="2"/>
        <v>0</v>
      </c>
      <c r="L19" s="3">
        <f t="shared" si="3"/>
        <v>0</v>
      </c>
    </row>
    <row r="20" customHeight="1" spans="1:12">
      <c r="A20" s="47">
        <f>IFERROR(__xludf.DUMMYFUNCTION("""COMPUTED_VALUE"""),45770.6458333333)</f>
        <v>45770.6458333333</v>
      </c>
      <c r="B20" s="48">
        <f>IFERROR(__xludf.DUMMYFUNCTION("""COMPUTED_VALUE"""),1424.4)</f>
        <v>1424.4</v>
      </c>
      <c r="C20" s="47">
        <f>IFERROR(__xludf.DUMMYFUNCTION("""COMPUTED_VALUE"""),45770.6458333333)</f>
        <v>45770.6458333333</v>
      </c>
      <c r="D20" s="48">
        <f>IFERROR(__xludf.DUMMYFUNCTION("""COMPUTED_VALUE"""),1429)</f>
        <v>1429</v>
      </c>
      <c r="E20" s="47">
        <f>IFERROR(__xludf.DUMMYFUNCTION("""COMPUTED_VALUE"""),45770.6458333333)</f>
        <v>45770.6458333333</v>
      </c>
      <c r="F20" s="48">
        <f>IFERROR(__xludf.DUMMYFUNCTION("""COMPUTED_VALUE"""),13990764)</f>
        <v>13990764</v>
      </c>
      <c r="G20" s="47">
        <f>IFERROR(__xludf.DUMMYFUNCTION("""COMPUTED_VALUE"""),45770.6458333333)</f>
        <v>45770.6458333333</v>
      </c>
      <c r="H20" s="48">
        <f>IFERROR(__xludf.DUMMYFUNCTION("""COMPUTED_VALUE"""),1429.9)</f>
        <v>1429.9</v>
      </c>
      <c r="I20" s="47">
        <f>IFERROR(__xludf.DUMMYFUNCTION("""COMPUTED_VALUE"""),45770.6458333333)</f>
        <v>45770.6458333333</v>
      </c>
      <c r="J20" s="48">
        <f>IFERROR(__xludf.DUMMYFUNCTION("""COMPUTED_VALUE"""),1411.3)</f>
        <v>1411.3</v>
      </c>
      <c r="K20" s="3">
        <f t="shared" si="2"/>
        <v>0</v>
      </c>
      <c r="L20" s="3">
        <f t="shared" si="3"/>
        <v>0</v>
      </c>
    </row>
    <row r="21" customHeight="1" spans="1:12">
      <c r="A21" s="47">
        <f>IFERROR(__xludf.DUMMYFUNCTION("""COMPUTED_VALUE"""),45771.6458333333)</f>
        <v>45771.6458333333</v>
      </c>
      <c r="B21" s="48">
        <f>IFERROR(__xludf.DUMMYFUNCTION("""COMPUTED_VALUE"""),1402.7)</f>
        <v>1402.7</v>
      </c>
      <c r="C21" s="47">
        <f>IFERROR(__xludf.DUMMYFUNCTION("""COMPUTED_VALUE"""),45771.6458333333)</f>
        <v>45771.6458333333</v>
      </c>
      <c r="D21" s="48">
        <f>IFERROR(__xludf.DUMMYFUNCTION("""COMPUTED_VALUE"""),1416.3)</f>
        <v>1416.3</v>
      </c>
      <c r="E21" s="47">
        <f>IFERROR(__xludf.DUMMYFUNCTION("""COMPUTED_VALUE"""),45771.6458333333)</f>
        <v>45771.6458333333</v>
      </c>
      <c r="F21" s="48">
        <f>IFERROR(__xludf.DUMMYFUNCTION("""COMPUTED_VALUE"""),15678099)</f>
        <v>15678099</v>
      </c>
      <c r="G21" s="47">
        <f>IFERROR(__xludf.DUMMYFUNCTION("""COMPUTED_VALUE"""),45771.6458333333)</f>
        <v>45771.6458333333</v>
      </c>
      <c r="H21" s="48">
        <f>IFERROR(__xludf.DUMMYFUNCTION("""COMPUTED_VALUE"""),1421.2)</f>
        <v>1421.2</v>
      </c>
      <c r="I21" s="47">
        <f>IFERROR(__xludf.DUMMYFUNCTION("""COMPUTED_VALUE"""),45771.6458333333)</f>
        <v>45771.6458333333</v>
      </c>
      <c r="J21" s="48">
        <f>IFERROR(__xludf.DUMMYFUNCTION("""COMPUTED_VALUE"""),1398.8)</f>
        <v>1398.8</v>
      </c>
      <c r="K21" s="3">
        <f t="shared" si="2"/>
        <v>0</v>
      </c>
      <c r="L21" s="3">
        <f t="shared" si="3"/>
        <v>0</v>
      </c>
    </row>
    <row r="22" customHeight="1" spans="1:12">
      <c r="A22" s="47">
        <f>IFERROR(__xludf.DUMMYFUNCTION("""COMPUTED_VALUE"""),45772.6458333333)</f>
        <v>45772.6458333333</v>
      </c>
      <c r="B22" s="48">
        <f>IFERROR(__xludf.DUMMYFUNCTION("""COMPUTED_VALUE"""),1404.8)</f>
        <v>1404.8</v>
      </c>
      <c r="C22" s="47">
        <f>IFERROR(__xludf.DUMMYFUNCTION("""COMPUTED_VALUE"""),45772.6458333333)</f>
        <v>45772.6458333333</v>
      </c>
      <c r="D22" s="48">
        <f>IFERROR(__xludf.DUMMYFUNCTION("""COMPUTED_VALUE"""),1410)</f>
        <v>1410</v>
      </c>
      <c r="E22" s="47">
        <f>IFERROR(__xludf.DUMMYFUNCTION("""COMPUTED_VALUE"""),45772.6458333333)</f>
        <v>45772.6458333333</v>
      </c>
      <c r="F22" s="48">
        <f>IFERROR(__xludf.DUMMYFUNCTION("""COMPUTED_VALUE"""),11705093)</f>
        <v>11705093</v>
      </c>
      <c r="G22" s="47">
        <f>IFERROR(__xludf.DUMMYFUNCTION("""COMPUTED_VALUE"""),45772.6458333333)</f>
        <v>45772.6458333333</v>
      </c>
      <c r="H22" s="48">
        <f>IFERROR(__xludf.DUMMYFUNCTION("""COMPUTED_VALUE"""),1414.8)</f>
        <v>1414.8</v>
      </c>
      <c r="I22" s="47">
        <f>IFERROR(__xludf.DUMMYFUNCTION("""COMPUTED_VALUE"""),45772.6458333333)</f>
        <v>45772.6458333333</v>
      </c>
      <c r="J22" s="48">
        <f>IFERROR(__xludf.DUMMYFUNCTION("""COMPUTED_VALUE"""),1388.4)</f>
        <v>1388.4</v>
      </c>
      <c r="K22" s="3">
        <f t="shared" si="2"/>
        <v>0</v>
      </c>
      <c r="L22" s="3">
        <f t="shared" si="3"/>
        <v>0</v>
      </c>
    </row>
    <row r="23" customHeight="1" spans="1:12">
      <c r="A23" s="47">
        <f>IFERROR(__xludf.DUMMYFUNCTION("""COMPUTED_VALUE"""),45775.6458333333)</f>
        <v>45775.6458333333</v>
      </c>
      <c r="B23" s="48">
        <f>IFERROR(__xludf.DUMMYFUNCTION("""COMPUTED_VALUE"""),1428.8)</f>
        <v>1428.8</v>
      </c>
      <c r="C23" s="47">
        <f>IFERROR(__xludf.DUMMYFUNCTION("""COMPUTED_VALUE"""),45775.6458333333)</f>
        <v>45775.6458333333</v>
      </c>
      <c r="D23" s="48">
        <f>IFERROR(__xludf.DUMMYFUNCTION("""COMPUTED_VALUE"""),1405.6)</f>
        <v>1405.6</v>
      </c>
      <c r="E23" s="47">
        <f>IFERROR(__xludf.DUMMYFUNCTION("""COMPUTED_VALUE"""),45775.6458333333)</f>
        <v>45775.6458333333</v>
      </c>
      <c r="F23" s="48">
        <f>IFERROR(__xludf.DUMMYFUNCTION("""COMPUTED_VALUE"""),10948561)</f>
        <v>10948561</v>
      </c>
      <c r="G23" s="47">
        <f>IFERROR(__xludf.DUMMYFUNCTION("""COMPUTED_VALUE"""),45775.6458333333)</f>
        <v>45775.6458333333</v>
      </c>
      <c r="H23" s="48">
        <f>IFERROR(__xludf.DUMMYFUNCTION("""COMPUTED_VALUE"""),1435)</f>
        <v>1435</v>
      </c>
      <c r="I23" s="47">
        <f>IFERROR(__xludf.DUMMYFUNCTION("""COMPUTED_VALUE"""),45775.6458333333)</f>
        <v>45775.6458333333</v>
      </c>
      <c r="J23" s="48">
        <f>IFERROR(__xludf.DUMMYFUNCTION("""COMPUTED_VALUE"""),1403.8)</f>
        <v>1403.8</v>
      </c>
      <c r="K23" s="3">
        <f t="shared" si="2"/>
        <v>0</v>
      </c>
      <c r="L23" s="3">
        <f t="shared" si="3"/>
        <v>0</v>
      </c>
    </row>
    <row r="24" customHeight="1" spans="1:12">
      <c r="A24" s="47">
        <f>IFERROR(__xludf.DUMMYFUNCTION("""COMPUTED_VALUE"""),45776.6458333333)</f>
        <v>45776.6458333333</v>
      </c>
      <c r="B24" s="48">
        <f>IFERROR(__xludf.DUMMYFUNCTION("""COMPUTED_VALUE"""),1429.8)</f>
        <v>1429.8</v>
      </c>
      <c r="C24" s="47">
        <f>IFERROR(__xludf.DUMMYFUNCTION("""COMPUTED_VALUE"""),45776.6458333333)</f>
        <v>45776.6458333333</v>
      </c>
      <c r="D24" s="48">
        <f>IFERROR(__xludf.DUMMYFUNCTION("""COMPUTED_VALUE"""),1428.8)</f>
        <v>1428.8</v>
      </c>
      <c r="E24" s="47">
        <f>IFERROR(__xludf.DUMMYFUNCTION("""COMPUTED_VALUE"""),45776.6458333333)</f>
        <v>45776.6458333333</v>
      </c>
      <c r="F24" s="48">
        <f>IFERROR(__xludf.DUMMYFUNCTION("""COMPUTED_VALUE"""),10786910)</f>
        <v>10786910</v>
      </c>
      <c r="G24" s="47">
        <f>IFERROR(__xludf.DUMMYFUNCTION("""COMPUTED_VALUE"""),45776.6458333333)</f>
        <v>45776.6458333333</v>
      </c>
      <c r="H24" s="48">
        <f>IFERROR(__xludf.DUMMYFUNCTION("""COMPUTED_VALUE"""),1438.3)</f>
        <v>1438.3</v>
      </c>
      <c r="I24" s="47">
        <f>IFERROR(__xludf.DUMMYFUNCTION("""COMPUTED_VALUE"""),45776.6458333333)</f>
        <v>45776.6458333333</v>
      </c>
      <c r="J24" s="48">
        <f>IFERROR(__xludf.DUMMYFUNCTION("""COMPUTED_VALUE"""),1422.6)</f>
        <v>1422.6</v>
      </c>
      <c r="K24" s="3">
        <f t="shared" si="2"/>
        <v>0</v>
      </c>
      <c r="L24" s="3">
        <f t="shared" si="3"/>
        <v>0</v>
      </c>
    </row>
    <row r="25" customHeight="1" spans="1:12">
      <c r="A25" s="47">
        <f>IFERROR(__xludf.DUMMYFUNCTION("""COMPUTED_VALUE"""),45777.6458333333)</f>
        <v>45777.6458333333</v>
      </c>
      <c r="B25" s="48">
        <f>IFERROR(__xludf.DUMMYFUNCTION("""COMPUTED_VALUE"""),1427)</f>
        <v>1427</v>
      </c>
      <c r="C25" s="47">
        <f>IFERROR(__xludf.DUMMYFUNCTION("""COMPUTED_VALUE"""),45777.6458333333)</f>
        <v>45777.6458333333</v>
      </c>
      <c r="D25" s="48">
        <f>IFERROR(__xludf.DUMMYFUNCTION("""COMPUTED_VALUE"""),1433)</f>
        <v>1433</v>
      </c>
      <c r="E25" s="47">
        <f>IFERROR(__xludf.DUMMYFUNCTION("""COMPUTED_VALUE"""),45777.6458333333)</f>
        <v>45777.6458333333</v>
      </c>
      <c r="F25" s="48">
        <f>IFERROR(__xludf.DUMMYFUNCTION("""COMPUTED_VALUE"""),14192027)</f>
        <v>14192027</v>
      </c>
      <c r="G25" s="47">
        <f>IFERROR(__xludf.DUMMYFUNCTION("""COMPUTED_VALUE"""),45777.6458333333)</f>
        <v>45777.6458333333</v>
      </c>
      <c r="H25" s="48">
        <f>IFERROR(__xludf.DUMMYFUNCTION("""COMPUTED_VALUE"""),1433.7)</f>
        <v>1433.7</v>
      </c>
      <c r="I25" s="47">
        <f>IFERROR(__xludf.DUMMYFUNCTION("""COMPUTED_VALUE"""),45777.6458333333)</f>
        <v>45777.6458333333</v>
      </c>
      <c r="J25" s="48">
        <f>IFERROR(__xludf.DUMMYFUNCTION("""COMPUTED_VALUE"""),1400)</f>
        <v>1400</v>
      </c>
      <c r="K25" s="3">
        <f t="shared" si="2"/>
        <v>0</v>
      </c>
      <c r="L25" s="3">
        <f t="shared" si="3"/>
        <v>0</v>
      </c>
    </row>
    <row r="26" customHeight="1" spans="1:12">
      <c r="A26" s="47">
        <f>IFERROR(__xludf.DUMMYFUNCTION("""COMPUTED_VALUE"""),45779.6458333333)</f>
        <v>45779.6458333333</v>
      </c>
      <c r="B26" s="48">
        <f>IFERROR(__xludf.DUMMYFUNCTION("""COMPUTED_VALUE"""),1432.4)</f>
        <v>1432.4</v>
      </c>
      <c r="C26" s="47">
        <f>IFERROR(__xludf.DUMMYFUNCTION("""COMPUTED_VALUE"""),45779.6458333333)</f>
        <v>45779.6458333333</v>
      </c>
      <c r="D26" s="48">
        <f>IFERROR(__xludf.DUMMYFUNCTION("""COMPUTED_VALUE"""),1426.9)</f>
        <v>1426.9</v>
      </c>
      <c r="E26" s="47">
        <f>IFERROR(__xludf.DUMMYFUNCTION("""COMPUTED_VALUE"""),45779.6458333333)</f>
        <v>45779.6458333333</v>
      </c>
      <c r="F26" s="48">
        <f>IFERROR(__xludf.DUMMYFUNCTION("""COMPUTED_VALUE"""),8842434)</f>
        <v>8842434</v>
      </c>
      <c r="G26" s="47">
        <f>IFERROR(__xludf.DUMMYFUNCTION("""COMPUTED_VALUE"""),45779.6458333333)</f>
        <v>45779.6458333333</v>
      </c>
      <c r="H26" s="48">
        <f>IFERROR(__xludf.DUMMYFUNCTION("""COMPUTED_VALUE"""),1446.6)</f>
        <v>1446.6</v>
      </c>
      <c r="I26" s="47">
        <f>IFERROR(__xludf.DUMMYFUNCTION("""COMPUTED_VALUE"""),45779.6458333333)</f>
        <v>45779.6458333333</v>
      </c>
      <c r="J26" s="48">
        <f>IFERROR(__xludf.DUMMYFUNCTION("""COMPUTED_VALUE"""),1424.6)</f>
        <v>1424.6</v>
      </c>
      <c r="K26" s="3">
        <f t="shared" si="2"/>
        <v>0</v>
      </c>
      <c r="L26" s="3">
        <f t="shared" si="3"/>
        <v>0</v>
      </c>
    </row>
    <row r="27" customHeight="1" spans="1:12">
      <c r="A27" s="47">
        <f>IFERROR(__xludf.DUMMYFUNCTION("""COMPUTED_VALUE"""),45782.6458333333)</f>
        <v>45782.6458333333</v>
      </c>
      <c r="B27" s="48">
        <f>IFERROR(__xludf.DUMMYFUNCTION("""COMPUTED_VALUE"""),1429.4)</f>
        <v>1429.4</v>
      </c>
      <c r="C27" s="47">
        <f>IFERROR(__xludf.DUMMYFUNCTION("""COMPUTED_VALUE"""),45782.6458333333)</f>
        <v>45782.6458333333</v>
      </c>
      <c r="D27" s="48">
        <f>IFERROR(__xludf.DUMMYFUNCTION("""COMPUTED_VALUE"""),1440)</f>
        <v>1440</v>
      </c>
      <c r="E27" s="47">
        <f>IFERROR(__xludf.DUMMYFUNCTION("""COMPUTED_VALUE"""),45782.6458333333)</f>
        <v>45782.6458333333</v>
      </c>
      <c r="F27" s="48">
        <f>IFERROR(__xludf.DUMMYFUNCTION("""COMPUTED_VALUE"""),4565705)</f>
        <v>4565705</v>
      </c>
      <c r="G27" s="47">
        <f>IFERROR(__xludf.DUMMYFUNCTION("""COMPUTED_VALUE"""),45782.6458333333)</f>
        <v>45782.6458333333</v>
      </c>
      <c r="H27" s="48">
        <f>IFERROR(__xludf.DUMMYFUNCTION("""COMPUTED_VALUE"""),1446.8)</f>
        <v>1446.8</v>
      </c>
      <c r="I27" s="47">
        <f>IFERROR(__xludf.DUMMYFUNCTION("""COMPUTED_VALUE"""),45782.6458333333)</f>
        <v>45782.6458333333</v>
      </c>
      <c r="J27" s="48">
        <f>IFERROR(__xludf.DUMMYFUNCTION("""COMPUTED_VALUE"""),1426)</f>
        <v>1426</v>
      </c>
      <c r="K27" s="3">
        <f t="shared" si="2"/>
        <v>0</v>
      </c>
      <c r="L27" s="3">
        <f t="shared" si="3"/>
        <v>0</v>
      </c>
    </row>
    <row r="28" customHeight="1" spans="1:12">
      <c r="A28" s="47">
        <f>IFERROR(__xludf.DUMMYFUNCTION("""COMPUTED_VALUE"""),45783.6458333333)</f>
        <v>45783.6458333333</v>
      </c>
      <c r="B28" s="48">
        <f>IFERROR(__xludf.DUMMYFUNCTION("""COMPUTED_VALUE"""),1431.6)</f>
        <v>1431.6</v>
      </c>
      <c r="C28" s="47">
        <f>IFERROR(__xludf.DUMMYFUNCTION("""COMPUTED_VALUE"""),45783.6458333333)</f>
        <v>45783.6458333333</v>
      </c>
      <c r="D28" s="48">
        <f>IFERROR(__xludf.DUMMYFUNCTION("""COMPUTED_VALUE"""),1429)</f>
        <v>1429</v>
      </c>
      <c r="E28" s="47">
        <f>IFERROR(__xludf.DUMMYFUNCTION("""COMPUTED_VALUE"""),45783.6458333333)</f>
        <v>45783.6458333333</v>
      </c>
      <c r="F28" s="48">
        <f>IFERROR(__xludf.DUMMYFUNCTION("""COMPUTED_VALUE"""),6301690)</f>
        <v>6301690</v>
      </c>
      <c r="G28" s="47">
        <f>IFERROR(__xludf.DUMMYFUNCTION("""COMPUTED_VALUE"""),45783.6458333333)</f>
        <v>45783.6458333333</v>
      </c>
      <c r="H28" s="48">
        <f>IFERROR(__xludf.DUMMYFUNCTION("""COMPUTED_VALUE"""),1433.7)</f>
        <v>1433.7</v>
      </c>
      <c r="I28" s="47">
        <f>IFERROR(__xludf.DUMMYFUNCTION("""COMPUTED_VALUE"""),45783.6458333333)</f>
        <v>45783.6458333333</v>
      </c>
      <c r="J28" s="48">
        <f>IFERROR(__xludf.DUMMYFUNCTION("""COMPUTED_VALUE"""),1420.4)</f>
        <v>1420.4</v>
      </c>
      <c r="K28" s="3">
        <f t="shared" si="2"/>
        <v>0</v>
      </c>
      <c r="L28" s="3">
        <f t="shared" si="3"/>
        <v>0</v>
      </c>
    </row>
    <row r="29" customHeight="1" spans="1:12">
      <c r="A29" s="47">
        <f>IFERROR(__xludf.DUMMYFUNCTION("""COMPUTED_VALUE"""),45784.6458333333)</f>
        <v>45784.6458333333</v>
      </c>
      <c r="B29" s="48">
        <f>IFERROR(__xludf.DUMMYFUNCTION("""COMPUTED_VALUE"""),1435.4)</f>
        <v>1435.4</v>
      </c>
      <c r="C29" s="47">
        <f>IFERROR(__xludf.DUMMYFUNCTION("""COMPUTED_VALUE"""),45784.6458333333)</f>
        <v>45784.6458333333</v>
      </c>
      <c r="D29" s="48">
        <f>IFERROR(__xludf.DUMMYFUNCTION("""COMPUTED_VALUE"""),1425)</f>
        <v>1425</v>
      </c>
      <c r="E29" s="47">
        <f>IFERROR(__xludf.DUMMYFUNCTION("""COMPUTED_VALUE"""),45784.6458333333)</f>
        <v>45784.6458333333</v>
      </c>
      <c r="F29" s="48">
        <f>IFERROR(__xludf.DUMMYFUNCTION("""COMPUTED_VALUE"""),10480453)</f>
        <v>10480453</v>
      </c>
      <c r="G29" s="47">
        <f>IFERROR(__xludf.DUMMYFUNCTION("""COMPUTED_VALUE"""),45784.6458333333)</f>
        <v>45784.6458333333</v>
      </c>
      <c r="H29" s="48">
        <f>IFERROR(__xludf.DUMMYFUNCTION("""COMPUTED_VALUE"""),1442)</f>
        <v>1442</v>
      </c>
      <c r="I29" s="47">
        <f>IFERROR(__xludf.DUMMYFUNCTION("""COMPUTED_VALUE"""),45784.6458333333)</f>
        <v>45784.6458333333</v>
      </c>
      <c r="J29" s="48">
        <f>IFERROR(__xludf.DUMMYFUNCTION("""COMPUTED_VALUE"""),1421)</f>
        <v>1421</v>
      </c>
      <c r="K29" s="3">
        <f t="shared" si="2"/>
        <v>0</v>
      </c>
      <c r="L29" s="3">
        <f t="shared" si="3"/>
        <v>0</v>
      </c>
    </row>
    <row r="30" customHeight="1" spans="1:12">
      <c r="A30" s="47">
        <f>IFERROR(__xludf.DUMMYFUNCTION("""COMPUTED_VALUE"""),45785.6458333333)</f>
        <v>45785.6458333333</v>
      </c>
      <c r="B30" s="48">
        <f>IFERROR(__xludf.DUMMYFUNCTION("""COMPUTED_VALUE"""),1435.5)</f>
        <v>1435.5</v>
      </c>
      <c r="C30" s="47">
        <f>IFERROR(__xludf.DUMMYFUNCTION("""COMPUTED_VALUE"""),45785.6458333333)</f>
        <v>45785.6458333333</v>
      </c>
      <c r="D30" s="48">
        <f>IFERROR(__xludf.DUMMYFUNCTION("""COMPUTED_VALUE"""),1438.6)</f>
        <v>1438.6</v>
      </c>
      <c r="E30" s="47">
        <f>IFERROR(__xludf.DUMMYFUNCTION("""COMPUTED_VALUE"""),45785.6458333333)</f>
        <v>45785.6458333333</v>
      </c>
      <c r="F30" s="48">
        <f>IFERROR(__xludf.DUMMYFUNCTION("""COMPUTED_VALUE"""),15306490)</f>
        <v>15306490</v>
      </c>
      <c r="G30" s="47">
        <f>IFERROR(__xludf.DUMMYFUNCTION("""COMPUTED_VALUE"""),45785.6458333333)</f>
        <v>45785.6458333333</v>
      </c>
      <c r="H30" s="48">
        <f>IFERROR(__xludf.DUMMYFUNCTION("""COMPUTED_VALUE"""),1448.9)</f>
        <v>1448.9</v>
      </c>
      <c r="I30" s="47">
        <f>IFERROR(__xludf.DUMMYFUNCTION("""COMPUTED_VALUE"""),45785.6458333333)</f>
        <v>45785.6458333333</v>
      </c>
      <c r="J30" s="48">
        <f>IFERROR(__xludf.DUMMYFUNCTION("""COMPUTED_VALUE"""),1426.1)</f>
        <v>1426.1</v>
      </c>
      <c r="K30" s="3">
        <f t="shared" si="2"/>
        <v>0</v>
      </c>
      <c r="L30" s="3">
        <f t="shared" si="3"/>
        <v>0</v>
      </c>
    </row>
    <row r="31" customHeight="1" spans="1:12">
      <c r="A31" s="47">
        <f>IFERROR(__xludf.DUMMYFUNCTION("""COMPUTED_VALUE"""),45786.6458333333)</f>
        <v>45786.6458333333</v>
      </c>
      <c r="B31" s="48">
        <f>IFERROR(__xludf.DUMMYFUNCTION("""COMPUTED_VALUE"""),1388.9)</f>
        <v>1388.9</v>
      </c>
      <c r="C31" s="47">
        <f>IFERROR(__xludf.DUMMYFUNCTION("""COMPUTED_VALUE"""),45786.6458333333)</f>
        <v>45786.6458333333</v>
      </c>
      <c r="D31" s="48">
        <f>IFERROR(__xludf.DUMMYFUNCTION("""COMPUTED_VALUE"""),1415.2)</f>
        <v>1415.2</v>
      </c>
      <c r="E31" s="47">
        <f>IFERROR(__xludf.DUMMYFUNCTION("""COMPUTED_VALUE"""),45786.6458333333)</f>
        <v>45786.6458333333</v>
      </c>
      <c r="F31" s="48">
        <f>IFERROR(__xludf.DUMMYFUNCTION("""COMPUTED_VALUE"""),13491197)</f>
        <v>13491197</v>
      </c>
      <c r="G31" s="47">
        <f>IFERROR(__xludf.DUMMYFUNCTION("""COMPUTED_VALUE"""),45786.6458333333)</f>
        <v>45786.6458333333</v>
      </c>
      <c r="H31" s="48">
        <f>IFERROR(__xludf.DUMMYFUNCTION("""COMPUTED_VALUE"""),1419.9)</f>
        <v>1419.9</v>
      </c>
      <c r="I31" s="47">
        <f>IFERROR(__xludf.DUMMYFUNCTION("""COMPUTED_VALUE"""),45786.6458333333)</f>
        <v>45786.6458333333</v>
      </c>
      <c r="J31" s="48">
        <f>IFERROR(__xludf.DUMMYFUNCTION("""COMPUTED_VALUE"""),1387)</f>
        <v>1387</v>
      </c>
      <c r="K31" s="3">
        <f t="shared" si="2"/>
        <v>0</v>
      </c>
      <c r="L31" s="3">
        <f t="shared" si="3"/>
        <v>1388.9</v>
      </c>
    </row>
    <row r="32" customHeight="1" spans="1:12">
      <c r="A32" s="47">
        <f>IFERROR(__xludf.DUMMYFUNCTION("""COMPUTED_VALUE"""),45789.6458333333)</f>
        <v>45789.6458333333</v>
      </c>
      <c r="B32" s="48">
        <f>IFERROR(__xludf.DUMMYFUNCTION("""COMPUTED_VALUE"""),1448.5)</f>
        <v>1448.5</v>
      </c>
      <c r="C32" s="47">
        <f>IFERROR(__xludf.DUMMYFUNCTION("""COMPUTED_VALUE"""),45789.6458333333)</f>
        <v>45789.6458333333</v>
      </c>
      <c r="D32" s="48">
        <f>IFERROR(__xludf.DUMMYFUNCTION("""COMPUTED_VALUE"""),1409.4)</f>
        <v>1409.4</v>
      </c>
      <c r="E32" s="47">
        <f>IFERROR(__xludf.DUMMYFUNCTION("""COMPUTED_VALUE"""),45789.6458333333)</f>
        <v>45789.6458333333</v>
      </c>
      <c r="F32" s="48">
        <f>IFERROR(__xludf.DUMMYFUNCTION("""COMPUTED_VALUE"""),9925445)</f>
        <v>9925445</v>
      </c>
      <c r="G32" s="47">
        <f>IFERROR(__xludf.DUMMYFUNCTION("""COMPUTED_VALUE"""),45789.6458333333)</f>
        <v>45789.6458333333</v>
      </c>
      <c r="H32" s="48">
        <f>IFERROR(__xludf.DUMMYFUNCTION("""COMPUTED_VALUE"""),1453)</f>
        <v>1453</v>
      </c>
      <c r="I32" s="47">
        <f>IFERROR(__xludf.DUMMYFUNCTION("""COMPUTED_VALUE"""),45789.6458333333)</f>
        <v>45789.6458333333</v>
      </c>
      <c r="J32" s="48">
        <f>IFERROR(__xludf.DUMMYFUNCTION("""COMPUTED_VALUE"""),1404)</f>
        <v>1404</v>
      </c>
      <c r="K32" s="3">
        <f t="shared" si="2"/>
        <v>0</v>
      </c>
      <c r="L32" s="3">
        <f t="shared" si="3"/>
        <v>0</v>
      </c>
    </row>
    <row r="33" customHeight="1" spans="1:12">
      <c r="A33" s="47">
        <f>IFERROR(__xludf.DUMMYFUNCTION("""COMPUTED_VALUE"""),45790.6458333333)</f>
        <v>45790.6458333333</v>
      </c>
      <c r="B33" s="48">
        <f>IFERROR(__xludf.DUMMYFUNCTION("""COMPUTED_VALUE"""),1430.6)</f>
        <v>1430.6</v>
      </c>
      <c r="C33" s="47">
        <f>IFERROR(__xludf.DUMMYFUNCTION("""COMPUTED_VALUE"""),45790.6458333333)</f>
        <v>45790.6458333333</v>
      </c>
      <c r="D33" s="48">
        <f>IFERROR(__xludf.DUMMYFUNCTION("""COMPUTED_VALUE"""),1440.1)</f>
        <v>1440.1</v>
      </c>
      <c r="E33" s="47">
        <f>IFERROR(__xludf.DUMMYFUNCTION("""COMPUTED_VALUE"""),45790.6458333333)</f>
        <v>45790.6458333333</v>
      </c>
      <c r="F33" s="48">
        <f>IFERROR(__xludf.DUMMYFUNCTION("""COMPUTED_VALUE"""),12475424)</f>
        <v>12475424</v>
      </c>
      <c r="G33" s="47">
        <f>IFERROR(__xludf.DUMMYFUNCTION("""COMPUTED_VALUE"""),45790.6458333333)</f>
        <v>45790.6458333333</v>
      </c>
      <c r="H33" s="48">
        <f>IFERROR(__xludf.DUMMYFUNCTION("""COMPUTED_VALUE"""),1447.9)</f>
        <v>1447.9</v>
      </c>
      <c r="I33" s="47">
        <f>IFERROR(__xludf.DUMMYFUNCTION("""COMPUTED_VALUE"""),45790.6458333333)</f>
        <v>45790.6458333333</v>
      </c>
      <c r="J33" s="48">
        <f>IFERROR(__xludf.DUMMYFUNCTION("""COMPUTED_VALUE"""),1427.4)</f>
        <v>1427.4</v>
      </c>
      <c r="K33" s="3">
        <f t="shared" si="2"/>
        <v>0</v>
      </c>
      <c r="L33" s="3">
        <f t="shared" si="3"/>
        <v>0</v>
      </c>
    </row>
    <row r="34" customHeight="1" spans="1:12">
      <c r="A34" s="47">
        <f>IFERROR(__xludf.DUMMYFUNCTION("""COMPUTED_VALUE"""),45791.6458333333)</f>
        <v>45791.6458333333</v>
      </c>
      <c r="B34" s="48">
        <f>IFERROR(__xludf.DUMMYFUNCTION("""COMPUTED_VALUE"""),1426.2)</f>
        <v>1426.2</v>
      </c>
      <c r="C34" s="47">
        <f>IFERROR(__xludf.DUMMYFUNCTION("""COMPUTED_VALUE"""),45791.6458333333)</f>
        <v>45791.6458333333</v>
      </c>
      <c r="D34" s="48">
        <f>IFERROR(__xludf.DUMMYFUNCTION("""COMPUTED_VALUE"""),1429.9)</f>
        <v>1429.9</v>
      </c>
      <c r="E34" s="47">
        <f>IFERROR(__xludf.DUMMYFUNCTION("""COMPUTED_VALUE"""),45791.6458333333)</f>
        <v>45791.6458333333</v>
      </c>
      <c r="F34" s="48">
        <f>IFERROR(__xludf.DUMMYFUNCTION("""COMPUTED_VALUE"""),8026837)</f>
        <v>8026837</v>
      </c>
      <c r="G34" s="47">
        <f>IFERROR(__xludf.DUMMYFUNCTION("""COMPUTED_VALUE"""),45791.6458333333)</f>
        <v>45791.6458333333</v>
      </c>
      <c r="H34" s="48">
        <f>IFERROR(__xludf.DUMMYFUNCTION("""COMPUTED_VALUE"""),1440.7)</f>
        <v>1440.7</v>
      </c>
      <c r="I34" s="47">
        <f>IFERROR(__xludf.DUMMYFUNCTION("""COMPUTED_VALUE"""),45791.6458333333)</f>
        <v>45791.6458333333</v>
      </c>
      <c r="J34" s="48">
        <f>IFERROR(__xludf.DUMMYFUNCTION("""COMPUTED_VALUE"""),1417.3)</f>
        <v>1417.3</v>
      </c>
      <c r="K34" s="3">
        <f t="shared" si="2"/>
        <v>0</v>
      </c>
      <c r="L34" s="3">
        <f t="shared" si="3"/>
        <v>0</v>
      </c>
    </row>
    <row r="35" customHeight="1" spans="1:12">
      <c r="A35" s="47">
        <f>IFERROR(__xludf.DUMMYFUNCTION("""COMPUTED_VALUE"""),45792.6458333333)</f>
        <v>45792.6458333333</v>
      </c>
      <c r="B35" s="48">
        <f>IFERROR(__xludf.DUMMYFUNCTION("""COMPUTED_VALUE"""),1450.8)</f>
        <v>1450.8</v>
      </c>
      <c r="C35" s="47">
        <f>IFERROR(__xludf.DUMMYFUNCTION("""COMPUTED_VALUE"""),45792.6458333333)</f>
        <v>45792.6458333333</v>
      </c>
      <c r="D35" s="48">
        <f>IFERROR(__xludf.DUMMYFUNCTION("""COMPUTED_VALUE"""),1425.9)</f>
        <v>1425.9</v>
      </c>
      <c r="E35" s="47">
        <f>IFERROR(__xludf.DUMMYFUNCTION("""COMPUTED_VALUE"""),45792.6458333333)</f>
        <v>45792.6458333333</v>
      </c>
      <c r="F35" s="48">
        <f>IFERROR(__xludf.DUMMYFUNCTION("""COMPUTED_VALUE"""),18209264)</f>
        <v>18209264</v>
      </c>
      <c r="G35" s="47">
        <f>IFERROR(__xludf.DUMMYFUNCTION("""COMPUTED_VALUE"""),45792.6458333333)</f>
        <v>45792.6458333333</v>
      </c>
      <c r="H35" s="48">
        <f>IFERROR(__xludf.DUMMYFUNCTION("""COMPUTED_VALUE"""),1456.5)</f>
        <v>1456.5</v>
      </c>
      <c r="I35" s="47">
        <f>IFERROR(__xludf.DUMMYFUNCTION("""COMPUTED_VALUE"""),45792.6458333333)</f>
        <v>45792.6458333333</v>
      </c>
      <c r="J35" s="48">
        <f>IFERROR(__xludf.DUMMYFUNCTION("""COMPUTED_VALUE"""),1415.5)</f>
        <v>1415.5</v>
      </c>
      <c r="K35" s="3">
        <f t="shared" si="2"/>
        <v>0</v>
      </c>
      <c r="L35" s="3">
        <f t="shared" si="3"/>
        <v>0</v>
      </c>
    </row>
    <row r="36" customHeight="1" spans="1:12">
      <c r="A36" s="47">
        <f>IFERROR(__xludf.DUMMYFUNCTION("""COMPUTED_VALUE"""),45793.6458333333)</f>
        <v>45793.6458333333</v>
      </c>
      <c r="B36" s="48">
        <f>IFERROR(__xludf.DUMMYFUNCTION("""COMPUTED_VALUE"""),1454)</f>
        <v>1454</v>
      </c>
      <c r="C36" s="47">
        <f>IFERROR(__xludf.DUMMYFUNCTION("""COMPUTED_VALUE"""),45793.6458333333)</f>
        <v>45793.6458333333</v>
      </c>
      <c r="D36" s="48">
        <f>IFERROR(__xludf.DUMMYFUNCTION("""COMPUTED_VALUE"""),1453.3)</f>
        <v>1453.3</v>
      </c>
      <c r="E36" s="47">
        <f>IFERROR(__xludf.DUMMYFUNCTION("""COMPUTED_VALUE"""),45793.6458333333)</f>
        <v>45793.6458333333</v>
      </c>
      <c r="F36" s="48">
        <f>IFERROR(__xludf.DUMMYFUNCTION("""COMPUTED_VALUE"""),6439208)</f>
        <v>6439208</v>
      </c>
      <c r="G36" s="47">
        <f>IFERROR(__xludf.DUMMYFUNCTION("""COMPUTED_VALUE"""),45793.6458333333)</f>
        <v>45793.6458333333</v>
      </c>
      <c r="H36" s="48">
        <f>IFERROR(__xludf.DUMMYFUNCTION("""COMPUTED_VALUE"""),1458.7)</f>
        <v>1458.7</v>
      </c>
      <c r="I36" s="47">
        <f>IFERROR(__xludf.DUMMYFUNCTION("""COMPUTED_VALUE"""),45793.6458333333)</f>
        <v>45793.6458333333</v>
      </c>
      <c r="J36" s="48">
        <f>IFERROR(__xludf.DUMMYFUNCTION("""COMPUTED_VALUE"""),1447)</f>
        <v>1447</v>
      </c>
      <c r="K36" s="3">
        <f t="shared" si="2"/>
        <v>0</v>
      </c>
      <c r="L36" s="3">
        <f t="shared" si="3"/>
        <v>0</v>
      </c>
    </row>
    <row r="37" customHeight="1" spans="1:12">
      <c r="A37" s="47">
        <f>IFERROR(__xludf.DUMMYFUNCTION("""COMPUTED_VALUE"""),45796.6458333333)</f>
        <v>45796.6458333333</v>
      </c>
      <c r="B37" s="48">
        <f>IFERROR(__xludf.DUMMYFUNCTION("""COMPUTED_VALUE"""),1449)</f>
        <v>1449</v>
      </c>
      <c r="C37" s="47">
        <f>IFERROR(__xludf.DUMMYFUNCTION("""COMPUTED_VALUE"""),45796.6458333333)</f>
        <v>45796.6458333333</v>
      </c>
      <c r="D37" s="48">
        <f>IFERROR(__xludf.DUMMYFUNCTION("""COMPUTED_VALUE"""),1446.5)</f>
        <v>1446.5</v>
      </c>
      <c r="E37" s="47">
        <f>IFERROR(__xludf.DUMMYFUNCTION("""COMPUTED_VALUE"""),45796.6458333333)</f>
        <v>45796.6458333333</v>
      </c>
      <c r="F37" s="48">
        <f>IFERROR(__xludf.DUMMYFUNCTION("""COMPUTED_VALUE"""),6005334)</f>
        <v>6005334</v>
      </c>
      <c r="G37" s="47">
        <f>IFERROR(__xludf.DUMMYFUNCTION("""COMPUTED_VALUE"""),45796.6458333333)</f>
        <v>45796.6458333333</v>
      </c>
      <c r="H37" s="48">
        <f>IFERROR(__xludf.DUMMYFUNCTION("""COMPUTED_VALUE"""),1459.7)</f>
        <v>1459.7</v>
      </c>
      <c r="I37" s="47">
        <f>IFERROR(__xludf.DUMMYFUNCTION("""COMPUTED_VALUE"""),45796.6458333333)</f>
        <v>45796.6458333333</v>
      </c>
      <c r="J37" s="48">
        <f>IFERROR(__xludf.DUMMYFUNCTION("""COMPUTED_VALUE"""),1443.8)</f>
        <v>1443.8</v>
      </c>
      <c r="K37" s="3">
        <f t="shared" si="2"/>
        <v>0</v>
      </c>
      <c r="L37" s="3">
        <f t="shared" si="3"/>
        <v>0</v>
      </c>
    </row>
    <row r="38" customHeight="1" spans="1:12">
      <c r="A38" s="47">
        <f>IFERROR(__xludf.DUMMYFUNCTION("""COMPUTED_VALUE"""),45797.6458333333)</f>
        <v>45797.6458333333</v>
      </c>
      <c r="B38" s="48">
        <f>IFERROR(__xludf.DUMMYFUNCTION("""COMPUTED_VALUE"""),1438.2)</f>
        <v>1438.2</v>
      </c>
      <c r="C38" s="47">
        <f>IFERROR(__xludf.DUMMYFUNCTION("""COMPUTED_VALUE"""),45797.6458333333)</f>
        <v>45797.6458333333</v>
      </c>
      <c r="D38" s="48">
        <f>IFERROR(__xludf.DUMMYFUNCTION("""COMPUTED_VALUE"""),1450.2)</f>
        <v>1450.2</v>
      </c>
      <c r="E38" s="47">
        <f>IFERROR(__xludf.DUMMYFUNCTION("""COMPUTED_VALUE"""),45797.6458333333)</f>
        <v>45797.6458333333</v>
      </c>
      <c r="F38" s="48">
        <f>IFERROR(__xludf.DUMMYFUNCTION("""COMPUTED_VALUE"""),11352383)</f>
        <v>11352383</v>
      </c>
      <c r="G38" s="47">
        <f>IFERROR(__xludf.DUMMYFUNCTION("""COMPUTED_VALUE"""),45797.6458333333)</f>
        <v>45797.6458333333</v>
      </c>
      <c r="H38" s="48">
        <f>IFERROR(__xludf.DUMMYFUNCTION("""COMPUTED_VALUE"""),1459)</f>
        <v>1459</v>
      </c>
      <c r="I38" s="47">
        <f>IFERROR(__xludf.DUMMYFUNCTION("""COMPUTED_VALUE"""),45797.6458333333)</f>
        <v>45797.6458333333</v>
      </c>
      <c r="J38" s="48">
        <f>IFERROR(__xludf.DUMMYFUNCTION("""COMPUTED_VALUE"""),1435.5)</f>
        <v>1435.5</v>
      </c>
      <c r="K38" s="3">
        <f t="shared" si="2"/>
        <v>0</v>
      </c>
      <c r="L38" s="3">
        <f t="shared" si="3"/>
        <v>0</v>
      </c>
    </row>
    <row r="39" customHeight="1" spans="1:12">
      <c r="A39" s="47">
        <f>IFERROR(__xludf.DUMMYFUNCTION("""COMPUTED_VALUE"""),45798.6458333333)</f>
        <v>45798.6458333333</v>
      </c>
      <c r="B39" s="48">
        <f>IFERROR(__xludf.DUMMYFUNCTION("""COMPUTED_VALUE"""),1444.7)</f>
        <v>1444.7</v>
      </c>
      <c r="C39" s="47">
        <f>IFERROR(__xludf.DUMMYFUNCTION("""COMPUTED_VALUE"""),45798.6458333333)</f>
        <v>45798.6458333333</v>
      </c>
      <c r="D39" s="48">
        <f>IFERROR(__xludf.DUMMYFUNCTION("""COMPUTED_VALUE"""),1442.9)</f>
        <v>1442.9</v>
      </c>
      <c r="E39" s="47">
        <f>IFERROR(__xludf.DUMMYFUNCTION("""COMPUTED_VALUE"""),45798.6458333333)</f>
        <v>45798.6458333333</v>
      </c>
      <c r="F39" s="48">
        <f>IFERROR(__xludf.DUMMYFUNCTION("""COMPUTED_VALUE"""),5510460)</f>
        <v>5510460</v>
      </c>
      <c r="G39" s="47">
        <f>IFERROR(__xludf.DUMMYFUNCTION("""COMPUTED_VALUE"""),45798.6458333333)</f>
        <v>45798.6458333333</v>
      </c>
      <c r="H39" s="48">
        <f>IFERROR(__xludf.DUMMYFUNCTION("""COMPUTED_VALUE"""),1451.3)</f>
        <v>1451.3</v>
      </c>
      <c r="I39" s="47">
        <f>IFERROR(__xludf.DUMMYFUNCTION("""COMPUTED_VALUE"""),45798.6458333333)</f>
        <v>45798.6458333333</v>
      </c>
      <c r="J39" s="48">
        <f>IFERROR(__xludf.DUMMYFUNCTION("""COMPUTED_VALUE"""),1438.5)</f>
        <v>1438.5</v>
      </c>
      <c r="K39" s="3">
        <f t="shared" si="2"/>
        <v>0</v>
      </c>
      <c r="L39" s="3">
        <f t="shared" si="3"/>
        <v>0</v>
      </c>
    </row>
    <row r="40" customHeight="1" spans="1:12">
      <c r="A40" s="47">
        <f>IFERROR(__xludf.DUMMYFUNCTION("""COMPUTED_VALUE"""),45799.6458333333)</f>
        <v>45799.6458333333</v>
      </c>
      <c r="B40" s="48">
        <f>IFERROR(__xludf.DUMMYFUNCTION("""COMPUTED_VALUE"""),1442.1)</f>
        <v>1442.1</v>
      </c>
      <c r="C40" s="47">
        <f>IFERROR(__xludf.DUMMYFUNCTION("""COMPUTED_VALUE"""),45799.6458333333)</f>
        <v>45799.6458333333</v>
      </c>
      <c r="D40" s="48">
        <f>IFERROR(__xludf.DUMMYFUNCTION("""COMPUTED_VALUE"""),1441.1)</f>
        <v>1441.1</v>
      </c>
      <c r="E40" s="47">
        <f>IFERROR(__xludf.DUMMYFUNCTION("""COMPUTED_VALUE"""),45799.6458333333)</f>
        <v>45799.6458333333</v>
      </c>
      <c r="F40" s="48">
        <f>IFERROR(__xludf.DUMMYFUNCTION("""COMPUTED_VALUE"""),7245933)</f>
        <v>7245933</v>
      </c>
      <c r="G40" s="47">
        <f>IFERROR(__xludf.DUMMYFUNCTION("""COMPUTED_VALUE"""),45799.6458333333)</f>
        <v>45799.6458333333</v>
      </c>
      <c r="H40" s="48">
        <f>IFERROR(__xludf.DUMMYFUNCTION("""COMPUTED_VALUE"""),1445.3)</f>
        <v>1445.3</v>
      </c>
      <c r="I40" s="47">
        <f>IFERROR(__xludf.DUMMYFUNCTION("""COMPUTED_VALUE"""),45799.6458333333)</f>
        <v>45799.6458333333</v>
      </c>
      <c r="J40" s="48">
        <f>IFERROR(__xludf.DUMMYFUNCTION("""COMPUTED_VALUE"""),1427.8)</f>
        <v>1427.8</v>
      </c>
      <c r="K40" s="3">
        <f t="shared" si="2"/>
        <v>0</v>
      </c>
      <c r="L40" s="3">
        <f t="shared" si="3"/>
        <v>0</v>
      </c>
    </row>
    <row r="41" customHeight="1" spans="1:12">
      <c r="A41" s="47">
        <f>IFERROR(__xludf.DUMMYFUNCTION("""COMPUTED_VALUE"""),45800.6458333333)</f>
        <v>45800.6458333333</v>
      </c>
      <c r="B41" s="48">
        <f>IFERROR(__xludf.DUMMYFUNCTION("""COMPUTED_VALUE"""),1449.8)</f>
        <v>1449.8</v>
      </c>
      <c r="C41" s="47">
        <f>IFERROR(__xludf.DUMMYFUNCTION("""COMPUTED_VALUE"""),45800.6458333333)</f>
        <v>45800.6458333333</v>
      </c>
      <c r="D41" s="48">
        <f>IFERROR(__xludf.DUMMYFUNCTION("""COMPUTED_VALUE"""),1442.2)</f>
        <v>1442.2</v>
      </c>
      <c r="E41" s="47">
        <f>IFERROR(__xludf.DUMMYFUNCTION("""COMPUTED_VALUE"""),45800.6458333333)</f>
        <v>45800.6458333333</v>
      </c>
      <c r="F41" s="48">
        <f>IFERROR(__xludf.DUMMYFUNCTION("""COMPUTED_VALUE"""),5203706)</f>
        <v>5203706</v>
      </c>
      <c r="G41" s="47">
        <f>IFERROR(__xludf.DUMMYFUNCTION("""COMPUTED_VALUE"""),45800.6458333333)</f>
        <v>45800.6458333333</v>
      </c>
      <c r="H41" s="48">
        <f>IFERROR(__xludf.DUMMYFUNCTION("""COMPUTED_VALUE"""),1451.8)</f>
        <v>1451.8</v>
      </c>
      <c r="I41" s="47">
        <f>IFERROR(__xludf.DUMMYFUNCTION("""COMPUTED_VALUE"""),45800.6458333333)</f>
        <v>45800.6458333333</v>
      </c>
      <c r="J41" s="48">
        <f>IFERROR(__xludf.DUMMYFUNCTION("""COMPUTED_VALUE"""),1434.4)</f>
        <v>1434.4</v>
      </c>
      <c r="K41" s="3">
        <f t="shared" si="2"/>
        <v>0</v>
      </c>
      <c r="L41" s="3">
        <f t="shared" si="3"/>
        <v>0</v>
      </c>
    </row>
    <row r="42" customHeight="1" spans="1:12">
      <c r="A42" s="47">
        <f>IFERROR(__xludf.DUMMYFUNCTION("""COMPUTED_VALUE"""),45803.6458333333)</f>
        <v>45803.6458333333</v>
      </c>
      <c r="B42" s="48">
        <f>IFERROR(__xludf.DUMMYFUNCTION("""COMPUTED_VALUE"""),1460.6)</f>
        <v>1460.6</v>
      </c>
      <c r="C42" s="47">
        <f>IFERROR(__xludf.DUMMYFUNCTION("""COMPUTED_VALUE"""),45803.6458333333)</f>
        <v>45803.6458333333</v>
      </c>
      <c r="D42" s="48">
        <f>IFERROR(__xludf.DUMMYFUNCTION("""COMPUTED_VALUE"""),1458)</f>
        <v>1458</v>
      </c>
      <c r="E42" s="47">
        <f>IFERROR(__xludf.DUMMYFUNCTION("""COMPUTED_VALUE"""),45803.6458333333)</f>
        <v>45803.6458333333</v>
      </c>
      <c r="F42" s="48">
        <f>IFERROR(__xludf.DUMMYFUNCTION("""COMPUTED_VALUE"""),5608725)</f>
        <v>5608725</v>
      </c>
      <c r="G42" s="47">
        <f>IFERROR(__xludf.DUMMYFUNCTION("""COMPUTED_VALUE"""),45803.6458333333)</f>
        <v>45803.6458333333</v>
      </c>
      <c r="H42" s="48">
        <f>IFERROR(__xludf.DUMMYFUNCTION("""COMPUTED_VALUE"""),1471.6)</f>
        <v>1471.6</v>
      </c>
      <c r="I42" s="47">
        <f>IFERROR(__xludf.DUMMYFUNCTION("""COMPUTED_VALUE"""),45803.6458333333)</f>
        <v>45803.6458333333</v>
      </c>
      <c r="J42" s="48">
        <f>IFERROR(__xludf.DUMMYFUNCTION("""COMPUTED_VALUE"""),1455)</f>
        <v>1455</v>
      </c>
      <c r="K42" s="3">
        <f t="shared" si="2"/>
        <v>1460.6</v>
      </c>
      <c r="L42" s="3">
        <f t="shared" si="3"/>
        <v>0</v>
      </c>
    </row>
    <row r="43" customHeight="1" spans="1:12">
      <c r="A43" s="47">
        <f>IFERROR(__xludf.DUMMYFUNCTION("""COMPUTED_VALUE"""),45804.6458333333)</f>
        <v>45804.6458333333</v>
      </c>
      <c r="B43" s="48">
        <f>IFERROR(__xludf.DUMMYFUNCTION("""COMPUTED_VALUE"""),1446.4)</f>
        <v>1446.4</v>
      </c>
      <c r="C43" s="47">
        <f>IFERROR(__xludf.DUMMYFUNCTION("""COMPUTED_VALUE"""),45804.6458333333)</f>
        <v>45804.6458333333</v>
      </c>
      <c r="D43" s="48">
        <f>IFERROR(__xludf.DUMMYFUNCTION("""COMPUTED_VALUE"""),1452.5)</f>
        <v>1452.5</v>
      </c>
      <c r="E43" s="47">
        <f>IFERROR(__xludf.DUMMYFUNCTION("""COMPUTED_VALUE"""),45804.6458333333)</f>
        <v>45804.6458333333</v>
      </c>
      <c r="F43" s="48">
        <f>IFERROR(__xludf.DUMMYFUNCTION("""COMPUTED_VALUE"""),14842959)</f>
        <v>14842959</v>
      </c>
      <c r="G43" s="47">
        <f>IFERROR(__xludf.DUMMYFUNCTION("""COMPUTED_VALUE"""),45804.6458333333)</f>
        <v>45804.6458333333</v>
      </c>
      <c r="H43" s="48">
        <f>IFERROR(__xludf.DUMMYFUNCTION("""COMPUTED_VALUE"""),1463)</f>
        <v>1463</v>
      </c>
      <c r="I43" s="47">
        <f>IFERROR(__xludf.DUMMYFUNCTION("""COMPUTED_VALUE"""),45804.6458333333)</f>
        <v>45804.6458333333</v>
      </c>
      <c r="J43" s="48">
        <f>IFERROR(__xludf.DUMMYFUNCTION("""COMPUTED_VALUE"""),1435.7)</f>
        <v>1435.7</v>
      </c>
      <c r="K43" s="3">
        <f t="shared" si="2"/>
        <v>0</v>
      </c>
      <c r="L43" s="3">
        <f t="shared" si="3"/>
        <v>0</v>
      </c>
    </row>
    <row r="44" customHeight="1" spans="1:12">
      <c r="A44" s="47">
        <f>IFERROR(__xludf.DUMMYFUNCTION("""COMPUTED_VALUE"""),45805.6458333333)</f>
        <v>45805.6458333333</v>
      </c>
      <c r="B44" s="48">
        <f>IFERROR(__xludf.DUMMYFUNCTION("""COMPUTED_VALUE"""),1453.8)</f>
        <v>1453.8</v>
      </c>
      <c r="C44" s="47">
        <f>IFERROR(__xludf.DUMMYFUNCTION("""COMPUTED_VALUE"""),45805.6458333333)</f>
        <v>45805.6458333333</v>
      </c>
      <c r="D44" s="48">
        <f>IFERROR(__xludf.DUMMYFUNCTION("""COMPUTED_VALUE"""),1447.6)</f>
        <v>1447.6</v>
      </c>
      <c r="E44" s="47">
        <f>IFERROR(__xludf.DUMMYFUNCTION("""COMPUTED_VALUE"""),45805.6458333333)</f>
        <v>45805.6458333333</v>
      </c>
      <c r="F44" s="48">
        <f>IFERROR(__xludf.DUMMYFUNCTION("""COMPUTED_VALUE"""),8618343)</f>
        <v>8618343</v>
      </c>
      <c r="G44" s="47">
        <f>IFERROR(__xludf.DUMMYFUNCTION("""COMPUTED_VALUE"""),45805.6458333333)</f>
        <v>45805.6458333333</v>
      </c>
      <c r="H44" s="48">
        <f>IFERROR(__xludf.DUMMYFUNCTION("""COMPUTED_VALUE"""),1458)</f>
        <v>1458</v>
      </c>
      <c r="I44" s="47">
        <f>IFERROR(__xludf.DUMMYFUNCTION("""COMPUTED_VALUE"""),45805.6458333333)</f>
        <v>45805.6458333333</v>
      </c>
      <c r="J44" s="48">
        <f>IFERROR(__xludf.DUMMYFUNCTION("""COMPUTED_VALUE"""),1442.5)</f>
        <v>1442.5</v>
      </c>
      <c r="K44" s="3">
        <f t="shared" si="2"/>
        <v>0</v>
      </c>
      <c r="L44" s="3">
        <f t="shared" si="3"/>
        <v>0</v>
      </c>
    </row>
    <row r="45" customHeight="1" spans="1:12">
      <c r="A45" s="47">
        <f>IFERROR(__xludf.DUMMYFUNCTION("""COMPUTED_VALUE"""),45806.6458333333)</f>
        <v>45806.6458333333</v>
      </c>
      <c r="B45" s="48">
        <f>IFERROR(__xludf.DUMMYFUNCTION("""COMPUTED_VALUE"""),1456.5)</f>
        <v>1456.5</v>
      </c>
      <c r="C45" s="47">
        <f>IFERROR(__xludf.DUMMYFUNCTION("""COMPUTED_VALUE"""),45806.6458333333)</f>
        <v>45806.6458333333</v>
      </c>
      <c r="D45" s="48">
        <f>IFERROR(__xludf.DUMMYFUNCTION("""COMPUTED_VALUE"""),1456.6)</f>
        <v>1456.6</v>
      </c>
      <c r="E45" s="47">
        <f>IFERROR(__xludf.DUMMYFUNCTION("""COMPUTED_VALUE"""),45806.6458333333)</f>
        <v>45806.6458333333</v>
      </c>
      <c r="F45" s="48">
        <f>IFERROR(__xludf.DUMMYFUNCTION("""COMPUTED_VALUE"""),15545514)</f>
        <v>15545514</v>
      </c>
      <c r="G45" s="47">
        <f>IFERROR(__xludf.DUMMYFUNCTION("""COMPUTED_VALUE"""),45806.6458333333)</f>
        <v>45806.6458333333</v>
      </c>
      <c r="H45" s="48">
        <f>IFERROR(__xludf.DUMMYFUNCTION("""COMPUTED_VALUE"""),1462.9)</f>
        <v>1462.9</v>
      </c>
      <c r="I45" s="47">
        <f>IFERROR(__xludf.DUMMYFUNCTION("""COMPUTED_VALUE"""),45806.6458333333)</f>
        <v>45806.6458333333</v>
      </c>
      <c r="J45" s="48">
        <f>IFERROR(__xludf.DUMMYFUNCTION("""COMPUTED_VALUE"""),1445)</f>
        <v>1445</v>
      </c>
      <c r="K45" s="3">
        <f t="shared" si="2"/>
        <v>0</v>
      </c>
      <c r="L45" s="3">
        <f t="shared" si="3"/>
        <v>0</v>
      </c>
    </row>
    <row r="46" customHeight="1" spans="1:12">
      <c r="A46" s="47">
        <f>IFERROR(__xludf.DUMMYFUNCTION("""COMPUTED_VALUE"""),45807.6458333333)</f>
        <v>45807.6458333333</v>
      </c>
      <c r="B46" s="48">
        <f>IFERROR(__xludf.DUMMYFUNCTION("""COMPUTED_VALUE"""),1445.8)</f>
        <v>1445.8</v>
      </c>
      <c r="C46" s="47">
        <f>IFERROR(__xludf.DUMMYFUNCTION("""COMPUTED_VALUE"""),45807.6458333333)</f>
        <v>45807.6458333333</v>
      </c>
      <c r="D46" s="48">
        <f>IFERROR(__xludf.DUMMYFUNCTION("""COMPUTED_VALUE"""),1459.9)</f>
        <v>1459.9</v>
      </c>
      <c r="E46" s="47">
        <f>IFERROR(__xludf.DUMMYFUNCTION("""COMPUTED_VALUE"""),45807.6458333333)</f>
        <v>45807.6458333333</v>
      </c>
      <c r="F46" s="48">
        <f>IFERROR(__xludf.DUMMYFUNCTION("""COMPUTED_VALUE"""),11803975)</f>
        <v>11803975</v>
      </c>
      <c r="G46" s="47">
        <f>IFERROR(__xludf.DUMMYFUNCTION("""COMPUTED_VALUE"""),45807.6458333333)</f>
        <v>45807.6458333333</v>
      </c>
      <c r="H46" s="48">
        <f>IFERROR(__xludf.DUMMYFUNCTION("""COMPUTED_VALUE"""),1460.9)</f>
        <v>1460.9</v>
      </c>
      <c r="I46" s="47">
        <f>IFERROR(__xludf.DUMMYFUNCTION("""COMPUTED_VALUE"""),45807.6458333333)</f>
        <v>45807.6458333333</v>
      </c>
      <c r="J46" s="48">
        <f>IFERROR(__xludf.DUMMYFUNCTION("""COMPUTED_VALUE"""),1444.3)</f>
        <v>1444.3</v>
      </c>
      <c r="K46" s="3">
        <f t="shared" si="2"/>
        <v>0</v>
      </c>
      <c r="L46" s="3">
        <f t="shared" si="3"/>
        <v>0</v>
      </c>
    </row>
    <row r="47" customHeight="1" spans="1:12">
      <c r="A47" s="47">
        <f>IFERROR(__xludf.DUMMYFUNCTION("""COMPUTED_VALUE"""),45810.6458333333)</f>
        <v>45810.6458333333</v>
      </c>
      <c r="B47" s="48">
        <f>IFERROR(__xludf.DUMMYFUNCTION("""COMPUTED_VALUE"""),1450.5)</f>
        <v>1450.5</v>
      </c>
      <c r="C47" s="47">
        <f>IFERROR(__xludf.DUMMYFUNCTION("""COMPUTED_VALUE"""),45810.6458333333)</f>
        <v>45810.6458333333</v>
      </c>
      <c r="D47" s="48">
        <f>IFERROR(__xludf.DUMMYFUNCTION("""COMPUTED_VALUE"""),1442)</f>
        <v>1442</v>
      </c>
      <c r="E47" s="47">
        <f>IFERROR(__xludf.DUMMYFUNCTION("""COMPUTED_VALUE"""),45810.6458333333)</f>
        <v>45810.6458333333</v>
      </c>
      <c r="F47" s="48">
        <f>IFERROR(__xludf.DUMMYFUNCTION("""COMPUTED_VALUE"""),9458990)</f>
        <v>9458990</v>
      </c>
      <c r="G47" s="47">
        <f>IFERROR(__xludf.DUMMYFUNCTION("""COMPUTED_VALUE"""),45810.6458333333)</f>
        <v>45810.6458333333</v>
      </c>
      <c r="H47" s="48">
        <f>IFERROR(__xludf.DUMMYFUNCTION("""COMPUTED_VALUE"""),1460)</f>
        <v>1460</v>
      </c>
      <c r="I47" s="47">
        <f>IFERROR(__xludf.DUMMYFUNCTION("""COMPUTED_VALUE"""),45810.6458333333)</f>
        <v>45810.6458333333</v>
      </c>
      <c r="J47" s="48">
        <f>IFERROR(__xludf.DUMMYFUNCTION("""COMPUTED_VALUE"""),1432.8)</f>
        <v>1432.8</v>
      </c>
      <c r="K47" s="3">
        <f t="shared" si="2"/>
        <v>0</v>
      </c>
      <c r="L47" s="3">
        <f t="shared" si="3"/>
        <v>0</v>
      </c>
    </row>
    <row r="48" customHeight="1" spans="1:12">
      <c r="A48" s="47">
        <f>IFERROR(__xludf.DUMMYFUNCTION("""COMPUTED_VALUE"""),45811.6458333333)</f>
        <v>45811.6458333333</v>
      </c>
      <c r="B48" s="48">
        <f>IFERROR(__xludf.DUMMYFUNCTION("""COMPUTED_VALUE"""),1437.9)</f>
        <v>1437.9</v>
      </c>
      <c r="C48" s="47">
        <f>IFERROR(__xludf.DUMMYFUNCTION("""COMPUTED_VALUE"""),45811.6458333333)</f>
        <v>45811.6458333333</v>
      </c>
      <c r="D48" s="48">
        <f>IFERROR(__xludf.DUMMYFUNCTION("""COMPUTED_VALUE"""),1454.9)</f>
        <v>1454.9</v>
      </c>
      <c r="E48" s="47">
        <f>IFERROR(__xludf.DUMMYFUNCTION("""COMPUTED_VALUE"""),45811.6458333333)</f>
        <v>45811.6458333333</v>
      </c>
      <c r="F48" s="48">
        <f>IFERROR(__xludf.DUMMYFUNCTION("""COMPUTED_VALUE"""),11167345)</f>
        <v>11167345</v>
      </c>
      <c r="G48" s="47">
        <f>IFERROR(__xludf.DUMMYFUNCTION("""COMPUTED_VALUE"""),45811.6458333333)</f>
        <v>45811.6458333333</v>
      </c>
      <c r="H48" s="48">
        <f>IFERROR(__xludf.DUMMYFUNCTION("""COMPUTED_VALUE"""),1455)</f>
        <v>1455</v>
      </c>
      <c r="I48" s="47">
        <f>IFERROR(__xludf.DUMMYFUNCTION("""COMPUTED_VALUE"""),45811.6458333333)</f>
        <v>45811.6458333333</v>
      </c>
      <c r="J48" s="48">
        <f>IFERROR(__xludf.DUMMYFUNCTION("""COMPUTED_VALUE"""),1432)</f>
        <v>1432</v>
      </c>
      <c r="K48" s="3">
        <f t="shared" si="2"/>
        <v>0</v>
      </c>
      <c r="L48" s="3">
        <f t="shared" si="3"/>
        <v>0</v>
      </c>
    </row>
    <row r="49" customHeight="1" spans="1:12">
      <c r="A49" s="47">
        <f>IFERROR(__xludf.DUMMYFUNCTION("""COMPUTED_VALUE"""),45812.6458333333)</f>
        <v>45812.6458333333</v>
      </c>
      <c r="B49" s="48">
        <f>IFERROR(__xludf.DUMMYFUNCTION("""COMPUTED_VALUE"""),1431)</f>
        <v>1431</v>
      </c>
      <c r="C49" s="47">
        <f>IFERROR(__xludf.DUMMYFUNCTION("""COMPUTED_VALUE"""),45812.6458333333)</f>
        <v>45812.6458333333</v>
      </c>
      <c r="D49" s="48">
        <f>IFERROR(__xludf.DUMMYFUNCTION("""COMPUTED_VALUE"""),1437.4)</f>
        <v>1437.4</v>
      </c>
      <c r="E49" s="47">
        <f>IFERROR(__xludf.DUMMYFUNCTION("""COMPUTED_VALUE"""),45812.6458333333)</f>
        <v>45812.6458333333</v>
      </c>
      <c r="F49" s="48">
        <f>IFERROR(__xludf.DUMMYFUNCTION("""COMPUTED_VALUE"""),8025388)</f>
        <v>8025388</v>
      </c>
      <c r="G49" s="47">
        <f>IFERROR(__xludf.DUMMYFUNCTION("""COMPUTED_VALUE"""),45812.6458333333)</f>
        <v>45812.6458333333</v>
      </c>
      <c r="H49" s="48">
        <f>IFERROR(__xludf.DUMMYFUNCTION("""COMPUTED_VALUE"""),1440.1)</f>
        <v>1440.1</v>
      </c>
      <c r="I49" s="47">
        <f>IFERROR(__xludf.DUMMYFUNCTION("""COMPUTED_VALUE"""),45812.6458333333)</f>
        <v>45812.6458333333</v>
      </c>
      <c r="J49" s="48">
        <f>IFERROR(__xludf.DUMMYFUNCTION("""COMPUTED_VALUE"""),1426.4)</f>
        <v>1426.4</v>
      </c>
      <c r="K49" s="3">
        <f t="shared" si="2"/>
        <v>0</v>
      </c>
      <c r="L49" s="3">
        <f t="shared" si="3"/>
        <v>0</v>
      </c>
    </row>
    <row r="50" customHeight="1" spans="1:12">
      <c r="A50" s="47">
        <f>IFERROR(__xludf.DUMMYFUNCTION("""COMPUTED_VALUE"""),45813.6458333333)</f>
        <v>45813.6458333333</v>
      </c>
      <c r="B50" s="48">
        <f>IFERROR(__xludf.DUMMYFUNCTION("""COMPUTED_VALUE"""),1454.8)</f>
        <v>1454.8</v>
      </c>
      <c r="C50" s="47">
        <f>IFERROR(__xludf.DUMMYFUNCTION("""COMPUTED_VALUE"""),45813.6458333333)</f>
        <v>45813.6458333333</v>
      </c>
      <c r="D50" s="48">
        <f>IFERROR(__xludf.DUMMYFUNCTION("""COMPUTED_VALUE"""),1430.9)</f>
        <v>1430.9</v>
      </c>
      <c r="E50" s="47">
        <f>IFERROR(__xludf.DUMMYFUNCTION("""COMPUTED_VALUE"""),45813.6458333333)</f>
        <v>45813.6458333333</v>
      </c>
      <c r="F50" s="48">
        <f>IFERROR(__xludf.DUMMYFUNCTION("""COMPUTED_VALUE"""),11385668)</f>
        <v>11385668</v>
      </c>
      <c r="G50" s="47">
        <f>IFERROR(__xludf.DUMMYFUNCTION("""COMPUTED_VALUE"""),45813.6458333333)</f>
        <v>45813.6458333333</v>
      </c>
      <c r="H50" s="48">
        <f>IFERROR(__xludf.DUMMYFUNCTION("""COMPUTED_VALUE"""),1459)</f>
        <v>1459</v>
      </c>
      <c r="I50" s="47">
        <f>IFERROR(__xludf.DUMMYFUNCTION("""COMPUTED_VALUE"""),45813.6458333333)</f>
        <v>45813.6458333333</v>
      </c>
      <c r="J50" s="48">
        <f>IFERROR(__xludf.DUMMYFUNCTION("""COMPUTED_VALUE"""),1427.3)</f>
        <v>1427.3</v>
      </c>
      <c r="K50" s="3">
        <f t="shared" si="2"/>
        <v>0</v>
      </c>
      <c r="L50" s="3">
        <f t="shared" si="3"/>
        <v>0</v>
      </c>
    </row>
    <row r="51" customHeight="1" spans="1:12">
      <c r="A51" s="47">
        <f>IFERROR(__xludf.DUMMYFUNCTION("""COMPUTED_VALUE"""),45814.6458333333)</f>
        <v>45814.6458333333</v>
      </c>
      <c r="B51" s="48">
        <f>IFERROR(__xludf.DUMMYFUNCTION("""COMPUTED_VALUE"""),1459.7)</f>
        <v>1459.7</v>
      </c>
      <c r="C51" s="47">
        <f>IFERROR(__xludf.DUMMYFUNCTION("""COMPUTED_VALUE"""),45814.6458333333)</f>
        <v>45814.6458333333</v>
      </c>
      <c r="D51" s="48">
        <f>IFERROR(__xludf.DUMMYFUNCTION("""COMPUTED_VALUE"""),1448.6)</f>
        <v>1448.6</v>
      </c>
      <c r="E51" s="47">
        <f>IFERROR(__xludf.DUMMYFUNCTION("""COMPUTED_VALUE"""),45814.6458333333)</f>
        <v>45814.6458333333</v>
      </c>
      <c r="F51" s="48">
        <f>IFERROR(__xludf.DUMMYFUNCTION("""COMPUTED_VALUE"""),11580994)</f>
        <v>11580994</v>
      </c>
      <c r="G51" s="47">
        <f>IFERROR(__xludf.DUMMYFUNCTION("""COMPUTED_VALUE"""),45814.6458333333)</f>
        <v>45814.6458333333</v>
      </c>
      <c r="H51" s="48">
        <f>IFERROR(__xludf.DUMMYFUNCTION("""COMPUTED_VALUE"""),1461.4)</f>
        <v>1461.4</v>
      </c>
      <c r="I51" s="47">
        <f>IFERROR(__xludf.DUMMYFUNCTION("""COMPUTED_VALUE"""),45814.6458333333)</f>
        <v>45814.6458333333</v>
      </c>
      <c r="J51" s="48">
        <f>IFERROR(__xludf.DUMMYFUNCTION("""COMPUTED_VALUE"""),1442.1)</f>
        <v>1442.1</v>
      </c>
      <c r="K51" s="3">
        <f t="shared" si="2"/>
        <v>1459.7</v>
      </c>
      <c r="L51" s="3">
        <f t="shared" si="3"/>
        <v>0</v>
      </c>
    </row>
    <row r="52" customHeight="1" spans="1:12">
      <c r="A52" s="47">
        <f>IFERROR(__xludf.DUMMYFUNCTION("""COMPUTED_VALUE"""),45817.6458333333)</f>
        <v>45817.6458333333</v>
      </c>
      <c r="B52" s="48">
        <f>IFERROR(__xludf.DUMMYFUNCTION("""COMPUTED_VALUE"""),1434.8)</f>
        <v>1434.8</v>
      </c>
      <c r="C52" s="47">
        <f>IFERROR(__xludf.DUMMYFUNCTION("""COMPUTED_VALUE"""),45817.6458333333)</f>
        <v>45817.6458333333</v>
      </c>
      <c r="D52" s="48">
        <f>IFERROR(__xludf.DUMMYFUNCTION("""COMPUTED_VALUE"""),1465)</f>
        <v>1465</v>
      </c>
      <c r="E52" s="47">
        <f>IFERROR(__xludf.DUMMYFUNCTION("""COMPUTED_VALUE"""),45817.6458333333)</f>
        <v>45817.6458333333</v>
      </c>
      <c r="F52" s="48">
        <f>IFERROR(__xludf.DUMMYFUNCTION("""COMPUTED_VALUE"""),11022031)</f>
        <v>11022031</v>
      </c>
      <c r="G52" s="47">
        <f>IFERROR(__xludf.DUMMYFUNCTION("""COMPUTED_VALUE"""),45817.6458333333)</f>
        <v>45817.6458333333</v>
      </c>
      <c r="H52" s="48">
        <f>IFERROR(__xludf.DUMMYFUNCTION("""COMPUTED_VALUE"""),1466.8)</f>
        <v>1466.8</v>
      </c>
      <c r="I52" s="47">
        <f>IFERROR(__xludf.DUMMYFUNCTION("""COMPUTED_VALUE"""),45817.6458333333)</f>
        <v>45817.6458333333</v>
      </c>
      <c r="J52" s="48">
        <f>IFERROR(__xludf.DUMMYFUNCTION("""COMPUTED_VALUE"""),1433.4)</f>
        <v>1433.4</v>
      </c>
      <c r="K52" s="3">
        <f t="shared" si="2"/>
        <v>0</v>
      </c>
      <c r="L52" s="3">
        <f t="shared" si="3"/>
        <v>0</v>
      </c>
    </row>
    <row r="53" customHeight="1" spans="1:12">
      <c r="A53" s="47">
        <f>IFERROR(__xludf.DUMMYFUNCTION("""COMPUTED_VALUE"""),45818.6458333333)</f>
        <v>45818.6458333333</v>
      </c>
      <c r="B53" s="48">
        <f>IFERROR(__xludf.DUMMYFUNCTION("""COMPUTED_VALUE"""),1422.9)</f>
        <v>1422.9</v>
      </c>
      <c r="C53" s="47">
        <f>IFERROR(__xludf.DUMMYFUNCTION("""COMPUTED_VALUE"""),45818.6458333333)</f>
        <v>45818.6458333333</v>
      </c>
      <c r="D53" s="48">
        <f>IFERROR(__xludf.DUMMYFUNCTION("""COMPUTED_VALUE"""),1439)</f>
        <v>1439</v>
      </c>
      <c r="E53" s="47">
        <f>IFERROR(__xludf.DUMMYFUNCTION("""COMPUTED_VALUE"""),45818.6458333333)</f>
        <v>45818.6458333333</v>
      </c>
      <c r="F53" s="48">
        <f>IFERROR(__xludf.DUMMYFUNCTION("""COMPUTED_VALUE"""),12905272)</f>
        <v>12905272</v>
      </c>
      <c r="G53" s="47">
        <f>IFERROR(__xludf.DUMMYFUNCTION("""COMPUTED_VALUE"""),45818.6458333333)</f>
        <v>45818.6458333333</v>
      </c>
      <c r="H53" s="48">
        <f>IFERROR(__xludf.DUMMYFUNCTION("""COMPUTED_VALUE"""),1441.7)</f>
        <v>1441.7</v>
      </c>
      <c r="I53" s="47">
        <f>IFERROR(__xludf.DUMMYFUNCTION("""COMPUTED_VALUE"""),45818.6458333333)</f>
        <v>45818.6458333333</v>
      </c>
      <c r="J53" s="48">
        <f>IFERROR(__xludf.DUMMYFUNCTION("""COMPUTED_VALUE"""),1416.5)</f>
        <v>1416.5</v>
      </c>
      <c r="K53" s="3">
        <f t="shared" si="2"/>
        <v>0</v>
      </c>
      <c r="L53" s="3">
        <f t="shared" si="3"/>
        <v>0</v>
      </c>
    </row>
    <row r="54" customHeight="1" spans="1:12">
      <c r="A54" s="47">
        <f>IFERROR(__xludf.DUMMYFUNCTION("""COMPUTED_VALUE"""),45819.6458333333)</f>
        <v>45819.6458333333</v>
      </c>
      <c r="B54" s="48">
        <f>IFERROR(__xludf.DUMMYFUNCTION("""COMPUTED_VALUE"""),1431)</f>
        <v>1431</v>
      </c>
      <c r="C54" s="47">
        <f>IFERROR(__xludf.DUMMYFUNCTION("""COMPUTED_VALUE"""),45819.6458333333)</f>
        <v>45819.6458333333</v>
      </c>
      <c r="D54" s="48">
        <f>IFERROR(__xludf.DUMMYFUNCTION("""COMPUTED_VALUE"""),1421.8)</f>
        <v>1421.8</v>
      </c>
      <c r="E54" s="47">
        <f>IFERROR(__xludf.DUMMYFUNCTION("""COMPUTED_VALUE"""),45819.6458333333)</f>
        <v>45819.6458333333</v>
      </c>
      <c r="F54" s="48">
        <f>IFERROR(__xludf.DUMMYFUNCTION("""COMPUTED_VALUE"""),7136877)</f>
        <v>7136877</v>
      </c>
      <c r="G54" s="47">
        <f>IFERROR(__xludf.DUMMYFUNCTION("""COMPUTED_VALUE"""),45819.6458333333)</f>
        <v>45819.6458333333</v>
      </c>
      <c r="H54" s="48">
        <f>IFERROR(__xludf.DUMMYFUNCTION("""COMPUTED_VALUE"""),1434.5)</f>
        <v>1434.5</v>
      </c>
      <c r="I54" s="47">
        <f>IFERROR(__xludf.DUMMYFUNCTION("""COMPUTED_VALUE"""),45819.6458333333)</f>
        <v>45819.6458333333</v>
      </c>
      <c r="J54" s="48">
        <f>IFERROR(__xludf.DUMMYFUNCTION("""COMPUTED_VALUE"""),1418.6)</f>
        <v>1418.6</v>
      </c>
      <c r="K54" s="3">
        <f t="shared" si="2"/>
        <v>0</v>
      </c>
      <c r="L54" s="3">
        <f t="shared" si="3"/>
        <v>0</v>
      </c>
    </row>
    <row r="55" customHeight="1" spans="1:12">
      <c r="A55" s="47">
        <f>IFERROR(__xludf.DUMMYFUNCTION("""COMPUTED_VALUE"""),45820.6458333333)</f>
        <v>45820.6458333333</v>
      </c>
      <c r="B55" s="48">
        <f>IFERROR(__xludf.DUMMYFUNCTION("""COMPUTED_VALUE"""),1425.2)</f>
        <v>1425.2</v>
      </c>
      <c r="C55" s="47">
        <f>IFERROR(__xludf.DUMMYFUNCTION("""COMPUTED_VALUE"""),45820.6458333333)</f>
        <v>45820.6458333333</v>
      </c>
      <c r="D55" s="48">
        <f>IFERROR(__xludf.DUMMYFUNCTION("""COMPUTED_VALUE"""),1430.5)</f>
        <v>1430.5</v>
      </c>
      <c r="E55" s="47">
        <f>IFERROR(__xludf.DUMMYFUNCTION("""COMPUTED_VALUE"""),45820.6458333333)</f>
        <v>45820.6458333333</v>
      </c>
      <c r="F55" s="48">
        <f>IFERROR(__xludf.DUMMYFUNCTION("""COMPUTED_VALUE"""),7953247)</f>
        <v>7953247</v>
      </c>
      <c r="G55" s="47">
        <f>IFERROR(__xludf.DUMMYFUNCTION("""COMPUTED_VALUE"""),45820.6458333333)</f>
        <v>45820.6458333333</v>
      </c>
      <c r="H55" s="48">
        <f>IFERROR(__xludf.DUMMYFUNCTION("""COMPUTED_VALUE"""),1436.5)</f>
        <v>1436.5</v>
      </c>
      <c r="I55" s="47">
        <f>IFERROR(__xludf.DUMMYFUNCTION("""COMPUTED_VALUE"""),45820.6458333333)</f>
        <v>45820.6458333333</v>
      </c>
      <c r="J55" s="48">
        <f>IFERROR(__xludf.DUMMYFUNCTION("""COMPUTED_VALUE"""),1420)</f>
        <v>1420</v>
      </c>
      <c r="K55" s="3">
        <f t="shared" si="2"/>
        <v>0</v>
      </c>
      <c r="L55" s="3">
        <f t="shared" si="3"/>
        <v>0</v>
      </c>
    </row>
    <row r="56" customHeight="1" spans="1:12">
      <c r="A56" s="47">
        <f>IFERROR(__xludf.DUMMYFUNCTION("""COMPUTED_VALUE"""),45821.6458333333)</f>
        <v>45821.6458333333</v>
      </c>
      <c r="B56" s="48">
        <f>IFERROR(__xludf.DUMMYFUNCTION("""COMPUTED_VALUE"""),1416.1)</f>
        <v>1416.1</v>
      </c>
      <c r="C56" s="47">
        <f>IFERROR(__xludf.DUMMYFUNCTION("""COMPUTED_VALUE"""),45821.6458333333)</f>
        <v>45821.6458333333</v>
      </c>
      <c r="D56" s="48">
        <f>IFERROR(__xludf.DUMMYFUNCTION("""COMPUTED_VALUE"""),1403.6)</f>
        <v>1403.6</v>
      </c>
      <c r="E56" s="47">
        <f>IFERROR(__xludf.DUMMYFUNCTION("""COMPUTED_VALUE"""),45821.6458333333)</f>
        <v>45821.6458333333</v>
      </c>
      <c r="F56" s="48">
        <f>IFERROR(__xludf.DUMMYFUNCTION("""COMPUTED_VALUE"""),7573103)</f>
        <v>7573103</v>
      </c>
      <c r="G56" s="47">
        <f>IFERROR(__xludf.DUMMYFUNCTION("""COMPUTED_VALUE"""),45821.6458333333)</f>
        <v>45821.6458333333</v>
      </c>
      <c r="H56" s="48">
        <f>IFERROR(__xludf.DUMMYFUNCTION("""COMPUTED_VALUE"""),1421.5)</f>
        <v>1421.5</v>
      </c>
      <c r="I56" s="47">
        <f>IFERROR(__xludf.DUMMYFUNCTION("""COMPUTED_VALUE"""),45821.6458333333)</f>
        <v>45821.6458333333</v>
      </c>
      <c r="J56" s="48">
        <f>IFERROR(__xludf.DUMMYFUNCTION("""COMPUTED_VALUE"""),1403.6)</f>
        <v>1403.6</v>
      </c>
      <c r="K56" s="3">
        <f t="shared" si="2"/>
        <v>0</v>
      </c>
      <c r="L56" s="3">
        <f t="shared" si="3"/>
        <v>0</v>
      </c>
    </row>
    <row r="57" customHeight="1" spans="1:12">
      <c r="A57" s="47">
        <f>IFERROR(__xludf.DUMMYFUNCTION("""COMPUTED_VALUE"""),45824.6458333333)</f>
        <v>45824.6458333333</v>
      </c>
      <c r="B57" s="48">
        <f>IFERROR(__xludf.DUMMYFUNCTION("""COMPUTED_VALUE"""),1426.9)</f>
        <v>1426.9</v>
      </c>
      <c r="C57" s="47">
        <f>IFERROR(__xludf.DUMMYFUNCTION("""COMPUTED_VALUE"""),45824.6458333333)</f>
        <v>45824.6458333333</v>
      </c>
      <c r="D57" s="48">
        <f>IFERROR(__xludf.DUMMYFUNCTION("""COMPUTED_VALUE"""),1416.6)</f>
        <v>1416.6</v>
      </c>
      <c r="E57" s="47">
        <f>IFERROR(__xludf.DUMMYFUNCTION("""COMPUTED_VALUE"""),45824.6458333333)</f>
        <v>45824.6458333333</v>
      </c>
      <c r="F57" s="48">
        <f>IFERROR(__xludf.DUMMYFUNCTION("""COMPUTED_VALUE"""),5451137)</f>
        <v>5451137</v>
      </c>
      <c r="G57" s="47">
        <f>IFERROR(__xludf.DUMMYFUNCTION("""COMPUTED_VALUE"""),45824.6458333333)</f>
        <v>45824.6458333333</v>
      </c>
      <c r="H57" s="48">
        <f>IFERROR(__xludf.DUMMYFUNCTION("""COMPUTED_VALUE"""),1429)</f>
        <v>1429</v>
      </c>
      <c r="I57" s="47">
        <f>IFERROR(__xludf.DUMMYFUNCTION("""COMPUTED_VALUE"""),45824.6458333333)</f>
        <v>45824.6458333333</v>
      </c>
      <c r="J57" s="48">
        <f>IFERROR(__xludf.DUMMYFUNCTION("""COMPUTED_VALUE"""),1414.2)</f>
        <v>1414.2</v>
      </c>
      <c r="K57" s="3">
        <f t="shared" si="2"/>
        <v>0</v>
      </c>
      <c r="L57" s="3">
        <f t="shared" si="3"/>
        <v>0</v>
      </c>
    </row>
    <row r="58" customHeight="1" spans="1:12">
      <c r="A58" s="47">
        <f>IFERROR(__xludf.DUMMYFUNCTION("""COMPUTED_VALUE"""),45825.6458333333)</f>
        <v>45825.6458333333</v>
      </c>
      <c r="B58" s="48">
        <f>IFERROR(__xludf.DUMMYFUNCTION("""COMPUTED_VALUE"""),1423.2)</f>
        <v>1423.2</v>
      </c>
      <c r="C58" s="47">
        <f>IFERROR(__xludf.DUMMYFUNCTION("""COMPUTED_VALUE"""),45825.6458333333)</f>
        <v>45825.6458333333</v>
      </c>
      <c r="D58" s="48">
        <f>IFERROR(__xludf.DUMMYFUNCTION("""COMPUTED_VALUE"""),1426.9)</f>
        <v>1426.9</v>
      </c>
      <c r="E58" s="47">
        <f>IFERROR(__xludf.DUMMYFUNCTION("""COMPUTED_VALUE"""),45825.6458333333)</f>
        <v>45825.6458333333</v>
      </c>
      <c r="F58" s="48">
        <f>IFERROR(__xludf.DUMMYFUNCTION("""COMPUTED_VALUE"""),6970098)</f>
        <v>6970098</v>
      </c>
      <c r="G58" s="47">
        <f>IFERROR(__xludf.DUMMYFUNCTION("""COMPUTED_VALUE"""),45825.6458333333)</f>
        <v>45825.6458333333</v>
      </c>
      <c r="H58" s="48">
        <f>IFERROR(__xludf.DUMMYFUNCTION("""COMPUTED_VALUE"""),1429.8)</f>
        <v>1429.8</v>
      </c>
      <c r="I58" s="47">
        <f>IFERROR(__xludf.DUMMYFUNCTION("""COMPUTED_VALUE"""),45825.6458333333)</f>
        <v>45825.6458333333</v>
      </c>
      <c r="J58" s="48">
        <f>IFERROR(__xludf.DUMMYFUNCTION("""COMPUTED_VALUE"""),1417.8)</f>
        <v>1417.8</v>
      </c>
      <c r="K58" s="3">
        <f t="shared" si="2"/>
        <v>0</v>
      </c>
      <c r="L58" s="3">
        <f t="shared" si="3"/>
        <v>0</v>
      </c>
    </row>
    <row r="59" customHeight="1" spans="1:12">
      <c r="A59" s="47">
        <f>IFERROR(__xludf.DUMMYFUNCTION("""COMPUTED_VALUE"""),45826.6458333333)</f>
        <v>45826.6458333333</v>
      </c>
      <c r="B59" s="48">
        <f>IFERROR(__xludf.DUMMYFUNCTION("""COMPUTED_VALUE"""),1412.6)</f>
        <v>1412.6</v>
      </c>
      <c r="C59" s="47">
        <f>IFERROR(__xludf.DUMMYFUNCTION("""COMPUTED_VALUE"""),45826.6458333333)</f>
        <v>45826.6458333333</v>
      </c>
      <c r="D59" s="48">
        <f>IFERROR(__xludf.DUMMYFUNCTION("""COMPUTED_VALUE"""),1417)</f>
        <v>1417</v>
      </c>
      <c r="E59" s="47">
        <f>IFERROR(__xludf.DUMMYFUNCTION("""COMPUTED_VALUE"""),45826.6458333333)</f>
        <v>45826.6458333333</v>
      </c>
      <c r="F59" s="48">
        <f>IFERROR(__xludf.DUMMYFUNCTION("""COMPUTED_VALUE"""),6751745)</f>
        <v>6751745</v>
      </c>
      <c r="G59" s="47">
        <f>IFERROR(__xludf.DUMMYFUNCTION("""COMPUTED_VALUE"""),45826.6458333333)</f>
        <v>45826.6458333333</v>
      </c>
      <c r="H59" s="48">
        <f>IFERROR(__xludf.DUMMYFUNCTION("""COMPUTED_VALUE"""),1432)</f>
        <v>1432</v>
      </c>
      <c r="I59" s="47">
        <f>IFERROR(__xludf.DUMMYFUNCTION("""COMPUTED_VALUE"""),45826.6458333333)</f>
        <v>45826.6458333333</v>
      </c>
      <c r="J59" s="48">
        <f>IFERROR(__xludf.DUMMYFUNCTION("""COMPUTED_VALUE"""),1410.2)</f>
        <v>1410.2</v>
      </c>
      <c r="K59" s="3">
        <f t="shared" si="2"/>
        <v>0</v>
      </c>
      <c r="L59" s="3">
        <f t="shared" si="3"/>
        <v>0</v>
      </c>
    </row>
    <row r="60" customHeight="1" spans="1:12">
      <c r="A60" s="47">
        <f>IFERROR(__xludf.DUMMYFUNCTION("""COMPUTED_VALUE"""),45827.6458333333)</f>
        <v>45827.6458333333</v>
      </c>
      <c r="B60" s="48">
        <f>IFERROR(__xludf.DUMMYFUNCTION("""COMPUTED_VALUE"""),1411.3)</f>
        <v>1411.3</v>
      </c>
      <c r="C60" s="47">
        <f>IFERROR(__xludf.DUMMYFUNCTION("""COMPUTED_VALUE"""),45827.6458333333)</f>
        <v>45827.6458333333</v>
      </c>
      <c r="D60" s="48">
        <f>IFERROR(__xludf.DUMMYFUNCTION("""COMPUTED_VALUE"""),1408)</f>
        <v>1408</v>
      </c>
      <c r="E60" s="47">
        <f>IFERROR(__xludf.DUMMYFUNCTION("""COMPUTED_VALUE"""),45827.6458333333)</f>
        <v>45827.6458333333</v>
      </c>
      <c r="F60" s="48">
        <f>IFERROR(__xludf.DUMMYFUNCTION("""COMPUTED_VALUE"""),8849883)</f>
        <v>8849883</v>
      </c>
      <c r="G60" s="47">
        <f>IFERROR(__xludf.DUMMYFUNCTION("""COMPUTED_VALUE"""),45827.6458333333)</f>
        <v>45827.6458333333</v>
      </c>
      <c r="H60" s="48">
        <f>IFERROR(__xludf.DUMMYFUNCTION("""COMPUTED_VALUE"""),1414.7)</f>
        <v>1414.7</v>
      </c>
      <c r="I60" s="47">
        <f>IFERROR(__xludf.DUMMYFUNCTION("""COMPUTED_VALUE"""),45827.6458333333)</f>
        <v>45827.6458333333</v>
      </c>
      <c r="J60" s="48">
        <f>IFERROR(__xludf.DUMMYFUNCTION("""COMPUTED_VALUE"""),1404.7)</f>
        <v>1404.7</v>
      </c>
      <c r="K60" s="3">
        <f t="shared" si="2"/>
        <v>0</v>
      </c>
      <c r="L60" s="3">
        <f t="shared" si="3"/>
        <v>1411.3</v>
      </c>
    </row>
    <row r="61" customHeight="1" spans="1:12">
      <c r="A61" s="47">
        <f>IFERROR(__xludf.DUMMYFUNCTION("""COMPUTED_VALUE"""),45828.6458333333)</f>
        <v>45828.6458333333</v>
      </c>
      <c r="B61" s="48">
        <f>IFERROR(__xludf.DUMMYFUNCTION("""COMPUTED_VALUE"""),1427.1)</f>
        <v>1427.1</v>
      </c>
      <c r="C61" s="47">
        <f>IFERROR(__xludf.DUMMYFUNCTION("""COMPUTED_VALUE"""),45828.6458333333)</f>
        <v>45828.6458333333</v>
      </c>
      <c r="D61" s="48">
        <f>IFERROR(__xludf.DUMMYFUNCTION("""COMPUTED_VALUE"""),1411.3)</f>
        <v>1411.3</v>
      </c>
      <c r="E61" s="47">
        <f>IFERROR(__xludf.DUMMYFUNCTION("""COMPUTED_VALUE"""),45828.6458333333)</f>
        <v>45828.6458333333</v>
      </c>
      <c r="F61" s="48">
        <f>IFERROR(__xludf.DUMMYFUNCTION("""COMPUTED_VALUE"""),12408178)</f>
        <v>12408178</v>
      </c>
      <c r="G61" s="47">
        <f>IFERROR(__xludf.DUMMYFUNCTION("""COMPUTED_VALUE"""),45828.6458333333)</f>
        <v>45828.6458333333</v>
      </c>
      <c r="H61" s="48">
        <f>IFERROR(__xludf.DUMMYFUNCTION("""COMPUTED_VALUE"""),1433.3)</f>
        <v>1433.3</v>
      </c>
      <c r="I61" s="47">
        <f>IFERROR(__xludf.DUMMYFUNCTION("""COMPUTED_VALUE"""),45828.6458333333)</f>
        <v>45828.6458333333</v>
      </c>
      <c r="J61" s="48">
        <f>IFERROR(__xludf.DUMMYFUNCTION("""COMPUTED_VALUE"""),1410.2)</f>
        <v>1410.2</v>
      </c>
      <c r="K61" s="3">
        <f t="shared" si="2"/>
        <v>0</v>
      </c>
      <c r="L61" s="3">
        <f t="shared" si="3"/>
        <v>0</v>
      </c>
    </row>
    <row r="62" customHeight="1" spans="1:12">
      <c r="A62" s="47">
        <f>IFERROR(__xludf.DUMMYFUNCTION("""COMPUTED_VALUE"""),45831.6458333333)</f>
        <v>45831.6458333333</v>
      </c>
      <c r="B62" s="48">
        <f>IFERROR(__xludf.DUMMYFUNCTION("""COMPUTED_VALUE"""),1420.1)</f>
        <v>1420.1</v>
      </c>
      <c r="C62" s="47">
        <f>IFERROR(__xludf.DUMMYFUNCTION("""COMPUTED_VALUE"""),45831.6458333333)</f>
        <v>45831.6458333333</v>
      </c>
      <c r="D62" s="48">
        <f>IFERROR(__xludf.DUMMYFUNCTION("""COMPUTED_VALUE"""),1417)</f>
        <v>1417</v>
      </c>
      <c r="E62" s="47">
        <f>IFERROR(__xludf.DUMMYFUNCTION("""COMPUTED_VALUE"""),45831.6458333333)</f>
        <v>45831.6458333333</v>
      </c>
      <c r="F62" s="48">
        <f>IFERROR(__xludf.DUMMYFUNCTION("""COMPUTED_VALUE"""),5514384)</f>
        <v>5514384</v>
      </c>
      <c r="G62" s="47">
        <f>IFERROR(__xludf.DUMMYFUNCTION("""COMPUTED_VALUE"""),45831.6458333333)</f>
        <v>45831.6458333333</v>
      </c>
      <c r="H62" s="48">
        <f>IFERROR(__xludf.DUMMYFUNCTION("""COMPUTED_VALUE"""),1423.2)</f>
        <v>1423.2</v>
      </c>
      <c r="I62" s="47">
        <f>IFERROR(__xludf.DUMMYFUNCTION("""COMPUTED_VALUE"""),45831.6458333333)</f>
        <v>45831.6458333333</v>
      </c>
      <c r="J62" s="48">
        <f>IFERROR(__xludf.DUMMYFUNCTION("""COMPUTED_VALUE"""),1411.9)</f>
        <v>1411.9</v>
      </c>
      <c r="K62" s="3">
        <f t="shared" si="2"/>
        <v>0</v>
      </c>
      <c r="L62" s="3">
        <f t="shared" si="3"/>
        <v>0</v>
      </c>
    </row>
    <row r="63" customHeight="1" spans="1:12">
      <c r="A63" s="47">
        <f>IFERROR(__xludf.DUMMYFUNCTION("""COMPUTED_VALUE"""),45832.6458333333)</f>
        <v>45832.6458333333</v>
      </c>
      <c r="B63" s="48">
        <f>IFERROR(__xludf.DUMMYFUNCTION("""COMPUTED_VALUE"""),1424.1)</f>
        <v>1424.1</v>
      </c>
      <c r="C63" s="47">
        <f>IFERROR(__xludf.DUMMYFUNCTION("""COMPUTED_VALUE"""),45832.6458333333)</f>
        <v>45832.6458333333</v>
      </c>
      <c r="D63" s="48">
        <f>IFERROR(__xludf.DUMMYFUNCTION("""COMPUTED_VALUE"""),1427.7)</f>
        <v>1427.7</v>
      </c>
      <c r="E63" s="47">
        <f>IFERROR(__xludf.DUMMYFUNCTION("""COMPUTED_VALUE"""),45832.6458333333)</f>
        <v>45832.6458333333</v>
      </c>
      <c r="F63" s="48">
        <f>IFERROR(__xludf.DUMMYFUNCTION("""COMPUTED_VALUE"""),11188438)</f>
        <v>11188438</v>
      </c>
      <c r="G63" s="47">
        <f>IFERROR(__xludf.DUMMYFUNCTION("""COMPUTED_VALUE"""),45832.6458333333)</f>
        <v>45832.6458333333</v>
      </c>
      <c r="H63" s="48">
        <f>IFERROR(__xludf.DUMMYFUNCTION("""COMPUTED_VALUE"""),1435.9)</f>
        <v>1435.9</v>
      </c>
      <c r="I63" s="47">
        <f>IFERROR(__xludf.DUMMYFUNCTION("""COMPUTED_VALUE"""),45832.6458333333)</f>
        <v>45832.6458333333</v>
      </c>
      <c r="J63" s="48">
        <f>IFERROR(__xludf.DUMMYFUNCTION("""COMPUTED_VALUE"""),1416.5)</f>
        <v>1416.5</v>
      </c>
      <c r="K63" s="3">
        <f t="shared" si="2"/>
        <v>0</v>
      </c>
      <c r="L63" s="3">
        <f t="shared" si="3"/>
        <v>0</v>
      </c>
    </row>
    <row r="64" customHeight="1" spans="1:12">
      <c r="A64" s="47">
        <f>IFERROR(__xludf.DUMMYFUNCTION("""COMPUTED_VALUE"""),45833.6458333333)</f>
        <v>45833.6458333333</v>
      </c>
      <c r="B64" s="48">
        <f>IFERROR(__xludf.DUMMYFUNCTION("""COMPUTED_VALUE"""),1425.8)</f>
        <v>1425.8</v>
      </c>
      <c r="C64" s="47">
        <f>IFERROR(__xludf.DUMMYFUNCTION("""COMPUTED_VALUE"""),45833.6458333333)</f>
        <v>45833.6458333333</v>
      </c>
      <c r="D64" s="48">
        <f>IFERROR(__xludf.DUMMYFUNCTION("""COMPUTED_VALUE"""),1422)</f>
        <v>1422</v>
      </c>
      <c r="E64" s="47">
        <f>IFERROR(__xludf.DUMMYFUNCTION("""COMPUTED_VALUE"""),45833.6458333333)</f>
        <v>45833.6458333333</v>
      </c>
      <c r="F64" s="48">
        <f>IFERROR(__xludf.DUMMYFUNCTION("""COMPUTED_VALUE"""),7527388)</f>
        <v>7527388</v>
      </c>
      <c r="G64" s="47">
        <f>IFERROR(__xludf.DUMMYFUNCTION("""COMPUTED_VALUE"""),45833.6458333333)</f>
        <v>45833.6458333333</v>
      </c>
      <c r="H64" s="48">
        <f>IFERROR(__xludf.DUMMYFUNCTION("""COMPUTED_VALUE"""),1428.9)</f>
        <v>1428.9</v>
      </c>
      <c r="I64" s="47">
        <f>IFERROR(__xludf.DUMMYFUNCTION("""COMPUTED_VALUE"""),45833.6458333333)</f>
        <v>45833.6458333333</v>
      </c>
      <c r="J64" s="48">
        <f>IFERROR(__xludf.DUMMYFUNCTION("""COMPUTED_VALUE"""),1415.3)</f>
        <v>1415.3</v>
      </c>
      <c r="K64" s="3">
        <f t="shared" si="2"/>
        <v>0</v>
      </c>
      <c r="L64" s="3">
        <f t="shared" si="3"/>
        <v>0</v>
      </c>
    </row>
    <row r="65" customHeight="1" spans="1:12">
      <c r="A65" s="47">
        <f>IFERROR(__xludf.DUMMYFUNCTION("""COMPUTED_VALUE"""),45834.6458333333)</f>
        <v>45834.6458333333</v>
      </c>
      <c r="B65" s="48">
        <f>IFERROR(__xludf.DUMMYFUNCTION("""COMPUTED_VALUE"""),1439.1)</f>
        <v>1439.1</v>
      </c>
      <c r="C65" s="47">
        <f>IFERROR(__xludf.DUMMYFUNCTION("""COMPUTED_VALUE"""),45834.6458333333)</f>
        <v>45834.6458333333</v>
      </c>
      <c r="D65" s="48">
        <f>IFERROR(__xludf.DUMMYFUNCTION("""COMPUTED_VALUE"""),1424.8)</f>
        <v>1424.8</v>
      </c>
      <c r="E65" s="47">
        <f>IFERROR(__xludf.DUMMYFUNCTION("""COMPUTED_VALUE"""),45834.6458333333)</f>
        <v>45834.6458333333</v>
      </c>
      <c r="F65" s="48">
        <f>IFERROR(__xludf.DUMMYFUNCTION("""COMPUTED_VALUE"""),13617435)</f>
        <v>13617435</v>
      </c>
      <c r="G65" s="47">
        <f>IFERROR(__xludf.DUMMYFUNCTION("""COMPUTED_VALUE"""),45834.6458333333)</f>
        <v>45834.6458333333</v>
      </c>
      <c r="H65" s="48">
        <f>IFERROR(__xludf.DUMMYFUNCTION("""COMPUTED_VALUE"""),1447.5)</f>
        <v>1447.5</v>
      </c>
      <c r="I65" s="47">
        <f>IFERROR(__xludf.DUMMYFUNCTION("""COMPUTED_VALUE"""),45834.6458333333)</f>
        <v>45834.6458333333</v>
      </c>
      <c r="J65" s="48">
        <f>IFERROR(__xludf.DUMMYFUNCTION("""COMPUTED_VALUE"""),1421.7)</f>
        <v>1421.7</v>
      </c>
      <c r="K65" s="3">
        <f t="shared" si="2"/>
        <v>0</v>
      </c>
      <c r="L65" s="3">
        <f t="shared" si="3"/>
        <v>0</v>
      </c>
    </row>
    <row r="66" customHeight="1" spans="1:12">
      <c r="A66" s="47">
        <f>IFERROR(__xludf.DUMMYFUNCTION("""COMPUTED_VALUE"""),45835.6458333333)</f>
        <v>45835.6458333333</v>
      </c>
      <c r="B66" s="48">
        <f>IFERROR(__xludf.DUMMYFUNCTION("""COMPUTED_VALUE"""),1462.2)</f>
        <v>1462.2</v>
      </c>
      <c r="C66" s="47">
        <f>IFERROR(__xludf.DUMMYFUNCTION("""COMPUTED_VALUE"""),45835.6458333333)</f>
        <v>45835.6458333333</v>
      </c>
      <c r="D66" s="48">
        <f>IFERROR(__xludf.DUMMYFUNCTION("""COMPUTED_VALUE"""),1438.9)</f>
        <v>1438.9</v>
      </c>
      <c r="E66" s="47">
        <f>IFERROR(__xludf.DUMMYFUNCTION("""COMPUTED_VALUE"""),45835.6458333333)</f>
        <v>45835.6458333333</v>
      </c>
      <c r="F66" s="48">
        <f>IFERROR(__xludf.DUMMYFUNCTION("""COMPUTED_VALUE"""),22532899)</f>
        <v>22532899</v>
      </c>
      <c r="G66" s="47">
        <f>IFERROR(__xludf.DUMMYFUNCTION("""COMPUTED_VALUE"""),45835.6458333333)</f>
        <v>45835.6458333333</v>
      </c>
      <c r="H66" s="48">
        <f>IFERROR(__xludf.DUMMYFUNCTION("""COMPUTED_VALUE"""),1466)</f>
        <v>1466</v>
      </c>
      <c r="I66" s="47">
        <f>IFERROR(__xludf.DUMMYFUNCTION("""COMPUTED_VALUE"""),45835.6458333333)</f>
        <v>45835.6458333333</v>
      </c>
      <c r="J66" s="48">
        <f>IFERROR(__xludf.DUMMYFUNCTION("""COMPUTED_VALUE"""),1437.1)</f>
        <v>1437.1</v>
      </c>
      <c r="K66" s="3">
        <f t="shared" si="2"/>
        <v>1462.2</v>
      </c>
      <c r="L66" s="3">
        <f t="shared" si="3"/>
        <v>0</v>
      </c>
    </row>
    <row r="67" customHeight="1" spans="1:12">
      <c r="A67" s="47">
        <f>IFERROR(__xludf.DUMMYFUNCTION("""COMPUTED_VALUE"""),45838.6458333333)</f>
        <v>45838.6458333333</v>
      </c>
      <c r="B67" s="48">
        <f>IFERROR(__xludf.DUMMYFUNCTION("""COMPUTED_VALUE"""),1445.8)</f>
        <v>1445.8</v>
      </c>
      <c r="C67" s="47">
        <f>IFERROR(__xludf.DUMMYFUNCTION("""COMPUTED_VALUE"""),45838.6458333333)</f>
        <v>45838.6458333333</v>
      </c>
      <c r="D67" s="48">
        <f>IFERROR(__xludf.DUMMYFUNCTION("""COMPUTED_VALUE"""),1461.8)</f>
        <v>1461.8</v>
      </c>
      <c r="E67" s="47">
        <f>IFERROR(__xludf.DUMMYFUNCTION("""COMPUTED_VALUE"""),45838.6458333333)</f>
        <v>45838.6458333333</v>
      </c>
      <c r="F67" s="48">
        <f>IFERROR(__xludf.DUMMYFUNCTION("""COMPUTED_VALUE"""),6325073)</f>
        <v>6325073</v>
      </c>
      <c r="G67" s="47">
        <f>IFERROR(__xludf.DUMMYFUNCTION("""COMPUTED_VALUE"""),45838.6458333333)</f>
        <v>45838.6458333333</v>
      </c>
      <c r="H67" s="48">
        <f>IFERROR(__xludf.DUMMYFUNCTION("""COMPUTED_VALUE"""),1461.9)</f>
        <v>1461.9</v>
      </c>
      <c r="I67" s="47">
        <f>IFERROR(__xludf.DUMMYFUNCTION("""COMPUTED_VALUE"""),45838.6458333333)</f>
        <v>45838.6458333333</v>
      </c>
      <c r="J67" s="48">
        <f>IFERROR(__xludf.DUMMYFUNCTION("""COMPUTED_VALUE"""),1442.3)</f>
        <v>1442.3</v>
      </c>
      <c r="K67" s="3">
        <f t="shared" si="2"/>
        <v>0</v>
      </c>
      <c r="L67" s="3">
        <f t="shared" si="3"/>
        <v>0</v>
      </c>
    </row>
    <row r="68" customHeight="1" spans="1:12">
      <c r="A68" s="47">
        <f>IFERROR(__xludf.DUMMYFUNCTION("""COMPUTED_VALUE"""),45839.6458333333)</f>
        <v>45839.6458333333</v>
      </c>
      <c r="B68" s="48">
        <f>IFERROR(__xludf.DUMMYFUNCTION("""COMPUTED_VALUE"""),1432)</f>
        <v>1432</v>
      </c>
      <c r="C68" s="47">
        <f>IFERROR(__xludf.DUMMYFUNCTION("""COMPUTED_VALUE"""),45839.6458333333)</f>
        <v>45839.6458333333</v>
      </c>
      <c r="D68" s="48">
        <f>IFERROR(__xludf.DUMMYFUNCTION("""COMPUTED_VALUE"""),1445.7)</f>
        <v>1445.7</v>
      </c>
      <c r="E68" s="47">
        <f>IFERROR(__xludf.DUMMYFUNCTION("""COMPUTED_VALUE"""),45839.6458333333)</f>
        <v>45839.6458333333</v>
      </c>
      <c r="F68" s="48">
        <f>IFERROR(__xludf.DUMMYFUNCTION("""COMPUTED_VALUE"""),7761449)</f>
        <v>7761449</v>
      </c>
      <c r="G68" s="47">
        <f>IFERROR(__xludf.DUMMYFUNCTION("""COMPUTED_VALUE"""),45839.6458333333)</f>
        <v>45839.6458333333</v>
      </c>
      <c r="H68" s="48">
        <f>IFERROR(__xludf.DUMMYFUNCTION("""COMPUTED_VALUE"""),1447.6)</f>
        <v>1447.6</v>
      </c>
      <c r="I68" s="47">
        <f>IFERROR(__xludf.DUMMYFUNCTION("""COMPUTED_VALUE"""),45839.6458333333)</f>
        <v>45839.6458333333</v>
      </c>
      <c r="J68" s="48">
        <f>IFERROR(__xludf.DUMMYFUNCTION("""COMPUTED_VALUE"""),1429.6)</f>
        <v>1429.6</v>
      </c>
      <c r="K68" s="3">
        <f t="shared" si="2"/>
        <v>0</v>
      </c>
      <c r="L68" s="3">
        <f t="shared" si="3"/>
        <v>0</v>
      </c>
    </row>
    <row r="69" customHeight="1" spans="1:12">
      <c r="A69" s="47">
        <f>IFERROR(__xludf.DUMMYFUNCTION("""COMPUTED_VALUE"""),45840.6458333333)</f>
        <v>45840.6458333333</v>
      </c>
      <c r="B69" s="48">
        <f>IFERROR(__xludf.DUMMYFUNCTION("""COMPUTED_VALUE"""),1427.8)</f>
        <v>1427.8</v>
      </c>
      <c r="C69" s="47">
        <f>IFERROR(__xludf.DUMMYFUNCTION("""COMPUTED_VALUE"""),45840.6458333333)</f>
        <v>45840.6458333333</v>
      </c>
      <c r="D69" s="48">
        <f>IFERROR(__xludf.DUMMYFUNCTION("""COMPUTED_VALUE"""),1432.2)</f>
        <v>1432.2</v>
      </c>
      <c r="E69" s="47">
        <f>IFERROR(__xludf.DUMMYFUNCTION("""COMPUTED_VALUE"""),45840.6458333333)</f>
        <v>45840.6458333333</v>
      </c>
      <c r="F69" s="48">
        <f>IFERROR(__xludf.DUMMYFUNCTION("""COMPUTED_VALUE"""),13372280)</f>
        <v>13372280</v>
      </c>
      <c r="G69" s="47">
        <f>IFERROR(__xludf.DUMMYFUNCTION("""COMPUTED_VALUE"""),45840.6458333333)</f>
        <v>45840.6458333333</v>
      </c>
      <c r="H69" s="48">
        <f>IFERROR(__xludf.DUMMYFUNCTION("""COMPUTED_VALUE"""),1451)</f>
        <v>1451</v>
      </c>
      <c r="I69" s="47">
        <f>IFERROR(__xludf.DUMMYFUNCTION("""COMPUTED_VALUE"""),45840.6458333333)</f>
        <v>45840.6458333333</v>
      </c>
      <c r="J69" s="48">
        <f>IFERROR(__xludf.DUMMYFUNCTION("""COMPUTED_VALUE"""),1422.6)</f>
        <v>1422.6</v>
      </c>
      <c r="K69" s="3">
        <f t="shared" si="2"/>
        <v>0</v>
      </c>
      <c r="L69" s="3">
        <f t="shared" si="3"/>
        <v>0</v>
      </c>
    </row>
    <row r="70" customHeight="1" spans="1:12">
      <c r="A70" s="47">
        <f>IFERROR(__xludf.DUMMYFUNCTION("""COMPUTED_VALUE"""),45841.6458333333)</f>
        <v>45841.6458333333</v>
      </c>
      <c r="B70" s="48">
        <f>IFERROR(__xludf.DUMMYFUNCTION("""COMPUTED_VALUE"""),1425.9)</f>
        <v>1425.9</v>
      </c>
      <c r="C70" s="47">
        <f>IFERROR(__xludf.DUMMYFUNCTION("""COMPUTED_VALUE"""),45841.6458333333)</f>
        <v>45841.6458333333</v>
      </c>
      <c r="D70" s="48">
        <f>IFERROR(__xludf.DUMMYFUNCTION("""COMPUTED_VALUE"""),1432.1)</f>
        <v>1432.1</v>
      </c>
      <c r="E70" s="47">
        <f>IFERROR(__xludf.DUMMYFUNCTION("""COMPUTED_VALUE"""),45841.6458333333)</f>
        <v>45841.6458333333</v>
      </c>
      <c r="F70" s="48">
        <f>IFERROR(__xludf.DUMMYFUNCTION("""COMPUTED_VALUE"""),10177738)</f>
        <v>10177738</v>
      </c>
      <c r="G70" s="47">
        <f>IFERROR(__xludf.DUMMYFUNCTION("""COMPUTED_VALUE"""),45841.6458333333)</f>
        <v>45841.6458333333</v>
      </c>
      <c r="H70" s="48">
        <f>IFERROR(__xludf.DUMMYFUNCTION("""COMPUTED_VALUE"""),1446.1)</f>
        <v>1446.1</v>
      </c>
      <c r="I70" s="47">
        <f>IFERROR(__xludf.DUMMYFUNCTION("""COMPUTED_VALUE"""),45841.6458333333)</f>
        <v>45841.6458333333</v>
      </c>
      <c r="J70" s="48">
        <f>IFERROR(__xludf.DUMMYFUNCTION("""COMPUTED_VALUE"""),1423.7)</f>
        <v>1423.7</v>
      </c>
      <c r="K70" s="3">
        <f t="shared" si="2"/>
        <v>0</v>
      </c>
      <c r="L70" s="3">
        <f t="shared" si="3"/>
        <v>0</v>
      </c>
    </row>
    <row r="71" customHeight="1" spans="1:12">
      <c r="A71" s="47">
        <f>IFERROR(__xludf.DUMMYFUNCTION("""COMPUTED_VALUE"""),45842.6458333333)</f>
        <v>45842.6458333333</v>
      </c>
      <c r="B71" s="48">
        <f>IFERROR(__xludf.DUMMYFUNCTION("""COMPUTED_VALUE"""),1442.8)</f>
        <v>1442.8</v>
      </c>
      <c r="C71" s="47">
        <f>IFERROR(__xludf.DUMMYFUNCTION("""COMPUTED_VALUE"""),45842.6458333333)</f>
        <v>45842.6458333333</v>
      </c>
      <c r="D71" s="48">
        <f>IFERROR(__xludf.DUMMYFUNCTION("""COMPUTED_VALUE"""),1427)</f>
        <v>1427</v>
      </c>
      <c r="E71" s="47">
        <f>IFERROR(__xludf.DUMMYFUNCTION("""COMPUTED_VALUE"""),45842.6458333333)</f>
        <v>45842.6458333333</v>
      </c>
      <c r="F71" s="48">
        <f>IFERROR(__xludf.DUMMYFUNCTION("""COMPUTED_VALUE"""),5066503)</f>
        <v>5066503</v>
      </c>
      <c r="G71" s="47">
        <f>IFERROR(__xludf.DUMMYFUNCTION("""COMPUTED_VALUE"""),45842.6458333333)</f>
        <v>45842.6458333333</v>
      </c>
      <c r="H71" s="48">
        <f>IFERROR(__xludf.DUMMYFUNCTION("""COMPUTED_VALUE"""),1444.4)</f>
        <v>1444.4</v>
      </c>
      <c r="I71" s="47">
        <f>IFERROR(__xludf.DUMMYFUNCTION("""COMPUTED_VALUE"""),45842.6458333333)</f>
        <v>45842.6458333333</v>
      </c>
      <c r="J71" s="48">
        <f>IFERROR(__xludf.DUMMYFUNCTION("""COMPUTED_VALUE"""),1421.1)</f>
        <v>1421.1</v>
      </c>
      <c r="K71" s="3">
        <f t="shared" si="2"/>
        <v>0</v>
      </c>
      <c r="L71" s="3">
        <f t="shared" si="3"/>
        <v>0</v>
      </c>
    </row>
    <row r="72" customHeight="1" spans="1:12">
      <c r="A72" s="47">
        <f>IFERROR(__xludf.DUMMYFUNCTION("""COMPUTED_VALUE"""),45845.6458333333)</f>
        <v>45845.6458333333</v>
      </c>
      <c r="B72" s="48">
        <f>IFERROR(__xludf.DUMMYFUNCTION("""COMPUTED_VALUE"""),1435.7)</f>
        <v>1435.7</v>
      </c>
      <c r="C72" s="47">
        <f>IFERROR(__xludf.DUMMYFUNCTION("""COMPUTED_VALUE"""),45845.6458333333)</f>
        <v>45845.6458333333</v>
      </c>
      <c r="D72" s="48">
        <f>IFERROR(__xludf.DUMMYFUNCTION("""COMPUTED_VALUE"""),1437)</f>
        <v>1437</v>
      </c>
      <c r="E72" s="47">
        <f>IFERROR(__xludf.DUMMYFUNCTION("""COMPUTED_VALUE"""),45845.6458333333)</f>
        <v>45845.6458333333</v>
      </c>
      <c r="F72" s="48">
        <f>IFERROR(__xludf.DUMMYFUNCTION("""COMPUTED_VALUE"""),5177477)</f>
        <v>5177477</v>
      </c>
      <c r="G72" s="47">
        <f>IFERROR(__xludf.DUMMYFUNCTION("""COMPUTED_VALUE"""),45845.6458333333)</f>
        <v>45845.6458333333</v>
      </c>
      <c r="H72" s="48">
        <f>IFERROR(__xludf.DUMMYFUNCTION("""COMPUTED_VALUE"""),1440.9)</f>
        <v>1440.9</v>
      </c>
      <c r="I72" s="47">
        <f>IFERROR(__xludf.DUMMYFUNCTION("""COMPUTED_VALUE"""),45845.6458333333)</f>
        <v>45845.6458333333</v>
      </c>
      <c r="J72" s="48">
        <f>IFERROR(__xludf.DUMMYFUNCTION("""COMPUTED_VALUE"""),1429.6)</f>
        <v>1429.6</v>
      </c>
      <c r="K72" s="3">
        <f t="shared" si="2"/>
        <v>0</v>
      </c>
      <c r="L72" s="3">
        <f t="shared" si="3"/>
        <v>0</v>
      </c>
    </row>
    <row r="73" customHeight="1" spans="1:12">
      <c r="A73" s="47">
        <f>IFERROR(__xludf.DUMMYFUNCTION("""COMPUTED_VALUE"""),45846.6458333333)</f>
        <v>45846.6458333333</v>
      </c>
      <c r="B73" s="48">
        <f>IFERROR(__xludf.DUMMYFUNCTION("""COMPUTED_VALUE"""),1442)</f>
        <v>1442</v>
      </c>
      <c r="C73" s="47">
        <f>IFERROR(__xludf.DUMMYFUNCTION("""COMPUTED_VALUE"""),45846.6458333333)</f>
        <v>45846.6458333333</v>
      </c>
      <c r="D73" s="48">
        <f>IFERROR(__xludf.DUMMYFUNCTION("""COMPUTED_VALUE"""),1432)</f>
        <v>1432</v>
      </c>
      <c r="E73" s="47">
        <f>IFERROR(__xludf.DUMMYFUNCTION("""COMPUTED_VALUE"""),45846.6458333333)</f>
        <v>45846.6458333333</v>
      </c>
      <c r="F73" s="48">
        <f>IFERROR(__xludf.DUMMYFUNCTION("""COMPUTED_VALUE"""),5315847)</f>
        <v>5315847</v>
      </c>
      <c r="G73" s="47">
        <f>IFERROR(__xludf.DUMMYFUNCTION("""COMPUTED_VALUE"""),45846.6458333333)</f>
        <v>45846.6458333333</v>
      </c>
      <c r="H73" s="48">
        <f>IFERROR(__xludf.DUMMYFUNCTION("""COMPUTED_VALUE"""),1445)</f>
        <v>1445</v>
      </c>
      <c r="I73" s="47">
        <f>IFERROR(__xludf.DUMMYFUNCTION("""COMPUTED_VALUE"""),45846.6458333333)</f>
        <v>45846.6458333333</v>
      </c>
      <c r="J73" s="48">
        <f>IFERROR(__xludf.DUMMYFUNCTION("""COMPUTED_VALUE"""),1430)</f>
        <v>1430</v>
      </c>
      <c r="K73" s="3">
        <f t="shared" si="2"/>
        <v>0</v>
      </c>
      <c r="L73" s="3">
        <f t="shared" si="3"/>
        <v>0</v>
      </c>
    </row>
    <row r="74" customHeight="1" spans="1:12">
      <c r="A74" s="47">
        <f>IFERROR(__xludf.DUMMYFUNCTION("""COMPUTED_VALUE"""),45847.6458333333)</f>
        <v>45847.6458333333</v>
      </c>
      <c r="B74" s="48">
        <f>IFERROR(__xludf.DUMMYFUNCTION("""COMPUTED_VALUE"""),1431.9)</f>
        <v>1431.9</v>
      </c>
      <c r="C74" s="47">
        <f>IFERROR(__xludf.DUMMYFUNCTION("""COMPUTED_VALUE"""),45847.6458333333)</f>
        <v>45847.6458333333</v>
      </c>
      <c r="D74" s="48">
        <f>IFERROR(__xludf.DUMMYFUNCTION("""COMPUTED_VALUE"""),1436.2)</f>
        <v>1436.2</v>
      </c>
      <c r="E74" s="47">
        <f>IFERROR(__xludf.DUMMYFUNCTION("""COMPUTED_VALUE"""),45847.6458333333)</f>
        <v>45847.6458333333</v>
      </c>
      <c r="F74" s="48">
        <f>IFERROR(__xludf.DUMMYFUNCTION("""COMPUTED_VALUE"""),8827347)</f>
        <v>8827347</v>
      </c>
      <c r="G74" s="47">
        <f>IFERROR(__xludf.DUMMYFUNCTION("""COMPUTED_VALUE"""),45847.6458333333)</f>
        <v>45847.6458333333</v>
      </c>
      <c r="H74" s="48">
        <f>IFERROR(__xludf.DUMMYFUNCTION("""COMPUTED_VALUE"""),1438.7)</f>
        <v>1438.7</v>
      </c>
      <c r="I74" s="47">
        <f>IFERROR(__xludf.DUMMYFUNCTION("""COMPUTED_VALUE"""),45847.6458333333)</f>
        <v>45847.6458333333</v>
      </c>
      <c r="J74" s="48">
        <f>IFERROR(__xludf.DUMMYFUNCTION("""COMPUTED_VALUE"""),1426.6)</f>
        <v>1426.6</v>
      </c>
      <c r="K74" s="3">
        <f t="shared" si="2"/>
        <v>0</v>
      </c>
      <c r="L74" s="3">
        <f t="shared" si="3"/>
        <v>0</v>
      </c>
    </row>
    <row r="75" customHeight="1" spans="1:12">
      <c r="A75" s="47">
        <f>IFERROR(__xludf.DUMMYFUNCTION("""COMPUTED_VALUE"""),45848.6458333333)</f>
        <v>45848.6458333333</v>
      </c>
      <c r="B75" s="48">
        <f>IFERROR(__xludf.DUMMYFUNCTION("""COMPUTED_VALUE"""),1424.1)</f>
        <v>1424.1</v>
      </c>
      <c r="C75" s="47">
        <f>IFERROR(__xludf.DUMMYFUNCTION("""COMPUTED_VALUE"""),45848.6458333333)</f>
        <v>45848.6458333333</v>
      </c>
      <c r="D75" s="48">
        <f>IFERROR(__xludf.DUMMYFUNCTION("""COMPUTED_VALUE"""),1436.8)</f>
        <v>1436.8</v>
      </c>
      <c r="E75" s="47">
        <f>IFERROR(__xludf.DUMMYFUNCTION("""COMPUTED_VALUE"""),45848.6458333333)</f>
        <v>45848.6458333333</v>
      </c>
      <c r="F75" s="48">
        <f>IFERROR(__xludf.DUMMYFUNCTION("""COMPUTED_VALUE"""),7795964)</f>
        <v>7795964</v>
      </c>
      <c r="G75" s="47">
        <f>IFERROR(__xludf.DUMMYFUNCTION("""COMPUTED_VALUE"""),45848.6458333333)</f>
        <v>45848.6458333333</v>
      </c>
      <c r="H75" s="48">
        <f>IFERROR(__xludf.DUMMYFUNCTION("""COMPUTED_VALUE"""),1439)</f>
        <v>1439</v>
      </c>
      <c r="I75" s="47">
        <f>IFERROR(__xludf.DUMMYFUNCTION("""COMPUTED_VALUE"""),45848.6458333333)</f>
        <v>45848.6458333333</v>
      </c>
      <c r="J75" s="48">
        <f>IFERROR(__xludf.DUMMYFUNCTION("""COMPUTED_VALUE"""),1422.1)</f>
        <v>1422.1</v>
      </c>
      <c r="K75" s="3">
        <f t="shared" si="2"/>
        <v>0</v>
      </c>
      <c r="L75" s="3">
        <f t="shared" si="3"/>
        <v>0</v>
      </c>
    </row>
    <row r="76" customHeight="1" spans="1:12">
      <c r="A76" s="47">
        <f>IFERROR(__xludf.DUMMYFUNCTION("""COMPUTED_VALUE"""),45849.6458333333)</f>
        <v>45849.6458333333</v>
      </c>
      <c r="B76" s="48">
        <f>IFERROR(__xludf.DUMMYFUNCTION("""COMPUTED_VALUE"""),1421.9)</f>
        <v>1421.9</v>
      </c>
      <c r="C76" s="47">
        <f>IFERROR(__xludf.DUMMYFUNCTION("""COMPUTED_VALUE"""),45849.6458333333)</f>
        <v>45849.6458333333</v>
      </c>
      <c r="D76" s="48">
        <f>IFERROR(__xludf.DUMMYFUNCTION("""COMPUTED_VALUE"""),1422)</f>
        <v>1422</v>
      </c>
      <c r="E76" s="47">
        <f>IFERROR(__xludf.DUMMYFUNCTION("""COMPUTED_VALUE"""),45849.6458333333)</f>
        <v>45849.6458333333</v>
      </c>
      <c r="F76" s="48">
        <f>IFERROR(__xludf.DUMMYFUNCTION("""COMPUTED_VALUE"""),7158015)</f>
        <v>7158015</v>
      </c>
      <c r="G76" s="47">
        <f>IFERROR(__xludf.DUMMYFUNCTION("""COMPUTED_VALUE"""),45849.6458333333)</f>
        <v>45849.6458333333</v>
      </c>
      <c r="H76" s="48">
        <f>IFERROR(__xludf.DUMMYFUNCTION("""COMPUTED_VALUE"""),1428)</f>
        <v>1428</v>
      </c>
      <c r="I76" s="47">
        <f>IFERROR(__xludf.DUMMYFUNCTION("""COMPUTED_VALUE"""),45849.6458333333)</f>
        <v>45849.6458333333</v>
      </c>
      <c r="J76" s="48">
        <f>IFERROR(__xludf.DUMMYFUNCTION("""COMPUTED_VALUE"""),1414.6)</f>
        <v>1414.6</v>
      </c>
      <c r="K76" s="3">
        <f t="shared" si="2"/>
        <v>0</v>
      </c>
      <c r="L76" s="3">
        <f t="shared" si="3"/>
        <v>0</v>
      </c>
    </row>
    <row r="77" customHeight="1" spans="1:12">
      <c r="A77" s="47">
        <f>IFERROR(__xludf.DUMMYFUNCTION("""COMPUTED_VALUE"""),45852.6458333333)</f>
        <v>45852.6458333333</v>
      </c>
      <c r="B77" s="48">
        <f>IFERROR(__xludf.DUMMYFUNCTION("""COMPUTED_VALUE"""),1423)</f>
        <v>1423</v>
      </c>
      <c r="C77" s="47">
        <f>IFERROR(__xludf.DUMMYFUNCTION("""COMPUTED_VALUE"""),45852.6458333333)</f>
        <v>45852.6458333333</v>
      </c>
      <c r="D77" s="48">
        <f>IFERROR(__xludf.DUMMYFUNCTION("""COMPUTED_VALUE"""),1424.9)</f>
        <v>1424.9</v>
      </c>
      <c r="E77" s="47">
        <f>IFERROR(__xludf.DUMMYFUNCTION("""COMPUTED_VALUE"""),45852.6458333333)</f>
        <v>45852.6458333333</v>
      </c>
      <c r="F77" s="48">
        <f>IFERROR(__xludf.DUMMYFUNCTION("""COMPUTED_VALUE"""),5846154)</f>
        <v>5846154</v>
      </c>
      <c r="G77" s="47">
        <f>IFERROR(__xludf.DUMMYFUNCTION("""COMPUTED_VALUE"""),45852.6458333333)</f>
        <v>45852.6458333333</v>
      </c>
      <c r="H77" s="48">
        <f>IFERROR(__xludf.DUMMYFUNCTION("""COMPUTED_VALUE"""),1424.9)</f>
        <v>1424.9</v>
      </c>
      <c r="I77" s="47">
        <f>IFERROR(__xludf.DUMMYFUNCTION("""COMPUTED_VALUE"""),45852.6458333333)</f>
        <v>45852.6458333333</v>
      </c>
      <c r="J77" s="48">
        <f>IFERROR(__xludf.DUMMYFUNCTION("""COMPUTED_VALUE"""),1416.1)</f>
        <v>1416.1</v>
      </c>
      <c r="K77" s="3">
        <f t="shared" si="2"/>
        <v>0</v>
      </c>
      <c r="L77" s="3">
        <f t="shared" si="3"/>
        <v>0</v>
      </c>
    </row>
    <row r="78" customHeight="1" spans="1:12">
      <c r="A78" s="47">
        <f>IFERROR(__xludf.DUMMYFUNCTION("""COMPUTED_VALUE"""),45853.6458333333)</f>
        <v>45853.6458333333</v>
      </c>
      <c r="B78" s="48">
        <f>IFERROR(__xludf.DUMMYFUNCTION("""COMPUTED_VALUE"""),1430.8)</f>
        <v>1430.8</v>
      </c>
      <c r="C78" s="47">
        <f>IFERROR(__xludf.DUMMYFUNCTION("""COMPUTED_VALUE"""),45853.6458333333)</f>
        <v>45853.6458333333</v>
      </c>
      <c r="D78" s="48">
        <f>IFERROR(__xludf.DUMMYFUNCTION("""COMPUTED_VALUE"""),1421.1)</f>
        <v>1421.1</v>
      </c>
      <c r="E78" s="47">
        <f>IFERROR(__xludf.DUMMYFUNCTION("""COMPUTED_VALUE"""),45853.6458333333)</f>
        <v>45853.6458333333</v>
      </c>
      <c r="F78" s="48">
        <f>IFERROR(__xludf.DUMMYFUNCTION("""COMPUTED_VALUE"""),6041457)</f>
        <v>6041457</v>
      </c>
      <c r="G78" s="47">
        <f>IFERROR(__xludf.DUMMYFUNCTION("""COMPUTED_VALUE"""),45853.6458333333)</f>
        <v>45853.6458333333</v>
      </c>
      <c r="H78" s="48">
        <f>IFERROR(__xludf.DUMMYFUNCTION("""COMPUTED_VALUE"""),1433.8)</f>
        <v>1433.8</v>
      </c>
      <c r="I78" s="47">
        <f>IFERROR(__xludf.DUMMYFUNCTION("""COMPUTED_VALUE"""),45853.6458333333)</f>
        <v>45853.6458333333</v>
      </c>
      <c r="J78" s="48">
        <f>IFERROR(__xludf.DUMMYFUNCTION("""COMPUTED_VALUE"""),1419)</f>
        <v>1419</v>
      </c>
      <c r="K78" s="3">
        <f t="shared" si="2"/>
        <v>0</v>
      </c>
      <c r="L78" s="3">
        <f t="shared" si="3"/>
        <v>0</v>
      </c>
    </row>
    <row r="79" customHeight="1" spans="1:12">
      <c r="A79" s="47">
        <f>IFERROR(__xludf.DUMMYFUNCTION("""COMPUTED_VALUE"""),45854.6458333333)</f>
        <v>45854.6458333333</v>
      </c>
      <c r="B79" s="48">
        <f>IFERROR(__xludf.DUMMYFUNCTION("""COMPUTED_VALUE"""),1426.4)</f>
        <v>1426.4</v>
      </c>
      <c r="C79" s="47">
        <f>IFERROR(__xludf.DUMMYFUNCTION("""COMPUTED_VALUE"""),45854.6458333333)</f>
        <v>45854.6458333333</v>
      </c>
      <c r="D79" s="48">
        <f>IFERROR(__xludf.DUMMYFUNCTION("""COMPUTED_VALUE"""),1426)</f>
        <v>1426</v>
      </c>
      <c r="E79" s="47">
        <f>IFERROR(__xludf.DUMMYFUNCTION("""COMPUTED_VALUE"""),45854.6458333333)</f>
        <v>45854.6458333333</v>
      </c>
      <c r="F79" s="48">
        <f>IFERROR(__xludf.DUMMYFUNCTION("""COMPUTED_VALUE"""),5649093)</f>
        <v>5649093</v>
      </c>
      <c r="G79" s="47">
        <f>IFERROR(__xludf.DUMMYFUNCTION("""COMPUTED_VALUE"""),45854.6458333333)</f>
        <v>45854.6458333333</v>
      </c>
      <c r="H79" s="48">
        <f>IFERROR(__xludf.DUMMYFUNCTION("""COMPUTED_VALUE"""),1429.2)</f>
        <v>1429.2</v>
      </c>
      <c r="I79" s="47">
        <f>IFERROR(__xludf.DUMMYFUNCTION("""COMPUTED_VALUE"""),45854.6458333333)</f>
        <v>45854.6458333333</v>
      </c>
      <c r="J79" s="48">
        <f>IFERROR(__xludf.DUMMYFUNCTION("""COMPUTED_VALUE"""),1419.1)</f>
        <v>1419.1</v>
      </c>
      <c r="K79" s="3">
        <f t="shared" si="2"/>
        <v>0</v>
      </c>
      <c r="L79" s="3">
        <f t="shared" si="3"/>
        <v>0</v>
      </c>
    </row>
    <row r="80" customHeight="1" spans="1:12">
      <c r="A80" s="47">
        <f>IFERROR(__xludf.DUMMYFUNCTION("""COMPUTED_VALUE"""),45855.6458333333)</f>
        <v>45855.6458333333</v>
      </c>
      <c r="B80" s="48">
        <f>IFERROR(__xludf.DUMMYFUNCTION("""COMPUTED_VALUE"""),1418.7)</f>
        <v>1418.7</v>
      </c>
      <c r="C80" s="47">
        <f>IFERROR(__xludf.DUMMYFUNCTION("""COMPUTED_VALUE"""),45855.6458333333)</f>
        <v>45855.6458333333</v>
      </c>
      <c r="D80" s="48">
        <f>IFERROR(__xludf.DUMMYFUNCTION("""COMPUTED_VALUE"""),1421)</f>
        <v>1421</v>
      </c>
      <c r="E80" s="47">
        <f>IFERROR(__xludf.DUMMYFUNCTION("""COMPUTED_VALUE"""),45855.6458333333)</f>
        <v>45855.6458333333</v>
      </c>
      <c r="F80" s="48">
        <f>IFERROR(__xludf.DUMMYFUNCTION("""COMPUTED_VALUE"""),12927394)</f>
        <v>12927394</v>
      </c>
      <c r="G80" s="47">
        <f>IFERROR(__xludf.DUMMYFUNCTION("""COMPUTED_VALUE"""),45855.6458333333)</f>
        <v>45855.6458333333</v>
      </c>
      <c r="H80" s="48">
        <f>IFERROR(__xludf.DUMMYFUNCTION("""COMPUTED_VALUE"""),1423.2)</f>
        <v>1423.2</v>
      </c>
      <c r="I80" s="47">
        <f>IFERROR(__xludf.DUMMYFUNCTION("""COMPUTED_VALUE"""),45855.6458333333)</f>
        <v>45855.6458333333</v>
      </c>
      <c r="J80" s="48">
        <f>IFERROR(__xludf.DUMMYFUNCTION("""COMPUTED_VALUE"""),1409.5)</f>
        <v>1409.5</v>
      </c>
      <c r="K80" s="3">
        <f t="shared" si="2"/>
        <v>0</v>
      </c>
      <c r="L80" s="3">
        <f t="shared" si="3"/>
        <v>1418.7</v>
      </c>
    </row>
    <row r="81" customHeight="1" spans="1:12">
      <c r="A81" s="47">
        <f>IFERROR(__xludf.DUMMYFUNCTION("""COMPUTED_VALUE"""),45856.6458333333)</f>
        <v>45856.6458333333</v>
      </c>
      <c r="B81" s="48">
        <f>IFERROR(__xludf.DUMMYFUNCTION("""COMPUTED_VALUE"""),1425.8)</f>
        <v>1425.8</v>
      </c>
      <c r="C81" s="47">
        <f>IFERROR(__xludf.DUMMYFUNCTION("""COMPUTED_VALUE"""),45856.6458333333)</f>
        <v>45856.6458333333</v>
      </c>
      <c r="D81" s="48">
        <f>IFERROR(__xludf.DUMMYFUNCTION("""COMPUTED_VALUE"""),1415.8)</f>
        <v>1415.8</v>
      </c>
      <c r="E81" s="47">
        <f>IFERROR(__xludf.DUMMYFUNCTION("""COMPUTED_VALUE"""),45856.6458333333)</f>
        <v>45856.6458333333</v>
      </c>
      <c r="F81" s="48">
        <f>IFERROR(__xludf.DUMMYFUNCTION("""COMPUTED_VALUE"""),11297246)</f>
        <v>11297246</v>
      </c>
      <c r="G81" s="47">
        <f>IFERROR(__xludf.DUMMYFUNCTION("""COMPUTED_VALUE"""),45856.6458333333)</f>
        <v>45856.6458333333</v>
      </c>
      <c r="H81" s="48">
        <f>IFERROR(__xludf.DUMMYFUNCTION("""COMPUTED_VALUE"""),1429)</f>
        <v>1429</v>
      </c>
      <c r="I81" s="47">
        <f>IFERROR(__xludf.DUMMYFUNCTION("""COMPUTED_VALUE"""),45856.6458333333)</f>
        <v>45856.6458333333</v>
      </c>
      <c r="J81" s="48">
        <f>IFERROR(__xludf.DUMMYFUNCTION("""COMPUTED_VALUE"""),1408.5)</f>
        <v>1408.5</v>
      </c>
      <c r="K81" s="3">
        <f t="shared" si="2"/>
        <v>0</v>
      </c>
      <c r="L81" s="3">
        <f t="shared" si="3"/>
        <v>0</v>
      </c>
    </row>
    <row r="82" customHeight="1" spans="1:12">
      <c r="A82" s="47">
        <f>IFERROR(__xludf.DUMMYFUNCTION("""COMPUTED_VALUE"""),45859.6458333333)</f>
        <v>45859.6458333333</v>
      </c>
      <c r="B82" s="48">
        <f>IFERROR(__xludf.DUMMYFUNCTION("""COMPUTED_VALUE"""),1465.8)</f>
        <v>1465.8</v>
      </c>
      <c r="C82" s="47">
        <f>IFERROR(__xludf.DUMMYFUNCTION("""COMPUTED_VALUE"""),45859.6458333333)</f>
        <v>45859.6458333333</v>
      </c>
      <c r="D82" s="48">
        <f>IFERROR(__xludf.DUMMYFUNCTION("""COMPUTED_VALUE"""),1448)</f>
        <v>1448</v>
      </c>
      <c r="E82" s="47">
        <f>IFERROR(__xludf.DUMMYFUNCTION("""COMPUTED_VALUE"""),45859.6458333333)</f>
        <v>45859.6458333333</v>
      </c>
      <c r="F82" s="48">
        <f>IFERROR(__xludf.DUMMYFUNCTION("""COMPUTED_VALUE"""),13867136)</f>
        <v>13867136</v>
      </c>
      <c r="G82" s="47">
        <f>IFERROR(__xludf.DUMMYFUNCTION("""COMPUTED_VALUE"""),45859.6458333333)</f>
        <v>45859.6458333333</v>
      </c>
      <c r="H82" s="48">
        <f>IFERROR(__xludf.DUMMYFUNCTION("""COMPUTED_VALUE"""),1467.7)</f>
        <v>1467.7</v>
      </c>
      <c r="I82" s="47">
        <f>IFERROR(__xludf.DUMMYFUNCTION("""COMPUTED_VALUE"""),45859.6458333333)</f>
        <v>45859.6458333333</v>
      </c>
      <c r="J82" s="48">
        <f>IFERROR(__xludf.DUMMYFUNCTION("""COMPUTED_VALUE"""),1437)</f>
        <v>1437</v>
      </c>
      <c r="K82" s="3">
        <f t="shared" si="2"/>
        <v>0</v>
      </c>
      <c r="L82" s="3">
        <f t="shared" si="3"/>
        <v>0</v>
      </c>
    </row>
    <row r="83" customHeight="1" spans="1:12">
      <c r="A83" s="47">
        <f>IFERROR(__xludf.DUMMYFUNCTION("""COMPUTED_VALUE"""),45860.6458333333)</f>
        <v>45860.6458333333</v>
      </c>
      <c r="B83" s="48">
        <f>IFERROR(__xludf.DUMMYFUNCTION("""COMPUTED_VALUE"""),1473.6)</f>
        <v>1473.6</v>
      </c>
      <c r="C83" s="47">
        <f>IFERROR(__xludf.DUMMYFUNCTION("""COMPUTED_VALUE"""),45860.6458333333)</f>
        <v>45860.6458333333</v>
      </c>
      <c r="D83" s="48">
        <f>IFERROR(__xludf.DUMMYFUNCTION("""COMPUTED_VALUE"""),1474.1)</f>
        <v>1474.1</v>
      </c>
      <c r="E83" s="47">
        <f>IFERROR(__xludf.DUMMYFUNCTION("""COMPUTED_VALUE"""),45860.6458333333)</f>
        <v>45860.6458333333</v>
      </c>
      <c r="F83" s="48">
        <f>IFERROR(__xludf.DUMMYFUNCTION("""COMPUTED_VALUE"""),8930165)</f>
        <v>8930165</v>
      </c>
      <c r="G83" s="47">
        <f>IFERROR(__xludf.DUMMYFUNCTION("""COMPUTED_VALUE"""),45860.6458333333)</f>
        <v>45860.6458333333</v>
      </c>
      <c r="H83" s="48">
        <f>IFERROR(__xludf.DUMMYFUNCTION("""COMPUTED_VALUE"""),1482)</f>
        <v>1482</v>
      </c>
      <c r="I83" s="47">
        <f>IFERROR(__xludf.DUMMYFUNCTION("""COMPUTED_VALUE"""),45860.6458333333)</f>
        <v>45860.6458333333</v>
      </c>
      <c r="J83" s="48">
        <f>IFERROR(__xludf.DUMMYFUNCTION("""COMPUTED_VALUE"""),1469.7)</f>
        <v>1469.7</v>
      </c>
      <c r="K83" s="3">
        <f t="shared" si="2"/>
        <v>0</v>
      </c>
      <c r="L83" s="3">
        <f t="shared" si="3"/>
        <v>0</v>
      </c>
    </row>
    <row r="84" customHeight="1" spans="1:12">
      <c r="A84" s="47">
        <f>IFERROR(__xludf.DUMMYFUNCTION("""COMPUTED_VALUE"""),45861.6458333333)</f>
        <v>45861.6458333333</v>
      </c>
      <c r="B84" s="48">
        <f>IFERROR(__xludf.DUMMYFUNCTION("""COMPUTED_VALUE"""),1488.6)</f>
        <v>1488.6</v>
      </c>
      <c r="C84" s="47">
        <f>IFERROR(__xludf.DUMMYFUNCTION("""COMPUTED_VALUE"""),45861.6458333333)</f>
        <v>45861.6458333333</v>
      </c>
      <c r="D84" s="48">
        <f>IFERROR(__xludf.DUMMYFUNCTION("""COMPUTED_VALUE"""),1482.9)</f>
        <v>1482.9</v>
      </c>
      <c r="E84" s="47">
        <f>IFERROR(__xludf.DUMMYFUNCTION("""COMPUTED_VALUE"""),45861.6458333333)</f>
        <v>45861.6458333333</v>
      </c>
      <c r="F84" s="48">
        <f>IFERROR(__xludf.DUMMYFUNCTION("""COMPUTED_VALUE"""),11974174)</f>
        <v>11974174</v>
      </c>
      <c r="G84" s="47">
        <f>IFERROR(__xludf.DUMMYFUNCTION("""COMPUTED_VALUE"""),45861.6458333333)</f>
        <v>45861.6458333333</v>
      </c>
      <c r="H84" s="48">
        <f>IFERROR(__xludf.DUMMYFUNCTION("""COMPUTED_VALUE"""),1490)</f>
        <v>1490</v>
      </c>
      <c r="I84" s="47">
        <f>IFERROR(__xludf.DUMMYFUNCTION("""COMPUTED_VALUE"""),45861.6458333333)</f>
        <v>45861.6458333333</v>
      </c>
      <c r="J84" s="48">
        <f>IFERROR(__xludf.DUMMYFUNCTION("""COMPUTED_VALUE"""),1472.6)</f>
        <v>1472.6</v>
      </c>
      <c r="K84" s="3">
        <f t="shared" si="2"/>
        <v>1488.6</v>
      </c>
      <c r="L84" s="3">
        <f t="shared" si="3"/>
        <v>0</v>
      </c>
    </row>
    <row r="85" customHeight="1" spans="1:12">
      <c r="A85" s="47">
        <f>IFERROR(__xludf.DUMMYFUNCTION("""COMPUTED_VALUE"""),45862.6458333333)</f>
        <v>45862.6458333333</v>
      </c>
      <c r="B85" s="48">
        <f>IFERROR(__xludf.DUMMYFUNCTION("""COMPUTED_VALUE"""),1483.4)</f>
        <v>1483.4</v>
      </c>
      <c r="C85" s="47">
        <f>IFERROR(__xludf.DUMMYFUNCTION("""COMPUTED_VALUE"""),45862.6458333333)</f>
        <v>45862.6458333333</v>
      </c>
      <c r="D85" s="48">
        <f>IFERROR(__xludf.DUMMYFUNCTION("""COMPUTED_VALUE"""),1487.7)</f>
        <v>1487.7</v>
      </c>
      <c r="E85" s="47">
        <f>IFERROR(__xludf.DUMMYFUNCTION("""COMPUTED_VALUE"""),45862.6458333333)</f>
        <v>45862.6458333333</v>
      </c>
      <c r="F85" s="48">
        <f>IFERROR(__xludf.DUMMYFUNCTION("""COMPUTED_VALUE"""),6700578)</f>
        <v>6700578</v>
      </c>
      <c r="G85" s="47">
        <f>IFERROR(__xludf.DUMMYFUNCTION("""COMPUTED_VALUE"""),45862.6458333333)</f>
        <v>45862.6458333333</v>
      </c>
      <c r="H85" s="48">
        <f>IFERROR(__xludf.DUMMYFUNCTION("""COMPUTED_VALUE"""),1488.7)</f>
        <v>1488.7</v>
      </c>
      <c r="I85" s="47">
        <f>IFERROR(__xludf.DUMMYFUNCTION("""COMPUTED_VALUE"""),45862.6458333333)</f>
        <v>45862.6458333333</v>
      </c>
      <c r="J85" s="48">
        <f>IFERROR(__xludf.DUMMYFUNCTION("""COMPUTED_VALUE"""),1478.1)</f>
        <v>1478.1</v>
      </c>
      <c r="K85" s="3">
        <f t="shared" si="2"/>
        <v>0</v>
      </c>
      <c r="L85" s="3">
        <f t="shared" si="3"/>
        <v>0</v>
      </c>
    </row>
    <row r="86" customHeight="1" spans="1:12">
      <c r="A86" s="47">
        <f>IFERROR(__xludf.DUMMYFUNCTION("""COMPUTED_VALUE"""),45863.6458333333)</f>
        <v>45863.6458333333</v>
      </c>
      <c r="B86" s="48">
        <f>IFERROR(__xludf.DUMMYFUNCTION("""COMPUTED_VALUE"""),1477.1)</f>
        <v>1477.1</v>
      </c>
      <c r="C86" s="47">
        <f>IFERROR(__xludf.DUMMYFUNCTION("""COMPUTED_VALUE"""),45863.6458333333)</f>
        <v>45863.6458333333</v>
      </c>
      <c r="D86" s="48">
        <f>IFERROR(__xludf.DUMMYFUNCTION("""COMPUTED_VALUE"""),1500)</f>
        <v>1500</v>
      </c>
      <c r="E86" s="47">
        <f>IFERROR(__xludf.DUMMYFUNCTION("""COMPUTED_VALUE"""),45863.6458333333)</f>
        <v>45863.6458333333</v>
      </c>
      <c r="F86" s="48">
        <f>IFERROR(__xludf.DUMMYFUNCTION("""COMPUTED_VALUE"""),8696077)</f>
        <v>8696077</v>
      </c>
      <c r="G86" s="47">
        <f>IFERROR(__xludf.DUMMYFUNCTION("""COMPUTED_VALUE"""),45863.6458333333)</f>
        <v>45863.6458333333</v>
      </c>
      <c r="H86" s="48">
        <f>IFERROR(__xludf.DUMMYFUNCTION("""COMPUTED_VALUE"""),1500)</f>
        <v>1500</v>
      </c>
      <c r="I86" s="47">
        <f>IFERROR(__xludf.DUMMYFUNCTION("""COMPUTED_VALUE"""),45863.6458333333)</f>
        <v>45863.6458333333</v>
      </c>
      <c r="J86" s="48">
        <f>IFERROR(__xludf.DUMMYFUNCTION("""COMPUTED_VALUE"""),1473.6)</f>
        <v>1473.6</v>
      </c>
      <c r="K86" s="3">
        <f t="shared" si="2"/>
        <v>0</v>
      </c>
      <c r="L86" s="3">
        <f t="shared" si="3"/>
        <v>0</v>
      </c>
    </row>
    <row r="87" customHeight="1" spans="1:12">
      <c r="A87" s="47">
        <f>IFERROR(__xludf.DUMMYFUNCTION("""COMPUTED_VALUE"""),45866.6458333333)</f>
        <v>45866.6458333333</v>
      </c>
      <c r="B87" s="48">
        <f>IFERROR(__xludf.DUMMYFUNCTION("""COMPUTED_VALUE"""),1488.4)</f>
        <v>1488.4</v>
      </c>
      <c r="C87" s="47">
        <f>IFERROR(__xludf.DUMMYFUNCTION("""COMPUTED_VALUE"""),45866.6458333333)</f>
        <v>45866.6458333333</v>
      </c>
      <c r="D87" s="48">
        <f>IFERROR(__xludf.DUMMYFUNCTION("""COMPUTED_VALUE"""),1477.1)</f>
        <v>1477.1</v>
      </c>
      <c r="E87" s="47">
        <f>IFERROR(__xludf.DUMMYFUNCTION("""COMPUTED_VALUE"""),45866.6458333333)</f>
        <v>45866.6458333333</v>
      </c>
      <c r="F87" s="48">
        <f>IFERROR(__xludf.DUMMYFUNCTION("""COMPUTED_VALUE"""),7507479)</f>
        <v>7507479</v>
      </c>
      <c r="G87" s="47">
        <f>IFERROR(__xludf.DUMMYFUNCTION("""COMPUTED_VALUE"""),45866.6458333333)</f>
        <v>45866.6458333333</v>
      </c>
      <c r="H87" s="48">
        <f>IFERROR(__xludf.DUMMYFUNCTION("""COMPUTED_VALUE"""),1493.8)</f>
        <v>1493.8</v>
      </c>
      <c r="I87" s="47">
        <f>IFERROR(__xludf.DUMMYFUNCTION("""COMPUTED_VALUE"""),45866.6458333333)</f>
        <v>45866.6458333333</v>
      </c>
      <c r="J87" s="48">
        <f>IFERROR(__xludf.DUMMYFUNCTION("""COMPUTED_VALUE"""),1477.1)</f>
        <v>1477.1</v>
      </c>
      <c r="K87" s="3">
        <f t="shared" si="2"/>
        <v>0</v>
      </c>
      <c r="L87" s="3">
        <f t="shared" si="3"/>
        <v>0</v>
      </c>
    </row>
    <row r="88" customHeight="1" spans="1:12">
      <c r="A88" s="47">
        <f>IFERROR(__xludf.DUMMYFUNCTION("""COMPUTED_VALUE"""),45867.6458333333)</f>
        <v>45867.6458333333</v>
      </c>
      <c r="B88" s="48">
        <f>IFERROR(__xludf.DUMMYFUNCTION("""COMPUTED_VALUE"""),1486.2)</f>
        <v>1486.2</v>
      </c>
      <c r="C88" s="47">
        <f>IFERROR(__xludf.DUMMYFUNCTION("""COMPUTED_VALUE"""),45867.6458333333)</f>
        <v>45867.6458333333</v>
      </c>
      <c r="D88" s="48">
        <f>IFERROR(__xludf.DUMMYFUNCTION("""COMPUTED_VALUE"""),1479.9)</f>
        <v>1479.9</v>
      </c>
      <c r="E88" s="47">
        <f>IFERROR(__xludf.DUMMYFUNCTION("""COMPUTED_VALUE"""),45867.6458333333)</f>
        <v>45867.6458333333</v>
      </c>
      <c r="F88" s="48">
        <f>IFERROR(__xludf.DUMMYFUNCTION("""COMPUTED_VALUE"""),9776027)</f>
        <v>9776027</v>
      </c>
      <c r="G88" s="47">
        <f>IFERROR(__xludf.DUMMYFUNCTION("""COMPUTED_VALUE"""),45867.6458333333)</f>
        <v>45867.6458333333</v>
      </c>
      <c r="H88" s="48">
        <f>IFERROR(__xludf.DUMMYFUNCTION("""COMPUTED_VALUE"""),1489.8)</f>
        <v>1489.8</v>
      </c>
      <c r="I88" s="47">
        <f>IFERROR(__xludf.DUMMYFUNCTION("""COMPUTED_VALUE"""),45867.6458333333)</f>
        <v>45867.6458333333</v>
      </c>
      <c r="J88" s="48">
        <f>IFERROR(__xludf.DUMMYFUNCTION("""COMPUTED_VALUE"""),1475.4)</f>
        <v>1475.4</v>
      </c>
      <c r="K88" s="3">
        <f t="shared" si="2"/>
        <v>0</v>
      </c>
      <c r="L88" s="3">
        <f t="shared" si="3"/>
        <v>0</v>
      </c>
    </row>
    <row r="89" customHeight="1" spans="1:12">
      <c r="A89" s="47">
        <f>IFERROR(__xludf.DUMMYFUNCTION("""COMPUTED_VALUE"""),45868.6458333333)</f>
        <v>45868.6458333333</v>
      </c>
      <c r="B89" s="48">
        <f>IFERROR(__xludf.DUMMYFUNCTION("""COMPUTED_VALUE"""),1482.4)</f>
        <v>1482.4</v>
      </c>
      <c r="C89" s="47">
        <f>IFERROR(__xludf.DUMMYFUNCTION("""COMPUTED_VALUE"""),45868.6458333333)</f>
        <v>45868.6458333333</v>
      </c>
      <c r="D89" s="48">
        <f>IFERROR(__xludf.DUMMYFUNCTION("""COMPUTED_VALUE"""),1487.7)</f>
        <v>1487.7</v>
      </c>
      <c r="E89" s="47">
        <f>IFERROR(__xludf.DUMMYFUNCTION("""COMPUTED_VALUE"""),45868.6458333333)</f>
        <v>45868.6458333333</v>
      </c>
      <c r="F89" s="48">
        <f>IFERROR(__xludf.DUMMYFUNCTION("""COMPUTED_VALUE"""),7238625)</f>
        <v>7238625</v>
      </c>
      <c r="G89" s="47">
        <f>IFERROR(__xludf.DUMMYFUNCTION("""COMPUTED_VALUE"""),45868.6458333333)</f>
        <v>45868.6458333333</v>
      </c>
      <c r="H89" s="48">
        <f>IFERROR(__xludf.DUMMYFUNCTION("""COMPUTED_VALUE"""),1488.5)</f>
        <v>1488.5</v>
      </c>
      <c r="I89" s="47">
        <f>IFERROR(__xludf.DUMMYFUNCTION("""COMPUTED_VALUE"""),45868.6458333333)</f>
        <v>45868.6458333333</v>
      </c>
      <c r="J89" s="48">
        <f>IFERROR(__xludf.DUMMYFUNCTION("""COMPUTED_VALUE"""),1477.3)</f>
        <v>1477.3</v>
      </c>
      <c r="K89" s="3">
        <f t="shared" si="2"/>
        <v>0</v>
      </c>
      <c r="L89" s="3">
        <f t="shared" si="3"/>
        <v>0</v>
      </c>
    </row>
    <row r="90" customHeight="1" spans="1:12">
      <c r="A90" s="47">
        <f>IFERROR(__xludf.DUMMYFUNCTION("""COMPUTED_VALUE"""),45869.6458333333)</f>
        <v>45869.6458333333</v>
      </c>
      <c r="B90" s="48">
        <f>IFERROR(__xludf.DUMMYFUNCTION("""COMPUTED_VALUE"""),1481.4)</f>
        <v>1481.4</v>
      </c>
      <c r="C90" s="47">
        <f>IFERROR(__xludf.DUMMYFUNCTION("""COMPUTED_VALUE"""),45869.6458333333)</f>
        <v>45869.6458333333</v>
      </c>
      <c r="D90" s="48">
        <f>IFERROR(__xludf.DUMMYFUNCTION("""COMPUTED_VALUE"""),1469.9)</f>
        <v>1469.9</v>
      </c>
      <c r="E90" s="47">
        <f>IFERROR(__xludf.DUMMYFUNCTION("""COMPUTED_VALUE"""),45869.6458333333)</f>
        <v>45869.6458333333</v>
      </c>
      <c r="F90" s="48">
        <f>IFERROR(__xludf.DUMMYFUNCTION("""COMPUTED_VALUE"""),12406146)</f>
        <v>12406146</v>
      </c>
      <c r="G90" s="47">
        <f>IFERROR(__xludf.DUMMYFUNCTION("""COMPUTED_VALUE"""),45869.6458333333)</f>
        <v>45869.6458333333</v>
      </c>
      <c r="H90" s="48">
        <f>IFERROR(__xludf.DUMMYFUNCTION("""COMPUTED_VALUE"""),1494.5)</f>
        <v>1494.5</v>
      </c>
      <c r="I90" s="47">
        <f>IFERROR(__xludf.DUMMYFUNCTION("""COMPUTED_VALUE"""),45869.6458333333)</f>
        <v>45869.6458333333</v>
      </c>
      <c r="J90" s="48">
        <f>IFERROR(__xludf.DUMMYFUNCTION("""COMPUTED_VALUE"""),1464)</f>
        <v>1464</v>
      </c>
      <c r="K90" s="3">
        <f t="shared" si="2"/>
        <v>0</v>
      </c>
      <c r="L90" s="3">
        <f t="shared" si="3"/>
        <v>0</v>
      </c>
    </row>
    <row r="91" customHeight="1" spans="1:12">
      <c r="A91" s="47">
        <f>IFERROR(__xludf.DUMMYFUNCTION("""COMPUTED_VALUE"""),45870.6458333333)</f>
        <v>45870.6458333333</v>
      </c>
      <c r="B91" s="48">
        <f>IFERROR(__xludf.DUMMYFUNCTION("""COMPUTED_VALUE"""),1471.6)</f>
        <v>1471.6</v>
      </c>
      <c r="C91" s="47">
        <f>IFERROR(__xludf.DUMMYFUNCTION("""COMPUTED_VALUE"""),45870.6458333333)</f>
        <v>45870.6458333333</v>
      </c>
      <c r="D91" s="48">
        <f>IFERROR(__xludf.DUMMYFUNCTION("""COMPUTED_VALUE"""),1480.4)</f>
        <v>1480.4</v>
      </c>
      <c r="E91" s="47">
        <f>IFERROR(__xludf.DUMMYFUNCTION("""COMPUTED_VALUE"""),45870.6458333333)</f>
        <v>45870.6458333333</v>
      </c>
      <c r="F91" s="48">
        <f>IFERROR(__xludf.DUMMYFUNCTION("""COMPUTED_VALUE"""),4416771)</f>
        <v>4416771</v>
      </c>
      <c r="G91" s="47">
        <f>IFERROR(__xludf.DUMMYFUNCTION("""COMPUTED_VALUE"""),45870.6458333333)</f>
        <v>45870.6458333333</v>
      </c>
      <c r="H91" s="48">
        <f>IFERROR(__xludf.DUMMYFUNCTION("""COMPUTED_VALUE"""),1485.1)</f>
        <v>1485.1</v>
      </c>
      <c r="I91" s="47">
        <f>IFERROR(__xludf.DUMMYFUNCTION("""COMPUTED_VALUE"""),45870.6458333333)</f>
        <v>45870.6458333333</v>
      </c>
      <c r="J91" s="48">
        <f>IFERROR(__xludf.DUMMYFUNCTION("""COMPUTED_VALUE"""),1469.8)</f>
        <v>1469.8</v>
      </c>
      <c r="K91" s="3">
        <f t="shared" si="2"/>
        <v>0</v>
      </c>
      <c r="L91" s="3">
        <f t="shared" si="3"/>
        <v>0</v>
      </c>
    </row>
    <row r="92" customHeight="1" spans="1:12">
      <c r="A92" s="47">
        <f>IFERROR(__xludf.DUMMYFUNCTION("""COMPUTED_VALUE"""),45873.6458333333)</f>
        <v>45873.6458333333</v>
      </c>
      <c r="B92" s="48">
        <f>IFERROR(__xludf.DUMMYFUNCTION("""COMPUTED_VALUE"""),1463.2)</f>
        <v>1463.2</v>
      </c>
      <c r="C92" s="47">
        <f>IFERROR(__xludf.DUMMYFUNCTION("""COMPUTED_VALUE"""),45873.6458333333)</f>
        <v>45873.6458333333</v>
      </c>
      <c r="D92" s="48">
        <f>IFERROR(__xludf.DUMMYFUNCTION("""COMPUTED_VALUE"""),1476.8)</f>
        <v>1476.8</v>
      </c>
      <c r="E92" s="47">
        <f>IFERROR(__xludf.DUMMYFUNCTION("""COMPUTED_VALUE"""),45873.6458333333)</f>
        <v>45873.6458333333</v>
      </c>
      <c r="F92" s="48">
        <f>IFERROR(__xludf.DUMMYFUNCTION("""COMPUTED_VALUE"""),6140054)</f>
        <v>6140054</v>
      </c>
      <c r="G92" s="47">
        <f>IFERROR(__xludf.DUMMYFUNCTION("""COMPUTED_VALUE"""),45873.6458333333)</f>
        <v>45873.6458333333</v>
      </c>
      <c r="H92" s="48">
        <f>IFERROR(__xludf.DUMMYFUNCTION("""COMPUTED_VALUE"""),1478.8)</f>
        <v>1478.8</v>
      </c>
      <c r="I92" s="47">
        <f>IFERROR(__xludf.DUMMYFUNCTION("""COMPUTED_VALUE"""),45873.6458333333)</f>
        <v>45873.6458333333</v>
      </c>
      <c r="J92" s="48">
        <f>IFERROR(__xludf.DUMMYFUNCTION("""COMPUTED_VALUE"""),1461.3)</f>
        <v>1461.3</v>
      </c>
      <c r="K92" s="3">
        <f t="shared" si="2"/>
        <v>0</v>
      </c>
      <c r="L92" s="3">
        <f t="shared" si="3"/>
        <v>0</v>
      </c>
    </row>
    <row r="93" customHeight="1" spans="1:12">
      <c r="A93" s="47">
        <f>IFERROR(__xludf.DUMMYFUNCTION("""COMPUTED_VALUE"""),45874.6458333333)</f>
        <v>45874.6458333333</v>
      </c>
      <c r="B93" s="48">
        <f>IFERROR(__xludf.DUMMYFUNCTION("""COMPUTED_VALUE"""),1444.4)</f>
        <v>1444.4</v>
      </c>
      <c r="C93" s="47">
        <f>IFERROR(__xludf.DUMMYFUNCTION("""COMPUTED_VALUE"""),45874.6458333333)</f>
        <v>45874.6458333333</v>
      </c>
      <c r="D93" s="48">
        <f>IFERROR(__xludf.DUMMYFUNCTION("""COMPUTED_VALUE"""),1453)</f>
        <v>1453</v>
      </c>
      <c r="E93" s="47">
        <f>IFERROR(__xludf.DUMMYFUNCTION("""COMPUTED_VALUE"""),45874.6458333333)</f>
        <v>45874.6458333333</v>
      </c>
      <c r="F93" s="48">
        <f>IFERROR(__xludf.DUMMYFUNCTION("""COMPUTED_VALUE"""),14799343)</f>
        <v>14799343</v>
      </c>
      <c r="G93" s="47">
        <f>IFERROR(__xludf.DUMMYFUNCTION("""COMPUTED_VALUE"""),45874.6458333333)</f>
        <v>45874.6458333333</v>
      </c>
      <c r="H93" s="48">
        <f>IFERROR(__xludf.DUMMYFUNCTION("""COMPUTED_VALUE"""),1461.5)</f>
        <v>1461.5</v>
      </c>
      <c r="I93" s="47">
        <f>IFERROR(__xludf.DUMMYFUNCTION("""COMPUTED_VALUE"""),45874.6458333333)</f>
        <v>45874.6458333333</v>
      </c>
      <c r="J93" s="48">
        <f>IFERROR(__xludf.DUMMYFUNCTION("""COMPUTED_VALUE"""),1441)</f>
        <v>1441</v>
      </c>
      <c r="K93" s="3">
        <f t="shared" si="2"/>
        <v>0</v>
      </c>
      <c r="L93" s="3">
        <f t="shared" si="3"/>
        <v>0</v>
      </c>
    </row>
    <row r="94" customHeight="1" spans="1:12">
      <c r="A94" s="47">
        <f>IFERROR(__xludf.DUMMYFUNCTION("""COMPUTED_VALUE"""),45875.6458333333)</f>
        <v>45875.6458333333</v>
      </c>
      <c r="B94" s="48">
        <f>IFERROR(__xludf.DUMMYFUNCTION("""COMPUTED_VALUE"""),1443.6)</f>
        <v>1443.6</v>
      </c>
      <c r="C94" s="47">
        <f>IFERROR(__xludf.DUMMYFUNCTION("""COMPUTED_VALUE"""),45875.6458333333)</f>
        <v>45875.6458333333</v>
      </c>
      <c r="D94" s="48">
        <f>IFERROR(__xludf.DUMMYFUNCTION("""COMPUTED_VALUE"""),1442.3)</f>
        <v>1442.3</v>
      </c>
      <c r="E94" s="47">
        <f>IFERROR(__xludf.DUMMYFUNCTION("""COMPUTED_VALUE"""),45875.6458333333)</f>
        <v>45875.6458333333</v>
      </c>
      <c r="F94" s="48">
        <f>IFERROR(__xludf.DUMMYFUNCTION("""COMPUTED_VALUE"""),7805252)</f>
        <v>7805252</v>
      </c>
      <c r="G94" s="47">
        <f>IFERROR(__xludf.DUMMYFUNCTION("""COMPUTED_VALUE"""),45875.6458333333)</f>
        <v>45875.6458333333</v>
      </c>
      <c r="H94" s="48">
        <f>IFERROR(__xludf.DUMMYFUNCTION("""COMPUTED_VALUE"""),1454)</f>
        <v>1454</v>
      </c>
      <c r="I94" s="47">
        <f>IFERROR(__xludf.DUMMYFUNCTION("""COMPUTED_VALUE"""),45875.6458333333)</f>
        <v>45875.6458333333</v>
      </c>
      <c r="J94" s="48">
        <f>IFERROR(__xludf.DUMMYFUNCTION("""COMPUTED_VALUE"""),1441.6)</f>
        <v>1441.6</v>
      </c>
      <c r="K94" s="3">
        <f t="shared" si="2"/>
        <v>0</v>
      </c>
      <c r="L94" s="3">
        <f t="shared" si="3"/>
        <v>0</v>
      </c>
    </row>
    <row r="95" customHeight="1" spans="1:12">
      <c r="A95" s="47">
        <f>IFERROR(__xludf.DUMMYFUNCTION("""COMPUTED_VALUE"""),45876.6458333333)</f>
        <v>45876.6458333333</v>
      </c>
      <c r="B95" s="48">
        <f>IFERROR(__xludf.DUMMYFUNCTION("""COMPUTED_VALUE"""),1440.3)</f>
        <v>1440.3</v>
      </c>
      <c r="C95" s="47">
        <f>IFERROR(__xludf.DUMMYFUNCTION("""COMPUTED_VALUE"""),45876.6458333333)</f>
        <v>45876.6458333333</v>
      </c>
      <c r="D95" s="48">
        <f>IFERROR(__xludf.DUMMYFUNCTION("""COMPUTED_VALUE"""),1441.1)</f>
        <v>1441.1</v>
      </c>
      <c r="E95" s="47">
        <f>IFERROR(__xludf.DUMMYFUNCTION("""COMPUTED_VALUE"""),45876.6458333333)</f>
        <v>45876.6458333333</v>
      </c>
      <c r="F95" s="48">
        <f>IFERROR(__xludf.DUMMYFUNCTION("""COMPUTED_VALUE"""),7432535)</f>
        <v>7432535</v>
      </c>
      <c r="G95" s="47">
        <f>IFERROR(__xludf.DUMMYFUNCTION("""COMPUTED_VALUE"""),45876.6458333333)</f>
        <v>45876.6458333333</v>
      </c>
      <c r="H95" s="48">
        <f>IFERROR(__xludf.DUMMYFUNCTION("""COMPUTED_VALUE"""),1447.9)</f>
        <v>1447.9</v>
      </c>
      <c r="I95" s="47">
        <f>IFERROR(__xludf.DUMMYFUNCTION("""COMPUTED_VALUE"""),45876.6458333333)</f>
        <v>45876.6458333333</v>
      </c>
      <c r="J95" s="48">
        <f>IFERROR(__xludf.DUMMYFUNCTION("""COMPUTED_VALUE"""),1429.1)</f>
        <v>1429.1</v>
      </c>
      <c r="K95" s="3">
        <f t="shared" si="2"/>
        <v>0</v>
      </c>
      <c r="L95" s="3">
        <f t="shared" si="3"/>
        <v>0</v>
      </c>
    </row>
    <row r="96" customHeight="1" spans="1:12">
      <c r="A96" s="47">
        <f>IFERROR(__xludf.DUMMYFUNCTION("""COMPUTED_VALUE"""),45877.6458333333)</f>
        <v>45877.6458333333</v>
      </c>
      <c r="B96" s="48">
        <f>IFERROR(__xludf.DUMMYFUNCTION("""COMPUTED_VALUE"""),1435.9)</f>
        <v>1435.9</v>
      </c>
      <c r="C96" s="47">
        <f>IFERROR(__xludf.DUMMYFUNCTION("""COMPUTED_VALUE"""),45877.6458333333)</f>
        <v>45877.6458333333</v>
      </c>
      <c r="D96" s="48">
        <f>IFERROR(__xludf.DUMMYFUNCTION("""COMPUTED_VALUE"""),1445.9)</f>
        <v>1445.9</v>
      </c>
      <c r="E96" s="47">
        <f>IFERROR(__xludf.DUMMYFUNCTION("""COMPUTED_VALUE"""),45877.6458333333)</f>
        <v>45877.6458333333</v>
      </c>
      <c r="F96" s="48">
        <f>IFERROR(__xludf.DUMMYFUNCTION("""COMPUTED_VALUE"""),5415511)</f>
        <v>5415511</v>
      </c>
      <c r="G96" s="47">
        <f>IFERROR(__xludf.DUMMYFUNCTION("""COMPUTED_VALUE"""),45877.6458333333)</f>
        <v>45877.6458333333</v>
      </c>
      <c r="H96" s="48">
        <f>IFERROR(__xludf.DUMMYFUNCTION("""COMPUTED_VALUE"""),1447.6)</f>
        <v>1447.6</v>
      </c>
      <c r="I96" s="47">
        <f>IFERROR(__xludf.DUMMYFUNCTION("""COMPUTED_VALUE"""),45877.6458333333)</f>
        <v>45877.6458333333</v>
      </c>
      <c r="J96" s="48">
        <f>IFERROR(__xludf.DUMMYFUNCTION("""COMPUTED_VALUE"""),1432)</f>
        <v>1432</v>
      </c>
      <c r="K96" s="3">
        <f t="shared" si="2"/>
        <v>0</v>
      </c>
      <c r="L96" s="3">
        <f t="shared" si="3"/>
        <v>0</v>
      </c>
    </row>
    <row r="97" customHeight="1" spans="1:12">
      <c r="A97" s="47">
        <f>IFERROR(__xludf.DUMMYFUNCTION("""COMPUTED_VALUE"""),45880.6458333333)</f>
        <v>45880.6458333333</v>
      </c>
      <c r="B97" s="48">
        <f>IFERROR(__xludf.DUMMYFUNCTION("""COMPUTED_VALUE"""),1436.6)</f>
        <v>1436.6</v>
      </c>
      <c r="C97" s="47">
        <f>IFERROR(__xludf.DUMMYFUNCTION("""COMPUTED_VALUE"""),45880.6458333333)</f>
        <v>45880.6458333333</v>
      </c>
      <c r="D97" s="48">
        <f>IFERROR(__xludf.DUMMYFUNCTION("""COMPUTED_VALUE"""),1427.9)</f>
        <v>1427.9</v>
      </c>
      <c r="E97" s="47">
        <f>IFERROR(__xludf.DUMMYFUNCTION("""COMPUTED_VALUE"""),45880.6458333333)</f>
        <v>45880.6458333333</v>
      </c>
      <c r="F97" s="48">
        <f>IFERROR(__xludf.DUMMYFUNCTION("""COMPUTED_VALUE"""),8492484)</f>
        <v>8492484</v>
      </c>
      <c r="G97" s="47">
        <f>IFERROR(__xludf.DUMMYFUNCTION("""COMPUTED_VALUE"""),45880.6458333333)</f>
        <v>45880.6458333333</v>
      </c>
      <c r="H97" s="48">
        <f>IFERROR(__xludf.DUMMYFUNCTION("""COMPUTED_VALUE"""),1438.4)</f>
        <v>1438.4</v>
      </c>
      <c r="I97" s="47">
        <f>IFERROR(__xludf.DUMMYFUNCTION("""COMPUTED_VALUE"""),45880.6458333333)</f>
        <v>45880.6458333333</v>
      </c>
      <c r="J97" s="48">
        <f>IFERROR(__xludf.DUMMYFUNCTION("""COMPUTED_VALUE"""),1420.4)</f>
        <v>1420.4</v>
      </c>
      <c r="K97" s="3">
        <f t="shared" si="2"/>
        <v>0</v>
      </c>
      <c r="L97" s="3">
        <f t="shared" si="3"/>
        <v>0</v>
      </c>
    </row>
    <row r="98" customHeight="1" spans="1:12">
      <c r="A98" s="47">
        <f>IFERROR(__xludf.DUMMYFUNCTION("""COMPUTED_VALUE"""),45881.6458333333)</f>
        <v>45881.6458333333</v>
      </c>
      <c r="B98" s="48">
        <f>IFERROR(__xludf.DUMMYFUNCTION("""COMPUTED_VALUE"""),1422)</f>
        <v>1422</v>
      </c>
      <c r="C98" s="47">
        <f>IFERROR(__xludf.DUMMYFUNCTION("""COMPUTED_VALUE"""),45881.6458333333)</f>
        <v>45881.6458333333</v>
      </c>
      <c r="D98" s="48">
        <f>IFERROR(__xludf.DUMMYFUNCTION("""COMPUTED_VALUE"""),1431)</f>
        <v>1431</v>
      </c>
      <c r="E98" s="47">
        <f>IFERROR(__xludf.DUMMYFUNCTION("""COMPUTED_VALUE"""),45881.6458333333)</f>
        <v>45881.6458333333</v>
      </c>
      <c r="F98" s="48">
        <f>IFERROR(__xludf.DUMMYFUNCTION("""COMPUTED_VALUE"""),5913947)</f>
        <v>5913947</v>
      </c>
      <c r="G98" s="47">
        <f>IFERROR(__xludf.DUMMYFUNCTION("""COMPUTED_VALUE"""),45881.6458333333)</f>
        <v>45881.6458333333</v>
      </c>
      <c r="H98" s="48">
        <f>IFERROR(__xludf.DUMMYFUNCTION("""COMPUTED_VALUE"""),1433.8)</f>
        <v>1433.8</v>
      </c>
      <c r="I98" s="47">
        <f>IFERROR(__xludf.DUMMYFUNCTION("""COMPUTED_VALUE"""),45881.6458333333)</f>
        <v>45881.6458333333</v>
      </c>
      <c r="J98" s="48">
        <f>IFERROR(__xludf.DUMMYFUNCTION("""COMPUTED_VALUE"""),1420.1)</f>
        <v>1420.1</v>
      </c>
      <c r="K98" s="3">
        <f t="shared" si="2"/>
        <v>0</v>
      </c>
      <c r="L98" s="3">
        <f t="shared" si="3"/>
        <v>0</v>
      </c>
    </row>
    <row r="99" customHeight="1" spans="1:12">
      <c r="A99" s="47">
        <f>IFERROR(__xludf.DUMMYFUNCTION("""COMPUTED_VALUE"""),45882.6458333333)</f>
        <v>45882.6458333333</v>
      </c>
      <c r="B99" s="48">
        <f>IFERROR(__xludf.DUMMYFUNCTION("""COMPUTED_VALUE"""),1420.8)</f>
        <v>1420.8</v>
      </c>
      <c r="C99" s="47">
        <f>IFERROR(__xludf.DUMMYFUNCTION("""COMPUTED_VALUE"""),45882.6458333333)</f>
        <v>45882.6458333333</v>
      </c>
      <c r="D99" s="48">
        <f>IFERROR(__xludf.DUMMYFUNCTION("""COMPUTED_VALUE"""),1424.6)</f>
        <v>1424.6</v>
      </c>
      <c r="E99" s="47">
        <f>IFERROR(__xludf.DUMMYFUNCTION("""COMPUTED_VALUE"""),45882.6458333333)</f>
        <v>45882.6458333333</v>
      </c>
      <c r="F99" s="48">
        <f>IFERROR(__xludf.DUMMYFUNCTION("""COMPUTED_VALUE"""),9009465)</f>
        <v>9009465</v>
      </c>
      <c r="G99" s="47">
        <f>IFERROR(__xludf.DUMMYFUNCTION("""COMPUTED_VALUE"""),45882.6458333333)</f>
        <v>45882.6458333333</v>
      </c>
      <c r="H99" s="48">
        <f>IFERROR(__xludf.DUMMYFUNCTION("""COMPUTED_VALUE"""),1427.7)</f>
        <v>1427.7</v>
      </c>
      <c r="I99" s="47">
        <f>IFERROR(__xludf.DUMMYFUNCTION("""COMPUTED_VALUE"""),45882.6458333333)</f>
        <v>45882.6458333333</v>
      </c>
      <c r="J99" s="48">
        <f>IFERROR(__xludf.DUMMYFUNCTION("""COMPUTED_VALUE"""),1415.2)</f>
        <v>1415.2</v>
      </c>
      <c r="K99" s="3">
        <f t="shared" si="2"/>
        <v>0</v>
      </c>
      <c r="L99" s="3">
        <f t="shared" si="3"/>
        <v>1420.8</v>
      </c>
    </row>
    <row r="100" customHeight="1" spans="1:12">
      <c r="A100" s="47">
        <f>IFERROR(__xludf.DUMMYFUNCTION("""COMPUTED_VALUE"""),45883.6458333333)</f>
        <v>45883.6458333333</v>
      </c>
      <c r="B100" s="48">
        <f>IFERROR(__xludf.DUMMYFUNCTION("""COMPUTED_VALUE"""),1427.3)</f>
        <v>1427.3</v>
      </c>
      <c r="C100" s="47">
        <f>IFERROR(__xludf.DUMMYFUNCTION("""COMPUTED_VALUE"""),45883.6458333333)</f>
        <v>45883.6458333333</v>
      </c>
      <c r="D100" s="48">
        <f>IFERROR(__xludf.DUMMYFUNCTION("""COMPUTED_VALUE"""),1412)</f>
        <v>1412</v>
      </c>
      <c r="E100" s="47">
        <f>IFERROR(__xludf.DUMMYFUNCTION("""COMPUTED_VALUE"""),45883.6458333333)</f>
        <v>45883.6458333333</v>
      </c>
      <c r="F100" s="48">
        <f>IFERROR(__xludf.DUMMYFUNCTION("""COMPUTED_VALUE"""),7577793)</f>
        <v>7577793</v>
      </c>
      <c r="G100" s="47">
        <f>IFERROR(__xludf.DUMMYFUNCTION("""COMPUTED_VALUE"""),45883.6458333333)</f>
        <v>45883.6458333333</v>
      </c>
      <c r="H100" s="48">
        <f>IFERROR(__xludf.DUMMYFUNCTION("""COMPUTED_VALUE"""),1431.1)</f>
        <v>1431.1</v>
      </c>
      <c r="I100" s="47">
        <f>IFERROR(__xludf.DUMMYFUNCTION("""COMPUTED_VALUE"""),45883.6458333333)</f>
        <v>45883.6458333333</v>
      </c>
      <c r="J100" s="48">
        <f>IFERROR(__xludf.DUMMYFUNCTION("""COMPUTED_VALUE"""),1412)</f>
        <v>1412</v>
      </c>
      <c r="K100" s="3">
        <f t="shared" si="2"/>
        <v>0</v>
      </c>
      <c r="L100" s="3">
        <f t="shared" si="3"/>
        <v>0</v>
      </c>
    </row>
    <row r="101" customHeight="1" spans="1:12">
      <c r="A101" s="47">
        <f>IFERROR(__xludf.DUMMYFUNCTION("""COMPUTED_VALUE"""),45887.6458333333)</f>
        <v>45887.6458333333</v>
      </c>
      <c r="B101" s="48">
        <f>IFERROR(__xludf.DUMMYFUNCTION("""COMPUTED_VALUE"""),1434.6)</f>
        <v>1434.6</v>
      </c>
      <c r="C101" s="47">
        <f>IFERROR(__xludf.DUMMYFUNCTION("""COMPUTED_VALUE"""),45887.6458333333)</f>
        <v>45887.6458333333</v>
      </c>
      <c r="D101" s="48">
        <f>IFERROR(__xludf.DUMMYFUNCTION("""COMPUTED_VALUE"""),1450)</f>
        <v>1450</v>
      </c>
      <c r="E101" s="47">
        <f>IFERROR(__xludf.DUMMYFUNCTION("""COMPUTED_VALUE"""),45887.6458333333)</f>
        <v>45887.6458333333</v>
      </c>
      <c r="F101" s="48">
        <f>IFERROR(__xludf.DUMMYFUNCTION("""COMPUTED_VALUE"""),6908844)</f>
        <v>6908844</v>
      </c>
      <c r="G101" s="47">
        <f>IFERROR(__xludf.DUMMYFUNCTION("""COMPUTED_VALUE"""),45887.6458333333)</f>
        <v>45887.6458333333</v>
      </c>
      <c r="H101" s="48">
        <f>IFERROR(__xludf.DUMMYFUNCTION("""COMPUTED_VALUE"""),1452.4)</f>
        <v>1452.4</v>
      </c>
      <c r="I101" s="47">
        <f>IFERROR(__xludf.DUMMYFUNCTION("""COMPUTED_VALUE"""),45887.6458333333)</f>
        <v>45887.6458333333</v>
      </c>
      <c r="J101" s="48">
        <f>IFERROR(__xludf.DUMMYFUNCTION("""COMPUTED_VALUE"""),1431)</f>
        <v>1431</v>
      </c>
      <c r="K101" s="3">
        <f t="shared" si="2"/>
        <v>0</v>
      </c>
      <c r="L101" s="3">
        <f t="shared" si="3"/>
        <v>0</v>
      </c>
    </row>
    <row r="102" customHeight="1" spans="1:12">
      <c r="A102" s="47">
        <f>IFERROR(__xludf.DUMMYFUNCTION("""COMPUTED_VALUE"""),45888.6458333333)</f>
        <v>45888.6458333333</v>
      </c>
      <c r="B102" s="48">
        <f>IFERROR(__xludf.DUMMYFUNCTION("""COMPUTED_VALUE"""),1436.3)</f>
        <v>1436.3</v>
      </c>
      <c r="C102" s="47">
        <f>IFERROR(__xludf.DUMMYFUNCTION("""COMPUTED_VALUE"""),45888.6458333333)</f>
        <v>45888.6458333333</v>
      </c>
      <c r="D102" s="48">
        <f>IFERROR(__xludf.DUMMYFUNCTION("""COMPUTED_VALUE"""),1431.1)</f>
        <v>1431.1</v>
      </c>
      <c r="E102" s="47">
        <f>IFERROR(__xludf.DUMMYFUNCTION("""COMPUTED_VALUE"""),45888.6458333333)</f>
        <v>45888.6458333333</v>
      </c>
      <c r="F102" s="48">
        <f>IFERROR(__xludf.DUMMYFUNCTION("""COMPUTED_VALUE"""),6709554)</f>
        <v>6709554</v>
      </c>
      <c r="G102" s="47">
        <f>IFERROR(__xludf.DUMMYFUNCTION("""COMPUTED_VALUE"""),45888.6458333333)</f>
        <v>45888.6458333333</v>
      </c>
      <c r="H102" s="48">
        <f>IFERROR(__xludf.DUMMYFUNCTION("""COMPUTED_VALUE"""),1438.5)</f>
        <v>1438.5</v>
      </c>
      <c r="I102" s="47">
        <f>IFERROR(__xludf.DUMMYFUNCTION("""COMPUTED_VALUE"""),45888.6458333333)</f>
        <v>45888.6458333333</v>
      </c>
      <c r="J102" s="48">
        <f>IFERROR(__xludf.DUMMYFUNCTION("""COMPUTED_VALUE"""),1426.3)</f>
        <v>1426.3</v>
      </c>
      <c r="K102" s="3">
        <f t="shared" si="2"/>
        <v>0</v>
      </c>
      <c r="L102" s="3">
        <f t="shared" si="3"/>
        <v>0</v>
      </c>
    </row>
    <row r="103" customHeight="1" spans="1:12">
      <c r="A103" s="47">
        <f>IFERROR(__xludf.DUMMYFUNCTION("""COMPUTED_VALUE"""),45889.6458333333)</f>
        <v>45889.6458333333</v>
      </c>
      <c r="B103" s="48">
        <f>IFERROR(__xludf.DUMMYFUNCTION("""COMPUTED_VALUE"""),1430.6)</f>
        <v>1430.6</v>
      </c>
      <c r="C103" s="47">
        <f>IFERROR(__xludf.DUMMYFUNCTION("""COMPUTED_VALUE"""),45889.6458333333)</f>
        <v>45889.6458333333</v>
      </c>
      <c r="D103" s="48">
        <f>IFERROR(__xludf.DUMMYFUNCTION("""COMPUTED_VALUE"""),1432.6)</f>
        <v>1432.6</v>
      </c>
      <c r="E103" s="47">
        <f>IFERROR(__xludf.DUMMYFUNCTION("""COMPUTED_VALUE"""),45889.6458333333)</f>
        <v>45889.6458333333</v>
      </c>
      <c r="F103" s="48">
        <f>IFERROR(__xludf.DUMMYFUNCTION("""COMPUTED_VALUE"""),5817858)</f>
        <v>5817858</v>
      </c>
      <c r="G103" s="47">
        <f>IFERROR(__xludf.DUMMYFUNCTION("""COMPUTED_VALUE"""),45889.6458333333)</f>
        <v>45889.6458333333</v>
      </c>
      <c r="H103" s="48">
        <f>IFERROR(__xludf.DUMMYFUNCTION("""COMPUTED_VALUE"""),1435.9)</f>
        <v>1435.9</v>
      </c>
      <c r="I103" s="47">
        <f>IFERROR(__xludf.DUMMYFUNCTION("""COMPUTED_VALUE"""),45889.6458333333)</f>
        <v>45889.6458333333</v>
      </c>
      <c r="J103" s="48">
        <f>IFERROR(__xludf.DUMMYFUNCTION("""COMPUTED_VALUE"""),1423)</f>
        <v>1423</v>
      </c>
      <c r="K103" s="3">
        <f t="shared" si="2"/>
        <v>0</v>
      </c>
      <c r="L103" s="3">
        <f t="shared" si="3"/>
        <v>0</v>
      </c>
    </row>
    <row r="104" customHeight="1" spans="1:12">
      <c r="A104" s="47">
        <f>IFERROR(__xludf.DUMMYFUNCTION("""COMPUTED_VALUE"""),45890.6458333333)</f>
        <v>45890.6458333333</v>
      </c>
      <c r="B104" s="48">
        <f>IFERROR(__xludf.DUMMYFUNCTION("""COMPUTED_VALUE"""),1446)</f>
        <v>1446</v>
      </c>
      <c r="C104" s="47">
        <f>IFERROR(__xludf.DUMMYFUNCTION("""COMPUTED_VALUE"""),45890.6458333333)</f>
        <v>45890.6458333333</v>
      </c>
      <c r="D104" s="48">
        <f>IFERROR(__xludf.DUMMYFUNCTION("""COMPUTED_VALUE"""),1440.1)</f>
        <v>1440.1</v>
      </c>
      <c r="E104" s="47">
        <f>IFERROR(__xludf.DUMMYFUNCTION("""COMPUTED_VALUE"""),45890.6458333333)</f>
        <v>45890.6458333333</v>
      </c>
      <c r="F104" s="48">
        <f>IFERROR(__xludf.DUMMYFUNCTION("""COMPUTED_VALUE"""),6238645)</f>
        <v>6238645</v>
      </c>
      <c r="G104" s="47">
        <f>IFERROR(__xludf.DUMMYFUNCTION("""COMPUTED_VALUE"""),45890.6458333333)</f>
        <v>45890.6458333333</v>
      </c>
      <c r="H104" s="48">
        <f>IFERROR(__xludf.DUMMYFUNCTION("""COMPUTED_VALUE"""),1447.8)</f>
        <v>1447.8</v>
      </c>
      <c r="I104" s="47">
        <f>IFERROR(__xludf.DUMMYFUNCTION("""COMPUTED_VALUE"""),45890.6458333333)</f>
        <v>45890.6458333333</v>
      </c>
      <c r="J104" s="48">
        <f>IFERROR(__xludf.DUMMYFUNCTION("""COMPUTED_VALUE"""),1436.4)</f>
        <v>1436.4</v>
      </c>
      <c r="K104" s="3">
        <f t="shared" si="2"/>
        <v>1446</v>
      </c>
      <c r="L104" s="3">
        <f t="shared" si="3"/>
        <v>0</v>
      </c>
    </row>
    <row r="105" customHeight="1" spans="1:12">
      <c r="A105" s="47">
        <f>IFERROR(__xludf.DUMMYFUNCTION("""COMPUTED_VALUE"""),45891.6458333333)</f>
        <v>45891.6458333333</v>
      </c>
      <c r="B105" s="48">
        <f>IFERROR(__xludf.DUMMYFUNCTION("""COMPUTED_VALUE"""),1436.4)</f>
        <v>1436.4</v>
      </c>
      <c r="C105" s="47">
        <f>IFERROR(__xludf.DUMMYFUNCTION("""COMPUTED_VALUE"""),45891.6458333333)</f>
        <v>45891.6458333333</v>
      </c>
      <c r="D105" s="48">
        <f>IFERROR(__xludf.DUMMYFUNCTION("""COMPUTED_VALUE"""),1444.3)</f>
        <v>1444.3</v>
      </c>
      <c r="E105" s="47">
        <f>IFERROR(__xludf.DUMMYFUNCTION("""COMPUTED_VALUE"""),45891.6458333333)</f>
        <v>45891.6458333333</v>
      </c>
      <c r="F105" s="48">
        <f>IFERROR(__xludf.DUMMYFUNCTION("""COMPUTED_VALUE"""),6657207)</f>
        <v>6657207</v>
      </c>
      <c r="G105" s="47">
        <f>IFERROR(__xludf.DUMMYFUNCTION("""COMPUTED_VALUE"""),45891.6458333333)</f>
        <v>45891.6458333333</v>
      </c>
      <c r="H105" s="48">
        <f>IFERROR(__xludf.DUMMYFUNCTION("""COMPUTED_VALUE"""),1446)</f>
        <v>1446</v>
      </c>
      <c r="I105" s="47">
        <f>IFERROR(__xludf.DUMMYFUNCTION("""COMPUTED_VALUE"""),45891.6458333333)</f>
        <v>45891.6458333333</v>
      </c>
      <c r="J105" s="48">
        <f>IFERROR(__xludf.DUMMYFUNCTION("""COMPUTED_VALUE"""),1429.4)</f>
        <v>1429.4</v>
      </c>
      <c r="K105" s="3">
        <f t="shared" si="2"/>
        <v>0</v>
      </c>
      <c r="L105" s="3">
        <f t="shared" si="3"/>
        <v>0</v>
      </c>
    </row>
    <row r="106" customHeight="1" spans="1:12">
      <c r="A106" s="47">
        <f>IFERROR(__xludf.DUMMYFUNCTION("""COMPUTED_VALUE"""),45894.6458333333)</f>
        <v>45894.6458333333</v>
      </c>
      <c r="B106" s="48">
        <f>IFERROR(__xludf.DUMMYFUNCTION("""COMPUTED_VALUE"""),1433.2)</f>
        <v>1433.2</v>
      </c>
      <c r="C106" s="47">
        <f>IFERROR(__xludf.DUMMYFUNCTION("""COMPUTED_VALUE"""),45894.6458333333)</f>
        <v>45894.6458333333</v>
      </c>
      <c r="D106" s="48">
        <f>IFERROR(__xludf.DUMMYFUNCTION("""COMPUTED_VALUE"""),1435.9)</f>
        <v>1435.9</v>
      </c>
      <c r="E106" s="47">
        <f>IFERROR(__xludf.DUMMYFUNCTION("""COMPUTED_VALUE"""),45894.6458333333)</f>
        <v>45894.6458333333</v>
      </c>
      <c r="F106" s="48">
        <f>IFERROR(__xludf.DUMMYFUNCTION("""COMPUTED_VALUE"""),6738427)</f>
        <v>6738427</v>
      </c>
      <c r="G106" s="47">
        <f>IFERROR(__xludf.DUMMYFUNCTION("""COMPUTED_VALUE"""),45894.6458333333)</f>
        <v>45894.6458333333</v>
      </c>
      <c r="H106" s="48">
        <f>IFERROR(__xludf.DUMMYFUNCTION("""COMPUTED_VALUE"""),1435.9)</f>
        <v>1435.9</v>
      </c>
      <c r="I106" s="47">
        <f>IFERROR(__xludf.DUMMYFUNCTION("""COMPUTED_VALUE"""),45894.6458333333)</f>
        <v>45894.6458333333</v>
      </c>
      <c r="J106" s="48">
        <f>IFERROR(__xludf.DUMMYFUNCTION("""COMPUTED_VALUE"""),1424)</f>
        <v>1424</v>
      </c>
      <c r="K106" s="3">
        <f t="shared" si="2"/>
        <v>0</v>
      </c>
      <c r="L106" s="3">
        <f t="shared" si="3"/>
        <v>0</v>
      </c>
    </row>
    <row r="107" customHeight="1" spans="1:12">
      <c r="A107" s="47">
        <f>IFERROR(__xludf.DUMMYFUNCTION("""COMPUTED_VALUE"""),45895.6458333333)</f>
        <v>45895.6458333333</v>
      </c>
      <c r="B107" s="48">
        <f>IFERROR(__xludf.DUMMYFUNCTION("""COMPUTED_VALUE"""),1416.6)</f>
        <v>1416.6</v>
      </c>
      <c r="C107" s="47">
        <f>IFERROR(__xludf.DUMMYFUNCTION("""COMPUTED_VALUE"""),45895.6458333333)</f>
        <v>45895.6458333333</v>
      </c>
      <c r="D107" s="48">
        <f>IFERROR(__xludf.DUMMYFUNCTION("""COMPUTED_VALUE"""),1427.9)</f>
        <v>1427.9</v>
      </c>
      <c r="E107" s="47">
        <f>IFERROR(__xludf.DUMMYFUNCTION("""COMPUTED_VALUE"""),45895.6458333333)</f>
        <v>45895.6458333333</v>
      </c>
      <c r="F107" s="48">
        <f>IFERROR(__xludf.DUMMYFUNCTION("""COMPUTED_VALUE"""),8720155)</f>
        <v>8720155</v>
      </c>
      <c r="G107" s="47">
        <f>IFERROR(__xludf.DUMMYFUNCTION("""COMPUTED_VALUE"""),45895.6458333333)</f>
        <v>45895.6458333333</v>
      </c>
      <c r="H107" s="48">
        <f>IFERROR(__xludf.DUMMYFUNCTION("""COMPUTED_VALUE"""),1427.9)</f>
        <v>1427.9</v>
      </c>
      <c r="I107" s="47">
        <f>IFERROR(__xludf.DUMMYFUNCTION("""COMPUTED_VALUE"""),45895.6458333333)</f>
        <v>45895.6458333333</v>
      </c>
      <c r="J107" s="48">
        <f>IFERROR(__xludf.DUMMYFUNCTION("""COMPUTED_VALUE"""),1413.1)</f>
        <v>1413.1</v>
      </c>
      <c r="K107" s="3">
        <f t="shared" si="2"/>
        <v>0</v>
      </c>
      <c r="L107" s="3">
        <f t="shared" si="3"/>
        <v>0</v>
      </c>
    </row>
    <row r="108" customHeight="1" spans="1:12">
      <c r="A108" s="47">
        <f>IFERROR(__xludf.DUMMYFUNCTION("""COMPUTED_VALUE"""),45897.6458333333)</f>
        <v>45897.6458333333</v>
      </c>
      <c r="B108" s="48">
        <f>IFERROR(__xludf.DUMMYFUNCTION("""COMPUTED_VALUE"""),1399.1)</f>
        <v>1399.1</v>
      </c>
      <c r="C108" s="47">
        <f>IFERROR(__xludf.DUMMYFUNCTION("""COMPUTED_VALUE"""),45897.6458333333)</f>
        <v>45897.6458333333</v>
      </c>
      <c r="D108" s="48">
        <f>IFERROR(__xludf.DUMMYFUNCTION("""COMPUTED_VALUE"""),1408)</f>
        <v>1408</v>
      </c>
      <c r="E108" s="47">
        <f>IFERROR(__xludf.DUMMYFUNCTION("""COMPUTED_VALUE"""),45897.6458333333)</f>
        <v>45897.6458333333</v>
      </c>
      <c r="F108" s="48">
        <f>IFERROR(__xludf.DUMMYFUNCTION("""COMPUTED_VALUE"""),12990789)</f>
        <v>12990789</v>
      </c>
      <c r="G108" s="47">
        <f>IFERROR(__xludf.DUMMYFUNCTION("""COMPUTED_VALUE"""),45897.6458333333)</f>
        <v>45897.6458333333</v>
      </c>
      <c r="H108" s="48">
        <f>IFERROR(__xludf.DUMMYFUNCTION("""COMPUTED_VALUE"""),1411.8)</f>
        <v>1411.8</v>
      </c>
      <c r="I108" s="47">
        <f>IFERROR(__xludf.DUMMYFUNCTION("""COMPUTED_VALUE"""),45897.6458333333)</f>
        <v>45897.6458333333</v>
      </c>
      <c r="J108" s="48">
        <f>IFERROR(__xludf.DUMMYFUNCTION("""COMPUTED_VALUE"""),1396.3)</f>
        <v>1396.3</v>
      </c>
      <c r="K108" s="3">
        <f t="shared" si="2"/>
        <v>0</v>
      </c>
      <c r="L108" s="3">
        <f t="shared" si="3"/>
        <v>0</v>
      </c>
    </row>
    <row r="109" customHeight="1" spans="1:12">
      <c r="A109" s="47">
        <f>IFERROR(__xludf.DUMMYFUNCTION("""COMPUTED_VALUE"""),45898.6458333333)</f>
        <v>45898.6458333333</v>
      </c>
      <c r="B109" s="48">
        <f>IFERROR(__xludf.DUMMYFUNCTION("""COMPUTED_VALUE"""),1397.8)</f>
        <v>1397.8</v>
      </c>
      <c r="C109" s="47">
        <f>IFERROR(__xludf.DUMMYFUNCTION("""COMPUTED_VALUE"""),45898.6458333333)</f>
        <v>45898.6458333333</v>
      </c>
      <c r="D109" s="48">
        <f>IFERROR(__xludf.DUMMYFUNCTION("""COMPUTED_VALUE"""),1392.1)</f>
        <v>1392.1</v>
      </c>
      <c r="E109" s="47">
        <f>IFERROR(__xludf.DUMMYFUNCTION("""COMPUTED_VALUE"""),45898.6458333333)</f>
        <v>45898.6458333333</v>
      </c>
      <c r="F109" s="48">
        <f>IFERROR(__xludf.DUMMYFUNCTION("""COMPUTED_VALUE"""),8519507)</f>
        <v>8519507</v>
      </c>
      <c r="G109" s="47">
        <f>IFERROR(__xludf.DUMMYFUNCTION("""COMPUTED_VALUE"""),45898.6458333333)</f>
        <v>45898.6458333333</v>
      </c>
      <c r="H109" s="48">
        <f>IFERROR(__xludf.DUMMYFUNCTION("""COMPUTED_VALUE"""),1405)</f>
        <v>1405</v>
      </c>
      <c r="I109" s="47">
        <f>IFERROR(__xludf.DUMMYFUNCTION("""COMPUTED_VALUE"""),45898.6458333333)</f>
        <v>45898.6458333333</v>
      </c>
      <c r="J109" s="48">
        <f>IFERROR(__xludf.DUMMYFUNCTION("""COMPUTED_VALUE"""),1392.1)</f>
        <v>1392.1</v>
      </c>
      <c r="K109" s="3">
        <f t="shared" si="2"/>
        <v>0</v>
      </c>
      <c r="L109" s="3">
        <f t="shared" si="3"/>
        <v>0</v>
      </c>
    </row>
    <row r="110" customHeight="1" spans="1:12">
      <c r="A110" s="47">
        <f>IFERROR(__xludf.DUMMYFUNCTION("""COMPUTED_VALUE"""),45901.6458333333)</f>
        <v>45901.6458333333</v>
      </c>
      <c r="B110" s="48">
        <f>IFERROR(__xludf.DUMMYFUNCTION("""COMPUTED_VALUE"""),1411)</f>
        <v>1411</v>
      </c>
      <c r="C110" s="47">
        <f>IFERROR(__xludf.DUMMYFUNCTION("""COMPUTED_VALUE"""),45901.6458333333)</f>
        <v>45901.6458333333</v>
      </c>
      <c r="D110" s="48">
        <f>IFERROR(__xludf.DUMMYFUNCTION("""COMPUTED_VALUE"""),1398.1)</f>
        <v>1398.1</v>
      </c>
      <c r="E110" s="47">
        <f>IFERROR(__xludf.DUMMYFUNCTION("""COMPUTED_VALUE"""),45901.6458333333)</f>
        <v>45901.6458333333</v>
      </c>
      <c r="F110" s="48">
        <f>IFERROR(__xludf.DUMMYFUNCTION("""COMPUTED_VALUE"""),4927348)</f>
        <v>4927348</v>
      </c>
      <c r="G110" s="47">
        <f>IFERROR(__xludf.DUMMYFUNCTION("""COMPUTED_VALUE"""),45901.6458333333)</f>
        <v>45901.6458333333</v>
      </c>
      <c r="H110" s="48">
        <f>IFERROR(__xludf.DUMMYFUNCTION("""COMPUTED_VALUE"""),1412.4)</f>
        <v>1412.4</v>
      </c>
      <c r="I110" s="47">
        <f>IFERROR(__xludf.DUMMYFUNCTION("""COMPUTED_VALUE"""),45901.6458333333)</f>
        <v>45901.6458333333</v>
      </c>
      <c r="J110" s="48">
        <f>IFERROR(__xludf.DUMMYFUNCTION("""COMPUTED_VALUE"""),1398.1)</f>
        <v>1398.1</v>
      </c>
      <c r="K110" s="3">
        <f t="shared" si="2"/>
        <v>0</v>
      </c>
      <c r="L110" s="3">
        <f t="shared" si="3"/>
        <v>0</v>
      </c>
    </row>
    <row r="111" customHeight="1" spans="1:12">
      <c r="A111" s="47">
        <f>IFERROR(__xludf.DUMMYFUNCTION("""COMPUTED_VALUE"""),45902.6458333333)</f>
        <v>45902.6458333333</v>
      </c>
      <c r="B111" s="48">
        <f>IFERROR(__xludf.DUMMYFUNCTION("""COMPUTED_VALUE"""),1394.2)</f>
        <v>1394.2</v>
      </c>
      <c r="C111" s="47">
        <f>IFERROR(__xludf.DUMMYFUNCTION("""COMPUTED_VALUE"""),45902.6458333333)</f>
        <v>45902.6458333333</v>
      </c>
      <c r="D111" s="48">
        <f>IFERROR(__xludf.DUMMYFUNCTION("""COMPUTED_VALUE"""),1413.9)</f>
        <v>1413.9</v>
      </c>
      <c r="E111" s="47">
        <f>IFERROR(__xludf.DUMMYFUNCTION("""COMPUTED_VALUE"""),45902.6458333333)</f>
        <v>45902.6458333333</v>
      </c>
      <c r="F111" s="48">
        <f>IFERROR(__xludf.DUMMYFUNCTION("""COMPUTED_VALUE"""),7163073)</f>
        <v>7163073</v>
      </c>
      <c r="G111" s="47">
        <f>IFERROR(__xludf.DUMMYFUNCTION("""COMPUTED_VALUE"""),45902.6458333333)</f>
        <v>45902.6458333333</v>
      </c>
      <c r="H111" s="48">
        <f>IFERROR(__xludf.DUMMYFUNCTION("""COMPUTED_VALUE"""),1413.9)</f>
        <v>1413.9</v>
      </c>
      <c r="I111" s="47">
        <f>IFERROR(__xludf.DUMMYFUNCTION("""COMPUTED_VALUE"""),45902.6458333333)</f>
        <v>45902.6458333333</v>
      </c>
      <c r="J111" s="48">
        <f>IFERROR(__xludf.DUMMYFUNCTION("""COMPUTED_VALUE"""),1390)</f>
        <v>1390</v>
      </c>
      <c r="K111" s="3">
        <f t="shared" si="2"/>
        <v>0</v>
      </c>
      <c r="L111" s="3">
        <f t="shared" si="3"/>
        <v>1394.2</v>
      </c>
    </row>
    <row r="112" customHeight="1" spans="1:12">
      <c r="A112" s="47">
        <f>IFERROR(__xludf.DUMMYFUNCTION("""COMPUTED_VALUE"""),45903.6458333333)</f>
        <v>45903.6458333333</v>
      </c>
      <c r="B112" s="48">
        <f>IFERROR(__xludf.DUMMYFUNCTION("""COMPUTED_VALUE"""),1397)</f>
        <v>1397</v>
      </c>
      <c r="C112" s="47">
        <f>IFERROR(__xludf.DUMMYFUNCTION("""COMPUTED_VALUE"""),45903.6458333333)</f>
        <v>45903.6458333333</v>
      </c>
      <c r="D112" s="48">
        <f>IFERROR(__xludf.DUMMYFUNCTION("""COMPUTED_VALUE"""),1389)</f>
        <v>1389</v>
      </c>
      <c r="E112" s="47">
        <f>IFERROR(__xludf.DUMMYFUNCTION("""COMPUTED_VALUE"""),45903.6458333333)</f>
        <v>45903.6458333333</v>
      </c>
      <c r="F112" s="48">
        <f>IFERROR(__xludf.DUMMYFUNCTION("""COMPUTED_VALUE"""),9813382)</f>
        <v>9813382</v>
      </c>
      <c r="G112" s="47">
        <f>IFERROR(__xludf.DUMMYFUNCTION("""COMPUTED_VALUE"""),45903.6458333333)</f>
        <v>45903.6458333333</v>
      </c>
      <c r="H112" s="48">
        <f>IFERROR(__xludf.DUMMYFUNCTION("""COMPUTED_VALUE"""),1400)</f>
        <v>1400</v>
      </c>
      <c r="I112" s="47">
        <f>IFERROR(__xludf.DUMMYFUNCTION("""COMPUTED_VALUE"""),45903.6458333333)</f>
        <v>45903.6458333333</v>
      </c>
      <c r="J112" s="48">
        <f>IFERROR(__xludf.DUMMYFUNCTION("""COMPUTED_VALUE"""),1384.2)</f>
        <v>1384.2</v>
      </c>
      <c r="K112" s="3">
        <f t="shared" si="2"/>
        <v>0</v>
      </c>
      <c r="L112" s="3">
        <f t="shared" si="3"/>
        <v>0</v>
      </c>
    </row>
    <row r="113" customHeight="1" spans="1:12">
      <c r="A113" s="47">
        <f>IFERROR(__xludf.DUMMYFUNCTION("""COMPUTED_VALUE"""),45904.6458333333)</f>
        <v>45904.6458333333</v>
      </c>
      <c r="B113" s="48">
        <f>IFERROR(__xludf.DUMMYFUNCTION("""COMPUTED_VALUE"""),1405.5)</f>
        <v>1405.5</v>
      </c>
      <c r="C113" s="47">
        <f>IFERROR(__xludf.DUMMYFUNCTION("""COMPUTED_VALUE"""),45904.6458333333)</f>
        <v>45904.6458333333</v>
      </c>
      <c r="D113" s="48">
        <f>IFERROR(__xludf.DUMMYFUNCTION("""COMPUTED_VALUE"""),1409.9)</f>
        <v>1409.9</v>
      </c>
      <c r="E113" s="47">
        <f>IFERROR(__xludf.DUMMYFUNCTION("""COMPUTED_VALUE"""),45904.6458333333)</f>
        <v>45904.6458333333</v>
      </c>
      <c r="F113" s="48">
        <f>IFERROR(__xludf.DUMMYFUNCTION("""COMPUTED_VALUE"""),10564859)</f>
        <v>10564859</v>
      </c>
      <c r="G113" s="47">
        <f>IFERROR(__xludf.DUMMYFUNCTION("""COMPUTED_VALUE"""),45904.6458333333)</f>
        <v>45904.6458333333</v>
      </c>
      <c r="H113" s="48">
        <f>IFERROR(__xludf.DUMMYFUNCTION("""COMPUTED_VALUE"""),1415.1)</f>
        <v>1415.1</v>
      </c>
      <c r="I113" s="47">
        <f>IFERROR(__xludf.DUMMYFUNCTION("""COMPUTED_VALUE"""),45904.6458333333)</f>
        <v>45904.6458333333</v>
      </c>
      <c r="J113" s="48">
        <f>IFERROR(__xludf.DUMMYFUNCTION("""COMPUTED_VALUE"""),1401.9)</f>
        <v>1401.9</v>
      </c>
      <c r="K113" s="3">
        <f t="shared" si="2"/>
        <v>0</v>
      </c>
      <c r="L113" s="3">
        <f t="shared" si="3"/>
        <v>0</v>
      </c>
    </row>
    <row r="114" customHeight="1" spans="1:12">
      <c r="A114" s="47">
        <f>IFERROR(__xludf.DUMMYFUNCTION("""COMPUTED_VALUE"""),45905.6458333333)</f>
        <v>45905.6458333333</v>
      </c>
      <c r="B114" s="48">
        <f>IFERROR(__xludf.DUMMYFUNCTION("""COMPUTED_VALUE"""),1402.8)</f>
        <v>1402.8</v>
      </c>
      <c r="C114" s="47">
        <f>IFERROR(__xludf.DUMMYFUNCTION("""COMPUTED_VALUE"""),45905.6458333333)</f>
        <v>45905.6458333333</v>
      </c>
      <c r="D114" s="48">
        <f>IFERROR(__xludf.DUMMYFUNCTION("""COMPUTED_VALUE"""),1411)</f>
        <v>1411</v>
      </c>
      <c r="E114" s="47">
        <f>IFERROR(__xludf.DUMMYFUNCTION("""COMPUTED_VALUE"""),45905.6458333333)</f>
        <v>45905.6458333333</v>
      </c>
      <c r="F114" s="48">
        <f>IFERROR(__xludf.DUMMYFUNCTION("""COMPUTED_VALUE"""),6621077)</f>
        <v>6621077</v>
      </c>
      <c r="G114" s="47">
        <f>IFERROR(__xludf.DUMMYFUNCTION("""COMPUTED_VALUE"""),45905.6458333333)</f>
        <v>45905.6458333333</v>
      </c>
      <c r="H114" s="48">
        <f>IFERROR(__xludf.DUMMYFUNCTION("""COMPUTED_VALUE"""),1411.5)</f>
        <v>1411.5</v>
      </c>
      <c r="I114" s="47">
        <f>IFERROR(__xludf.DUMMYFUNCTION("""COMPUTED_VALUE"""),45905.6458333333)</f>
        <v>45905.6458333333</v>
      </c>
      <c r="J114" s="48">
        <f>IFERROR(__xludf.DUMMYFUNCTION("""COMPUTED_VALUE"""),1387.7)</f>
        <v>1387.7</v>
      </c>
      <c r="K114" s="3">
        <f t="shared" si="2"/>
        <v>0</v>
      </c>
      <c r="L114" s="3">
        <f t="shared" si="3"/>
        <v>0</v>
      </c>
    </row>
    <row r="115" customHeight="1" spans="1:12">
      <c r="A115" s="47">
        <f>IFERROR(__xludf.DUMMYFUNCTION("""COMPUTED_VALUE"""),45908.6458333333)</f>
        <v>45908.6458333333</v>
      </c>
      <c r="B115" s="48">
        <f>IFERROR(__xludf.DUMMYFUNCTION("""COMPUTED_VALUE"""),1402.7)</f>
        <v>1402.7</v>
      </c>
      <c r="C115" s="47">
        <f>IFERROR(__xludf.DUMMYFUNCTION("""COMPUTED_VALUE"""),45908.6458333333)</f>
        <v>45908.6458333333</v>
      </c>
      <c r="D115" s="48">
        <f>IFERROR(__xludf.DUMMYFUNCTION("""COMPUTED_VALUE"""),1402.2)</f>
        <v>1402.2</v>
      </c>
      <c r="E115" s="47">
        <f>IFERROR(__xludf.DUMMYFUNCTION("""COMPUTED_VALUE"""),45908.6458333333)</f>
        <v>45908.6458333333</v>
      </c>
      <c r="F115" s="48">
        <f>IFERROR(__xludf.DUMMYFUNCTION("""COMPUTED_VALUE"""),5880943)</f>
        <v>5880943</v>
      </c>
      <c r="G115" s="47">
        <f>IFERROR(__xludf.DUMMYFUNCTION("""COMPUTED_VALUE"""),45908.6458333333)</f>
        <v>45908.6458333333</v>
      </c>
      <c r="H115" s="48">
        <f>IFERROR(__xludf.DUMMYFUNCTION("""COMPUTED_VALUE"""),1410.6)</f>
        <v>1410.6</v>
      </c>
      <c r="I115" s="47">
        <f>IFERROR(__xludf.DUMMYFUNCTION("""COMPUTED_VALUE"""),45908.6458333333)</f>
        <v>45908.6458333333</v>
      </c>
      <c r="J115" s="48">
        <f>IFERROR(__xludf.DUMMYFUNCTION("""COMPUTED_VALUE"""),1397.6)</f>
        <v>1397.6</v>
      </c>
      <c r="K115" s="3">
        <f t="shared" si="2"/>
        <v>0</v>
      </c>
      <c r="L115" s="3">
        <f t="shared" si="3"/>
        <v>0</v>
      </c>
    </row>
    <row r="116" customHeight="1" spans="1:12">
      <c r="A116" s="47">
        <f>IFERROR(__xludf.DUMMYFUNCTION("""COMPUTED_VALUE"""),45909.6458333333)</f>
        <v>45909.6458333333</v>
      </c>
      <c r="B116" s="48">
        <f>IFERROR(__xludf.DUMMYFUNCTION("""COMPUTED_VALUE"""),1403.7)</f>
        <v>1403.7</v>
      </c>
      <c r="C116" s="47">
        <f>IFERROR(__xludf.DUMMYFUNCTION("""COMPUTED_VALUE"""),45909.6458333333)</f>
        <v>45909.6458333333</v>
      </c>
      <c r="D116" s="48">
        <f>IFERROR(__xludf.DUMMYFUNCTION("""COMPUTED_VALUE"""),1399)</f>
        <v>1399</v>
      </c>
      <c r="E116" s="47">
        <f>IFERROR(__xludf.DUMMYFUNCTION("""COMPUTED_VALUE"""),45909.6458333333)</f>
        <v>45909.6458333333</v>
      </c>
      <c r="F116" s="48">
        <f>IFERROR(__xludf.DUMMYFUNCTION("""COMPUTED_VALUE"""),6470679)</f>
        <v>6470679</v>
      </c>
      <c r="G116" s="47">
        <f>IFERROR(__xludf.DUMMYFUNCTION("""COMPUTED_VALUE"""),45909.6458333333)</f>
        <v>45909.6458333333</v>
      </c>
      <c r="H116" s="48">
        <f>IFERROR(__xludf.DUMMYFUNCTION("""COMPUTED_VALUE"""),1407.5)</f>
        <v>1407.5</v>
      </c>
      <c r="I116" s="47">
        <f>IFERROR(__xludf.DUMMYFUNCTION("""COMPUTED_VALUE"""),45909.6458333333)</f>
        <v>45909.6458333333</v>
      </c>
      <c r="J116" s="48">
        <f>IFERROR(__xludf.DUMMYFUNCTION("""COMPUTED_VALUE"""),1395.2)</f>
        <v>1395.2</v>
      </c>
      <c r="K116" s="3">
        <f t="shared" si="2"/>
        <v>0</v>
      </c>
      <c r="L116" s="3">
        <f t="shared" si="3"/>
        <v>0</v>
      </c>
    </row>
    <row r="117" customHeight="1" spans="1:12">
      <c r="A117" s="47">
        <f>IFERROR(__xludf.DUMMYFUNCTION("""COMPUTED_VALUE"""),45910.6458333333)</f>
        <v>45910.6458333333</v>
      </c>
      <c r="B117" s="48">
        <f>IFERROR(__xludf.DUMMYFUNCTION("""COMPUTED_VALUE"""),1403.9)</f>
        <v>1403.9</v>
      </c>
      <c r="C117" s="47">
        <f>IFERROR(__xludf.DUMMYFUNCTION("""COMPUTED_VALUE"""),45910.6458333333)</f>
        <v>45910.6458333333</v>
      </c>
      <c r="D117" s="48">
        <f>IFERROR(__xludf.DUMMYFUNCTION("""COMPUTED_VALUE"""),1410)</f>
        <v>1410</v>
      </c>
      <c r="E117" s="47">
        <f>IFERROR(__xludf.DUMMYFUNCTION("""COMPUTED_VALUE"""),45910.6458333333)</f>
        <v>45910.6458333333</v>
      </c>
      <c r="F117" s="48">
        <f>IFERROR(__xludf.DUMMYFUNCTION("""COMPUTED_VALUE"""),7452347)</f>
        <v>7452347</v>
      </c>
      <c r="G117" s="47">
        <f>IFERROR(__xludf.DUMMYFUNCTION("""COMPUTED_VALUE"""),45910.6458333333)</f>
        <v>45910.6458333333</v>
      </c>
      <c r="H117" s="48">
        <f>IFERROR(__xludf.DUMMYFUNCTION("""COMPUTED_VALUE"""),1413.7)</f>
        <v>1413.7</v>
      </c>
      <c r="I117" s="47">
        <f>IFERROR(__xludf.DUMMYFUNCTION("""COMPUTED_VALUE"""),45910.6458333333)</f>
        <v>45910.6458333333</v>
      </c>
      <c r="J117" s="48">
        <f>IFERROR(__xludf.DUMMYFUNCTION("""COMPUTED_VALUE"""),1402.1)</f>
        <v>1402.1</v>
      </c>
      <c r="K117" s="3">
        <f t="shared" si="2"/>
        <v>0</v>
      </c>
      <c r="L117" s="3">
        <f t="shared" si="3"/>
        <v>0</v>
      </c>
    </row>
    <row r="118" customHeight="1" spans="1:12">
      <c r="A118" s="47">
        <f>IFERROR(__xludf.DUMMYFUNCTION("""COMPUTED_VALUE"""),45911.6458333333)</f>
        <v>45911.6458333333</v>
      </c>
      <c r="B118" s="48">
        <f>IFERROR(__xludf.DUMMYFUNCTION("""COMPUTED_VALUE"""),1401.6)</f>
        <v>1401.6</v>
      </c>
      <c r="C118" s="47">
        <f>IFERROR(__xludf.DUMMYFUNCTION("""COMPUTED_VALUE"""),45911.6458333333)</f>
        <v>45911.6458333333</v>
      </c>
      <c r="D118" s="48">
        <f>IFERROR(__xludf.DUMMYFUNCTION("""COMPUTED_VALUE"""),1398)</f>
        <v>1398</v>
      </c>
      <c r="E118" s="47">
        <f>IFERROR(__xludf.DUMMYFUNCTION("""COMPUTED_VALUE"""),45911.6458333333)</f>
        <v>45911.6458333333</v>
      </c>
      <c r="F118" s="48">
        <f>IFERROR(__xludf.DUMMYFUNCTION("""COMPUTED_VALUE"""),10192026)</f>
        <v>10192026</v>
      </c>
      <c r="G118" s="47">
        <f>IFERROR(__xludf.DUMMYFUNCTION("""COMPUTED_VALUE"""),45911.6458333333)</f>
        <v>45911.6458333333</v>
      </c>
      <c r="H118" s="48">
        <f>IFERROR(__xludf.DUMMYFUNCTION("""COMPUTED_VALUE"""),1408)</f>
        <v>1408</v>
      </c>
      <c r="I118" s="47">
        <f>IFERROR(__xludf.DUMMYFUNCTION("""COMPUTED_VALUE"""),45911.6458333333)</f>
        <v>45911.6458333333</v>
      </c>
      <c r="J118" s="48">
        <f>IFERROR(__xludf.DUMMYFUNCTION("""COMPUTED_VALUE"""),1396)</f>
        <v>1396</v>
      </c>
      <c r="K118" s="3">
        <f t="shared" si="2"/>
        <v>0</v>
      </c>
      <c r="L118" s="3">
        <f t="shared" si="3"/>
        <v>0</v>
      </c>
    </row>
    <row r="119" customHeight="1" spans="1:12">
      <c r="A119" s="47">
        <f>IFERROR(__xludf.DUMMYFUNCTION("""COMPUTED_VALUE"""),45912.6458333333)</f>
        <v>45912.6458333333</v>
      </c>
      <c r="B119" s="48">
        <f>IFERROR(__xludf.DUMMYFUNCTION("""COMPUTED_VALUE"""),1417.7)</f>
        <v>1417.7</v>
      </c>
      <c r="C119" s="47">
        <f>IFERROR(__xludf.DUMMYFUNCTION("""COMPUTED_VALUE"""),45912.6458333333)</f>
        <v>45912.6458333333</v>
      </c>
      <c r="D119" s="48">
        <f>IFERROR(__xludf.DUMMYFUNCTION("""COMPUTED_VALUE"""),1405.1)</f>
        <v>1405.1</v>
      </c>
      <c r="E119" s="47">
        <f>IFERROR(__xludf.DUMMYFUNCTION("""COMPUTED_VALUE"""),45912.6458333333)</f>
        <v>45912.6458333333</v>
      </c>
      <c r="F119" s="48">
        <f>IFERROR(__xludf.DUMMYFUNCTION("""COMPUTED_VALUE"""),7770038)</f>
        <v>7770038</v>
      </c>
      <c r="G119" s="47">
        <f>IFERROR(__xludf.DUMMYFUNCTION("""COMPUTED_VALUE"""),45912.6458333333)</f>
        <v>45912.6458333333</v>
      </c>
      <c r="H119" s="48">
        <f>IFERROR(__xludf.DUMMYFUNCTION("""COMPUTED_VALUE"""),1419.7)</f>
        <v>1419.7</v>
      </c>
      <c r="I119" s="47">
        <f>IFERROR(__xludf.DUMMYFUNCTION("""COMPUTED_VALUE"""),45912.6458333333)</f>
        <v>45912.6458333333</v>
      </c>
      <c r="J119" s="48">
        <f>IFERROR(__xludf.DUMMYFUNCTION("""COMPUTED_VALUE"""),1400.1)</f>
        <v>1400.1</v>
      </c>
      <c r="K119" s="3">
        <f t="shared" si="2"/>
        <v>0</v>
      </c>
      <c r="L119" s="3">
        <f t="shared" si="3"/>
        <v>0</v>
      </c>
    </row>
    <row r="120" customHeight="1" spans="1:12">
      <c r="A120" s="47">
        <f>IFERROR(__xludf.DUMMYFUNCTION("""COMPUTED_VALUE"""),45915.6458333333)</f>
        <v>45915.6458333333</v>
      </c>
      <c r="B120" s="48">
        <f>IFERROR(__xludf.DUMMYFUNCTION("""COMPUTED_VALUE"""),1419.4)</f>
        <v>1419.4</v>
      </c>
      <c r="C120" s="47">
        <f>IFERROR(__xludf.DUMMYFUNCTION("""COMPUTED_VALUE"""),45915.6458333333)</f>
        <v>45915.6458333333</v>
      </c>
      <c r="D120" s="48">
        <f>IFERROR(__xludf.DUMMYFUNCTION("""COMPUTED_VALUE"""),1422)</f>
        <v>1422</v>
      </c>
      <c r="E120" s="47">
        <f>IFERROR(__xludf.DUMMYFUNCTION("""COMPUTED_VALUE"""),45915.6458333333)</f>
        <v>45915.6458333333</v>
      </c>
      <c r="F120" s="48">
        <f>IFERROR(__xludf.DUMMYFUNCTION("""COMPUTED_VALUE"""),5845637)</f>
        <v>5845637</v>
      </c>
      <c r="G120" s="47">
        <f>IFERROR(__xludf.DUMMYFUNCTION("""COMPUTED_VALUE"""),45915.6458333333)</f>
        <v>45915.6458333333</v>
      </c>
      <c r="H120" s="48">
        <f>IFERROR(__xludf.DUMMYFUNCTION("""COMPUTED_VALUE"""),1426.8)</f>
        <v>1426.8</v>
      </c>
      <c r="I120" s="47">
        <f>IFERROR(__xludf.DUMMYFUNCTION("""COMPUTED_VALUE"""),45915.6458333333)</f>
        <v>45915.6458333333</v>
      </c>
      <c r="J120" s="48">
        <f>IFERROR(__xludf.DUMMYFUNCTION("""COMPUTED_VALUE"""),1416.3)</f>
        <v>1416.3</v>
      </c>
      <c r="K120" s="3">
        <f t="shared" si="2"/>
        <v>0</v>
      </c>
      <c r="L120" s="3">
        <f t="shared" si="3"/>
        <v>0</v>
      </c>
    </row>
    <row r="121" customHeight="1" spans="1:12">
      <c r="A121" s="47">
        <f>IFERROR(__xludf.DUMMYFUNCTION("""COMPUTED_VALUE"""),45916.6458333333)</f>
        <v>45916.6458333333</v>
      </c>
      <c r="B121" s="48">
        <f>IFERROR(__xludf.DUMMYFUNCTION("""COMPUTED_VALUE"""),1421.6)</f>
        <v>1421.6</v>
      </c>
      <c r="C121" s="47">
        <f>IFERROR(__xludf.DUMMYFUNCTION("""COMPUTED_VALUE"""),45916.6458333333)</f>
        <v>45916.6458333333</v>
      </c>
      <c r="D121" s="48">
        <f>IFERROR(__xludf.DUMMYFUNCTION("""COMPUTED_VALUE"""),1414)</f>
        <v>1414</v>
      </c>
      <c r="E121" s="47">
        <f>IFERROR(__xludf.DUMMYFUNCTION("""COMPUTED_VALUE"""),45916.6458333333)</f>
        <v>45916.6458333333</v>
      </c>
      <c r="F121" s="48">
        <f>IFERROR(__xludf.DUMMYFUNCTION("""COMPUTED_VALUE"""),8213151)</f>
        <v>8213151</v>
      </c>
      <c r="G121" s="47">
        <f>IFERROR(__xludf.DUMMYFUNCTION("""COMPUTED_VALUE"""),45916.6458333333)</f>
        <v>45916.6458333333</v>
      </c>
      <c r="H121" s="48">
        <f>IFERROR(__xludf.DUMMYFUNCTION("""COMPUTED_VALUE"""),1424.9)</f>
        <v>1424.9</v>
      </c>
      <c r="I121" s="47">
        <f>IFERROR(__xludf.DUMMYFUNCTION("""COMPUTED_VALUE"""),45916.6458333333)</f>
        <v>45916.6458333333</v>
      </c>
      <c r="J121" s="48">
        <f>IFERROR(__xludf.DUMMYFUNCTION("""COMPUTED_VALUE"""),1413.7)</f>
        <v>1413.7</v>
      </c>
      <c r="K121" s="3">
        <f t="shared" si="2"/>
        <v>0</v>
      </c>
      <c r="L121" s="3">
        <f t="shared" si="3"/>
        <v>0</v>
      </c>
    </row>
    <row r="122" customHeight="1" spans="1:12">
      <c r="A122" s="47">
        <f>IFERROR(__xludf.DUMMYFUNCTION("""COMPUTED_VALUE"""),45917.6458333333)</f>
        <v>45917.6458333333</v>
      </c>
      <c r="B122" s="48">
        <f>IFERROR(__xludf.DUMMYFUNCTION("""COMPUTED_VALUE"""),1419.2)</f>
        <v>1419.2</v>
      </c>
      <c r="C122" s="47">
        <f>IFERROR(__xludf.DUMMYFUNCTION("""COMPUTED_VALUE"""),45917.6458333333)</f>
        <v>45917.6458333333</v>
      </c>
      <c r="D122" s="48">
        <f>IFERROR(__xludf.DUMMYFUNCTION("""COMPUTED_VALUE"""),1420.1)</f>
        <v>1420.1</v>
      </c>
      <c r="E122" s="47">
        <f>IFERROR(__xludf.DUMMYFUNCTION("""COMPUTED_VALUE"""),45917.6458333333)</f>
        <v>45917.6458333333</v>
      </c>
      <c r="F122" s="48">
        <f>IFERROR(__xludf.DUMMYFUNCTION("""COMPUTED_VALUE"""),7484283)</f>
        <v>7484283</v>
      </c>
      <c r="G122" s="47">
        <f>IFERROR(__xludf.DUMMYFUNCTION("""COMPUTED_VALUE"""),45917.6458333333)</f>
        <v>45917.6458333333</v>
      </c>
      <c r="H122" s="48">
        <f>IFERROR(__xludf.DUMMYFUNCTION("""COMPUTED_VALUE"""),1426.1)</f>
        <v>1426.1</v>
      </c>
      <c r="I122" s="47">
        <f>IFERROR(__xludf.DUMMYFUNCTION("""COMPUTED_VALUE"""),45917.6458333333)</f>
        <v>45917.6458333333</v>
      </c>
      <c r="J122" s="48">
        <f>IFERROR(__xludf.DUMMYFUNCTION("""COMPUTED_VALUE"""),1416.4)</f>
        <v>1416.4</v>
      </c>
      <c r="K122" s="3">
        <f t="shared" si="2"/>
        <v>0</v>
      </c>
      <c r="L122" s="3">
        <f t="shared" si="3"/>
        <v>0</v>
      </c>
    </row>
    <row r="123" customHeight="1" spans="1:12">
      <c r="A123" s="47">
        <f>IFERROR(__xludf.DUMMYFUNCTION("""COMPUTED_VALUE"""),45918.6458333333)</f>
        <v>45918.6458333333</v>
      </c>
      <c r="B123" s="48">
        <f>IFERROR(__xludf.DUMMYFUNCTION("""COMPUTED_VALUE"""),1421.7)</f>
        <v>1421.7</v>
      </c>
      <c r="C123" s="47">
        <f>IFERROR(__xludf.DUMMYFUNCTION("""COMPUTED_VALUE"""),45918.6458333333)</f>
        <v>45918.6458333333</v>
      </c>
      <c r="D123" s="48">
        <f>IFERROR(__xludf.DUMMYFUNCTION("""COMPUTED_VALUE"""),1431.1)</f>
        <v>1431.1</v>
      </c>
      <c r="E123" s="47">
        <f>IFERROR(__xludf.DUMMYFUNCTION("""COMPUTED_VALUE"""),45918.6458333333)</f>
        <v>45918.6458333333</v>
      </c>
      <c r="F123" s="48">
        <f>IFERROR(__xludf.DUMMYFUNCTION("""COMPUTED_VALUE"""),8130537)</f>
        <v>8130537</v>
      </c>
      <c r="G123" s="47">
        <f>IFERROR(__xludf.DUMMYFUNCTION("""COMPUTED_VALUE"""),45918.6458333333)</f>
        <v>45918.6458333333</v>
      </c>
      <c r="H123" s="48">
        <f>IFERROR(__xludf.DUMMYFUNCTION("""COMPUTED_VALUE"""),1432.8)</f>
        <v>1432.8</v>
      </c>
      <c r="I123" s="47">
        <f>IFERROR(__xludf.DUMMYFUNCTION("""COMPUTED_VALUE"""),45918.6458333333)</f>
        <v>45918.6458333333</v>
      </c>
      <c r="J123" s="48">
        <f>IFERROR(__xludf.DUMMYFUNCTION("""COMPUTED_VALUE"""),1415.3)</f>
        <v>1415.3</v>
      </c>
      <c r="K123" s="3">
        <f t="shared" si="2"/>
        <v>1421.7</v>
      </c>
      <c r="L123" s="3">
        <f t="shared" si="3"/>
        <v>0</v>
      </c>
    </row>
    <row r="124" customHeight="1" spans="1:12">
      <c r="A124" s="47">
        <f>IFERROR(__xludf.DUMMYFUNCTION("""COMPUTED_VALUE"""),45919.6458333333)</f>
        <v>45919.6458333333</v>
      </c>
      <c r="B124" s="48">
        <f>IFERROR(__xludf.DUMMYFUNCTION("""COMPUTED_VALUE"""),1402.2)</f>
        <v>1402.2</v>
      </c>
      <c r="C124" s="47">
        <f>IFERROR(__xludf.DUMMYFUNCTION("""COMPUTED_VALUE"""),45919.6458333333)</f>
        <v>45919.6458333333</v>
      </c>
      <c r="D124" s="48">
        <f>IFERROR(__xludf.DUMMYFUNCTION("""COMPUTED_VALUE"""),1416.1)</f>
        <v>1416.1</v>
      </c>
      <c r="E124" s="47">
        <f>IFERROR(__xludf.DUMMYFUNCTION("""COMPUTED_VALUE"""),45919.6458333333)</f>
        <v>45919.6458333333</v>
      </c>
      <c r="F124" s="48">
        <f>IFERROR(__xludf.DUMMYFUNCTION("""COMPUTED_VALUE"""),13457344)</f>
        <v>13457344</v>
      </c>
      <c r="G124" s="47">
        <f>IFERROR(__xludf.DUMMYFUNCTION("""COMPUTED_VALUE"""),45919.6458333333)</f>
        <v>45919.6458333333</v>
      </c>
      <c r="H124" s="48">
        <f>IFERROR(__xludf.DUMMYFUNCTION("""COMPUTED_VALUE"""),1418)</f>
        <v>1418</v>
      </c>
      <c r="I124" s="47">
        <f>IFERROR(__xludf.DUMMYFUNCTION("""COMPUTED_VALUE"""),45919.6458333333)</f>
        <v>45919.6458333333</v>
      </c>
      <c r="J124" s="48">
        <f>IFERROR(__xludf.DUMMYFUNCTION("""COMPUTED_VALUE"""),1400.2)</f>
        <v>1400.2</v>
      </c>
      <c r="K124" s="3">
        <f t="shared" si="2"/>
        <v>0</v>
      </c>
      <c r="L124" s="3">
        <f t="shared" si="3"/>
        <v>0</v>
      </c>
    </row>
    <row r="125" customHeight="1" spans="1:12">
      <c r="A125" s="47">
        <f>IFERROR(__xludf.DUMMYFUNCTION("""COMPUTED_VALUE"""),45922.6458333333)</f>
        <v>45922.6458333333</v>
      </c>
      <c r="B125" s="48">
        <f>IFERROR(__xludf.DUMMYFUNCTION("""COMPUTED_VALUE"""),1401.5)</f>
        <v>1401.5</v>
      </c>
      <c r="C125" s="47">
        <f>IFERROR(__xludf.DUMMYFUNCTION("""COMPUTED_VALUE"""),45922.6458333333)</f>
        <v>45922.6458333333</v>
      </c>
      <c r="D125" s="48">
        <f>IFERROR(__xludf.DUMMYFUNCTION("""COMPUTED_VALUE"""),1403.9)</f>
        <v>1403.9</v>
      </c>
      <c r="E125" s="47">
        <f>IFERROR(__xludf.DUMMYFUNCTION("""COMPUTED_VALUE"""),45922.6458333333)</f>
        <v>45922.6458333333</v>
      </c>
      <c r="F125" s="48">
        <f>IFERROR(__xludf.DUMMYFUNCTION("""COMPUTED_VALUE"""),8847948)</f>
        <v>8847948</v>
      </c>
      <c r="G125" s="47">
        <f>IFERROR(__xludf.DUMMYFUNCTION("""COMPUTED_VALUE"""),45922.6458333333)</f>
        <v>45922.6458333333</v>
      </c>
      <c r="H125" s="48">
        <f>IFERROR(__xludf.DUMMYFUNCTION("""COMPUTED_VALUE"""),1409.9)</f>
        <v>1409.9</v>
      </c>
      <c r="I125" s="47">
        <f>IFERROR(__xludf.DUMMYFUNCTION("""COMPUTED_VALUE"""),45922.6458333333)</f>
        <v>45922.6458333333</v>
      </c>
      <c r="J125" s="48">
        <f>IFERROR(__xludf.DUMMYFUNCTION("""COMPUTED_VALUE"""),1397.2)</f>
        <v>1397.2</v>
      </c>
      <c r="K125" s="3">
        <f t="shared" si="2"/>
        <v>0</v>
      </c>
      <c r="L125" s="3">
        <f t="shared" si="3"/>
        <v>0</v>
      </c>
    </row>
    <row r="126" customHeight="1" spans="1:10">
      <c r="A126" s="47">
        <f>IFERROR(__xludf.DUMMYFUNCTION("""COMPUTED_VALUE"""),45923.6458333333)</f>
        <v>45923.6458333333</v>
      </c>
      <c r="B126" s="48">
        <f>IFERROR(__xludf.DUMMYFUNCTION("""COMPUTED_VALUE"""),1394.3)</f>
        <v>1394.3</v>
      </c>
      <c r="C126" s="47">
        <f>IFERROR(__xludf.DUMMYFUNCTION("""COMPUTED_VALUE"""),45923.6458333333)</f>
        <v>45923.6458333333</v>
      </c>
      <c r="D126" s="48">
        <f>IFERROR(__xludf.DUMMYFUNCTION("""COMPUTED_VALUE"""),1391)</f>
        <v>1391</v>
      </c>
      <c r="E126" s="47">
        <f>IFERROR(__xludf.DUMMYFUNCTION("""COMPUTED_VALUE"""),45923.6458333333)</f>
        <v>45923.6458333333</v>
      </c>
      <c r="F126" s="48">
        <f>IFERROR(__xludf.DUMMYFUNCTION("""COMPUTED_VALUE"""),12827524)</f>
        <v>12827524</v>
      </c>
      <c r="G126" s="47">
        <f>IFERROR(__xludf.DUMMYFUNCTION("""COMPUTED_VALUE"""),45923.6458333333)</f>
        <v>45923.6458333333</v>
      </c>
      <c r="H126" s="48">
        <f>IFERROR(__xludf.DUMMYFUNCTION("""COMPUTED_VALUE"""),1403.3)</f>
        <v>1403.3</v>
      </c>
      <c r="I126" s="47">
        <f>IFERROR(__xludf.DUMMYFUNCTION("""COMPUTED_VALUE"""),45923.6458333333)</f>
        <v>45923.6458333333</v>
      </c>
      <c r="J126" s="48">
        <f>IFERROR(__xludf.DUMMYFUNCTION("""COMPUTED_VALUE"""),1391)</f>
        <v>1391</v>
      </c>
    </row>
    <row r="127" customHeight="1" spans="1:10">
      <c r="A127" s="47">
        <f>IFERROR(__xludf.DUMMYFUNCTION("""COMPUTED_VALUE"""),45924.6458333333)</f>
        <v>45924.6458333333</v>
      </c>
      <c r="B127" s="48">
        <f>IFERROR(__xludf.DUMMYFUNCTION("""COMPUTED_VALUE"""),1382.7)</f>
        <v>1382.7</v>
      </c>
      <c r="C127" s="47">
        <f>IFERROR(__xludf.DUMMYFUNCTION("""COMPUTED_VALUE"""),45924.6458333333)</f>
        <v>45924.6458333333</v>
      </c>
      <c r="D127" s="48">
        <f>IFERROR(__xludf.DUMMYFUNCTION("""COMPUTED_VALUE"""),1386.4)</f>
        <v>1386.4</v>
      </c>
      <c r="E127" s="47">
        <f>IFERROR(__xludf.DUMMYFUNCTION("""COMPUTED_VALUE"""),45924.6458333333)</f>
        <v>45924.6458333333</v>
      </c>
      <c r="F127" s="48">
        <f>IFERROR(__xludf.DUMMYFUNCTION("""COMPUTED_VALUE"""),9735678)</f>
        <v>9735678</v>
      </c>
      <c r="G127" s="47">
        <f>IFERROR(__xludf.DUMMYFUNCTION("""COMPUTED_VALUE"""),45924.6458333333)</f>
        <v>45924.6458333333</v>
      </c>
      <c r="H127" s="48">
        <f>IFERROR(__xludf.DUMMYFUNCTION("""COMPUTED_VALUE"""),1390.9)</f>
        <v>1390.9</v>
      </c>
      <c r="I127" s="47">
        <f>IFERROR(__xludf.DUMMYFUNCTION("""COMPUTED_VALUE"""),45924.6458333333)</f>
        <v>45924.6458333333</v>
      </c>
      <c r="J127" s="48">
        <f>IFERROR(__xludf.DUMMYFUNCTION("""COMPUTED_VALUE"""),1376.5)</f>
        <v>1376.5</v>
      </c>
    </row>
    <row r="128" customHeight="1" spans="1:10">
      <c r="A128" s="47">
        <f>IFERROR(__xludf.DUMMYFUNCTION("""COMPUTED_VALUE"""),45925.6458333333)</f>
        <v>45925.6458333333</v>
      </c>
      <c r="B128" s="48">
        <f>IFERROR(__xludf.DUMMYFUNCTION("""COMPUTED_VALUE"""),1375.8)</f>
        <v>1375.8</v>
      </c>
      <c r="C128" s="47">
        <f>IFERROR(__xludf.DUMMYFUNCTION("""COMPUTED_VALUE"""),45925.6458333333)</f>
        <v>45925.6458333333</v>
      </c>
      <c r="D128" s="48">
        <f>IFERROR(__xludf.DUMMYFUNCTION("""COMPUTED_VALUE"""),1377)</f>
        <v>1377</v>
      </c>
      <c r="E128" s="47">
        <f>IFERROR(__xludf.DUMMYFUNCTION("""COMPUTED_VALUE"""),45925.6458333333)</f>
        <v>45925.6458333333</v>
      </c>
      <c r="F128" s="48">
        <f>IFERROR(__xludf.DUMMYFUNCTION("""COMPUTED_VALUE"""),21613389)</f>
        <v>21613389</v>
      </c>
      <c r="G128" s="47">
        <f>IFERROR(__xludf.DUMMYFUNCTION("""COMPUTED_VALUE"""),45925.6458333333)</f>
        <v>45925.6458333333</v>
      </c>
      <c r="H128" s="48">
        <f>IFERROR(__xludf.DUMMYFUNCTION("""COMPUTED_VALUE"""),1391.5)</f>
        <v>1391.5</v>
      </c>
      <c r="I128" s="47">
        <f>IFERROR(__xludf.DUMMYFUNCTION("""COMPUTED_VALUE"""),45925.6458333333)</f>
        <v>45925.6458333333</v>
      </c>
      <c r="J128" s="48">
        <f>IFERROR(__xludf.DUMMYFUNCTION("""COMPUTED_VALUE"""),1371.8)</f>
        <v>1371.8</v>
      </c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IFERROR(__xludf.DUMMYFUNCTION("""COMPUTED_VALUE"""),1359.6)</f>
        <v>1359.6</v>
      </c>
      <c r="C129" s="47">
        <f>IFERROR(__xludf.DUMMYFUNCTION("""COMPUTED_VALUE"""),45926.6458333333)</f>
        <v>45926.6458333333</v>
      </c>
      <c r="D129" s="48">
        <f>IFERROR(__xludf.DUMMYFUNCTION("""COMPUTED_VALUE"""),1368)</f>
        <v>1368</v>
      </c>
      <c r="E129" s="47">
        <f>IFERROR(__xludf.DUMMYFUNCTION("""COMPUTED_VALUE"""),45926.6458333333)</f>
        <v>45926.6458333333</v>
      </c>
      <c r="F129" s="48">
        <f>IFERROR(__xludf.DUMMYFUNCTION("""COMPUTED_VALUE"""),18342280)</f>
        <v>18342280</v>
      </c>
      <c r="G129" s="47">
        <f>IFERROR(__xludf.DUMMYFUNCTION("""COMPUTED_VALUE"""),45926.6458333333)</f>
        <v>45926.6458333333</v>
      </c>
      <c r="H129" s="48">
        <f>IFERROR(__xludf.DUMMYFUNCTION("""COMPUTED_VALUE"""),1372.7)</f>
        <v>1372.7</v>
      </c>
      <c r="I129" s="47">
        <f>IFERROR(__xludf.DUMMYFUNCTION("""COMPUTED_VALUE"""),45926.6458333333)</f>
        <v>45926.6458333333</v>
      </c>
      <c r="J129" s="48">
        <f>IFERROR(__xludf.DUMMYFUNCTION("""COMPUTED_VALUE"""),1357)</f>
        <v>1357</v>
      </c>
    </row>
  </sheetData>
  <mergeCells count="3">
    <mergeCell ref="M1:P1"/>
    <mergeCell ref="A3:F3"/>
    <mergeCell ref="AB4:AE4"/>
  </mergeCells>
  <conditionalFormatting sqref="A1:A2 A4">
    <cfRule type="notContainsBlanks" dxfId="0" priority="1">
      <formula>LEN(TRIM(A1))&gt;0</formula>
    </cfRule>
  </conditionalFormatting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16">
      <c r="A1" s="49" t="s">
        <v>264</v>
      </c>
      <c r="B1" s="50">
        <f ca="1">TODAY()</f>
        <v>45927</v>
      </c>
      <c r="C1" s="51">
        <f ca="1">DAY(B1)</f>
        <v>27</v>
      </c>
      <c r="D1" s="51">
        <f ca="1" t="shared" ref="D1:D2" si="0">MONTH(B1)</f>
        <v>9</v>
      </c>
      <c r="E1" s="51">
        <f ca="1" t="shared" ref="E1:E2" si="1">YEAR(B1)</f>
        <v>2025</v>
      </c>
      <c r="F1" s="52"/>
      <c r="G1" s="53"/>
      <c r="H1" s="51"/>
      <c r="I1" s="51"/>
      <c r="J1" s="51"/>
      <c r="K1" s="51"/>
      <c r="L1" s="51"/>
      <c r="M1" s="62" t="s">
        <v>265</v>
      </c>
      <c r="N1" s="19"/>
      <c r="O1" s="19"/>
      <c r="P1" s="19"/>
    </row>
    <row r="2" customHeight="1" spans="1:20">
      <c r="A2" s="49" t="s">
        <v>266</v>
      </c>
      <c r="B2" s="50">
        <f ca="1">EDATE(TODAY(),-6)</f>
        <v>45743</v>
      </c>
      <c r="C2" s="51">
        <f ca="1">DAY(B2)</f>
        <v>27</v>
      </c>
      <c r="D2" s="51">
        <f ca="1" t="shared" si="0"/>
        <v>3</v>
      </c>
      <c r="E2" s="51">
        <f ca="1" t="shared" si="1"/>
        <v>2025</v>
      </c>
      <c r="F2" s="52"/>
      <c r="G2" s="53"/>
      <c r="H2" s="51"/>
      <c r="I2" s="51"/>
      <c r="J2" s="51"/>
      <c r="K2" s="51"/>
      <c r="L2" s="51"/>
      <c r="M2" s="63" t="str">
        <f>IFERROR(__xludf.DUMMYFUNCTION("GOOGLEFINANCE(L3, ""close"", WORKDAY(TODAY(), -1), WORKDAY(TODAY(), -1))"),"Date")</f>
        <v>Date</v>
      </c>
      <c r="N2" s="64" t="str">
        <f>IFERROR(__xludf.DUMMYFUNCTION("""COMPUTED_VALUE"""),"Close")</f>
        <v>Close</v>
      </c>
      <c r="O2" s="63" t="str">
        <f>IFERROR(__xludf.DUMMYFUNCTION("GOOGLEFINANCE(L3, ""open"", WORKDAY(TODAY(), -1), WORKDAY(TODAY(), -1))"),"Date")</f>
        <v>Date</v>
      </c>
      <c r="P2" s="64" t="str">
        <f>IFERROR(__xludf.DUMMYFUNCTION("""COMPUTED_VALUE"""),"Open")</f>
        <v>Open</v>
      </c>
      <c r="Q2" s="72" t="str">
        <f>IFERROR(__xludf.DUMMYFUNCTION("GOOGLEFINANCE(L3, ""hIGH"", WORKDAY(TODAY(), -1), WORKDAY(TODAY(), -1))"),"Date")</f>
        <v>Date</v>
      </c>
      <c r="R2" s="48" t="str">
        <f>IFERROR(__xludf.DUMMYFUNCTION("""COMPUTED_VALUE"""),"High")</f>
        <v>High</v>
      </c>
      <c r="S2" s="72" t="str">
        <f>IFERROR(__xludf.DUMMYFUNCTION("GOOGLEFINANCE(L3, ""LOW"", WORKDAY(TODAY(), -1), WORKDAY(TODAY(), -1))"),"Date")</f>
        <v>Date</v>
      </c>
      <c r="T2" s="48" t="str">
        <f>IFERROR(__xludf.DUMMYFUNCTION("""COMPUTED_VALUE"""),"Low")</f>
        <v>Low</v>
      </c>
    </row>
    <row r="3" customHeight="1" spans="1:20">
      <c r="A3" s="54" t="s">
        <v>56</v>
      </c>
      <c r="B3" s="7"/>
      <c r="C3" s="7"/>
      <c r="D3" s="7"/>
      <c r="E3" s="7"/>
      <c r="F3" s="8"/>
      <c r="G3" s="55" t="s">
        <v>268</v>
      </c>
      <c r="H3" s="56">
        <f>IFERROR(__xludf.DUMMYFUNCTION("GOOGLEFINANCE(L3, ""price"")"),405)</f>
        <v>405</v>
      </c>
      <c r="I3" s="65" t="s">
        <v>269</v>
      </c>
      <c r="J3" s="56">
        <f>IFERROR(__xludf.DUMMYFUNCTION("GOOGLEFINANCE(L3, ""volume"")"),14414044)</f>
        <v>14414044</v>
      </c>
      <c r="K3" s="66" t="s">
        <v>270</v>
      </c>
      <c r="L3" s="67" t="str">
        <f>Mastersheet!B24</f>
        <v>NSE:ITC</v>
      </c>
      <c r="M3" s="68">
        <f>IFERROR(__xludf.DUMMYFUNCTION("""COMPUTED_VALUE"""),45926.6458333333)</f>
        <v>45926.6458333333</v>
      </c>
      <c r="N3" s="67">
        <f>IFERROR(__xludf.DUMMYFUNCTION("""COMPUTED_VALUE"""),405.1)</f>
        <v>405.1</v>
      </c>
      <c r="O3" s="68">
        <f>IFERROR(__xludf.DUMMYFUNCTION("""COMPUTED_VALUE"""),45926.6458333333)</f>
        <v>45926.6458333333</v>
      </c>
      <c r="P3" s="67">
        <f>IFERROR(__xludf.DUMMYFUNCTION("""COMPUTED_VALUE"""),400.1)</f>
        <v>400.1</v>
      </c>
      <c r="Q3" s="47">
        <f>IFERROR(__xludf.DUMMYFUNCTION("""COMPUTED_VALUE"""),45926.6458333333)</f>
        <v>45926.6458333333</v>
      </c>
      <c r="R3" s="48">
        <f>IFERROR(__xludf.DUMMYFUNCTION("""COMPUTED_VALUE"""),405.9)</f>
        <v>405.9</v>
      </c>
      <c r="S3" s="47">
        <f>IFERROR(__xludf.DUMMYFUNCTION("""COMPUTED_VALUE"""),45926.6458333333)</f>
        <v>45926.6458333333</v>
      </c>
      <c r="T3" s="48">
        <f>IFERROR(__xludf.DUMMYFUNCTION("""COMPUTED_VALUE"""),399.8)</f>
        <v>399.8</v>
      </c>
    </row>
    <row r="4" customHeight="1" spans="1:31">
      <c r="A4" s="57" t="str">
        <f>IFERROR(__xludf.DUMMYFUNCTION("GOOGLEFINANCE(L3, ""CLOSE"",DATE(E2,D2,C2), DATE(E1,D1,C1), ""DAILY"")"),"Date")</f>
        <v>Date</v>
      </c>
      <c r="B4" s="58" t="str">
        <f>IFERROR(__xludf.DUMMYFUNCTION("""COMPUTED_VALUE"""),"Close")</f>
        <v>Close</v>
      </c>
      <c r="C4" s="58" t="str">
        <f>IFERROR(__xludf.DUMMYFUNCTION("GOOGLEFINANCE(L3, ""open"", DATE(E2,D2,C2), DATE(E1,D1,C1), ""DAILY"")"),"Date")</f>
        <v>Date</v>
      </c>
      <c r="D4" s="58" t="str">
        <f>IFERROR(__xludf.DUMMYFUNCTION("""COMPUTED_VALUE"""),"Open")</f>
        <v>Open</v>
      </c>
      <c r="E4" s="59" t="str">
        <f>IFERROR(__xludf.DUMMYFUNCTION("GOOGLEFINANCE(L3, ""VOLUME"", DATE(E2,D2,C2), DATE(E1,D1,C1), ""DAILY"")"),"Date")</f>
        <v>Date</v>
      </c>
      <c r="F4" s="58" t="str">
        <f>IFERROR(__xludf.DUMMYFUNCTION("""COMPUTED_VALUE"""),"Volume")</f>
        <v>Volume</v>
      </c>
      <c r="G4" s="59" t="str">
        <f>IFERROR(__xludf.DUMMYFUNCTION("GOOGLEFINANCE(L3, ""HIGH"", DATE(E2,D2,C2), DATE(E1,D1,C1), ""DAILY"")"),"Date")</f>
        <v>Date</v>
      </c>
      <c r="H4" s="59" t="str">
        <f>IFERROR(__xludf.DUMMYFUNCTION("""COMPUTED_VALUE"""),"High")</f>
        <v>High</v>
      </c>
      <c r="I4" s="59" t="str">
        <f>IFERROR(__xludf.DUMMYFUNCTION("GOOGLEFINANCE(L3, ""LOW"", DATE(E2,D2,C2), DATE(E1,D1,C1), ""DAILY"")"),"Date")</f>
        <v>Date</v>
      </c>
      <c r="J4" s="69" t="str">
        <f>IFERROR(__xludf.DUMMYFUNCTION("""COMPUTED_VALUE"""),"Low")</f>
        <v>Low</v>
      </c>
      <c r="K4" s="70" t="s">
        <v>271</v>
      </c>
      <c r="L4" s="70" t="s">
        <v>272</v>
      </c>
      <c r="M4" s="70" t="s">
        <v>273</v>
      </c>
      <c r="N4" s="70" t="s">
        <v>274</v>
      </c>
      <c r="O4" s="70" t="s">
        <v>275</v>
      </c>
      <c r="P4" s="70" t="s">
        <v>276</v>
      </c>
      <c r="Q4" s="73" t="s">
        <v>277</v>
      </c>
      <c r="R4" s="73" t="s">
        <v>278</v>
      </c>
      <c r="S4" s="73" t="s">
        <v>279</v>
      </c>
      <c r="T4" s="73" t="s">
        <v>280</v>
      </c>
      <c r="U4" s="73" t="s">
        <v>281</v>
      </c>
      <c r="V4" s="73" t="s">
        <v>282</v>
      </c>
      <c r="W4" s="70" t="s">
        <v>283</v>
      </c>
      <c r="X4" s="74" t="s">
        <v>284</v>
      </c>
      <c r="Y4" s="37" t="s">
        <v>285</v>
      </c>
      <c r="Z4" s="77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60">
        <f>IFERROR(__xludf.DUMMYFUNCTION("""COMPUTED_VALUE"""),45743.6458333333)</f>
        <v>45743.6458333333</v>
      </c>
      <c r="B5" s="61">
        <f>IFERROR(__xludf.DUMMYFUNCTION("""COMPUTED_VALUE"""),409.45)</f>
        <v>409.45</v>
      </c>
      <c r="C5" s="60">
        <f>IFERROR(__xludf.DUMMYFUNCTION("""COMPUTED_VALUE"""),45743.6458333333)</f>
        <v>45743.6458333333</v>
      </c>
      <c r="D5" s="61">
        <f>IFERROR(__xludf.DUMMYFUNCTION("""COMPUTED_VALUE"""),408)</f>
        <v>408</v>
      </c>
      <c r="E5" s="60">
        <f>IFERROR(__xludf.DUMMYFUNCTION("""COMPUTED_VALUE"""),45743.6458333333)</f>
        <v>45743.6458333333</v>
      </c>
      <c r="F5" s="61">
        <f>IFERROR(__xludf.DUMMYFUNCTION("""COMPUTED_VALUE"""),18642328)</f>
        <v>18642328</v>
      </c>
      <c r="G5" s="60">
        <f>IFERROR(__xludf.DUMMYFUNCTION("""COMPUTED_VALUE"""),45743.6458333333)</f>
        <v>45743.6458333333</v>
      </c>
      <c r="H5" s="61">
        <f>IFERROR(__xludf.DUMMYFUNCTION("""COMPUTED_VALUE"""),410.7)</f>
        <v>410.7</v>
      </c>
      <c r="I5" s="71">
        <f>IFERROR(__xludf.DUMMYFUNCTION("""COMPUTED_VALUE"""),45743.6458333333)</f>
        <v>45743.6458333333</v>
      </c>
      <c r="J5" s="51">
        <f>IFERROR(__xludf.DUMMYFUNCTION("""COMPUTED_VALUE"""),405.65)</f>
        <v>405.65</v>
      </c>
      <c r="K5" s="51"/>
      <c r="L5" s="51"/>
      <c r="M5" s="51">
        <f t="array" ref="M5">INDEX(K11:K124,MATCH(SMALL(ABS(K11:K124-H3),1),ABS(K11:K124-H3),0))</f>
        <v>415.9</v>
      </c>
      <c r="N5" s="51">
        <f t="array" ref="N5">INDEX(K11:K124,MATCH(SMALL(ABS(K11:K124-H3),2),ABS(K11:K124-H3),0))</f>
        <v>416.85</v>
      </c>
      <c r="O5" s="51">
        <f t="array" ref="O5">INDEX(L11:L124,MATCH(SMALL(ABS(L11:L124-H3),1),ABS(L11:L124-H3),0))</f>
        <v>406.05</v>
      </c>
      <c r="P5" s="51">
        <f t="array" ref="P5">INDEX(L11:L124,MATCH(SMALL(ABS(L11:L124-H3),2),ABS(L11:L124-H3),0))</f>
        <v>407.6</v>
      </c>
      <c r="Q5" s="48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S5" s="75">
        <f ca="1">IF(Q5&gt;0,Q5,S5)</f>
        <v>413.9</v>
      </c>
      <c r="T5" s="48">
        <f ca="1">IF(AND(H3&gt;=Mastersheet!I3*S5,H3&lt;=Mastersheet!J3*S5),1,0)</f>
        <v>0</v>
      </c>
      <c r="U5" s="76">
        <f>(N3+P3)/2</f>
        <v>402.6</v>
      </c>
      <c r="V5" s="48">
        <f>(N3+P3+R3+T3)/4</f>
        <v>402.725</v>
      </c>
      <c r="W5" s="48">
        <f>IF(V5&gt;U5,1,0)</f>
        <v>1</v>
      </c>
      <c r="X5" s="48">
        <f>IF(V5&gt;U5,0,1)</f>
        <v>0</v>
      </c>
      <c r="Y5" s="48">
        <f>IF(COUNTIF(Mastersheet!E:E,L3)&gt;0,0,1)</f>
        <v>1</v>
      </c>
      <c r="Z5" s="78">
        <f ca="1">IF(T5*W5*Y5=1,1,0)</f>
        <v>0</v>
      </c>
      <c r="AA5" s="79"/>
      <c r="AB5" s="44" t="s">
        <v>289</v>
      </c>
      <c r="AC5" s="80" t="s">
        <v>290</v>
      </c>
      <c r="AD5" s="81" t="s">
        <v>291</v>
      </c>
      <c r="AE5" s="81" t="s">
        <v>292</v>
      </c>
    </row>
    <row r="6" customHeight="1" spans="1:31">
      <c r="A6" s="47">
        <f>IFERROR(__xludf.DUMMYFUNCTION("""COMPUTED_VALUE"""),45744.6458333333)</f>
        <v>45744.6458333333</v>
      </c>
      <c r="B6" s="48">
        <f>IFERROR(__xludf.DUMMYFUNCTION("""COMPUTED_VALUE"""),409.75)</f>
        <v>409.75</v>
      </c>
      <c r="C6" s="47">
        <f>IFERROR(__xludf.DUMMYFUNCTION("""COMPUTED_VALUE"""),45744.6458333333)</f>
        <v>45744.6458333333</v>
      </c>
      <c r="D6" s="48">
        <f>IFERROR(__xludf.DUMMYFUNCTION("""COMPUTED_VALUE"""),410.9)</f>
        <v>410.9</v>
      </c>
      <c r="E6" s="47">
        <f>IFERROR(__xludf.DUMMYFUNCTION("""COMPUTED_VALUE"""),45744.6458333333)</f>
        <v>45744.6458333333</v>
      </c>
      <c r="F6" s="48">
        <f>IFERROR(__xludf.DUMMYFUNCTION("""COMPUTED_VALUE"""),12981873)</f>
        <v>12981873</v>
      </c>
      <c r="G6" s="47">
        <f>IFERROR(__xludf.DUMMYFUNCTION("""COMPUTED_VALUE"""),45744.6458333333)</f>
        <v>45744.6458333333</v>
      </c>
      <c r="H6" s="48">
        <f>IFERROR(__xludf.DUMMYFUNCTION("""COMPUTED_VALUE"""),415.6)</f>
        <v>415.6</v>
      </c>
      <c r="I6" s="47">
        <f>IFERROR(__xludf.DUMMYFUNCTION("""COMPUTED_VALUE"""),45744.6458333333)</f>
        <v>45744.6458333333</v>
      </c>
      <c r="J6" s="48">
        <f>IFERROR(__xludf.DUMMYFUNCTION("""COMPUTED_VALUE"""),408.15)</f>
        <v>408.15</v>
      </c>
      <c r="AB6" s="48">
        <f>IF(COUNTIF(Mastersheet!E:E,L3)&gt;0,1,0)</f>
        <v>0</v>
      </c>
      <c r="AC6" s="48">
        <f>IF(AND(H3&gt;Mastersheet!L3*Mastersheet!F3,X5),1,0)</f>
        <v>0</v>
      </c>
      <c r="AD6" s="76">
        <f>IF(H3&lt;Mastersheet!M3*Mastersheet!F3,1,0)</f>
        <v>0</v>
      </c>
      <c r="AE6" s="48">
        <f>IF(OR(AC6*AB6=1,AD6*AB6=1),1,0)</f>
        <v>0</v>
      </c>
    </row>
    <row r="7" customHeight="1" spans="1:10">
      <c r="A7" s="47">
        <f>IFERROR(__xludf.DUMMYFUNCTION("""COMPUTED_VALUE"""),45748.6458333333)</f>
        <v>45748.6458333333</v>
      </c>
      <c r="B7" s="48">
        <f>IFERROR(__xludf.DUMMYFUNCTION("""COMPUTED_VALUE"""),406.65)</f>
        <v>406.65</v>
      </c>
      <c r="C7" s="47">
        <f>IFERROR(__xludf.DUMMYFUNCTION("""COMPUTED_VALUE"""),45748.6458333333)</f>
        <v>45748.6458333333</v>
      </c>
      <c r="D7" s="48">
        <f>IFERROR(__xludf.DUMMYFUNCTION("""COMPUTED_VALUE"""),409.8)</f>
        <v>409.8</v>
      </c>
      <c r="E7" s="47">
        <f>IFERROR(__xludf.DUMMYFUNCTION("""COMPUTED_VALUE"""),45748.6458333333)</f>
        <v>45748.6458333333</v>
      </c>
      <c r="F7" s="48">
        <f>IFERROR(__xludf.DUMMYFUNCTION("""COMPUTED_VALUE"""),15206240)</f>
        <v>15206240</v>
      </c>
      <c r="G7" s="47">
        <f>IFERROR(__xludf.DUMMYFUNCTION("""COMPUTED_VALUE"""),45748.6458333333)</f>
        <v>45748.6458333333</v>
      </c>
      <c r="H7" s="48">
        <f>IFERROR(__xludf.DUMMYFUNCTION("""COMPUTED_VALUE"""),414.4)</f>
        <v>414.4</v>
      </c>
      <c r="I7" s="47">
        <f>IFERROR(__xludf.DUMMYFUNCTION("""COMPUTED_VALUE"""),45748.6458333333)</f>
        <v>45748.6458333333</v>
      </c>
      <c r="J7" s="48">
        <f>IFERROR(__xludf.DUMMYFUNCTION("""COMPUTED_VALUE"""),405.6)</f>
        <v>405.6</v>
      </c>
    </row>
    <row r="8" customHeight="1" spans="1:10">
      <c r="A8" s="47">
        <f>IFERROR(__xludf.DUMMYFUNCTION("""COMPUTED_VALUE"""),45749.6458333333)</f>
        <v>45749.6458333333</v>
      </c>
      <c r="B8" s="48">
        <f>IFERROR(__xludf.DUMMYFUNCTION("""COMPUTED_VALUE"""),409.05)</f>
        <v>409.05</v>
      </c>
      <c r="C8" s="47">
        <f>IFERROR(__xludf.DUMMYFUNCTION("""COMPUTED_VALUE"""),45749.6458333333)</f>
        <v>45749.6458333333</v>
      </c>
      <c r="D8" s="48">
        <f>IFERROR(__xludf.DUMMYFUNCTION("""COMPUTED_VALUE"""),407.05)</f>
        <v>407.05</v>
      </c>
      <c r="E8" s="47">
        <f>IFERROR(__xludf.DUMMYFUNCTION("""COMPUTED_VALUE"""),45749.6458333333)</f>
        <v>45749.6458333333</v>
      </c>
      <c r="F8" s="48">
        <f>IFERROR(__xludf.DUMMYFUNCTION("""COMPUTED_VALUE"""),8001323)</f>
        <v>8001323</v>
      </c>
      <c r="G8" s="47">
        <f>IFERROR(__xludf.DUMMYFUNCTION("""COMPUTED_VALUE"""),45749.6458333333)</f>
        <v>45749.6458333333</v>
      </c>
      <c r="H8" s="48">
        <f>IFERROR(__xludf.DUMMYFUNCTION("""COMPUTED_VALUE"""),410)</f>
        <v>410</v>
      </c>
      <c r="I8" s="47">
        <f>IFERROR(__xludf.DUMMYFUNCTION("""COMPUTED_VALUE"""),45749.6458333333)</f>
        <v>45749.6458333333</v>
      </c>
      <c r="J8" s="48">
        <f>IFERROR(__xludf.DUMMYFUNCTION("""COMPUTED_VALUE"""),406.05)</f>
        <v>406.05</v>
      </c>
    </row>
    <row r="9" customHeight="1" spans="1:10">
      <c r="A9" s="47">
        <f>IFERROR(__xludf.DUMMYFUNCTION("""COMPUTED_VALUE"""),45750.6458333333)</f>
        <v>45750.6458333333</v>
      </c>
      <c r="B9" s="48">
        <f>IFERROR(__xludf.DUMMYFUNCTION("""COMPUTED_VALUE"""),409.4)</f>
        <v>409.4</v>
      </c>
      <c r="C9" s="47">
        <f>IFERROR(__xludf.DUMMYFUNCTION("""COMPUTED_VALUE"""),45750.6458333333)</f>
        <v>45750.6458333333</v>
      </c>
      <c r="D9" s="48">
        <f>IFERROR(__xludf.DUMMYFUNCTION("""COMPUTED_VALUE"""),407.05)</f>
        <v>407.05</v>
      </c>
      <c r="E9" s="47">
        <f>IFERROR(__xludf.DUMMYFUNCTION("""COMPUTED_VALUE"""),45750.6458333333)</f>
        <v>45750.6458333333</v>
      </c>
      <c r="F9" s="48">
        <f>IFERROR(__xludf.DUMMYFUNCTION("""COMPUTED_VALUE"""),7059566)</f>
        <v>7059566</v>
      </c>
      <c r="G9" s="47">
        <f>IFERROR(__xludf.DUMMYFUNCTION("""COMPUTED_VALUE"""),45750.6458333333)</f>
        <v>45750.6458333333</v>
      </c>
      <c r="H9" s="48">
        <f>IFERROR(__xludf.DUMMYFUNCTION("""COMPUTED_VALUE"""),410.2)</f>
        <v>410.2</v>
      </c>
      <c r="I9" s="47">
        <f>IFERROR(__xludf.DUMMYFUNCTION("""COMPUTED_VALUE"""),45750.6458333333)</f>
        <v>45750.6458333333</v>
      </c>
      <c r="J9" s="48">
        <f>IFERROR(__xludf.DUMMYFUNCTION("""COMPUTED_VALUE"""),406.7)</f>
        <v>406.7</v>
      </c>
    </row>
    <row r="10" customHeight="1" spans="1:10">
      <c r="A10" s="47">
        <f>IFERROR(__xludf.DUMMYFUNCTION("""COMPUTED_VALUE"""),45751.6458333333)</f>
        <v>45751.6458333333</v>
      </c>
      <c r="B10" s="48">
        <f>IFERROR(__xludf.DUMMYFUNCTION("""COMPUTED_VALUE"""),409.7)</f>
        <v>409.7</v>
      </c>
      <c r="C10" s="47">
        <f>IFERROR(__xludf.DUMMYFUNCTION("""COMPUTED_VALUE"""),45751.6458333333)</f>
        <v>45751.6458333333</v>
      </c>
      <c r="D10" s="48">
        <f>IFERROR(__xludf.DUMMYFUNCTION("""COMPUTED_VALUE"""),407.5)</f>
        <v>407.5</v>
      </c>
      <c r="E10" s="47">
        <f>IFERROR(__xludf.DUMMYFUNCTION("""COMPUTED_VALUE"""),45751.6458333333)</f>
        <v>45751.6458333333</v>
      </c>
      <c r="F10" s="48">
        <f>IFERROR(__xludf.DUMMYFUNCTION("""COMPUTED_VALUE"""),18627592)</f>
        <v>18627592</v>
      </c>
      <c r="G10" s="47">
        <f>IFERROR(__xludf.DUMMYFUNCTION("""COMPUTED_VALUE"""),45751.6458333333)</f>
        <v>45751.6458333333</v>
      </c>
      <c r="H10" s="48">
        <f>IFERROR(__xludf.DUMMYFUNCTION("""COMPUTED_VALUE"""),412.8)</f>
        <v>412.8</v>
      </c>
      <c r="I10" s="47">
        <f>IFERROR(__xludf.DUMMYFUNCTION("""COMPUTED_VALUE"""),45751.6458333333)</f>
        <v>45751.6458333333</v>
      </c>
      <c r="J10" s="48">
        <f>IFERROR(__xludf.DUMMYFUNCTION("""COMPUTED_VALUE"""),404.5)</f>
        <v>404.5</v>
      </c>
    </row>
    <row r="11" customHeight="1" spans="1:12">
      <c r="A11" s="47">
        <f>IFERROR(__xludf.DUMMYFUNCTION("""COMPUTED_VALUE"""),45754.6458333333)</f>
        <v>45754.6458333333</v>
      </c>
      <c r="B11" s="48">
        <f>IFERROR(__xludf.DUMMYFUNCTION("""COMPUTED_VALUE"""),406.05)</f>
        <v>406.05</v>
      </c>
      <c r="C11" s="47">
        <f>IFERROR(__xludf.DUMMYFUNCTION("""COMPUTED_VALUE"""),45754.6458333333)</f>
        <v>45754.6458333333</v>
      </c>
      <c r="D11" s="48">
        <f>IFERROR(__xludf.DUMMYFUNCTION("""COMPUTED_VALUE"""),390.15)</f>
        <v>390.15</v>
      </c>
      <c r="E11" s="47">
        <f>IFERROR(__xludf.DUMMYFUNCTION("""COMPUTED_VALUE"""),45754.6458333333)</f>
        <v>45754.6458333333</v>
      </c>
      <c r="F11" s="48">
        <f>IFERROR(__xludf.DUMMYFUNCTION("""COMPUTED_VALUE"""),26762866)</f>
        <v>26762866</v>
      </c>
      <c r="G11" s="47">
        <f>IFERROR(__xludf.DUMMYFUNCTION("""COMPUTED_VALUE"""),45754.6458333333)</f>
        <v>45754.6458333333</v>
      </c>
      <c r="H11" s="48">
        <f>IFERROR(__xludf.DUMMYFUNCTION("""COMPUTED_VALUE"""),408.1)</f>
        <v>408.1</v>
      </c>
      <c r="I11" s="47">
        <f>IFERROR(__xludf.DUMMYFUNCTION("""COMPUTED_VALUE"""),45754.6458333333)</f>
        <v>45754.6458333333</v>
      </c>
      <c r="J11" s="48">
        <f>IFERROR(__xludf.DUMMYFUNCTION("""COMPUTED_VALUE"""),390.15)</f>
        <v>390.15</v>
      </c>
      <c r="K11" s="3">
        <f t="shared" ref="K11:K125" si="2">IF(B11=MAX(B5:B17),B11,0)</f>
        <v>0</v>
      </c>
      <c r="L11" s="3">
        <f t="shared" ref="L11:L125" si="3">IF(B11=MIN(B5:B17),B11,0)</f>
        <v>406.05</v>
      </c>
    </row>
    <row r="12" customHeight="1" spans="1:12">
      <c r="A12" s="47">
        <f>IFERROR(__xludf.DUMMYFUNCTION("""COMPUTED_VALUE"""),45755.6458333333)</f>
        <v>45755.6458333333</v>
      </c>
      <c r="B12" s="48">
        <f>IFERROR(__xludf.DUMMYFUNCTION("""COMPUTED_VALUE"""),412.55)</f>
        <v>412.55</v>
      </c>
      <c r="C12" s="47">
        <f>IFERROR(__xludf.DUMMYFUNCTION("""COMPUTED_VALUE"""),45755.6458333333)</f>
        <v>45755.6458333333</v>
      </c>
      <c r="D12" s="48">
        <f>IFERROR(__xludf.DUMMYFUNCTION("""COMPUTED_VALUE"""),411.9)</f>
        <v>411.9</v>
      </c>
      <c r="E12" s="47">
        <f>IFERROR(__xludf.DUMMYFUNCTION("""COMPUTED_VALUE"""),45755.6458333333)</f>
        <v>45755.6458333333</v>
      </c>
      <c r="F12" s="48">
        <f>IFERROR(__xludf.DUMMYFUNCTION("""COMPUTED_VALUE"""),18600796)</f>
        <v>18600796</v>
      </c>
      <c r="G12" s="47">
        <f>IFERROR(__xludf.DUMMYFUNCTION("""COMPUTED_VALUE"""),45755.6458333333)</f>
        <v>45755.6458333333</v>
      </c>
      <c r="H12" s="48">
        <f>IFERROR(__xludf.DUMMYFUNCTION("""COMPUTED_VALUE"""),415.8)</f>
        <v>415.8</v>
      </c>
      <c r="I12" s="47">
        <f>IFERROR(__xludf.DUMMYFUNCTION("""COMPUTED_VALUE"""),45755.6458333333)</f>
        <v>45755.6458333333</v>
      </c>
      <c r="J12" s="48">
        <f>IFERROR(__xludf.DUMMYFUNCTION("""COMPUTED_VALUE"""),407.25)</f>
        <v>407.25</v>
      </c>
      <c r="K12" s="3">
        <f t="shared" si="2"/>
        <v>0</v>
      </c>
      <c r="L12" s="3">
        <f t="shared" si="3"/>
        <v>0</v>
      </c>
    </row>
    <row r="13" customHeight="1" spans="1:12">
      <c r="A13" s="47">
        <f>IFERROR(__xludf.DUMMYFUNCTION("""COMPUTED_VALUE"""),45756.6458333333)</f>
        <v>45756.6458333333</v>
      </c>
      <c r="B13" s="48">
        <f>IFERROR(__xludf.DUMMYFUNCTION("""COMPUTED_VALUE"""),416.3)</f>
        <v>416.3</v>
      </c>
      <c r="C13" s="47">
        <f>IFERROR(__xludf.DUMMYFUNCTION("""COMPUTED_VALUE"""),45756.6458333333)</f>
        <v>45756.6458333333</v>
      </c>
      <c r="D13" s="48">
        <f>IFERROR(__xludf.DUMMYFUNCTION("""COMPUTED_VALUE"""),413)</f>
        <v>413</v>
      </c>
      <c r="E13" s="47">
        <f>IFERROR(__xludf.DUMMYFUNCTION("""COMPUTED_VALUE"""),45756.6458333333)</f>
        <v>45756.6458333333</v>
      </c>
      <c r="F13" s="48">
        <f>IFERROR(__xludf.DUMMYFUNCTION("""COMPUTED_VALUE"""),21785572)</f>
        <v>21785572</v>
      </c>
      <c r="G13" s="47">
        <f>IFERROR(__xludf.DUMMYFUNCTION("""COMPUTED_VALUE"""),45756.6458333333)</f>
        <v>45756.6458333333</v>
      </c>
      <c r="H13" s="48">
        <f>IFERROR(__xludf.DUMMYFUNCTION("""COMPUTED_VALUE"""),419.05)</f>
        <v>419.05</v>
      </c>
      <c r="I13" s="47">
        <f>IFERROR(__xludf.DUMMYFUNCTION("""COMPUTED_VALUE"""),45756.6458333333)</f>
        <v>45756.6458333333</v>
      </c>
      <c r="J13" s="48">
        <f>IFERROR(__xludf.DUMMYFUNCTION("""COMPUTED_VALUE"""),411.25)</f>
        <v>411.25</v>
      </c>
      <c r="K13" s="3">
        <f t="shared" si="2"/>
        <v>0</v>
      </c>
      <c r="L13" s="3">
        <f t="shared" si="3"/>
        <v>0</v>
      </c>
    </row>
    <row r="14" customHeight="1" spans="1:12">
      <c r="A14" s="47">
        <f>IFERROR(__xludf.DUMMYFUNCTION("""COMPUTED_VALUE"""),45758.6458333333)</f>
        <v>45758.6458333333</v>
      </c>
      <c r="B14" s="48">
        <f>IFERROR(__xludf.DUMMYFUNCTION("""COMPUTED_VALUE"""),421.55)</f>
        <v>421.55</v>
      </c>
      <c r="C14" s="47">
        <f>IFERROR(__xludf.DUMMYFUNCTION("""COMPUTED_VALUE"""),45758.6458333333)</f>
        <v>45758.6458333333</v>
      </c>
      <c r="D14" s="48">
        <f>IFERROR(__xludf.DUMMYFUNCTION("""COMPUTED_VALUE"""),420)</f>
        <v>420</v>
      </c>
      <c r="E14" s="47">
        <f>IFERROR(__xludf.DUMMYFUNCTION("""COMPUTED_VALUE"""),45758.6458333333)</f>
        <v>45758.6458333333</v>
      </c>
      <c r="F14" s="48">
        <f>IFERROR(__xludf.DUMMYFUNCTION("""COMPUTED_VALUE"""),8939356)</f>
        <v>8939356</v>
      </c>
      <c r="G14" s="47">
        <f>IFERROR(__xludf.DUMMYFUNCTION("""COMPUTED_VALUE"""),45758.6458333333)</f>
        <v>45758.6458333333</v>
      </c>
      <c r="H14" s="48">
        <f>IFERROR(__xludf.DUMMYFUNCTION("""COMPUTED_VALUE"""),422.45)</f>
        <v>422.45</v>
      </c>
      <c r="I14" s="47">
        <f>IFERROR(__xludf.DUMMYFUNCTION("""COMPUTED_VALUE"""),45758.6458333333)</f>
        <v>45758.6458333333</v>
      </c>
      <c r="J14" s="48">
        <f>IFERROR(__xludf.DUMMYFUNCTION("""COMPUTED_VALUE"""),417)</f>
        <v>417</v>
      </c>
      <c r="K14" s="3">
        <f t="shared" si="2"/>
        <v>0</v>
      </c>
      <c r="L14" s="3">
        <f t="shared" si="3"/>
        <v>0</v>
      </c>
    </row>
    <row r="15" customHeight="1" spans="1:12">
      <c r="A15" s="47">
        <f>IFERROR(__xludf.DUMMYFUNCTION("""COMPUTED_VALUE"""),45762.6458333333)</f>
        <v>45762.6458333333</v>
      </c>
      <c r="B15" s="48">
        <f>IFERROR(__xludf.DUMMYFUNCTION("""COMPUTED_VALUE"""),420.4)</f>
        <v>420.4</v>
      </c>
      <c r="C15" s="47">
        <f>IFERROR(__xludf.DUMMYFUNCTION("""COMPUTED_VALUE"""),45762.6458333333)</f>
        <v>45762.6458333333</v>
      </c>
      <c r="D15" s="48">
        <f>IFERROR(__xludf.DUMMYFUNCTION("""COMPUTED_VALUE"""),429.2)</f>
        <v>429.2</v>
      </c>
      <c r="E15" s="47">
        <f>IFERROR(__xludf.DUMMYFUNCTION("""COMPUTED_VALUE"""),45762.6458333333)</f>
        <v>45762.6458333333</v>
      </c>
      <c r="F15" s="48">
        <f>IFERROR(__xludf.DUMMYFUNCTION("""COMPUTED_VALUE"""),11685880)</f>
        <v>11685880</v>
      </c>
      <c r="G15" s="47">
        <f>IFERROR(__xludf.DUMMYFUNCTION("""COMPUTED_VALUE"""),45762.6458333333)</f>
        <v>45762.6458333333</v>
      </c>
      <c r="H15" s="48">
        <f>IFERROR(__xludf.DUMMYFUNCTION("""COMPUTED_VALUE"""),429.2)</f>
        <v>429.2</v>
      </c>
      <c r="I15" s="47">
        <f>IFERROR(__xludf.DUMMYFUNCTION("""COMPUTED_VALUE"""),45762.6458333333)</f>
        <v>45762.6458333333</v>
      </c>
      <c r="J15" s="48">
        <f>IFERROR(__xludf.DUMMYFUNCTION("""COMPUTED_VALUE"""),419)</f>
        <v>419</v>
      </c>
      <c r="K15" s="3">
        <f t="shared" si="2"/>
        <v>0</v>
      </c>
      <c r="L15" s="3">
        <f t="shared" si="3"/>
        <v>0</v>
      </c>
    </row>
    <row r="16" customHeight="1" spans="1:12">
      <c r="A16" s="47">
        <f>IFERROR(__xludf.DUMMYFUNCTION("""COMPUTED_VALUE"""),45763.6458333333)</f>
        <v>45763.6458333333</v>
      </c>
      <c r="B16" s="48">
        <f>IFERROR(__xludf.DUMMYFUNCTION("""COMPUTED_VALUE"""),424.45)</f>
        <v>424.45</v>
      </c>
      <c r="C16" s="47">
        <f>IFERROR(__xludf.DUMMYFUNCTION("""COMPUTED_VALUE"""),45763.6458333333)</f>
        <v>45763.6458333333</v>
      </c>
      <c r="D16" s="48">
        <f>IFERROR(__xludf.DUMMYFUNCTION("""COMPUTED_VALUE"""),418)</f>
        <v>418</v>
      </c>
      <c r="E16" s="47">
        <f>IFERROR(__xludf.DUMMYFUNCTION("""COMPUTED_VALUE"""),45763.6458333333)</f>
        <v>45763.6458333333</v>
      </c>
      <c r="F16" s="48">
        <f>IFERROR(__xludf.DUMMYFUNCTION("""COMPUTED_VALUE"""),13034594)</f>
        <v>13034594</v>
      </c>
      <c r="G16" s="47">
        <f>IFERROR(__xludf.DUMMYFUNCTION("""COMPUTED_VALUE"""),45763.6458333333)</f>
        <v>45763.6458333333</v>
      </c>
      <c r="H16" s="48">
        <f>IFERROR(__xludf.DUMMYFUNCTION("""COMPUTED_VALUE"""),426.05)</f>
        <v>426.05</v>
      </c>
      <c r="I16" s="47">
        <f>IFERROR(__xludf.DUMMYFUNCTION("""COMPUTED_VALUE"""),45763.6458333333)</f>
        <v>45763.6458333333</v>
      </c>
      <c r="J16" s="48">
        <f>IFERROR(__xludf.DUMMYFUNCTION("""COMPUTED_VALUE"""),418)</f>
        <v>418</v>
      </c>
      <c r="K16" s="3">
        <f t="shared" si="2"/>
        <v>0</v>
      </c>
      <c r="L16" s="3">
        <f t="shared" si="3"/>
        <v>0</v>
      </c>
    </row>
    <row r="17" customHeight="1" spans="1:12">
      <c r="A17" s="47">
        <f>IFERROR(__xludf.DUMMYFUNCTION("""COMPUTED_VALUE"""),45764.6458333333)</f>
        <v>45764.6458333333</v>
      </c>
      <c r="B17" s="48">
        <f>IFERROR(__xludf.DUMMYFUNCTION("""COMPUTED_VALUE"""),427.25)</f>
        <v>427.25</v>
      </c>
      <c r="C17" s="47">
        <f>IFERROR(__xludf.DUMMYFUNCTION("""COMPUTED_VALUE"""),45764.6458333333)</f>
        <v>45764.6458333333</v>
      </c>
      <c r="D17" s="48">
        <f>IFERROR(__xludf.DUMMYFUNCTION("""COMPUTED_VALUE"""),425)</f>
        <v>425</v>
      </c>
      <c r="E17" s="47">
        <f>IFERROR(__xludf.DUMMYFUNCTION("""COMPUTED_VALUE"""),45764.6458333333)</f>
        <v>45764.6458333333</v>
      </c>
      <c r="F17" s="48">
        <f>IFERROR(__xludf.DUMMYFUNCTION("""COMPUTED_VALUE"""),22410217)</f>
        <v>22410217</v>
      </c>
      <c r="G17" s="47">
        <f>IFERROR(__xludf.DUMMYFUNCTION("""COMPUTED_VALUE"""),45764.6458333333)</f>
        <v>45764.6458333333</v>
      </c>
      <c r="H17" s="48">
        <f>IFERROR(__xludf.DUMMYFUNCTION("""COMPUTED_VALUE"""),427.85)</f>
        <v>427.85</v>
      </c>
      <c r="I17" s="47">
        <f>IFERROR(__xludf.DUMMYFUNCTION("""COMPUTED_VALUE"""),45764.6458333333)</f>
        <v>45764.6458333333</v>
      </c>
      <c r="J17" s="48">
        <f>IFERROR(__xludf.DUMMYFUNCTION("""COMPUTED_VALUE"""),421.55)</f>
        <v>421.55</v>
      </c>
      <c r="K17" s="3">
        <f t="shared" si="2"/>
        <v>0</v>
      </c>
      <c r="L17" s="3">
        <f t="shared" si="3"/>
        <v>0</v>
      </c>
    </row>
    <row r="18" customHeight="1" spans="1:12">
      <c r="A18" s="47">
        <f>IFERROR(__xludf.DUMMYFUNCTION("""COMPUTED_VALUE"""),45768.6458333333)</f>
        <v>45768.6458333333</v>
      </c>
      <c r="B18" s="48">
        <f>IFERROR(__xludf.DUMMYFUNCTION("""COMPUTED_VALUE"""),422.85)</f>
        <v>422.85</v>
      </c>
      <c r="C18" s="47">
        <f>IFERROR(__xludf.DUMMYFUNCTION("""COMPUTED_VALUE"""),45768.6458333333)</f>
        <v>45768.6458333333</v>
      </c>
      <c r="D18" s="48">
        <f>IFERROR(__xludf.DUMMYFUNCTION("""COMPUTED_VALUE"""),428.05)</f>
        <v>428.05</v>
      </c>
      <c r="E18" s="47">
        <f>IFERROR(__xludf.DUMMYFUNCTION("""COMPUTED_VALUE"""),45768.6458333333)</f>
        <v>45768.6458333333</v>
      </c>
      <c r="F18" s="48">
        <f>IFERROR(__xludf.DUMMYFUNCTION("""COMPUTED_VALUE"""),27388236)</f>
        <v>27388236</v>
      </c>
      <c r="G18" s="47">
        <f>IFERROR(__xludf.DUMMYFUNCTION("""COMPUTED_VALUE"""),45768.6458333333)</f>
        <v>45768.6458333333</v>
      </c>
      <c r="H18" s="48">
        <f>IFERROR(__xludf.DUMMYFUNCTION("""COMPUTED_VALUE"""),429.1)</f>
        <v>429.1</v>
      </c>
      <c r="I18" s="47">
        <f>IFERROR(__xludf.DUMMYFUNCTION("""COMPUTED_VALUE"""),45768.6458333333)</f>
        <v>45768.6458333333</v>
      </c>
      <c r="J18" s="48">
        <f>IFERROR(__xludf.DUMMYFUNCTION("""COMPUTED_VALUE"""),421.5)</f>
        <v>421.5</v>
      </c>
      <c r="K18" s="3">
        <f t="shared" si="2"/>
        <v>0</v>
      </c>
      <c r="L18" s="3">
        <f t="shared" si="3"/>
        <v>0</v>
      </c>
    </row>
    <row r="19" customHeight="1" spans="1:12">
      <c r="A19" s="47">
        <f>IFERROR(__xludf.DUMMYFUNCTION("""COMPUTED_VALUE"""),45769.6458333333)</f>
        <v>45769.6458333333</v>
      </c>
      <c r="B19" s="48">
        <f>IFERROR(__xludf.DUMMYFUNCTION("""COMPUTED_VALUE"""),433.6)</f>
        <v>433.6</v>
      </c>
      <c r="C19" s="47">
        <f>IFERROR(__xludf.DUMMYFUNCTION("""COMPUTED_VALUE"""),45769.6458333333)</f>
        <v>45769.6458333333</v>
      </c>
      <c r="D19" s="48">
        <f>IFERROR(__xludf.DUMMYFUNCTION("""COMPUTED_VALUE"""),425.95)</f>
        <v>425.95</v>
      </c>
      <c r="E19" s="47">
        <f>IFERROR(__xludf.DUMMYFUNCTION("""COMPUTED_VALUE"""),45769.6458333333)</f>
        <v>45769.6458333333</v>
      </c>
      <c r="F19" s="48">
        <f>IFERROR(__xludf.DUMMYFUNCTION("""COMPUTED_VALUE"""),32031936)</f>
        <v>32031936</v>
      </c>
      <c r="G19" s="47">
        <f>IFERROR(__xludf.DUMMYFUNCTION("""COMPUTED_VALUE"""),45769.6458333333)</f>
        <v>45769.6458333333</v>
      </c>
      <c r="H19" s="48">
        <f>IFERROR(__xludf.DUMMYFUNCTION("""COMPUTED_VALUE"""),434.8)</f>
        <v>434.8</v>
      </c>
      <c r="I19" s="47">
        <f>IFERROR(__xludf.DUMMYFUNCTION("""COMPUTED_VALUE"""),45769.6458333333)</f>
        <v>45769.6458333333</v>
      </c>
      <c r="J19" s="48">
        <f>IFERROR(__xludf.DUMMYFUNCTION("""COMPUTED_VALUE"""),423.55)</f>
        <v>423.55</v>
      </c>
      <c r="K19" s="3">
        <f t="shared" si="2"/>
        <v>433.6</v>
      </c>
      <c r="L19" s="3">
        <f t="shared" si="3"/>
        <v>0</v>
      </c>
    </row>
    <row r="20" customHeight="1" spans="1:12">
      <c r="A20" s="47">
        <f>IFERROR(__xludf.DUMMYFUNCTION("""COMPUTED_VALUE"""),45770.6458333333)</f>
        <v>45770.6458333333</v>
      </c>
      <c r="B20" s="48">
        <f>IFERROR(__xludf.DUMMYFUNCTION("""COMPUTED_VALUE"""),430.85)</f>
        <v>430.85</v>
      </c>
      <c r="C20" s="47">
        <f>IFERROR(__xludf.DUMMYFUNCTION("""COMPUTED_VALUE"""),45770.6458333333)</f>
        <v>45770.6458333333</v>
      </c>
      <c r="D20" s="48">
        <f>IFERROR(__xludf.DUMMYFUNCTION("""COMPUTED_VALUE"""),436.2)</f>
        <v>436.2</v>
      </c>
      <c r="E20" s="47">
        <f>IFERROR(__xludf.DUMMYFUNCTION("""COMPUTED_VALUE"""),45770.6458333333)</f>
        <v>45770.6458333333</v>
      </c>
      <c r="F20" s="48">
        <f>IFERROR(__xludf.DUMMYFUNCTION("""COMPUTED_VALUE"""),19566317)</f>
        <v>19566317</v>
      </c>
      <c r="G20" s="47">
        <f>IFERROR(__xludf.DUMMYFUNCTION("""COMPUTED_VALUE"""),45770.6458333333)</f>
        <v>45770.6458333333</v>
      </c>
      <c r="H20" s="48">
        <f>IFERROR(__xludf.DUMMYFUNCTION("""COMPUTED_VALUE"""),437.45)</f>
        <v>437.45</v>
      </c>
      <c r="I20" s="47">
        <f>IFERROR(__xludf.DUMMYFUNCTION("""COMPUTED_VALUE"""),45770.6458333333)</f>
        <v>45770.6458333333</v>
      </c>
      <c r="J20" s="48">
        <f>IFERROR(__xludf.DUMMYFUNCTION("""COMPUTED_VALUE"""),428.85)</f>
        <v>428.85</v>
      </c>
      <c r="K20" s="3">
        <f t="shared" si="2"/>
        <v>0</v>
      </c>
      <c r="L20" s="3">
        <f t="shared" si="3"/>
        <v>0</v>
      </c>
    </row>
    <row r="21" customHeight="1" spans="1:12">
      <c r="A21" s="47">
        <f>IFERROR(__xludf.DUMMYFUNCTION("""COMPUTED_VALUE"""),45771.6458333333)</f>
        <v>45771.6458333333</v>
      </c>
      <c r="B21" s="48">
        <f>IFERROR(__xludf.DUMMYFUNCTION("""COMPUTED_VALUE"""),430.05)</f>
        <v>430.05</v>
      </c>
      <c r="C21" s="47">
        <f>IFERROR(__xludf.DUMMYFUNCTION("""COMPUTED_VALUE"""),45771.6458333333)</f>
        <v>45771.6458333333</v>
      </c>
      <c r="D21" s="48">
        <f>IFERROR(__xludf.DUMMYFUNCTION("""COMPUTED_VALUE"""),431.85)</f>
        <v>431.85</v>
      </c>
      <c r="E21" s="47">
        <f>IFERROR(__xludf.DUMMYFUNCTION("""COMPUTED_VALUE"""),45771.6458333333)</f>
        <v>45771.6458333333</v>
      </c>
      <c r="F21" s="48">
        <f>IFERROR(__xludf.DUMMYFUNCTION("""COMPUTED_VALUE"""),26064089)</f>
        <v>26064089</v>
      </c>
      <c r="G21" s="47">
        <f>IFERROR(__xludf.DUMMYFUNCTION("""COMPUTED_VALUE"""),45771.6458333333)</f>
        <v>45771.6458333333</v>
      </c>
      <c r="H21" s="48">
        <f>IFERROR(__xludf.DUMMYFUNCTION("""COMPUTED_VALUE"""),436.05)</f>
        <v>436.05</v>
      </c>
      <c r="I21" s="47">
        <f>IFERROR(__xludf.DUMMYFUNCTION("""COMPUTED_VALUE"""),45771.6458333333)</f>
        <v>45771.6458333333</v>
      </c>
      <c r="J21" s="48">
        <f>IFERROR(__xludf.DUMMYFUNCTION("""COMPUTED_VALUE"""),429.3)</f>
        <v>429.3</v>
      </c>
      <c r="K21" s="3">
        <f t="shared" si="2"/>
        <v>0</v>
      </c>
      <c r="L21" s="3">
        <f t="shared" si="3"/>
        <v>0</v>
      </c>
    </row>
    <row r="22" customHeight="1" spans="1:12">
      <c r="A22" s="47">
        <f>IFERROR(__xludf.DUMMYFUNCTION("""COMPUTED_VALUE"""),45772.6458333333)</f>
        <v>45772.6458333333</v>
      </c>
      <c r="B22" s="48">
        <f>IFERROR(__xludf.DUMMYFUNCTION("""COMPUTED_VALUE"""),427.8)</f>
        <v>427.8</v>
      </c>
      <c r="C22" s="47">
        <f>IFERROR(__xludf.DUMMYFUNCTION("""COMPUTED_VALUE"""),45772.6458333333)</f>
        <v>45772.6458333333</v>
      </c>
      <c r="D22" s="48">
        <f>IFERROR(__xludf.DUMMYFUNCTION("""COMPUTED_VALUE"""),430.05)</f>
        <v>430.05</v>
      </c>
      <c r="E22" s="47">
        <f>IFERROR(__xludf.DUMMYFUNCTION("""COMPUTED_VALUE"""),45772.6458333333)</f>
        <v>45772.6458333333</v>
      </c>
      <c r="F22" s="48">
        <f>IFERROR(__xludf.DUMMYFUNCTION("""COMPUTED_VALUE"""),22944377)</f>
        <v>22944377</v>
      </c>
      <c r="G22" s="47">
        <f>IFERROR(__xludf.DUMMYFUNCTION("""COMPUTED_VALUE"""),45772.6458333333)</f>
        <v>45772.6458333333</v>
      </c>
      <c r="H22" s="48">
        <f>IFERROR(__xludf.DUMMYFUNCTION("""COMPUTED_VALUE"""),432.7)</f>
        <v>432.7</v>
      </c>
      <c r="I22" s="47">
        <f>IFERROR(__xludf.DUMMYFUNCTION("""COMPUTED_VALUE"""),45772.6458333333)</f>
        <v>45772.6458333333</v>
      </c>
      <c r="J22" s="48">
        <f>IFERROR(__xludf.DUMMYFUNCTION("""COMPUTED_VALUE"""),423.3)</f>
        <v>423.3</v>
      </c>
      <c r="K22" s="3">
        <f t="shared" si="2"/>
        <v>0</v>
      </c>
      <c r="L22" s="3">
        <f t="shared" si="3"/>
        <v>0</v>
      </c>
    </row>
    <row r="23" customHeight="1" spans="1:12">
      <c r="A23" s="47">
        <f>IFERROR(__xludf.DUMMYFUNCTION("""COMPUTED_VALUE"""),45775.6458333333)</f>
        <v>45775.6458333333</v>
      </c>
      <c r="B23" s="48">
        <f>IFERROR(__xludf.DUMMYFUNCTION("""COMPUTED_VALUE"""),428.8)</f>
        <v>428.8</v>
      </c>
      <c r="C23" s="47">
        <f>IFERROR(__xludf.DUMMYFUNCTION("""COMPUTED_VALUE"""),45775.6458333333)</f>
        <v>45775.6458333333</v>
      </c>
      <c r="D23" s="48">
        <f>IFERROR(__xludf.DUMMYFUNCTION("""COMPUTED_VALUE"""),426.65)</f>
        <v>426.65</v>
      </c>
      <c r="E23" s="47">
        <f>IFERROR(__xludf.DUMMYFUNCTION("""COMPUTED_VALUE"""),45775.6458333333)</f>
        <v>45775.6458333333</v>
      </c>
      <c r="F23" s="48">
        <f>IFERROR(__xludf.DUMMYFUNCTION("""COMPUTED_VALUE"""),6287095)</f>
        <v>6287095</v>
      </c>
      <c r="G23" s="47">
        <f>IFERROR(__xludf.DUMMYFUNCTION("""COMPUTED_VALUE"""),45775.6458333333)</f>
        <v>45775.6458333333</v>
      </c>
      <c r="H23" s="48">
        <f>IFERROR(__xludf.DUMMYFUNCTION("""COMPUTED_VALUE"""),430.5)</f>
        <v>430.5</v>
      </c>
      <c r="I23" s="47">
        <f>IFERROR(__xludf.DUMMYFUNCTION("""COMPUTED_VALUE"""),45775.6458333333)</f>
        <v>45775.6458333333</v>
      </c>
      <c r="J23" s="48">
        <f>IFERROR(__xludf.DUMMYFUNCTION("""COMPUTED_VALUE"""),424.75)</f>
        <v>424.75</v>
      </c>
      <c r="K23" s="3">
        <f t="shared" si="2"/>
        <v>0</v>
      </c>
      <c r="L23" s="3">
        <f t="shared" si="3"/>
        <v>0</v>
      </c>
    </row>
    <row r="24" customHeight="1" spans="1:12">
      <c r="A24" s="47">
        <f>IFERROR(__xludf.DUMMYFUNCTION("""COMPUTED_VALUE"""),45776.6458333333)</f>
        <v>45776.6458333333</v>
      </c>
      <c r="B24" s="48">
        <f>IFERROR(__xludf.DUMMYFUNCTION("""COMPUTED_VALUE"""),426)</f>
        <v>426</v>
      </c>
      <c r="C24" s="47">
        <f>IFERROR(__xludf.DUMMYFUNCTION("""COMPUTED_VALUE"""),45776.6458333333)</f>
        <v>45776.6458333333</v>
      </c>
      <c r="D24" s="48">
        <f>IFERROR(__xludf.DUMMYFUNCTION("""COMPUTED_VALUE"""),428.9)</f>
        <v>428.9</v>
      </c>
      <c r="E24" s="47">
        <f>IFERROR(__xludf.DUMMYFUNCTION("""COMPUTED_VALUE"""),45776.6458333333)</f>
        <v>45776.6458333333</v>
      </c>
      <c r="F24" s="48">
        <f>IFERROR(__xludf.DUMMYFUNCTION("""COMPUTED_VALUE"""),11189930)</f>
        <v>11189930</v>
      </c>
      <c r="G24" s="47">
        <f>IFERROR(__xludf.DUMMYFUNCTION("""COMPUTED_VALUE"""),45776.6458333333)</f>
        <v>45776.6458333333</v>
      </c>
      <c r="H24" s="48">
        <f>IFERROR(__xludf.DUMMYFUNCTION("""COMPUTED_VALUE"""),429.6)</f>
        <v>429.6</v>
      </c>
      <c r="I24" s="47">
        <f>IFERROR(__xludf.DUMMYFUNCTION("""COMPUTED_VALUE"""),45776.6458333333)</f>
        <v>45776.6458333333</v>
      </c>
      <c r="J24" s="48">
        <f>IFERROR(__xludf.DUMMYFUNCTION("""COMPUTED_VALUE"""),425)</f>
        <v>425</v>
      </c>
      <c r="K24" s="3">
        <f t="shared" si="2"/>
        <v>0</v>
      </c>
      <c r="L24" s="3">
        <f t="shared" si="3"/>
        <v>0</v>
      </c>
    </row>
    <row r="25" customHeight="1" spans="1:12">
      <c r="A25" s="47">
        <f>IFERROR(__xludf.DUMMYFUNCTION("""COMPUTED_VALUE"""),45777.6458333333)</f>
        <v>45777.6458333333</v>
      </c>
      <c r="B25" s="48">
        <f>IFERROR(__xludf.DUMMYFUNCTION("""COMPUTED_VALUE"""),425.8)</f>
        <v>425.8</v>
      </c>
      <c r="C25" s="47">
        <f>IFERROR(__xludf.DUMMYFUNCTION("""COMPUTED_VALUE"""),45777.6458333333)</f>
        <v>45777.6458333333</v>
      </c>
      <c r="D25" s="48">
        <f>IFERROR(__xludf.DUMMYFUNCTION("""COMPUTED_VALUE"""),427.4)</f>
        <v>427.4</v>
      </c>
      <c r="E25" s="47">
        <f>IFERROR(__xludf.DUMMYFUNCTION("""COMPUTED_VALUE"""),45777.6458333333)</f>
        <v>45777.6458333333</v>
      </c>
      <c r="F25" s="48">
        <f>IFERROR(__xludf.DUMMYFUNCTION("""COMPUTED_VALUE"""),10026546)</f>
        <v>10026546</v>
      </c>
      <c r="G25" s="47">
        <f>IFERROR(__xludf.DUMMYFUNCTION("""COMPUTED_VALUE"""),45777.6458333333)</f>
        <v>45777.6458333333</v>
      </c>
      <c r="H25" s="48">
        <f>IFERROR(__xludf.DUMMYFUNCTION("""COMPUTED_VALUE"""),429.3)</f>
        <v>429.3</v>
      </c>
      <c r="I25" s="47">
        <f>IFERROR(__xludf.DUMMYFUNCTION("""COMPUTED_VALUE"""),45777.6458333333)</f>
        <v>45777.6458333333</v>
      </c>
      <c r="J25" s="48">
        <f>IFERROR(__xludf.DUMMYFUNCTION("""COMPUTED_VALUE"""),422)</f>
        <v>422</v>
      </c>
      <c r="K25" s="3">
        <f t="shared" si="2"/>
        <v>0</v>
      </c>
      <c r="L25" s="3">
        <f t="shared" si="3"/>
        <v>0</v>
      </c>
    </row>
    <row r="26" customHeight="1" spans="1:12">
      <c r="A26" s="47">
        <f>IFERROR(__xludf.DUMMYFUNCTION("""COMPUTED_VALUE"""),45779.6458333333)</f>
        <v>45779.6458333333</v>
      </c>
      <c r="B26" s="48">
        <f>IFERROR(__xludf.DUMMYFUNCTION("""COMPUTED_VALUE"""),430.25)</f>
        <v>430.25</v>
      </c>
      <c r="C26" s="47">
        <f>IFERROR(__xludf.DUMMYFUNCTION("""COMPUTED_VALUE"""),45779.6458333333)</f>
        <v>45779.6458333333</v>
      </c>
      <c r="D26" s="48">
        <f>IFERROR(__xludf.DUMMYFUNCTION("""COMPUTED_VALUE"""),424.1)</f>
        <v>424.1</v>
      </c>
      <c r="E26" s="47">
        <f>IFERROR(__xludf.DUMMYFUNCTION("""COMPUTED_VALUE"""),45779.6458333333)</f>
        <v>45779.6458333333</v>
      </c>
      <c r="F26" s="48">
        <f>IFERROR(__xludf.DUMMYFUNCTION("""COMPUTED_VALUE"""),9263372)</f>
        <v>9263372</v>
      </c>
      <c r="G26" s="47">
        <f>IFERROR(__xludf.DUMMYFUNCTION("""COMPUTED_VALUE"""),45779.6458333333)</f>
        <v>45779.6458333333</v>
      </c>
      <c r="H26" s="48">
        <f>IFERROR(__xludf.DUMMYFUNCTION("""COMPUTED_VALUE"""),431.5)</f>
        <v>431.5</v>
      </c>
      <c r="I26" s="47">
        <f>IFERROR(__xludf.DUMMYFUNCTION("""COMPUTED_VALUE"""),45779.6458333333)</f>
        <v>45779.6458333333</v>
      </c>
      <c r="J26" s="48">
        <f>IFERROR(__xludf.DUMMYFUNCTION("""COMPUTED_VALUE"""),424.1)</f>
        <v>424.1</v>
      </c>
      <c r="K26" s="3">
        <f t="shared" si="2"/>
        <v>0</v>
      </c>
      <c r="L26" s="3">
        <f t="shared" si="3"/>
        <v>0</v>
      </c>
    </row>
    <row r="27" customHeight="1" spans="1:12">
      <c r="A27" s="47">
        <f>IFERROR(__xludf.DUMMYFUNCTION("""COMPUTED_VALUE"""),45782.6458333333)</f>
        <v>45782.6458333333</v>
      </c>
      <c r="B27" s="48">
        <f>IFERROR(__xludf.DUMMYFUNCTION("""COMPUTED_VALUE"""),436.95)</f>
        <v>436.95</v>
      </c>
      <c r="C27" s="47">
        <f>IFERROR(__xludf.DUMMYFUNCTION("""COMPUTED_VALUE"""),45782.6458333333)</f>
        <v>45782.6458333333</v>
      </c>
      <c r="D27" s="48">
        <f>IFERROR(__xludf.DUMMYFUNCTION("""COMPUTED_VALUE"""),430.25)</f>
        <v>430.25</v>
      </c>
      <c r="E27" s="47">
        <f>IFERROR(__xludf.DUMMYFUNCTION("""COMPUTED_VALUE"""),45782.6458333333)</f>
        <v>45782.6458333333</v>
      </c>
      <c r="F27" s="48">
        <f>IFERROR(__xludf.DUMMYFUNCTION("""COMPUTED_VALUE"""),11525305)</f>
        <v>11525305</v>
      </c>
      <c r="G27" s="47">
        <f>IFERROR(__xludf.DUMMYFUNCTION("""COMPUTED_VALUE"""),45782.6458333333)</f>
        <v>45782.6458333333</v>
      </c>
      <c r="H27" s="48">
        <f>IFERROR(__xludf.DUMMYFUNCTION("""COMPUTED_VALUE"""),438.5)</f>
        <v>438.5</v>
      </c>
      <c r="I27" s="47">
        <f>IFERROR(__xludf.DUMMYFUNCTION("""COMPUTED_VALUE"""),45782.6458333333)</f>
        <v>45782.6458333333</v>
      </c>
      <c r="J27" s="48">
        <f>IFERROR(__xludf.DUMMYFUNCTION("""COMPUTED_VALUE"""),429.35)</f>
        <v>429.35</v>
      </c>
      <c r="K27" s="3">
        <f t="shared" si="2"/>
        <v>436.95</v>
      </c>
      <c r="L27" s="3">
        <f t="shared" si="3"/>
        <v>0</v>
      </c>
    </row>
    <row r="28" customHeight="1" spans="1:12">
      <c r="A28" s="47">
        <f>IFERROR(__xludf.DUMMYFUNCTION("""COMPUTED_VALUE"""),45783.6458333333)</f>
        <v>45783.6458333333</v>
      </c>
      <c r="B28" s="48">
        <f>IFERROR(__xludf.DUMMYFUNCTION("""COMPUTED_VALUE"""),435.55)</f>
        <v>435.55</v>
      </c>
      <c r="C28" s="47">
        <f>IFERROR(__xludf.DUMMYFUNCTION("""COMPUTED_VALUE"""),45783.6458333333)</f>
        <v>45783.6458333333</v>
      </c>
      <c r="D28" s="48">
        <f>IFERROR(__xludf.DUMMYFUNCTION("""COMPUTED_VALUE"""),437.5)</f>
        <v>437.5</v>
      </c>
      <c r="E28" s="47">
        <f>IFERROR(__xludf.DUMMYFUNCTION("""COMPUTED_VALUE"""),45783.6458333333)</f>
        <v>45783.6458333333</v>
      </c>
      <c r="F28" s="48">
        <f>IFERROR(__xludf.DUMMYFUNCTION("""COMPUTED_VALUE"""),15026568)</f>
        <v>15026568</v>
      </c>
      <c r="G28" s="47">
        <f>IFERROR(__xludf.DUMMYFUNCTION("""COMPUTED_VALUE"""),45783.6458333333)</f>
        <v>45783.6458333333</v>
      </c>
      <c r="H28" s="48">
        <f>IFERROR(__xludf.DUMMYFUNCTION("""COMPUTED_VALUE"""),439.65)</f>
        <v>439.65</v>
      </c>
      <c r="I28" s="47">
        <f>IFERROR(__xludf.DUMMYFUNCTION("""COMPUTED_VALUE"""),45783.6458333333)</f>
        <v>45783.6458333333</v>
      </c>
      <c r="J28" s="48">
        <f>IFERROR(__xludf.DUMMYFUNCTION("""COMPUTED_VALUE"""),433)</f>
        <v>433</v>
      </c>
      <c r="K28" s="3">
        <f t="shared" si="2"/>
        <v>0</v>
      </c>
      <c r="L28" s="3">
        <f t="shared" si="3"/>
        <v>0</v>
      </c>
    </row>
    <row r="29" customHeight="1" spans="1:12">
      <c r="A29" s="47">
        <f>IFERROR(__xludf.DUMMYFUNCTION("""COMPUTED_VALUE"""),45784.6458333333)</f>
        <v>45784.6458333333</v>
      </c>
      <c r="B29" s="48">
        <f>IFERROR(__xludf.DUMMYFUNCTION("""COMPUTED_VALUE"""),431.15)</f>
        <v>431.15</v>
      </c>
      <c r="C29" s="47">
        <f>IFERROR(__xludf.DUMMYFUNCTION("""COMPUTED_VALUE"""),45784.6458333333)</f>
        <v>45784.6458333333</v>
      </c>
      <c r="D29" s="48">
        <f>IFERROR(__xludf.DUMMYFUNCTION("""COMPUTED_VALUE"""),433.4)</f>
        <v>433.4</v>
      </c>
      <c r="E29" s="47">
        <f>IFERROR(__xludf.DUMMYFUNCTION("""COMPUTED_VALUE"""),45784.6458333333)</f>
        <v>45784.6458333333</v>
      </c>
      <c r="F29" s="48">
        <f>IFERROR(__xludf.DUMMYFUNCTION("""COMPUTED_VALUE"""),9710361)</f>
        <v>9710361</v>
      </c>
      <c r="G29" s="47">
        <f>IFERROR(__xludf.DUMMYFUNCTION("""COMPUTED_VALUE"""),45784.6458333333)</f>
        <v>45784.6458333333</v>
      </c>
      <c r="H29" s="48">
        <f>IFERROR(__xludf.DUMMYFUNCTION("""COMPUTED_VALUE"""),435)</f>
        <v>435</v>
      </c>
      <c r="I29" s="47">
        <f>IFERROR(__xludf.DUMMYFUNCTION("""COMPUTED_VALUE"""),45784.6458333333)</f>
        <v>45784.6458333333</v>
      </c>
      <c r="J29" s="48">
        <f>IFERROR(__xludf.DUMMYFUNCTION("""COMPUTED_VALUE"""),429.7)</f>
        <v>429.7</v>
      </c>
      <c r="K29" s="3">
        <f t="shared" si="2"/>
        <v>0</v>
      </c>
      <c r="L29" s="3">
        <f t="shared" si="3"/>
        <v>0</v>
      </c>
    </row>
    <row r="30" customHeight="1" spans="1:12">
      <c r="A30" s="47">
        <f>IFERROR(__xludf.DUMMYFUNCTION("""COMPUTED_VALUE"""),45785.6458333333)</f>
        <v>45785.6458333333</v>
      </c>
      <c r="B30" s="48">
        <f>IFERROR(__xludf.DUMMYFUNCTION("""COMPUTED_VALUE"""),430.6)</f>
        <v>430.6</v>
      </c>
      <c r="C30" s="47">
        <f>IFERROR(__xludf.DUMMYFUNCTION("""COMPUTED_VALUE"""),45785.6458333333)</f>
        <v>45785.6458333333</v>
      </c>
      <c r="D30" s="48">
        <f>IFERROR(__xludf.DUMMYFUNCTION("""COMPUTED_VALUE"""),429)</f>
        <v>429</v>
      </c>
      <c r="E30" s="47">
        <f>IFERROR(__xludf.DUMMYFUNCTION("""COMPUTED_VALUE"""),45785.6458333333)</f>
        <v>45785.6458333333</v>
      </c>
      <c r="F30" s="48">
        <f>IFERROR(__xludf.DUMMYFUNCTION("""COMPUTED_VALUE"""),19937960)</f>
        <v>19937960</v>
      </c>
      <c r="G30" s="47">
        <f>IFERROR(__xludf.DUMMYFUNCTION("""COMPUTED_VALUE"""),45785.6458333333)</f>
        <v>45785.6458333333</v>
      </c>
      <c r="H30" s="48">
        <f>IFERROR(__xludf.DUMMYFUNCTION("""COMPUTED_VALUE"""),431.5)</f>
        <v>431.5</v>
      </c>
      <c r="I30" s="47">
        <f>IFERROR(__xludf.DUMMYFUNCTION("""COMPUTED_VALUE"""),45785.6458333333)</f>
        <v>45785.6458333333</v>
      </c>
      <c r="J30" s="48">
        <f>IFERROR(__xludf.DUMMYFUNCTION("""COMPUTED_VALUE"""),423.55)</f>
        <v>423.55</v>
      </c>
      <c r="K30" s="3">
        <f t="shared" si="2"/>
        <v>0</v>
      </c>
      <c r="L30" s="3">
        <f t="shared" si="3"/>
        <v>0</v>
      </c>
    </row>
    <row r="31" customHeight="1" spans="1:12">
      <c r="A31" s="47">
        <f>IFERROR(__xludf.DUMMYFUNCTION("""COMPUTED_VALUE"""),45786.6458333333)</f>
        <v>45786.6458333333</v>
      </c>
      <c r="B31" s="48">
        <f>IFERROR(__xludf.DUMMYFUNCTION("""COMPUTED_VALUE"""),423.55)</f>
        <v>423.55</v>
      </c>
      <c r="C31" s="47">
        <f>IFERROR(__xludf.DUMMYFUNCTION("""COMPUTED_VALUE"""),45786.6458333333)</f>
        <v>45786.6458333333</v>
      </c>
      <c r="D31" s="48">
        <f>IFERROR(__xludf.DUMMYFUNCTION("""COMPUTED_VALUE"""),425.95)</f>
        <v>425.95</v>
      </c>
      <c r="E31" s="47">
        <f>IFERROR(__xludf.DUMMYFUNCTION("""COMPUTED_VALUE"""),45786.6458333333)</f>
        <v>45786.6458333333</v>
      </c>
      <c r="F31" s="48">
        <f>IFERROR(__xludf.DUMMYFUNCTION("""COMPUTED_VALUE"""),8226512)</f>
        <v>8226512</v>
      </c>
      <c r="G31" s="47">
        <f>IFERROR(__xludf.DUMMYFUNCTION("""COMPUTED_VALUE"""),45786.6458333333)</f>
        <v>45786.6458333333</v>
      </c>
      <c r="H31" s="48">
        <f>IFERROR(__xludf.DUMMYFUNCTION("""COMPUTED_VALUE"""),429.15)</f>
        <v>429.15</v>
      </c>
      <c r="I31" s="47">
        <f>IFERROR(__xludf.DUMMYFUNCTION("""COMPUTED_VALUE"""),45786.6458333333)</f>
        <v>45786.6458333333</v>
      </c>
      <c r="J31" s="48">
        <f>IFERROR(__xludf.DUMMYFUNCTION("""COMPUTED_VALUE"""),423)</f>
        <v>423</v>
      </c>
      <c r="K31" s="3">
        <f t="shared" si="2"/>
        <v>0</v>
      </c>
      <c r="L31" s="3">
        <f t="shared" si="3"/>
        <v>423.55</v>
      </c>
    </row>
    <row r="32" customHeight="1" spans="1:12">
      <c r="A32" s="47">
        <f>IFERROR(__xludf.DUMMYFUNCTION("""COMPUTED_VALUE"""),45789.6458333333)</f>
        <v>45789.6458333333</v>
      </c>
      <c r="B32" s="48">
        <f>IFERROR(__xludf.DUMMYFUNCTION("""COMPUTED_VALUE"""),435.5)</f>
        <v>435.5</v>
      </c>
      <c r="C32" s="47">
        <f>IFERROR(__xludf.DUMMYFUNCTION("""COMPUTED_VALUE"""),45789.6458333333)</f>
        <v>45789.6458333333</v>
      </c>
      <c r="D32" s="48">
        <f>IFERROR(__xludf.DUMMYFUNCTION("""COMPUTED_VALUE"""),429.5)</f>
        <v>429.5</v>
      </c>
      <c r="E32" s="47">
        <f>IFERROR(__xludf.DUMMYFUNCTION("""COMPUTED_VALUE"""),45789.6458333333)</f>
        <v>45789.6458333333</v>
      </c>
      <c r="F32" s="48">
        <f>IFERROR(__xludf.DUMMYFUNCTION("""COMPUTED_VALUE"""),8031891)</f>
        <v>8031891</v>
      </c>
      <c r="G32" s="47">
        <f>IFERROR(__xludf.DUMMYFUNCTION("""COMPUTED_VALUE"""),45789.6458333333)</f>
        <v>45789.6458333333</v>
      </c>
      <c r="H32" s="48">
        <f>IFERROR(__xludf.DUMMYFUNCTION("""COMPUTED_VALUE"""),436.2)</f>
        <v>436.2</v>
      </c>
      <c r="I32" s="47">
        <f>IFERROR(__xludf.DUMMYFUNCTION("""COMPUTED_VALUE"""),45789.6458333333)</f>
        <v>45789.6458333333</v>
      </c>
      <c r="J32" s="48">
        <f>IFERROR(__xludf.DUMMYFUNCTION("""COMPUTED_VALUE"""),428.15)</f>
        <v>428.15</v>
      </c>
      <c r="K32" s="3">
        <f t="shared" si="2"/>
        <v>0</v>
      </c>
      <c r="L32" s="3">
        <f t="shared" si="3"/>
        <v>0</v>
      </c>
    </row>
    <row r="33" customHeight="1" spans="1:12">
      <c r="A33" s="47">
        <f>IFERROR(__xludf.DUMMYFUNCTION("""COMPUTED_VALUE"""),45790.6458333333)</f>
        <v>45790.6458333333</v>
      </c>
      <c r="B33" s="48">
        <f>IFERROR(__xludf.DUMMYFUNCTION("""COMPUTED_VALUE"""),427.9)</f>
        <v>427.9</v>
      </c>
      <c r="C33" s="47">
        <f>IFERROR(__xludf.DUMMYFUNCTION("""COMPUTED_VALUE"""),45790.6458333333)</f>
        <v>45790.6458333333</v>
      </c>
      <c r="D33" s="48">
        <f>IFERROR(__xludf.DUMMYFUNCTION("""COMPUTED_VALUE"""),434.9)</f>
        <v>434.9</v>
      </c>
      <c r="E33" s="47">
        <f>IFERROR(__xludf.DUMMYFUNCTION("""COMPUTED_VALUE"""),45790.6458333333)</f>
        <v>45790.6458333333</v>
      </c>
      <c r="F33" s="48">
        <f>IFERROR(__xludf.DUMMYFUNCTION("""COMPUTED_VALUE"""),14976369)</f>
        <v>14976369</v>
      </c>
      <c r="G33" s="47">
        <f>IFERROR(__xludf.DUMMYFUNCTION("""COMPUTED_VALUE"""),45790.6458333333)</f>
        <v>45790.6458333333</v>
      </c>
      <c r="H33" s="48">
        <f>IFERROR(__xludf.DUMMYFUNCTION("""COMPUTED_VALUE"""),437.95)</f>
        <v>437.95</v>
      </c>
      <c r="I33" s="47">
        <f>IFERROR(__xludf.DUMMYFUNCTION("""COMPUTED_VALUE"""),45790.6458333333)</f>
        <v>45790.6458333333</v>
      </c>
      <c r="J33" s="48">
        <f>IFERROR(__xludf.DUMMYFUNCTION("""COMPUTED_VALUE"""),425.35)</f>
        <v>425.35</v>
      </c>
      <c r="K33" s="3">
        <f t="shared" si="2"/>
        <v>0</v>
      </c>
      <c r="L33" s="3">
        <f t="shared" si="3"/>
        <v>0</v>
      </c>
    </row>
    <row r="34" customHeight="1" spans="1:12">
      <c r="A34" s="47">
        <f>IFERROR(__xludf.DUMMYFUNCTION("""COMPUTED_VALUE"""),45791.6458333333)</f>
        <v>45791.6458333333</v>
      </c>
      <c r="B34" s="48">
        <f>IFERROR(__xludf.DUMMYFUNCTION("""COMPUTED_VALUE"""),429.1)</f>
        <v>429.1</v>
      </c>
      <c r="C34" s="47">
        <f>IFERROR(__xludf.DUMMYFUNCTION("""COMPUTED_VALUE"""),45791.6458333333)</f>
        <v>45791.6458333333</v>
      </c>
      <c r="D34" s="48">
        <f>IFERROR(__xludf.DUMMYFUNCTION("""COMPUTED_VALUE"""),427.1)</f>
        <v>427.1</v>
      </c>
      <c r="E34" s="47">
        <f>IFERROR(__xludf.DUMMYFUNCTION("""COMPUTED_VALUE"""),45791.6458333333)</f>
        <v>45791.6458333333</v>
      </c>
      <c r="F34" s="48">
        <f>IFERROR(__xludf.DUMMYFUNCTION("""COMPUTED_VALUE"""),9557309)</f>
        <v>9557309</v>
      </c>
      <c r="G34" s="47">
        <f>IFERROR(__xludf.DUMMYFUNCTION("""COMPUTED_VALUE"""),45791.6458333333)</f>
        <v>45791.6458333333</v>
      </c>
      <c r="H34" s="48">
        <f>IFERROR(__xludf.DUMMYFUNCTION("""COMPUTED_VALUE"""),431.85)</f>
        <v>431.85</v>
      </c>
      <c r="I34" s="47">
        <f>IFERROR(__xludf.DUMMYFUNCTION("""COMPUTED_VALUE"""),45791.6458333333)</f>
        <v>45791.6458333333</v>
      </c>
      <c r="J34" s="48">
        <f>IFERROR(__xludf.DUMMYFUNCTION("""COMPUTED_VALUE"""),425.9)</f>
        <v>425.9</v>
      </c>
      <c r="K34" s="3">
        <f t="shared" si="2"/>
        <v>0</v>
      </c>
      <c r="L34" s="3">
        <f t="shared" si="3"/>
        <v>0</v>
      </c>
    </row>
    <row r="35" customHeight="1" spans="1:12">
      <c r="A35" s="47">
        <f>IFERROR(__xludf.DUMMYFUNCTION("""COMPUTED_VALUE"""),45792.6458333333)</f>
        <v>45792.6458333333</v>
      </c>
      <c r="B35" s="48">
        <f>IFERROR(__xludf.DUMMYFUNCTION("""COMPUTED_VALUE"""),432.65)</f>
        <v>432.65</v>
      </c>
      <c r="C35" s="47">
        <f>IFERROR(__xludf.DUMMYFUNCTION("""COMPUTED_VALUE"""),45792.6458333333)</f>
        <v>45792.6458333333</v>
      </c>
      <c r="D35" s="48">
        <f>IFERROR(__xludf.DUMMYFUNCTION("""COMPUTED_VALUE"""),429.1)</f>
        <v>429.1</v>
      </c>
      <c r="E35" s="47">
        <f>IFERROR(__xludf.DUMMYFUNCTION("""COMPUTED_VALUE"""),45792.6458333333)</f>
        <v>45792.6458333333</v>
      </c>
      <c r="F35" s="48">
        <f>IFERROR(__xludf.DUMMYFUNCTION("""COMPUTED_VALUE"""),24263510)</f>
        <v>24263510</v>
      </c>
      <c r="G35" s="47">
        <f>IFERROR(__xludf.DUMMYFUNCTION("""COMPUTED_VALUE"""),45792.6458333333)</f>
        <v>45792.6458333333</v>
      </c>
      <c r="H35" s="48">
        <f>IFERROR(__xludf.DUMMYFUNCTION("""COMPUTED_VALUE"""),435.4)</f>
        <v>435.4</v>
      </c>
      <c r="I35" s="47">
        <f>IFERROR(__xludf.DUMMYFUNCTION("""COMPUTED_VALUE"""),45792.6458333333)</f>
        <v>45792.6458333333</v>
      </c>
      <c r="J35" s="48">
        <f>IFERROR(__xludf.DUMMYFUNCTION("""COMPUTED_VALUE"""),426)</f>
        <v>426</v>
      </c>
      <c r="K35" s="3">
        <f t="shared" si="2"/>
        <v>0</v>
      </c>
      <c r="L35" s="3">
        <f t="shared" si="3"/>
        <v>0</v>
      </c>
    </row>
    <row r="36" customHeight="1" spans="1:12">
      <c r="A36" s="47">
        <f>IFERROR(__xludf.DUMMYFUNCTION("""COMPUTED_VALUE"""),45793.6458333333)</f>
        <v>45793.6458333333</v>
      </c>
      <c r="B36" s="48">
        <f>IFERROR(__xludf.DUMMYFUNCTION("""COMPUTED_VALUE"""),435.7)</f>
        <v>435.7</v>
      </c>
      <c r="C36" s="47">
        <f>IFERROR(__xludf.DUMMYFUNCTION("""COMPUTED_VALUE"""),45793.6458333333)</f>
        <v>45793.6458333333</v>
      </c>
      <c r="D36" s="48">
        <f>IFERROR(__xludf.DUMMYFUNCTION("""COMPUTED_VALUE"""),434.9)</f>
        <v>434.9</v>
      </c>
      <c r="E36" s="47">
        <f>IFERROR(__xludf.DUMMYFUNCTION("""COMPUTED_VALUE"""),45793.6458333333)</f>
        <v>45793.6458333333</v>
      </c>
      <c r="F36" s="48">
        <f>IFERROR(__xludf.DUMMYFUNCTION("""COMPUTED_VALUE"""),16402035)</f>
        <v>16402035</v>
      </c>
      <c r="G36" s="47">
        <f>IFERROR(__xludf.DUMMYFUNCTION("""COMPUTED_VALUE"""),45793.6458333333)</f>
        <v>45793.6458333333</v>
      </c>
      <c r="H36" s="48">
        <f>IFERROR(__xludf.DUMMYFUNCTION("""COMPUTED_VALUE"""),436.2)</f>
        <v>436.2</v>
      </c>
      <c r="I36" s="47">
        <f>IFERROR(__xludf.DUMMYFUNCTION("""COMPUTED_VALUE"""),45793.6458333333)</f>
        <v>45793.6458333333</v>
      </c>
      <c r="J36" s="48">
        <f>IFERROR(__xludf.DUMMYFUNCTION("""COMPUTED_VALUE"""),432.1)</f>
        <v>432.1</v>
      </c>
      <c r="K36" s="3">
        <f t="shared" si="2"/>
        <v>0</v>
      </c>
      <c r="L36" s="3">
        <f t="shared" si="3"/>
        <v>0</v>
      </c>
    </row>
    <row r="37" customHeight="1" spans="1:12">
      <c r="A37" s="47">
        <f>IFERROR(__xludf.DUMMYFUNCTION("""COMPUTED_VALUE"""),45796.6458333333)</f>
        <v>45796.6458333333</v>
      </c>
      <c r="B37" s="48">
        <f>IFERROR(__xludf.DUMMYFUNCTION("""COMPUTED_VALUE"""),435.35)</f>
        <v>435.35</v>
      </c>
      <c r="C37" s="47">
        <f>IFERROR(__xludf.DUMMYFUNCTION("""COMPUTED_VALUE"""),45796.6458333333)</f>
        <v>45796.6458333333</v>
      </c>
      <c r="D37" s="48">
        <f>IFERROR(__xludf.DUMMYFUNCTION("""COMPUTED_VALUE"""),435)</f>
        <v>435</v>
      </c>
      <c r="E37" s="47">
        <f>IFERROR(__xludf.DUMMYFUNCTION("""COMPUTED_VALUE"""),45796.6458333333)</f>
        <v>45796.6458333333</v>
      </c>
      <c r="F37" s="48">
        <f>IFERROR(__xludf.DUMMYFUNCTION("""COMPUTED_VALUE"""),7543854)</f>
        <v>7543854</v>
      </c>
      <c r="G37" s="47">
        <f>IFERROR(__xludf.DUMMYFUNCTION("""COMPUTED_VALUE"""),45796.6458333333)</f>
        <v>45796.6458333333</v>
      </c>
      <c r="H37" s="48">
        <f>IFERROR(__xludf.DUMMYFUNCTION("""COMPUTED_VALUE"""),438.5)</f>
        <v>438.5</v>
      </c>
      <c r="I37" s="47">
        <f>IFERROR(__xludf.DUMMYFUNCTION("""COMPUTED_VALUE"""),45796.6458333333)</f>
        <v>45796.6458333333</v>
      </c>
      <c r="J37" s="48">
        <f>IFERROR(__xludf.DUMMYFUNCTION("""COMPUTED_VALUE"""),432.65)</f>
        <v>432.65</v>
      </c>
      <c r="K37" s="3">
        <f t="shared" si="2"/>
        <v>0</v>
      </c>
      <c r="L37" s="3">
        <f t="shared" si="3"/>
        <v>0</v>
      </c>
    </row>
    <row r="38" customHeight="1" spans="1:12">
      <c r="A38" s="47">
        <f>IFERROR(__xludf.DUMMYFUNCTION("""COMPUTED_VALUE"""),45797.6458333333)</f>
        <v>45797.6458333333</v>
      </c>
      <c r="B38" s="48">
        <f>IFERROR(__xludf.DUMMYFUNCTION("""COMPUTED_VALUE"""),434.9)</f>
        <v>434.9</v>
      </c>
      <c r="C38" s="47">
        <f>IFERROR(__xludf.DUMMYFUNCTION("""COMPUTED_VALUE"""),45797.6458333333)</f>
        <v>45797.6458333333</v>
      </c>
      <c r="D38" s="48">
        <f>IFERROR(__xludf.DUMMYFUNCTION("""COMPUTED_VALUE"""),437)</f>
        <v>437</v>
      </c>
      <c r="E38" s="47">
        <f>IFERROR(__xludf.DUMMYFUNCTION("""COMPUTED_VALUE"""),45797.6458333333)</f>
        <v>45797.6458333333</v>
      </c>
      <c r="F38" s="48">
        <f>IFERROR(__xludf.DUMMYFUNCTION("""COMPUTED_VALUE"""),9868414)</f>
        <v>9868414</v>
      </c>
      <c r="G38" s="47">
        <f>IFERROR(__xludf.DUMMYFUNCTION("""COMPUTED_VALUE"""),45797.6458333333)</f>
        <v>45797.6458333333</v>
      </c>
      <c r="H38" s="48">
        <f>IFERROR(__xludf.DUMMYFUNCTION("""COMPUTED_VALUE"""),440.8)</f>
        <v>440.8</v>
      </c>
      <c r="I38" s="47">
        <f>IFERROR(__xludf.DUMMYFUNCTION("""COMPUTED_VALUE"""),45797.6458333333)</f>
        <v>45797.6458333333</v>
      </c>
      <c r="J38" s="48">
        <f>IFERROR(__xludf.DUMMYFUNCTION("""COMPUTED_VALUE"""),432.9)</f>
        <v>432.9</v>
      </c>
      <c r="K38" s="3">
        <f t="shared" si="2"/>
        <v>0</v>
      </c>
      <c r="L38" s="3">
        <f t="shared" si="3"/>
        <v>0</v>
      </c>
    </row>
    <row r="39" customHeight="1" spans="1:12">
      <c r="A39" s="47">
        <f>IFERROR(__xludf.DUMMYFUNCTION("""COMPUTED_VALUE"""),45798.6458333333)</f>
        <v>45798.6458333333</v>
      </c>
      <c r="B39" s="48">
        <f>IFERROR(__xludf.DUMMYFUNCTION("""COMPUTED_VALUE"""),433)</f>
        <v>433</v>
      </c>
      <c r="C39" s="47">
        <f>IFERROR(__xludf.DUMMYFUNCTION("""COMPUTED_VALUE"""),45798.6458333333)</f>
        <v>45798.6458333333</v>
      </c>
      <c r="D39" s="48">
        <f>IFERROR(__xludf.DUMMYFUNCTION("""COMPUTED_VALUE"""),436.6)</f>
        <v>436.6</v>
      </c>
      <c r="E39" s="47">
        <f>IFERROR(__xludf.DUMMYFUNCTION("""COMPUTED_VALUE"""),45798.6458333333)</f>
        <v>45798.6458333333</v>
      </c>
      <c r="F39" s="48">
        <f>IFERROR(__xludf.DUMMYFUNCTION("""COMPUTED_VALUE"""),5776672)</f>
        <v>5776672</v>
      </c>
      <c r="G39" s="47">
        <f>IFERROR(__xludf.DUMMYFUNCTION("""COMPUTED_VALUE"""),45798.6458333333)</f>
        <v>45798.6458333333</v>
      </c>
      <c r="H39" s="48">
        <f>IFERROR(__xludf.DUMMYFUNCTION("""COMPUTED_VALUE"""),438.2)</f>
        <v>438.2</v>
      </c>
      <c r="I39" s="47">
        <f>IFERROR(__xludf.DUMMYFUNCTION("""COMPUTED_VALUE"""),45798.6458333333)</f>
        <v>45798.6458333333</v>
      </c>
      <c r="J39" s="48">
        <f>IFERROR(__xludf.DUMMYFUNCTION("""COMPUTED_VALUE"""),432)</f>
        <v>432</v>
      </c>
      <c r="K39" s="3">
        <f t="shared" si="2"/>
        <v>0</v>
      </c>
      <c r="L39" s="3">
        <f t="shared" si="3"/>
        <v>0</v>
      </c>
    </row>
    <row r="40" customHeight="1" spans="1:12">
      <c r="A40" s="47">
        <f>IFERROR(__xludf.DUMMYFUNCTION("""COMPUTED_VALUE"""),45799.6458333333)</f>
        <v>45799.6458333333</v>
      </c>
      <c r="B40" s="48">
        <f>IFERROR(__xludf.DUMMYFUNCTION("""COMPUTED_VALUE"""),426.1)</f>
        <v>426.1</v>
      </c>
      <c r="C40" s="47">
        <f>IFERROR(__xludf.DUMMYFUNCTION("""COMPUTED_VALUE"""),45799.6458333333)</f>
        <v>45799.6458333333</v>
      </c>
      <c r="D40" s="48">
        <f>IFERROR(__xludf.DUMMYFUNCTION("""COMPUTED_VALUE"""),433)</f>
        <v>433</v>
      </c>
      <c r="E40" s="47">
        <f>IFERROR(__xludf.DUMMYFUNCTION("""COMPUTED_VALUE"""),45799.6458333333)</f>
        <v>45799.6458333333</v>
      </c>
      <c r="F40" s="48">
        <f>IFERROR(__xludf.DUMMYFUNCTION("""COMPUTED_VALUE"""),19451749)</f>
        <v>19451749</v>
      </c>
      <c r="G40" s="47">
        <f>IFERROR(__xludf.DUMMYFUNCTION("""COMPUTED_VALUE"""),45799.6458333333)</f>
        <v>45799.6458333333</v>
      </c>
      <c r="H40" s="48">
        <f>IFERROR(__xludf.DUMMYFUNCTION("""COMPUTED_VALUE"""),433)</f>
        <v>433</v>
      </c>
      <c r="I40" s="47">
        <f>IFERROR(__xludf.DUMMYFUNCTION("""COMPUTED_VALUE"""),45799.6458333333)</f>
        <v>45799.6458333333</v>
      </c>
      <c r="J40" s="48">
        <f>IFERROR(__xludf.DUMMYFUNCTION("""COMPUTED_VALUE"""),422.9)</f>
        <v>422.9</v>
      </c>
      <c r="K40" s="3">
        <f t="shared" si="2"/>
        <v>0</v>
      </c>
      <c r="L40" s="3">
        <f t="shared" si="3"/>
        <v>0</v>
      </c>
    </row>
    <row r="41" customHeight="1" spans="1:12">
      <c r="A41" s="47">
        <f>IFERROR(__xludf.DUMMYFUNCTION("""COMPUTED_VALUE"""),45800.6458333333)</f>
        <v>45800.6458333333</v>
      </c>
      <c r="B41" s="48">
        <f>IFERROR(__xludf.DUMMYFUNCTION("""COMPUTED_VALUE"""),436.3)</f>
        <v>436.3</v>
      </c>
      <c r="C41" s="47">
        <f>IFERROR(__xludf.DUMMYFUNCTION("""COMPUTED_VALUE"""),45800.6458333333)</f>
        <v>45800.6458333333</v>
      </c>
      <c r="D41" s="48">
        <f>IFERROR(__xludf.DUMMYFUNCTION("""COMPUTED_VALUE"""),434)</f>
        <v>434</v>
      </c>
      <c r="E41" s="47">
        <f>IFERROR(__xludf.DUMMYFUNCTION("""COMPUTED_VALUE"""),45800.6458333333)</f>
        <v>45800.6458333333</v>
      </c>
      <c r="F41" s="48">
        <f>IFERROR(__xludf.DUMMYFUNCTION("""COMPUTED_VALUE"""),18536884)</f>
        <v>18536884</v>
      </c>
      <c r="G41" s="47">
        <f>IFERROR(__xludf.DUMMYFUNCTION("""COMPUTED_VALUE"""),45800.6458333333)</f>
        <v>45800.6458333333</v>
      </c>
      <c r="H41" s="48">
        <f>IFERROR(__xludf.DUMMYFUNCTION("""COMPUTED_VALUE"""),439)</f>
        <v>439</v>
      </c>
      <c r="I41" s="47">
        <f>IFERROR(__xludf.DUMMYFUNCTION("""COMPUTED_VALUE"""),45800.6458333333)</f>
        <v>45800.6458333333</v>
      </c>
      <c r="J41" s="48">
        <f>IFERROR(__xludf.DUMMYFUNCTION("""COMPUTED_VALUE"""),429)</f>
        <v>429</v>
      </c>
      <c r="K41" s="3">
        <f t="shared" si="2"/>
        <v>0</v>
      </c>
      <c r="L41" s="3">
        <f t="shared" si="3"/>
        <v>0</v>
      </c>
    </row>
    <row r="42" customHeight="1" spans="1:12">
      <c r="A42" s="47">
        <f>IFERROR(__xludf.DUMMYFUNCTION("""COMPUTED_VALUE"""),45803.6458333333)</f>
        <v>45803.6458333333</v>
      </c>
      <c r="B42" s="48">
        <f>IFERROR(__xludf.DUMMYFUNCTION("""COMPUTED_VALUE"""),442.9)</f>
        <v>442.9</v>
      </c>
      <c r="C42" s="47">
        <f>IFERROR(__xludf.DUMMYFUNCTION("""COMPUTED_VALUE"""),45803.6458333333)</f>
        <v>45803.6458333333</v>
      </c>
      <c r="D42" s="48">
        <f>IFERROR(__xludf.DUMMYFUNCTION("""COMPUTED_VALUE"""),438.25)</f>
        <v>438.25</v>
      </c>
      <c r="E42" s="47">
        <f>IFERROR(__xludf.DUMMYFUNCTION("""COMPUTED_VALUE"""),45803.6458333333)</f>
        <v>45803.6458333333</v>
      </c>
      <c r="F42" s="48">
        <f>IFERROR(__xludf.DUMMYFUNCTION("""COMPUTED_VALUE"""),13107662)</f>
        <v>13107662</v>
      </c>
      <c r="G42" s="47">
        <f>IFERROR(__xludf.DUMMYFUNCTION("""COMPUTED_VALUE"""),45803.6458333333)</f>
        <v>45803.6458333333</v>
      </c>
      <c r="H42" s="48">
        <f>IFERROR(__xludf.DUMMYFUNCTION("""COMPUTED_VALUE"""),443.55)</f>
        <v>443.55</v>
      </c>
      <c r="I42" s="47">
        <f>IFERROR(__xludf.DUMMYFUNCTION("""COMPUTED_VALUE"""),45803.6458333333)</f>
        <v>45803.6458333333</v>
      </c>
      <c r="J42" s="48">
        <f>IFERROR(__xludf.DUMMYFUNCTION("""COMPUTED_VALUE"""),436.75)</f>
        <v>436.75</v>
      </c>
      <c r="K42" s="3">
        <f t="shared" si="2"/>
        <v>442.9</v>
      </c>
      <c r="L42" s="3">
        <f t="shared" si="3"/>
        <v>0</v>
      </c>
    </row>
    <row r="43" customHeight="1" spans="1:12">
      <c r="A43" s="47">
        <f>IFERROR(__xludf.DUMMYFUNCTION("""COMPUTED_VALUE"""),45804.6458333333)</f>
        <v>45804.6458333333</v>
      </c>
      <c r="B43" s="48">
        <f>IFERROR(__xludf.DUMMYFUNCTION("""COMPUTED_VALUE"""),433.9)</f>
        <v>433.9</v>
      </c>
      <c r="C43" s="47">
        <f>IFERROR(__xludf.DUMMYFUNCTION("""COMPUTED_VALUE"""),45804.6458333333)</f>
        <v>45804.6458333333</v>
      </c>
      <c r="D43" s="48">
        <f>IFERROR(__xludf.DUMMYFUNCTION("""COMPUTED_VALUE"""),442.9)</f>
        <v>442.9</v>
      </c>
      <c r="E43" s="47">
        <f>IFERROR(__xludf.DUMMYFUNCTION("""COMPUTED_VALUE"""),45804.6458333333)</f>
        <v>45804.6458333333</v>
      </c>
      <c r="F43" s="48">
        <f>IFERROR(__xludf.DUMMYFUNCTION("""COMPUTED_VALUE"""),26986022)</f>
        <v>26986022</v>
      </c>
      <c r="G43" s="47">
        <f>IFERROR(__xludf.DUMMYFUNCTION("""COMPUTED_VALUE"""),45804.6458333333)</f>
        <v>45804.6458333333</v>
      </c>
      <c r="H43" s="48">
        <f>IFERROR(__xludf.DUMMYFUNCTION("""COMPUTED_VALUE"""),444.2)</f>
        <v>444.2</v>
      </c>
      <c r="I43" s="47">
        <f>IFERROR(__xludf.DUMMYFUNCTION("""COMPUTED_VALUE"""),45804.6458333333)</f>
        <v>45804.6458333333</v>
      </c>
      <c r="J43" s="48">
        <f>IFERROR(__xludf.DUMMYFUNCTION("""COMPUTED_VALUE"""),430.85)</f>
        <v>430.85</v>
      </c>
      <c r="K43" s="3">
        <f t="shared" si="2"/>
        <v>0</v>
      </c>
      <c r="L43" s="3">
        <f t="shared" si="3"/>
        <v>0</v>
      </c>
    </row>
    <row r="44" customHeight="1" spans="1:12">
      <c r="A44" s="47">
        <f>IFERROR(__xludf.DUMMYFUNCTION("""COMPUTED_VALUE"""),45805.6458333333)</f>
        <v>45805.6458333333</v>
      </c>
      <c r="B44" s="48">
        <f>IFERROR(__xludf.DUMMYFUNCTION("""COMPUTED_VALUE"""),420.2)</f>
        <v>420.2</v>
      </c>
      <c r="C44" s="47">
        <f>IFERROR(__xludf.DUMMYFUNCTION("""COMPUTED_VALUE"""),45805.6458333333)</f>
        <v>45805.6458333333</v>
      </c>
      <c r="D44" s="48">
        <f>IFERROR(__xludf.DUMMYFUNCTION("""COMPUTED_VALUE"""),417.7)</f>
        <v>417.7</v>
      </c>
      <c r="E44" s="47">
        <f>IFERROR(__xludf.DUMMYFUNCTION("""COMPUTED_VALUE"""),45805.6458333333)</f>
        <v>45805.6458333333</v>
      </c>
      <c r="F44" s="48">
        <f>IFERROR(__xludf.DUMMYFUNCTION("""COMPUTED_VALUE"""),431851622)</f>
        <v>431851622</v>
      </c>
      <c r="G44" s="47">
        <f>IFERROR(__xludf.DUMMYFUNCTION("""COMPUTED_VALUE"""),45805.6458333333)</f>
        <v>45805.6458333333</v>
      </c>
      <c r="H44" s="48">
        <f>IFERROR(__xludf.DUMMYFUNCTION("""COMPUTED_VALUE"""),422.6)</f>
        <v>422.6</v>
      </c>
      <c r="I44" s="47">
        <f>IFERROR(__xludf.DUMMYFUNCTION("""COMPUTED_VALUE"""),45805.6458333333)</f>
        <v>45805.6458333333</v>
      </c>
      <c r="J44" s="48">
        <f>IFERROR(__xludf.DUMMYFUNCTION("""COMPUTED_VALUE"""),413)</f>
        <v>413</v>
      </c>
      <c r="K44" s="3">
        <f t="shared" si="2"/>
        <v>0</v>
      </c>
      <c r="L44" s="3">
        <f t="shared" si="3"/>
        <v>0</v>
      </c>
    </row>
    <row r="45" customHeight="1" spans="1:12">
      <c r="A45" s="47">
        <f>IFERROR(__xludf.DUMMYFUNCTION("""COMPUTED_VALUE"""),45806.6458333333)</f>
        <v>45806.6458333333</v>
      </c>
      <c r="B45" s="48">
        <f>IFERROR(__xludf.DUMMYFUNCTION("""COMPUTED_VALUE"""),418.75)</f>
        <v>418.75</v>
      </c>
      <c r="C45" s="47">
        <f>IFERROR(__xludf.DUMMYFUNCTION("""COMPUTED_VALUE"""),45806.6458333333)</f>
        <v>45806.6458333333</v>
      </c>
      <c r="D45" s="48">
        <f>IFERROR(__xludf.DUMMYFUNCTION("""COMPUTED_VALUE"""),422)</f>
        <v>422</v>
      </c>
      <c r="E45" s="47">
        <f>IFERROR(__xludf.DUMMYFUNCTION("""COMPUTED_VALUE"""),45806.6458333333)</f>
        <v>45806.6458333333</v>
      </c>
      <c r="F45" s="48">
        <f>IFERROR(__xludf.DUMMYFUNCTION("""COMPUTED_VALUE"""),21478547)</f>
        <v>21478547</v>
      </c>
      <c r="G45" s="47">
        <f>IFERROR(__xludf.DUMMYFUNCTION("""COMPUTED_VALUE"""),45806.6458333333)</f>
        <v>45806.6458333333</v>
      </c>
      <c r="H45" s="48">
        <f>IFERROR(__xludf.DUMMYFUNCTION("""COMPUTED_VALUE"""),422.8)</f>
        <v>422.8</v>
      </c>
      <c r="I45" s="47">
        <f>IFERROR(__xludf.DUMMYFUNCTION("""COMPUTED_VALUE"""),45806.6458333333)</f>
        <v>45806.6458333333</v>
      </c>
      <c r="J45" s="48">
        <f>IFERROR(__xludf.DUMMYFUNCTION("""COMPUTED_VALUE"""),416.6)</f>
        <v>416.6</v>
      </c>
      <c r="K45" s="3">
        <f t="shared" si="2"/>
        <v>0</v>
      </c>
      <c r="L45" s="3">
        <f t="shared" si="3"/>
        <v>0</v>
      </c>
    </row>
    <row r="46" customHeight="1" spans="1:12">
      <c r="A46" s="47">
        <f>IFERROR(__xludf.DUMMYFUNCTION("""COMPUTED_VALUE"""),45807.6458333333)</f>
        <v>45807.6458333333</v>
      </c>
      <c r="B46" s="48">
        <f>IFERROR(__xludf.DUMMYFUNCTION("""COMPUTED_VALUE"""),418.05)</f>
        <v>418.05</v>
      </c>
      <c r="C46" s="47">
        <f>IFERROR(__xludf.DUMMYFUNCTION("""COMPUTED_VALUE"""),45807.6458333333)</f>
        <v>45807.6458333333</v>
      </c>
      <c r="D46" s="48">
        <f>IFERROR(__xludf.DUMMYFUNCTION("""COMPUTED_VALUE"""),419.1)</f>
        <v>419.1</v>
      </c>
      <c r="E46" s="47">
        <f>IFERROR(__xludf.DUMMYFUNCTION("""COMPUTED_VALUE"""),45807.6458333333)</f>
        <v>45807.6458333333</v>
      </c>
      <c r="F46" s="48">
        <f>IFERROR(__xludf.DUMMYFUNCTION("""COMPUTED_VALUE"""),30656239)</f>
        <v>30656239</v>
      </c>
      <c r="G46" s="47">
        <f>IFERROR(__xludf.DUMMYFUNCTION("""COMPUTED_VALUE"""),45807.6458333333)</f>
        <v>45807.6458333333</v>
      </c>
      <c r="H46" s="48">
        <f>IFERROR(__xludf.DUMMYFUNCTION("""COMPUTED_VALUE"""),420.05)</f>
        <v>420.05</v>
      </c>
      <c r="I46" s="47">
        <f>IFERROR(__xludf.DUMMYFUNCTION("""COMPUTED_VALUE"""),45807.6458333333)</f>
        <v>45807.6458333333</v>
      </c>
      <c r="J46" s="48">
        <f>IFERROR(__xludf.DUMMYFUNCTION("""COMPUTED_VALUE"""),416.4)</f>
        <v>416.4</v>
      </c>
      <c r="K46" s="3">
        <f t="shared" si="2"/>
        <v>0</v>
      </c>
      <c r="L46" s="3">
        <f t="shared" si="3"/>
        <v>0</v>
      </c>
    </row>
    <row r="47" customHeight="1" spans="1:12">
      <c r="A47" s="47">
        <f>IFERROR(__xludf.DUMMYFUNCTION("""COMPUTED_VALUE"""),45810.6458333333)</f>
        <v>45810.6458333333</v>
      </c>
      <c r="B47" s="48">
        <f>IFERROR(__xludf.DUMMYFUNCTION("""COMPUTED_VALUE"""),419.3)</f>
        <v>419.3</v>
      </c>
      <c r="C47" s="47">
        <f>IFERROR(__xludf.DUMMYFUNCTION("""COMPUTED_VALUE"""),45810.6458333333)</f>
        <v>45810.6458333333</v>
      </c>
      <c r="D47" s="48">
        <f>IFERROR(__xludf.DUMMYFUNCTION("""COMPUTED_VALUE"""),418.3)</f>
        <v>418.3</v>
      </c>
      <c r="E47" s="47">
        <f>IFERROR(__xludf.DUMMYFUNCTION("""COMPUTED_VALUE"""),45810.6458333333)</f>
        <v>45810.6458333333</v>
      </c>
      <c r="F47" s="48">
        <f>IFERROR(__xludf.DUMMYFUNCTION("""COMPUTED_VALUE"""),14973380)</f>
        <v>14973380</v>
      </c>
      <c r="G47" s="47">
        <f>IFERROR(__xludf.DUMMYFUNCTION("""COMPUTED_VALUE"""),45810.6458333333)</f>
        <v>45810.6458333333</v>
      </c>
      <c r="H47" s="48">
        <f>IFERROR(__xludf.DUMMYFUNCTION("""COMPUTED_VALUE"""),420.45)</f>
        <v>420.45</v>
      </c>
      <c r="I47" s="47">
        <f>IFERROR(__xludf.DUMMYFUNCTION("""COMPUTED_VALUE"""),45810.6458333333)</f>
        <v>45810.6458333333</v>
      </c>
      <c r="J47" s="48">
        <f>IFERROR(__xludf.DUMMYFUNCTION("""COMPUTED_VALUE"""),414.55)</f>
        <v>414.55</v>
      </c>
      <c r="K47" s="3">
        <f t="shared" si="2"/>
        <v>0</v>
      </c>
      <c r="L47" s="3">
        <f t="shared" si="3"/>
        <v>0</v>
      </c>
    </row>
    <row r="48" customHeight="1" spans="1:12">
      <c r="A48" s="47">
        <f>IFERROR(__xludf.DUMMYFUNCTION("""COMPUTED_VALUE"""),45811.6458333333)</f>
        <v>45811.6458333333</v>
      </c>
      <c r="B48" s="48">
        <f>IFERROR(__xludf.DUMMYFUNCTION("""COMPUTED_VALUE"""),416.95)</f>
        <v>416.95</v>
      </c>
      <c r="C48" s="47">
        <f>IFERROR(__xludf.DUMMYFUNCTION("""COMPUTED_VALUE"""),45811.6458333333)</f>
        <v>45811.6458333333</v>
      </c>
      <c r="D48" s="48">
        <f>IFERROR(__xludf.DUMMYFUNCTION("""COMPUTED_VALUE"""),419)</f>
        <v>419</v>
      </c>
      <c r="E48" s="47">
        <f>IFERROR(__xludf.DUMMYFUNCTION("""COMPUTED_VALUE"""),45811.6458333333)</f>
        <v>45811.6458333333</v>
      </c>
      <c r="F48" s="48">
        <f>IFERROR(__xludf.DUMMYFUNCTION("""COMPUTED_VALUE"""),13216486)</f>
        <v>13216486</v>
      </c>
      <c r="G48" s="47">
        <f>IFERROR(__xludf.DUMMYFUNCTION("""COMPUTED_VALUE"""),45811.6458333333)</f>
        <v>45811.6458333333</v>
      </c>
      <c r="H48" s="48">
        <f>IFERROR(__xludf.DUMMYFUNCTION("""COMPUTED_VALUE"""),421.7)</f>
        <v>421.7</v>
      </c>
      <c r="I48" s="47">
        <f>IFERROR(__xludf.DUMMYFUNCTION("""COMPUTED_VALUE"""),45811.6458333333)</f>
        <v>45811.6458333333</v>
      </c>
      <c r="J48" s="48">
        <f>IFERROR(__xludf.DUMMYFUNCTION("""COMPUTED_VALUE"""),415.65)</f>
        <v>415.65</v>
      </c>
      <c r="K48" s="3">
        <f t="shared" si="2"/>
        <v>0</v>
      </c>
      <c r="L48" s="3">
        <f t="shared" si="3"/>
        <v>416.95</v>
      </c>
    </row>
    <row r="49" customHeight="1" spans="1:12">
      <c r="A49" s="47">
        <f>IFERROR(__xludf.DUMMYFUNCTION("""COMPUTED_VALUE"""),45812.6458333333)</f>
        <v>45812.6458333333</v>
      </c>
      <c r="B49" s="48">
        <f>IFERROR(__xludf.DUMMYFUNCTION("""COMPUTED_VALUE"""),417)</f>
        <v>417</v>
      </c>
      <c r="C49" s="47">
        <f>IFERROR(__xludf.DUMMYFUNCTION("""COMPUTED_VALUE"""),45812.6458333333)</f>
        <v>45812.6458333333</v>
      </c>
      <c r="D49" s="48">
        <f>IFERROR(__xludf.DUMMYFUNCTION("""COMPUTED_VALUE"""),417.15)</f>
        <v>417.15</v>
      </c>
      <c r="E49" s="47">
        <f>IFERROR(__xludf.DUMMYFUNCTION("""COMPUTED_VALUE"""),45812.6458333333)</f>
        <v>45812.6458333333</v>
      </c>
      <c r="F49" s="48">
        <f>IFERROR(__xludf.DUMMYFUNCTION("""COMPUTED_VALUE"""),12598933)</f>
        <v>12598933</v>
      </c>
      <c r="G49" s="47">
        <f>IFERROR(__xludf.DUMMYFUNCTION("""COMPUTED_VALUE"""),45812.6458333333)</f>
        <v>45812.6458333333</v>
      </c>
      <c r="H49" s="48">
        <f>IFERROR(__xludf.DUMMYFUNCTION("""COMPUTED_VALUE"""),419)</f>
        <v>419</v>
      </c>
      <c r="I49" s="47">
        <f>IFERROR(__xludf.DUMMYFUNCTION("""COMPUTED_VALUE"""),45812.6458333333)</f>
        <v>45812.6458333333</v>
      </c>
      <c r="J49" s="48">
        <f>IFERROR(__xludf.DUMMYFUNCTION("""COMPUTED_VALUE"""),415.95)</f>
        <v>415.95</v>
      </c>
      <c r="K49" s="3">
        <f t="shared" si="2"/>
        <v>0</v>
      </c>
      <c r="L49" s="3">
        <f t="shared" si="3"/>
        <v>0</v>
      </c>
    </row>
    <row r="50" customHeight="1" spans="1:12">
      <c r="A50" s="47">
        <f>IFERROR(__xludf.DUMMYFUNCTION("""COMPUTED_VALUE"""),45813.6458333333)</f>
        <v>45813.6458333333</v>
      </c>
      <c r="B50" s="48">
        <f>IFERROR(__xludf.DUMMYFUNCTION("""COMPUTED_VALUE"""),419.1)</f>
        <v>419.1</v>
      </c>
      <c r="C50" s="47">
        <f>IFERROR(__xludf.DUMMYFUNCTION("""COMPUTED_VALUE"""),45813.6458333333)</f>
        <v>45813.6458333333</v>
      </c>
      <c r="D50" s="48">
        <f>IFERROR(__xludf.DUMMYFUNCTION("""COMPUTED_VALUE"""),418.5)</f>
        <v>418.5</v>
      </c>
      <c r="E50" s="47">
        <f>IFERROR(__xludf.DUMMYFUNCTION("""COMPUTED_VALUE"""),45813.6458333333)</f>
        <v>45813.6458333333</v>
      </c>
      <c r="F50" s="48">
        <f>IFERROR(__xludf.DUMMYFUNCTION("""COMPUTED_VALUE"""),13212523)</f>
        <v>13212523</v>
      </c>
      <c r="G50" s="47">
        <f>IFERROR(__xludf.DUMMYFUNCTION("""COMPUTED_VALUE"""),45813.6458333333)</f>
        <v>45813.6458333333</v>
      </c>
      <c r="H50" s="48">
        <f>IFERROR(__xludf.DUMMYFUNCTION("""COMPUTED_VALUE"""),420.95)</f>
        <v>420.95</v>
      </c>
      <c r="I50" s="47">
        <f>IFERROR(__xludf.DUMMYFUNCTION("""COMPUTED_VALUE"""),45813.6458333333)</f>
        <v>45813.6458333333</v>
      </c>
      <c r="J50" s="48">
        <f>IFERROR(__xludf.DUMMYFUNCTION("""COMPUTED_VALUE"""),415.75)</f>
        <v>415.75</v>
      </c>
      <c r="K50" s="3">
        <f t="shared" si="2"/>
        <v>0</v>
      </c>
      <c r="L50" s="3">
        <f t="shared" si="3"/>
        <v>0</v>
      </c>
    </row>
    <row r="51" customHeight="1" spans="1:12">
      <c r="A51" s="47">
        <f>IFERROR(__xludf.DUMMYFUNCTION("""COMPUTED_VALUE"""),45814.6458333333)</f>
        <v>45814.6458333333</v>
      </c>
      <c r="B51" s="48">
        <f>IFERROR(__xludf.DUMMYFUNCTION("""COMPUTED_VALUE"""),421.05)</f>
        <v>421.05</v>
      </c>
      <c r="C51" s="47">
        <f>IFERROR(__xludf.DUMMYFUNCTION("""COMPUTED_VALUE"""),45814.6458333333)</f>
        <v>45814.6458333333</v>
      </c>
      <c r="D51" s="48">
        <f>IFERROR(__xludf.DUMMYFUNCTION("""COMPUTED_VALUE"""),420.3)</f>
        <v>420.3</v>
      </c>
      <c r="E51" s="47">
        <f>IFERROR(__xludf.DUMMYFUNCTION("""COMPUTED_VALUE"""),45814.6458333333)</f>
        <v>45814.6458333333</v>
      </c>
      <c r="F51" s="48">
        <f>IFERROR(__xludf.DUMMYFUNCTION("""COMPUTED_VALUE"""),8774988)</f>
        <v>8774988</v>
      </c>
      <c r="G51" s="47">
        <f>IFERROR(__xludf.DUMMYFUNCTION("""COMPUTED_VALUE"""),45814.6458333333)</f>
        <v>45814.6458333333</v>
      </c>
      <c r="H51" s="48">
        <f>IFERROR(__xludf.DUMMYFUNCTION("""COMPUTED_VALUE"""),421.3)</f>
        <v>421.3</v>
      </c>
      <c r="I51" s="47">
        <f>IFERROR(__xludf.DUMMYFUNCTION("""COMPUTED_VALUE"""),45814.6458333333)</f>
        <v>45814.6458333333</v>
      </c>
      <c r="J51" s="48">
        <f>IFERROR(__xludf.DUMMYFUNCTION("""COMPUTED_VALUE"""),419)</f>
        <v>419</v>
      </c>
      <c r="K51" s="3">
        <f t="shared" si="2"/>
        <v>0</v>
      </c>
      <c r="L51" s="3">
        <f t="shared" si="3"/>
        <v>0</v>
      </c>
    </row>
    <row r="52" customHeight="1" spans="1:12">
      <c r="A52" s="47">
        <f>IFERROR(__xludf.DUMMYFUNCTION("""COMPUTED_VALUE"""),45817.6458333333)</f>
        <v>45817.6458333333</v>
      </c>
      <c r="B52" s="48">
        <f>IFERROR(__xludf.DUMMYFUNCTION("""COMPUTED_VALUE"""),423.05)</f>
        <v>423.05</v>
      </c>
      <c r="C52" s="47">
        <f>IFERROR(__xludf.DUMMYFUNCTION("""COMPUTED_VALUE"""),45817.6458333333)</f>
        <v>45817.6458333333</v>
      </c>
      <c r="D52" s="48">
        <f>IFERROR(__xludf.DUMMYFUNCTION("""COMPUTED_VALUE"""),422)</f>
        <v>422</v>
      </c>
      <c r="E52" s="47">
        <f>IFERROR(__xludf.DUMMYFUNCTION("""COMPUTED_VALUE"""),45817.6458333333)</f>
        <v>45817.6458333333</v>
      </c>
      <c r="F52" s="48">
        <f>IFERROR(__xludf.DUMMYFUNCTION("""COMPUTED_VALUE"""),10473123)</f>
        <v>10473123</v>
      </c>
      <c r="G52" s="47">
        <f>IFERROR(__xludf.DUMMYFUNCTION("""COMPUTED_VALUE"""),45817.6458333333)</f>
        <v>45817.6458333333</v>
      </c>
      <c r="H52" s="48">
        <f>IFERROR(__xludf.DUMMYFUNCTION("""COMPUTED_VALUE"""),423.6)</f>
        <v>423.6</v>
      </c>
      <c r="I52" s="47">
        <f>IFERROR(__xludf.DUMMYFUNCTION("""COMPUTED_VALUE"""),45817.6458333333)</f>
        <v>45817.6458333333</v>
      </c>
      <c r="J52" s="48">
        <f>IFERROR(__xludf.DUMMYFUNCTION("""COMPUTED_VALUE"""),420.5)</f>
        <v>420.5</v>
      </c>
      <c r="K52" s="3">
        <f t="shared" si="2"/>
        <v>0</v>
      </c>
      <c r="L52" s="3">
        <f t="shared" si="3"/>
        <v>0</v>
      </c>
    </row>
    <row r="53" customHeight="1" spans="1:12">
      <c r="A53" s="47">
        <f>IFERROR(__xludf.DUMMYFUNCTION("""COMPUTED_VALUE"""),45818.6458333333)</f>
        <v>45818.6458333333</v>
      </c>
      <c r="B53" s="48">
        <f>IFERROR(__xludf.DUMMYFUNCTION("""COMPUTED_VALUE"""),427)</f>
        <v>427</v>
      </c>
      <c r="C53" s="47">
        <f>IFERROR(__xludf.DUMMYFUNCTION("""COMPUTED_VALUE"""),45818.6458333333)</f>
        <v>45818.6458333333</v>
      </c>
      <c r="D53" s="48">
        <f>IFERROR(__xludf.DUMMYFUNCTION("""COMPUTED_VALUE"""),424.5)</f>
        <v>424.5</v>
      </c>
      <c r="E53" s="47">
        <f>IFERROR(__xludf.DUMMYFUNCTION("""COMPUTED_VALUE"""),45818.6458333333)</f>
        <v>45818.6458333333</v>
      </c>
      <c r="F53" s="48">
        <f>IFERROR(__xludf.DUMMYFUNCTION("""COMPUTED_VALUE"""),13041075)</f>
        <v>13041075</v>
      </c>
      <c r="G53" s="47">
        <f>IFERROR(__xludf.DUMMYFUNCTION("""COMPUTED_VALUE"""),45818.6458333333)</f>
        <v>45818.6458333333</v>
      </c>
      <c r="H53" s="48">
        <f>IFERROR(__xludf.DUMMYFUNCTION("""COMPUTED_VALUE"""),428.55)</f>
        <v>428.55</v>
      </c>
      <c r="I53" s="47">
        <f>IFERROR(__xludf.DUMMYFUNCTION("""COMPUTED_VALUE"""),45818.6458333333)</f>
        <v>45818.6458333333</v>
      </c>
      <c r="J53" s="48">
        <f>IFERROR(__xludf.DUMMYFUNCTION("""COMPUTED_VALUE"""),423.05)</f>
        <v>423.05</v>
      </c>
      <c r="K53" s="3">
        <f t="shared" si="2"/>
        <v>427</v>
      </c>
      <c r="L53" s="3">
        <f t="shared" si="3"/>
        <v>0</v>
      </c>
    </row>
    <row r="54" customHeight="1" spans="1:12">
      <c r="A54" s="47">
        <f>IFERROR(__xludf.DUMMYFUNCTION("""COMPUTED_VALUE"""),45819.6458333333)</f>
        <v>45819.6458333333</v>
      </c>
      <c r="B54" s="48">
        <f>IFERROR(__xludf.DUMMYFUNCTION("""COMPUTED_VALUE"""),426.15)</f>
        <v>426.15</v>
      </c>
      <c r="C54" s="47">
        <f>IFERROR(__xludf.DUMMYFUNCTION("""COMPUTED_VALUE"""),45819.6458333333)</f>
        <v>45819.6458333333</v>
      </c>
      <c r="D54" s="48">
        <f>IFERROR(__xludf.DUMMYFUNCTION("""COMPUTED_VALUE"""),428)</f>
        <v>428</v>
      </c>
      <c r="E54" s="47">
        <f>IFERROR(__xludf.DUMMYFUNCTION("""COMPUTED_VALUE"""),45819.6458333333)</f>
        <v>45819.6458333333</v>
      </c>
      <c r="F54" s="48">
        <f>IFERROR(__xludf.DUMMYFUNCTION("""COMPUTED_VALUE"""),20789182)</f>
        <v>20789182</v>
      </c>
      <c r="G54" s="47">
        <f>IFERROR(__xludf.DUMMYFUNCTION("""COMPUTED_VALUE"""),45819.6458333333)</f>
        <v>45819.6458333333</v>
      </c>
      <c r="H54" s="48">
        <f>IFERROR(__xludf.DUMMYFUNCTION("""COMPUTED_VALUE"""),428.1)</f>
        <v>428.1</v>
      </c>
      <c r="I54" s="47">
        <f>IFERROR(__xludf.DUMMYFUNCTION("""COMPUTED_VALUE"""),45819.6458333333)</f>
        <v>45819.6458333333</v>
      </c>
      <c r="J54" s="48">
        <f>IFERROR(__xludf.DUMMYFUNCTION("""COMPUTED_VALUE"""),424.85)</f>
        <v>424.85</v>
      </c>
      <c r="K54" s="3">
        <f t="shared" si="2"/>
        <v>0</v>
      </c>
      <c r="L54" s="3">
        <f t="shared" si="3"/>
        <v>0</v>
      </c>
    </row>
    <row r="55" customHeight="1" spans="1:12">
      <c r="A55" s="47">
        <f>IFERROR(__xludf.DUMMYFUNCTION("""COMPUTED_VALUE"""),45820.6458333333)</f>
        <v>45820.6458333333</v>
      </c>
      <c r="B55" s="48">
        <f>IFERROR(__xludf.DUMMYFUNCTION("""COMPUTED_VALUE"""),421)</f>
        <v>421</v>
      </c>
      <c r="C55" s="47">
        <f>IFERROR(__xludf.DUMMYFUNCTION("""COMPUTED_VALUE"""),45820.6458333333)</f>
        <v>45820.6458333333</v>
      </c>
      <c r="D55" s="48">
        <f>IFERROR(__xludf.DUMMYFUNCTION("""COMPUTED_VALUE"""),427)</f>
        <v>427</v>
      </c>
      <c r="E55" s="47">
        <f>IFERROR(__xludf.DUMMYFUNCTION("""COMPUTED_VALUE"""),45820.6458333333)</f>
        <v>45820.6458333333</v>
      </c>
      <c r="F55" s="48">
        <f>IFERROR(__xludf.DUMMYFUNCTION("""COMPUTED_VALUE"""),18508835)</f>
        <v>18508835</v>
      </c>
      <c r="G55" s="47">
        <f>IFERROR(__xludf.DUMMYFUNCTION("""COMPUTED_VALUE"""),45820.6458333333)</f>
        <v>45820.6458333333</v>
      </c>
      <c r="H55" s="48">
        <f>IFERROR(__xludf.DUMMYFUNCTION("""COMPUTED_VALUE"""),427.2)</f>
        <v>427.2</v>
      </c>
      <c r="I55" s="47">
        <f>IFERROR(__xludf.DUMMYFUNCTION("""COMPUTED_VALUE"""),45820.6458333333)</f>
        <v>45820.6458333333</v>
      </c>
      <c r="J55" s="48">
        <f>IFERROR(__xludf.DUMMYFUNCTION("""COMPUTED_VALUE"""),419.55)</f>
        <v>419.55</v>
      </c>
      <c r="K55" s="3">
        <f t="shared" si="2"/>
        <v>0</v>
      </c>
      <c r="L55" s="3">
        <f t="shared" si="3"/>
        <v>0</v>
      </c>
    </row>
    <row r="56" customHeight="1" spans="1:12">
      <c r="A56" s="47">
        <f>IFERROR(__xludf.DUMMYFUNCTION("""COMPUTED_VALUE"""),45821.6458333333)</f>
        <v>45821.6458333333</v>
      </c>
      <c r="B56" s="48">
        <f>IFERROR(__xludf.DUMMYFUNCTION("""COMPUTED_VALUE"""),413.9)</f>
        <v>413.9</v>
      </c>
      <c r="C56" s="47">
        <f>IFERROR(__xludf.DUMMYFUNCTION("""COMPUTED_VALUE"""),45821.6458333333)</f>
        <v>45821.6458333333</v>
      </c>
      <c r="D56" s="48">
        <f>IFERROR(__xludf.DUMMYFUNCTION("""COMPUTED_VALUE"""),415)</f>
        <v>415</v>
      </c>
      <c r="E56" s="47">
        <f>IFERROR(__xludf.DUMMYFUNCTION("""COMPUTED_VALUE"""),45821.6458333333)</f>
        <v>45821.6458333333</v>
      </c>
      <c r="F56" s="48">
        <f>IFERROR(__xludf.DUMMYFUNCTION("""COMPUTED_VALUE"""),17873926)</f>
        <v>17873926</v>
      </c>
      <c r="G56" s="47">
        <f>IFERROR(__xludf.DUMMYFUNCTION("""COMPUTED_VALUE"""),45821.6458333333)</f>
        <v>45821.6458333333</v>
      </c>
      <c r="H56" s="48">
        <f>IFERROR(__xludf.DUMMYFUNCTION("""COMPUTED_VALUE"""),419.35)</f>
        <v>419.35</v>
      </c>
      <c r="I56" s="47">
        <f>IFERROR(__xludf.DUMMYFUNCTION("""COMPUTED_VALUE"""),45821.6458333333)</f>
        <v>45821.6458333333</v>
      </c>
      <c r="J56" s="48">
        <f>IFERROR(__xludf.DUMMYFUNCTION("""COMPUTED_VALUE"""),413.5)</f>
        <v>413.5</v>
      </c>
      <c r="K56" s="3">
        <f t="shared" si="2"/>
        <v>0</v>
      </c>
      <c r="L56" s="3">
        <f t="shared" si="3"/>
        <v>413.9</v>
      </c>
    </row>
    <row r="57" customHeight="1" spans="1:12">
      <c r="A57" s="47">
        <f>IFERROR(__xludf.DUMMYFUNCTION("""COMPUTED_VALUE"""),45824.6458333333)</f>
        <v>45824.6458333333</v>
      </c>
      <c r="B57" s="48">
        <f>IFERROR(__xludf.DUMMYFUNCTION("""COMPUTED_VALUE"""),418.2)</f>
        <v>418.2</v>
      </c>
      <c r="C57" s="47">
        <f>IFERROR(__xludf.DUMMYFUNCTION("""COMPUTED_VALUE"""),45824.6458333333)</f>
        <v>45824.6458333333</v>
      </c>
      <c r="D57" s="48">
        <f>IFERROR(__xludf.DUMMYFUNCTION("""COMPUTED_VALUE"""),414.95)</f>
        <v>414.95</v>
      </c>
      <c r="E57" s="47">
        <f>IFERROR(__xludf.DUMMYFUNCTION("""COMPUTED_VALUE"""),45824.6458333333)</f>
        <v>45824.6458333333</v>
      </c>
      <c r="F57" s="48">
        <f>IFERROR(__xludf.DUMMYFUNCTION("""COMPUTED_VALUE"""),7006629)</f>
        <v>7006629</v>
      </c>
      <c r="G57" s="47">
        <f>IFERROR(__xludf.DUMMYFUNCTION("""COMPUTED_VALUE"""),45824.6458333333)</f>
        <v>45824.6458333333</v>
      </c>
      <c r="H57" s="48">
        <f>IFERROR(__xludf.DUMMYFUNCTION("""COMPUTED_VALUE"""),418.9)</f>
        <v>418.9</v>
      </c>
      <c r="I57" s="47">
        <f>IFERROR(__xludf.DUMMYFUNCTION("""COMPUTED_VALUE"""),45824.6458333333)</f>
        <v>45824.6458333333</v>
      </c>
      <c r="J57" s="48">
        <f>IFERROR(__xludf.DUMMYFUNCTION("""COMPUTED_VALUE"""),413.25)</f>
        <v>413.25</v>
      </c>
      <c r="K57" s="3">
        <f t="shared" si="2"/>
        <v>0</v>
      </c>
      <c r="L57" s="3">
        <f t="shared" si="3"/>
        <v>0</v>
      </c>
    </row>
    <row r="58" customHeight="1" spans="1:12">
      <c r="A58" s="47">
        <f>IFERROR(__xludf.DUMMYFUNCTION("""COMPUTED_VALUE"""),45825.6458333333)</f>
        <v>45825.6458333333</v>
      </c>
      <c r="B58" s="48">
        <f>IFERROR(__xludf.DUMMYFUNCTION("""COMPUTED_VALUE"""),417.4)</f>
        <v>417.4</v>
      </c>
      <c r="C58" s="47">
        <f>IFERROR(__xludf.DUMMYFUNCTION("""COMPUTED_VALUE"""),45825.6458333333)</f>
        <v>45825.6458333333</v>
      </c>
      <c r="D58" s="48">
        <f>IFERROR(__xludf.DUMMYFUNCTION("""COMPUTED_VALUE"""),418.1)</f>
        <v>418.1</v>
      </c>
      <c r="E58" s="47">
        <f>IFERROR(__xludf.DUMMYFUNCTION("""COMPUTED_VALUE"""),45825.6458333333)</f>
        <v>45825.6458333333</v>
      </c>
      <c r="F58" s="48">
        <f>IFERROR(__xludf.DUMMYFUNCTION("""COMPUTED_VALUE"""),9028406)</f>
        <v>9028406</v>
      </c>
      <c r="G58" s="47">
        <f>IFERROR(__xludf.DUMMYFUNCTION("""COMPUTED_VALUE"""),45825.6458333333)</f>
        <v>45825.6458333333</v>
      </c>
      <c r="H58" s="48">
        <f>IFERROR(__xludf.DUMMYFUNCTION("""COMPUTED_VALUE"""),419.05)</f>
        <v>419.05</v>
      </c>
      <c r="I58" s="47">
        <f>IFERROR(__xludf.DUMMYFUNCTION("""COMPUTED_VALUE"""),45825.6458333333)</f>
        <v>45825.6458333333</v>
      </c>
      <c r="J58" s="48">
        <f>IFERROR(__xludf.DUMMYFUNCTION("""COMPUTED_VALUE"""),415.7)</f>
        <v>415.7</v>
      </c>
      <c r="K58" s="3">
        <f t="shared" si="2"/>
        <v>0</v>
      </c>
      <c r="L58" s="3">
        <f t="shared" si="3"/>
        <v>0</v>
      </c>
    </row>
    <row r="59" customHeight="1" spans="1:12">
      <c r="A59" s="47">
        <f>IFERROR(__xludf.DUMMYFUNCTION("""COMPUTED_VALUE"""),45826.6458333333)</f>
        <v>45826.6458333333</v>
      </c>
      <c r="B59" s="48">
        <f>IFERROR(__xludf.DUMMYFUNCTION("""COMPUTED_VALUE"""),415.9)</f>
        <v>415.9</v>
      </c>
      <c r="C59" s="47">
        <f>IFERROR(__xludf.DUMMYFUNCTION("""COMPUTED_VALUE"""),45826.6458333333)</f>
        <v>45826.6458333333</v>
      </c>
      <c r="D59" s="48">
        <f>IFERROR(__xludf.DUMMYFUNCTION("""COMPUTED_VALUE"""),417)</f>
        <v>417</v>
      </c>
      <c r="E59" s="47">
        <f>IFERROR(__xludf.DUMMYFUNCTION("""COMPUTED_VALUE"""),45826.6458333333)</f>
        <v>45826.6458333333</v>
      </c>
      <c r="F59" s="48">
        <f>IFERROR(__xludf.DUMMYFUNCTION("""COMPUTED_VALUE"""),8036215)</f>
        <v>8036215</v>
      </c>
      <c r="G59" s="47">
        <f>IFERROR(__xludf.DUMMYFUNCTION("""COMPUTED_VALUE"""),45826.6458333333)</f>
        <v>45826.6458333333</v>
      </c>
      <c r="H59" s="48">
        <f>IFERROR(__xludf.DUMMYFUNCTION("""COMPUTED_VALUE"""),418.45)</f>
        <v>418.45</v>
      </c>
      <c r="I59" s="47">
        <f>IFERROR(__xludf.DUMMYFUNCTION("""COMPUTED_VALUE"""),45826.6458333333)</f>
        <v>45826.6458333333</v>
      </c>
      <c r="J59" s="48">
        <f>IFERROR(__xludf.DUMMYFUNCTION("""COMPUTED_VALUE"""),414.9)</f>
        <v>414.9</v>
      </c>
      <c r="K59" s="3">
        <f t="shared" si="2"/>
        <v>0</v>
      </c>
      <c r="L59" s="3">
        <f t="shared" si="3"/>
        <v>0</v>
      </c>
    </row>
    <row r="60" customHeight="1" spans="1:12">
      <c r="A60" s="47">
        <f>IFERROR(__xludf.DUMMYFUNCTION("""COMPUTED_VALUE"""),45827.6458333333)</f>
        <v>45827.6458333333</v>
      </c>
      <c r="B60" s="48">
        <f>IFERROR(__xludf.DUMMYFUNCTION("""COMPUTED_VALUE"""),416)</f>
        <v>416</v>
      </c>
      <c r="C60" s="47">
        <f>IFERROR(__xludf.DUMMYFUNCTION("""COMPUTED_VALUE"""),45827.6458333333)</f>
        <v>45827.6458333333</v>
      </c>
      <c r="D60" s="48">
        <f>IFERROR(__xludf.DUMMYFUNCTION("""COMPUTED_VALUE"""),415.65)</f>
        <v>415.65</v>
      </c>
      <c r="E60" s="47">
        <f>IFERROR(__xludf.DUMMYFUNCTION("""COMPUTED_VALUE"""),45827.6458333333)</f>
        <v>45827.6458333333</v>
      </c>
      <c r="F60" s="48">
        <f>IFERROR(__xludf.DUMMYFUNCTION("""COMPUTED_VALUE"""),12601006)</f>
        <v>12601006</v>
      </c>
      <c r="G60" s="47">
        <f>IFERROR(__xludf.DUMMYFUNCTION("""COMPUTED_VALUE"""),45827.6458333333)</f>
        <v>45827.6458333333</v>
      </c>
      <c r="H60" s="48">
        <f>IFERROR(__xludf.DUMMYFUNCTION("""COMPUTED_VALUE"""),418.25)</f>
        <v>418.25</v>
      </c>
      <c r="I60" s="47">
        <f>IFERROR(__xludf.DUMMYFUNCTION("""COMPUTED_VALUE"""),45827.6458333333)</f>
        <v>45827.6458333333</v>
      </c>
      <c r="J60" s="48">
        <f>IFERROR(__xludf.DUMMYFUNCTION("""COMPUTED_VALUE"""),414.8)</f>
        <v>414.8</v>
      </c>
      <c r="K60" s="3">
        <f t="shared" si="2"/>
        <v>0</v>
      </c>
      <c r="L60" s="3">
        <f t="shared" si="3"/>
        <v>0</v>
      </c>
    </row>
    <row r="61" customHeight="1" spans="1:12">
      <c r="A61" s="47">
        <f>IFERROR(__xludf.DUMMYFUNCTION("""COMPUTED_VALUE"""),45828.6458333333)</f>
        <v>45828.6458333333</v>
      </c>
      <c r="B61" s="48">
        <f>IFERROR(__xludf.DUMMYFUNCTION("""COMPUTED_VALUE"""),418.55)</f>
        <v>418.55</v>
      </c>
      <c r="C61" s="47">
        <f>IFERROR(__xludf.DUMMYFUNCTION("""COMPUTED_VALUE"""),45828.6458333333)</f>
        <v>45828.6458333333</v>
      </c>
      <c r="D61" s="48">
        <f>IFERROR(__xludf.DUMMYFUNCTION("""COMPUTED_VALUE"""),416)</f>
        <v>416</v>
      </c>
      <c r="E61" s="47">
        <f>IFERROR(__xludf.DUMMYFUNCTION("""COMPUTED_VALUE"""),45828.6458333333)</f>
        <v>45828.6458333333</v>
      </c>
      <c r="F61" s="48">
        <f>IFERROR(__xludf.DUMMYFUNCTION("""COMPUTED_VALUE"""),13203184)</f>
        <v>13203184</v>
      </c>
      <c r="G61" s="47">
        <f>IFERROR(__xludf.DUMMYFUNCTION("""COMPUTED_VALUE"""),45828.6458333333)</f>
        <v>45828.6458333333</v>
      </c>
      <c r="H61" s="48">
        <f>IFERROR(__xludf.DUMMYFUNCTION("""COMPUTED_VALUE"""),419.5)</f>
        <v>419.5</v>
      </c>
      <c r="I61" s="47">
        <f>IFERROR(__xludf.DUMMYFUNCTION("""COMPUTED_VALUE"""),45828.6458333333)</f>
        <v>45828.6458333333</v>
      </c>
      <c r="J61" s="48">
        <f>IFERROR(__xludf.DUMMYFUNCTION("""COMPUTED_VALUE"""),416)</f>
        <v>416</v>
      </c>
      <c r="K61" s="3">
        <f t="shared" si="2"/>
        <v>0</v>
      </c>
      <c r="L61" s="3">
        <f t="shared" si="3"/>
        <v>0</v>
      </c>
    </row>
    <row r="62" customHeight="1" spans="1:12">
      <c r="A62" s="47">
        <f>IFERROR(__xludf.DUMMYFUNCTION("""COMPUTED_VALUE"""),45831.6458333333)</f>
        <v>45831.6458333333</v>
      </c>
      <c r="B62" s="48">
        <f>IFERROR(__xludf.DUMMYFUNCTION("""COMPUTED_VALUE"""),413.9)</f>
        <v>413.9</v>
      </c>
      <c r="C62" s="47">
        <f>IFERROR(__xludf.DUMMYFUNCTION("""COMPUTED_VALUE"""),45831.6458333333)</f>
        <v>45831.6458333333</v>
      </c>
      <c r="D62" s="48">
        <f>IFERROR(__xludf.DUMMYFUNCTION("""COMPUTED_VALUE"""),417)</f>
        <v>417</v>
      </c>
      <c r="E62" s="47">
        <f>IFERROR(__xludf.DUMMYFUNCTION("""COMPUTED_VALUE"""),45831.6458333333)</f>
        <v>45831.6458333333</v>
      </c>
      <c r="F62" s="48">
        <f>IFERROR(__xludf.DUMMYFUNCTION("""COMPUTED_VALUE"""),14839890)</f>
        <v>14839890</v>
      </c>
      <c r="G62" s="47">
        <f>IFERROR(__xludf.DUMMYFUNCTION("""COMPUTED_VALUE"""),45831.6458333333)</f>
        <v>45831.6458333333</v>
      </c>
      <c r="H62" s="48">
        <f>IFERROR(__xludf.DUMMYFUNCTION("""COMPUTED_VALUE"""),417.5)</f>
        <v>417.5</v>
      </c>
      <c r="I62" s="47">
        <f>IFERROR(__xludf.DUMMYFUNCTION("""COMPUTED_VALUE"""),45831.6458333333)</f>
        <v>45831.6458333333</v>
      </c>
      <c r="J62" s="48">
        <f>IFERROR(__xludf.DUMMYFUNCTION("""COMPUTED_VALUE"""),411.75)</f>
        <v>411.75</v>
      </c>
      <c r="K62" s="3">
        <f t="shared" si="2"/>
        <v>0</v>
      </c>
      <c r="L62" s="3">
        <f t="shared" si="3"/>
        <v>413.9</v>
      </c>
    </row>
    <row r="63" customHeight="1" spans="1:12">
      <c r="A63" s="47">
        <f>IFERROR(__xludf.DUMMYFUNCTION("""COMPUTED_VALUE"""),45832.6458333333)</f>
        <v>45832.6458333333</v>
      </c>
      <c r="B63" s="48">
        <f>IFERROR(__xludf.DUMMYFUNCTION("""COMPUTED_VALUE"""),414.35)</f>
        <v>414.35</v>
      </c>
      <c r="C63" s="47">
        <f>IFERROR(__xludf.DUMMYFUNCTION("""COMPUTED_VALUE"""),45832.6458333333)</f>
        <v>45832.6458333333</v>
      </c>
      <c r="D63" s="48">
        <f>IFERROR(__xludf.DUMMYFUNCTION("""COMPUTED_VALUE"""),416.9)</f>
        <v>416.9</v>
      </c>
      <c r="E63" s="47">
        <f>IFERROR(__xludf.DUMMYFUNCTION("""COMPUTED_VALUE"""),45832.6458333333)</f>
        <v>45832.6458333333</v>
      </c>
      <c r="F63" s="48">
        <f>IFERROR(__xludf.DUMMYFUNCTION("""COMPUTED_VALUE"""),16690068)</f>
        <v>16690068</v>
      </c>
      <c r="G63" s="47">
        <f>IFERROR(__xludf.DUMMYFUNCTION("""COMPUTED_VALUE"""),45832.6458333333)</f>
        <v>45832.6458333333</v>
      </c>
      <c r="H63" s="48">
        <f>IFERROR(__xludf.DUMMYFUNCTION("""COMPUTED_VALUE"""),420.65)</f>
        <v>420.65</v>
      </c>
      <c r="I63" s="47">
        <f>IFERROR(__xludf.DUMMYFUNCTION("""COMPUTED_VALUE"""),45832.6458333333)</f>
        <v>45832.6458333333</v>
      </c>
      <c r="J63" s="48">
        <f>IFERROR(__xludf.DUMMYFUNCTION("""COMPUTED_VALUE"""),413.75)</f>
        <v>413.75</v>
      </c>
      <c r="K63" s="3">
        <f t="shared" si="2"/>
        <v>0</v>
      </c>
      <c r="L63" s="3">
        <f t="shared" si="3"/>
        <v>0</v>
      </c>
    </row>
    <row r="64" customHeight="1" spans="1:12">
      <c r="A64" s="47">
        <f>IFERROR(__xludf.DUMMYFUNCTION("""COMPUTED_VALUE"""),45833.6458333333)</f>
        <v>45833.6458333333</v>
      </c>
      <c r="B64" s="48">
        <f>IFERROR(__xludf.DUMMYFUNCTION("""COMPUTED_VALUE"""),416.35)</f>
        <v>416.35</v>
      </c>
      <c r="C64" s="47">
        <f>IFERROR(__xludf.DUMMYFUNCTION("""COMPUTED_VALUE"""),45833.6458333333)</f>
        <v>45833.6458333333</v>
      </c>
      <c r="D64" s="48">
        <f>IFERROR(__xludf.DUMMYFUNCTION("""COMPUTED_VALUE"""),416.4)</f>
        <v>416.4</v>
      </c>
      <c r="E64" s="47">
        <f>IFERROR(__xludf.DUMMYFUNCTION("""COMPUTED_VALUE"""),45833.6458333333)</f>
        <v>45833.6458333333</v>
      </c>
      <c r="F64" s="48">
        <f>IFERROR(__xludf.DUMMYFUNCTION("""COMPUTED_VALUE"""),9946718)</f>
        <v>9946718</v>
      </c>
      <c r="G64" s="47">
        <f>IFERROR(__xludf.DUMMYFUNCTION("""COMPUTED_VALUE"""),45833.6458333333)</f>
        <v>45833.6458333333</v>
      </c>
      <c r="H64" s="48">
        <f>IFERROR(__xludf.DUMMYFUNCTION("""COMPUTED_VALUE"""),418.15)</f>
        <v>418.15</v>
      </c>
      <c r="I64" s="47">
        <f>IFERROR(__xludf.DUMMYFUNCTION("""COMPUTED_VALUE"""),45833.6458333333)</f>
        <v>45833.6458333333</v>
      </c>
      <c r="J64" s="48">
        <f>IFERROR(__xludf.DUMMYFUNCTION("""COMPUTED_VALUE"""),415.1)</f>
        <v>415.1</v>
      </c>
      <c r="K64" s="3">
        <f t="shared" si="2"/>
        <v>0</v>
      </c>
      <c r="L64" s="3">
        <f t="shared" si="3"/>
        <v>0</v>
      </c>
    </row>
    <row r="65" customHeight="1" spans="1:12">
      <c r="A65" s="47">
        <f>IFERROR(__xludf.DUMMYFUNCTION("""COMPUTED_VALUE"""),45834.6458333333)</f>
        <v>45834.6458333333</v>
      </c>
      <c r="B65" s="48">
        <f>IFERROR(__xludf.DUMMYFUNCTION("""COMPUTED_VALUE"""),420.3)</f>
        <v>420.3</v>
      </c>
      <c r="C65" s="47">
        <f>IFERROR(__xludf.DUMMYFUNCTION("""COMPUTED_VALUE"""),45834.6458333333)</f>
        <v>45834.6458333333</v>
      </c>
      <c r="D65" s="48">
        <f>IFERROR(__xludf.DUMMYFUNCTION("""COMPUTED_VALUE"""),417.2)</f>
        <v>417.2</v>
      </c>
      <c r="E65" s="47">
        <f>IFERROR(__xludf.DUMMYFUNCTION("""COMPUTED_VALUE"""),45834.6458333333)</f>
        <v>45834.6458333333</v>
      </c>
      <c r="F65" s="48">
        <f>IFERROR(__xludf.DUMMYFUNCTION("""COMPUTED_VALUE"""),13703918)</f>
        <v>13703918</v>
      </c>
      <c r="G65" s="47">
        <f>IFERROR(__xludf.DUMMYFUNCTION("""COMPUTED_VALUE"""),45834.6458333333)</f>
        <v>45834.6458333333</v>
      </c>
      <c r="H65" s="48">
        <f>IFERROR(__xludf.DUMMYFUNCTION("""COMPUTED_VALUE"""),420.9)</f>
        <v>420.9</v>
      </c>
      <c r="I65" s="47">
        <f>IFERROR(__xludf.DUMMYFUNCTION("""COMPUTED_VALUE"""),45834.6458333333)</f>
        <v>45834.6458333333</v>
      </c>
      <c r="J65" s="48">
        <f>IFERROR(__xludf.DUMMYFUNCTION("""COMPUTED_VALUE"""),416.25)</f>
        <v>416.25</v>
      </c>
      <c r="K65" s="3">
        <f t="shared" si="2"/>
        <v>420.3</v>
      </c>
      <c r="L65" s="3">
        <f t="shared" si="3"/>
        <v>0</v>
      </c>
    </row>
    <row r="66" customHeight="1" spans="1:12">
      <c r="A66" s="47">
        <f>IFERROR(__xludf.DUMMYFUNCTION("""COMPUTED_VALUE"""),45835.6458333333)</f>
        <v>45835.6458333333</v>
      </c>
      <c r="B66" s="48">
        <f>IFERROR(__xludf.DUMMYFUNCTION("""COMPUTED_VALUE"""),418.65)</f>
        <v>418.65</v>
      </c>
      <c r="C66" s="47">
        <f>IFERROR(__xludf.DUMMYFUNCTION("""COMPUTED_VALUE"""),45835.6458333333)</f>
        <v>45835.6458333333</v>
      </c>
      <c r="D66" s="48">
        <f>IFERROR(__xludf.DUMMYFUNCTION("""COMPUTED_VALUE"""),421)</f>
        <v>421</v>
      </c>
      <c r="E66" s="47">
        <f>IFERROR(__xludf.DUMMYFUNCTION("""COMPUTED_VALUE"""),45835.6458333333)</f>
        <v>45835.6458333333</v>
      </c>
      <c r="F66" s="48">
        <f>IFERROR(__xludf.DUMMYFUNCTION("""COMPUTED_VALUE"""),21409935)</f>
        <v>21409935</v>
      </c>
      <c r="G66" s="47">
        <f>IFERROR(__xludf.DUMMYFUNCTION("""COMPUTED_VALUE"""),45835.6458333333)</f>
        <v>45835.6458333333</v>
      </c>
      <c r="H66" s="48">
        <f>IFERROR(__xludf.DUMMYFUNCTION("""COMPUTED_VALUE"""),422)</f>
        <v>422</v>
      </c>
      <c r="I66" s="47">
        <f>IFERROR(__xludf.DUMMYFUNCTION("""COMPUTED_VALUE"""),45835.6458333333)</f>
        <v>45835.6458333333</v>
      </c>
      <c r="J66" s="48">
        <f>IFERROR(__xludf.DUMMYFUNCTION("""COMPUTED_VALUE"""),417.8)</f>
        <v>417.8</v>
      </c>
      <c r="K66" s="3">
        <f t="shared" si="2"/>
        <v>0</v>
      </c>
      <c r="L66" s="3">
        <f t="shared" si="3"/>
        <v>0</v>
      </c>
    </row>
    <row r="67" customHeight="1" spans="1:12">
      <c r="A67" s="47">
        <f>IFERROR(__xludf.DUMMYFUNCTION("""COMPUTED_VALUE"""),45838.6458333333)</f>
        <v>45838.6458333333</v>
      </c>
      <c r="B67" s="48">
        <f>IFERROR(__xludf.DUMMYFUNCTION("""COMPUTED_VALUE"""),416.45)</f>
        <v>416.45</v>
      </c>
      <c r="C67" s="47">
        <f>IFERROR(__xludf.DUMMYFUNCTION("""COMPUTED_VALUE"""),45838.6458333333)</f>
        <v>45838.6458333333</v>
      </c>
      <c r="D67" s="48">
        <f>IFERROR(__xludf.DUMMYFUNCTION("""COMPUTED_VALUE"""),419.8)</f>
        <v>419.8</v>
      </c>
      <c r="E67" s="47">
        <f>IFERROR(__xludf.DUMMYFUNCTION("""COMPUTED_VALUE"""),45838.6458333333)</f>
        <v>45838.6458333333</v>
      </c>
      <c r="F67" s="48">
        <f>IFERROR(__xludf.DUMMYFUNCTION("""COMPUTED_VALUE"""),12317124)</f>
        <v>12317124</v>
      </c>
      <c r="G67" s="47">
        <f>IFERROR(__xludf.DUMMYFUNCTION("""COMPUTED_VALUE"""),45838.6458333333)</f>
        <v>45838.6458333333</v>
      </c>
      <c r="H67" s="48">
        <f>IFERROR(__xludf.DUMMYFUNCTION("""COMPUTED_VALUE"""),420.75)</f>
        <v>420.75</v>
      </c>
      <c r="I67" s="47">
        <f>IFERROR(__xludf.DUMMYFUNCTION("""COMPUTED_VALUE"""),45838.6458333333)</f>
        <v>45838.6458333333</v>
      </c>
      <c r="J67" s="48">
        <f>IFERROR(__xludf.DUMMYFUNCTION("""COMPUTED_VALUE"""),415.8)</f>
        <v>415.8</v>
      </c>
      <c r="K67" s="3">
        <f t="shared" si="2"/>
        <v>0</v>
      </c>
      <c r="L67" s="3">
        <f t="shared" si="3"/>
        <v>0</v>
      </c>
    </row>
    <row r="68" customHeight="1" spans="1:12">
      <c r="A68" s="47">
        <f>IFERROR(__xludf.DUMMYFUNCTION("""COMPUTED_VALUE"""),45839.6458333333)</f>
        <v>45839.6458333333</v>
      </c>
      <c r="B68" s="48">
        <f>IFERROR(__xludf.DUMMYFUNCTION("""COMPUTED_VALUE"""),415.1)</f>
        <v>415.1</v>
      </c>
      <c r="C68" s="47">
        <f>IFERROR(__xludf.DUMMYFUNCTION("""COMPUTED_VALUE"""),45839.6458333333)</f>
        <v>45839.6458333333</v>
      </c>
      <c r="D68" s="48">
        <f>IFERROR(__xludf.DUMMYFUNCTION("""COMPUTED_VALUE"""),417)</f>
        <v>417</v>
      </c>
      <c r="E68" s="47">
        <f>IFERROR(__xludf.DUMMYFUNCTION("""COMPUTED_VALUE"""),45839.6458333333)</f>
        <v>45839.6458333333</v>
      </c>
      <c r="F68" s="48">
        <f>IFERROR(__xludf.DUMMYFUNCTION("""COMPUTED_VALUE"""),13670465)</f>
        <v>13670465</v>
      </c>
      <c r="G68" s="47">
        <f>IFERROR(__xludf.DUMMYFUNCTION("""COMPUTED_VALUE"""),45839.6458333333)</f>
        <v>45839.6458333333</v>
      </c>
      <c r="H68" s="48">
        <f>IFERROR(__xludf.DUMMYFUNCTION("""COMPUTED_VALUE"""),418.85)</f>
        <v>418.85</v>
      </c>
      <c r="I68" s="47">
        <f>IFERROR(__xludf.DUMMYFUNCTION("""COMPUTED_VALUE"""),45839.6458333333)</f>
        <v>45839.6458333333</v>
      </c>
      <c r="J68" s="48">
        <f>IFERROR(__xludf.DUMMYFUNCTION("""COMPUTED_VALUE"""),414.9)</f>
        <v>414.9</v>
      </c>
      <c r="K68" s="3">
        <f t="shared" si="2"/>
        <v>0</v>
      </c>
      <c r="L68" s="3">
        <f t="shared" si="3"/>
        <v>0</v>
      </c>
    </row>
    <row r="69" customHeight="1" spans="1:12">
      <c r="A69" s="47">
        <f>IFERROR(__xludf.DUMMYFUNCTION("""COMPUTED_VALUE"""),45840.6458333333)</f>
        <v>45840.6458333333</v>
      </c>
      <c r="B69" s="48">
        <f>IFERROR(__xludf.DUMMYFUNCTION("""COMPUTED_VALUE"""),412.95)</f>
        <v>412.95</v>
      </c>
      <c r="C69" s="47">
        <f>IFERROR(__xludf.DUMMYFUNCTION("""COMPUTED_VALUE"""),45840.6458333333)</f>
        <v>45840.6458333333</v>
      </c>
      <c r="D69" s="48">
        <f>IFERROR(__xludf.DUMMYFUNCTION("""COMPUTED_VALUE"""),416.9)</f>
        <v>416.9</v>
      </c>
      <c r="E69" s="47">
        <f>IFERROR(__xludf.DUMMYFUNCTION("""COMPUTED_VALUE"""),45840.6458333333)</f>
        <v>45840.6458333333</v>
      </c>
      <c r="F69" s="48">
        <f>IFERROR(__xludf.DUMMYFUNCTION("""COMPUTED_VALUE"""),15990899)</f>
        <v>15990899</v>
      </c>
      <c r="G69" s="47">
        <f>IFERROR(__xludf.DUMMYFUNCTION("""COMPUTED_VALUE"""),45840.6458333333)</f>
        <v>45840.6458333333</v>
      </c>
      <c r="H69" s="48">
        <f>IFERROR(__xludf.DUMMYFUNCTION("""COMPUTED_VALUE"""),416.9)</f>
        <v>416.9</v>
      </c>
      <c r="I69" s="47">
        <f>IFERROR(__xludf.DUMMYFUNCTION("""COMPUTED_VALUE"""),45840.6458333333)</f>
        <v>45840.6458333333</v>
      </c>
      <c r="J69" s="48">
        <f>IFERROR(__xludf.DUMMYFUNCTION("""COMPUTED_VALUE"""),411.7)</f>
        <v>411.7</v>
      </c>
      <c r="K69" s="3">
        <f t="shared" si="2"/>
        <v>0</v>
      </c>
      <c r="L69" s="3">
        <f t="shared" si="3"/>
        <v>0</v>
      </c>
    </row>
    <row r="70" customHeight="1" spans="1:12">
      <c r="A70" s="47">
        <f>IFERROR(__xludf.DUMMYFUNCTION("""COMPUTED_VALUE"""),45841.6458333333)</f>
        <v>45841.6458333333</v>
      </c>
      <c r="B70" s="48">
        <f>IFERROR(__xludf.DUMMYFUNCTION("""COMPUTED_VALUE"""),413.35)</f>
        <v>413.35</v>
      </c>
      <c r="C70" s="47">
        <f>IFERROR(__xludf.DUMMYFUNCTION("""COMPUTED_VALUE"""),45841.6458333333)</f>
        <v>45841.6458333333</v>
      </c>
      <c r="D70" s="48">
        <f>IFERROR(__xludf.DUMMYFUNCTION("""COMPUTED_VALUE"""),414)</f>
        <v>414</v>
      </c>
      <c r="E70" s="47">
        <f>IFERROR(__xludf.DUMMYFUNCTION("""COMPUTED_VALUE"""),45841.6458333333)</f>
        <v>45841.6458333333</v>
      </c>
      <c r="F70" s="48">
        <f>IFERROR(__xludf.DUMMYFUNCTION("""COMPUTED_VALUE"""),14185298)</f>
        <v>14185298</v>
      </c>
      <c r="G70" s="47">
        <f>IFERROR(__xludf.DUMMYFUNCTION("""COMPUTED_VALUE"""),45841.6458333333)</f>
        <v>45841.6458333333</v>
      </c>
      <c r="H70" s="48">
        <f>IFERROR(__xludf.DUMMYFUNCTION("""COMPUTED_VALUE"""),416)</f>
        <v>416</v>
      </c>
      <c r="I70" s="47">
        <f>IFERROR(__xludf.DUMMYFUNCTION("""COMPUTED_VALUE"""),45841.6458333333)</f>
        <v>45841.6458333333</v>
      </c>
      <c r="J70" s="48">
        <f>IFERROR(__xludf.DUMMYFUNCTION("""COMPUTED_VALUE"""),411.25)</f>
        <v>411.25</v>
      </c>
      <c r="K70" s="3">
        <f t="shared" si="2"/>
        <v>0</v>
      </c>
      <c r="L70" s="3">
        <f t="shared" si="3"/>
        <v>0</v>
      </c>
    </row>
    <row r="71" customHeight="1" spans="1:12">
      <c r="A71" s="47">
        <f>IFERROR(__xludf.DUMMYFUNCTION("""COMPUTED_VALUE"""),45842.6458333333)</f>
        <v>45842.6458333333</v>
      </c>
      <c r="B71" s="48">
        <f>IFERROR(__xludf.DUMMYFUNCTION("""COMPUTED_VALUE"""),412.55)</f>
        <v>412.55</v>
      </c>
      <c r="C71" s="47">
        <f>IFERROR(__xludf.DUMMYFUNCTION("""COMPUTED_VALUE"""),45842.6458333333)</f>
        <v>45842.6458333333</v>
      </c>
      <c r="D71" s="48">
        <f>IFERROR(__xludf.DUMMYFUNCTION("""COMPUTED_VALUE"""),414.9)</f>
        <v>414.9</v>
      </c>
      <c r="E71" s="47">
        <f>IFERROR(__xludf.DUMMYFUNCTION("""COMPUTED_VALUE"""),45842.6458333333)</f>
        <v>45842.6458333333</v>
      </c>
      <c r="F71" s="48">
        <f>IFERROR(__xludf.DUMMYFUNCTION("""COMPUTED_VALUE"""),8256733)</f>
        <v>8256733</v>
      </c>
      <c r="G71" s="47">
        <f>IFERROR(__xludf.DUMMYFUNCTION("""COMPUTED_VALUE"""),45842.6458333333)</f>
        <v>45842.6458333333</v>
      </c>
      <c r="H71" s="48">
        <f>IFERROR(__xludf.DUMMYFUNCTION("""COMPUTED_VALUE"""),415)</f>
        <v>415</v>
      </c>
      <c r="I71" s="47">
        <f>IFERROR(__xludf.DUMMYFUNCTION("""COMPUTED_VALUE"""),45842.6458333333)</f>
        <v>45842.6458333333</v>
      </c>
      <c r="J71" s="48">
        <f>IFERROR(__xludf.DUMMYFUNCTION("""COMPUTED_VALUE"""),411.75)</f>
        <v>411.75</v>
      </c>
      <c r="K71" s="3">
        <f t="shared" si="2"/>
        <v>0</v>
      </c>
      <c r="L71" s="3">
        <f t="shared" si="3"/>
        <v>412.55</v>
      </c>
    </row>
    <row r="72" customHeight="1" spans="1:12">
      <c r="A72" s="47">
        <f>IFERROR(__xludf.DUMMYFUNCTION("""COMPUTED_VALUE"""),45845.6458333333)</f>
        <v>45845.6458333333</v>
      </c>
      <c r="B72" s="48">
        <f>IFERROR(__xludf.DUMMYFUNCTION("""COMPUTED_VALUE"""),416.15)</f>
        <v>416.15</v>
      </c>
      <c r="C72" s="47">
        <f>IFERROR(__xludf.DUMMYFUNCTION("""COMPUTED_VALUE"""),45845.6458333333)</f>
        <v>45845.6458333333</v>
      </c>
      <c r="D72" s="48">
        <f>IFERROR(__xludf.DUMMYFUNCTION("""COMPUTED_VALUE"""),413)</f>
        <v>413</v>
      </c>
      <c r="E72" s="47">
        <f>IFERROR(__xludf.DUMMYFUNCTION("""COMPUTED_VALUE"""),45845.6458333333)</f>
        <v>45845.6458333333</v>
      </c>
      <c r="F72" s="48">
        <f>IFERROR(__xludf.DUMMYFUNCTION("""COMPUTED_VALUE"""),6845218)</f>
        <v>6845218</v>
      </c>
      <c r="G72" s="47">
        <f>IFERROR(__xludf.DUMMYFUNCTION("""COMPUTED_VALUE"""),45845.6458333333)</f>
        <v>45845.6458333333</v>
      </c>
      <c r="H72" s="48">
        <f>IFERROR(__xludf.DUMMYFUNCTION("""COMPUTED_VALUE"""),417.2)</f>
        <v>417.2</v>
      </c>
      <c r="I72" s="47">
        <f>IFERROR(__xludf.DUMMYFUNCTION("""COMPUTED_VALUE"""),45845.6458333333)</f>
        <v>45845.6458333333</v>
      </c>
      <c r="J72" s="48">
        <f>IFERROR(__xludf.DUMMYFUNCTION("""COMPUTED_VALUE"""),412)</f>
        <v>412</v>
      </c>
      <c r="K72" s="3">
        <f t="shared" si="2"/>
        <v>0</v>
      </c>
      <c r="L72" s="3">
        <f t="shared" si="3"/>
        <v>0</v>
      </c>
    </row>
    <row r="73" customHeight="1" spans="1:12">
      <c r="A73" s="47">
        <f>IFERROR(__xludf.DUMMYFUNCTION("""COMPUTED_VALUE"""),45846.6458333333)</f>
        <v>45846.6458333333</v>
      </c>
      <c r="B73" s="48">
        <f>IFERROR(__xludf.DUMMYFUNCTION("""COMPUTED_VALUE"""),417.2)</f>
        <v>417.2</v>
      </c>
      <c r="C73" s="47">
        <f>IFERROR(__xludf.DUMMYFUNCTION("""COMPUTED_VALUE"""),45846.6458333333)</f>
        <v>45846.6458333333</v>
      </c>
      <c r="D73" s="48">
        <f>IFERROR(__xludf.DUMMYFUNCTION("""COMPUTED_VALUE"""),416.15)</f>
        <v>416.15</v>
      </c>
      <c r="E73" s="47">
        <f>IFERROR(__xludf.DUMMYFUNCTION("""COMPUTED_VALUE"""),45846.6458333333)</f>
        <v>45846.6458333333</v>
      </c>
      <c r="F73" s="48">
        <f>IFERROR(__xludf.DUMMYFUNCTION("""COMPUTED_VALUE"""),6807192)</f>
        <v>6807192</v>
      </c>
      <c r="G73" s="47">
        <f>IFERROR(__xludf.DUMMYFUNCTION("""COMPUTED_VALUE"""),45846.6458333333)</f>
        <v>45846.6458333333</v>
      </c>
      <c r="H73" s="48">
        <f>IFERROR(__xludf.DUMMYFUNCTION("""COMPUTED_VALUE"""),418.1)</f>
        <v>418.1</v>
      </c>
      <c r="I73" s="47">
        <f>IFERROR(__xludf.DUMMYFUNCTION("""COMPUTED_VALUE"""),45846.6458333333)</f>
        <v>45846.6458333333</v>
      </c>
      <c r="J73" s="48">
        <f>IFERROR(__xludf.DUMMYFUNCTION("""COMPUTED_VALUE"""),414.65)</f>
        <v>414.65</v>
      </c>
      <c r="K73" s="3">
        <f t="shared" si="2"/>
        <v>0</v>
      </c>
      <c r="L73" s="3">
        <f t="shared" si="3"/>
        <v>0</v>
      </c>
    </row>
    <row r="74" customHeight="1" spans="1:12">
      <c r="A74" s="47">
        <f>IFERROR(__xludf.DUMMYFUNCTION("""COMPUTED_VALUE"""),45847.6458333333)</f>
        <v>45847.6458333333</v>
      </c>
      <c r="B74" s="48">
        <f>IFERROR(__xludf.DUMMYFUNCTION("""COMPUTED_VALUE"""),419.45)</f>
        <v>419.45</v>
      </c>
      <c r="C74" s="47">
        <f>IFERROR(__xludf.DUMMYFUNCTION("""COMPUTED_VALUE"""),45847.6458333333)</f>
        <v>45847.6458333333</v>
      </c>
      <c r="D74" s="48">
        <f>IFERROR(__xludf.DUMMYFUNCTION("""COMPUTED_VALUE"""),416.2)</f>
        <v>416.2</v>
      </c>
      <c r="E74" s="47">
        <f>IFERROR(__xludf.DUMMYFUNCTION("""COMPUTED_VALUE"""),45847.6458333333)</f>
        <v>45847.6458333333</v>
      </c>
      <c r="F74" s="48">
        <f>IFERROR(__xludf.DUMMYFUNCTION("""COMPUTED_VALUE"""),9930533)</f>
        <v>9930533</v>
      </c>
      <c r="G74" s="47">
        <f>IFERROR(__xludf.DUMMYFUNCTION("""COMPUTED_VALUE"""),45847.6458333333)</f>
        <v>45847.6458333333</v>
      </c>
      <c r="H74" s="48">
        <f>IFERROR(__xludf.DUMMYFUNCTION("""COMPUTED_VALUE"""),420.3)</f>
        <v>420.3</v>
      </c>
      <c r="I74" s="47">
        <f>IFERROR(__xludf.DUMMYFUNCTION("""COMPUTED_VALUE"""),45847.6458333333)</f>
        <v>45847.6458333333</v>
      </c>
      <c r="J74" s="48">
        <f>IFERROR(__xludf.DUMMYFUNCTION("""COMPUTED_VALUE"""),415.45)</f>
        <v>415.45</v>
      </c>
      <c r="K74" s="3">
        <f t="shared" si="2"/>
        <v>0</v>
      </c>
      <c r="L74" s="3">
        <f t="shared" si="3"/>
        <v>0</v>
      </c>
    </row>
    <row r="75" customHeight="1" spans="1:12">
      <c r="A75" s="47">
        <f>IFERROR(__xludf.DUMMYFUNCTION("""COMPUTED_VALUE"""),45848.6458333333)</f>
        <v>45848.6458333333</v>
      </c>
      <c r="B75" s="48">
        <f>IFERROR(__xludf.DUMMYFUNCTION("""COMPUTED_VALUE"""),416.85)</f>
        <v>416.85</v>
      </c>
      <c r="C75" s="47">
        <f>IFERROR(__xludf.DUMMYFUNCTION("""COMPUTED_VALUE"""),45848.6458333333)</f>
        <v>45848.6458333333</v>
      </c>
      <c r="D75" s="48">
        <f>IFERROR(__xludf.DUMMYFUNCTION("""COMPUTED_VALUE"""),420.3)</f>
        <v>420.3</v>
      </c>
      <c r="E75" s="47">
        <f>IFERROR(__xludf.DUMMYFUNCTION("""COMPUTED_VALUE"""),45848.6458333333)</f>
        <v>45848.6458333333</v>
      </c>
      <c r="F75" s="48">
        <f>IFERROR(__xludf.DUMMYFUNCTION("""COMPUTED_VALUE"""),6220360)</f>
        <v>6220360</v>
      </c>
      <c r="G75" s="47">
        <f>IFERROR(__xludf.DUMMYFUNCTION("""COMPUTED_VALUE"""),45848.6458333333)</f>
        <v>45848.6458333333</v>
      </c>
      <c r="H75" s="48">
        <f>IFERROR(__xludf.DUMMYFUNCTION("""COMPUTED_VALUE"""),420.3)</f>
        <v>420.3</v>
      </c>
      <c r="I75" s="47">
        <f>IFERROR(__xludf.DUMMYFUNCTION("""COMPUTED_VALUE"""),45848.6458333333)</f>
        <v>45848.6458333333</v>
      </c>
      <c r="J75" s="48">
        <f>IFERROR(__xludf.DUMMYFUNCTION("""COMPUTED_VALUE"""),416.4)</f>
        <v>416.4</v>
      </c>
      <c r="K75" s="3">
        <f t="shared" si="2"/>
        <v>0</v>
      </c>
      <c r="L75" s="3">
        <f t="shared" si="3"/>
        <v>0</v>
      </c>
    </row>
    <row r="76" customHeight="1" spans="1:12">
      <c r="A76" s="47">
        <f>IFERROR(__xludf.DUMMYFUNCTION("""COMPUTED_VALUE"""),45849.6458333333)</f>
        <v>45849.6458333333</v>
      </c>
      <c r="B76" s="48">
        <f>IFERROR(__xludf.DUMMYFUNCTION("""COMPUTED_VALUE"""),416.8)</f>
        <v>416.8</v>
      </c>
      <c r="C76" s="47">
        <f>IFERROR(__xludf.DUMMYFUNCTION("""COMPUTED_VALUE"""),45849.6458333333)</f>
        <v>45849.6458333333</v>
      </c>
      <c r="D76" s="48">
        <f>IFERROR(__xludf.DUMMYFUNCTION("""COMPUTED_VALUE"""),417)</f>
        <v>417</v>
      </c>
      <c r="E76" s="47">
        <f>IFERROR(__xludf.DUMMYFUNCTION("""COMPUTED_VALUE"""),45849.6458333333)</f>
        <v>45849.6458333333</v>
      </c>
      <c r="F76" s="48">
        <f>IFERROR(__xludf.DUMMYFUNCTION("""COMPUTED_VALUE"""),8578844)</f>
        <v>8578844</v>
      </c>
      <c r="G76" s="47">
        <f>IFERROR(__xludf.DUMMYFUNCTION("""COMPUTED_VALUE"""),45849.6458333333)</f>
        <v>45849.6458333333</v>
      </c>
      <c r="H76" s="48">
        <f>IFERROR(__xludf.DUMMYFUNCTION("""COMPUTED_VALUE"""),418.05)</f>
        <v>418.05</v>
      </c>
      <c r="I76" s="47">
        <f>IFERROR(__xludf.DUMMYFUNCTION("""COMPUTED_VALUE"""),45849.6458333333)</f>
        <v>45849.6458333333</v>
      </c>
      <c r="J76" s="48">
        <f>IFERROR(__xludf.DUMMYFUNCTION("""COMPUTED_VALUE"""),415.5)</f>
        <v>415.5</v>
      </c>
      <c r="K76" s="3">
        <f t="shared" si="2"/>
        <v>0</v>
      </c>
      <c r="L76" s="3">
        <f t="shared" si="3"/>
        <v>0</v>
      </c>
    </row>
    <row r="77" customHeight="1" spans="1:12">
      <c r="A77" s="47">
        <f>IFERROR(__xludf.DUMMYFUNCTION("""COMPUTED_VALUE"""),45852.6458333333)</f>
        <v>45852.6458333333</v>
      </c>
      <c r="B77" s="48">
        <f>IFERROR(__xludf.DUMMYFUNCTION("""COMPUTED_VALUE"""),419.4)</f>
        <v>419.4</v>
      </c>
      <c r="C77" s="47">
        <f>IFERROR(__xludf.DUMMYFUNCTION("""COMPUTED_VALUE"""),45852.6458333333)</f>
        <v>45852.6458333333</v>
      </c>
      <c r="D77" s="48">
        <f>IFERROR(__xludf.DUMMYFUNCTION("""COMPUTED_VALUE"""),417.05)</f>
        <v>417.05</v>
      </c>
      <c r="E77" s="47">
        <f>IFERROR(__xludf.DUMMYFUNCTION("""COMPUTED_VALUE"""),45852.6458333333)</f>
        <v>45852.6458333333</v>
      </c>
      <c r="F77" s="48">
        <f>IFERROR(__xludf.DUMMYFUNCTION("""COMPUTED_VALUE"""),6896989)</f>
        <v>6896989</v>
      </c>
      <c r="G77" s="47">
        <f>IFERROR(__xludf.DUMMYFUNCTION("""COMPUTED_VALUE"""),45852.6458333333)</f>
        <v>45852.6458333333</v>
      </c>
      <c r="H77" s="48">
        <f>IFERROR(__xludf.DUMMYFUNCTION("""COMPUTED_VALUE"""),419.95)</f>
        <v>419.95</v>
      </c>
      <c r="I77" s="47">
        <f>IFERROR(__xludf.DUMMYFUNCTION("""COMPUTED_VALUE"""),45852.6458333333)</f>
        <v>45852.6458333333</v>
      </c>
      <c r="J77" s="48">
        <f>IFERROR(__xludf.DUMMYFUNCTION("""COMPUTED_VALUE"""),416.55)</f>
        <v>416.55</v>
      </c>
      <c r="K77" s="3">
        <f t="shared" si="2"/>
        <v>0</v>
      </c>
      <c r="L77" s="3">
        <f t="shared" si="3"/>
        <v>0</v>
      </c>
    </row>
    <row r="78" customHeight="1" spans="1:12">
      <c r="A78" s="47">
        <f>IFERROR(__xludf.DUMMYFUNCTION("""COMPUTED_VALUE"""),45853.6458333333)</f>
        <v>45853.6458333333</v>
      </c>
      <c r="B78" s="48">
        <f>IFERROR(__xludf.DUMMYFUNCTION("""COMPUTED_VALUE"""),422.1)</f>
        <v>422.1</v>
      </c>
      <c r="C78" s="47">
        <f>IFERROR(__xludf.DUMMYFUNCTION("""COMPUTED_VALUE"""),45853.6458333333)</f>
        <v>45853.6458333333</v>
      </c>
      <c r="D78" s="48">
        <f>IFERROR(__xludf.DUMMYFUNCTION("""COMPUTED_VALUE"""),420.9)</f>
        <v>420.9</v>
      </c>
      <c r="E78" s="47">
        <f>IFERROR(__xludf.DUMMYFUNCTION("""COMPUTED_VALUE"""),45853.6458333333)</f>
        <v>45853.6458333333</v>
      </c>
      <c r="F78" s="48">
        <f>IFERROR(__xludf.DUMMYFUNCTION("""COMPUTED_VALUE"""),8532755)</f>
        <v>8532755</v>
      </c>
      <c r="G78" s="47">
        <f>IFERROR(__xludf.DUMMYFUNCTION("""COMPUTED_VALUE"""),45853.6458333333)</f>
        <v>45853.6458333333</v>
      </c>
      <c r="H78" s="48">
        <f>IFERROR(__xludf.DUMMYFUNCTION("""COMPUTED_VALUE"""),422.4)</f>
        <v>422.4</v>
      </c>
      <c r="I78" s="47">
        <f>IFERROR(__xludf.DUMMYFUNCTION("""COMPUTED_VALUE"""),45853.6458333333)</f>
        <v>45853.6458333333</v>
      </c>
      <c r="J78" s="48">
        <f>IFERROR(__xludf.DUMMYFUNCTION("""COMPUTED_VALUE"""),419)</f>
        <v>419</v>
      </c>
      <c r="K78" s="3">
        <f t="shared" si="2"/>
        <v>0</v>
      </c>
      <c r="L78" s="3">
        <f t="shared" si="3"/>
        <v>0</v>
      </c>
    </row>
    <row r="79" customHeight="1" spans="1:12">
      <c r="A79" s="47">
        <f>IFERROR(__xludf.DUMMYFUNCTION("""COMPUTED_VALUE"""),45854.6458333333)</f>
        <v>45854.6458333333</v>
      </c>
      <c r="B79" s="48">
        <f>IFERROR(__xludf.DUMMYFUNCTION("""COMPUTED_VALUE"""),424.6)</f>
        <v>424.6</v>
      </c>
      <c r="C79" s="47">
        <f>IFERROR(__xludf.DUMMYFUNCTION("""COMPUTED_VALUE"""),45854.6458333333)</f>
        <v>45854.6458333333</v>
      </c>
      <c r="D79" s="48">
        <f>IFERROR(__xludf.DUMMYFUNCTION("""COMPUTED_VALUE"""),422.1)</f>
        <v>422.1</v>
      </c>
      <c r="E79" s="47">
        <f>IFERROR(__xludf.DUMMYFUNCTION("""COMPUTED_VALUE"""),45854.6458333333)</f>
        <v>45854.6458333333</v>
      </c>
      <c r="F79" s="48">
        <f>IFERROR(__xludf.DUMMYFUNCTION("""COMPUTED_VALUE"""),9780773)</f>
        <v>9780773</v>
      </c>
      <c r="G79" s="47">
        <f>IFERROR(__xludf.DUMMYFUNCTION("""COMPUTED_VALUE"""),45854.6458333333)</f>
        <v>45854.6458333333</v>
      </c>
      <c r="H79" s="48">
        <f>IFERROR(__xludf.DUMMYFUNCTION("""COMPUTED_VALUE"""),425.45)</f>
        <v>425.45</v>
      </c>
      <c r="I79" s="47">
        <f>IFERROR(__xludf.DUMMYFUNCTION("""COMPUTED_VALUE"""),45854.6458333333)</f>
        <v>45854.6458333333</v>
      </c>
      <c r="J79" s="48">
        <f>IFERROR(__xludf.DUMMYFUNCTION("""COMPUTED_VALUE"""),420.3)</f>
        <v>420.3</v>
      </c>
      <c r="K79" s="3">
        <f t="shared" si="2"/>
        <v>424.6</v>
      </c>
      <c r="L79" s="3">
        <f t="shared" si="3"/>
        <v>0</v>
      </c>
    </row>
    <row r="80" customHeight="1" spans="1:12">
      <c r="A80" s="47">
        <f>IFERROR(__xludf.DUMMYFUNCTION("""COMPUTED_VALUE"""),45855.6458333333)</f>
        <v>45855.6458333333</v>
      </c>
      <c r="B80" s="48">
        <f>IFERROR(__xludf.DUMMYFUNCTION("""COMPUTED_VALUE"""),423.95)</f>
        <v>423.95</v>
      </c>
      <c r="C80" s="47">
        <f>IFERROR(__xludf.DUMMYFUNCTION("""COMPUTED_VALUE"""),45855.6458333333)</f>
        <v>45855.6458333333</v>
      </c>
      <c r="D80" s="48">
        <f>IFERROR(__xludf.DUMMYFUNCTION("""COMPUTED_VALUE"""),425.8)</f>
        <v>425.8</v>
      </c>
      <c r="E80" s="47">
        <f>IFERROR(__xludf.DUMMYFUNCTION("""COMPUTED_VALUE"""),45855.6458333333)</f>
        <v>45855.6458333333</v>
      </c>
      <c r="F80" s="48">
        <f>IFERROR(__xludf.DUMMYFUNCTION("""COMPUTED_VALUE"""),7240795)</f>
        <v>7240795</v>
      </c>
      <c r="G80" s="47">
        <f>IFERROR(__xludf.DUMMYFUNCTION("""COMPUTED_VALUE"""),45855.6458333333)</f>
        <v>45855.6458333333</v>
      </c>
      <c r="H80" s="48">
        <f>IFERROR(__xludf.DUMMYFUNCTION("""COMPUTED_VALUE"""),425.9)</f>
        <v>425.9</v>
      </c>
      <c r="I80" s="47">
        <f>IFERROR(__xludf.DUMMYFUNCTION("""COMPUTED_VALUE"""),45855.6458333333)</f>
        <v>45855.6458333333</v>
      </c>
      <c r="J80" s="48">
        <f>IFERROR(__xludf.DUMMYFUNCTION("""COMPUTED_VALUE"""),423)</f>
        <v>423</v>
      </c>
      <c r="K80" s="3">
        <f t="shared" si="2"/>
        <v>0</v>
      </c>
      <c r="L80" s="3">
        <f t="shared" si="3"/>
        <v>0</v>
      </c>
    </row>
    <row r="81" customHeight="1" spans="1:12">
      <c r="A81" s="47">
        <f>IFERROR(__xludf.DUMMYFUNCTION("""COMPUTED_VALUE"""),45856.6458333333)</f>
        <v>45856.6458333333</v>
      </c>
      <c r="B81" s="48">
        <f>IFERROR(__xludf.DUMMYFUNCTION("""COMPUTED_VALUE"""),422.75)</f>
        <v>422.75</v>
      </c>
      <c r="C81" s="47">
        <f>IFERROR(__xludf.DUMMYFUNCTION("""COMPUTED_VALUE"""),45856.6458333333)</f>
        <v>45856.6458333333</v>
      </c>
      <c r="D81" s="48">
        <f>IFERROR(__xludf.DUMMYFUNCTION("""COMPUTED_VALUE"""),425.2)</f>
        <v>425.2</v>
      </c>
      <c r="E81" s="47">
        <f>IFERROR(__xludf.DUMMYFUNCTION("""COMPUTED_VALUE"""),45856.6458333333)</f>
        <v>45856.6458333333</v>
      </c>
      <c r="F81" s="48">
        <f>IFERROR(__xludf.DUMMYFUNCTION("""COMPUTED_VALUE"""),6730256)</f>
        <v>6730256</v>
      </c>
      <c r="G81" s="47">
        <f>IFERROR(__xludf.DUMMYFUNCTION("""COMPUTED_VALUE"""),45856.6458333333)</f>
        <v>45856.6458333333</v>
      </c>
      <c r="H81" s="48">
        <f>IFERROR(__xludf.DUMMYFUNCTION("""COMPUTED_VALUE"""),425.2)</f>
        <v>425.2</v>
      </c>
      <c r="I81" s="47">
        <f>IFERROR(__xludf.DUMMYFUNCTION("""COMPUTED_VALUE"""),45856.6458333333)</f>
        <v>45856.6458333333</v>
      </c>
      <c r="J81" s="48">
        <f>IFERROR(__xludf.DUMMYFUNCTION("""COMPUTED_VALUE"""),420.1)</f>
        <v>420.1</v>
      </c>
      <c r="K81" s="3">
        <f t="shared" si="2"/>
        <v>0</v>
      </c>
      <c r="L81" s="3">
        <f t="shared" si="3"/>
        <v>0</v>
      </c>
    </row>
    <row r="82" customHeight="1" spans="1:12">
      <c r="A82" s="47">
        <f>IFERROR(__xludf.DUMMYFUNCTION("""COMPUTED_VALUE"""),45859.6458333333)</f>
        <v>45859.6458333333</v>
      </c>
      <c r="B82" s="48">
        <f>IFERROR(__xludf.DUMMYFUNCTION("""COMPUTED_VALUE"""),420.1)</f>
        <v>420.1</v>
      </c>
      <c r="C82" s="47">
        <f>IFERROR(__xludf.DUMMYFUNCTION("""COMPUTED_VALUE"""),45859.6458333333)</f>
        <v>45859.6458333333</v>
      </c>
      <c r="D82" s="48">
        <f>IFERROR(__xludf.DUMMYFUNCTION("""COMPUTED_VALUE"""),422)</f>
        <v>422</v>
      </c>
      <c r="E82" s="47">
        <f>IFERROR(__xludf.DUMMYFUNCTION("""COMPUTED_VALUE"""),45859.6458333333)</f>
        <v>45859.6458333333</v>
      </c>
      <c r="F82" s="48">
        <f>IFERROR(__xludf.DUMMYFUNCTION("""COMPUTED_VALUE"""),4822343)</f>
        <v>4822343</v>
      </c>
      <c r="G82" s="47">
        <f>IFERROR(__xludf.DUMMYFUNCTION("""COMPUTED_VALUE"""),45859.6458333333)</f>
        <v>45859.6458333333</v>
      </c>
      <c r="H82" s="48">
        <f>IFERROR(__xludf.DUMMYFUNCTION("""COMPUTED_VALUE"""),422.75)</f>
        <v>422.75</v>
      </c>
      <c r="I82" s="47">
        <f>IFERROR(__xludf.DUMMYFUNCTION("""COMPUTED_VALUE"""),45859.6458333333)</f>
        <v>45859.6458333333</v>
      </c>
      <c r="J82" s="48">
        <f>IFERROR(__xludf.DUMMYFUNCTION("""COMPUTED_VALUE"""),418.4)</f>
        <v>418.4</v>
      </c>
      <c r="K82" s="3">
        <f t="shared" si="2"/>
        <v>0</v>
      </c>
      <c r="L82" s="3">
        <f t="shared" si="3"/>
        <v>0</v>
      </c>
    </row>
    <row r="83" customHeight="1" spans="1:12">
      <c r="A83" s="47">
        <f>IFERROR(__xludf.DUMMYFUNCTION("""COMPUTED_VALUE"""),45860.6458333333)</f>
        <v>45860.6458333333</v>
      </c>
      <c r="B83" s="48">
        <f>IFERROR(__xludf.DUMMYFUNCTION("""COMPUTED_VALUE"""),416)</f>
        <v>416</v>
      </c>
      <c r="C83" s="47">
        <f>IFERROR(__xludf.DUMMYFUNCTION("""COMPUTED_VALUE"""),45860.6458333333)</f>
        <v>45860.6458333333</v>
      </c>
      <c r="D83" s="48">
        <f>IFERROR(__xludf.DUMMYFUNCTION("""COMPUTED_VALUE"""),420.1)</f>
        <v>420.1</v>
      </c>
      <c r="E83" s="47">
        <f>IFERROR(__xludf.DUMMYFUNCTION("""COMPUTED_VALUE"""),45860.6458333333)</f>
        <v>45860.6458333333</v>
      </c>
      <c r="F83" s="48">
        <f>IFERROR(__xludf.DUMMYFUNCTION("""COMPUTED_VALUE"""),9869507)</f>
        <v>9869507</v>
      </c>
      <c r="G83" s="47">
        <f>IFERROR(__xludf.DUMMYFUNCTION("""COMPUTED_VALUE"""),45860.6458333333)</f>
        <v>45860.6458333333</v>
      </c>
      <c r="H83" s="48">
        <f>IFERROR(__xludf.DUMMYFUNCTION("""COMPUTED_VALUE"""),420.4)</f>
        <v>420.4</v>
      </c>
      <c r="I83" s="47">
        <f>IFERROR(__xludf.DUMMYFUNCTION("""COMPUTED_VALUE"""),45860.6458333333)</f>
        <v>45860.6458333333</v>
      </c>
      <c r="J83" s="48">
        <f>IFERROR(__xludf.DUMMYFUNCTION("""COMPUTED_VALUE"""),415.2)</f>
        <v>415.2</v>
      </c>
      <c r="K83" s="3">
        <f t="shared" si="2"/>
        <v>0</v>
      </c>
      <c r="L83" s="3">
        <f t="shared" si="3"/>
        <v>0</v>
      </c>
    </row>
    <row r="84" customHeight="1" spans="1:12">
      <c r="A84" s="47">
        <f>IFERROR(__xludf.DUMMYFUNCTION("""COMPUTED_VALUE"""),45861.6458333333)</f>
        <v>45861.6458333333</v>
      </c>
      <c r="B84" s="48">
        <f>IFERROR(__xludf.DUMMYFUNCTION("""COMPUTED_VALUE"""),414.95)</f>
        <v>414.95</v>
      </c>
      <c r="C84" s="47">
        <f>IFERROR(__xludf.DUMMYFUNCTION("""COMPUTED_VALUE"""),45861.6458333333)</f>
        <v>45861.6458333333</v>
      </c>
      <c r="D84" s="48">
        <f>IFERROR(__xludf.DUMMYFUNCTION("""COMPUTED_VALUE"""),417.1)</f>
        <v>417.1</v>
      </c>
      <c r="E84" s="47">
        <f>IFERROR(__xludf.DUMMYFUNCTION("""COMPUTED_VALUE"""),45861.6458333333)</f>
        <v>45861.6458333333</v>
      </c>
      <c r="F84" s="48">
        <f>IFERROR(__xludf.DUMMYFUNCTION("""COMPUTED_VALUE"""),12196187)</f>
        <v>12196187</v>
      </c>
      <c r="G84" s="47">
        <f>IFERROR(__xludf.DUMMYFUNCTION("""COMPUTED_VALUE"""),45861.6458333333)</f>
        <v>45861.6458333333</v>
      </c>
      <c r="H84" s="48">
        <f>IFERROR(__xludf.DUMMYFUNCTION("""COMPUTED_VALUE"""),417.9)</f>
        <v>417.9</v>
      </c>
      <c r="I84" s="47">
        <f>IFERROR(__xludf.DUMMYFUNCTION("""COMPUTED_VALUE"""),45861.6458333333)</f>
        <v>45861.6458333333</v>
      </c>
      <c r="J84" s="48">
        <f>IFERROR(__xludf.DUMMYFUNCTION("""COMPUTED_VALUE"""),414)</f>
        <v>414</v>
      </c>
      <c r="K84" s="3">
        <f t="shared" si="2"/>
        <v>0</v>
      </c>
      <c r="L84" s="3">
        <f t="shared" si="3"/>
        <v>0</v>
      </c>
    </row>
    <row r="85" customHeight="1" spans="1:12">
      <c r="A85" s="47">
        <f>IFERROR(__xludf.DUMMYFUNCTION("""COMPUTED_VALUE"""),45862.6458333333)</f>
        <v>45862.6458333333</v>
      </c>
      <c r="B85" s="48">
        <f>IFERROR(__xludf.DUMMYFUNCTION("""COMPUTED_VALUE"""),409.95)</f>
        <v>409.95</v>
      </c>
      <c r="C85" s="47">
        <f>IFERROR(__xludf.DUMMYFUNCTION("""COMPUTED_VALUE"""),45862.6458333333)</f>
        <v>45862.6458333333</v>
      </c>
      <c r="D85" s="48">
        <f>IFERROR(__xludf.DUMMYFUNCTION("""COMPUTED_VALUE"""),415.85)</f>
        <v>415.85</v>
      </c>
      <c r="E85" s="47">
        <f>IFERROR(__xludf.DUMMYFUNCTION("""COMPUTED_VALUE"""),45862.6458333333)</f>
        <v>45862.6458333333</v>
      </c>
      <c r="F85" s="48">
        <f>IFERROR(__xludf.DUMMYFUNCTION("""COMPUTED_VALUE"""),9005157)</f>
        <v>9005157</v>
      </c>
      <c r="G85" s="47">
        <f>IFERROR(__xludf.DUMMYFUNCTION("""COMPUTED_VALUE"""),45862.6458333333)</f>
        <v>45862.6458333333</v>
      </c>
      <c r="H85" s="48">
        <f>IFERROR(__xludf.DUMMYFUNCTION("""COMPUTED_VALUE"""),415.85)</f>
        <v>415.85</v>
      </c>
      <c r="I85" s="47">
        <f>IFERROR(__xludf.DUMMYFUNCTION("""COMPUTED_VALUE"""),45862.6458333333)</f>
        <v>45862.6458333333</v>
      </c>
      <c r="J85" s="48">
        <f>IFERROR(__xludf.DUMMYFUNCTION("""COMPUTED_VALUE"""),409.45)</f>
        <v>409.45</v>
      </c>
      <c r="K85" s="3">
        <f t="shared" si="2"/>
        <v>0</v>
      </c>
      <c r="L85" s="3">
        <f t="shared" si="3"/>
        <v>0</v>
      </c>
    </row>
    <row r="86" customHeight="1" spans="1:12">
      <c r="A86" s="47">
        <f>IFERROR(__xludf.DUMMYFUNCTION("""COMPUTED_VALUE"""),45863.6458333333)</f>
        <v>45863.6458333333</v>
      </c>
      <c r="B86" s="48">
        <f>IFERROR(__xludf.DUMMYFUNCTION("""COMPUTED_VALUE"""),409.4)</f>
        <v>409.4</v>
      </c>
      <c r="C86" s="47">
        <f>IFERROR(__xludf.DUMMYFUNCTION("""COMPUTED_VALUE"""),45863.6458333333)</f>
        <v>45863.6458333333</v>
      </c>
      <c r="D86" s="48">
        <f>IFERROR(__xludf.DUMMYFUNCTION("""COMPUTED_VALUE"""),410)</f>
        <v>410</v>
      </c>
      <c r="E86" s="47">
        <f>IFERROR(__xludf.DUMMYFUNCTION("""COMPUTED_VALUE"""),45863.6458333333)</f>
        <v>45863.6458333333</v>
      </c>
      <c r="F86" s="48">
        <f>IFERROR(__xludf.DUMMYFUNCTION("""COMPUTED_VALUE"""),5824089)</f>
        <v>5824089</v>
      </c>
      <c r="G86" s="47">
        <f>IFERROR(__xludf.DUMMYFUNCTION("""COMPUTED_VALUE"""),45863.6458333333)</f>
        <v>45863.6458333333</v>
      </c>
      <c r="H86" s="48">
        <f>IFERROR(__xludf.DUMMYFUNCTION("""COMPUTED_VALUE"""),410.25)</f>
        <v>410.25</v>
      </c>
      <c r="I86" s="47">
        <f>IFERROR(__xludf.DUMMYFUNCTION("""COMPUTED_VALUE"""),45863.6458333333)</f>
        <v>45863.6458333333</v>
      </c>
      <c r="J86" s="48">
        <f>IFERROR(__xludf.DUMMYFUNCTION("""COMPUTED_VALUE"""),407.75)</f>
        <v>407.75</v>
      </c>
      <c r="K86" s="3">
        <f t="shared" si="2"/>
        <v>0</v>
      </c>
      <c r="L86" s="3">
        <f t="shared" si="3"/>
        <v>0</v>
      </c>
    </row>
    <row r="87" customHeight="1" spans="1:12">
      <c r="A87" s="47">
        <f>IFERROR(__xludf.DUMMYFUNCTION("""COMPUTED_VALUE"""),45866.6458333333)</f>
        <v>45866.6458333333</v>
      </c>
      <c r="B87" s="48">
        <f>IFERROR(__xludf.DUMMYFUNCTION("""COMPUTED_VALUE"""),409.9)</f>
        <v>409.9</v>
      </c>
      <c r="C87" s="47">
        <f>IFERROR(__xludf.DUMMYFUNCTION("""COMPUTED_VALUE"""),45866.6458333333)</f>
        <v>45866.6458333333</v>
      </c>
      <c r="D87" s="48">
        <f>IFERROR(__xludf.DUMMYFUNCTION("""COMPUTED_VALUE"""),410.8)</f>
        <v>410.8</v>
      </c>
      <c r="E87" s="47">
        <f>IFERROR(__xludf.DUMMYFUNCTION("""COMPUTED_VALUE"""),45866.6458333333)</f>
        <v>45866.6458333333</v>
      </c>
      <c r="F87" s="48">
        <f>IFERROR(__xludf.DUMMYFUNCTION("""COMPUTED_VALUE"""),8123337)</f>
        <v>8123337</v>
      </c>
      <c r="G87" s="47">
        <f>IFERROR(__xludf.DUMMYFUNCTION("""COMPUTED_VALUE"""),45866.6458333333)</f>
        <v>45866.6458333333</v>
      </c>
      <c r="H87" s="48">
        <f>IFERROR(__xludf.DUMMYFUNCTION("""COMPUTED_VALUE"""),410.85)</f>
        <v>410.85</v>
      </c>
      <c r="I87" s="47">
        <f>IFERROR(__xludf.DUMMYFUNCTION("""COMPUTED_VALUE"""),45866.6458333333)</f>
        <v>45866.6458333333</v>
      </c>
      <c r="J87" s="48">
        <f>IFERROR(__xludf.DUMMYFUNCTION("""COMPUTED_VALUE"""),408.6)</f>
        <v>408.6</v>
      </c>
      <c r="K87" s="3">
        <f t="shared" si="2"/>
        <v>0</v>
      </c>
      <c r="L87" s="3">
        <f t="shared" si="3"/>
        <v>0</v>
      </c>
    </row>
    <row r="88" customHeight="1" spans="1:12">
      <c r="A88" s="47">
        <f>IFERROR(__xludf.DUMMYFUNCTION("""COMPUTED_VALUE"""),45867.6458333333)</f>
        <v>45867.6458333333</v>
      </c>
      <c r="B88" s="48">
        <f>IFERROR(__xludf.DUMMYFUNCTION("""COMPUTED_VALUE"""),408.45)</f>
        <v>408.45</v>
      </c>
      <c r="C88" s="47">
        <f>IFERROR(__xludf.DUMMYFUNCTION("""COMPUTED_VALUE"""),45867.6458333333)</f>
        <v>45867.6458333333</v>
      </c>
      <c r="D88" s="48">
        <f>IFERROR(__xludf.DUMMYFUNCTION("""COMPUTED_VALUE"""),410)</f>
        <v>410</v>
      </c>
      <c r="E88" s="47">
        <f>IFERROR(__xludf.DUMMYFUNCTION("""COMPUTED_VALUE"""),45867.6458333333)</f>
        <v>45867.6458333333</v>
      </c>
      <c r="F88" s="48">
        <f>IFERROR(__xludf.DUMMYFUNCTION("""COMPUTED_VALUE"""),6811772)</f>
        <v>6811772</v>
      </c>
      <c r="G88" s="47">
        <f>IFERROR(__xludf.DUMMYFUNCTION("""COMPUTED_VALUE"""),45867.6458333333)</f>
        <v>45867.6458333333</v>
      </c>
      <c r="H88" s="48">
        <f>IFERROR(__xludf.DUMMYFUNCTION("""COMPUTED_VALUE"""),411.4)</f>
        <v>411.4</v>
      </c>
      <c r="I88" s="47">
        <f>IFERROR(__xludf.DUMMYFUNCTION("""COMPUTED_VALUE"""),45867.6458333333)</f>
        <v>45867.6458333333</v>
      </c>
      <c r="J88" s="48">
        <f>IFERROR(__xludf.DUMMYFUNCTION("""COMPUTED_VALUE"""),408)</f>
        <v>408</v>
      </c>
      <c r="K88" s="3">
        <f t="shared" si="2"/>
        <v>0</v>
      </c>
      <c r="L88" s="3">
        <f t="shared" si="3"/>
        <v>0</v>
      </c>
    </row>
    <row r="89" customHeight="1" spans="1:12">
      <c r="A89" s="47">
        <f>IFERROR(__xludf.DUMMYFUNCTION("""COMPUTED_VALUE"""),45868.6458333333)</f>
        <v>45868.6458333333</v>
      </c>
      <c r="B89" s="48">
        <f>IFERROR(__xludf.DUMMYFUNCTION("""COMPUTED_VALUE"""),407.6)</f>
        <v>407.6</v>
      </c>
      <c r="C89" s="47">
        <f>IFERROR(__xludf.DUMMYFUNCTION("""COMPUTED_VALUE"""),45868.6458333333)</f>
        <v>45868.6458333333</v>
      </c>
      <c r="D89" s="48">
        <f>IFERROR(__xludf.DUMMYFUNCTION("""COMPUTED_VALUE"""),409)</f>
        <v>409</v>
      </c>
      <c r="E89" s="47">
        <f>IFERROR(__xludf.DUMMYFUNCTION("""COMPUTED_VALUE"""),45868.6458333333)</f>
        <v>45868.6458333333</v>
      </c>
      <c r="F89" s="48">
        <f>IFERROR(__xludf.DUMMYFUNCTION("""COMPUTED_VALUE"""),10915863)</f>
        <v>10915863</v>
      </c>
      <c r="G89" s="47">
        <f>IFERROR(__xludf.DUMMYFUNCTION("""COMPUTED_VALUE"""),45868.6458333333)</f>
        <v>45868.6458333333</v>
      </c>
      <c r="H89" s="48">
        <f>IFERROR(__xludf.DUMMYFUNCTION("""COMPUTED_VALUE"""),409.3)</f>
        <v>409.3</v>
      </c>
      <c r="I89" s="47">
        <f>IFERROR(__xludf.DUMMYFUNCTION("""COMPUTED_VALUE"""),45868.6458333333)</f>
        <v>45868.6458333333</v>
      </c>
      <c r="J89" s="48">
        <f>IFERROR(__xludf.DUMMYFUNCTION("""COMPUTED_VALUE"""),405.75)</f>
        <v>405.75</v>
      </c>
      <c r="K89" s="3">
        <f t="shared" si="2"/>
        <v>0</v>
      </c>
      <c r="L89" s="3">
        <f t="shared" si="3"/>
        <v>407.6</v>
      </c>
    </row>
    <row r="90" customHeight="1" spans="1:12">
      <c r="A90" s="47">
        <f>IFERROR(__xludf.DUMMYFUNCTION("""COMPUTED_VALUE"""),45869.6458333333)</f>
        <v>45869.6458333333</v>
      </c>
      <c r="B90" s="48">
        <f>IFERROR(__xludf.DUMMYFUNCTION("""COMPUTED_VALUE"""),411.95)</f>
        <v>411.95</v>
      </c>
      <c r="C90" s="47">
        <f>IFERROR(__xludf.DUMMYFUNCTION("""COMPUTED_VALUE"""),45869.6458333333)</f>
        <v>45869.6458333333</v>
      </c>
      <c r="D90" s="48">
        <f>IFERROR(__xludf.DUMMYFUNCTION("""COMPUTED_VALUE"""),405.95)</f>
        <v>405.95</v>
      </c>
      <c r="E90" s="47">
        <f>IFERROR(__xludf.DUMMYFUNCTION("""COMPUTED_VALUE"""),45869.6458333333)</f>
        <v>45869.6458333333</v>
      </c>
      <c r="F90" s="48">
        <f>IFERROR(__xludf.DUMMYFUNCTION("""COMPUTED_VALUE"""),19364174)</f>
        <v>19364174</v>
      </c>
      <c r="G90" s="47">
        <f>IFERROR(__xludf.DUMMYFUNCTION("""COMPUTED_VALUE"""),45869.6458333333)</f>
        <v>45869.6458333333</v>
      </c>
      <c r="H90" s="48">
        <f>IFERROR(__xludf.DUMMYFUNCTION("""COMPUTED_VALUE"""),414)</f>
        <v>414</v>
      </c>
      <c r="I90" s="47">
        <f>IFERROR(__xludf.DUMMYFUNCTION("""COMPUTED_VALUE"""),45869.6458333333)</f>
        <v>45869.6458333333</v>
      </c>
      <c r="J90" s="48">
        <f>IFERROR(__xludf.DUMMYFUNCTION("""COMPUTED_VALUE"""),405.55)</f>
        <v>405.55</v>
      </c>
      <c r="K90" s="3">
        <f t="shared" si="2"/>
        <v>0</v>
      </c>
      <c r="L90" s="3">
        <f t="shared" si="3"/>
        <v>0</v>
      </c>
    </row>
    <row r="91" customHeight="1" spans="1:12">
      <c r="A91" s="47">
        <f>IFERROR(__xludf.DUMMYFUNCTION("""COMPUTED_VALUE"""),45870.6458333333)</f>
        <v>45870.6458333333</v>
      </c>
      <c r="B91" s="48">
        <f>IFERROR(__xludf.DUMMYFUNCTION("""COMPUTED_VALUE"""),416.45)</f>
        <v>416.45</v>
      </c>
      <c r="C91" s="47">
        <f>IFERROR(__xludf.DUMMYFUNCTION("""COMPUTED_VALUE"""),45870.6458333333)</f>
        <v>45870.6458333333</v>
      </c>
      <c r="D91" s="48">
        <f>IFERROR(__xludf.DUMMYFUNCTION("""COMPUTED_VALUE"""),412.4)</f>
        <v>412.4</v>
      </c>
      <c r="E91" s="47">
        <f>IFERROR(__xludf.DUMMYFUNCTION("""COMPUTED_VALUE"""),45870.6458333333)</f>
        <v>45870.6458333333</v>
      </c>
      <c r="F91" s="48">
        <f>IFERROR(__xludf.DUMMYFUNCTION("""COMPUTED_VALUE"""),14324065)</f>
        <v>14324065</v>
      </c>
      <c r="G91" s="47">
        <f>IFERROR(__xludf.DUMMYFUNCTION("""COMPUTED_VALUE"""),45870.6458333333)</f>
        <v>45870.6458333333</v>
      </c>
      <c r="H91" s="48">
        <f>IFERROR(__xludf.DUMMYFUNCTION("""COMPUTED_VALUE"""),419.35)</f>
        <v>419.35</v>
      </c>
      <c r="I91" s="47">
        <f>IFERROR(__xludf.DUMMYFUNCTION("""COMPUTED_VALUE"""),45870.6458333333)</f>
        <v>45870.6458333333</v>
      </c>
      <c r="J91" s="48">
        <f>IFERROR(__xludf.DUMMYFUNCTION("""COMPUTED_VALUE"""),411.8)</f>
        <v>411.8</v>
      </c>
      <c r="K91" s="3">
        <f t="shared" si="2"/>
        <v>0</v>
      </c>
      <c r="L91" s="3">
        <f t="shared" si="3"/>
        <v>0</v>
      </c>
    </row>
    <row r="92" customHeight="1" spans="1:12">
      <c r="A92" s="47">
        <f>IFERROR(__xludf.DUMMYFUNCTION("""COMPUTED_VALUE"""),45873.6458333333)</f>
        <v>45873.6458333333</v>
      </c>
      <c r="B92" s="48">
        <f>IFERROR(__xludf.DUMMYFUNCTION("""COMPUTED_VALUE"""),416.85)</f>
        <v>416.85</v>
      </c>
      <c r="C92" s="47">
        <f>IFERROR(__xludf.DUMMYFUNCTION("""COMPUTED_VALUE"""),45873.6458333333)</f>
        <v>45873.6458333333</v>
      </c>
      <c r="D92" s="48">
        <f>IFERROR(__xludf.DUMMYFUNCTION("""COMPUTED_VALUE"""),420.2)</f>
        <v>420.2</v>
      </c>
      <c r="E92" s="47">
        <f>IFERROR(__xludf.DUMMYFUNCTION("""COMPUTED_VALUE"""),45873.6458333333)</f>
        <v>45873.6458333333</v>
      </c>
      <c r="F92" s="48">
        <f>IFERROR(__xludf.DUMMYFUNCTION("""COMPUTED_VALUE"""),18352458)</f>
        <v>18352458</v>
      </c>
      <c r="G92" s="47">
        <f>IFERROR(__xludf.DUMMYFUNCTION("""COMPUTED_VALUE"""),45873.6458333333)</f>
        <v>45873.6458333333</v>
      </c>
      <c r="H92" s="48">
        <f>IFERROR(__xludf.DUMMYFUNCTION("""COMPUTED_VALUE"""),422.5)</f>
        <v>422.5</v>
      </c>
      <c r="I92" s="47">
        <f>IFERROR(__xludf.DUMMYFUNCTION("""COMPUTED_VALUE"""),45873.6458333333)</f>
        <v>45873.6458333333</v>
      </c>
      <c r="J92" s="48">
        <f>IFERROR(__xludf.DUMMYFUNCTION("""COMPUTED_VALUE"""),415.1)</f>
        <v>415.1</v>
      </c>
      <c r="K92" s="3">
        <f t="shared" si="2"/>
        <v>416.85</v>
      </c>
      <c r="L92" s="3">
        <f t="shared" si="3"/>
        <v>0</v>
      </c>
    </row>
    <row r="93" customHeight="1" spans="1:12">
      <c r="A93" s="47">
        <f>IFERROR(__xludf.DUMMYFUNCTION("""COMPUTED_VALUE"""),45874.6458333333)</f>
        <v>45874.6458333333</v>
      </c>
      <c r="B93" s="48">
        <f>IFERROR(__xludf.DUMMYFUNCTION("""COMPUTED_VALUE"""),414.15)</f>
        <v>414.15</v>
      </c>
      <c r="C93" s="47">
        <f>IFERROR(__xludf.DUMMYFUNCTION("""COMPUTED_VALUE"""),45874.6458333333)</f>
        <v>45874.6458333333</v>
      </c>
      <c r="D93" s="48">
        <f>IFERROR(__xludf.DUMMYFUNCTION("""COMPUTED_VALUE"""),417.2)</f>
        <v>417.2</v>
      </c>
      <c r="E93" s="47">
        <f>IFERROR(__xludf.DUMMYFUNCTION("""COMPUTED_VALUE"""),45874.6458333333)</f>
        <v>45874.6458333333</v>
      </c>
      <c r="F93" s="48">
        <f>IFERROR(__xludf.DUMMYFUNCTION("""COMPUTED_VALUE"""),8495104)</f>
        <v>8495104</v>
      </c>
      <c r="G93" s="47">
        <f>IFERROR(__xludf.DUMMYFUNCTION("""COMPUTED_VALUE"""),45874.6458333333)</f>
        <v>45874.6458333333</v>
      </c>
      <c r="H93" s="48">
        <f>IFERROR(__xludf.DUMMYFUNCTION("""COMPUTED_VALUE"""),417.95)</f>
        <v>417.95</v>
      </c>
      <c r="I93" s="47">
        <f>IFERROR(__xludf.DUMMYFUNCTION("""COMPUTED_VALUE"""),45874.6458333333)</f>
        <v>45874.6458333333</v>
      </c>
      <c r="J93" s="48">
        <f>IFERROR(__xludf.DUMMYFUNCTION("""COMPUTED_VALUE"""),413)</f>
        <v>413</v>
      </c>
      <c r="K93" s="3">
        <f t="shared" si="2"/>
        <v>0</v>
      </c>
      <c r="L93" s="3">
        <f t="shared" si="3"/>
        <v>0</v>
      </c>
    </row>
    <row r="94" customHeight="1" spans="1:12">
      <c r="A94" s="47">
        <f>IFERROR(__xludf.DUMMYFUNCTION("""COMPUTED_VALUE"""),45875.6458333333)</f>
        <v>45875.6458333333</v>
      </c>
      <c r="B94" s="48">
        <f>IFERROR(__xludf.DUMMYFUNCTION("""COMPUTED_VALUE"""),412)</f>
        <v>412</v>
      </c>
      <c r="C94" s="47">
        <f>IFERROR(__xludf.DUMMYFUNCTION("""COMPUTED_VALUE"""),45875.6458333333)</f>
        <v>45875.6458333333</v>
      </c>
      <c r="D94" s="48">
        <f>IFERROR(__xludf.DUMMYFUNCTION("""COMPUTED_VALUE"""),414.15)</f>
        <v>414.15</v>
      </c>
      <c r="E94" s="47">
        <f>IFERROR(__xludf.DUMMYFUNCTION("""COMPUTED_VALUE"""),45875.6458333333)</f>
        <v>45875.6458333333</v>
      </c>
      <c r="F94" s="48">
        <f>IFERROR(__xludf.DUMMYFUNCTION("""COMPUTED_VALUE"""),9080543)</f>
        <v>9080543</v>
      </c>
      <c r="G94" s="47">
        <f>IFERROR(__xludf.DUMMYFUNCTION("""COMPUTED_VALUE"""),45875.6458333333)</f>
        <v>45875.6458333333</v>
      </c>
      <c r="H94" s="48">
        <f>IFERROR(__xludf.DUMMYFUNCTION("""COMPUTED_VALUE"""),415)</f>
        <v>415</v>
      </c>
      <c r="I94" s="47">
        <f>IFERROR(__xludf.DUMMYFUNCTION("""COMPUTED_VALUE"""),45875.6458333333)</f>
        <v>45875.6458333333</v>
      </c>
      <c r="J94" s="48">
        <f>IFERROR(__xludf.DUMMYFUNCTION("""COMPUTED_VALUE"""),410.5)</f>
        <v>410.5</v>
      </c>
      <c r="K94" s="3">
        <f t="shared" si="2"/>
        <v>0</v>
      </c>
      <c r="L94" s="3">
        <f t="shared" si="3"/>
        <v>0</v>
      </c>
    </row>
    <row r="95" customHeight="1" spans="1:12">
      <c r="A95" s="47">
        <f>IFERROR(__xludf.DUMMYFUNCTION("""COMPUTED_VALUE"""),45876.6458333333)</f>
        <v>45876.6458333333</v>
      </c>
      <c r="B95" s="48">
        <f>IFERROR(__xludf.DUMMYFUNCTION("""COMPUTED_VALUE"""),413.6)</f>
        <v>413.6</v>
      </c>
      <c r="C95" s="47">
        <f>IFERROR(__xludf.DUMMYFUNCTION("""COMPUTED_VALUE"""),45876.6458333333)</f>
        <v>45876.6458333333</v>
      </c>
      <c r="D95" s="48">
        <f>IFERROR(__xludf.DUMMYFUNCTION("""COMPUTED_VALUE"""),412)</f>
        <v>412</v>
      </c>
      <c r="E95" s="47">
        <f>IFERROR(__xludf.DUMMYFUNCTION("""COMPUTED_VALUE"""),45876.6458333333)</f>
        <v>45876.6458333333</v>
      </c>
      <c r="F95" s="48">
        <f>IFERROR(__xludf.DUMMYFUNCTION("""COMPUTED_VALUE"""),11514878)</f>
        <v>11514878</v>
      </c>
      <c r="G95" s="47">
        <f>IFERROR(__xludf.DUMMYFUNCTION("""COMPUTED_VALUE"""),45876.6458333333)</f>
        <v>45876.6458333333</v>
      </c>
      <c r="H95" s="48">
        <f>IFERROR(__xludf.DUMMYFUNCTION("""COMPUTED_VALUE"""),414.75)</f>
        <v>414.75</v>
      </c>
      <c r="I95" s="47">
        <f>IFERROR(__xludf.DUMMYFUNCTION("""COMPUTED_VALUE"""),45876.6458333333)</f>
        <v>45876.6458333333</v>
      </c>
      <c r="J95" s="48">
        <f>IFERROR(__xludf.DUMMYFUNCTION("""COMPUTED_VALUE"""),411.65)</f>
        <v>411.65</v>
      </c>
      <c r="K95" s="3">
        <f t="shared" si="2"/>
        <v>0</v>
      </c>
      <c r="L95" s="3">
        <f t="shared" si="3"/>
        <v>0</v>
      </c>
    </row>
    <row r="96" customHeight="1" spans="1:12">
      <c r="A96" s="47">
        <f>IFERROR(__xludf.DUMMYFUNCTION("""COMPUTED_VALUE"""),45877.6458333333)</f>
        <v>45877.6458333333</v>
      </c>
      <c r="B96" s="48">
        <f>IFERROR(__xludf.DUMMYFUNCTION("""COMPUTED_VALUE"""),414.5)</f>
        <v>414.5</v>
      </c>
      <c r="C96" s="47">
        <f>IFERROR(__xludf.DUMMYFUNCTION("""COMPUTED_VALUE"""),45877.6458333333)</f>
        <v>45877.6458333333</v>
      </c>
      <c r="D96" s="48">
        <f>IFERROR(__xludf.DUMMYFUNCTION("""COMPUTED_VALUE"""),413.9)</f>
        <v>413.9</v>
      </c>
      <c r="E96" s="47">
        <f>IFERROR(__xludf.DUMMYFUNCTION("""COMPUTED_VALUE"""),45877.6458333333)</f>
        <v>45877.6458333333</v>
      </c>
      <c r="F96" s="48">
        <f>IFERROR(__xludf.DUMMYFUNCTION("""COMPUTED_VALUE"""),9814361)</f>
        <v>9814361</v>
      </c>
      <c r="G96" s="47">
        <f>IFERROR(__xludf.DUMMYFUNCTION("""COMPUTED_VALUE"""),45877.6458333333)</f>
        <v>45877.6458333333</v>
      </c>
      <c r="H96" s="48">
        <f>IFERROR(__xludf.DUMMYFUNCTION("""COMPUTED_VALUE"""),415.35)</f>
        <v>415.35</v>
      </c>
      <c r="I96" s="47">
        <f>IFERROR(__xludf.DUMMYFUNCTION("""COMPUTED_VALUE"""),45877.6458333333)</f>
        <v>45877.6458333333</v>
      </c>
      <c r="J96" s="48">
        <f>IFERROR(__xludf.DUMMYFUNCTION("""COMPUTED_VALUE"""),412.95)</f>
        <v>412.95</v>
      </c>
      <c r="K96" s="3">
        <f t="shared" si="2"/>
        <v>0</v>
      </c>
      <c r="L96" s="3">
        <f t="shared" si="3"/>
        <v>0</v>
      </c>
    </row>
    <row r="97" customHeight="1" spans="1:12">
      <c r="A97" s="47">
        <f>IFERROR(__xludf.DUMMYFUNCTION("""COMPUTED_VALUE"""),45880.6458333333)</f>
        <v>45880.6458333333</v>
      </c>
      <c r="B97" s="48">
        <f>IFERROR(__xludf.DUMMYFUNCTION("""COMPUTED_VALUE"""),416.85)</f>
        <v>416.85</v>
      </c>
      <c r="C97" s="47">
        <f>IFERROR(__xludf.DUMMYFUNCTION("""COMPUTED_VALUE"""),45880.6458333333)</f>
        <v>45880.6458333333</v>
      </c>
      <c r="D97" s="48">
        <f>IFERROR(__xludf.DUMMYFUNCTION("""COMPUTED_VALUE"""),414.5)</f>
        <v>414.5</v>
      </c>
      <c r="E97" s="47">
        <f>IFERROR(__xludf.DUMMYFUNCTION("""COMPUTED_VALUE"""),45880.6458333333)</f>
        <v>45880.6458333333</v>
      </c>
      <c r="F97" s="48">
        <f>IFERROR(__xludf.DUMMYFUNCTION("""COMPUTED_VALUE"""),8514272)</f>
        <v>8514272</v>
      </c>
      <c r="G97" s="47">
        <f>IFERROR(__xludf.DUMMYFUNCTION("""COMPUTED_VALUE"""),45880.6458333333)</f>
        <v>45880.6458333333</v>
      </c>
      <c r="H97" s="48">
        <f>IFERROR(__xludf.DUMMYFUNCTION("""COMPUTED_VALUE"""),417)</f>
        <v>417</v>
      </c>
      <c r="I97" s="47">
        <f>IFERROR(__xludf.DUMMYFUNCTION("""COMPUTED_VALUE"""),45880.6458333333)</f>
        <v>45880.6458333333</v>
      </c>
      <c r="J97" s="48">
        <f>IFERROR(__xludf.DUMMYFUNCTION("""COMPUTED_VALUE"""),414)</f>
        <v>414</v>
      </c>
      <c r="K97" s="3">
        <f t="shared" si="2"/>
        <v>416.85</v>
      </c>
      <c r="L97" s="3">
        <f t="shared" si="3"/>
        <v>0</v>
      </c>
    </row>
    <row r="98" customHeight="1" spans="1:12">
      <c r="A98" s="47">
        <f>IFERROR(__xludf.DUMMYFUNCTION("""COMPUTED_VALUE"""),45881.6458333333)</f>
        <v>45881.6458333333</v>
      </c>
      <c r="B98" s="48">
        <f>IFERROR(__xludf.DUMMYFUNCTION("""COMPUTED_VALUE"""),416.35)</f>
        <v>416.35</v>
      </c>
      <c r="C98" s="47">
        <f>IFERROR(__xludf.DUMMYFUNCTION("""COMPUTED_VALUE"""),45881.6458333333)</f>
        <v>45881.6458333333</v>
      </c>
      <c r="D98" s="48">
        <f>IFERROR(__xludf.DUMMYFUNCTION("""COMPUTED_VALUE"""),417)</f>
        <v>417</v>
      </c>
      <c r="E98" s="47">
        <f>IFERROR(__xludf.DUMMYFUNCTION("""COMPUTED_VALUE"""),45881.6458333333)</f>
        <v>45881.6458333333</v>
      </c>
      <c r="F98" s="48">
        <f>IFERROR(__xludf.DUMMYFUNCTION("""COMPUTED_VALUE"""),13635738)</f>
        <v>13635738</v>
      </c>
      <c r="G98" s="47">
        <f>IFERROR(__xludf.DUMMYFUNCTION("""COMPUTED_VALUE"""),45881.6458333333)</f>
        <v>45881.6458333333</v>
      </c>
      <c r="H98" s="48">
        <f>IFERROR(__xludf.DUMMYFUNCTION("""COMPUTED_VALUE"""),419.8)</f>
        <v>419.8</v>
      </c>
      <c r="I98" s="47">
        <f>IFERROR(__xludf.DUMMYFUNCTION("""COMPUTED_VALUE"""),45881.6458333333)</f>
        <v>45881.6458333333</v>
      </c>
      <c r="J98" s="48">
        <f>IFERROR(__xludf.DUMMYFUNCTION("""COMPUTED_VALUE"""),415.3)</f>
        <v>415.3</v>
      </c>
      <c r="K98" s="3">
        <f t="shared" si="2"/>
        <v>0</v>
      </c>
      <c r="L98" s="3">
        <f t="shared" si="3"/>
        <v>0</v>
      </c>
    </row>
    <row r="99" customHeight="1" spans="1:12">
      <c r="A99" s="47">
        <f>IFERROR(__xludf.DUMMYFUNCTION("""COMPUTED_VALUE"""),45882.6458333333)</f>
        <v>45882.6458333333</v>
      </c>
      <c r="B99" s="48">
        <f>IFERROR(__xludf.DUMMYFUNCTION("""COMPUTED_VALUE"""),414.1)</f>
        <v>414.1</v>
      </c>
      <c r="C99" s="47">
        <f>IFERROR(__xludf.DUMMYFUNCTION("""COMPUTED_VALUE"""),45882.6458333333)</f>
        <v>45882.6458333333</v>
      </c>
      <c r="D99" s="48">
        <f>IFERROR(__xludf.DUMMYFUNCTION("""COMPUTED_VALUE"""),417.2)</f>
        <v>417.2</v>
      </c>
      <c r="E99" s="47">
        <f>IFERROR(__xludf.DUMMYFUNCTION("""COMPUTED_VALUE"""),45882.6458333333)</f>
        <v>45882.6458333333</v>
      </c>
      <c r="F99" s="48">
        <f>IFERROR(__xludf.DUMMYFUNCTION("""COMPUTED_VALUE"""),10874910)</f>
        <v>10874910</v>
      </c>
      <c r="G99" s="47">
        <f>IFERROR(__xludf.DUMMYFUNCTION("""COMPUTED_VALUE"""),45882.6458333333)</f>
        <v>45882.6458333333</v>
      </c>
      <c r="H99" s="48">
        <f>IFERROR(__xludf.DUMMYFUNCTION("""COMPUTED_VALUE"""),417.5)</f>
        <v>417.5</v>
      </c>
      <c r="I99" s="47">
        <f>IFERROR(__xludf.DUMMYFUNCTION("""COMPUTED_VALUE"""),45882.6458333333)</f>
        <v>45882.6458333333</v>
      </c>
      <c r="J99" s="48">
        <f>IFERROR(__xludf.DUMMYFUNCTION("""COMPUTED_VALUE"""),413.6)</f>
        <v>413.6</v>
      </c>
      <c r="K99" s="3">
        <f t="shared" si="2"/>
        <v>0</v>
      </c>
      <c r="L99" s="3">
        <f t="shared" si="3"/>
        <v>0</v>
      </c>
    </row>
    <row r="100" customHeight="1" spans="1:12">
      <c r="A100" s="47">
        <f>IFERROR(__xludf.DUMMYFUNCTION("""COMPUTED_VALUE"""),45883.6458333333)</f>
        <v>45883.6458333333</v>
      </c>
      <c r="B100" s="48">
        <f>IFERROR(__xludf.DUMMYFUNCTION("""COMPUTED_VALUE"""),411.45)</f>
        <v>411.45</v>
      </c>
      <c r="C100" s="47">
        <f>IFERROR(__xludf.DUMMYFUNCTION("""COMPUTED_VALUE"""),45883.6458333333)</f>
        <v>45883.6458333333</v>
      </c>
      <c r="D100" s="48">
        <f>IFERROR(__xludf.DUMMYFUNCTION("""COMPUTED_VALUE"""),414.25)</f>
        <v>414.25</v>
      </c>
      <c r="E100" s="47">
        <f>IFERROR(__xludf.DUMMYFUNCTION("""COMPUTED_VALUE"""),45883.6458333333)</f>
        <v>45883.6458333333</v>
      </c>
      <c r="F100" s="48">
        <f>IFERROR(__xludf.DUMMYFUNCTION("""COMPUTED_VALUE"""),9580361)</f>
        <v>9580361</v>
      </c>
      <c r="G100" s="47">
        <f>IFERROR(__xludf.DUMMYFUNCTION("""COMPUTED_VALUE"""),45883.6458333333)</f>
        <v>45883.6458333333</v>
      </c>
      <c r="H100" s="48">
        <f>IFERROR(__xludf.DUMMYFUNCTION("""COMPUTED_VALUE"""),415.05)</f>
        <v>415.05</v>
      </c>
      <c r="I100" s="47">
        <f>IFERROR(__xludf.DUMMYFUNCTION("""COMPUTED_VALUE"""),45883.6458333333)</f>
        <v>45883.6458333333</v>
      </c>
      <c r="J100" s="48">
        <f>IFERROR(__xludf.DUMMYFUNCTION("""COMPUTED_VALUE"""),411)</f>
        <v>411</v>
      </c>
      <c r="K100" s="3">
        <f t="shared" si="2"/>
        <v>0</v>
      </c>
      <c r="L100" s="3">
        <f t="shared" si="3"/>
        <v>0</v>
      </c>
    </row>
    <row r="101" customHeight="1" spans="1:12">
      <c r="A101" s="47">
        <f>IFERROR(__xludf.DUMMYFUNCTION("""COMPUTED_VALUE"""),45887.6458333333)</f>
        <v>45887.6458333333</v>
      </c>
      <c r="B101" s="48">
        <f>IFERROR(__xludf.DUMMYFUNCTION("""COMPUTED_VALUE"""),406.3)</f>
        <v>406.3</v>
      </c>
      <c r="C101" s="47">
        <f>IFERROR(__xludf.DUMMYFUNCTION("""COMPUTED_VALUE"""),45887.6458333333)</f>
        <v>45887.6458333333</v>
      </c>
      <c r="D101" s="48">
        <f>IFERROR(__xludf.DUMMYFUNCTION("""COMPUTED_VALUE"""),413)</f>
        <v>413</v>
      </c>
      <c r="E101" s="47">
        <f>IFERROR(__xludf.DUMMYFUNCTION("""COMPUTED_VALUE"""),45887.6458333333)</f>
        <v>45887.6458333333</v>
      </c>
      <c r="F101" s="48">
        <f>IFERROR(__xludf.DUMMYFUNCTION("""COMPUTED_VALUE"""),30950814)</f>
        <v>30950814</v>
      </c>
      <c r="G101" s="47">
        <f>IFERROR(__xludf.DUMMYFUNCTION("""COMPUTED_VALUE"""),45887.6458333333)</f>
        <v>45887.6458333333</v>
      </c>
      <c r="H101" s="48">
        <f>IFERROR(__xludf.DUMMYFUNCTION("""COMPUTED_VALUE"""),413.7)</f>
        <v>413.7</v>
      </c>
      <c r="I101" s="47">
        <f>IFERROR(__xludf.DUMMYFUNCTION("""COMPUTED_VALUE"""),45887.6458333333)</f>
        <v>45887.6458333333</v>
      </c>
      <c r="J101" s="48">
        <f>IFERROR(__xludf.DUMMYFUNCTION("""COMPUTED_VALUE"""),404.85)</f>
        <v>404.85</v>
      </c>
      <c r="K101" s="3">
        <f t="shared" si="2"/>
        <v>0</v>
      </c>
      <c r="L101" s="3">
        <f t="shared" si="3"/>
        <v>0</v>
      </c>
    </row>
    <row r="102" customHeight="1" spans="1:12">
      <c r="A102" s="47">
        <f>IFERROR(__xludf.DUMMYFUNCTION("""COMPUTED_VALUE"""),45888.6458333333)</f>
        <v>45888.6458333333</v>
      </c>
      <c r="B102" s="48">
        <f>IFERROR(__xludf.DUMMYFUNCTION("""COMPUTED_VALUE"""),409.1)</f>
        <v>409.1</v>
      </c>
      <c r="C102" s="47">
        <f>IFERROR(__xludf.DUMMYFUNCTION("""COMPUTED_VALUE"""),45888.6458333333)</f>
        <v>45888.6458333333</v>
      </c>
      <c r="D102" s="48">
        <f>IFERROR(__xludf.DUMMYFUNCTION("""COMPUTED_VALUE"""),406.35)</f>
        <v>406.35</v>
      </c>
      <c r="E102" s="47">
        <f>IFERROR(__xludf.DUMMYFUNCTION("""COMPUTED_VALUE"""),45888.6458333333)</f>
        <v>45888.6458333333</v>
      </c>
      <c r="F102" s="48">
        <f>IFERROR(__xludf.DUMMYFUNCTION("""COMPUTED_VALUE"""),16681331)</f>
        <v>16681331</v>
      </c>
      <c r="G102" s="47">
        <f>IFERROR(__xludf.DUMMYFUNCTION("""COMPUTED_VALUE"""),45888.6458333333)</f>
        <v>45888.6458333333</v>
      </c>
      <c r="H102" s="48">
        <f>IFERROR(__xludf.DUMMYFUNCTION("""COMPUTED_VALUE"""),409.4)</f>
        <v>409.4</v>
      </c>
      <c r="I102" s="47">
        <f>IFERROR(__xludf.DUMMYFUNCTION("""COMPUTED_VALUE"""),45888.6458333333)</f>
        <v>45888.6458333333</v>
      </c>
      <c r="J102" s="48">
        <f>IFERROR(__xludf.DUMMYFUNCTION("""COMPUTED_VALUE"""),404.5)</f>
        <v>404.5</v>
      </c>
      <c r="K102" s="3">
        <f t="shared" si="2"/>
        <v>0</v>
      </c>
      <c r="L102" s="3">
        <f t="shared" si="3"/>
        <v>0</v>
      </c>
    </row>
    <row r="103" customHeight="1" spans="1:12">
      <c r="A103" s="47">
        <f>IFERROR(__xludf.DUMMYFUNCTION("""COMPUTED_VALUE"""),45889.6458333333)</f>
        <v>45889.6458333333</v>
      </c>
      <c r="B103" s="48">
        <f>IFERROR(__xludf.DUMMYFUNCTION("""COMPUTED_VALUE"""),406.05)</f>
        <v>406.05</v>
      </c>
      <c r="C103" s="47">
        <f>IFERROR(__xludf.DUMMYFUNCTION("""COMPUTED_VALUE"""),45889.6458333333)</f>
        <v>45889.6458333333</v>
      </c>
      <c r="D103" s="48">
        <f>IFERROR(__xludf.DUMMYFUNCTION("""COMPUTED_VALUE"""),409.1)</f>
        <v>409.1</v>
      </c>
      <c r="E103" s="47">
        <f>IFERROR(__xludf.DUMMYFUNCTION("""COMPUTED_VALUE"""),45889.6458333333)</f>
        <v>45889.6458333333</v>
      </c>
      <c r="F103" s="48">
        <f>IFERROR(__xludf.DUMMYFUNCTION("""COMPUTED_VALUE"""),18188129)</f>
        <v>18188129</v>
      </c>
      <c r="G103" s="47">
        <f>IFERROR(__xludf.DUMMYFUNCTION("""COMPUTED_VALUE"""),45889.6458333333)</f>
        <v>45889.6458333333</v>
      </c>
      <c r="H103" s="48">
        <f>IFERROR(__xludf.DUMMYFUNCTION("""COMPUTED_VALUE"""),410.25)</f>
        <v>410.25</v>
      </c>
      <c r="I103" s="47">
        <f>IFERROR(__xludf.DUMMYFUNCTION("""COMPUTED_VALUE"""),45889.6458333333)</f>
        <v>45889.6458333333</v>
      </c>
      <c r="J103" s="48">
        <f>IFERROR(__xludf.DUMMYFUNCTION("""COMPUTED_VALUE"""),405.45)</f>
        <v>405.45</v>
      </c>
      <c r="K103" s="3">
        <f t="shared" si="2"/>
        <v>0</v>
      </c>
      <c r="L103" s="3">
        <f t="shared" si="3"/>
        <v>0</v>
      </c>
    </row>
    <row r="104" customHeight="1" spans="1:12">
      <c r="A104" s="47">
        <f>IFERROR(__xludf.DUMMYFUNCTION("""COMPUTED_VALUE"""),45890.6458333333)</f>
        <v>45890.6458333333</v>
      </c>
      <c r="B104" s="48">
        <f>IFERROR(__xludf.DUMMYFUNCTION("""COMPUTED_VALUE"""),405.55)</f>
        <v>405.55</v>
      </c>
      <c r="C104" s="47">
        <f>IFERROR(__xludf.DUMMYFUNCTION("""COMPUTED_VALUE"""),45890.6458333333)</f>
        <v>45890.6458333333</v>
      </c>
      <c r="D104" s="48">
        <f>IFERROR(__xludf.DUMMYFUNCTION("""COMPUTED_VALUE"""),406.05)</f>
        <v>406.05</v>
      </c>
      <c r="E104" s="47">
        <f>IFERROR(__xludf.DUMMYFUNCTION("""COMPUTED_VALUE"""),45890.6458333333)</f>
        <v>45890.6458333333</v>
      </c>
      <c r="F104" s="48">
        <f>IFERROR(__xludf.DUMMYFUNCTION("""COMPUTED_VALUE"""),15028966)</f>
        <v>15028966</v>
      </c>
      <c r="G104" s="47">
        <f>IFERROR(__xludf.DUMMYFUNCTION("""COMPUTED_VALUE"""),45890.6458333333)</f>
        <v>45890.6458333333</v>
      </c>
      <c r="H104" s="48">
        <f>IFERROR(__xludf.DUMMYFUNCTION("""COMPUTED_VALUE"""),406.85)</f>
        <v>406.85</v>
      </c>
      <c r="I104" s="47">
        <f>IFERROR(__xludf.DUMMYFUNCTION("""COMPUTED_VALUE"""),45890.6458333333)</f>
        <v>45890.6458333333</v>
      </c>
      <c r="J104" s="48">
        <f>IFERROR(__xludf.DUMMYFUNCTION("""COMPUTED_VALUE"""),403.35)</f>
        <v>403.35</v>
      </c>
      <c r="K104" s="3">
        <f t="shared" si="2"/>
        <v>0</v>
      </c>
      <c r="L104" s="3">
        <f t="shared" si="3"/>
        <v>0</v>
      </c>
    </row>
    <row r="105" customHeight="1" spans="1:12">
      <c r="A105" s="47">
        <f>IFERROR(__xludf.DUMMYFUNCTION("""COMPUTED_VALUE"""),45891.6458333333)</f>
        <v>45891.6458333333</v>
      </c>
      <c r="B105" s="48">
        <f>IFERROR(__xludf.DUMMYFUNCTION("""COMPUTED_VALUE"""),398.3)</f>
        <v>398.3</v>
      </c>
      <c r="C105" s="47">
        <f>IFERROR(__xludf.DUMMYFUNCTION("""COMPUTED_VALUE"""),45891.6458333333)</f>
        <v>45891.6458333333</v>
      </c>
      <c r="D105" s="48">
        <f>IFERROR(__xludf.DUMMYFUNCTION("""COMPUTED_VALUE"""),406)</f>
        <v>406</v>
      </c>
      <c r="E105" s="47">
        <f>IFERROR(__xludf.DUMMYFUNCTION("""COMPUTED_VALUE"""),45891.6458333333)</f>
        <v>45891.6458333333</v>
      </c>
      <c r="F105" s="48">
        <f>IFERROR(__xludf.DUMMYFUNCTION("""COMPUTED_VALUE"""),13087624)</f>
        <v>13087624</v>
      </c>
      <c r="G105" s="47">
        <f>IFERROR(__xludf.DUMMYFUNCTION("""COMPUTED_VALUE"""),45891.6458333333)</f>
        <v>45891.6458333333</v>
      </c>
      <c r="H105" s="48">
        <f>IFERROR(__xludf.DUMMYFUNCTION("""COMPUTED_VALUE"""),406.5)</f>
        <v>406.5</v>
      </c>
      <c r="I105" s="47">
        <f>IFERROR(__xludf.DUMMYFUNCTION("""COMPUTED_VALUE"""),45891.6458333333)</f>
        <v>45891.6458333333</v>
      </c>
      <c r="J105" s="48">
        <f>IFERROR(__xludf.DUMMYFUNCTION("""COMPUTED_VALUE"""),397.5)</f>
        <v>397.5</v>
      </c>
      <c r="K105" s="3">
        <f t="shared" si="2"/>
        <v>0</v>
      </c>
      <c r="L105" s="3">
        <f t="shared" si="3"/>
        <v>398.3</v>
      </c>
    </row>
    <row r="106" customHeight="1" spans="1:12">
      <c r="A106" s="47">
        <f>IFERROR(__xludf.DUMMYFUNCTION("""COMPUTED_VALUE"""),45894.6458333333)</f>
        <v>45894.6458333333</v>
      </c>
      <c r="B106" s="48">
        <f>IFERROR(__xludf.DUMMYFUNCTION("""COMPUTED_VALUE"""),399.35)</f>
        <v>399.35</v>
      </c>
      <c r="C106" s="47">
        <f>IFERROR(__xludf.DUMMYFUNCTION("""COMPUTED_VALUE"""),45894.6458333333)</f>
        <v>45894.6458333333</v>
      </c>
      <c r="D106" s="48">
        <f>IFERROR(__xludf.DUMMYFUNCTION("""COMPUTED_VALUE"""),399)</f>
        <v>399</v>
      </c>
      <c r="E106" s="47">
        <f>IFERROR(__xludf.DUMMYFUNCTION("""COMPUTED_VALUE"""),45894.6458333333)</f>
        <v>45894.6458333333</v>
      </c>
      <c r="F106" s="48">
        <f>IFERROR(__xludf.DUMMYFUNCTION("""COMPUTED_VALUE"""),10440286)</f>
        <v>10440286</v>
      </c>
      <c r="G106" s="47">
        <f>IFERROR(__xludf.DUMMYFUNCTION("""COMPUTED_VALUE"""),45894.6458333333)</f>
        <v>45894.6458333333</v>
      </c>
      <c r="H106" s="48">
        <f>IFERROR(__xludf.DUMMYFUNCTION("""COMPUTED_VALUE"""),400.55)</f>
        <v>400.55</v>
      </c>
      <c r="I106" s="47">
        <f>IFERROR(__xludf.DUMMYFUNCTION("""COMPUTED_VALUE"""),45894.6458333333)</f>
        <v>45894.6458333333</v>
      </c>
      <c r="J106" s="48">
        <f>IFERROR(__xludf.DUMMYFUNCTION("""COMPUTED_VALUE"""),396.25)</f>
        <v>396.25</v>
      </c>
      <c r="K106" s="3">
        <f t="shared" si="2"/>
        <v>0</v>
      </c>
      <c r="L106" s="3">
        <f t="shared" si="3"/>
        <v>0</v>
      </c>
    </row>
    <row r="107" customHeight="1" spans="1:12">
      <c r="A107" s="47">
        <f>IFERROR(__xludf.DUMMYFUNCTION("""COMPUTED_VALUE"""),45895.6458333333)</f>
        <v>45895.6458333333</v>
      </c>
      <c r="B107" s="48">
        <f>IFERROR(__xludf.DUMMYFUNCTION("""COMPUTED_VALUE"""),403.35)</f>
        <v>403.35</v>
      </c>
      <c r="C107" s="47">
        <f>IFERROR(__xludf.DUMMYFUNCTION("""COMPUTED_VALUE"""),45895.6458333333)</f>
        <v>45895.6458333333</v>
      </c>
      <c r="D107" s="48">
        <f>IFERROR(__xludf.DUMMYFUNCTION("""COMPUTED_VALUE"""),399.3)</f>
        <v>399.3</v>
      </c>
      <c r="E107" s="47">
        <f>IFERROR(__xludf.DUMMYFUNCTION("""COMPUTED_VALUE"""),45895.6458333333)</f>
        <v>45895.6458333333</v>
      </c>
      <c r="F107" s="48">
        <f>IFERROR(__xludf.DUMMYFUNCTION("""COMPUTED_VALUE"""),13715752)</f>
        <v>13715752</v>
      </c>
      <c r="G107" s="47">
        <f>IFERROR(__xludf.DUMMYFUNCTION("""COMPUTED_VALUE"""),45895.6458333333)</f>
        <v>45895.6458333333</v>
      </c>
      <c r="H107" s="48">
        <f>IFERROR(__xludf.DUMMYFUNCTION("""COMPUTED_VALUE"""),405.4)</f>
        <v>405.4</v>
      </c>
      <c r="I107" s="47">
        <f>IFERROR(__xludf.DUMMYFUNCTION("""COMPUTED_VALUE"""),45895.6458333333)</f>
        <v>45895.6458333333</v>
      </c>
      <c r="J107" s="48">
        <f>IFERROR(__xludf.DUMMYFUNCTION("""COMPUTED_VALUE"""),398.4)</f>
        <v>398.4</v>
      </c>
      <c r="K107" s="3">
        <f t="shared" si="2"/>
        <v>0</v>
      </c>
      <c r="L107" s="3">
        <f t="shared" si="3"/>
        <v>0</v>
      </c>
    </row>
    <row r="108" customHeight="1" spans="1:12">
      <c r="A108" s="47">
        <f>IFERROR(__xludf.DUMMYFUNCTION("""COMPUTED_VALUE"""),45897.6458333333)</f>
        <v>45897.6458333333</v>
      </c>
      <c r="B108" s="48">
        <f>IFERROR(__xludf.DUMMYFUNCTION("""COMPUTED_VALUE"""),400.9)</f>
        <v>400.9</v>
      </c>
      <c r="C108" s="47">
        <f>IFERROR(__xludf.DUMMYFUNCTION("""COMPUTED_VALUE"""),45897.6458333333)</f>
        <v>45897.6458333333</v>
      </c>
      <c r="D108" s="48">
        <f>IFERROR(__xludf.DUMMYFUNCTION("""COMPUTED_VALUE"""),404.5)</f>
        <v>404.5</v>
      </c>
      <c r="E108" s="47">
        <f>IFERROR(__xludf.DUMMYFUNCTION("""COMPUTED_VALUE"""),45897.6458333333)</f>
        <v>45897.6458333333</v>
      </c>
      <c r="F108" s="48">
        <f>IFERROR(__xludf.DUMMYFUNCTION("""COMPUTED_VALUE"""),12471719)</f>
        <v>12471719</v>
      </c>
      <c r="G108" s="47">
        <f>IFERROR(__xludf.DUMMYFUNCTION("""COMPUTED_VALUE"""),45897.6458333333)</f>
        <v>45897.6458333333</v>
      </c>
      <c r="H108" s="48">
        <f>IFERROR(__xludf.DUMMYFUNCTION("""COMPUTED_VALUE"""),404.5)</f>
        <v>404.5</v>
      </c>
      <c r="I108" s="47">
        <f>IFERROR(__xludf.DUMMYFUNCTION("""COMPUTED_VALUE"""),45897.6458333333)</f>
        <v>45897.6458333333</v>
      </c>
      <c r="J108" s="48">
        <f>IFERROR(__xludf.DUMMYFUNCTION("""COMPUTED_VALUE"""),400)</f>
        <v>400</v>
      </c>
      <c r="K108" s="3">
        <f t="shared" si="2"/>
        <v>0</v>
      </c>
      <c r="L108" s="3">
        <f t="shared" si="3"/>
        <v>0</v>
      </c>
    </row>
    <row r="109" customHeight="1" spans="1:12">
      <c r="A109" s="47">
        <f>IFERROR(__xludf.DUMMYFUNCTION("""COMPUTED_VALUE"""),45898.6458333333)</f>
        <v>45898.6458333333</v>
      </c>
      <c r="B109" s="48">
        <f>IFERROR(__xludf.DUMMYFUNCTION("""COMPUTED_VALUE"""),409.75)</f>
        <v>409.75</v>
      </c>
      <c r="C109" s="47">
        <f>IFERROR(__xludf.DUMMYFUNCTION("""COMPUTED_VALUE"""),45898.6458333333)</f>
        <v>45898.6458333333</v>
      </c>
      <c r="D109" s="48">
        <f>IFERROR(__xludf.DUMMYFUNCTION("""COMPUTED_VALUE"""),402)</f>
        <v>402</v>
      </c>
      <c r="E109" s="47">
        <f>IFERROR(__xludf.DUMMYFUNCTION("""COMPUTED_VALUE"""),45898.6458333333)</f>
        <v>45898.6458333333</v>
      </c>
      <c r="F109" s="48">
        <f>IFERROR(__xludf.DUMMYFUNCTION("""COMPUTED_VALUE"""),25255050)</f>
        <v>25255050</v>
      </c>
      <c r="G109" s="47">
        <f>IFERROR(__xludf.DUMMYFUNCTION("""COMPUTED_VALUE"""),45898.6458333333)</f>
        <v>45898.6458333333</v>
      </c>
      <c r="H109" s="48">
        <f>IFERROR(__xludf.DUMMYFUNCTION("""COMPUTED_VALUE"""),410.45)</f>
        <v>410.45</v>
      </c>
      <c r="I109" s="47">
        <f>IFERROR(__xludf.DUMMYFUNCTION("""COMPUTED_VALUE"""),45898.6458333333)</f>
        <v>45898.6458333333</v>
      </c>
      <c r="J109" s="48">
        <f>IFERROR(__xludf.DUMMYFUNCTION("""COMPUTED_VALUE"""),401.9)</f>
        <v>401.9</v>
      </c>
      <c r="K109" s="3">
        <f t="shared" si="2"/>
        <v>0</v>
      </c>
      <c r="L109" s="3">
        <f t="shared" si="3"/>
        <v>0</v>
      </c>
    </row>
    <row r="110" customHeight="1" spans="1:12">
      <c r="A110" s="47">
        <f>IFERROR(__xludf.DUMMYFUNCTION("""COMPUTED_VALUE"""),45901.6458333333)</f>
        <v>45901.6458333333</v>
      </c>
      <c r="B110" s="48">
        <f>IFERROR(__xludf.DUMMYFUNCTION("""COMPUTED_VALUE"""),405.85)</f>
        <v>405.85</v>
      </c>
      <c r="C110" s="47">
        <f>IFERROR(__xludf.DUMMYFUNCTION("""COMPUTED_VALUE"""),45901.6458333333)</f>
        <v>45901.6458333333</v>
      </c>
      <c r="D110" s="48">
        <f>IFERROR(__xludf.DUMMYFUNCTION("""COMPUTED_VALUE"""),409.75)</f>
        <v>409.75</v>
      </c>
      <c r="E110" s="47">
        <f>IFERROR(__xludf.DUMMYFUNCTION("""COMPUTED_VALUE"""),45901.6458333333)</f>
        <v>45901.6458333333</v>
      </c>
      <c r="F110" s="48">
        <f>IFERROR(__xludf.DUMMYFUNCTION("""COMPUTED_VALUE"""),12268090)</f>
        <v>12268090</v>
      </c>
      <c r="G110" s="47">
        <f>IFERROR(__xludf.DUMMYFUNCTION("""COMPUTED_VALUE"""),45901.6458333333)</f>
        <v>45901.6458333333</v>
      </c>
      <c r="H110" s="48">
        <f>IFERROR(__xludf.DUMMYFUNCTION("""COMPUTED_VALUE"""),410.2)</f>
        <v>410.2</v>
      </c>
      <c r="I110" s="47">
        <f>IFERROR(__xludf.DUMMYFUNCTION("""COMPUTED_VALUE"""),45901.6458333333)</f>
        <v>45901.6458333333</v>
      </c>
      <c r="J110" s="48">
        <f>IFERROR(__xludf.DUMMYFUNCTION("""COMPUTED_VALUE"""),405)</f>
        <v>405</v>
      </c>
      <c r="K110" s="3">
        <f t="shared" si="2"/>
        <v>0</v>
      </c>
      <c r="L110" s="3">
        <f t="shared" si="3"/>
        <v>0</v>
      </c>
    </row>
    <row r="111" customHeight="1" spans="1:12">
      <c r="A111" s="47">
        <f>IFERROR(__xludf.DUMMYFUNCTION("""COMPUTED_VALUE"""),45902.6458333333)</f>
        <v>45902.6458333333</v>
      </c>
      <c r="B111" s="48">
        <f>IFERROR(__xludf.DUMMYFUNCTION("""COMPUTED_VALUE"""),406.75)</f>
        <v>406.75</v>
      </c>
      <c r="C111" s="47">
        <f>IFERROR(__xludf.DUMMYFUNCTION("""COMPUTED_VALUE"""),45902.6458333333)</f>
        <v>45902.6458333333</v>
      </c>
      <c r="D111" s="48">
        <f>IFERROR(__xludf.DUMMYFUNCTION("""COMPUTED_VALUE"""),406.55)</f>
        <v>406.55</v>
      </c>
      <c r="E111" s="47">
        <f>IFERROR(__xludf.DUMMYFUNCTION("""COMPUTED_VALUE"""),45902.6458333333)</f>
        <v>45902.6458333333</v>
      </c>
      <c r="F111" s="48">
        <f>IFERROR(__xludf.DUMMYFUNCTION("""COMPUTED_VALUE"""),19808255)</f>
        <v>19808255</v>
      </c>
      <c r="G111" s="47">
        <f>IFERROR(__xludf.DUMMYFUNCTION("""COMPUTED_VALUE"""),45902.6458333333)</f>
        <v>45902.6458333333</v>
      </c>
      <c r="H111" s="48">
        <f>IFERROR(__xludf.DUMMYFUNCTION("""COMPUTED_VALUE"""),407.85)</f>
        <v>407.85</v>
      </c>
      <c r="I111" s="47">
        <f>IFERROR(__xludf.DUMMYFUNCTION("""COMPUTED_VALUE"""),45902.6458333333)</f>
        <v>45902.6458333333</v>
      </c>
      <c r="J111" s="48">
        <f>IFERROR(__xludf.DUMMYFUNCTION("""COMPUTED_VALUE"""),404.45)</f>
        <v>404.45</v>
      </c>
      <c r="K111" s="3">
        <f t="shared" si="2"/>
        <v>0</v>
      </c>
      <c r="L111" s="3">
        <f t="shared" si="3"/>
        <v>0</v>
      </c>
    </row>
    <row r="112" customHeight="1" spans="1:12">
      <c r="A112" s="47">
        <f>IFERROR(__xludf.DUMMYFUNCTION("""COMPUTED_VALUE"""),45903.6458333333)</f>
        <v>45903.6458333333</v>
      </c>
      <c r="B112" s="48">
        <f>IFERROR(__xludf.DUMMYFUNCTION("""COMPUTED_VALUE"""),411.75)</f>
        <v>411.75</v>
      </c>
      <c r="C112" s="47">
        <f>IFERROR(__xludf.DUMMYFUNCTION("""COMPUTED_VALUE"""),45903.6458333333)</f>
        <v>45903.6458333333</v>
      </c>
      <c r="D112" s="48">
        <f>IFERROR(__xludf.DUMMYFUNCTION("""COMPUTED_VALUE"""),408.5)</f>
        <v>408.5</v>
      </c>
      <c r="E112" s="47">
        <f>IFERROR(__xludf.DUMMYFUNCTION("""COMPUTED_VALUE"""),45903.6458333333)</f>
        <v>45903.6458333333</v>
      </c>
      <c r="F112" s="48">
        <f>IFERROR(__xludf.DUMMYFUNCTION("""COMPUTED_VALUE"""),12936588)</f>
        <v>12936588</v>
      </c>
      <c r="G112" s="47">
        <f>IFERROR(__xludf.DUMMYFUNCTION("""COMPUTED_VALUE"""),45903.6458333333)</f>
        <v>45903.6458333333</v>
      </c>
      <c r="H112" s="48">
        <f>IFERROR(__xludf.DUMMYFUNCTION("""COMPUTED_VALUE"""),413.25)</f>
        <v>413.25</v>
      </c>
      <c r="I112" s="47">
        <f>IFERROR(__xludf.DUMMYFUNCTION("""COMPUTED_VALUE"""),45903.6458333333)</f>
        <v>45903.6458333333</v>
      </c>
      <c r="J112" s="48">
        <f>IFERROR(__xludf.DUMMYFUNCTION("""COMPUTED_VALUE"""),407.3)</f>
        <v>407.3</v>
      </c>
      <c r="K112" s="3">
        <f t="shared" si="2"/>
        <v>0</v>
      </c>
      <c r="L112" s="3">
        <f t="shared" si="3"/>
        <v>0</v>
      </c>
    </row>
    <row r="113" customHeight="1" spans="1:12">
      <c r="A113" s="47">
        <f>IFERROR(__xludf.DUMMYFUNCTION("""COMPUTED_VALUE"""),45904.6458333333)</f>
        <v>45904.6458333333</v>
      </c>
      <c r="B113" s="48">
        <f>IFERROR(__xludf.DUMMYFUNCTION("""COMPUTED_VALUE"""),415.9)</f>
        <v>415.9</v>
      </c>
      <c r="C113" s="47">
        <f>IFERROR(__xludf.DUMMYFUNCTION("""COMPUTED_VALUE"""),45904.6458333333)</f>
        <v>45904.6458333333</v>
      </c>
      <c r="D113" s="48">
        <f>IFERROR(__xludf.DUMMYFUNCTION("""COMPUTED_VALUE"""),423.95)</f>
        <v>423.95</v>
      </c>
      <c r="E113" s="47">
        <f>IFERROR(__xludf.DUMMYFUNCTION("""COMPUTED_VALUE"""),45904.6458333333)</f>
        <v>45904.6458333333</v>
      </c>
      <c r="F113" s="48">
        <f>IFERROR(__xludf.DUMMYFUNCTION("""COMPUTED_VALUE"""),27274123)</f>
        <v>27274123</v>
      </c>
      <c r="G113" s="47">
        <f>IFERROR(__xludf.DUMMYFUNCTION("""COMPUTED_VALUE"""),45904.6458333333)</f>
        <v>45904.6458333333</v>
      </c>
      <c r="H113" s="48">
        <f>IFERROR(__xludf.DUMMYFUNCTION("""COMPUTED_VALUE"""),427)</f>
        <v>427</v>
      </c>
      <c r="I113" s="47">
        <f>IFERROR(__xludf.DUMMYFUNCTION("""COMPUTED_VALUE"""),45904.6458333333)</f>
        <v>45904.6458333333</v>
      </c>
      <c r="J113" s="48">
        <f>IFERROR(__xludf.DUMMYFUNCTION("""COMPUTED_VALUE"""),415)</f>
        <v>415</v>
      </c>
      <c r="K113" s="3">
        <f t="shared" si="2"/>
        <v>415.9</v>
      </c>
      <c r="L113" s="3">
        <f t="shared" si="3"/>
        <v>0</v>
      </c>
    </row>
    <row r="114" customHeight="1" spans="1:12">
      <c r="A114" s="47">
        <f>IFERROR(__xludf.DUMMYFUNCTION("""COMPUTED_VALUE"""),45905.6458333333)</f>
        <v>45905.6458333333</v>
      </c>
      <c r="B114" s="48">
        <f>IFERROR(__xludf.DUMMYFUNCTION("""COMPUTED_VALUE"""),407.35)</f>
        <v>407.35</v>
      </c>
      <c r="C114" s="47">
        <f>IFERROR(__xludf.DUMMYFUNCTION("""COMPUTED_VALUE"""),45905.6458333333)</f>
        <v>45905.6458333333</v>
      </c>
      <c r="D114" s="48">
        <f>IFERROR(__xludf.DUMMYFUNCTION("""COMPUTED_VALUE"""),416.9)</f>
        <v>416.9</v>
      </c>
      <c r="E114" s="47">
        <f>IFERROR(__xludf.DUMMYFUNCTION("""COMPUTED_VALUE"""),45905.6458333333)</f>
        <v>45905.6458333333</v>
      </c>
      <c r="F114" s="48">
        <f>IFERROR(__xludf.DUMMYFUNCTION("""COMPUTED_VALUE"""),16000675)</f>
        <v>16000675</v>
      </c>
      <c r="G114" s="47">
        <f>IFERROR(__xludf.DUMMYFUNCTION("""COMPUTED_VALUE"""),45905.6458333333)</f>
        <v>45905.6458333333</v>
      </c>
      <c r="H114" s="48">
        <f>IFERROR(__xludf.DUMMYFUNCTION("""COMPUTED_VALUE"""),417)</f>
        <v>417</v>
      </c>
      <c r="I114" s="47">
        <f>IFERROR(__xludf.DUMMYFUNCTION("""COMPUTED_VALUE"""),45905.6458333333)</f>
        <v>45905.6458333333</v>
      </c>
      <c r="J114" s="48">
        <f>IFERROR(__xludf.DUMMYFUNCTION("""COMPUTED_VALUE"""),404.4)</f>
        <v>404.4</v>
      </c>
      <c r="K114" s="3">
        <f t="shared" si="2"/>
        <v>0</v>
      </c>
      <c r="L114" s="3">
        <f t="shared" si="3"/>
        <v>0</v>
      </c>
    </row>
    <row r="115" customHeight="1" spans="1:12">
      <c r="A115" s="47">
        <f>IFERROR(__xludf.DUMMYFUNCTION("""COMPUTED_VALUE"""),45908.6458333333)</f>
        <v>45908.6458333333</v>
      </c>
      <c r="B115" s="48">
        <f>IFERROR(__xludf.DUMMYFUNCTION("""COMPUTED_VALUE"""),407.55)</f>
        <v>407.55</v>
      </c>
      <c r="C115" s="47">
        <f>IFERROR(__xludf.DUMMYFUNCTION("""COMPUTED_VALUE"""),45908.6458333333)</f>
        <v>45908.6458333333</v>
      </c>
      <c r="D115" s="48">
        <f>IFERROR(__xludf.DUMMYFUNCTION("""COMPUTED_VALUE"""),407.45)</f>
        <v>407.45</v>
      </c>
      <c r="E115" s="47">
        <f>IFERROR(__xludf.DUMMYFUNCTION("""COMPUTED_VALUE"""),45908.6458333333)</f>
        <v>45908.6458333333</v>
      </c>
      <c r="F115" s="48">
        <f>IFERROR(__xludf.DUMMYFUNCTION("""COMPUTED_VALUE"""),7419022)</f>
        <v>7419022</v>
      </c>
      <c r="G115" s="47">
        <f>IFERROR(__xludf.DUMMYFUNCTION("""COMPUTED_VALUE"""),45908.6458333333)</f>
        <v>45908.6458333333</v>
      </c>
      <c r="H115" s="48">
        <f>IFERROR(__xludf.DUMMYFUNCTION("""COMPUTED_VALUE"""),410.55)</f>
        <v>410.55</v>
      </c>
      <c r="I115" s="47">
        <f>IFERROR(__xludf.DUMMYFUNCTION("""COMPUTED_VALUE"""),45908.6458333333)</f>
        <v>45908.6458333333</v>
      </c>
      <c r="J115" s="48">
        <f>IFERROR(__xludf.DUMMYFUNCTION("""COMPUTED_VALUE"""),406.8)</f>
        <v>406.8</v>
      </c>
      <c r="K115" s="3">
        <f t="shared" si="2"/>
        <v>0</v>
      </c>
      <c r="L115" s="3">
        <f t="shared" si="3"/>
        <v>0</v>
      </c>
    </row>
    <row r="116" customHeight="1" spans="1:12">
      <c r="A116" s="47">
        <f>IFERROR(__xludf.DUMMYFUNCTION("""COMPUTED_VALUE"""),45909.6458333333)</f>
        <v>45909.6458333333</v>
      </c>
      <c r="B116" s="48">
        <f>IFERROR(__xludf.DUMMYFUNCTION("""COMPUTED_VALUE"""),410.05)</f>
        <v>410.05</v>
      </c>
      <c r="C116" s="47">
        <f>IFERROR(__xludf.DUMMYFUNCTION("""COMPUTED_VALUE"""),45909.6458333333)</f>
        <v>45909.6458333333</v>
      </c>
      <c r="D116" s="48">
        <f>IFERROR(__xludf.DUMMYFUNCTION("""COMPUTED_VALUE"""),408.5)</f>
        <v>408.5</v>
      </c>
      <c r="E116" s="47">
        <f>IFERROR(__xludf.DUMMYFUNCTION("""COMPUTED_VALUE"""),45909.6458333333)</f>
        <v>45909.6458333333</v>
      </c>
      <c r="F116" s="48">
        <f>IFERROR(__xludf.DUMMYFUNCTION("""COMPUTED_VALUE"""),8825896)</f>
        <v>8825896</v>
      </c>
      <c r="G116" s="47">
        <f>IFERROR(__xludf.DUMMYFUNCTION("""COMPUTED_VALUE"""),45909.6458333333)</f>
        <v>45909.6458333333</v>
      </c>
      <c r="H116" s="48">
        <f>IFERROR(__xludf.DUMMYFUNCTION("""COMPUTED_VALUE"""),410.95)</f>
        <v>410.95</v>
      </c>
      <c r="I116" s="47">
        <f>IFERROR(__xludf.DUMMYFUNCTION("""COMPUTED_VALUE"""),45909.6458333333)</f>
        <v>45909.6458333333</v>
      </c>
      <c r="J116" s="48">
        <f>IFERROR(__xludf.DUMMYFUNCTION("""COMPUTED_VALUE"""),407.4)</f>
        <v>407.4</v>
      </c>
      <c r="K116" s="3">
        <f t="shared" si="2"/>
        <v>0</v>
      </c>
      <c r="L116" s="3">
        <f t="shared" si="3"/>
        <v>0</v>
      </c>
    </row>
    <row r="117" customHeight="1" spans="1:12">
      <c r="A117" s="47">
        <f>IFERROR(__xludf.DUMMYFUNCTION("""COMPUTED_VALUE"""),45910.6458333333)</f>
        <v>45910.6458333333</v>
      </c>
      <c r="B117" s="48">
        <f>IFERROR(__xludf.DUMMYFUNCTION("""COMPUTED_VALUE"""),413.05)</f>
        <v>413.05</v>
      </c>
      <c r="C117" s="47">
        <f>IFERROR(__xludf.DUMMYFUNCTION("""COMPUTED_VALUE"""),45910.6458333333)</f>
        <v>45910.6458333333</v>
      </c>
      <c r="D117" s="48">
        <f>IFERROR(__xludf.DUMMYFUNCTION("""COMPUTED_VALUE"""),411)</f>
        <v>411</v>
      </c>
      <c r="E117" s="47">
        <f>IFERROR(__xludf.DUMMYFUNCTION("""COMPUTED_VALUE"""),45910.6458333333)</f>
        <v>45910.6458333333</v>
      </c>
      <c r="F117" s="48">
        <f>IFERROR(__xludf.DUMMYFUNCTION("""COMPUTED_VALUE"""),9252397)</f>
        <v>9252397</v>
      </c>
      <c r="G117" s="47">
        <f>IFERROR(__xludf.DUMMYFUNCTION("""COMPUTED_VALUE"""),45910.6458333333)</f>
        <v>45910.6458333333</v>
      </c>
      <c r="H117" s="48">
        <f>IFERROR(__xludf.DUMMYFUNCTION("""COMPUTED_VALUE"""),413.7)</f>
        <v>413.7</v>
      </c>
      <c r="I117" s="47">
        <f>IFERROR(__xludf.DUMMYFUNCTION("""COMPUTED_VALUE"""),45910.6458333333)</f>
        <v>45910.6458333333</v>
      </c>
      <c r="J117" s="48">
        <f>IFERROR(__xludf.DUMMYFUNCTION("""COMPUTED_VALUE"""),408.95)</f>
        <v>408.95</v>
      </c>
      <c r="K117" s="3">
        <f t="shared" si="2"/>
        <v>0</v>
      </c>
      <c r="L117" s="3">
        <f t="shared" si="3"/>
        <v>0</v>
      </c>
    </row>
    <row r="118" customHeight="1" spans="1:12">
      <c r="A118" s="47">
        <f>IFERROR(__xludf.DUMMYFUNCTION("""COMPUTED_VALUE"""),45911.6458333333)</f>
        <v>45911.6458333333</v>
      </c>
      <c r="B118" s="48">
        <f>IFERROR(__xludf.DUMMYFUNCTION("""COMPUTED_VALUE"""),415.05)</f>
        <v>415.05</v>
      </c>
      <c r="C118" s="47">
        <f>IFERROR(__xludf.DUMMYFUNCTION("""COMPUTED_VALUE"""),45911.6458333333)</f>
        <v>45911.6458333333</v>
      </c>
      <c r="D118" s="48">
        <f>IFERROR(__xludf.DUMMYFUNCTION("""COMPUTED_VALUE"""),413.05)</f>
        <v>413.05</v>
      </c>
      <c r="E118" s="47">
        <f>IFERROR(__xludf.DUMMYFUNCTION("""COMPUTED_VALUE"""),45911.6458333333)</f>
        <v>45911.6458333333</v>
      </c>
      <c r="F118" s="48">
        <f>IFERROR(__xludf.DUMMYFUNCTION("""COMPUTED_VALUE"""),8274406)</f>
        <v>8274406</v>
      </c>
      <c r="G118" s="47">
        <f>IFERROR(__xludf.DUMMYFUNCTION("""COMPUTED_VALUE"""),45911.6458333333)</f>
        <v>45911.6458333333</v>
      </c>
      <c r="H118" s="48">
        <f>IFERROR(__xludf.DUMMYFUNCTION("""COMPUTED_VALUE"""),416.7)</f>
        <v>416.7</v>
      </c>
      <c r="I118" s="47">
        <f>IFERROR(__xludf.DUMMYFUNCTION("""COMPUTED_VALUE"""),45911.6458333333)</f>
        <v>45911.6458333333</v>
      </c>
      <c r="J118" s="48">
        <f>IFERROR(__xludf.DUMMYFUNCTION("""COMPUTED_VALUE"""),412.45)</f>
        <v>412.45</v>
      </c>
      <c r="K118" s="3">
        <f t="shared" si="2"/>
        <v>0</v>
      </c>
      <c r="L118" s="3">
        <f t="shared" si="3"/>
        <v>0</v>
      </c>
    </row>
    <row r="119" customHeight="1" spans="1:12">
      <c r="A119" s="47">
        <f>IFERROR(__xludf.DUMMYFUNCTION("""COMPUTED_VALUE"""),45912.6458333333)</f>
        <v>45912.6458333333</v>
      </c>
      <c r="B119" s="48">
        <f>IFERROR(__xludf.DUMMYFUNCTION("""COMPUTED_VALUE"""),413.75)</f>
        <v>413.75</v>
      </c>
      <c r="C119" s="47">
        <f>IFERROR(__xludf.DUMMYFUNCTION("""COMPUTED_VALUE"""),45912.6458333333)</f>
        <v>45912.6458333333</v>
      </c>
      <c r="D119" s="48">
        <f>IFERROR(__xludf.DUMMYFUNCTION("""COMPUTED_VALUE"""),415.35)</f>
        <v>415.35</v>
      </c>
      <c r="E119" s="47">
        <f>IFERROR(__xludf.DUMMYFUNCTION("""COMPUTED_VALUE"""),45912.6458333333)</f>
        <v>45912.6458333333</v>
      </c>
      <c r="F119" s="48">
        <f>IFERROR(__xludf.DUMMYFUNCTION("""COMPUTED_VALUE"""),7803379)</f>
        <v>7803379</v>
      </c>
      <c r="G119" s="47">
        <f>IFERROR(__xludf.DUMMYFUNCTION("""COMPUTED_VALUE"""),45912.6458333333)</f>
        <v>45912.6458333333</v>
      </c>
      <c r="H119" s="48">
        <f>IFERROR(__xludf.DUMMYFUNCTION("""COMPUTED_VALUE"""),417.05)</f>
        <v>417.05</v>
      </c>
      <c r="I119" s="47">
        <f>IFERROR(__xludf.DUMMYFUNCTION("""COMPUTED_VALUE"""),45912.6458333333)</f>
        <v>45912.6458333333</v>
      </c>
      <c r="J119" s="48">
        <f>IFERROR(__xludf.DUMMYFUNCTION("""COMPUTED_VALUE"""),412.85)</f>
        <v>412.85</v>
      </c>
      <c r="K119" s="3">
        <f t="shared" si="2"/>
        <v>0</v>
      </c>
      <c r="L119" s="3">
        <f t="shared" si="3"/>
        <v>0</v>
      </c>
    </row>
    <row r="120" customHeight="1" spans="1:12">
      <c r="A120" s="47">
        <f>IFERROR(__xludf.DUMMYFUNCTION("""COMPUTED_VALUE"""),45915.6458333333)</f>
        <v>45915.6458333333</v>
      </c>
      <c r="B120" s="48">
        <f>IFERROR(__xludf.DUMMYFUNCTION("""COMPUTED_VALUE"""),412.65)</f>
        <v>412.65</v>
      </c>
      <c r="C120" s="47">
        <f>IFERROR(__xludf.DUMMYFUNCTION("""COMPUTED_VALUE"""),45915.6458333333)</f>
        <v>45915.6458333333</v>
      </c>
      <c r="D120" s="48">
        <f>IFERROR(__xludf.DUMMYFUNCTION("""COMPUTED_VALUE"""),413.05)</f>
        <v>413.05</v>
      </c>
      <c r="E120" s="47">
        <f>IFERROR(__xludf.DUMMYFUNCTION("""COMPUTED_VALUE"""),45915.6458333333)</f>
        <v>45915.6458333333</v>
      </c>
      <c r="F120" s="48">
        <f>IFERROR(__xludf.DUMMYFUNCTION("""COMPUTED_VALUE"""),5707331)</f>
        <v>5707331</v>
      </c>
      <c r="G120" s="47">
        <f>IFERROR(__xludf.DUMMYFUNCTION("""COMPUTED_VALUE"""),45915.6458333333)</f>
        <v>45915.6458333333</v>
      </c>
      <c r="H120" s="48">
        <f>IFERROR(__xludf.DUMMYFUNCTION("""COMPUTED_VALUE"""),414.3)</f>
        <v>414.3</v>
      </c>
      <c r="I120" s="47">
        <f>IFERROR(__xludf.DUMMYFUNCTION("""COMPUTED_VALUE"""),45915.6458333333)</f>
        <v>45915.6458333333</v>
      </c>
      <c r="J120" s="48">
        <f>IFERROR(__xludf.DUMMYFUNCTION("""COMPUTED_VALUE"""),411.75)</f>
        <v>411.75</v>
      </c>
      <c r="K120" s="3">
        <f t="shared" si="2"/>
        <v>0</v>
      </c>
      <c r="L120" s="3">
        <f t="shared" si="3"/>
        <v>0</v>
      </c>
    </row>
    <row r="121" customHeight="1" spans="1:12">
      <c r="A121" s="47">
        <f>IFERROR(__xludf.DUMMYFUNCTION("""COMPUTED_VALUE"""),45916.6458333333)</f>
        <v>45916.6458333333</v>
      </c>
      <c r="B121" s="48">
        <f>IFERROR(__xludf.DUMMYFUNCTION("""COMPUTED_VALUE"""),413.1)</f>
        <v>413.1</v>
      </c>
      <c r="C121" s="47">
        <f>IFERROR(__xludf.DUMMYFUNCTION("""COMPUTED_VALUE"""),45916.6458333333)</f>
        <v>45916.6458333333</v>
      </c>
      <c r="D121" s="48">
        <f>IFERROR(__xludf.DUMMYFUNCTION("""COMPUTED_VALUE"""),413.2)</f>
        <v>413.2</v>
      </c>
      <c r="E121" s="47">
        <f>IFERROR(__xludf.DUMMYFUNCTION("""COMPUTED_VALUE"""),45916.6458333333)</f>
        <v>45916.6458333333</v>
      </c>
      <c r="F121" s="48">
        <f>IFERROR(__xludf.DUMMYFUNCTION("""COMPUTED_VALUE"""),8239087)</f>
        <v>8239087</v>
      </c>
      <c r="G121" s="47">
        <f>IFERROR(__xludf.DUMMYFUNCTION("""COMPUTED_VALUE"""),45916.6458333333)</f>
        <v>45916.6458333333</v>
      </c>
      <c r="H121" s="48">
        <f>IFERROR(__xludf.DUMMYFUNCTION("""COMPUTED_VALUE"""),414.35)</f>
        <v>414.35</v>
      </c>
      <c r="I121" s="47">
        <f>IFERROR(__xludf.DUMMYFUNCTION("""COMPUTED_VALUE"""),45916.6458333333)</f>
        <v>45916.6458333333</v>
      </c>
      <c r="J121" s="48">
        <f>IFERROR(__xludf.DUMMYFUNCTION("""COMPUTED_VALUE"""),412)</f>
        <v>412</v>
      </c>
      <c r="K121" s="3">
        <f t="shared" si="2"/>
        <v>0</v>
      </c>
      <c r="L121" s="3">
        <f t="shared" si="3"/>
        <v>0</v>
      </c>
    </row>
    <row r="122" customHeight="1" spans="1:12">
      <c r="A122" s="47">
        <f>IFERROR(__xludf.DUMMYFUNCTION("""COMPUTED_VALUE"""),45917.6458333333)</f>
        <v>45917.6458333333</v>
      </c>
      <c r="B122" s="48">
        <f>IFERROR(__xludf.DUMMYFUNCTION("""COMPUTED_VALUE"""),409.3)</f>
        <v>409.3</v>
      </c>
      <c r="C122" s="47">
        <f>IFERROR(__xludf.DUMMYFUNCTION("""COMPUTED_VALUE"""),45917.6458333333)</f>
        <v>45917.6458333333</v>
      </c>
      <c r="D122" s="48">
        <f>IFERROR(__xludf.DUMMYFUNCTION("""COMPUTED_VALUE"""),413.95)</f>
        <v>413.95</v>
      </c>
      <c r="E122" s="47">
        <f>IFERROR(__xludf.DUMMYFUNCTION("""COMPUTED_VALUE"""),45917.6458333333)</f>
        <v>45917.6458333333</v>
      </c>
      <c r="F122" s="48">
        <f>IFERROR(__xludf.DUMMYFUNCTION("""COMPUTED_VALUE"""),14113882)</f>
        <v>14113882</v>
      </c>
      <c r="G122" s="47">
        <f>IFERROR(__xludf.DUMMYFUNCTION("""COMPUTED_VALUE"""),45917.6458333333)</f>
        <v>45917.6458333333</v>
      </c>
      <c r="H122" s="48">
        <f>IFERROR(__xludf.DUMMYFUNCTION("""COMPUTED_VALUE"""),414.6)</f>
        <v>414.6</v>
      </c>
      <c r="I122" s="47">
        <f>IFERROR(__xludf.DUMMYFUNCTION("""COMPUTED_VALUE"""),45917.6458333333)</f>
        <v>45917.6458333333</v>
      </c>
      <c r="J122" s="48">
        <f>IFERROR(__xludf.DUMMYFUNCTION("""COMPUTED_VALUE"""),408.05)</f>
        <v>408.05</v>
      </c>
      <c r="K122" s="3">
        <f t="shared" si="2"/>
        <v>0</v>
      </c>
      <c r="L122" s="3">
        <f t="shared" si="3"/>
        <v>0</v>
      </c>
    </row>
    <row r="123" customHeight="1" spans="1:12">
      <c r="A123" s="47">
        <f>IFERROR(__xludf.DUMMYFUNCTION("""COMPUTED_VALUE"""),45918.6458333333)</f>
        <v>45918.6458333333</v>
      </c>
      <c r="B123" s="48">
        <f>IFERROR(__xludf.DUMMYFUNCTION("""COMPUTED_VALUE"""),411.55)</f>
        <v>411.55</v>
      </c>
      <c r="C123" s="47">
        <f>IFERROR(__xludf.DUMMYFUNCTION("""COMPUTED_VALUE"""),45918.6458333333)</f>
        <v>45918.6458333333</v>
      </c>
      <c r="D123" s="48">
        <f>IFERROR(__xludf.DUMMYFUNCTION("""COMPUTED_VALUE"""),411.35)</f>
        <v>411.35</v>
      </c>
      <c r="E123" s="47">
        <f>IFERROR(__xludf.DUMMYFUNCTION("""COMPUTED_VALUE"""),45918.6458333333)</f>
        <v>45918.6458333333</v>
      </c>
      <c r="F123" s="48">
        <f>IFERROR(__xludf.DUMMYFUNCTION("""COMPUTED_VALUE"""),15647808)</f>
        <v>15647808</v>
      </c>
      <c r="G123" s="47">
        <f>IFERROR(__xludf.DUMMYFUNCTION("""COMPUTED_VALUE"""),45918.6458333333)</f>
        <v>45918.6458333333</v>
      </c>
      <c r="H123" s="48">
        <f>IFERROR(__xludf.DUMMYFUNCTION("""COMPUTED_VALUE"""),413.05)</f>
        <v>413.05</v>
      </c>
      <c r="I123" s="47">
        <f>IFERROR(__xludf.DUMMYFUNCTION("""COMPUTED_VALUE"""),45918.6458333333)</f>
        <v>45918.6458333333</v>
      </c>
      <c r="J123" s="48">
        <f>IFERROR(__xludf.DUMMYFUNCTION("""COMPUTED_VALUE"""),410.1)</f>
        <v>410.1</v>
      </c>
      <c r="K123" s="3">
        <f t="shared" si="2"/>
        <v>0</v>
      </c>
      <c r="L123" s="3">
        <f t="shared" si="3"/>
        <v>0</v>
      </c>
    </row>
    <row r="124" customHeight="1" spans="1:12">
      <c r="A124" s="47">
        <f>IFERROR(__xludf.DUMMYFUNCTION("""COMPUTED_VALUE"""),45919.6458333333)</f>
        <v>45919.6458333333</v>
      </c>
      <c r="B124" s="48">
        <f>IFERROR(__xludf.DUMMYFUNCTION("""COMPUTED_VALUE"""),410.65)</f>
        <v>410.65</v>
      </c>
      <c r="C124" s="47">
        <f>IFERROR(__xludf.DUMMYFUNCTION("""COMPUTED_VALUE"""),45919.6458333333)</f>
        <v>45919.6458333333</v>
      </c>
      <c r="D124" s="48">
        <f>IFERROR(__xludf.DUMMYFUNCTION("""COMPUTED_VALUE"""),411.55)</f>
        <v>411.55</v>
      </c>
      <c r="E124" s="47">
        <f>IFERROR(__xludf.DUMMYFUNCTION("""COMPUTED_VALUE"""),45919.6458333333)</f>
        <v>45919.6458333333</v>
      </c>
      <c r="F124" s="48">
        <f>IFERROR(__xludf.DUMMYFUNCTION("""COMPUTED_VALUE"""),19505321)</f>
        <v>19505321</v>
      </c>
      <c r="G124" s="47">
        <f>IFERROR(__xludf.DUMMYFUNCTION("""COMPUTED_VALUE"""),45919.6458333333)</f>
        <v>45919.6458333333</v>
      </c>
      <c r="H124" s="48">
        <f>IFERROR(__xludf.DUMMYFUNCTION("""COMPUTED_VALUE"""),412.6)</f>
        <v>412.6</v>
      </c>
      <c r="I124" s="47">
        <f>IFERROR(__xludf.DUMMYFUNCTION("""COMPUTED_VALUE"""),45919.6458333333)</f>
        <v>45919.6458333333</v>
      </c>
      <c r="J124" s="48">
        <f>IFERROR(__xludf.DUMMYFUNCTION("""COMPUTED_VALUE"""),408.95)</f>
        <v>408.95</v>
      </c>
      <c r="K124" s="3">
        <f t="shared" si="2"/>
        <v>0</v>
      </c>
      <c r="L124" s="3">
        <f t="shared" si="3"/>
        <v>0</v>
      </c>
    </row>
    <row r="125" customHeight="1" spans="1:12">
      <c r="A125" s="47">
        <f>IFERROR(__xludf.DUMMYFUNCTION("""COMPUTED_VALUE"""),45922.6458333333)</f>
        <v>45922.6458333333</v>
      </c>
      <c r="B125" s="48">
        <f>IFERROR(__xludf.DUMMYFUNCTION("""COMPUTED_VALUE"""),406.95)</f>
        <v>406.95</v>
      </c>
      <c r="C125" s="47">
        <f>IFERROR(__xludf.DUMMYFUNCTION("""COMPUTED_VALUE"""),45922.6458333333)</f>
        <v>45922.6458333333</v>
      </c>
      <c r="D125" s="48">
        <f>IFERROR(__xludf.DUMMYFUNCTION("""COMPUTED_VALUE"""),410.65)</f>
        <v>410.65</v>
      </c>
      <c r="E125" s="47">
        <f>IFERROR(__xludf.DUMMYFUNCTION("""COMPUTED_VALUE"""),45922.6458333333)</f>
        <v>45922.6458333333</v>
      </c>
      <c r="F125" s="48">
        <f>IFERROR(__xludf.DUMMYFUNCTION("""COMPUTED_VALUE"""),8930779)</f>
        <v>8930779</v>
      </c>
      <c r="G125" s="47">
        <f>IFERROR(__xludf.DUMMYFUNCTION("""COMPUTED_VALUE"""),45922.6458333333)</f>
        <v>45922.6458333333</v>
      </c>
      <c r="H125" s="48">
        <f>IFERROR(__xludf.DUMMYFUNCTION("""COMPUTED_VALUE"""),411)</f>
        <v>411</v>
      </c>
      <c r="I125" s="47">
        <f>IFERROR(__xludf.DUMMYFUNCTION("""COMPUTED_VALUE"""),45922.6458333333)</f>
        <v>45922.6458333333</v>
      </c>
      <c r="J125" s="48">
        <f>IFERROR(__xludf.DUMMYFUNCTION("""COMPUTED_VALUE"""),406.05)</f>
        <v>406.05</v>
      </c>
      <c r="K125" s="3">
        <f t="shared" si="2"/>
        <v>0</v>
      </c>
      <c r="L125" s="3">
        <f t="shared" si="3"/>
        <v>0</v>
      </c>
    </row>
    <row r="126" customHeight="1" spans="1:10">
      <c r="A126" s="47">
        <f>IFERROR(__xludf.DUMMYFUNCTION("""COMPUTED_VALUE"""),45923.6458333333)</f>
        <v>45923.6458333333</v>
      </c>
      <c r="B126" s="48">
        <f>IFERROR(__xludf.DUMMYFUNCTION("""COMPUTED_VALUE"""),403.2)</f>
        <v>403.2</v>
      </c>
      <c r="C126" s="47">
        <f>IFERROR(__xludf.DUMMYFUNCTION("""COMPUTED_VALUE"""),45923.6458333333)</f>
        <v>45923.6458333333</v>
      </c>
      <c r="D126" s="48">
        <f>IFERROR(__xludf.DUMMYFUNCTION("""COMPUTED_VALUE"""),407.1)</f>
        <v>407.1</v>
      </c>
      <c r="E126" s="47">
        <f>IFERROR(__xludf.DUMMYFUNCTION("""COMPUTED_VALUE"""),45923.6458333333)</f>
        <v>45923.6458333333</v>
      </c>
      <c r="F126" s="48">
        <f>IFERROR(__xludf.DUMMYFUNCTION("""COMPUTED_VALUE"""),14936357)</f>
        <v>14936357</v>
      </c>
      <c r="G126" s="47">
        <f>IFERROR(__xludf.DUMMYFUNCTION("""COMPUTED_VALUE"""),45923.6458333333)</f>
        <v>45923.6458333333</v>
      </c>
      <c r="H126" s="48">
        <f>IFERROR(__xludf.DUMMYFUNCTION("""COMPUTED_VALUE"""),408.1)</f>
        <v>408.1</v>
      </c>
      <c r="I126" s="47">
        <f>IFERROR(__xludf.DUMMYFUNCTION("""COMPUTED_VALUE"""),45923.6458333333)</f>
        <v>45923.6458333333</v>
      </c>
      <c r="J126" s="48">
        <f>IFERROR(__xludf.DUMMYFUNCTION("""COMPUTED_VALUE"""),402.1)</f>
        <v>402.1</v>
      </c>
    </row>
    <row r="127" customHeight="1" spans="1:10">
      <c r="A127" s="47">
        <f>IFERROR(__xludf.DUMMYFUNCTION("""COMPUTED_VALUE"""),45924.6458333333)</f>
        <v>45924.6458333333</v>
      </c>
      <c r="B127" s="48">
        <f>IFERROR(__xludf.DUMMYFUNCTION("""COMPUTED_VALUE"""),401)</f>
        <v>401</v>
      </c>
      <c r="C127" s="47">
        <f>IFERROR(__xludf.DUMMYFUNCTION("""COMPUTED_VALUE"""),45924.6458333333)</f>
        <v>45924.6458333333</v>
      </c>
      <c r="D127" s="48">
        <f>IFERROR(__xludf.DUMMYFUNCTION("""COMPUTED_VALUE"""),403.2)</f>
        <v>403.2</v>
      </c>
      <c r="E127" s="47">
        <f>IFERROR(__xludf.DUMMYFUNCTION("""COMPUTED_VALUE"""),45924.6458333333)</f>
        <v>45924.6458333333</v>
      </c>
      <c r="F127" s="48">
        <f>IFERROR(__xludf.DUMMYFUNCTION("""COMPUTED_VALUE"""),12380865)</f>
        <v>12380865</v>
      </c>
      <c r="G127" s="47">
        <f>IFERROR(__xludf.DUMMYFUNCTION("""COMPUTED_VALUE"""),45924.6458333333)</f>
        <v>45924.6458333333</v>
      </c>
      <c r="H127" s="48">
        <f>IFERROR(__xludf.DUMMYFUNCTION("""COMPUTED_VALUE"""),404.65)</f>
        <v>404.65</v>
      </c>
      <c r="I127" s="47">
        <f>IFERROR(__xludf.DUMMYFUNCTION("""COMPUTED_VALUE"""),45924.6458333333)</f>
        <v>45924.6458333333</v>
      </c>
      <c r="J127" s="48">
        <f>IFERROR(__xludf.DUMMYFUNCTION("""COMPUTED_VALUE"""),400.7)</f>
        <v>400.7</v>
      </c>
    </row>
    <row r="128" customHeight="1" spans="1:10">
      <c r="A128" s="47">
        <f>IFERROR(__xludf.DUMMYFUNCTION("""COMPUTED_VALUE"""),45925.6458333333)</f>
        <v>45925.6458333333</v>
      </c>
      <c r="B128" s="48">
        <f>IFERROR(__xludf.DUMMYFUNCTION("""COMPUTED_VALUE"""),400.1)</f>
        <v>400.1</v>
      </c>
      <c r="C128" s="47">
        <f>IFERROR(__xludf.DUMMYFUNCTION("""COMPUTED_VALUE"""),45925.6458333333)</f>
        <v>45925.6458333333</v>
      </c>
      <c r="D128" s="48">
        <f>IFERROR(__xludf.DUMMYFUNCTION("""COMPUTED_VALUE"""),401.45)</f>
        <v>401.45</v>
      </c>
      <c r="E128" s="47">
        <f>IFERROR(__xludf.DUMMYFUNCTION("""COMPUTED_VALUE"""),45925.6458333333)</f>
        <v>45925.6458333333</v>
      </c>
      <c r="F128" s="48">
        <f>IFERROR(__xludf.DUMMYFUNCTION("""COMPUTED_VALUE"""),22006368)</f>
        <v>22006368</v>
      </c>
      <c r="G128" s="47">
        <f>IFERROR(__xludf.DUMMYFUNCTION("""COMPUTED_VALUE"""),45925.6458333333)</f>
        <v>45925.6458333333</v>
      </c>
      <c r="H128" s="48">
        <f>IFERROR(__xludf.DUMMYFUNCTION("""COMPUTED_VALUE"""),403)</f>
        <v>403</v>
      </c>
      <c r="I128" s="47">
        <f>IFERROR(__xludf.DUMMYFUNCTION("""COMPUTED_VALUE"""),45925.6458333333)</f>
        <v>45925.6458333333</v>
      </c>
      <c r="J128" s="48">
        <f>IFERROR(__xludf.DUMMYFUNCTION("""COMPUTED_VALUE"""),398)</f>
        <v>398</v>
      </c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IFERROR(__xludf.DUMMYFUNCTION("""COMPUTED_VALUE"""),405.1)</f>
        <v>405.1</v>
      </c>
      <c r="C129" s="47">
        <f>IFERROR(__xludf.DUMMYFUNCTION("""COMPUTED_VALUE"""),45926.6458333333)</f>
        <v>45926.6458333333</v>
      </c>
      <c r="D129" s="48">
        <f>IFERROR(__xludf.DUMMYFUNCTION("""COMPUTED_VALUE"""),400.1)</f>
        <v>400.1</v>
      </c>
      <c r="E129" s="47">
        <f>IFERROR(__xludf.DUMMYFUNCTION("""COMPUTED_VALUE"""),45926.6458333333)</f>
        <v>45926.6458333333</v>
      </c>
      <c r="F129" s="48">
        <f>IFERROR(__xludf.DUMMYFUNCTION("""COMPUTED_VALUE"""),14414044)</f>
        <v>14414044</v>
      </c>
      <c r="G129" s="47">
        <f>IFERROR(__xludf.DUMMYFUNCTION("""COMPUTED_VALUE"""),45926.6458333333)</f>
        <v>45926.6458333333</v>
      </c>
      <c r="H129" s="48">
        <f>IFERROR(__xludf.DUMMYFUNCTION("""COMPUTED_VALUE"""),405.9)</f>
        <v>405.9</v>
      </c>
      <c r="I129" s="47">
        <f>IFERROR(__xludf.DUMMYFUNCTION("""COMPUTED_VALUE"""),45926.6458333333)</f>
        <v>45926.6458333333</v>
      </c>
      <c r="J129" s="48">
        <f>IFERROR(__xludf.DUMMYFUNCTION("""COMPUTED_VALUE"""),399.8)</f>
        <v>399.8</v>
      </c>
    </row>
  </sheetData>
  <mergeCells count="3">
    <mergeCell ref="M1:P1"/>
    <mergeCell ref="A3:F3"/>
    <mergeCell ref="AB4:AE4"/>
  </mergeCells>
  <conditionalFormatting sqref="A1:A2 A4">
    <cfRule type="notContainsBlanks" dxfId="0" priority="1">
      <formula>LEN(TRIM(A1))&gt;0</formula>
    </cfRule>
  </conditionalFormatting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16">
      <c r="A1" s="49" t="s">
        <v>264</v>
      </c>
      <c r="B1" s="50">
        <f ca="1">TODAY()</f>
        <v>45927</v>
      </c>
      <c r="C1" s="51">
        <f ca="1">DAY(B1)</f>
        <v>27</v>
      </c>
      <c r="D1" s="51">
        <f ca="1" t="shared" ref="D1:D2" si="0">MONTH(B1)</f>
        <v>9</v>
      </c>
      <c r="E1" s="51">
        <f ca="1" t="shared" ref="E1:E2" si="1">YEAR(B1)</f>
        <v>2025</v>
      </c>
      <c r="F1" s="52"/>
      <c r="G1" s="53"/>
      <c r="H1" s="51"/>
      <c r="I1" s="51"/>
      <c r="J1" s="51"/>
      <c r="K1" s="51"/>
      <c r="L1" s="51"/>
      <c r="M1" s="62" t="s">
        <v>265</v>
      </c>
      <c r="N1" s="19"/>
      <c r="O1" s="19"/>
      <c r="P1" s="19"/>
    </row>
    <row r="2" customHeight="1" spans="1:20">
      <c r="A2" s="49" t="s">
        <v>266</v>
      </c>
      <c r="B2" s="50">
        <f ca="1">EDATE(TODAY(),-6)</f>
        <v>45743</v>
      </c>
      <c r="C2" s="51">
        <f ca="1">DAY(B2)</f>
        <v>27</v>
      </c>
      <c r="D2" s="51">
        <f ca="1" t="shared" si="0"/>
        <v>3</v>
      </c>
      <c r="E2" s="51">
        <f ca="1" t="shared" si="1"/>
        <v>2025</v>
      </c>
      <c r="F2" s="52"/>
      <c r="G2" s="53"/>
      <c r="H2" s="51"/>
      <c r="I2" s="51"/>
      <c r="J2" s="51"/>
      <c r="K2" s="51"/>
      <c r="L2" s="51"/>
      <c r="M2" s="63" t="str">
        <f>IFERROR(__xludf.DUMMYFUNCTION("GOOGLEFINANCE(L3, ""close"", WORKDAY(TODAY(), -1), WORKDAY(TODAY(), -1))"),"Date")</f>
        <v>Date</v>
      </c>
      <c r="N2" s="64" t="str">
        <f>IFERROR(__xludf.DUMMYFUNCTION("""COMPUTED_VALUE"""),"Close")</f>
        <v>Close</v>
      </c>
      <c r="O2" s="63" t="str">
        <f>IFERROR(__xludf.DUMMYFUNCTION("GOOGLEFINANCE(L3, ""open"", WORKDAY(TODAY(), -1), WORKDAY(TODAY(), -1))"),"Date")</f>
        <v>Date</v>
      </c>
      <c r="P2" s="64" t="str">
        <f>IFERROR(__xludf.DUMMYFUNCTION("""COMPUTED_VALUE"""),"Open")</f>
        <v>Open</v>
      </c>
      <c r="Q2" s="72" t="str">
        <f>IFERROR(__xludf.DUMMYFUNCTION("GOOGLEFINANCE(L3, ""hIGH"", WORKDAY(TODAY(), -1), WORKDAY(TODAY(), -1))"),"Date")</f>
        <v>Date</v>
      </c>
      <c r="R2" s="48" t="str">
        <f>IFERROR(__xludf.DUMMYFUNCTION("""COMPUTED_VALUE"""),"High")</f>
        <v>High</v>
      </c>
      <c r="S2" s="72" t="str">
        <f>IFERROR(__xludf.DUMMYFUNCTION("GOOGLEFINANCE(L3, ""LOW"", WORKDAY(TODAY(), -1), WORKDAY(TODAY(), -1))"),"Date")</f>
        <v>Date</v>
      </c>
      <c r="T2" s="48" t="str">
        <f>IFERROR(__xludf.DUMMYFUNCTION("""COMPUTED_VALUE"""),"Low")</f>
        <v>Low</v>
      </c>
    </row>
    <row r="3" customHeight="1" spans="1:20">
      <c r="A3" s="54" t="s">
        <v>58</v>
      </c>
      <c r="B3" s="7"/>
      <c r="C3" s="7"/>
      <c r="D3" s="7"/>
      <c r="E3" s="7"/>
      <c r="F3" s="8"/>
      <c r="G3" s="55" t="s">
        <v>268</v>
      </c>
      <c r="H3" s="56">
        <f>IFERROR(__xludf.DUMMYFUNCTION("GOOGLEFINANCE(L3, ""price"")"),1128.5)</f>
        <v>1128.5</v>
      </c>
      <c r="I3" s="65" t="s">
        <v>269</v>
      </c>
      <c r="J3" s="56">
        <f>IFERROR(__xludf.DUMMYFUNCTION("GOOGLEFINANCE(L3, ""volume"")"),2999892)</f>
        <v>2999892</v>
      </c>
      <c r="K3" s="66" t="s">
        <v>270</v>
      </c>
      <c r="L3" s="67" t="str">
        <f>Mastersheet!B25</f>
        <v>NSE:JSWSTEEL</v>
      </c>
      <c r="M3" s="68">
        <f>IFERROR(__xludf.DUMMYFUNCTION("""COMPUTED_VALUE"""),45926.6458333333)</f>
        <v>45926.6458333333</v>
      </c>
      <c r="N3" s="67">
        <f>IFERROR(__xludf.DUMMYFUNCTION("""COMPUTED_VALUE"""),1130.8)</f>
        <v>1130.8</v>
      </c>
      <c r="O3" s="68">
        <f>IFERROR(__xludf.DUMMYFUNCTION("""COMPUTED_VALUE"""),45926.6458333333)</f>
        <v>45926.6458333333</v>
      </c>
      <c r="P3" s="67">
        <f>IFERROR(__xludf.DUMMYFUNCTION("""COMPUTED_VALUE"""),1155)</f>
        <v>1155</v>
      </c>
      <c r="Q3" s="47">
        <f>IFERROR(__xludf.DUMMYFUNCTION("""COMPUTED_VALUE"""),45926.6458333333)</f>
        <v>45926.6458333333</v>
      </c>
      <c r="R3" s="48">
        <f>IFERROR(__xludf.DUMMYFUNCTION("""COMPUTED_VALUE"""),1167.9)</f>
        <v>1167.9</v>
      </c>
      <c r="S3" s="47">
        <f>IFERROR(__xludf.DUMMYFUNCTION("""COMPUTED_VALUE"""),45926.6458333333)</f>
        <v>45926.6458333333</v>
      </c>
      <c r="T3" s="48">
        <f>IFERROR(__xludf.DUMMYFUNCTION("""COMPUTED_VALUE"""),1127.9)</f>
        <v>1127.9</v>
      </c>
    </row>
    <row r="4" customHeight="1" spans="1:31">
      <c r="A4" s="57" t="str">
        <f>IFERROR(__xludf.DUMMYFUNCTION("GOOGLEFINANCE(L3, ""CLOSE"",DATE(E2,D2,C2), DATE(E1,D1,C1), ""DAILY"")"),"Date")</f>
        <v>Date</v>
      </c>
      <c r="B4" s="58" t="str">
        <f>IFERROR(__xludf.DUMMYFUNCTION("""COMPUTED_VALUE"""),"Close")</f>
        <v>Close</v>
      </c>
      <c r="C4" s="58" t="str">
        <f>IFERROR(__xludf.DUMMYFUNCTION("GOOGLEFINANCE(L3, ""open"", DATE(E2,D2,C2), DATE(E1,D1,C1), ""DAILY"")"),"Date")</f>
        <v>Date</v>
      </c>
      <c r="D4" s="58" t="str">
        <f>IFERROR(__xludf.DUMMYFUNCTION("""COMPUTED_VALUE"""),"Open")</f>
        <v>Open</v>
      </c>
      <c r="E4" s="59" t="str">
        <f>IFERROR(__xludf.DUMMYFUNCTION("GOOGLEFINANCE(L3, ""VOLUME"", DATE(E2,D2,C2), DATE(E1,D1,C1), ""DAILY"")"),"Date")</f>
        <v>Date</v>
      </c>
      <c r="F4" s="58" t="str">
        <f>IFERROR(__xludf.DUMMYFUNCTION("""COMPUTED_VALUE"""),"Volume")</f>
        <v>Volume</v>
      </c>
      <c r="G4" s="59" t="str">
        <f>IFERROR(__xludf.DUMMYFUNCTION("GOOGLEFINANCE(L3, ""HIGH"", DATE(E2,D2,C2), DATE(E1,D1,C1), ""DAILY"")"),"Date")</f>
        <v>Date</v>
      </c>
      <c r="H4" s="59" t="str">
        <f>IFERROR(__xludf.DUMMYFUNCTION("""COMPUTED_VALUE"""),"High")</f>
        <v>High</v>
      </c>
      <c r="I4" s="59" t="str">
        <f>IFERROR(__xludf.DUMMYFUNCTION("GOOGLEFINANCE(L3, ""LOW"", DATE(E2,D2,C2), DATE(E1,D1,C1), ""DAILY"")"),"Date")</f>
        <v>Date</v>
      </c>
      <c r="J4" s="69" t="str">
        <f>IFERROR(__xludf.DUMMYFUNCTION("""COMPUTED_VALUE"""),"Low")</f>
        <v>Low</v>
      </c>
      <c r="K4" s="70" t="s">
        <v>271</v>
      </c>
      <c r="L4" s="70" t="s">
        <v>272</v>
      </c>
      <c r="M4" s="70" t="s">
        <v>273</v>
      </c>
      <c r="N4" s="70" t="s">
        <v>274</v>
      </c>
      <c r="O4" s="70" t="s">
        <v>275</v>
      </c>
      <c r="P4" s="70" t="s">
        <v>276</v>
      </c>
      <c r="Q4" s="73" t="s">
        <v>277</v>
      </c>
      <c r="R4" s="73" t="s">
        <v>278</v>
      </c>
      <c r="S4" s="73" t="s">
        <v>279</v>
      </c>
      <c r="T4" s="73" t="s">
        <v>280</v>
      </c>
      <c r="U4" s="73" t="s">
        <v>281</v>
      </c>
      <c r="V4" s="73" t="s">
        <v>282</v>
      </c>
      <c r="W4" s="70" t="s">
        <v>283</v>
      </c>
      <c r="X4" s="74" t="s">
        <v>284</v>
      </c>
      <c r="Y4" s="37" t="s">
        <v>285</v>
      </c>
      <c r="Z4" s="77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60">
        <f>IFERROR(__xludf.DUMMYFUNCTION("""COMPUTED_VALUE"""),45743.6458333333)</f>
        <v>45743.6458333333</v>
      </c>
      <c r="B5" s="61">
        <f>IFERROR(__xludf.DUMMYFUNCTION("""COMPUTED_VALUE"""),1059.75)</f>
        <v>1059.75</v>
      </c>
      <c r="C5" s="60">
        <f>IFERROR(__xludf.DUMMYFUNCTION("""COMPUTED_VALUE"""),45743.6458333333)</f>
        <v>45743.6458333333</v>
      </c>
      <c r="D5" s="61">
        <f>IFERROR(__xludf.DUMMYFUNCTION("""COMPUTED_VALUE"""),1051.95)</f>
        <v>1051.95</v>
      </c>
      <c r="E5" s="60">
        <f>IFERROR(__xludf.DUMMYFUNCTION("""COMPUTED_VALUE"""),45743.6458333333)</f>
        <v>45743.6458333333</v>
      </c>
      <c r="F5" s="61">
        <f>IFERROR(__xludf.DUMMYFUNCTION("""COMPUTED_VALUE"""),2514499)</f>
        <v>2514499</v>
      </c>
      <c r="G5" s="60">
        <f>IFERROR(__xludf.DUMMYFUNCTION("""COMPUTED_VALUE"""),45743.6458333333)</f>
        <v>45743.6458333333</v>
      </c>
      <c r="H5" s="61">
        <f>IFERROR(__xludf.DUMMYFUNCTION("""COMPUTED_VALUE"""),1069)</f>
        <v>1069</v>
      </c>
      <c r="I5" s="71">
        <f>IFERROR(__xludf.DUMMYFUNCTION("""COMPUTED_VALUE"""),45743.6458333333)</f>
        <v>45743.6458333333</v>
      </c>
      <c r="J5" s="51">
        <f>IFERROR(__xludf.DUMMYFUNCTION("""COMPUTED_VALUE"""),1050)</f>
        <v>1050</v>
      </c>
      <c r="K5" s="51"/>
      <c r="L5" s="51"/>
      <c r="M5" s="51">
        <f t="array" ref="M5">INDEX(K11:K124,MATCH(SMALL(ABS(K11:K124-H3),1),ABS(K11:K124-H3),0))</f>
        <v>1082.6</v>
      </c>
      <c r="N5" s="51">
        <f t="array" ref="N5">INDEX(K11:K124,MATCH(SMALL(ABS(K11:K124-H3),2),ABS(K11:K124-H3),0))</f>
        <v>1059.9</v>
      </c>
      <c r="O5" s="51">
        <f t="array" ref="O5">INDEX(L11:L124,MATCH(SMALL(ABS(L11:L124-H3),1),ABS(L11:L124-H3),0))</f>
        <v>1045.5</v>
      </c>
      <c r="P5" s="51">
        <f t="array" ref="P5">INDEX(L11:L124,MATCH(SMALL(ABS(L11:L124-H3),2),ABS(L11:L124-H3),0))</f>
        <v>1029.8</v>
      </c>
      <c r="Q5" s="48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S5" s="75">
        <f ca="1">IF(Q5&gt;0,Q5,S5)</f>
        <v>963.5</v>
      </c>
      <c r="T5" s="48">
        <f ca="1">IF(AND(H3&gt;=Mastersheet!I3*S5,H3&lt;=Mastersheet!J3*S5),1,0)</f>
        <v>0</v>
      </c>
      <c r="U5" s="76">
        <f>(N3+P3)/2</f>
        <v>1142.9</v>
      </c>
      <c r="V5" s="48">
        <f>(N3+P3+R3+T3)/4</f>
        <v>1145.4</v>
      </c>
      <c r="W5" s="48">
        <f>IF(V5&gt;U5,1,0)</f>
        <v>1</v>
      </c>
      <c r="X5" s="48">
        <f>IF(V5&gt;U5,0,1)</f>
        <v>0</v>
      </c>
      <c r="Y5" s="48">
        <f>IF(COUNTIF(Mastersheet!E:E,L3)&gt;0,0,1)</f>
        <v>1</v>
      </c>
      <c r="Z5" s="78">
        <f ca="1">IF(T5*W5*Y5=1,1,0)</f>
        <v>0</v>
      </c>
      <c r="AA5" s="79"/>
      <c r="AB5" s="44" t="s">
        <v>289</v>
      </c>
      <c r="AC5" s="80" t="s">
        <v>290</v>
      </c>
      <c r="AD5" s="81" t="s">
        <v>291</v>
      </c>
      <c r="AE5" s="81" t="s">
        <v>292</v>
      </c>
    </row>
    <row r="6" customHeight="1" spans="1:31">
      <c r="A6" s="47">
        <f>IFERROR(__xludf.DUMMYFUNCTION("""COMPUTED_VALUE"""),45744.6458333333)</f>
        <v>45744.6458333333</v>
      </c>
      <c r="B6" s="48">
        <f>IFERROR(__xludf.DUMMYFUNCTION("""COMPUTED_VALUE"""),1063.2)</f>
        <v>1063.2</v>
      </c>
      <c r="C6" s="47">
        <f>IFERROR(__xludf.DUMMYFUNCTION("""COMPUTED_VALUE"""),45744.6458333333)</f>
        <v>45744.6458333333</v>
      </c>
      <c r="D6" s="48">
        <f>IFERROR(__xludf.DUMMYFUNCTION("""COMPUTED_VALUE"""),1059.75)</f>
        <v>1059.75</v>
      </c>
      <c r="E6" s="47">
        <f>IFERROR(__xludf.DUMMYFUNCTION("""COMPUTED_VALUE"""),45744.6458333333)</f>
        <v>45744.6458333333</v>
      </c>
      <c r="F6" s="48">
        <f>IFERROR(__xludf.DUMMYFUNCTION("""COMPUTED_VALUE"""),1674204)</f>
        <v>1674204</v>
      </c>
      <c r="G6" s="47">
        <f>IFERROR(__xludf.DUMMYFUNCTION("""COMPUTED_VALUE"""),45744.6458333333)</f>
        <v>45744.6458333333</v>
      </c>
      <c r="H6" s="48">
        <f>IFERROR(__xludf.DUMMYFUNCTION("""COMPUTED_VALUE"""),1068.2)</f>
        <v>1068.2</v>
      </c>
      <c r="I6" s="47">
        <f>IFERROR(__xludf.DUMMYFUNCTION("""COMPUTED_VALUE"""),45744.6458333333)</f>
        <v>45744.6458333333</v>
      </c>
      <c r="J6" s="48">
        <f>IFERROR(__xludf.DUMMYFUNCTION("""COMPUTED_VALUE"""),1053.95)</f>
        <v>1053.95</v>
      </c>
      <c r="AB6" s="48">
        <f>IF(COUNTIF(Mastersheet!E:E,L3)&gt;0,1,0)</f>
        <v>0</v>
      </c>
      <c r="AC6" s="48">
        <f>IF(AND(H3&gt;Mastersheet!L3*Mastersheet!F3,X5),1,0)</f>
        <v>0</v>
      </c>
      <c r="AD6" s="76">
        <f>IF(H3&lt;Mastersheet!M3*Mastersheet!F3,1,0)</f>
        <v>0</v>
      </c>
      <c r="AE6" s="48">
        <f>IF(OR(AC6*AB6=1,AD6*AB6=1),1,0)</f>
        <v>0</v>
      </c>
    </row>
    <row r="7" customHeight="1" spans="1:10">
      <c r="A7" s="47">
        <f>IFERROR(__xludf.DUMMYFUNCTION("""COMPUTED_VALUE"""),45748.6458333333)</f>
        <v>45748.6458333333</v>
      </c>
      <c r="B7" s="48">
        <f>IFERROR(__xludf.DUMMYFUNCTION("""COMPUTED_VALUE"""),1056.25)</f>
        <v>1056.25</v>
      </c>
      <c r="C7" s="47">
        <f>IFERROR(__xludf.DUMMYFUNCTION("""COMPUTED_VALUE"""),45748.6458333333)</f>
        <v>45748.6458333333</v>
      </c>
      <c r="D7" s="48">
        <f>IFERROR(__xludf.DUMMYFUNCTION("""COMPUTED_VALUE"""),1063)</f>
        <v>1063</v>
      </c>
      <c r="E7" s="47">
        <f>IFERROR(__xludf.DUMMYFUNCTION("""COMPUTED_VALUE"""),45748.6458333333)</f>
        <v>45748.6458333333</v>
      </c>
      <c r="F7" s="48">
        <f>IFERROR(__xludf.DUMMYFUNCTION("""COMPUTED_VALUE"""),1776263)</f>
        <v>1776263</v>
      </c>
      <c r="G7" s="47">
        <f>IFERROR(__xludf.DUMMYFUNCTION("""COMPUTED_VALUE"""),45748.6458333333)</f>
        <v>45748.6458333333</v>
      </c>
      <c r="H7" s="48">
        <f>IFERROR(__xludf.DUMMYFUNCTION("""COMPUTED_VALUE"""),1070.45)</f>
        <v>1070.45</v>
      </c>
      <c r="I7" s="47">
        <f>IFERROR(__xludf.DUMMYFUNCTION("""COMPUTED_VALUE"""),45748.6458333333)</f>
        <v>45748.6458333333</v>
      </c>
      <c r="J7" s="48">
        <f>IFERROR(__xludf.DUMMYFUNCTION("""COMPUTED_VALUE"""),1053.35)</f>
        <v>1053.35</v>
      </c>
    </row>
    <row r="8" customHeight="1" spans="1:10">
      <c r="A8" s="47">
        <f>IFERROR(__xludf.DUMMYFUNCTION("""COMPUTED_VALUE"""),45749.6458333333)</f>
        <v>45749.6458333333</v>
      </c>
      <c r="B8" s="48">
        <f>IFERROR(__xludf.DUMMYFUNCTION("""COMPUTED_VALUE"""),1055.9)</f>
        <v>1055.9</v>
      </c>
      <c r="C8" s="47">
        <f>IFERROR(__xludf.DUMMYFUNCTION("""COMPUTED_VALUE"""),45749.6458333333)</f>
        <v>45749.6458333333</v>
      </c>
      <c r="D8" s="48">
        <f>IFERROR(__xludf.DUMMYFUNCTION("""COMPUTED_VALUE"""),1058.1)</f>
        <v>1058.1</v>
      </c>
      <c r="E8" s="47">
        <f>IFERROR(__xludf.DUMMYFUNCTION("""COMPUTED_VALUE"""),45749.6458333333)</f>
        <v>45749.6458333333</v>
      </c>
      <c r="F8" s="48">
        <f>IFERROR(__xludf.DUMMYFUNCTION("""COMPUTED_VALUE"""),878958)</f>
        <v>878958</v>
      </c>
      <c r="G8" s="47">
        <f>IFERROR(__xludf.DUMMYFUNCTION("""COMPUTED_VALUE"""),45749.6458333333)</f>
        <v>45749.6458333333</v>
      </c>
      <c r="H8" s="48">
        <f>IFERROR(__xludf.DUMMYFUNCTION("""COMPUTED_VALUE"""),1066.35)</f>
        <v>1066.35</v>
      </c>
      <c r="I8" s="47">
        <f>IFERROR(__xludf.DUMMYFUNCTION("""COMPUTED_VALUE"""),45749.6458333333)</f>
        <v>45749.6458333333</v>
      </c>
      <c r="J8" s="48">
        <f>IFERROR(__xludf.DUMMYFUNCTION("""COMPUTED_VALUE"""),1046.25)</f>
        <v>1046.25</v>
      </c>
    </row>
    <row r="9" customHeight="1" spans="1:10">
      <c r="A9" s="47">
        <f>IFERROR(__xludf.DUMMYFUNCTION("""COMPUTED_VALUE"""),45750.6458333333)</f>
        <v>45750.6458333333</v>
      </c>
      <c r="B9" s="48">
        <f>IFERROR(__xludf.DUMMYFUNCTION("""COMPUTED_VALUE"""),1044.05)</f>
        <v>1044.05</v>
      </c>
      <c r="C9" s="47">
        <f>IFERROR(__xludf.DUMMYFUNCTION("""COMPUTED_VALUE"""),45750.6458333333)</f>
        <v>45750.6458333333</v>
      </c>
      <c r="D9" s="48">
        <f>IFERROR(__xludf.DUMMYFUNCTION("""COMPUTED_VALUE"""),1045)</f>
        <v>1045</v>
      </c>
      <c r="E9" s="47">
        <f>IFERROR(__xludf.DUMMYFUNCTION("""COMPUTED_VALUE"""),45750.6458333333)</f>
        <v>45750.6458333333</v>
      </c>
      <c r="F9" s="48">
        <f>IFERROR(__xludf.DUMMYFUNCTION("""COMPUTED_VALUE"""),1607693)</f>
        <v>1607693</v>
      </c>
      <c r="G9" s="47">
        <f>IFERROR(__xludf.DUMMYFUNCTION("""COMPUTED_VALUE"""),45750.6458333333)</f>
        <v>45750.6458333333</v>
      </c>
      <c r="H9" s="48">
        <f>IFERROR(__xludf.DUMMYFUNCTION("""COMPUTED_VALUE"""),1055.8)</f>
        <v>1055.8</v>
      </c>
      <c r="I9" s="47">
        <f>IFERROR(__xludf.DUMMYFUNCTION("""COMPUTED_VALUE"""),45750.6458333333)</f>
        <v>45750.6458333333</v>
      </c>
      <c r="J9" s="48">
        <f>IFERROR(__xludf.DUMMYFUNCTION("""COMPUTED_VALUE"""),1041.55)</f>
        <v>1041.55</v>
      </c>
    </row>
    <row r="10" customHeight="1" spans="1:10">
      <c r="A10" s="47">
        <f>IFERROR(__xludf.DUMMYFUNCTION("""COMPUTED_VALUE"""),45751.6458333333)</f>
        <v>45751.6458333333</v>
      </c>
      <c r="B10" s="48">
        <f>IFERROR(__xludf.DUMMYFUNCTION("""COMPUTED_VALUE"""),1005.75)</f>
        <v>1005.75</v>
      </c>
      <c r="C10" s="47">
        <f>IFERROR(__xludf.DUMMYFUNCTION("""COMPUTED_VALUE"""),45751.6458333333)</f>
        <v>45751.6458333333</v>
      </c>
      <c r="D10" s="48">
        <f>IFERROR(__xludf.DUMMYFUNCTION("""COMPUTED_VALUE"""),1032.3)</f>
        <v>1032.3</v>
      </c>
      <c r="E10" s="47">
        <f>IFERROR(__xludf.DUMMYFUNCTION("""COMPUTED_VALUE"""),45751.6458333333)</f>
        <v>45751.6458333333</v>
      </c>
      <c r="F10" s="48">
        <f>IFERROR(__xludf.DUMMYFUNCTION("""COMPUTED_VALUE"""),3818643)</f>
        <v>3818643</v>
      </c>
      <c r="G10" s="47">
        <f>IFERROR(__xludf.DUMMYFUNCTION("""COMPUTED_VALUE"""),45751.6458333333)</f>
        <v>45751.6458333333</v>
      </c>
      <c r="H10" s="48">
        <f>IFERROR(__xludf.DUMMYFUNCTION("""COMPUTED_VALUE"""),1038.95)</f>
        <v>1038.95</v>
      </c>
      <c r="I10" s="47">
        <f>IFERROR(__xludf.DUMMYFUNCTION("""COMPUTED_VALUE"""),45751.6458333333)</f>
        <v>45751.6458333333</v>
      </c>
      <c r="J10" s="48">
        <f>IFERROR(__xludf.DUMMYFUNCTION("""COMPUTED_VALUE"""),997.85)</f>
        <v>997.85</v>
      </c>
    </row>
    <row r="11" customHeight="1" spans="1:12">
      <c r="A11" s="47">
        <f>IFERROR(__xludf.DUMMYFUNCTION("""COMPUTED_VALUE"""),45754.6458333333)</f>
        <v>45754.6458333333</v>
      </c>
      <c r="B11" s="48">
        <f>IFERROR(__xludf.DUMMYFUNCTION("""COMPUTED_VALUE"""),930.3)</f>
        <v>930.3</v>
      </c>
      <c r="C11" s="47">
        <f>IFERROR(__xludf.DUMMYFUNCTION("""COMPUTED_VALUE"""),45754.6458333333)</f>
        <v>45754.6458333333</v>
      </c>
      <c r="D11" s="48">
        <f>IFERROR(__xludf.DUMMYFUNCTION("""COMPUTED_VALUE"""),906)</f>
        <v>906</v>
      </c>
      <c r="E11" s="47">
        <f>IFERROR(__xludf.DUMMYFUNCTION("""COMPUTED_VALUE"""),45754.6458333333)</f>
        <v>45754.6458333333</v>
      </c>
      <c r="F11" s="48">
        <f>IFERROR(__xludf.DUMMYFUNCTION("""COMPUTED_VALUE"""),4581682)</f>
        <v>4581682</v>
      </c>
      <c r="G11" s="47">
        <f>IFERROR(__xludf.DUMMYFUNCTION("""COMPUTED_VALUE"""),45754.6458333333)</f>
        <v>45754.6458333333</v>
      </c>
      <c r="H11" s="48">
        <f>IFERROR(__xludf.DUMMYFUNCTION("""COMPUTED_VALUE"""),959)</f>
        <v>959</v>
      </c>
      <c r="I11" s="47">
        <f>IFERROR(__xludf.DUMMYFUNCTION("""COMPUTED_VALUE"""),45754.6458333333)</f>
        <v>45754.6458333333</v>
      </c>
      <c r="J11" s="48">
        <f>IFERROR(__xludf.DUMMYFUNCTION("""COMPUTED_VALUE"""),905.2)</f>
        <v>905.2</v>
      </c>
      <c r="K11" s="3">
        <f t="shared" ref="K11:K125" si="2">IF(B11=MAX(B5:B17),B11,0)</f>
        <v>0</v>
      </c>
      <c r="L11" s="3">
        <f t="shared" ref="L11:L125" si="3">IF(B11=MIN(B5:B17),B11,0)</f>
        <v>930.3</v>
      </c>
    </row>
    <row r="12" customHeight="1" spans="1:12">
      <c r="A12" s="47">
        <f>IFERROR(__xludf.DUMMYFUNCTION("""COMPUTED_VALUE"""),45755.6458333333)</f>
        <v>45755.6458333333</v>
      </c>
      <c r="B12" s="48">
        <f>IFERROR(__xludf.DUMMYFUNCTION("""COMPUTED_VALUE"""),954.6)</f>
        <v>954.6</v>
      </c>
      <c r="C12" s="47">
        <f>IFERROR(__xludf.DUMMYFUNCTION("""COMPUTED_VALUE"""),45755.6458333333)</f>
        <v>45755.6458333333</v>
      </c>
      <c r="D12" s="48">
        <f>IFERROR(__xludf.DUMMYFUNCTION("""COMPUTED_VALUE"""),949.35)</f>
        <v>949.35</v>
      </c>
      <c r="E12" s="47">
        <f>IFERROR(__xludf.DUMMYFUNCTION("""COMPUTED_VALUE"""),45755.6458333333)</f>
        <v>45755.6458333333</v>
      </c>
      <c r="F12" s="48">
        <f>IFERROR(__xludf.DUMMYFUNCTION("""COMPUTED_VALUE"""),1717533)</f>
        <v>1717533</v>
      </c>
      <c r="G12" s="47">
        <f>IFERROR(__xludf.DUMMYFUNCTION("""COMPUTED_VALUE"""),45755.6458333333)</f>
        <v>45755.6458333333</v>
      </c>
      <c r="H12" s="48">
        <f>IFERROR(__xludf.DUMMYFUNCTION("""COMPUTED_VALUE"""),970.45)</f>
        <v>970.45</v>
      </c>
      <c r="I12" s="47">
        <f>IFERROR(__xludf.DUMMYFUNCTION("""COMPUTED_VALUE"""),45755.6458333333)</f>
        <v>45755.6458333333</v>
      </c>
      <c r="J12" s="48">
        <f>IFERROR(__xludf.DUMMYFUNCTION("""COMPUTED_VALUE"""),933.8)</f>
        <v>933.8</v>
      </c>
      <c r="K12" s="3">
        <f t="shared" si="2"/>
        <v>0</v>
      </c>
      <c r="L12" s="3">
        <f t="shared" si="3"/>
        <v>0</v>
      </c>
    </row>
    <row r="13" customHeight="1" spans="1:12">
      <c r="A13" s="47">
        <f>IFERROR(__xludf.DUMMYFUNCTION("""COMPUTED_VALUE"""),45756.6458333333)</f>
        <v>45756.6458333333</v>
      </c>
      <c r="B13" s="48">
        <f>IFERROR(__xludf.DUMMYFUNCTION("""COMPUTED_VALUE"""),945.55)</f>
        <v>945.55</v>
      </c>
      <c r="C13" s="47">
        <f>IFERROR(__xludf.DUMMYFUNCTION("""COMPUTED_VALUE"""),45756.6458333333)</f>
        <v>45756.6458333333</v>
      </c>
      <c r="D13" s="48">
        <f>IFERROR(__xludf.DUMMYFUNCTION("""COMPUTED_VALUE"""),945.15)</f>
        <v>945.15</v>
      </c>
      <c r="E13" s="47">
        <f>IFERROR(__xludf.DUMMYFUNCTION("""COMPUTED_VALUE"""),45756.6458333333)</f>
        <v>45756.6458333333</v>
      </c>
      <c r="F13" s="48">
        <f>IFERROR(__xludf.DUMMYFUNCTION("""COMPUTED_VALUE"""),1773658)</f>
        <v>1773658</v>
      </c>
      <c r="G13" s="47">
        <f>IFERROR(__xludf.DUMMYFUNCTION("""COMPUTED_VALUE"""),45756.6458333333)</f>
        <v>45756.6458333333</v>
      </c>
      <c r="H13" s="48">
        <f>IFERROR(__xludf.DUMMYFUNCTION("""COMPUTED_VALUE"""),953.4)</f>
        <v>953.4</v>
      </c>
      <c r="I13" s="47">
        <f>IFERROR(__xludf.DUMMYFUNCTION("""COMPUTED_VALUE"""),45756.6458333333)</f>
        <v>45756.6458333333</v>
      </c>
      <c r="J13" s="48">
        <f>IFERROR(__xludf.DUMMYFUNCTION("""COMPUTED_VALUE"""),938.05)</f>
        <v>938.05</v>
      </c>
      <c r="K13" s="3">
        <f t="shared" si="2"/>
        <v>0</v>
      </c>
      <c r="L13" s="3">
        <f t="shared" si="3"/>
        <v>0</v>
      </c>
    </row>
    <row r="14" customHeight="1" spans="1:12">
      <c r="A14" s="47">
        <f>IFERROR(__xludf.DUMMYFUNCTION("""COMPUTED_VALUE"""),45758.6458333333)</f>
        <v>45758.6458333333</v>
      </c>
      <c r="B14" s="48">
        <f>IFERROR(__xludf.DUMMYFUNCTION("""COMPUTED_VALUE"""),990.25)</f>
        <v>990.25</v>
      </c>
      <c r="C14" s="47">
        <f>IFERROR(__xludf.DUMMYFUNCTION("""COMPUTED_VALUE"""),45758.6458333333)</f>
        <v>45758.6458333333</v>
      </c>
      <c r="D14" s="48">
        <f>IFERROR(__xludf.DUMMYFUNCTION("""COMPUTED_VALUE"""),972.45)</f>
        <v>972.45</v>
      </c>
      <c r="E14" s="47">
        <f>IFERROR(__xludf.DUMMYFUNCTION("""COMPUTED_VALUE"""),45758.6458333333)</f>
        <v>45758.6458333333</v>
      </c>
      <c r="F14" s="48">
        <f>IFERROR(__xludf.DUMMYFUNCTION("""COMPUTED_VALUE"""),3641633)</f>
        <v>3641633</v>
      </c>
      <c r="G14" s="47">
        <f>IFERROR(__xludf.DUMMYFUNCTION("""COMPUTED_VALUE"""),45758.6458333333)</f>
        <v>45758.6458333333</v>
      </c>
      <c r="H14" s="48">
        <f>IFERROR(__xludf.DUMMYFUNCTION("""COMPUTED_VALUE"""),997)</f>
        <v>997</v>
      </c>
      <c r="I14" s="47">
        <f>IFERROR(__xludf.DUMMYFUNCTION("""COMPUTED_VALUE"""),45758.6458333333)</f>
        <v>45758.6458333333</v>
      </c>
      <c r="J14" s="48">
        <f>IFERROR(__xludf.DUMMYFUNCTION("""COMPUTED_VALUE"""),968.35)</f>
        <v>968.35</v>
      </c>
      <c r="K14" s="3">
        <f t="shared" si="2"/>
        <v>0</v>
      </c>
      <c r="L14" s="3">
        <f t="shared" si="3"/>
        <v>0</v>
      </c>
    </row>
    <row r="15" customHeight="1" spans="1:12">
      <c r="A15" s="47">
        <f>IFERROR(__xludf.DUMMYFUNCTION("""COMPUTED_VALUE"""),45762.6458333333)</f>
        <v>45762.6458333333</v>
      </c>
      <c r="B15" s="48">
        <f>IFERROR(__xludf.DUMMYFUNCTION("""COMPUTED_VALUE"""),1008)</f>
        <v>1008</v>
      </c>
      <c r="C15" s="47">
        <f>IFERROR(__xludf.DUMMYFUNCTION("""COMPUTED_VALUE"""),45762.6458333333)</f>
        <v>45762.6458333333</v>
      </c>
      <c r="D15" s="48">
        <f>IFERROR(__xludf.DUMMYFUNCTION("""COMPUTED_VALUE"""),1010)</f>
        <v>1010</v>
      </c>
      <c r="E15" s="47">
        <f>IFERROR(__xludf.DUMMYFUNCTION("""COMPUTED_VALUE"""),45762.6458333333)</f>
        <v>45762.6458333333</v>
      </c>
      <c r="F15" s="48">
        <f>IFERROR(__xludf.DUMMYFUNCTION("""COMPUTED_VALUE"""),1287903)</f>
        <v>1287903</v>
      </c>
      <c r="G15" s="47">
        <f>IFERROR(__xludf.DUMMYFUNCTION("""COMPUTED_VALUE"""),45762.6458333333)</f>
        <v>45762.6458333333</v>
      </c>
      <c r="H15" s="48">
        <f>IFERROR(__xludf.DUMMYFUNCTION("""COMPUTED_VALUE"""),1015.7)</f>
        <v>1015.7</v>
      </c>
      <c r="I15" s="47">
        <f>IFERROR(__xludf.DUMMYFUNCTION("""COMPUTED_VALUE"""),45762.6458333333)</f>
        <v>45762.6458333333</v>
      </c>
      <c r="J15" s="48">
        <f>IFERROR(__xludf.DUMMYFUNCTION("""COMPUTED_VALUE"""),1002.2)</f>
        <v>1002.2</v>
      </c>
      <c r="K15" s="3">
        <f t="shared" si="2"/>
        <v>0</v>
      </c>
      <c r="L15" s="3">
        <f t="shared" si="3"/>
        <v>0</v>
      </c>
    </row>
    <row r="16" customHeight="1" spans="1:12">
      <c r="A16" s="47">
        <f>IFERROR(__xludf.DUMMYFUNCTION("""COMPUTED_VALUE"""),45763.6458333333)</f>
        <v>45763.6458333333</v>
      </c>
      <c r="B16" s="48">
        <f>IFERROR(__xludf.DUMMYFUNCTION("""COMPUTED_VALUE"""),1009.4)</f>
        <v>1009.4</v>
      </c>
      <c r="C16" s="47">
        <f>IFERROR(__xludf.DUMMYFUNCTION("""COMPUTED_VALUE"""),45763.6458333333)</f>
        <v>45763.6458333333</v>
      </c>
      <c r="D16" s="48">
        <f>IFERROR(__xludf.DUMMYFUNCTION("""COMPUTED_VALUE"""),1003)</f>
        <v>1003</v>
      </c>
      <c r="E16" s="47">
        <f>IFERROR(__xludf.DUMMYFUNCTION("""COMPUTED_VALUE"""),45763.6458333333)</f>
        <v>45763.6458333333</v>
      </c>
      <c r="F16" s="48">
        <f>IFERROR(__xludf.DUMMYFUNCTION("""COMPUTED_VALUE"""),1281034)</f>
        <v>1281034</v>
      </c>
      <c r="G16" s="47">
        <f>IFERROR(__xludf.DUMMYFUNCTION("""COMPUTED_VALUE"""),45763.6458333333)</f>
        <v>45763.6458333333</v>
      </c>
      <c r="H16" s="48">
        <f>IFERROR(__xludf.DUMMYFUNCTION("""COMPUTED_VALUE"""),1015.1)</f>
        <v>1015.1</v>
      </c>
      <c r="I16" s="47">
        <f>IFERROR(__xludf.DUMMYFUNCTION("""COMPUTED_VALUE"""),45763.6458333333)</f>
        <v>45763.6458333333</v>
      </c>
      <c r="J16" s="48">
        <f>IFERROR(__xludf.DUMMYFUNCTION("""COMPUTED_VALUE"""),992.1)</f>
        <v>992.1</v>
      </c>
      <c r="K16" s="3">
        <f t="shared" si="2"/>
        <v>0</v>
      </c>
      <c r="L16" s="3">
        <f t="shared" si="3"/>
        <v>0</v>
      </c>
    </row>
    <row r="17" customHeight="1" spans="1:12">
      <c r="A17" s="47">
        <f>IFERROR(__xludf.DUMMYFUNCTION("""COMPUTED_VALUE"""),45764.6458333333)</f>
        <v>45764.6458333333</v>
      </c>
      <c r="B17" s="48">
        <f>IFERROR(__xludf.DUMMYFUNCTION("""COMPUTED_VALUE"""),1007.2)</f>
        <v>1007.2</v>
      </c>
      <c r="C17" s="47">
        <f>IFERROR(__xludf.DUMMYFUNCTION("""COMPUTED_VALUE"""),45764.6458333333)</f>
        <v>45764.6458333333</v>
      </c>
      <c r="D17" s="48">
        <f>IFERROR(__xludf.DUMMYFUNCTION("""COMPUTED_VALUE"""),996)</f>
        <v>996</v>
      </c>
      <c r="E17" s="47">
        <f>IFERROR(__xludf.DUMMYFUNCTION("""COMPUTED_VALUE"""),45764.6458333333)</f>
        <v>45764.6458333333</v>
      </c>
      <c r="F17" s="48">
        <f>IFERROR(__xludf.DUMMYFUNCTION("""COMPUTED_VALUE"""),2074019)</f>
        <v>2074019</v>
      </c>
      <c r="G17" s="47">
        <f>IFERROR(__xludf.DUMMYFUNCTION("""COMPUTED_VALUE"""),45764.6458333333)</f>
        <v>45764.6458333333</v>
      </c>
      <c r="H17" s="48">
        <f>IFERROR(__xludf.DUMMYFUNCTION("""COMPUTED_VALUE"""),1008.6)</f>
        <v>1008.6</v>
      </c>
      <c r="I17" s="47">
        <f>IFERROR(__xludf.DUMMYFUNCTION("""COMPUTED_VALUE"""),45764.6458333333)</f>
        <v>45764.6458333333</v>
      </c>
      <c r="J17" s="48">
        <f>IFERROR(__xludf.DUMMYFUNCTION("""COMPUTED_VALUE"""),987.1)</f>
        <v>987.1</v>
      </c>
      <c r="K17" s="3">
        <f t="shared" si="2"/>
        <v>0</v>
      </c>
      <c r="L17" s="3">
        <f t="shared" si="3"/>
        <v>0</v>
      </c>
    </row>
    <row r="18" customHeight="1" spans="1:12">
      <c r="A18" s="47">
        <f>IFERROR(__xludf.DUMMYFUNCTION("""COMPUTED_VALUE"""),45768.6458333333)</f>
        <v>45768.6458333333</v>
      </c>
      <c r="B18" s="48">
        <f>IFERROR(__xludf.DUMMYFUNCTION("""COMPUTED_VALUE"""),1034)</f>
        <v>1034</v>
      </c>
      <c r="C18" s="47">
        <f>IFERROR(__xludf.DUMMYFUNCTION("""COMPUTED_VALUE"""),45768.6458333333)</f>
        <v>45768.6458333333</v>
      </c>
      <c r="D18" s="48">
        <f>IFERROR(__xludf.DUMMYFUNCTION("""COMPUTED_VALUE"""),1001)</f>
        <v>1001</v>
      </c>
      <c r="E18" s="47">
        <f>IFERROR(__xludf.DUMMYFUNCTION("""COMPUTED_VALUE"""),45768.6458333333)</f>
        <v>45768.6458333333</v>
      </c>
      <c r="F18" s="48">
        <f>IFERROR(__xludf.DUMMYFUNCTION("""COMPUTED_VALUE"""),1345056)</f>
        <v>1345056</v>
      </c>
      <c r="G18" s="47">
        <f>IFERROR(__xludf.DUMMYFUNCTION("""COMPUTED_VALUE"""),45768.6458333333)</f>
        <v>45768.6458333333</v>
      </c>
      <c r="H18" s="48">
        <f>IFERROR(__xludf.DUMMYFUNCTION("""COMPUTED_VALUE"""),1043.8)</f>
        <v>1043.8</v>
      </c>
      <c r="I18" s="47">
        <f>IFERROR(__xludf.DUMMYFUNCTION("""COMPUTED_VALUE"""),45768.6458333333)</f>
        <v>45768.6458333333</v>
      </c>
      <c r="J18" s="48">
        <f>IFERROR(__xludf.DUMMYFUNCTION("""COMPUTED_VALUE"""),1000.5)</f>
        <v>1000.5</v>
      </c>
      <c r="K18" s="3">
        <f t="shared" si="2"/>
        <v>0</v>
      </c>
      <c r="L18" s="3">
        <f t="shared" si="3"/>
        <v>0</v>
      </c>
    </row>
    <row r="19" customHeight="1" spans="1:12">
      <c r="A19" s="47">
        <f>IFERROR(__xludf.DUMMYFUNCTION("""COMPUTED_VALUE"""),45769.6458333333)</f>
        <v>45769.6458333333</v>
      </c>
      <c r="B19" s="48">
        <f>IFERROR(__xludf.DUMMYFUNCTION("""COMPUTED_VALUE"""),1044.2)</f>
        <v>1044.2</v>
      </c>
      <c r="C19" s="47">
        <f>IFERROR(__xludf.DUMMYFUNCTION("""COMPUTED_VALUE"""),45769.6458333333)</f>
        <v>45769.6458333333</v>
      </c>
      <c r="D19" s="48">
        <f>IFERROR(__xludf.DUMMYFUNCTION("""COMPUTED_VALUE"""),1060)</f>
        <v>1060</v>
      </c>
      <c r="E19" s="47">
        <f>IFERROR(__xludf.DUMMYFUNCTION("""COMPUTED_VALUE"""),45769.6458333333)</f>
        <v>45769.6458333333</v>
      </c>
      <c r="F19" s="48">
        <f>IFERROR(__xludf.DUMMYFUNCTION("""COMPUTED_VALUE"""),2153582)</f>
        <v>2153582</v>
      </c>
      <c r="G19" s="47">
        <f>IFERROR(__xludf.DUMMYFUNCTION("""COMPUTED_VALUE"""),45769.6458333333)</f>
        <v>45769.6458333333</v>
      </c>
      <c r="H19" s="48">
        <f>IFERROR(__xludf.DUMMYFUNCTION("""COMPUTED_VALUE"""),1060.4)</f>
        <v>1060.4</v>
      </c>
      <c r="I19" s="47">
        <f>IFERROR(__xludf.DUMMYFUNCTION("""COMPUTED_VALUE"""),45769.6458333333)</f>
        <v>45769.6458333333</v>
      </c>
      <c r="J19" s="48">
        <f>IFERROR(__xludf.DUMMYFUNCTION("""COMPUTED_VALUE"""),1037)</f>
        <v>1037</v>
      </c>
      <c r="K19" s="3">
        <f t="shared" si="2"/>
        <v>0</v>
      </c>
      <c r="L19" s="3">
        <f t="shared" si="3"/>
        <v>0</v>
      </c>
    </row>
    <row r="20" customHeight="1" spans="1:12">
      <c r="A20" s="47">
        <f>IFERROR(__xludf.DUMMYFUNCTION("""COMPUTED_VALUE"""),45770.6458333333)</f>
        <v>45770.6458333333</v>
      </c>
      <c r="B20" s="48">
        <f>IFERROR(__xludf.DUMMYFUNCTION("""COMPUTED_VALUE"""),1039.2)</f>
        <v>1039.2</v>
      </c>
      <c r="C20" s="47">
        <f>IFERROR(__xludf.DUMMYFUNCTION("""COMPUTED_VALUE"""),45770.6458333333)</f>
        <v>45770.6458333333</v>
      </c>
      <c r="D20" s="48">
        <f>IFERROR(__xludf.DUMMYFUNCTION("""COMPUTED_VALUE"""),1051)</f>
        <v>1051</v>
      </c>
      <c r="E20" s="47">
        <f>IFERROR(__xludf.DUMMYFUNCTION("""COMPUTED_VALUE"""),45770.6458333333)</f>
        <v>45770.6458333333</v>
      </c>
      <c r="F20" s="48">
        <f>IFERROR(__xludf.DUMMYFUNCTION("""COMPUTED_VALUE"""),893969)</f>
        <v>893969</v>
      </c>
      <c r="G20" s="47">
        <f>IFERROR(__xludf.DUMMYFUNCTION("""COMPUTED_VALUE"""),45770.6458333333)</f>
        <v>45770.6458333333</v>
      </c>
      <c r="H20" s="48">
        <f>IFERROR(__xludf.DUMMYFUNCTION("""COMPUTED_VALUE"""),1053.9)</f>
        <v>1053.9</v>
      </c>
      <c r="I20" s="47">
        <f>IFERROR(__xludf.DUMMYFUNCTION("""COMPUTED_VALUE"""),45770.6458333333)</f>
        <v>45770.6458333333</v>
      </c>
      <c r="J20" s="48">
        <f>IFERROR(__xludf.DUMMYFUNCTION("""COMPUTED_VALUE"""),1028.5)</f>
        <v>1028.5</v>
      </c>
      <c r="K20" s="3">
        <f t="shared" si="2"/>
        <v>0</v>
      </c>
      <c r="L20" s="3">
        <f t="shared" si="3"/>
        <v>0</v>
      </c>
    </row>
    <row r="21" customHeight="1" spans="1:12">
      <c r="A21" s="47">
        <f>IFERROR(__xludf.DUMMYFUNCTION("""COMPUTED_VALUE"""),45771.6458333333)</f>
        <v>45771.6458333333</v>
      </c>
      <c r="B21" s="48">
        <f>IFERROR(__xludf.DUMMYFUNCTION("""COMPUTED_VALUE"""),1044.5)</f>
        <v>1044.5</v>
      </c>
      <c r="C21" s="47">
        <f>IFERROR(__xludf.DUMMYFUNCTION("""COMPUTED_VALUE"""),45771.6458333333)</f>
        <v>45771.6458333333</v>
      </c>
      <c r="D21" s="48">
        <f>IFERROR(__xludf.DUMMYFUNCTION("""COMPUTED_VALUE"""),1035.5)</f>
        <v>1035.5</v>
      </c>
      <c r="E21" s="47">
        <f>IFERROR(__xludf.DUMMYFUNCTION("""COMPUTED_VALUE"""),45771.6458333333)</f>
        <v>45771.6458333333</v>
      </c>
      <c r="F21" s="48">
        <f>IFERROR(__xludf.DUMMYFUNCTION("""COMPUTED_VALUE"""),1242921)</f>
        <v>1242921</v>
      </c>
      <c r="G21" s="47">
        <f>IFERROR(__xludf.DUMMYFUNCTION("""COMPUTED_VALUE"""),45771.6458333333)</f>
        <v>45771.6458333333</v>
      </c>
      <c r="H21" s="48">
        <f>IFERROR(__xludf.DUMMYFUNCTION("""COMPUTED_VALUE"""),1047.5)</f>
        <v>1047.5</v>
      </c>
      <c r="I21" s="47">
        <f>IFERROR(__xludf.DUMMYFUNCTION("""COMPUTED_VALUE"""),45771.6458333333)</f>
        <v>45771.6458333333</v>
      </c>
      <c r="J21" s="48">
        <f>IFERROR(__xludf.DUMMYFUNCTION("""COMPUTED_VALUE"""),1029.5)</f>
        <v>1029.5</v>
      </c>
      <c r="K21" s="3">
        <f t="shared" si="2"/>
        <v>0</v>
      </c>
      <c r="L21" s="3">
        <f t="shared" si="3"/>
        <v>0</v>
      </c>
    </row>
    <row r="22" customHeight="1" spans="1:12">
      <c r="A22" s="47">
        <f>IFERROR(__xludf.DUMMYFUNCTION("""COMPUTED_VALUE"""),45772.6458333333)</f>
        <v>45772.6458333333</v>
      </c>
      <c r="B22" s="48">
        <f>IFERROR(__xludf.DUMMYFUNCTION("""COMPUTED_VALUE"""),1028.4)</f>
        <v>1028.4</v>
      </c>
      <c r="C22" s="47">
        <f>IFERROR(__xludf.DUMMYFUNCTION("""COMPUTED_VALUE"""),45772.6458333333)</f>
        <v>45772.6458333333</v>
      </c>
      <c r="D22" s="48">
        <f>IFERROR(__xludf.DUMMYFUNCTION("""COMPUTED_VALUE"""),1050)</f>
        <v>1050</v>
      </c>
      <c r="E22" s="47">
        <f>IFERROR(__xludf.DUMMYFUNCTION("""COMPUTED_VALUE"""),45772.6458333333)</f>
        <v>45772.6458333333</v>
      </c>
      <c r="F22" s="48">
        <f>IFERROR(__xludf.DUMMYFUNCTION("""COMPUTED_VALUE"""),2784217)</f>
        <v>2784217</v>
      </c>
      <c r="G22" s="47">
        <f>IFERROR(__xludf.DUMMYFUNCTION("""COMPUTED_VALUE"""),45772.6458333333)</f>
        <v>45772.6458333333</v>
      </c>
      <c r="H22" s="48">
        <f>IFERROR(__xludf.DUMMYFUNCTION("""COMPUTED_VALUE"""),1056.9)</f>
        <v>1056.9</v>
      </c>
      <c r="I22" s="47">
        <f>IFERROR(__xludf.DUMMYFUNCTION("""COMPUTED_VALUE"""),45772.6458333333)</f>
        <v>45772.6458333333</v>
      </c>
      <c r="J22" s="48">
        <f>IFERROR(__xludf.DUMMYFUNCTION("""COMPUTED_VALUE"""),1017.6)</f>
        <v>1017.6</v>
      </c>
      <c r="K22" s="3">
        <f t="shared" si="2"/>
        <v>0</v>
      </c>
      <c r="L22" s="3">
        <f t="shared" si="3"/>
        <v>0</v>
      </c>
    </row>
    <row r="23" customHeight="1" spans="1:12">
      <c r="A23" s="47">
        <f>IFERROR(__xludf.DUMMYFUNCTION("""COMPUTED_VALUE"""),45775.6458333333)</f>
        <v>45775.6458333333</v>
      </c>
      <c r="B23" s="48">
        <f>IFERROR(__xludf.DUMMYFUNCTION("""COMPUTED_VALUE"""),1054.4)</f>
        <v>1054.4</v>
      </c>
      <c r="C23" s="47">
        <f>IFERROR(__xludf.DUMMYFUNCTION("""COMPUTED_VALUE"""),45775.6458333333)</f>
        <v>45775.6458333333</v>
      </c>
      <c r="D23" s="48">
        <f>IFERROR(__xludf.DUMMYFUNCTION("""COMPUTED_VALUE"""),1021.4)</f>
        <v>1021.4</v>
      </c>
      <c r="E23" s="47">
        <f>IFERROR(__xludf.DUMMYFUNCTION("""COMPUTED_VALUE"""),45775.6458333333)</f>
        <v>45775.6458333333</v>
      </c>
      <c r="F23" s="48">
        <f>IFERROR(__xludf.DUMMYFUNCTION("""COMPUTED_VALUE"""),1485915)</f>
        <v>1485915</v>
      </c>
      <c r="G23" s="47">
        <f>IFERROR(__xludf.DUMMYFUNCTION("""COMPUTED_VALUE"""),45775.6458333333)</f>
        <v>45775.6458333333</v>
      </c>
      <c r="H23" s="48">
        <f>IFERROR(__xludf.DUMMYFUNCTION("""COMPUTED_VALUE"""),1058.9)</f>
        <v>1058.9</v>
      </c>
      <c r="I23" s="47">
        <f>IFERROR(__xludf.DUMMYFUNCTION("""COMPUTED_VALUE"""),45775.6458333333)</f>
        <v>45775.6458333333</v>
      </c>
      <c r="J23" s="48">
        <f>IFERROR(__xludf.DUMMYFUNCTION("""COMPUTED_VALUE"""),1019.2)</f>
        <v>1019.2</v>
      </c>
      <c r="K23" s="3">
        <f t="shared" si="2"/>
        <v>1054.4</v>
      </c>
      <c r="L23" s="3">
        <f t="shared" si="3"/>
        <v>0</v>
      </c>
    </row>
    <row r="24" customHeight="1" spans="1:12">
      <c r="A24" s="47">
        <f>IFERROR(__xludf.DUMMYFUNCTION("""COMPUTED_VALUE"""),45776.6458333333)</f>
        <v>45776.6458333333</v>
      </c>
      <c r="B24" s="48">
        <f>IFERROR(__xludf.DUMMYFUNCTION("""COMPUTED_VALUE"""),1035.6)</f>
        <v>1035.6</v>
      </c>
      <c r="C24" s="47">
        <f>IFERROR(__xludf.DUMMYFUNCTION("""COMPUTED_VALUE"""),45776.6458333333)</f>
        <v>45776.6458333333</v>
      </c>
      <c r="D24" s="48">
        <f>IFERROR(__xludf.DUMMYFUNCTION("""COMPUTED_VALUE"""),1055)</f>
        <v>1055</v>
      </c>
      <c r="E24" s="47">
        <f>IFERROR(__xludf.DUMMYFUNCTION("""COMPUTED_VALUE"""),45776.6458333333)</f>
        <v>45776.6458333333</v>
      </c>
      <c r="F24" s="48">
        <f>IFERROR(__xludf.DUMMYFUNCTION("""COMPUTED_VALUE"""),1206750)</f>
        <v>1206750</v>
      </c>
      <c r="G24" s="47">
        <f>IFERROR(__xludf.DUMMYFUNCTION("""COMPUTED_VALUE"""),45776.6458333333)</f>
        <v>45776.6458333333</v>
      </c>
      <c r="H24" s="48">
        <f>IFERROR(__xludf.DUMMYFUNCTION("""COMPUTED_VALUE"""),1061.6)</f>
        <v>1061.6</v>
      </c>
      <c r="I24" s="47">
        <f>IFERROR(__xludf.DUMMYFUNCTION("""COMPUTED_VALUE"""),45776.6458333333)</f>
        <v>45776.6458333333</v>
      </c>
      <c r="J24" s="48">
        <f>IFERROR(__xludf.DUMMYFUNCTION("""COMPUTED_VALUE"""),1034.1)</f>
        <v>1034.1</v>
      </c>
      <c r="K24" s="3">
        <f t="shared" si="2"/>
        <v>0</v>
      </c>
      <c r="L24" s="3">
        <f t="shared" si="3"/>
        <v>0</v>
      </c>
    </row>
    <row r="25" customHeight="1" spans="1:12">
      <c r="A25" s="47">
        <f>IFERROR(__xludf.DUMMYFUNCTION("""COMPUTED_VALUE"""),45777.6458333333)</f>
        <v>45777.6458333333</v>
      </c>
      <c r="B25" s="48">
        <f>IFERROR(__xludf.DUMMYFUNCTION("""COMPUTED_VALUE"""),1029.8)</f>
        <v>1029.8</v>
      </c>
      <c r="C25" s="47">
        <f>IFERROR(__xludf.DUMMYFUNCTION("""COMPUTED_VALUE"""),45777.6458333333)</f>
        <v>45777.6458333333</v>
      </c>
      <c r="D25" s="48">
        <f>IFERROR(__xludf.DUMMYFUNCTION("""COMPUTED_VALUE"""),1030)</f>
        <v>1030</v>
      </c>
      <c r="E25" s="47">
        <f>IFERROR(__xludf.DUMMYFUNCTION("""COMPUTED_VALUE"""),45777.6458333333)</f>
        <v>45777.6458333333</v>
      </c>
      <c r="F25" s="48">
        <f>IFERROR(__xludf.DUMMYFUNCTION("""COMPUTED_VALUE"""),1755328)</f>
        <v>1755328</v>
      </c>
      <c r="G25" s="47">
        <f>IFERROR(__xludf.DUMMYFUNCTION("""COMPUTED_VALUE"""),45777.6458333333)</f>
        <v>45777.6458333333</v>
      </c>
      <c r="H25" s="48">
        <f>IFERROR(__xludf.DUMMYFUNCTION("""COMPUTED_VALUE"""),1042.3)</f>
        <v>1042.3</v>
      </c>
      <c r="I25" s="47">
        <f>IFERROR(__xludf.DUMMYFUNCTION("""COMPUTED_VALUE"""),45777.6458333333)</f>
        <v>45777.6458333333</v>
      </c>
      <c r="J25" s="48">
        <f>IFERROR(__xludf.DUMMYFUNCTION("""COMPUTED_VALUE"""),1021)</f>
        <v>1021</v>
      </c>
      <c r="K25" s="3">
        <f t="shared" si="2"/>
        <v>0</v>
      </c>
      <c r="L25" s="3">
        <f t="shared" si="3"/>
        <v>0</v>
      </c>
    </row>
    <row r="26" customHeight="1" spans="1:12">
      <c r="A26" s="47">
        <f>IFERROR(__xludf.DUMMYFUNCTION("""COMPUTED_VALUE"""),45779.6458333333)</f>
        <v>45779.6458333333</v>
      </c>
      <c r="B26" s="48">
        <f>IFERROR(__xludf.DUMMYFUNCTION("""COMPUTED_VALUE"""),973.2)</f>
        <v>973.2</v>
      </c>
      <c r="C26" s="47">
        <f>IFERROR(__xludf.DUMMYFUNCTION("""COMPUTED_VALUE"""),45779.6458333333)</f>
        <v>45779.6458333333</v>
      </c>
      <c r="D26" s="48">
        <f>IFERROR(__xludf.DUMMYFUNCTION("""COMPUTED_VALUE"""),1021.2)</f>
        <v>1021.2</v>
      </c>
      <c r="E26" s="47">
        <f>IFERROR(__xludf.DUMMYFUNCTION("""COMPUTED_VALUE"""),45779.6458333333)</f>
        <v>45779.6458333333</v>
      </c>
      <c r="F26" s="48">
        <f>IFERROR(__xludf.DUMMYFUNCTION("""COMPUTED_VALUE"""),6209775)</f>
        <v>6209775</v>
      </c>
      <c r="G26" s="47">
        <f>IFERROR(__xludf.DUMMYFUNCTION("""COMPUTED_VALUE"""),45779.6458333333)</f>
        <v>45779.6458333333</v>
      </c>
      <c r="H26" s="48">
        <f>IFERROR(__xludf.DUMMYFUNCTION("""COMPUTED_VALUE"""),1037)</f>
        <v>1037</v>
      </c>
      <c r="I26" s="47">
        <f>IFERROR(__xludf.DUMMYFUNCTION("""COMPUTED_VALUE"""),45779.6458333333)</f>
        <v>45779.6458333333</v>
      </c>
      <c r="J26" s="48">
        <f>IFERROR(__xludf.DUMMYFUNCTION("""COMPUTED_VALUE"""),948.3)</f>
        <v>948.3</v>
      </c>
      <c r="K26" s="3">
        <f t="shared" si="2"/>
        <v>0</v>
      </c>
      <c r="L26" s="3">
        <f t="shared" si="3"/>
        <v>0</v>
      </c>
    </row>
    <row r="27" customHeight="1" spans="1:12">
      <c r="A27" s="47">
        <f>IFERROR(__xludf.DUMMYFUNCTION("""COMPUTED_VALUE"""),45782.6458333333)</f>
        <v>45782.6458333333</v>
      </c>
      <c r="B27" s="48">
        <f>IFERROR(__xludf.DUMMYFUNCTION("""COMPUTED_VALUE"""),955.5)</f>
        <v>955.5</v>
      </c>
      <c r="C27" s="47">
        <f>IFERROR(__xludf.DUMMYFUNCTION("""COMPUTED_VALUE"""),45782.6458333333)</f>
        <v>45782.6458333333</v>
      </c>
      <c r="D27" s="48">
        <f>IFERROR(__xludf.DUMMYFUNCTION("""COMPUTED_VALUE"""),959.8)</f>
        <v>959.8</v>
      </c>
      <c r="E27" s="47">
        <f>IFERROR(__xludf.DUMMYFUNCTION("""COMPUTED_VALUE"""),45782.6458333333)</f>
        <v>45782.6458333333</v>
      </c>
      <c r="F27" s="48">
        <f>IFERROR(__xludf.DUMMYFUNCTION("""COMPUTED_VALUE"""),1646426)</f>
        <v>1646426</v>
      </c>
      <c r="G27" s="47">
        <f>IFERROR(__xludf.DUMMYFUNCTION("""COMPUTED_VALUE"""),45782.6458333333)</f>
        <v>45782.6458333333</v>
      </c>
      <c r="H27" s="48">
        <f>IFERROR(__xludf.DUMMYFUNCTION("""COMPUTED_VALUE"""),972.4)</f>
        <v>972.4</v>
      </c>
      <c r="I27" s="47">
        <f>IFERROR(__xludf.DUMMYFUNCTION("""COMPUTED_VALUE"""),45782.6458333333)</f>
        <v>45782.6458333333</v>
      </c>
      <c r="J27" s="48">
        <f>IFERROR(__xludf.DUMMYFUNCTION("""COMPUTED_VALUE"""),952.7)</f>
        <v>952.7</v>
      </c>
      <c r="K27" s="3">
        <f t="shared" si="2"/>
        <v>0</v>
      </c>
      <c r="L27" s="3">
        <f t="shared" si="3"/>
        <v>0</v>
      </c>
    </row>
    <row r="28" customHeight="1" spans="1:12">
      <c r="A28" s="47">
        <f>IFERROR(__xludf.DUMMYFUNCTION("""COMPUTED_VALUE"""),45783.6458333333)</f>
        <v>45783.6458333333</v>
      </c>
      <c r="B28" s="48">
        <f>IFERROR(__xludf.DUMMYFUNCTION("""COMPUTED_VALUE"""),967.5)</f>
        <v>967.5</v>
      </c>
      <c r="C28" s="47">
        <f>IFERROR(__xludf.DUMMYFUNCTION("""COMPUTED_VALUE"""),45783.6458333333)</f>
        <v>45783.6458333333</v>
      </c>
      <c r="D28" s="48">
        <f>IFERROR(__xludf.DUMMYFUNCTION("""COMPUTED_VALUE"""),960)</f>
        <v>960</v>
      </c>
      <c r="E28" s="47">
        <f>IFERROR(__xludf.DUMMYFUNCTION("""COMPUTED_VALUE"""),45783.6458333333)</f>
        <v>45783.6458333333</v>
      </c>
      <c r="F28" s="48">
        <f>IFERROR(__xludf.DUMMYFUNCTION("""COMPUTED_VALUE"""),1462046)</f>
        <v>1462046</v>
      </c>
      <c r="G28" s="47">
        <f>IFERROR(__xludf.DUMMYFUNCTION("""COMPUTED_VALUE"""),45783.6458333333)</f>
        <v>45783.6458333333</v>
      </c>
      <c r="H28" s="48">
        <f>IFERROR(__xludf.DUMMYFUNCTION("""COMPUTED_VALUE"""),971.9)</f>
        <v>971.9</v>
      </c>
      <c r="I28" s="47">
        <f>IFERROR(__xludf.DUMMYFUNCTION("""COMPUTED_VALUE"""),45783.6458333333)</f>
        <v>45783.6458333333</v>
      </c>
      <c r="J28" s="48">
        <f>IFERROR(__xludf.DUMMYFUNCTION("""COMPUTED_VALUE"""),955)</f>
        <v>955</v>
      </c>
      <c r="K28" s="3">
        <f t="shared" si="2"/>
        <v>0</v>
      </c>
      <c r="L28" s="3">
        <f t="shared" si="3"/>
        <v>0</v>
      </c>
    </row>
    <row r="29" customHeight="1" spans="1:12">
      <c r="A29" s="47">
        <f>IFERROR(__xludf.DUMMYFUNCTION("""COMPUTED_VALUE"""),45784.6458333333)</f>
        <v>45784.6458333333</v>
      </c>
      <c r="B29" s="48">
        <f>IFERROR(__xludf.DUMMYFUNCTION("""COMPUTED_VALUE"""),966.1)</f>
        <v>966.1</v>
      </c>
      <c r="C29" s="47">
        <f>IFERROR(__xludf.DUMMYFUNCTION("""COMPUTED_VALUE"""),45784.6458333333)</f>
        <v>45784.6458333333</v>
      </c>
      <c r="D29" s="48">
        <f>IFERROR(__xludf.DUMMYFUNCTION("""COMPUTED_VALUE"""),957.9)</f>
        <v>957.9</v>
      </c>
      <c r="E29" s="47">
        <f>IFERROR(__xludf.DUMMYFUNCTION("""COMPUTED_VALUE"""),45784.6458333333)</f>
        <v>45784.6458333333</v>
      </c>
      <c r="F29" s="48">
        <f>IFERROR(__xludf.DUMMYFUNCTION("""COMPUTED_VALUE"""),1014461)</f>
        <v>1014461</v>
      </c>
      <c r="G29" s="47">
        <f>IFERROR(__xludf.DUMMYFUNCTION("""COMPUTED_VALUE"""),45784.6458333333)</f>
        <v>45784.6458333333</v>
      </c>
      <c r="H29" s="48">
        <f>IFERROR(__xludf.DUMMYFUNCTION("""COMPUTED_VALUE"""),975)</f>
        <v>975</v>
      </c>
      <c r="I29" s="47">
        <f>IFERROR(__xludf.DUMMYFUNCTION("""COMPUTED_VALUE"""),45784.6458333333)</f>
        <v>45784.6458333333</v>
      </c>
      <c r="J29" s="48">
        <f>IFERROR(__xludf.DUMMYFUNCTION("""COMPUTED_VALUE"""),957.9)</f>
        <v>957.9</v>
      </c>
      <c r="K29" s="3">
        <f t="shared" si="2"/>
        <v>0</v>
      </c>
      <c r="L29" s="3">
        <f t="shared" si="3"/>
        <v>0</v>
      </c>
    </row>
    <row r="30" customHeight="1" spans="1:12">
      <c r="A30" s="47">
        <f>IFERROR(__xludf.DUMMYFUNCTION("""COMPUTED_VALUE"""),45785.6458333333)</f>
        <v>45785.6458333333</v>
      </c>
      <c r="B30" s="48">
        <f>IFERROR(__xludf.DUMMYFUNCTION("""COMPUTED_VALUE"""),953.2)</f>
        <v>953.2</v>
      </c>
      <c r="C30" s="47">
        <f>IFERROR(__xludf.DUMMYFUNCTION("""COMPUTED_VALUE"""),45785.6458333333)</f>
        <v>45785.6458333333</v>
      </c>
      <c r="D30" s="48">
        <f>IFERROR(__xludf.DUMMYFUNCTION("""COMPUTED_VALUE"""),962.5)</f>
        <v>962.5</v>
      </c>
      <c r="E30" s="47">
        <f>IFERROR(__xludf.DUMMYFUNCTION("""COMPUTED_VALUE"""),45785.6458333333)</f>
        <v>45785.6458333333</v>
      </c>
      <c r="F30" s="48">
        <f>IFERROR(__xludf.DUMMYFUNCTION("""COMPUTED_VALUE"""),1646385)</f>
        <v>1646385</v>
      </c>
      <c r="G30" s="47">
        <f>IFERROR(__xludf.DUMMYFUNCTION("""COMPUTED_VALUE"""),45785.6458333333)</f>
        <v>45785.6458333333</v>
      </c>
      <c r="H30" s="48">
        <f>IFERROR(__xludf.DUMMYFUNCTION("""COMPUTED_VALUE"""),969.5)</f>
        <v>969.5</v>
      </c>
      <c r="I30" s="47">
        <f>IFERROR(__xludf.DUMMYFUNCTION("""COMPUTED_VALUE"""),45785.6458333333)</f>
        <v>45785.6458333333</v>
      </c>
      <c r="J30" s="48">
        <f>IFERROR(__xludf.DUMMYFUNCTION("""COMPUTED_VALUE"""),949)</f>
        <v>949</v>
      </c>
      <c r="K30" s="3">
        <f t="shared" si="2"/>
        <v>0</v>
      </c>
      <c r="L30" s="3">
        <f t="shared" si="3"/>
        <v>953.2</v>
      </c>
    </row>
    <row r="31" customHeight="1" spans="1:12">
      <c r="A31" s="47">
        <f>IFERROR(__xludf.DUMMYFUNCTION("""COMPUTED_VALUE"""),45786.6458333333)</f>
        <v>45786.6458333333</v>
      </c>
      <c r="B31" s="48">
        <f>IFERROR(__xludf.DUMMYFUNCTION("""COMPUTED_VALUE"""),957)</f>
        <v>957</v>
      </c>
      <c r="C31" s="47">
        <f>IFERROR(__xludf.DUMMYFUNCTION("""COMPUTED_VALUE"""),45786.6458333333)</f>
        <v>45786.6458333333</v>
      </c>
      <c r="D31" s="48">
        <f>IFERROR(__xludf.DUMMYFUNCTION("""COMPUTED_VALUE"""),935)</f>
        <v>935</v>
      </c>
      <c r="E31" s="47">
        <f>IFERROR(__xludf.DUMMYFUNCTION("""COMPUTED_VALUE"""),45786.6458333333)</f>
        <v>45786.6458333333</v>
      </c>
      <c r="F31" s="48">
        <f>IFERROR(__xludf.DUMMYFUNCTION("""COMPUTED_VALUE"""),1481537)</f>
        <v>1481537</v>
      </c>
      <c r="G31" s="47">
        <f>IFERROR(__xludf.DUMMYFUNCTION("""COMPUTED_VALUE"""),45786.6458333333)</f>
        <v>45786.6458333333</v>
      </c>
      <c r="H31" s="48">
        <f>IFERROR(__xludf.DUMMYFUNCTION("""COMPUTED_VALUE"""),959)</f>
        <v>959</v>
      </c>
      <c r="I31" s="47">
        <f>IFERROR(__xludf.DUMMYFUNCTION("""COMPUTED_VALUE"""),45786.6458333333)</f>
        <v>45786.6458333333</v>
      </c>
      <c r="J31" s="48">
        <f>IFERROR(__xludf.DUMMYFUNCTION("""COMPUTED_VALUE"""),935)</f>
        <v>935</v>
      </c>
      <c r="K31" s="3">
        <f t="shared" si="2"/>
        <v>0</v>
      </c>
      <c r="L31" s="3">
        <f t="shared" si="3"/>
        <v>0</v>
      </c>
    </row>
    <row r="32" customHeight="1" spans="1:12">
      <c r="A32" s="47">
        <f>IFERROR(__xludf.DUMMYFUNCTION("""COMPUTED_VALUE"""),45789.6458333333)</f>
        <v>45789.6458333333</v>
      </c>
      <c r="B32" s="48">
        <f>IFERROR(__xludf.DUMMYFUNCTION("""COMPUTED_VALUE"""),1005.2)</f>
        <v>1005.2</v>
      </c>
      <c r="C32" s="47">
        <f>IFERROR(__xludf.DUMMYFUNCTION("""COMPUTED_VALUE"""),45789.6458333333)</f>
        <v>45789.6458333333</v>
      </c>
      <c r="D32" s="48">
        <f>IFERROR(__xludf.DUMMYFUNCTION("""COMPUTED_VALUE"""),973)</f>
        <v>973</v>
      </c>
      <c r="E32" s="47">
        <f>IFERROR(__xludf.DUMMYFUNCTION("""COMPUTED_VALUE"""),45789.6458333333)</f>
        <v>45789.6458333333</v>
      </c>
      <c r="F32" s="48">
        <f>IFERROR(__xludf.DUMMYFUNCTION("""COMPUTED_VALUE"""),1335817)</f>
        <v>1335817</v>
      </c>
      <c r="G32" s="47">
        <f>IFERROR(__xludf.DUMMYFUNCTION("""COMPUTED_VALUE"""),45789.6458333333)</f>
        <v>45789.6458333333</v>
      </c>
      <c r="H32" s="48">
        <f>IFERROR(__xludf.DUMMYFUNCTION("""COMPUTED_VALUE"""),1007.7)</f>
        <v>1007.7</v>
      </c>
      <c r="I32" s="47">
        <f>IFERROR(__xludf.DUMMYFUNCTION("""COMPUTED_VALUE"""),45789.6458333333)</f>
        <v>45789.6458333333</v>
      </c>
      <c r="J32" s="48">
        <f>IFERROR(__xludf.DUMMYFUNCTION("""COMPUTED_VALUE"""),969.7)</f>
        <v>969.7</v>
      </c>
      <c r="K32" s="3">
        <f t="shared" si="2"/>
        <v>0</v>
      </c>
      <c r="L32" s="3">
        <f t="shared" si="3"/>
        <v>0</v>
      </c>
    </row>
    <row r="33" customHeight="1" spans="1:12">
      <c r="A33" s="47">
        <f>IFERROR(__xludf.DUMMYFUNCTION("""COMPUTED_VALUE"""),45790.6458333333)</f>
        <v>45790.6458333333</v>
      </c>
      <c r="B33" s="48">
        <f>IFERROR(__xludf.DUMMYFUNCTION("""COMPUTED_VALUE"""),989.9)</f>
        <v>989.9</v>
      </c>
      <c r="C33" s="47">
        <f>IFERROR(__xludf.DUMMYFUNCTION("""COMPUTED_VALUE"""),45790.6458333333)</f>
        <v>45790.6458333333</v>
      </c>
      <c r="D33" s="48">
        <f>IFERROR(__xludf.DUMMYFUNCTION("""COMPUTED_VALUE"""),1005.2)</f>
        <v>1005.2</v>
      </c>
      <c r="E33" s="47">
        <f>IFERROR(__xludf.DUMMYFUNCTION("""COMPUTED_VALUE"""),45790.6458333333)</f>
        <v>45790.6458333333</v>
      </c>
      <c r="F33" s="48">
        <f>IFERROR(__xludf.DUMMYFUNCTION("""COMPUTED_VALUE"""),934177)</f>
        <v>934177</v>
      </c>
      <c r="G33" s="47">
        <f>IFERROR(__xludf.DUMMYFUNCTION("""COMPUTED_VALUE"""),45790.6458333333)</f>
        <v>45790.6458333333</v>
      </c>
      <c r="H33" s="48">
        <f>IFERROR(__xludf.DUMMYFUNCTION("""COMPUTED_VALUE"""),1010.9)</f>
        <v>1010.9</v>
      </c>
      <c r="I33" s="47">
        <f>IFERROR(__xludf.DUMMYFUNCTION("""COMPUTED_VALUE"""),45790.6458333333)</f>
        <v>45790.6458333333</v>
      </c>
      <c r="J33" s="48">
        <f>IFERROR(__xludf.DUMMYFUNCTION("""COMPUTED_VALUE"""),988.1)</f>
        <v>988.1</v>
      </c>
      <c r="K33" s="3">
        <f t="shared" si="2"/>
        <v>0</v>
      </c>
      <c r="L33" s="3">
        <f t="shared" si="3"/>
        <v>0</v>
      </c>
    </row>
    <row r="34" customHeight="1" spans="1:12">
      <c r="A34" s="47">
        <f>IFERROR(__xludf.DUMMYFUNCTION("""COMPUTED_VALUE"""),45791.6458333333)</f>
        <v>45791.6458333333</v>
      </c>
      <c r="B34" s="48">
        <f>IFERROR(__xludf.DUMMYFUNCTION("""COMPUTED_VALUE"""),989.3)</f>
        <v>989.3</v>
      </c>
      <c r="C34" s="47">
        <f>IFERROR(__xludf.DUMMYFUNCTION("""COMPUTED_VALUE"""),45791.6458333333)</f>
        <v>45791.6458333333</v>
      </c>
      <c r="D34" s="48">
        <f>IFERROR(__xludf.DUMMYFUNCTION("""COMPUTED_VALUE"""),995.2)</f>
        <v>995.2</v>
      </c>
      <c r="E34" s="47">
        <f>IFERROR(__xludf.DUMMYFUNCTION("""COMPUTED_VALUE"""),45791.6458333333)</f>
        <v>45791.6458333333</v>
      </c>
      <c r="F34" s="48">
        <f>IFERROR(__xludf.DUMMYFUNCTION("""COMPUTED_VALUE"""),1650066)</f>
        <v>1650066</v>
      </c>
      <c r="G34" s="47">
        <f>IFERROR(__xludf.DUMMYFUNCTION("""COMPUTED_VALUE"""),45791.6458333333)</f>
        <v>45791.6458333333</v>
      </c>
      <c r="H34" s="48">
        <f>IFERROR(__xludf.DUMMYFUNCTION("""COMPUTED_VALUE"""),1012.1)</f>
        <v>1012.1</v>
      </c>
      <c r="I34" s="47">
        <f>IFERROR(__xludf.DUMMYFUNCTION("""COMPUTED_VALUE"""),45791.6458333333)</f>
        <v>45791.6458333333</v>
      </c>
      <c r="J34" s="48">
        <f>IFERROR(__xludf.DUMMYFUNCTION("""COMPUTED_VALUE"""),987)</f>
        <v>987</v>
      </c>
      <c r="K34" s="3">
        <f t="shared" si="2"/>
        <v>0</v>
      </c>
      <c r="L34" s="3">
        <f t="shared" si="3"/>
        <v>0</v>
      </c>
    </row>
    <row r="35" customHeight="1" spans="1:12">
      <c r="A35" s="47">
        <f>IFERROR(__xludf.DUMMYFUNCTION("""COMPUTED_VALUE"""),45792.6458333333)</f>
        <v>45792.6458333333</v>
      </c>
      <c r="B35" s="48">
        <f>IFERROR(__xludf.DUMMYFUNCTION("""COMPUTED_VALUE"""),1038.3)</f>
        <v>1038.3</v>
      </c>
      <c r="C35" s="47">
        <f>IFERROR(__xludf.DUMMYFUNCTION("""COMPUTED_VALUE"""),45792.6458333333)</f>
        <v>45792.6458333333</v>
      </c>
      <c r="D35" s="48">
        <f>IFERROR(__xludf.DUMMYFUNCTION("""COMPUTED_VALUE"""),993)</f>
        <v>993</v>
      </c>
      <c r="E35" s="47">
        <f>IFERROR(__xludf.DUMMYFUNCTION("""COMPUTED_VALUE"""),45792.6458333333)</f>
        <v>45792.6458333333</v>
      </c>
      <c r="F35" s="48">
        <f>IFERROR(__xludf.DUMMYFUNCTION("""COMPUTED_VALUE"""),5297654)</f>
        <v>5297654</v>
      </c>
      <c r="G35" s="47">
        <f>IFERROR(__xludf.DUMMYFUNCTION("""COMPUTED_VALUE"""),45792.6458333333)</f>
        <v>45792.6458333333</v>
      </c>
      <c r="H35" s="48">
        <f>IFERROR(__xludf.DUMMYFUNCTION("""COMPUTED_VALUE"""),1040.6)</f>
        <v>1040.6</v>
      </c>
      <c r="I35" s="47">
        <f>IFERROR(__xludf.DUMMYFUNCTION("""COMPUTED_VALUE"""),45792.6458333333)</f>
        <v>45792.6458333333</v>
      </c>
      <c r="J35" s="48">
        <f>IFERROR(__xludf.DUMMYFUNCTION("""COMPUTED_VALUE"""),990)</f>
        <v>990</v>
      </c>
      <c r="K35" s="3">
        <f t="shared" si="2"/>
        <v>1038.3</v>
      </c>
      <c r="L35" s="3">
        <f t="shared" si="3"/>
        <v>0</v>
      </c>
    </row>
    <row r="36" customHeight="1" spans="1:12">
      <c r="A36" s="47">
        <f>IFERROR(__xludf.DUMMYFUNCTION("""COMPUTED_VALUE"""),45793.6458333333)</f>
        <v>45793.6458333333</v>
      </c>
      <c r="B36" s="48">
        <f>IFERROR(__xludf.DUMMYFUNCTION("""COMPUTED_VALUE"""),1021.8)</f>
        <v>1021.8</v>
      </c>
      <c r="C36" s="47">
        <f>IFERROR(__xludf.DUMMYFUNCTION("""COMPUTED_VALUE"""),45793.6458333333)</f>
        <v>45793.6458333333</v>
      </c>
      <c r="D36" s="48">
        <f>IFERROR(__xludf.DUMMYFUNCTION("""COMPUTED_VALUE"""),1043.4)</f>
        <v>1043.4</v>
      </c>
      <c r="E36" s="47">
        <f>IFERROR(__xludf.DUMMYFUNCTION("""COMPUTED_VALUE"""),45793.6458333333)</f>
        <v>45793.6458333333</v>
      </c>
      <c r="F36" s="48">
        <f>IFERROR(__xludf.DUMMYFUNCTION("""COMPUTED_VALUE"""),1048380)</f>
        <v>1048380</v>
      </c>
      <c r="G36" s="47">
        <f>IFERROR(__xludf.DUMMYFUNCTION("""COMPUTED_VALUE"""),45793.6458333333)</f>
        <v>45793.6458333333</v>
      </c>
      <c r="H36" s="48">
        <f>IFERROR(__xludf.DUMMYFUNCTION("""COMPUTED_VALUE"""),1044.6)</f>
        <v>1044.6</v>
      </c>
      <c r="I36" s="47">
        <f>IFERROR(__xludf.DUMMYFUNCTION("""COMPUTED_VALUE"""),45793.6458333333)</f>
        <v>45793.6458333333</v>
      </c>
      <c r="J36" s="48">
        <f>IFERROR(__xludf.DUMMYFUNCTION("""COMPUTED_VALUE"""),1020.3)</f>
        <v>1020.3</v>
      </c>
      <c r="K36" s="3">
        <f t="shared" si="2"/>
        <v>0</v>
      </c>
      <c r="L36" s="3">
        <f t="shared" si="3"/>
        <v>0</v>
      </c>
    </row>
    <row r="37" customHeight="1" spans="1:12">
      <c r="A37" s="47">
        <f>IFERROR(__xludf.DUMMYFUNCTION("""COMPUTED_VALUE"""),45796.6458333333)</f>
        <v>45796.6458333333</v>
      </c>
      <c r="B37" s="48">
        <f>IFERROR(__xludf.DUMMYFUNCTION("""COMPUTED_VALUE"""),1019.6)</f>
        <v>1019.6</v>
      </c>
      <c r="C37" s="47">
        <f>IFERROR(__xludf.DUMMYFUNCTION("""COMPUTED_VALUE"""),45796.6458333333)</f>
        <v>45796.6458333333</v>
      </c>
      <c r="D37" s="48">
        <f>IFERROR(__xludf.DUMMYFUNCTION("""COMPUTED_VALUE"""),1033.9)</f>
        <v>1033.9</v>
      </c>
      <c r="E37" s="47">
        <f>IFERROR(__xludf.DUMMYFUNCTION("""COMPUTED_VALUE"""),45796.6458333333)</f>
        <v>45796.6458333333</v>
      </c>
      <c r="F37" s="48">
        <f>IFERROR(__xludf.DUMMYFUNCTION("""COMPUTED_VALUE"""),1434608)</f>
        <v>1434608</v>
      </c>
      <c r="G37" s="47">
        <f>IFERROR(__xludf.DUMMYFUNCTION("""COMPUTED_VALUE"""),45796.6458333333)</f>
        <v>45796.6458333333</v>
      </c>
      <c r="H37" s="48">
        <f>IFERROR(__xludf.DUMMYFUNCTION("""COMPUTED_VALUE"""),1034)</f>
        <v>1034</v>
      </c>
      <c r="I37" s="47">
        <f>IFERROR(__xludf.DUMMYFUNCTION("""COMPUTED_VALUE"""),45796.6458333333)</f>
        <v>45796.6458333333</v>
      </c>
      <c r="J37" s="48">
        <f>IFERROR(__xludf.DUMMYFUNCTION("""COMPUTED_VALUE"""),1016.7)</f>
        <v>1016.7</v>
      </c>
      <c r="K37" s="3">
        <f t="shared" si="2"/>
        <v>0</v>
      </c>
      <c r="L37" s="3">
        <f t="shared" si="3"/>
        <v>0</v>
      </c>
    </row>
    <row r="38" customHeight="1" spans="1:12">
      <c r="A38" s="47">
        <f>IFERROR(__xludf.DUMMYFUNCTION("""COMPUTED_VALUE"""),45797.6458333333)</f>
        <v>45797.6458333333</v>
      </c>
      <c r="B38" s="48">
        <f>IFERROR(__xludf.DUMMYFUNCTION("""COMPUTED_VALUE"""),1012.7)</f>
        <v>1012.7</v>
      </c>
      <c r="C38" s="47">
        <f>IFERROR(__xludf.DUMMYFUNCTION("""COMPUTED_VALUE"""),45797.6458333333)</f>
        <v>45797.6458333333</v>
      </c>
      <c r="D38" s="48">
        <f>IFERROR(__xludf.DUMMYFUNCTION("""COMPUTED_VALUE"""),1031)</f>
        <v>1031</v>
      </c>
      <c r="E38" s="47">
        <f>IFERROR(__xludf.DUMMYFUNCTION("""COMPUTED_VALUE"""),45797.6458333333)</f>
        <v>45797.6458333333</v>
      </c>
      <c r="F38" s="48">
        <f>IFERROR(__xludf.DUMMYFUNCTION("""COMPUTED_VALUE"""),1624336)</f>
        <v>1624336</v>
      </c>
      <c r="G38" s="47">
        <f>IFERROR(__xludf.DUMMYFUNCTION("""COMPUTED_VALUE"""),45797.6458333333)</f>
        <v>45797.6458333333</v>
      </c>
      <c r="H38" s="48">
        <f>IFERROR(__xludf.DUMMYFUNCTION("""COMPUTED_VALUE"""),1034.5)</f>
        <v>1034.5</v>
      </c>
      <c r="I38" s="47">
        <f>IFERROR(__xludf.DUMMYFUNCTION("""COMPUTED_VALUE"""),45797.6458333333)</f>
        <v>45797.6458333333</v>
      </c>
      <c r="J38" s="48">
        <f>IFERROR(__xludf.DUMMYFUNCTION("""COMPUTED_VALUE"""),1010.8)</f>
        <v>1010.8</v>
      </c>
      <c r="K38" s="3">
        <f t="shared" si="2"/>
        <v>0</v>
      </c>
      <c r="L38" s="3">
        <f t="shared" si="3"/>
        <v>0</v>
      </c>
    </row>
    <row r="39" customHeight="1" spans="1:12">
      <c r="A39" s="47">
        <f>IFERROR(__xludf.DUMMYFUNCTION("""COMPUTED_VALUE"""),45798.6458333333)</f>
        <v>45798.6458333333</v>
      </c>
      <c r="B39" s="48">
        <f>IFERROR(__xludf.DUMMYFUNCTION("""COMPUTED_VALUE"""),1000.9)</f>
        <v>1000.9</v>
      </c>
      <c r="C39" s="47">
        <f>IFERROR(__xludf.DUMMYFUNCTION("""COMPUTED_VALUE"""),45798.6458333333)</f>
        <v>45798.6458333333</v>
      </c>
      <c r="D39" s="48">
        <f>IFERROR(__xludf.DUMMYFUNCTION("""COMPUTED_VALUE"""),1016)</f>
        <v>1016</v>
      </c>
      <c r="E39" s="47">
        <f>IFERROR(__xludf.DUMMYFUNCTION("""COMPUTED_VALUE"""),45798.6458333333)</f>
        <v>45798.6458333333</v>
      </c>
      <c r="F39" s="48">
        <f>IFERROR(__xludf.DUMMYFUNCTION("""COMPUTED_VALUE"""),875245)</f>
        <v>875245</v>
      </c>
      <c r="G39" s="47">
        <f>IFERROR(__xludf.DUMMYFUNCTION("""COMPUTED_VALUE"""),45798.6458333333)</f>
        <v>45798.6458333333</v>
      </c>
      <c r="H39" s="48">
        <f>IFERROR(__xludf.DUMMYFUNCTION("""COMPUTED_VALUE"""),1018.9)</f>
        <v>1018.9</v>
      </c>
      <c r="I39" s="47">
        <f>IFERROR(__xludf.DUMMYFUNCTION("""COMPUTED_VALUE"""),45798.6458333333)</f>
        <v>45798.6458333333</v>
      </c>
      <c r="J39" s="48">
        <f>IFERROR(__xludf.DUMMYFUNCTION("""COMPUTED_VALUE"""),999.1)</f>
        <v>999.1</v>
      </c>
      <c r="K39" s="3">
        <f t="shared" si="2"/>
        <v>0</v>
      </c>
      <c r="L39" s="3">
        <f t="shared" si="3"/>
        <v>0</v>
      </c>
    </row>
    <row r="40" customHeight="1" spans="1:12">
      <c r="A40" s="47">
        <f>IFERROR(__xludf.DUMMYFUNCTION("""COMPUTED_VALUE"""),45799.6458333333)</f>
        <v>45799.6458333333</v>
      </c>
      <c r="B40" s="48">
        <f>IFERROR(__xludf.DUMMYFUNCTION("""COMPUTED_VALUE"""),1005.6)</f>
        <v>1005.6</v>
      </c>
      <c r="C40" s="47">
        <f>IFERROR(__xludf.DUMMYFUNCTION("""COMPUTED_VALUE"""),45799.6458333333)</f>
        <v>45799.6458333333</v>
      </c>
      <c r="D40" s="48">
        <f>IFERROR(__xludf.DUMMYFUNCTION("""COMPUTED_VALUE"""),1002)</f>
        <v>1002</v>
      </c>
      <c r="E40" s="47">
        <f>IFERROR(__xludf.DUMMYFUNCTION("""COMPUTED_VALUE"""),45799.6458333333)</f>
        <v>45799.6458333333</v>
      </c>
      <c r="F40" s="48">
        <f>IFERROR(__xludf.DUMMYFUNCTION("""COMPUTED_VALUE"""),1283310)</f>
        <v>1283310</v>
      </c>
      <c r="G40" s="47">
        <f>IFERROR(__xludf.DUMMYFUNCTION("""COMPUTED_VALUE"""),45799.6458333333)</f>
        <v>45799.6458333333</v>
      </c>
      <c r="H40" s="48">
        <f>IFERROR(__xludf.DUMMYFUNCTION("""COMPUTED_VALUE"""),1011.5)</f>
        <v>1011.5</v>
      </c>
      <c r="I40" s="47">
        <f>IFERROR(__xludf.DUMMYFUNCTION("""COMPUTED_VALUE"""),45799.6458333333)</f>
        <v>45799.6458333333</v>
      </c>
      <c r="J40" s="48">
        <f>IFERROR(__xludf.DUMMYFUNCTION("""COMPUTED_VALUE"""),987.9)</f>
        <v>987.9</v>
      </c>
      <c r="K40" s="3">
        <f t="shared" si="2"/>
        <v>0</v>
      </c>
      <c r="L40" s="3">
        <f t="shared" si="3"/>
        <v>0</v>
      </c>
    </row>
    <row r="41" customHeight="1" spans="1:12">
      <c r="A41" s="47">
        <f>IFERROR(__xludf.DUMMYFUNCTION("""COMPUTED_VALUE"""),45800.6458333333)</f>
        <v>45800.6458333333</v>
      </c>
      <c r="B41" s="48">
        <f>IFERROR(__xludf.DUMMYFUNCTION("""COMPUTED_VALUE"""),1008.5)</f>
        <v>1008.5</v>
      </c>
      <c r="C41" s="47">
        <f>IFERROR(__xludf.DUMMYFUNCTION("""COMPUTED_VALUE"""),45800.6458333333)</f>
        <v>45800.6458333333</v>
      </c>
      <c r="D41" s="48">
        <f>IFERROR(__xludf.DUMMYFUNCTION("""COMPUTED_VALUE"""),1011)</f>
        <v>1011</v>
      </c>
      <c r="E41" s="47">
        <f>IFERROR(__xludf.DUMMYFUNCTION("""COMPUTED_VALUE"""),45800.6458333333)</f>
        <v>45800.6458333333</v>
      </c>
      <c r="F41" s="48">
        <f>IFERROR(__xludf.DUMMYFUNCTION("""COMPUTED_VALUE"""),1568154)</f>
        <v>1568154</v>
      </c>
      <c r="G41" s="47">
        <f>IFERROR(__xludf.DUMMYFUNCTION("""COMPUTED_VALUE"""),45800.6458333333)</f>
        <v>45800.6458333333</v>
      </c>
      <c r="H41" s="48">
        <f>IFERROR(__xludf.DUMMYFUNCTION("""COMPUTED_VALUE"""),1022.5)</f>
        <v>1022.5</v>
      </c>
      <c r="I41" s="47">
        <f>IFERROR(__xludf.DUMMYFUNCTION("""COMPUTED_VALUE"""),45800.6458333333)</f>
        <v>45800.6458333333</v>
      </c>
      <c r="J41" s="48">
        <f>IFERROR(__xludf.DUMMYFUNCTION("""COMPUTED_VALUE"""),1005.1)</f>
        <v>1005.1</v>
      </c>
      <c r="K41" s="3">
        <f t="shared" si="2"/>
        <v>0</v>
      </c>
      <c r="L41" s="3">
        <f t="shared" si="3"/>
        <v>0</v>
      </c>
    </row>
    <row r="42" customHeight="1" spans="1:12">
      <c r="A42" s="47">
        <f>IFERROR(__xludf.DUMMYFUNCTION("""COMPUTED_VALUE"""),45803.6458333333)</f>
        <v>45803.6458333333</v>
      </c>
      <c r="B42" s="48">
        <f>IFERROR(__xludf.DUMMYFUNCTION("""COMPUTED_VALUE"""),1032.3)</f>
        <v>1032.3</v>
      </c>
      <c r="C42" s="47">
        <f>IFERROR(__xludf.DUMMYFUNCTION("""COMPUTED_VALUE"""),45803.6458333333)</f>
        <v>45803.6458333333</v>
      </c>
      <c r="D42" s="48">
        <f>IFERROR(__xludf.DUMMYFUNCTION("""COMPUTED_VALUE"""),1009.2)</f>
        <v>1009.2</v>
      </c>
      <c r="E42" s="47">
        <f>IFERROR(__xludf.DUMMYFUNCTION("""COMPUTED_VALUE"""),45803.6458333333)</f>
        <v>45803.6458333333</v>
      </c>
      <c r="F42" s="48">
        <f>IFERROR(__xludf.DUMMYFUNCTION("""COMPUTED_VALUE"""),4716572)</f>
        <v>4716572</v>
      </c>
      <c r="G42" s="47">
        <f>IFERROR(__xludf.DUMMYFUNCTION("""COMPUTED_VALUE"""),45803.6458333333)</f>
        <v>45803.6458333333</v>
      </c>
      <c r="H42" s="48">
        <f>IFERROR(__xludf.DUMMYFUNCTION("""COMPUTED_VALUE"""),1036)</f>
        <v>1036</v>
      </c>
      <c r="I42" s="47">
        <f>IFERROR(__xludf.DUMMYFUNCTION("""COMPUTED_VALUE"""),45803.6458333333)</f>
        <v>45803.6458333333</v>
      </c>
      <c r="J42" s="48">
        <f>IFERROR(__xludf.DUMMYFUNCTION("""COMPUTED_VALUE"""),979.5)</f>
        <v>979.5</v>
      </c>
      <c r="K42" s="3">
        <f t="shared" si="2"/>
        <v>1032.3</v>
      </c>
      <c r="L42" s="3">
        <f t="shared" si="3"/>
        <v>0</v>
      </c>
    </row>
    <row r="43" customHeight="1" spans="1:12">
      <c r="A43" s="47">
        <f>IFERROR(__xludf.DUMMYFUNCTION("""COMPUTED_VALUE"""),45804.6458333333)</f>
        <v>45804.6458333333</v>
      </c>
      <c r="B43" s="48">
        <f>IFERROR(__xludf.DUMMYFUNCTION("""COMPUTED_VALUE"""),1013.7)</f>
        <v>1013.7</v>
      </c>
      <c r="C43" s="47">
        <f>IFERROR(__xludf.DUMMYFUNCTION("""COMPUTED_VALUE"""),45804.6458333333)</f>
        <v>45804.6458333333</v>
      </c>
      <c r="D43" s="48">
        <f>IFERROR(__xludf.DUMMYFUNCTION("""COMPUTED_VALUE"""),1032)</f>
        <v>1032</v>
      </c>
      <c r="E43" s="47">
        <f>IFERROR(__xludf.DUMMYFUNCTION("""COMPUTED_VALUE"""),45804.6458333333)</f>
        <v>45804.6458333333</v>
      </c>
      <c r="F43" s="48">
        <f>IFERROR(__xludf.DUMMYFUNCTION("""COMPUTED_VALUE"""),1158374)</f>
        <v>1158374</v>
      </c>
      <c r="G43" s="47">
        <f>IFERROR(__xludf.DUMMYFUNCTION("""COMPUTED_VALUE"""),45804.6458333333)</f>
        <v>45804.6458333333</v>
      </c>
      <c r="H43" s="48">
        <f>IFERROR(__xludf.DUMMYFUNCTION("""COMPUTED_VALUE"""),1033.1)</f>
        <v>1033.1</v>
      </c>
      <c r="I43" s="47">
        <f>IFERROR(__xludf.DUMMYFUNCTION("""COMPUTED_VALUE"""),45804.6458333333)</f>
        <v>45804.6458333333</v>
      </c>
      <c r="J43" s="48">
        <f>IFERROR(__xludf.DUMMYFUNCTION("""COMPUTED_VALUE"""),1009)</f>
        <v>1009</v>
      </c>
      <c r="K43" s="3">
        <f t="shared" si="2"/>
        <v>0</v>
      </c>
      <c r="L43" s="3">
        <f t="shared" si="3"/>
        <v>0</v>
      </c>
    </row>
    <row r="44" customHeight="1" spans="1:12">
      <c r="A44" s="47">
        <f>IFERROR(__xludf.DUMMYFUNCTION("""COMPUTED_VALUE"""),45805.6458333333)</f>
        <v>45805.6458333333</v>
      </c>
      <c r="B44" s="48">
        <f>IFERROR(__xludf.DUMMYFUNCTION("""COMPUTED_VALUE"""),1001)</f>
        <v>1001</v>
      </c>
      <c r="C44" s="47">
        <f>IFERROR(__xludf.DUMMYFUNCTION("""COMPUTED_VALUE"""),45805.6458333333)</f>
        <v>45805.6458333333</v>
      </c>
      <c r="D44" s="48">
        <f>IFERROR(__xludf.DUMMYFUNCTION("""COMPUTED_VALUE"""),1014.9)</f>
        <v>1014.9</v>
      </c>
      <c r="E44" s="47">
        <f>IFERROR(__xludf.DUMMYFUNCTION("""COMPUTED_VALUE"""),45805.6458333333)</f>
        <v>45805.6458333333</v>
      </c>
      <c r="F44" s="48">
        <f>IFERROR(__xludf.DUMMYFUNCTION("""COMPUTED_VALUE"""),1790498)</f>
        <v>1790498</v>
      </c>
      <c r="G44" s="47">
        <f>IFERROR(__xludf.DUMMYFUNCTION("""COMPUTED_VALUE"""),45805.6458333333)</f>
        <v>45805.6458333333</v>
      </c>
      <c r="H44" s="48">
        <f>IFERROR(__xludf.DUMMYFUNCTION("""COMPUTED_VALUE"""),1017.9)</f>
        <v>1017.9</v>
      </c>
      <c r="I44" s="47">
        <f>IFERROR(__xludf.DUMMYFUNCTION("""COMPUTED_VALUE"""),45805.6458333333)</f>
        <v>45805.6458333333</v>
      </c>
      <c r="J44" s="48">
        <f>IFERROR(__xludf.DUMMYFUNCTION("""COMPUTED_VALUE"""),998.5)</f>
        <v>998.5</v>
      </c>
      <c r="K44" s="3">
        <f t="shared" si="2"/>
        <v>0</v>
      </c>
      <c r="L44" s="3">
        <f t="shared" si="3"/>
        <v>0</v>
      </c>
    </row>
    <row r="45" customHeight="1" spans="1:12">
      <c r="A45" s="47">
        <f>IFERROR(__xludf.DUMMYFUNCTION("""COMPUTED_VALUE"""),45806.6458333333)</f>
        <v>45806.6458333333</v>
      </c>
      <c r="B45" s="48">
        <f>IFERROR(__xludf.DUMMYFUNCTION("""COMPUTED_VALUE"""),1006.2)</f>
        <v>1006.2</v>
      </c>
      <c r="C45" s="47">
        <f>IFERROR(__xludf.DUMMYFUNCTION("""COMPUTED_VALUE"""),45806.6458333333)</f>
        <v>45806.6458333333</v>
      </c>
      <c r="D45" s="48">
        <f>IFERROR(__xludf.DUMMYFUNCTION("""COMPUTED_VALUE"""),1020.4)</f>
        <v>1020.4</v>
      </c>
      <c r="E45" s="47">
        <f>IFERROR(__xludf.DUMMYFUNCTION("""COMPUTED_VALUE"""),45806.6458333333)</f>
        <v>45806.6458333333</v>
      </c>
      <c r="F45" s="48">
        <f>IFERROR(__xludf.DUMMYFUNCTION("""COMPUTED_VALUE"""),3282246)</f>
        <v>3282246</v>
      </c>
      <c r="G45" s="47">
        <f>IFERROR(__xludf.DUMMYFUNCTION("""COMPUTED_VALUE"""),45806.6458333333)</f>
        <v>45806.6458333333</v>
      </c>
      <c r="H45" s="48">
        <f>IFERROR(__xludf.DUMMYFUNCTION("""COMPUTED_VALUE"""),1023.7)</f>
        <v>1023.7</v>
      </c>
      <c r="I45" s="47">
        <f>IFERROR(__xludf.DUMMYFUNCTION("""COMPUTED_VALUE"""),45806.6458333333)</f>
        <v>45806.6458333333</v>
      </c>
      <c r="J45" s="48">
        <f>IFERROR(__xludf.DUMMYFUNCTION("""COMPUTED_VALUE"""),998.2)</f>
        <v>998.2</v>
      </c>
      <c r="K45" s="3">
        <f t="shared" si="2"/>
        <v>0</v>
      </c>
      <c r="L45" s="3">
        <f t="shared" si="3"/>
        <v>0</v>
      </c>
    </row>
    <row r="46" customHeight="1" spans="1:12">
      <c r="A46" s="47">
        <f>IFERROR(__xludf.DUMMYFUNCTION("""COMPUTED_VALUE"""),45807.6458333333)</f>
        <v>45807.6458333333</v>
      </c>
      <c r="B46" s="48">
        <f>IFERROR(__xludf.DUMMYFUNCTION("""COMPUTED_VALUE"""),993.5)</f>
        <v>993.5</v>
      </c>
      <c r="C46" s="47">
        <f>IFERROR(__xludf.DUMMYFUNCTION("""COMPUTED_VALUE"""),45807.6458333333)</f>
        <v>45807.6458333333</v>
      </c>
      <c r="D46" s="48">
        <f>IFERROR(__xludf.DUMMYFUNCTION("""COMPUTED_VALUE"""),1003)</f>
        <v>1003</v>
      </c>
      <c r="E46" s="47">
        <f>IFERROR(__xludf.DUMMYFUNCTION("""COMPUTED_VALUE"""),45807.6458333333)</f>
        <v>45807.6458333333</v>
      </c>
      <c r="F46" s="48">
        <f>IFERROR(__xludf.DUMMYFUNCTION("""COMPUTED_VALUE"""),1710817)</f>
        <v>1710817</v>
      </c>
      <c r="G46" s="47">
        <f>IFERROR(__xludf.DUMMYFUNCTION("""COMPUTED_VALUE"""),45807.6458333333)</f>
        <v>45807.6458333333</v>
      </c>
      <c r="H46" s="48">
        <f>IFERROR(__xludf.DUMMYFUNCTION("""COMPUTED_VALUE"""),1012.5)</f>
        <v>1012.5</v>
      </c>
      <c r="I46" s="47">
        <f>IFERROR(__xludf.DUMMYFUNCTION("""COMPUTED_VALUE"""),45807.6458333333)</f>
        <v>45807.6458333333</v>
      </c>
      <c r="J46" s="48">
        <f>IFERROR(__xludf.DUMMYFUNCTION("""COMPUTED_VALUE"""),990.5)</f>
        <v>990.5</v>
      </c>
      <c r="K46" s="3">
        <f t="shared" si="2"/>
        <v>0</v>
      </c>
      <c r="L46" s="3">
        <f t="shared" si="3"/>
        <v>0</v>
      </c>
    </row>
    <row r="47" customHeight="1" spans="1:12">
      <c r="A47" s="47">
        <f>IFERROR(__xludf.DUMMYFUNCTION("""COMPUTED_VALUE"""),45810.6458333333)</f>
        <v>45810.6458333333</v>
      </c>
      <c r="B47" s="48">
        <f>IFERROR(__xludf.DUMMYFUNCTION("""COMPUTED_VALUE"""),978.8)</f>
        <v>978.8</v>
      </c>
      <c r="C47" s="47">
        <f>IFERROR(__xludf.DUMMYFUNCTION("""COMPUTED_VALUE"""),45810.6458333333)</f>
        <v>45810.6458333333</v>
      </c>
      <c r="D47" s="48">
        <f>IFERROR(__xludf.DUMMYFUNCTION("""COMPUTED_VALUE"""),987)</f>
        <v>987</v>
      </c>
      <c r="E47" s="47">
        <f>IFERROR(__xludf.DUMMYFUNCTION("""COMPUTED_VALUE"""),45810.6458333333)</f>
        <v>45810.6458333333</v>
      </c>
      <c r="F47" s="48">
        <f>IFERROR(__xludf.DUMMYFUNCTION("""COMPUTED_VALUE"""),1790184)</f>
        <v>1790184</v>
      </c>
      <c r="G47" s="47">
        <f>IFERROR(__xludf.DUMMYFUNCTION("""COMPUTED_VALUE"""),45810.6458333333)</f>
        <v>45810.6458333333</v>
      </c>
      <c r="H47" s="48">
        <f>IFERROR(__xludf.DUMMYFUNCTION("""COMPUTED_VALUE"""),987)</f>
        <v>987</v>
      </c>
      <c r="I47" s="47">
        <f>IFERROR(__xludf.DUMMYFUNCTION("""COMPUTED_VALUE"""),45810.6458333333)</f>
        <v>45810.6458333333</v>
      </c>
      <c r="J47" s="48">
        <f>IFERROR(__xludf.DUMMYFUNCTION("""COMPUTED_VALUE"""),969.25)</f>
        <v>969.25</v>
      </c>
      <c r="K47" s="3">
        <f t="shared" si="2"/>
        <v>0</v>
      </c>
      <c r="L47" s="3">
        <f t="shared" si="3"/>
        <v>0</v>
      </c>
    </row>
    <row r="48" customHeight="1" spans="1:12">
      <c r="A48" s="47">
        <f>IFERROR(__xludf.DUMMYFUNCTION("""COMPUTED_VALUE"""),45811.6458333333)</f>
        <v>45811.6458333333</v>
      </c>
      <c r="B48" s="48">
        <f>IFERROR(__xludf.DUMMYFUNCTION("""COMPUTED_VALUE"""),973.8)</f>
        <v>973.8</v>
      </c>
      <c r="C48" s="47">
        <f>IFERROR(__xludf.DUMMYFUNCTION("""COMPUTED_VALUE"""),45811.6458333333)</f>
        <v>45811.6458333333</v>
      </c>
      <c r="D48" s="48">
        <f>IFERROR(__xludf.DUMMYFUNCTION("""COMPUTED_VALUE"""),980.05)</f>
        <v>980.05</v>
      </c>
      <c r="E48" s="47">
        <f>IFERROR(__xludf.DUMMYFUNCTION("""COMPUTED_VALUE"""),45811.6458333333)</f>
        <v>45811.6458333333</v>
      </c>
      <c r="F48" s="48">
        <f>IFERROR(__xludf.DUMMYFUNCTION("""COMPUTED_VALUE"""),1138571)</f>
        <v>1138571</v>
      </c>
      <c r="G48" s="47">
        <f>IFERROR(__xludf.DUMMYFUNCTION("""COMPUTED_VALUE"""),45811.6458333333)</f>
        <v>45811.6458333333</v>
      </c>
      <c r="H48" s="48">
        <f>IFERROR(__xludf.DUMMYFUNCTION("""COMPUTED_VALUE"""),987.35)</f>
        <v>987.35</v>
      </c>
      <c r="I48" s="47">
        <f>IFERROR(__xludf.DUMMYFUNCTION("""COMPUTED_VALUE"""),45811.6458333333)</f>
        <v>45811.6458333333</v>
      </c>
      <c r="J48" s="48">
        <f>IFERROR(__xludf.DUMMYFUNCTION("""COMPUTED_VALUE"""),972.05)</f>
        <v>972.05</v>
      </c>
      <c r="K48" s="3">
        <f t="shared" si="2"/>
        <v>0</v>
      </c>
      <c r="L48" s="3">
        <f t="shared" si="3"/>
        <v>0</v>
      </c>
    </row>
    <row r="49" customHeight="1" spans="1:12">
      <c r="A49" s="47">
        <f>IFERROR(__xludf.DUMMYFUNCTION("""COMPUTED_VALUE"""),45812.6458333333)</f>
        <v>45812.6458333333</v>
      </c>
      <c r="B49" s="48">
        <f>IFERROR(__xludf.DUMMYFUNCTION("""COMPUTED_VALUE"""),968.55)</f>
        <v>968.55</v>
      </c>
      <c r="C49" s="47">
        <f>IFERROR(__xludf.DUMMYFUNCTION("""COMPUTED_VALUE"""),45812.6458333333)</f>
        <v>45812.6458333333</v>
      </c>
      <c r="D49" s="48">
        <f>IFERROR(__xludf.DUMMYFUNCTION("""COMPUTED_VALUE"""),973)</f>
        <v>973</v>
      </c>
      <c r="E49" s="47">
        <f>IFERROR(__xludf.DUMMYFUNCTION("""COMPUTED_VALUE"""),45812.6458333333)</f>
        <v>45812.6458333333</v>
      </c>
      <c r="F49" s="48">
        <f>IFERROR(__xludf.DUMMYFUNCTION("""COMPUTED_VALUE"""),2398032)</f>
        <v>2398032</v>
      </c>
      <c r="G49" s="47">
        <f>IFERROR(__xludf.DUMMYFUNCTION("""COMPUTED_VALUE"""),45812.6458333333)</f>
        <v>45812.6458333333</v>
      </c>
      <c r="H49" s="48">
        <f>IFERROR(__xludf.DUMMYFUNCTION("""COMPUTED_VALUE"""),979.5)</f>
        <v>979.5</v>
      </c>
      <c r="I49" s="47">
        <f>IFERROR(__xludf.DUMMYFUNCTION("""COMPUTED_VALUE"""),45812.6458333333)</f>
        <v>45812.6458333333</v>
      </c>
      <c r="J49" s="48">
        <f>IFERROR(__xludf.DUMMYFUNCTION("""COMPUTED_VALUE"""),962.15)</f>
        <v>962.15</v>
      </c>
      <c r="K49" s="3">
        <f t="shared" si="2"/>
        <v>0</v>
      </c>
      <c r="L49" s="3">
        <f t="shared" si="3"/>
        <v>968.55</v>
      </c>
    </row>
    <row r="50" customHeight="1" spans="1:12">
      <c r="A50" s="47">
        <f>IFERROR(__xludf.DUMMYFUNCTION("""COMPUTED_VALUE"""),45813.6458333333)</f>
        <v>45813.6458333333</v>
      </c>
      <c r="B50" s="48">
        <f>IFERROR(__xludf.DUMMYFUNCTION("""COMPUTED_VALUE"""),968.75)</f>
        <v>968.75</v>
      </c>
      <c r="C50" s="47">
        <f>IFERROR(__xludf.DUMMYFUNCTION("""COMPUTED_VALUE"""),45813.6458333333)</f>
        <v>45813.6458333333</v>
      </c>
      <c r="D50" s="48">
        <f>IFERROR(__xludf.DUMMYFUNCTION("""COMPUTED_VALUE"""),972.8)</f>
        <v>972.8</v>
      </c>
      <c r="E50" s="47">
        <f>IFERROR(__xludf.DUMMYFUNCTION("""COMPUTED_VALUE"""),45813.6458333333)</f>
        <v>45813.6458333333</v>
      </c>
      <c r="F50" s="48">
        <f>IFERROR(__xludf.DUMMYFUNCTION("""COMPUTED_VALUE"""),2182562)</f>
        <v>2182562</v>
      </c>
      <c r="G50" s="47">
        <f>IFERROR(__xludf.DUMMYFUNCTION("""COMPUTED_VALUE"""),45813.6458333333)</f>
        <v>45813.6458333333</v>
      </c>
      <c r="H50" s="48">
        <f>IFERROR(__xludf.DUMMYFUNCTION("""COMPUTED_VALUE"""),976.9)</f>
        <v>976.9</v>
      </c>
      <c r="I50" s="47">
        <f>IFERROR(__xludf.DUMMYFUNCTION("""COMPUTED_VALUE"""),45813.6458333333)</f>
        <v>45813.6458333333</v>
      </c>
      <c r="J50" s="48">
        <f>IFERROR(__xludf.DUMMYFUNCTION("""COMPUTED_VALUE"""),964.65)</f>
        <v>964.65</v>
      </c>
      <c r="K50" s="3">
        <f t="shared" si="2"/>
        <v>0</v>
      </c>
      <c r="L50" s="3">
        <f t="shared" si="3"/>
        <v>0</v>
      </c>
    </row>
    <row r="51" customHeight="1" spans="1:12">
      <c r="A51" s="47">
        <f>IFERROR(__xludf.DUMMYFUNCTION("""COMPUTED_VALUE"""),45814.6458333333)</f>
        <v>45814.6458333333</v>
      </c>
      <c r="B51" s="48">
        <f>IFERROR(__xludf.DUMMYFUNCTION("""COMPUTED_VALUE"""),1004.9)</f>
        <v>1004.9</v>
      </c>
      <c r="C51" s="47">
        <f>IFERROR(__xludf.DUMMYFUNCTION("""COMPUTED_VALUE"""),45814.6458333333)</f>
        <v>45814.6458333333</v>
      </c>
      <c r="D51" s="48">
        <f>IFERROR(__xludf.DUMMYFUNCTION("""COMPUTED_VALUE"""),968.75)</f>
        <v>968.75</v>
      </c>
      <c r="E51" s="47">
        <f>IFERROR(__xludf.DUMMYFUNCTION("""COMPUTED_VALUE"""),45814.6458333333)</f>
        <v>45814.6458333333</v>
      </c>
      <c r="F51" s="48">
        <f>IFERROR(__xludf.DUMMYFUNCTION("""COMPUTED_VALUE"""),2089570)</f>
        <v>2089570</v>
      </c>
      <c r="G51" s="47">
        <f>IFERROR(__xludf.DUMMYFUNCTION("""COMPUTED_VALUE"""),45814.6458333333)</f>
        <v>45814.6458333333</v>
      </c>
      <c r="H51" s="48">
        <f>IFERROR(__xludf.DUMMYFUNCTION("""COMPUTED_VALUE"""),1010.65)</f>
        <v>1010.65</v>
      </c>
      <c r="I51" s="47">
        <f>IFERROR(__xludf.DUMMYFUNCTION("""COMPUTED_VALUE"""),45814.6458333333)</f>
        <v>45814.6458333333</v>
      </c>
      <c r="J51" s="48">
        <f>IFERROR(__xludf.DUMMYFUNCTION("""COMPUTED_VALUE"""),967.65)</f>
        <v>967.65</v>
      </c>
      <c r="K51" s="3">
        <f t="shared" si="2"/>
        <v>0</v>
      </c>
      <c r="L51" s="3">
        <f t="shared" si="3"/>
        <v>0</v>
      </c>
    </row>
    <row r="52" customHeight="1" spans="1:12">
      <c r="A52" s="47">
        <f>IFERROR(__xludf.DUMMYFUNCTION("""COMPUTED_VALUE"""),45817.6458333333)</f>
        <v>45817.6458333333</v>
      </c>
      <c r="B52" s="48">
        <f>IFERROR(__xludf.DUMMYFUNCTION("""COMPUTED_VALUE"""),1008)</f>
        <v>1008</v>
      </c>
      <c r="C52" s="47">
        <f>IFERROR(__xludf.DUMMYFUNCTION("""COMPUTED_VALUE"""),45817.6458333333)</f>
        <v>45817.6458333333</v>
      </c>
      <c r="D52" s="48">
        <f>IFERROR(__xludf.DUMMYFUNCTION("""COMPUTED_VALUE"""),1006.3)</f>
        <v>1006.3</v>
      </c>
      <c r="E52" s="47">
        <f>IFERROR(__xludf.DUMMYFUNCTION("""COMPUTED_VALUE"""),45817.6458333333)</f>
        <v>45817.6458333333</v>
      </c>
      <c r="F52" s="48">
        <f>IFERROR(__xludf.DUMMYFUNCTION("""COMPUTED_VALUE"""),1864322)</f>
        <v>1864322</v>
      </c>
      <c r="G52" s="47">
        <f>IFERROR(__xludf.DUMMYFUNCTION("""COMPUTED_VALUE"""),45817.6458333333)</f>
        <v>45817.6458333333</v>
      </c>
      <c r="H52" s="48">
        <f>IFERROR(__xludf.DUMMYFUNCTION("""COMPUTED_VALUE"""),1017)</f>
        <v>1017</v>
      </c>
      <c r="I52" s="47">
        <f>IFERROR(__xludf.DUMMYFUNCTION("""COMPUTED_VALUE"""),45817.6458333333)</f>
        <v>45817.6458333333</v>
      </c>
      <c r="J52" s="48">
        <f>IFERROR(__xludf.DUMMYFUNCTION("""COMPUTED_VALUE"""),1001.95)</f>
        <v>1001.95</v>
      </c>
      <c r="K52" s="3">
        <f t="shared" si="2"/>
        <v>1008</v>
      </c>
      <c r="L52" s="3">
        <f t="shared" si="3"/>
        <v>0</v>
      </c>
    </row>
    <row r="53" customHeight="1" spans="1:12">
      <c r="A53" s="47">
        <f>IFERROR(__xludf.DUMMYFUNCTION("""COMPUTED_VALUE"""),45818.6458333333)</f>
        <v>45818.6458333333</v>
      </c>
      <c r="B53" s="48">
        <f>IFERROR(__xludf.DUMMYFUNCTION("""COMPUTED_VALUE"""),1003.1)</f>
        <v>1003.1</v>
      </c>
      <c r="C53" s="47">
        <f>IFERROR(__xludf.DUMMYFUNCTION("""COMPUTED_VALUE"""),45818.6458333333)</f>
        <v>45818.6458333333</v>
      </c>
      <c r="D53" s="48">
        <f>IFERROR(__xludf.DUMMYFUNCTION("""COMPUTED_VALUE"""),1015)</f>
        <v>1015</v>
      </c>
      <c r="E53" s="47">
        <f>IFERROR(__xludf.DUMMYFUNCTION("""COMPUTED_VALUE"""),45818.6458333333)</f>
        <v>45818.6458333333</v>
      </c>
      <c r="F53" s="48">
        <f>IFERROR(__xludf.DUMMYFUNCTION("""COMPUTED_VALUE"""),1747781)</f>
        <v>1747781</v>
      </c>
      <c r="G53" s="47">
        <f>IFERROR(__xludf.DUMMYFUNCTION("""COMPUTED_VALUE"""),45818.6458333333)</f>
        <v>45818.6458333333</v>
      </c>
      <c r="H53" s="48">
        <f>IFERROR(__xludf.DUMMYFUNCTION("""COMPUTED_VALUE"""),1019.15)</f>
        <v>1019.15</v>
      </c>
      <c r="I53" s="47">
        <f>IFERROR(__xludf.DUMMYFUNCTION("""COMPUTED_VALUE"""),45818.6458333333)</f>
        <v>45818.6458333333</v>
      </c>
      <c r="J53" s="48">
        <f>IFERROR(__xludf.DUMMYFUNCTION("""COMPUTED_VALUE"""),1000.8)</f>
        <v>1000.8</v>
      </c>
      <c r="K53" s="3">
        <f t="shared" si="2"/>
        <v>0</v>
      </c>
      <c r="L53" s="3">
        <f t="shared" si="3"/>
        <v>0</v>
      </c>
    </row>
    <row r="54" customHeight="1" spans="1:12">
      <c r="A54" s="47">
        <f>IFERROR(__xludf.DUMMYFUNCTION("""COMPUTED_VALUE"""),45819.6458333333)</f>
        <v>45819.6458333333</v>
      </c>
      <c r="B54" s="48">
        <f>IFERROR(__xludf.DUMMYFUNCTION("""COMPUTED_VALUE"""),1007.1)</f>
        <v>1007.1</v>
      </c>
      <c r="C54" s="47">
        <f>IFERROR(__xludf.DUMMYFUNCTION("""COMPUTED_VALUE"""),45819.6458333333)</f>
        <v>45819.6458333333</v>
      </c>
      <c r="D54" s="48">
        <f>IFERROR(__xludf.DUMMYFUNCTION("""COMPUTED_VALUE"""),1003.95)</f>
        <v>1003.95</v>
      </c>
      <c r="E54" s="47">
        <f>IFERROR(__xludf.DUMMYFUNCTION("""COMPUTED_VALUE"""),45819.6458333333)</f>
        <v>45819.6458333333</v>
      </c>
      <c r="F54" s="48">
        <f>IFERROR(__xludf.DUMMYFUNCTION("""COMPUTED_VALUE"""),1003090)</f>
        <v>1003090</v>
      </c>
      <c r="G54" s="47">
        <f>IFERROR(__xludf.DUMMYFUNCTION("""COMPUTED_VALUE"""),45819.6458333333)</f>
        <v>45819.6458333333</v>
      </c>
      <c r="H54" s="48">
        <f>IFERROR(__xludf.DUMMYFUNCTION("""COMPUTED_VALUE"""),1016)</f>
        <v>1016</v>
      </c>
      <c r="I54" s="47">
        <f>IFERROR(__xludf.DUMMYFUNCTION("""COMPUTED_VALUE"""),45819.6458333333)</f>
        <v>45819.6458333333</v>
      </c>
      <c r="J54" s="48">
        <f>IFERROR(__xludf.DUMMYFUNCTION("""COMPUTED_VALUE"""),1003.95)</f>
        <v>1003.95</v>
      </c>
      <c r="K54" s="3">
        <f t="shared" si="2"/>
        <v>0</v>
      </c>
      <c r="L54" s="3">
        <f t="shared" si="3"/>
        <v>0</v>
      </c>
    </row>
    <row r="55" customHeight="1" spans="1:12">
      <c r="A55" s="47">
        <f>IFERROR(__xludf.DUMMYFUNCTION("""COMPUTED_VALUE"""),45820.6458333333)</f>
        <v>45820.6458333333</v>
      </c>
      <c r="B55" s="48">
        <f>IFERROR(__xludf.DUMMYFUNCTION("""COMPUTED_VALUE"""),995.65)</f>
        <v>995.65</v>
      </c>
      <c r="C55" s="47">
        <f>IFERROR(__xludf.DUMMYFUNCTION("""COMPUTED_VALUE"""),45820.6458333333)</f>
        <v>45820.6458333333</v>
      </c>
      <c r="D55" s="48">
        <f>IFERROR(__xludf.DUMMYFUNCTION("""COMPUTED_VALUE"""),1007.1)</f>
        <v>1007.1</v>
      </c>
      <c r="E55" s="47">
        <f>IFERROR(__xludf.DUMMYFUNCTION("""COMPUTED_VALUE"""),45820.6458333333)</f>
        <v>45820.6458333333</v>
      </c>
      <c r="F55" s="48">
        <f>IFERROR(__xludf.DUMMYFUNCTION("""COMPUTED_VALUE"""),2223026)</f>
        <v>2223026</v>
      </c>
      <c r="G55" s="47">
        <f>IFERROR(__xludf.DUMMYFUNCTION("""COMPUTED_VALUE"""),45820.6458333333)</f>
        <v>45820.6458333333</v>
      </c>
      <c r="H55" s="48">
        <f>IFERROR(__xludf.DUMMYFUNCTION("""COMPUTED_VALUE"""),1010)</f>
        <v>1010</v>
      </c>
      <c r="I55" s="47">
        <f>IFERROR(__xludf.DUMMYFUNCTION("""COMPUTED_VALUE"""),45820.6458333333)</f>
        <v>45820.6458333333</v>
      </c>
      <c r="J55" s="48">
        <f>IFERROR(__xludf.DUMMYFUNCTION("""COMPUTED_VALUE"""),992.55)</f>
        <v>992.55</v>
      </c>
      <c r="K55" s="3">
        <f t="shared" si="2"/>
        <v>0</v>
      </c>
      <c r="L55" s="3">
        <f t="shared" si="3"/>
        <v>0</v>
      </c>
    </row>
    <row r="56" customHeight="1" spans="1:12">
      <c r="A56" s="47">
        <f>IFERROR(__xludf.DUMMYFUNCTION("""COMPUTED_VALUE"""),45821.6458333333)</f>
        <v>45821.6458333333</v>
      </c>
      <c r="B56" s="48">
        <f>IFERROR(__xludf.DUMMYFUNCTION("""COMPUTED_VALUE"""),987.25)</f>
        <v>987.25</v>
      </c>
      <c r="C56" s="47">
        <f>IFERROR(__xludf.DUMMYFUNCTION("""COMPUTED_VALUE"""),45821.6458333333)</f>
        <v>45821.6458333333</v>
      </c>
      <c r="D56" s="48">
        <f>IFERROR(__xludf.DUMMYFUNCTION("""COMPUTED_VALUE"""),984.7)</f>
        <v>984.7</v>
      </c>
      <c r="E56" s="47">
        <f>IFERROR(__xludf.DUMMYFUNCTION("""COMPUTED_VALUE"""),45821.6458333333)</f>
        <v>45821.6458333333</v>
      </c>
      <c r="F56" s="48">
        <f>IFERROR(__xludf.DUMMYFUNCTION("""COMPUTED_VALUE"""),1044815)</f>
        <v>1044815</v>
      </c>
      <c r="G56" s="47">
        <f>IFERROR(__xludf.DUMMYFUNCTION("""COMPUTED_VALUE"""),45821.6458333333)</f>
        <v>45821.6458333333</v>
      </c>
      <c r="H56" s="48">
        <f>IFERROR(__xludf.DUMMYFUNCTION("""COMPUTED_VALUE"""),994.05)</f>
        <v>994.05</v>
      </c>
      <c r="I56" s="47">
        <f>IFERROR(__xludf.DUMMYFUNCTION("""COMPUTED_VALUE"""),45821.6458333333)</f>
        <v>45821.6458333333</v>
      </c>
      <c r="J56" s="48">
        <f>IFERROR(__xludf.DUMMYFUNCTION("""COMPUTED_VALUE"""),981.35)</f>
        <v>981.35</v>
      </c>
      <c r="K56" s="3">
        <f t="shared" si="2"/>
        <v>0</v>
      </c>
      <c r="L56" s="3">
        <f t="shared" si="3"/>
        <v>0</v>
      </c>
    </row>
    <row r="57" customHeight="1" spans="1:12">
      <c r="A57" s="47">
        <f>IFERROR(__xludf.DUMMYFUNCTION("""COMPUTED_VALUE"""),45824.6458333333)</f>
        <v>45824.6458333333</v>
      </c>
      <c r="B57" s="48">
        <f>IFERROR(__xludf.DUMMYFUNCTION("""COMPUTED_VALUE"""),1003.8)</f>
        <v>1003.8</v>
      </c>
      <c r="C57" s="47">
        <f>IFERROR(__xludf.DUMMYFUNCTION("""COMPUTED_VALUE"""),45824.6458333333)</f>
        <v>45824.6458333333</v>
      </c>
      <c r="D57" s="48">
        <f>IFERROR(__xludf.DUMMYFUNCTION("""COMPUTED_VALUE"""),987.25)</f>
        <v>987.25</v>
      </c>
      <c r="E57" s="47">
        <f>IFERROR(__xludf.DUMMYFUNCTION("""COMPUTED_VALUE"""),45824.6458333333)</f>
        <v>45824.6458333333</v>
      </c>
      <c r="F57" s="48">
        <f>IFERROR(__xludf.DUMMYFUNCTION("""COMPUTED_VALUE"""),871032)</f>
        <v>871032</v>
      </c>
      <c r="G57" s="47">
        <f>IFERROR(__xludf.DUMMYFUNCTION("""COMPUTED_VALUE"""),45824.6458333333)</f>
        <v>45824.6458333333</v>
      </c>
      <c r="H57" s="48">
        <f>IFERROR(__xludf.DUMMYFUNCTION("""COMPUTED_VALUE"""),1011)</f>
        <v>1011</v>
      </c>
      <c r="I57" s="47">
        <f>IFERROR(__xludf.DUMMYFUNCTION("""COMPUTED_VALUE"""),45824.6458333333)</f>
        <v>45824.6458333333</v>
      </c>
      <c r="J57" s="48">
        <f>IFERROR(__xludf.DUMMYFUNCTION("""COMPUTED_VALUE"""),984.2)</f>
        <v>984.2</v>
      </c>
      <c r="K57" s="3">
        <f t="shared" si="2"/>
        <v>0</v>
      </c>
      <c r="L57" s="3">
        <f t="shared" si="3"/>
        <v>0</v>
      </c>
    </row>
    <row r="58" customHeight="1" spans="1:12">
      <c r="A58" s="47">
        <f>IFERROR(__xludf.DUMMYFUNCTION("""COMPUTED_VALUE"""),45825.6458333333)</f>
        <v>45825.6458333333</v>
      </c>
      <c r="B58" s="48">
        <f>IFERROR(__xludf.DUMMYFUNCTION("""COMPUTED_VALUE"""),999.65)</f>
        <v>999.65</v>
      </c>
      <c r="C58" s="47">
        <f>IFERROR(__xludf.DUMMYFUNCTION("""COMPUTED_VALUE"""),45825.6458333333)</f>
        <v>45825.6458333333</v>
      </c>
      <c r="D58" s="48">
        <f>IFERROR(__xludf.DUMMYFUNCTION("""COMPUTED_VALUE"""),1004.5)</f>
        <v>1004.5</v>
      </c>
      <c r="E58" s="47">
        <f>IFERROR(__xludf.DUMMYFUNCTION("""COMPUTED_VALUE"""),45825.6458333333)</f>
        <v>45825.6458333333</v>
      </c>
      <c r="F58" s="48">
        <f>IFERROR(__xludf.DUMMYFUNCTION("""COMPUTED_VALUE"""),1075499)</f>
        <v>1075499</v>
      </c>
      <c r="G58" s="47">
        <f>IFERROR(__xludf.DUMMYFUNCTION("""COMPUTED_VALUE"""),45825.6458333333)</f>
        <v>45825.6458333333</v>
      </c>
      <c r="H58" s="48">
        <f>IFERROR(__xludf.DUMMYFUNCTION("""COMPUTED_VALUE"""),1010.45)</f>
        <v>1010.45</v>
      </c>
      <c r="I58" s="47">
        <f>IFERROR(__xludf.DUMMYFUNCTION("""COMPUTED_VALUE"""),45825.6458333333)</f>
        <v>45825.6458333333</v>
      </c>
      <c r="J58" s="48">
        <f>IFERROR(__xludf.DUMMYFUNCTION("""COMPUTED_VALUE"""),997.9)</f>
        <v>997.9</v>
      </c>
      <c r="K58" s="3">
        <f t="shared" si="2"/>
        <v>0</v>
      </c>
      <c r="L58" s="3">
        <f t="shared" si="3"/>
        <v>0</v>
      </c>
    </row>
    <row r="59" customHeight="1" spans="1:12">
      <c r="A59" s="47">
        <f>IFERROR(__xludf.DUMMYFUNCTION("""COMPUTED_VALUE"""),45826.6458333333)</f>
        <v>45826.6458333333</v>
      </c>
      <c r="B59" s="48">
        <f>IFERROR(__xludf.DUMMYFUNCTION("""COMPUTED_VALUE"""),986.35)</f>
        <v>986.35</v>
      </c>
      <c r="C59" s="47">
        <f>IFERROR(__xludf.DUMMYFUNCTION("""COMPUTED_VALUE"""),45826.6458333333)</f>
        <v>45826.6458333333</v>
      </c>
      <c r="D59" s="48">
        <f>IFERROR(__xludf.DUMMYFUNCTION("""COMPUTED_VALUE"""),997)</f>
        <v>997</v>
      </c>
      <c r="E59" s="47">
        <f>IFERROR(__xludf.DUMMYFUNCTION("""COMPUTED_VALUE"""),45826.6458333333)</f>
        <v>45826.6458333333</v>
      </c>
      <c r="F59" s="48">
        <f>IFERROR(__xludf.DUMMYFUNCTION("""COMPUTED_VALUE"""),854561)</f>
        <v>854561</v>
      </c>
      <c r="G59" s="47">
        <f>IFERROR(__xludf.DUMMYFUNCTION("""COMPUTED_VALUE"""),45826.6458333333)</f>
        <v>45826.6458333333</v>
      </c>
      <c r="H59" s="48">
        <f>IFERROR(__xludf.DUMMYFUNCTION("""COMPUTED_VALUE"""),998.95)</f>
        <v>998.95</v>
      </c>
      <c r="I59" s="47">
        <f>IFERROR(__xludf.DUMMYFUNCTION("""COMPUTED_VALUE"""),45826.6458333333)</f>
        <v>45826.6458333333</v>
      </c>
      <c r="J59" s="48">
        <f>IFERROR(__xludf.DUMMYFUNCTION("""COMPUTED_VALUE"""),983.75)</f>
        <v>983.75</v>
      </c>
      <c r="K59" s="3">
        <f t="shared" si="2"/>
        <v>0</v>
      </c>
      <c r="L59" s="3">
        <f t="shared" si="3"/>
        <v>986.35</v>
      </c>
    </row>
    <row r="60" customHeight="1" spans="1:12">
      <c r="A60" s="47">
        <f>IFERROR(__xludf.DUMMYFUNCTION("""COMPUTED_VALUE"""),45827.6458333333)</f>
        <v>45827.6458333333</v>
      </c>
      <c r="B60" s="48">
        <f>IFERROR(__xludf.DUMMYFUNCTION("""COMPUTED_VALUE"""),996.05)</f>
        <v>996.05</v>
      </c>
      <c r="C60" s="47">
        <f>IFERROR(__xludf.DUMMYFUNCTION("""COMPUTED_VALUE"""),45827.6458333333)</f>
        <v>45827.6458333333</v>
      </c>
      <c r="D60" s="48">
        <f>IFERROR(__xludf.DUMMYFUNCTION("""COMPUTED_VALUE"""),986.9)</f>
        <v>986.9</v>
      </c>
      <c r="E60" s="47">
        <f>IFERROR(__xludf.DUMMYFUNCTION("""COMPUTED_VALUE"""),45827.6458333333)</f>
        <v>45827.6458333333</v>
      </c>
      <c r="F60" s="48">
        <f>IFERROR(__xludf.DUMMYFUNCTION("""COMPUTED_VALUE"""),1391083)</f>
        <v>1391083</v>
      </c>
      <c r="G60" s="47">
        <f>IFERROR(__xludf.DUMMYFUNCTION("""COMPUTED_VALUE"""),45827.6458333333)</f>
        <v>45827.6458333333</v>
      </c>
      <c r="H60" s="48">
        <f>IFERROR(__xludf.DUMMYFUNCTION("""COMPUTED_VALUE"""),997.95)</f>
        <v>997.95</v>
      </c>
      <c r="I60" s="47">
        <f>IFERROR(__xludf.DUMMYFUNCTION("""COMPUTED_VALUE"""),45827.6458333333)</f>
        <v>45827.6458333333</v>
      </c>
      <c r="J60" s="48">
        <f>IFERROR(__xludf.DUMMYFUNCTION("""COMPUTED_VALUE"""),985)</f>
        <v>985</v>
      </c>
      <c r="K60" s="3">
        <f t="shared" si="2"/>
        <v>0</v>
      </c>
      <c r="L60" s="3">
        <f t="shared" si="3"/>
        <v>0</v>
      </c>
    </row>
    <row r="61" customHeight="1" spans="1:12">
      <c r="A61" s="47">
        <f>IFERROR(__xludf.DUMMYFUNCTION("""COMPUTED_VALUE"""),45828.6458333333)</f>
        <v>45828.6458333333</v>
      </c>
      <c r="B61" s="48">
        <f>IFERROR(__xludf.DUMMYFUNCTION("""COMPUTED_VALUE"""),1005.55)</f>
        <v>1005.55</v>
      </c>
      <c r="C61" s="47">
        <f>IFERROR(__xludf.DUMMYFUNCTION("""COMPUTED_VALUE"""),45828.6458333333)</f>
        <v>45828.6458333333</v>
      </c>
      <c r="D61" s="48">
        <f>IFERROR(__xludf.DUMMYFUNCTION("""COMPUTED_VALUE"""),993.95)</f>
        <v>993.95</v>
      </c>
      <c r="E61" s="47">
        <f>IFERROR(__xludf.DUMMYFUNCTION("""COMPUTED_VALUE"""),45828.6458333333)</f>
        <v>45828.6458333333</v>
      </c>
      <c r="F61" s="48">
        <f>IFERROR(__xludf.DUMMYFUNCTION("""COMPUTED_VALUE"""),9697195)</f>
        <v>9697195</v>
      </c>
      <c r="G61" s="47">
        <f>IFERROR(__xludf.DUMMYFUNCTION("""COMPUTED_VALUE"""),45828.6458333333)</f>
        <v>45828.6458333333</v>
      </c>
      <c r="H61" s="48">
        <f>IFERROR(__xludf.DUMMYFUNCTION("""COMPUTED_VALUE"""),1024)</f>
        <v>1024</v>
      </c>
      <c r="I61" s="47">
        <f>IFERROR(__xludf.DUMMYFUNCTION("""COMPUTED_VALUE"""),45828.6458333333)</f>
        <v>45828.6458333333</v>
      </c>
      <c r="J61" s="48">
        <f>IFERROR(__xludf.DUMMYFUNCTION("""COMPUTED_VALUE"""),993.6)</f>
        <v>993.6</v>
      </c>
      <c r="K61" s="3">
        <f t="shared" si="2"/>
        <v>0</v>
      </c>
      <c r="L61" s="3">
        <f t="shared" si="3"/>
        <v>0</v>
      </c>
    </row>
    <row r="62" customHeight="1" spans="1:12">
      <c r="A62" s="47">
        <f>IFERROR(__xludf.DUMMYFUNCTION("""COMPUTED_VALUE"""),45831.6458333333)</f>
        <v>45831.6458333333</v>
      </c>
      <c r="B62" s="48">
        <f>IFERROR(__xludf.DUMMYFUNCTION("""COMPUTED_VALUE"""),997)</f>
        <v>997</v>
      </c>
      <c r="C62" s="47">
        <f>IFERROR(__xludf.DUMMYFUNCTION("""COMPUTED_VALUE"""),45831.6458333333)</f>
        <v>45831.6458333333</v>
      </c>
      <c r="D62" s="48">
        <f>IFERROR(__xludf.DUMMYFUNCTION("""COMPUTED_VALUE"""),1005)</f>
        <v>1005</v>
      </c>
      <c r="E62" s="47">
        <f>IFERROR(__xludf.DUMMYFUNCTION("""COMPUTED_VALUE"""),45831.6458333333)</f>
        <v>45831.6458333333</v>
      </c>
      <c r="F62" s="48">
        <f>IFERROR(__xludf.DUMMYFUNCTION("""COMPUTED_VALUE"""),1132847)</f>
        <v>1132847</v>
      </c>
      <c r="G62" s="47">
        <f>IFERROR(__xludf.DUMMYFUNCTION("""COMPUTED_VALUE"""),45831.6458333333)</f>
        <v>45831.6458333333</v>
      </c>
      <c r="H62" s="48">
        <f>IFERROR(__xludf.DUMMYFUNCTION("""COMPUTED_VALUE"""),1005.2)</f>
        <v>1005.2</v>
      </c>
      <c r="I62" s="47">
        <f>IFERROR(__xludf.DUMMYFUNCTION("""COMPUTED_VALUE"""),45831.6458333333)</f>
        <v>45831.6458333333</v>
      </c>
      <c r="J62" s="48">
        <f>IFERROR(__xludf.DUMMYFUNCTION("""COMPUTED_VALUE"""),983.5)</f>
        <v>983.5</v>
      </c>
      <c r="K62" s="3">
        <f t="shared" si="2"/>
        <v>0</v>
      </c>
      <c r="L62" s="3">
        <f t="shared" si="3"/>
        <v>0</v>
      </c>
    </row>
    <row r="63" customHeight="1" spans="1:12">
      <c r="A63" s="47">
        <f>IFERROR(__xludf.DUMMYFUNCTION("""COMPUTED_VALUE"""),45832.6458333333)</f>
        <v>45832.6458333333</v>
      </c>
      <c r="B63" s="48">
        <f>IFERROR(__xludf.DUMMYFUNCTION("""COMPUTED_VALUE"""),1007)</f>
        <v>1007</v>
      </c>
      <c r="C63" s="47">
        <f>IFERROR(__xludf.DUMMYFUNCTION("""COMPUTED_VALUE"""),45832.6458333333)</f>
        <v>45832.6458333333</v>
      </c>
      <c r="D63" s="48">
        <f>IFERROR(__xludf.DUMMYFUNCTION("""COMPUTED_VALUE"""),1006)</f>
        <v>1006</v>
      </c>
      <c r="E63" s="47">
        <f>IFERROR(__xludf.DUMMYFUNCTION("""COMPUTED_VALUE"""),45832.6458333333)</f>
        <v>45832.6458333333</v>
      </c>
      <c r="F63" s="48">
        <f>IFERROR(__xludf.DUMMYFUNCTION("""COMPUTED_VALUE"""),1434360)</f>
        <v>1434360</v>
      </c>
      <c r="G63" s="47">
        <f>IFERROR(__xludf.DUMMYFUNCTION("""COMPUTED_VALUE"""),45832.6458333333)</f>
        <v>45832.6458333333</v>
      </c>
      <c r="H63" s="48">
        <f>IFERROR(__xludf.DUMMYFUNCTION("""COMPUTED_VALUE"""),1022.55)</f>
        <v>1022.55</v>
      </c>
      <c r="I63" s="47">
        <f>IFERROR(__xludf.DUMMYFUNCTION("""COMPUTED_VALUE"""),45832.6458333333)</f>
        <v>45832.6458333333</v>
      </c>
      <c r="J63" s="48">
        <f>IFERROR(__xludf.DUMMYFUNCTION("""COMPUTED_VALUE"""),1001.3)</f>
        <v>1001.3</v>
      </c>
      <c r="K63" s="3">
        <f t="shared" si="2"/>
        <v>0</v>
      </c>
      <c r="L63" s="3">
        <f t="shared" si="3"/>
        <v>0</v>
      </c>
    </row>
    <row r="64" customHeight="1" spans="1:12">
      <c r="A64" s="47">
        <f>IFERROR(__xludf.DUMMYFUNCTION("""COMPUTED_VALUE"""),45833.6458333333)</f>
        <v>45833.6458333333</v>
      </c>
      <c r="B64" s="48">
        <f>IFERROR(__xludf.DUMMYFUNCTION("""COMPUTED_VALUE"""),1024.45)</f>
        <v>1024.45</v>
      </c>
      <c r="C64" s="47">
        <f>IFERROR(__xludf.DUMMYFUNCTION("""COMPUTED_VALUE"""),45833.6458333333)</f>
        <v>45833.6458333333</v>
      </c>
      <c r="D64" s="48">
        <f>IFERROR(__xludf.DUMMYFUNCTION("""COMPUTED_VALUE"""),1008)</f>
        <v>1008</v>
      </c>
      <c r="E64" s="47">
        <f>IFERROR(__xludf.DUMMYFUNCTION("""COMPUTED_VALUE"""),45833.6458333333)</f>
        <v>45833.6458333333</v>
      </c>
      <c r="F64" s="48">
        <f>IFERROR(__xludf.DUMMYFUNCTION("""COMPUTED_VALUE"""),2029126)</f>
        <v>2029126</v>
      </c>
      <c r="G64" s="47">
        <f>IFERROR(__xludf.DUMMYFUNCTION("""COMPUTED_VALUE"""),45833.6458333333)</f>
        <v>45833.6458333333</v>
      </c>
      <c r="H64" s="48">
        <f>IFERROR(__xludf.DUMMYFUNCTION("""COMPUTED_VALUE"""),1027.8)</f>
        <v>1027.8</v>
      </c>
      <c r="I64" s="47">
        <f>IFERROR(__xludf.DUMMYFUNCTION("""COMPUTED_VALUE"""),45833.6458333333)</f>
        <v>45833.6458333333</v>
      </c>
      <c r="J64" s="48">
        <f>IFERROR(__xludf.DUMMYFUNCTION("""COMPUTED_VALUE"""),1008)</f>
        <v>1008</v>
      </c>
      <c r="K64" s="3">
        <f t="shared" si="2"/>
        <v>0</v>
      </c>
      <c r="L64" s="3">
        <f t="shared" si="3"/>
        <v>0</v>
      </c>
    </row>
    <row r="65" customHeight="1" spans="1:12">
      <c r="A65" s="47">
        <f>IFERROR(__xludf.DUMMYFUNCTION("""COMPUTED_VALUE"""),45834.6458333333)</f>
        <v>45834.6458333333</v>
      </c>
      <c r="B65" s="48">
        <f>IFERROR(__xludf.DUMMYFUNCTION("""COMPUTED_VALUE"""),1032.55)</f>
        <v>1032.55</v>
      </c>
      <c r="C65" s="47">
        <f>IFERROR(__xludf.DUMMYFUNCTION("""COMPUTED_VALUE"""),45834.6458333333)</f>
        <v>45834.6458333333</v>
      </c>
      <c r="D65" s="48">
        <f>IFERROR(__xludf.DUMMYFUNCTION("""COMPUTED_VALUE"""),1030)</f>
        <v>1030</v>
      </c>
      <c r="E65" s="47">
        <f>IFERROR(__xludf.DUMMYFUNCTION("""COMPUTED_VALUE"""),45834.6458333333)</f>
        <v>45834.6458333333</v>
      </c>
      <c r="F65" s="48">
        <f>IFERROR(__xludf.DUMMYFUNCTION("""COMPUTED_VALUE"""),3892783)</f>
        <v>3892783</v>
      </c>
      <c r="G65" s="47">
        <f>IFERROR(__xludf.DUMMYFUNCTION("""COMPUTED_VALUE"""),45834.6458333333)</f>
        <v>45834.6458333333</v>
      </c>
      <c r="H65" s="48">
        <f>IFERROR(__xludf.DUMMYFUNCTION("""COMPUTED_VALUE"""),1040.5)</f>
        <v>1040.5</v>
      </c>
      <c r="I65" s="47">
        <f>IFERROR(__xludf.DUMMYFUNCTION("""COMPUTED_VALUE"""),45834.6458333333)</f>
        <v>45834.6458333333</v>
      </c>
      <c r="J65" s="48">
        <f>IFERROR(__xludf.DUMMYFUNCTION("""COMPUTED_VALUE"""),1017.15)</f>
        <v>1017.15</v>
      </c>
      <c r="K65" s="3">
        <f t="shared" si="2"/>
        <v>0</v>
      </c>
      <c r="L65" s="3">
        <f t="shared" si="3"/>
        <v>0</v>
      </c>
    </row>
    <row r="66" customHeight="1" spans="1:12">
      <c r="A66" s="47">
        <f>IFERROR(__xludf.DUMMYFUNCTION("""COMPUTED_VALUE"""),45835.6458333333)</f>
        <v>45835.6458333333</v>
      </c>
      <c r="B66" s="48">
        <f>IFERROR(__xludf.DUMMYFUNCTION("""COMPUTED_VALUE"""),1028.9)</f>
        <v>1028.9</v>
      </c>
      <c r="C66" s="47">
        <f>IFERROR(__xludf.DUMMYFUNCTION("""COMPUTED_VALUE"""),45835.6458333333)</f>
        <v>45835.6458333333</v>
      </c>
      <c r="D66" s="48">
        <f>IFERROR(__xludf.DUMMYFUNCTION("""COMPUTED_VALUE"""),1038.45)</f>
        <v>1038.45</v>
      </c>
      <c r="E66" s="47">
        <f>IFERROR(__xludf.DUMMYFUNCTION("""COMPUTED_VALUE"""),45835.6458333333)</f>
        <v>45835.6458333333</v>
      </c>
      <c r="F66" s="48">
        <f>IFERROR(__xludf.DUMMYFUNCTION("""COMPUTED_VALUE"""),1941604)</f>
        <v>1941604</v>
      </c>
      <c r="G66" s="47">
        <f>IFERROR(__xludf.DUMMYFUNCTION("""COMPUTED_VALUE"""),45835.6458333333)</f>
        <v>45835.6458333333</v>
      </c>
      <c r="H66" s="48">
        <f>IFERROR(__xludf.DUMMYFUNCTION("""COMPUTED_VALUE"""),1045.7)</f>
        <v>1045.7</v>
      </c>
      <c r="I66" s="47">
        <f>IFERROR(__xludf.DUMMYFUNCTION("""COMPUTED_VALUE"""),45835.6458333333)</f>
        <v>45835.6458333333</v>
      </c>
      <c r="J66" s="48">
        <f>IFERROR(__xludf.DUMMYFUNCTION("""COMPUTED_VALUE"""),1023.2)</f>
        <v>1023.2</v>
      </c>
      <c r="K66" s="3">
        <f t="shared" si="2"/>
        <v>0</v>
      </c>
      <c r="L66" s="3">
        <f t="shared" si="3"/>
        <v>0</v>
      </c>
    </row>
    <row r="67" customHeight="1" spans="1:12">
      <c r="A67" s="47">
        <f>IFERROR(__xludf.DUMMYFUNCTION("""COMPUTED_VALUE"""),45838.6458333333)</f>
        <v>45838.6458333333</v>
      </c>
      <c r="B67" s="48">
        <f>IFERROR(__xludf.DUMMYFUNCTION("""COMPUTED_VALUE"""),1020.5)</f>
        <v>1020.5</v>
      </c>
      <c r="C67" s="47">
        <f>IFERROR(__xludf.DUMMYFUNCTION("""COMPUTED_VALUE"""),45838.6458333333)</f>
        <v>45838.6458333333</v>
      </c>
      <c r="D67" s="48">
        <f>IFERROR(__xludf.DUMMYFUNCTION("""COMPUTED_VALUE"""),1033.05)</f>
        <v>1033.05</v>
      </c>
      <c r="E67" s="47">
        <f>IFERROR(__xludf.DUMMYFUNCTION("""COMPUTED_VALUE"""),45838.6458333333)</f>
        <v>45838.6458333333</v>
      </c>
      <c r="F67" s="48">
        <f>IFERROR(__xludf.DUMMYFUNCTION("""COMPUTED_VALUE"""),765716)</f>
        <v>765716</v>
      </c>
      <c r="G67" s="47">
        <f>IFERROR(__xludf.DUMMYFUNCTION("""COMPUTED_VALUE"""),45838.6458333333)</f>
        <v>45838.6458333333</v>
      </c>
      <c r="H67" s="48">
        <f>IFERROR(__xludf.DUMMYFUNCTION("""COMPUTED_VALUE"""),1033.1)</f>
        <v>1033.1</v>
      </c>
      <c r="I67" s="47">
        <f>IFERROR(__xludf.DUMMYFUNCTION("""COMPUTED_VALUE"""),45838.6458333333)</f>
        <v>45838.6458333333</v>
      </c>
      <c r="J67" s="48">
        <f>IFERROR(__xludf.DUMMYFUNCTION("""COMPUTED_VALUE"""),1014.5)</f>
        <v>1014.5</v>
      </c>
      <c r="K67" s="3">
        <f t="shared" si="2"/>
        <v>0</v>
      </c>
      <c r="L67" s="3">
        <f t="shared" si="3"/>
        <v>0</v>
      </c>
    </row>
    <row r="68" customHeight="1" spans="1:12">
      <c r="A68" s="47">
        <f>IFERROR(__xludf.DUMMYFUNCTION("""COMPUTED_VALUE"""),45839.6458333333)</f>
        <v>45839.6458333333</v>
      </c>
      <c r="B68" s="48">
        <f>IFERROR(__xludf.DUMMYFUNCTION("""COMPUTED_VALUE"""),1029.6)</f>
        <v>1029.6</v>
      </c>
      <c r="C68" s="47">
        <f>IFERROR(__xludf.DUMMYFUNCTION("""COMPUTED_VALUE"""),45839.6458333333)</f>
        <v>45839.6458333333</v>
      </c>
      <c r="D68" s="48">
        <f>IFERROR(__xludf.DUMMYFUNCTION("""COMPUTED_VALUE"""),1023.7)</f>
        <v>1023.7</v>
      </c>
      <c r="E68" s="47">
        <f>IFERROR(__xludf.DUMMYFUNCTION("""COMPUTED_VALUE"""),45839.6458333333)</f>
        <v>45839.6458333333</v>
      </c>
      <c r="F68" s="48">
        <f>IFERROR(__xludf.DUMMYFUNCTION("""COMPUTED_VALUE"""),988673)</f>
        <v>988673</v>
      </c>
      <c r="G68" s="47">
        <f>IFERROR(__xludf.DUMMYFUNCTION("""COMPUTED_VALUE"""),45839.6458333333)</f>
        <v>45839.6458333333</v>
      </c>
      <c r="H68" s="48">
        <f>IFERROR(__xludf.DUMMYFUNCTION("""COMPUTED_VALUE"""),1031.6)</f>
        <v>1031.6</v>
      </c>
      <c r="I68" s="47">
        <f>IFERROR(__xludf.DUMMYFUNCTION("""COMPUTED_VALUE"""),45839.6458333333)</f>
        <v>45839.6458333333</v>
      </c>
      <c r="J68" s="48">
        <f>IFERROR(__xludf.DUMMYFUNCTION("""COMPUTED_VALUE"""),1016.2)</f>
        <v>1016.2</v>
      </c>
      <c r="K68" s="3">
        <f t="shared" si="2"/>
        <v>0</v>
      </c>
      <c r="L68" s="3">
        <f t="shared" si="3"/>
        <v>0</v>
      </c>
    </row>
    <row r="69" customHeight="1" spans="1:12">
      <c r="A69" s="47">
        <f>IFERROR(__xludf.DUMMYFUNCTION("""COMPUTED_VALUE"""),45840.6458333333)</f>
        <v>45840.6458333333</v>
      </c>
      <c r="B69" s="48">
        <f>IFERROR(__xludf.DUMMYFUNCTION("""COMPUTED_VALUE"""),1059.9)</f>
        <v>1059.9</v>
      </c>
      <c r="C69" s="47">
        <f>IFERROR(__xludf.DUMMYFUNCTION("""COMPUTED_VALUE"""),45840.6458333333)</f>
        <v>45840.6458333333</v>
      </c>
      <c r="D69" s="48">
        <f>IFERROR(__xludf.DUMMYFUNCTION("""COMPUTED_VALUE"""),1031)</f>
        <v>1031</v>
      </c>
      <c r="E69" s="47">
        <f>IFERROR(__xludf.DUMMYFUNCTION("""COMPUTED_VALUE"""),45840.6458333333)</f>
        <v>45840.6458333333</v>
      </c>
      <c r="F69" s="48">
        <f>IFERROR(__xludf.DUMMYFUNCTION("""COMPUTED_VALUE"""),3166924)</f>
        <v>3166924</v>
      </c>
      <c r="G69" s="47">
        <f>IFERROR(__xludf.DUMMYFUNCTION("""COMPUTED_VALUE"""),45840.6458333333)</f>
        <v>45840.6458333333</v>
      </c>
      <c r="H69" s="48">
        <f>IFERROR(__xludf.DUMMYFUNCTION("""COMPUTED_VALUE"""),1064.9)</f>
        <v>1064.9</v>
      </c>
      <c r="I69" s="47">
        <f>IFERROR(__xludf.DUMMYFUNCTION("""COMPUTED_VALUE"""),45840.6458333333)</f>
        <v>45840.6458333333</v>
      </c>
      <c r="J69" s="48">
        <f>IFERROR(__xludf.DUMMYFUNCTION("""COMPUTED_VALUE"""),1031)</f>
        <v>1031</v>
      </c>
      <c r="K69" s="3">
        <f t="shared" si="2"/>
        <v>1059.9</v>
      </c>
      <c r="L69" s="3">
        <f t="shared" si="3"/>
        <v>0</v>
      </c>
    </row>
    <row r="70" customHeight="1" spans="1:12">
      <c r="A70" s="47">
        <f>IFERROR(__xludf.DUMMYFUNCTION("""COMPUTED_VALUE"""),45841.6458333333)</f>
        <v>45841.6458333333</v>
      </c>
      <c r="B70" s="48">
        <f>IFERROR(__xludf.DUMMYFUNCTION("""COMPUTED_VALUE"""),1046.1)</f>
        <v>1046.1</v>
      </c>
      <c r="C70" s="47">
        <f>IFERROR(__xludf.DUMMYFUNCTION("""COMPUTED_VALUE"""),45841.6458333333)</f>
        <v>45841.6458333333</v>
      </c>
      <c r="D70" s="48">
        <f>IFERROR(__xludf.DUMMYFUNCTION("""COMPUTED_VALUE"""),1065)</f>
        <v>1065</v>
      </c>
      <c r="E70" s="47">
        <f>IFERROR(__xludf.DUMMYFUNCTION("""COMPUTED_VALUE"""),45841.6458333333)</f>
        <v>45841.6458333333</v>
      </c>
      <c r="F70" s="48">
        <f>IFERROR(__xludf.DUMMYFUNCTION("""COMPUTED_VALUE"""),1703765)</f>
        <v>1703765</v>
      </c>
      <c r="G70" s="47">
        <f>IFERROR(__xludf.DUMMYFUNCTION("""COMPUTED_VALUE"""),45841.6458333333)</f>
        <v>45841.6458333333</v>
      </c>
      <c r="H70" s="48">
        <f>IFERROR(__xludf.DUMMYFUNCTION("""COMPUTED_VALUE"""),1067.8)</f>
        <v>1067.8</v>
      </c>
      <c r="I70" s="47">
        <f>IFERROR(__xludf.DUMMYFUNCTION("""COMPUTED_VALUE"""),45841.6458333333)</f>
        <v>45841.6458333333</v>
      </c>
      <c r="J70" s="48">
        <f>IFERROR(__xludf.DUMMYFUNCTION("""COMPUTED_VALUE"""),1042.6)</f>
        <v>1042.6</v>
      </c>
      <c r="K70" s="3">
        <f t="shared" si="2"/>
        <v>0</v>
      </c>
      <c r="L70" s="3">
        <f t="shared" si="3"/>
        <v>0</v>
      </c>
    </row>
    <row r="71" customHeight="1" spans="1:12">
      <c r="A71" s="47">
        <f>IFERROR(__xludf.DUMMYFUNCTION("""COMPUTED_VALUE"""),45842.6458333333)</f>
        <v>45842.6458333333</v>
      </c>
      <c r="B71" s="48">
        <f>IFERROR(__xludf.DUMMYFUNCTION("""COMPUTED_VALUE"""),1041.4)</f>
        <v>1041.4</v>
      </c>
      <c r="C71" s="47">
        <f>IFERROR(__xludf.DUMMYFUNCTION("""COMPUTED_VALUE"""),45842.6458333333)</f>
        <v>45842.6458333333</v>
      </c>
      <c r="D71" s="48">
        <f>IFERROR(__xludf.DUMMYFUNCTION("""COMPUTED_VALUE"""),1051.7)</f>
        <v>1051.7</v>
      </c>
      <c r="E71" s="47">
        <f>IFERROR(__xludf.DUMMYFUNCTION("""COMPUTED_VALUE"""),45842.6458333333)</f>
        <v>45842.6458333333</v>
      </c>
      <c r="F71" s="48">
        <f>IFERROR(__xludf.DUMMYFUNCTION("""COMPUTED_VALUE"""),961108)</f>
        <v>961108</v>
      </c>
      <c r="G71" s="47">
        <f>IFERROR(__xludf.DUMMYFUNCTION("""COMPUTED_VALUE"""),45842.6458333333)</f>
        <v>45842.6458333333</v>
      </c>
      <c r="H71" s="48">
        <f>IFERROR(__xludf.DUMMYFUNCTION("""COMPUTED_VALUE"""),1051.7)</f>
        <v>1051.7</v>
      </c>
      <c r="I71" s="47">
        <f>IFERROR(__xludf.DUMMYFUNCTION("""COMPUTED_VALUE"""),45842.6458333333)</f>
        <v>45842.6458333333</v>
      </c>
      <c r="J71" s="48">
        <f>IFERROR(__xludf.DUMMYFUNCTION("""COMPUTED_VALUE"""),1032.1)</f>
        <v>1032.1</v>
      </c>
      <c r="K71" s="3">
        <f t="shared" si="2"/>
        <v>0</v>
      </c>
      <c r="L71" s="3">
        <f t="shared" si="3"/>
        <v>0</v>
      </c>
    </row>
    <row r="72" customHeight="1" spans="1:12">
      <c r="A72" s="47">
        <f>IFERROR(__xludf.DUMMYFUNCTION("""COMPUTED_VALUE"""),45845.6458333333)</f>
        <v>45845.6458333333</v>
      </c>
      <c r="B72" s="48">
        <f>IFERROR(__xludf.DUMMYFUNCTION("""COMPUTED_VALUE"""),1042.6)</f>
        <v>1042.6</v>
      </c>
      <c r="C72" s="47">
        <f>IFERROR(__xludf.DUMMYFUNCTION("""COMPUTED_VALUE"""),45845.6458333333)</f>
        <v>45845.6458333333</v>
      </c>
      <c r="D72" s="48">
        <f>IFERROR(__xludf.DUMMYFUNCTION("""COMPUTED_VALUE"""),1041)</f>
        <v>1041</v>
      </c>
      <c r="E72" s="47">
        <f>IFERROR(__xludf.DUMMYFUNCTION("""COMPUTED_VALUE"""),45845.6458333333)</f>
        <v>45845.6458333333</v>
      </c>
      <c r="F72" s="48">
        <f>IFERROR(__xludf.DUMMYFUNCTION("""COMPUTED_VALUE"""),871937)</f>
        <v>871937</v>
      </c>
      <c r="G72" s="47">
        <f>IFERROR(__xludf.DUMMYFUNCTION("""COMPUTED_VALUE"""),45845.6458333333)</f>
        <v>45845.6458333333</v>
      </c>
      <c r="H72" s="48">
        <f>IFERROR(__xludf.DUMMYFUNCTION("""COMPUTED_VALUE"""),1045)</f>
        <v>1045</v>
      </c>
      <c r="I72" s="47">
        <f>IFERROR(__xludf.DUMMYFUNCTION("""COMPUTED_VALUE"""),45845.6458333333)</f>
        <v>45845.6458333333</v>
      </c>
      <c r="J72" s="48">
        <f>IFERROR(__xludf.DUMMYFUNCTION("""COMPUTED_VALUE"""),1035.3)</f>
        <v>1035.3</v>
      </c>
      <c r="K72" s="3">
        <f t="shared" si="2"/>
        <v>0</v>
      </c>
      <c r="L72" s="3">
        <f t="shared" si="3"/>
        <v>0</v>
      </c>
    </row>
    <row r="73" customHeight="1" spans="1:12">
      <c r="A73" s="47">
        <f>IFERROR(__xludf.DUMMYFUNCTION("""COMPUTED_VALUE"""),45846.6458333333)</f>
        <v>45846.6458333333</v>
      </c>
      <c r="B73" s="48">
        <f>IFERROR(__xludf.DUMMYFUNCTION("""COMPUTED_VALUE"""),1045)</f>
        <v>1045</v>
      </c>
      <c r="C73" s="47">
        <f>IFERROR(__xludf.DUMMYFUNCTION("""COMPUTED_VALUE"""),45846.6458333333)</f>
        <v>45846.6458333333</v>
      </c>
      <c r="D73" s="48">
        <f>IFERROR(__xludf.DUMMYFUNCTION("""COMPUTED_VALUE"""),1042)</f>
        <v>1042</v>
      </c>
      <c r="E73" s="47">
        <f>IFERROR(__xludf.DUMMYFUNCTION("""COMPUTED_VALUE"""),45846.6458333333)</f>
        <v>45846.6458333333</v>
      </c>
      <c r="F73" s="48">
        <f>IFERROR(__xludf.DUMMYFUNCTION("""COMPUTED_VALUE"""),828011)</f>
        <v>828011</v>
      </c>
      <c r="G73" s="47">
        <f>IFERROR(__xludf.DUMMYFUNCTION("""COMPUTED_VALUE"""),45846.6458333333)</f>
        <v>45846.6458333333</v>
      </c>
      <c r="H73" s="48">
        <f>IFERROR(__xludf.DUMMYFUNCTION("""COMPUTED_VALUE"""),1049.6)</f>
        <v>1049.6</v>
      </c>
      <c r="I73" s="47">
        <f>IFERROR(__xludf.DUMMYFUNCTION("""COMPUTED_VALUE"""),45846.6458333333)</f>
        <v>45846.6458333333</v>
      </c>
      <c r="J73" s="48">
        <f>IFERROR(__xludf.DUMMYFUNCTION("""COMPUTED_VALUE"""),1039.3)</f>
        <v>1039.3</v>
      </c>
      <c r="K73" s="3">
        <f t="shared" si="2"/>
        <v>0</v>
      </c>
      <c r="L73" s="3">
        <f t="shared" si="3"/>
        <v>0</v>
      </c>
    </row>
    <row r="74" customHeight="1" spans="1:12">
      <c r="A74" s="47">
        <f>IFERROR(__xludf.DUMMYFUNCTION("""COMPUTED_VALUE"""),45847.6458333333)</f>
        <v>45847.6458333333</v>
      </c>
      <c r="B74" s="48">
        <f>IFERROR(__xludf.DUMMYFUNCTION("""COMPUTED_VALUE"""),1040.4)</f>
        <v>1040.4</v>
      </c>
      <c r="C74" s="47">
        <f>IFERROR(__xludf.DUMMYFUNCTION("""COMPUTED_VALUE"""),45847.6458333333)</f>
        <v>45847.6458333333</v>
      </c>
      <c r="D74" s="48">
        <f>IFERROR(__xludf.DUMMYFUNCTION("""COMPUTED_VALUE"""),1051.7)</f>
        <v>1051.7</v>
      </c>
      <c r="E74" s="47">
        <f>IFERROR(__xludf.DUMMYFUNCTION("""COMPUTED_VALUE"""),45847.6458333333)</f>
        <v>45847.6458333333</v>
      </c>
      <c r="F74" s="48">
        <f>IFERROR(__xludf.DUMMYFUNCTION("""COMPUTED_VALUE"""),1666607)</f>
        <v>1666607</v>
      </c>
      <c r="G74" s="47">
        <f>IFERROR(__xludf.DUMMYFUNCTION("""COMPUTED_VALUE"""),45847.6458333333)</f>
        <v>45847.6458333333</v>
      </c>
      <c r="H74" s="48">
        <f>IFERROR(__xludf.DUMMYFUNCTION("""COMPUTED_VALUE"""),1052)</f>
        <v>1052</v>
      </c>
      <c r="I74" s="47">
        <f>IFERROR(__xludf.DUMMYFUNCTION("""COMPUTED_VALUE"""),45847.6458333333)</f>
        <v>45847.6458333333</v>
      </c>
      <c r="J74" s="48">
        <f>IFERROR(__xludf.DUMMYFUNCTION("""COMPUTED_VALUE"""),1033.4)</f>
        <v>1033.4</v>
      </c>
      <c r="K74" s="3">
        <f t="shared" si="2"/>
        <v>0</v>
      </c>
      <c r="L74" s="3">
        <f t="shared" si="3"/>
        <v>0</v>
      </c>
    </row>
    <row r="75" customHeight="1" spans="1:12">
      <c r="A75" s="47">
        <f>IFERROR(__xludf.DUMMYFUNCTION("""COMPUTED_VALUE"""),45848.6458333333)</f>
        <v>45848.6458333333</v>
      </c>
      <c r="B75" s="48">
        <f>IFERROR(__xludf.DUMMYFUNCTION("""COMPUTED_VALUE"""),1043.3)</f>
        <v>1043.3</v>
      </c>
      <c r="C75" s="47">
        <f>IFERROR(__xludf.DUMMYFUNCTION("""COMPUTED_VALUE"""),45848.6458333333)</f>
        <v>45848.6458333333</v>
      </c>
      <c r="D75" s="48">
        <f>IFERROR(__xludf.DUMMYFUNCTION("""COMPUTED_VALUE"""),1040.9)</f>
        <v>1040.9</v>
      </c>
      <c r="E75" s="47">
        <f>IFERROR(__xludf.DUMMYFUNCTION("""COMPUTED_VALUE"""),45848.6458333333)</f>
        <v>45848.6458333333</v>
      </c>
      <c r="F75" s="48">
        <f>IFERROR(__xludf.DUMMYFUNCTION("""COMPUTED_VALUE"""),1101654)</f>
        <v>1101654</v>
      </c>
      <c r="G75" s="47">
        <f>IFERROR(__xludf.DUMMYFUNCTION("""COMPUTED_VALUE"""),45848.6458333333)</f>
        <v>45848.6458333333</v>
      </c>
      <c r="H75" s="48">
        <f>IFERROR(__xludf.DUMMYFUNCTION("""COMPUTED_VALUE"""),1049.6)</f>
        <v>1049.6</v>
      </c>
      <c r="I75" s="47">
        <f>IFERROR(__xludf.DUMMYFUNCTION("""COMPUTED_VALUE"""),45848.6458333333)</f>
        <v>45848.6458333333</v>
      </c>
      <c r="J75" s="48">
        <f>IFERROR(__xludf.DUMMYFUNCTION("""COMPUTED_VALUE"""),1034.1)</f>
        <v>1034.1</v>
      </c>
      <c r="K75" s="3">
        <f t="shared" si="2"/>
        <v>0</v>
      </c>
      <c r="L75" s="3">
        <f t="shared" si="3"/>
        <v>0</v>
      </c>
    </row>
    <row r="76" customHeight="1" spans="1:12">
      <c r="A76" s="47">
        <f>IFERROR(__xludf.DUMMYFUNCTION("""COMPUTED_VALUE"""),45849.6458333333)</f>
        <v>45849.6458333333</v>
      </c>
      <c r="B76" s="48">
        <f>IFERROR(__xludf.DUMMYFUNCTION("""COMPUTED_VALUE"""),1037.2)</f>
        <v>1037.2</v>
      </c>
      <c r="C76" s="47">
        <f>IFERROR(__xludf.DUMMYFUNCTION("""COMPUTED_VALUE"""),45849.6458333333)</f>
        <v>45849.6458333333</v>
      </c>
      <c r="D76" s="48">
        <f>IFERROR(__xludf.DUMMYFUNCTION("""COMPUTED_VALUE"""),1043)</f>
        <v>1043</v>
      </c>
      <c r="E76" s="47">
        <f>IFERROR(__xludf.DUMMYFUNCTION("""COMPUTED_VALUE"""),45849.6458333333)</f>
        <v>45849.6458333333</v>
      </c>
      <c r="F76" s="48">
        <f>IFERROR(__xludf.DUMMYFUNCTION("""COMPUTED_VALUE"""),931901)</f>
        <v>931901</v>
      </c>
      <c r="G76" s="47">
        <f>IFERROR(__xludf.DUMMYFUNCTION("""COMPUTED_VALUE"""),45849.6458333333)</f>
        <v>45849.6458333333</v>
      </c>
      <c r="H76" s="48">
        <f>IFERROR(__xludf.DUMMYFUNCTION("""COMPUTED_VALUE"""),1051.2)</f>
        <v>1051.2</v>
      </c>
      <c r="I76" s="47">
        <f>IFERROR(__xludf.DUMMYFUNCTION("""COMPUTED_VALUE"""),45849.6458333333)</f>
        <v>45849.6458333333</v>
      </c>
      <c r="J76" s="48">
        <f>IFERROR(__xludf.DUMMYFUNCTION("""COMPUTED_VALUE"""),1034.1)</f>
        <v>1034.1</v>
      </c>
      <c r="K76" s="3">
        <f t="shared" si="2"/>
        <v>0</v>
      </c>
      <c r="L76" s="3">
        <f t="shared" si="3"/>
        <v>0</v>
      </c>
    </row>
    <row r="77" customHeight="1" spans="1:12">
      <c r="A77" s="47">
        <f>IFERROR(__xludf.DUMMYFUNCTION("""COMPUTED_VALUE"""),45852.6458333333)</f>
        <v>45852.6458333333</v>
      </c>
      <c r="B77" s="48">
        <f>IFERROR(__xludf.DUMMYFUNCTION("""COMPUTED_VALUE"""),1038.9)</f>
        <v>1038.9</v>
      </c>
      <c r="C77" s="47">
        <f>IFERROR(__xludf.DUMMYFUNCTION("""COMPUTED_VALUE"""),45852.6458333333)</f>
        <v>45852.6458333333</v>
      </c>
      <c r="D77" s="48">
        <f>IFERROR(__xludf.DUMMYFUNCTION("""COMPUTED_VALUE"""),1040)</f>
        <v>1040</v>
      </c>
      <c r="E77" s="47">
        <f>IFERROR(__xludf.DUMMYFUNCTION("""COMPUTED_VALUE"""),45852.6458333333)</f>
        <v>45852.6458333333</v>
      </c>
      <c r="F77" s="48">
        <f>IFERROR(__xludf.DUMMYFUNCTION("""COMPUTED_VALUE"""),1238524)</f>
        <v>1238524</v>
      </c>
      <c r="G77" s="47">
        <f>IFERROR(__xludf.DUMMYFUNCTION("""COMPUTED_VALUE"""),45852.6458333333)</f>
        <v>45852.6458333333</v>
      </c>
      <c r="H77" s="48">
        <f>IFERROR(__xludf.DUMMYFUNCTION("""COMPUTED_VALUE"""),1044.9)</f>
        <v>1044.9</v>
      </c>
      <c r="I77" s="47">
        <f>IFERROR(__xludf.DUMMYFUNCTION("""COMPUTED_VALUE"""),45852.6458333333)</f>
        <v>45852.6458333333</v>
      </c>
      <c r="J77" s="48">
        <f>IFERROR(__xludf.DUMMYFUNCTION("""COMPUTED_VALUE"""),1031.8)</f>
        <v>1031.8</v>
      </c>
      <c r="K77" s="3">
        <f t="shared" si="2"/>
        <v>0</v>
      </c>
      <c r="L77" s="3">
        <f t="shared" si="3"/>
        <v>0</v>
      </c>
    </row>
    <row r="78" customHeight="1" spans="1:12">
      <c r="A78" s="47">
        <f>IFERROR(__xludf.DUMMYFUNCTION("""COMPUTED_VALUE"""),45853.6458333333)</f>
        <v>45853.6458333333</v>
      </c>
      <c r="B78" s="48">
        <f>IFERROR(__xludf.DUMMYFUNCTION("""COMPUTED_VALUE"""),1035)</f>
        <v>1035</v>
      </c>
      <c r="C78" s="47">
        <f>IFERROR(__xludf.DUMMYFUNCTION("""COMPUTED_VALUE"""),45853.6458333333)</f>
        <v>45853.6458333333</v>
      </c>
      <c r="D78" s="48">
        <f>IFERROR(__xludf.DUMMYFUNCTION("""COMPUTED_VALUE"""),1044.7)</f>
        <v>1044.7</v>
      </c>
      <c r="E78" s="47">
        <f>IFERROR(__xludf.DUMMYFUNCTION("""COMPUTED_VALUE"""),45853.6458333333)</f>
        <v>45853.6458333333</v>
      </c>
      <c r="F78" s="48">
        <f>IFERROR(__xludf.DUMMYFUNCTION("""COMPUTED_VALUE"""),982842)</f>
        <v>982842</v>
      </c>
      <c r="G78" s="47">
        <f>IFERROR(__xludf.DUMMYFUNCTION("""COMPUTED_VALUE"""),45853.6458333333)</f>
        <v>45853.6458333333</v>
      </c>
      <c r="H78" s="48">
        <f>IFERROR(__xludf.DUMMYFUNCTION("""COMPUTED_VALUE"""),1044.7)</f>
        <v>1044.7</v>
      </c>
      <c r="I78" s="47">
        <f>IFERROR(__xludf.DUMMYFUNCTION("""COMPUTED_VALUE"""),45853.6458333333)</f>
        <v>45853.6458333333</v>
      </c>
      <c r="J78" s="48">
        <f>IFERROR(__xludf.DUMMYFUNCTION("""COMPUTED_VALUE"""),1028.2)</f>
        <v>1028.2</v>
      </c>
      <c r="K78" s="3">
        <f t="shared" si="2"/>
        <v>0</v>
      </c>
      <c r="L78" s="3">
        <f t="shared" si="3"/>
        <v>0</v>
      </c>
    </row>
    <row r="79" customHeight="1" spans="1:12">
      <c r="A79" s="47">
        <f>IFERROR(__xludf.DUMMYFUNCTION("""COMPUTED_VALUE"""),45854.6458333333)</f>
        <v>45854.6458333333</v>
      </c>
      <c r="B79" s="48">
        <f>IFERROR(__xludf.DUMMYFUNCTION("""COMPUTED_VALUE"""),1029.8)</f>
        <v>1029.8</v>
      </c>
      <c r="C79" s="47">
        <f>IFERROR(__xludf.DUMMYFUNCTION("""COMPUTED_VALUE"""),45854.6458333333)</f>
        <v>45854.6458333333</v>
      </c>
      <c r="D79" s="48">
        <f>IFERROR(__xludf.DUMMYFUNCTION("""COMPUTED_VALUE"""),1034)</f>
        <v>1034</v>
      </c>
      <c r="E79" s="47">
        <f>IFERROR(__xludf.DUMMYFUNCTION("""COMPUTED_VALUE"""),45854.6458333333)</f>
        <v>45854.6458333333</v>
      </c>
      <c r="F79" s="48">
        <f>IFERROR(__xludf.DUMMYFUNCTION("""COMPUTED_VALUE"""),1099243)</f>
        <v>1099243</v>
      </c>
      <c r="G79" s="47">
        <f>IFERROR(__xludf.DUMMYFUNCTION("""COMPUTED_VALUE"""),45854.6458333333)</f>
        <v>45854.6458333333</v>
      </c>
      <c r="H79" s="48">
        <f>IFERROR(__xludf.DUMMYFUNCTION("""COMPUTED_VALUE"""),1035)</f>
        <v>1035</v>
      </c>
      <c r="I79" s="47">
        <f>IFERROR(__xludf.DUMMYFUNCTION("""COMPUTED_VALUE"""),45854.6458333333)</f>
        <v>45854.6458333333</v>
      </c>
      <c r="J79" s="48">
        <f>IFERROR(__xludf.DUMMYFUNCTION("""COMPUTED_VALUE"""),1020.5)</f>
        <v>1020.5</v>
      </c>
      <c r="K79" s="3">
        <f t="shared" si="2"/>
        <v>0</v>
      </c>
      <c r="L79" s="3">
        <f t="shared" si="3"/>
        <v>1029.8</v>
      </c>
    </row>
    <row r="80" customHeight="1" spans="1:12">
      <c r="A80" s="47">
        <f>IFERROR(__xludf.DUMMYFUNCTION("""COMPUTED_VALUE"""),45855.6458333333)</f>
        <v>45855.6458333333</v>
      </c>
      <c r="B80" s="48">
        <f>IFERROR(__xludf.DUMMYFUNCTION("""COMPUTED_VALUE"""),1034.2)</f>
        <v>1034.2</v>
      </c>
      <c r="C80" s="47">
        <f>IFERROR(__xludf.DUMMYFUNCTION("""COMPUTED_VALUE"""),45855.6458333333)</f>
        <v>45855.6458333333</v>
      </c>
      <c r="D80" s="48">
        <f>IFERROR(__xludf.DUMMYFUNCTION("""COMPUTED_VALUE"""),1030.5)</f>
        <v>1030.5</v>
      </c>
      <c r="E80" s="47">
        <f>IFERROR(__xludf.DUMMYFUNCTION("""COMPUTED_VALUE"""),45855.6458333333)</f>
        <v>45855.6458333333</v>
      </c>
      <c r="F80" s="48">
        <f>IFERROR(__xludf.DUMMYFUNCTION("""COMPUTED_VALUE"""),1553977)</f>
        <v>1553977</v>
      </c>
      <c r="G80" s="47">
        <f>IFERROR(__xludf.DUMMYFUNCTION("""COMPUTED_VALUE"""),45855.6458333333)</f>
        <v>45855.6458333333</v>
      </c>
      <c r="H80" s="48">
        <f>IFERROR(__xludf.DUMMYFUNCTION("""COMPUTED_VALUE"""),1041.7)</f>
        <v>1041.7</v>
      </c>
      <c r="I80" s="47">
        <f>IFERROR(__xludf.DUMMYFUNCTION("""COMPUTED_VALUE"""),45855.6458333333)</f>
        <v>45855.6458333333</v>
      </c>
      <c r="J80" s="48">
        <f>IFERROR(__xludf.DUMMYFUNCTION("""COMPUTED_VALUE"""),1023.5)</f>
        <v>1023.5</v>
      </c>
      <c r="K80" s="3">
        <f t="shared" si="2"/>
        <v>0</v>
      </c>
      <c r="L80" s="3">
        <f t="shared" si="3"/>
        <v>0</v>
      </c>
    </row>
    <row r="81" customHeight="1" spans="1:12">
      <c r="A81" s="47">
        <f>IFERROR(__xludf.DUMMYFUNCTION("""COMPUTED_VALUE"""),45856.6458333333)</f>
        <v>45856.6458333333</v>
      </c>
      <c r="B81" s="48">
        <f>IFERROR(__xludf.DUMMYFUNCTION("""COMPUTED_VALUE"""),1034.4)</f>
        <v>1034.4</v>
      </c>
      <c r="C81" s="47">
        <f>IFERROR(__xludf.DUMMYFUNCTION("""COMPUTED_VALUE"""),45856.6458333333)</f>
        <v>45856.6458333333</v>
      </c>
      <c r="D81" s="48">
        <f>IFERROR(__xludf.DUMMYFUNCTION("""COMPUTED_VALUE"""),1039)</f>
        <v>1039</v>
      </c>
      <c r="E81" s="47">
        <f>IFERROR(__xludf.DUMMYFUNCTION("""COMPUTED_VALUE"""),45856.6458333333)</f>
        <v>45856.6458333333</v>
      </c>
      <c r="F81" s="48">
        <f>IFERROR(__xludf.DUMMYFUNCTION("""COMPUTED_VALUE"""),1694015)</f>
        <v>1694015</v>
      </c>
      <c r="G81" s="47">
        <f>IFERROR(__xludf.DUMMYFUNCTION("""COMPUTED_VALUE"""),45856.6458333333)</f>
        <v>45856.6458333333</v>
      </c>
      <c r="H81" s="48">
        <f>IFERROR(__xludf.DUMMYFUNCTION("""COMPUTED_VALUE"""),1053.5)</f>
        <v>1053.5</v>
      </c>
      <c r="I81" s="47">
        <f>IFERROR(__xludf.DUMMYFUNCTION("""COMPUTED_VALUE"""),45856.6458333333)</f>
        <v>45856.6458333333</v>
      </c>
      <c r="J81" s="48">
        <f>IFERROR(__xludf.DUMMYFUNCTION("""COMPUTED_VALUE"""),1027)</f>
        <v>1027</v>
      </c>
      <c r="K81" s="3">
        <f t="shared" si="2"/>
        <v>0</v>
      </c>
      <c r="L81" s="3">
        <f t="shared" si="3"/>
        <v>0</v>
      </c>
    </row>
    <row r="82" customHeight="1" spans="1:12">
      <c r="A82" s="47">
        <f>IFERROR(__xludf.DUMMYFUNCTION("""COMPUTED_VALUE"""),45859.6458333333)</f>
        <v>45859.6458333333</v>
      </c>
      <c r="B82" s="48">
        <f>IFERROR(__xludf.DUMMYFUNCTION("""COMPUTED_VALUE"""),1034.8)</f>
        <v>1034.8</v>
      </c>
      <c r="C82" s="47">
        <f>IFERROR(__xludf.DUMMYFUNCTION("""COMPUTED_VALUE"""),45859.6458333333)</f>
        <v>45859.6458333333</v>
      </c>
      <c r="D82" s="48">
        <f>IFERROR(__xludf.DUMMYFUNCTION("""COMPUTED_VALUE"""),1051)</f>
        <v>1051</v>
      </c>
      <c r="E82" s="47">
        <f>IFERROR(__xludf.DUMMYFUNCTION("""COMPUTED_VALUE"""),45859.6458333333)</f>
        <v>45859.6458333333</v>
      </c>
      <c r="F82" s="48">
        <f>IFERROR(__xludf.DUMMYFUNCTION("""COMPUTED_VALUE"""),2771028)</f>
        <v>2771028</v>
      </c>
      <c r="G82" s="47">
        <f>IFERROR(__xludf.DUMMYFUNCTION("""COMPUTED_VALUE"""),45859.6458333333)</f>
        <v>45859.6458333333</v>
      </c>
      <c r="H82" s="48">
        <f>IFERROR(__xludf.DUMMYFUNCTION("""COMPUTED_VALUE"""),1053.5)</f>
        <v>1053.5</v>
      </c>
      <c r="I82" s="47">
        <f>IFERROR(__xludf.DUMMYFUNCTION("""COMPUTED_VALUE"""),45859.6458333333)</f>
        <v>45859.6458333333</v>
      </c>
      <c r="J82" s="48">
        <f>IFERROR(__xludf.DUMMYFUNCTION("""COMPUTED_VALUE"""),1018.3)</f>
        <v>1018.3</v>
      </c>
      <c r="K82" s="3">
        <f t="shared" si="2"/>
        <v>0</v>
      </c>
      <c r="L82" s="3">
        <f t="shared" si="3"/>
        <v>0</v>
      </c>
    </row>
    <row r="83" customHeight="1" spans="1:12">
      <c r="A83" s="47">
        <f>IFERROR(__xludf.DUMMYFUNCTION("""COMPUTED_VALUE"""),45860.6458333333)</f>
        <v>45860.6458333333</v>
      </c>
      <c r="B83" s="48">
        <f>IFERROR(__xludf.DUMMYFUNCTION("""COMPUTED_VALUE"""),1030.7)</f>
        <v>1030.7</v>
      </c>
      <c r="C83" s="47">
        <f>IFERROR(__xludf.DUMMYFUNCTION("""COMPUTED_VALUE"""),45860.6458333333)</f>
        <v>45860.6458333333</v>
      </c>
      <c r="D83" s="48">
        <f>IFERROR(__xludf.DUMMYFUNCTION("""COMPUTED_VALUE"""),1038.6)</f>
        <v>1038.6</v>
      </c>
      <c r="E83" s="47">
        <f>IFERROR(__xludf.DUMMYFUNCTION("""COMPUTED_VALUE"""),45860.6458333333)</f>
        <v>45860.6458333333</v>
      </c>
      <c r="F83" s="48">
        <f>IFERROR(__xludf.DUMMYFUNCTION("""COMPUTED_VALUE"""),1237568)</f>
        <v>1237568</v>
      </c>
      <c r="G83" s="47">
        <f>IFERROR(__xludf.DUMMYFUNCTION("""COMPUTED_VALUE"""),45860.6458333333)</f>
        <v>45860.6458333333</v>
      </c>
      <c r="H83" s="48">
        <f>IFERROR(__xludf.DUMMYFUNCTION("""COMPUTED_VALUE"""),1043.2)</f>
        <v>1043.2</v>
      </c>
      <c r="I83" s="47">
        <f>IFERROR(__xludf.DUMMYFUNCTION("""COMPUTED_VALUE"""),45860.6458333333)</f>
        <v>45860.6458333333</v>
      </c>
      <c r="J83" s="48">
        <f>IFERROR(__xludf.DUMMYFUNCTION("""COMPUTED_VALUE"""),1028.6)</f>
        <v>1028.6</v>
      </c>
      <c r="K83" s="3">
        <f t="shared" si="2"/>
        <v>0</v>
      </c>
      <c r="L83" s="3">
        <f t="shared" si="3"/>
        <v>0</v>
      </c>
    </row>
    <row r="84" customHeight="1" spans="1:12">
      <c r="A84" s="47">
        <f>IFERROR(__xludf.DUMMYFUNCTION("""COMPUTED_VALUE"""),45861.6458333333)</f>
        <v>45861.6458333333</v>
      </c>
      <c r="B84" s="48">
        <f>IFERROR(__xludf.DUMMYFUNCTION("""COMPUTED_VALUE"""),1033.8)</f>
        <v>1033.8</v>
      </c>
      <c r="C84" s="47">
        <f>IFERROR(__xludf.DUMMYFUNCTION("""COMPUTED_VALUE"""),45861.6458333333)</f>
        <v>45861.6458333333</v>
      </c>
      <c r="D84" s="48">
        <f>IFERROR(__xludf.DUMMYFUNCTION("""COMPUTED_VALUE"""),1034)</f>
        <v>1034</v>
      </c>
      <c r="E84" s="47">
        <f>IFERROR(__xludf.DUMMYFUNCTION("""COMPUTED_VALUE"""),45861.6458333333)</f>
        <v>45861.6458333333</v>
      </c>
      <c r="F84" s="48">
        <f>IFERROR(__xludf.DUMMYFUNCTION("""COMPUTED_VALUE"""),1192492)</f>
        <v>1192492</v>
      </c>
      <c r="G84" s="47">
        <f>IFERROR(__xludf.DUMMYFUNCTION("""COMPUTED_VALUE"""),45861.6458333333)</f>
        <v>45861.6458333333</v>
      </c>
      <c r="H84" s="48">
        <f>IFERROR(__xludf.DUMMYFUNCTION("""COMPUTED_VALUE"""),1037.8)</f>
        <v>1037.8</v>
      </c>
      <c r="I84" s="47">
        <f>IFERROR(__xludf.DUMMYFUNCTION("""COMPUTED_VALUE"""),45861.6458333333)</f>
        <v>45861.6458333333</v>
      </c>
      <c r="J84" s="48">
        <f>IFERROR(__xludf.DUMMYFUNCTION("""COMPUTED_VALUE"""),1025)</f>
        <v>1025</v>
      </c>
      <c r="K84" s="3">
        <f t="shared" si="2"/>
        <v>0</v>
      </c>
      <c r="L84" s="3">
        <f t="shared" si="3"/>
        <v>0</v>
      </c>
    </row>
    <row r="85" customHeight="1" spans="1:12">
      <c r="A85" s="47">
        <f>IFERROR(__xludf.DUMMYFUNCTION("""COMPUTED_VALUE"""),45862.6458333333)</f>
        <v>45862.6458333333</v>
      </c>
      <c r="B85" s="48">
        <f>IFERROR(__xludf.DUMMYFUNCTION("""COMPUTED_VALUE"""),1033.8)</f>
        <v>1033.8</v>
      </c>
      <c r="C85" s="47">
        <f>IFERROR(__xludf.DUMMYFUNCTION("""COMPUTED_VALUE"""),45862.6458333333)</f>
        <v>45862.6458333333</v>
      </c>
      <c r="D85" s="48">
        <f>IFERROR(__xludf.DUMMYFUNCTION("""COMPUTED_VALUE"""),1039)</f>
        <v>1039</v>
      </c>
      <c r="E85" s="47">
        <f>IFERROR(__xludf.DUMMYFUNCTION("""COMPUTED_VALUE"""),45862.6458333333)</f>
        <v>45862.6458333333</v>
      </c>
      <c r="F85" s="48">
        <f>IFERROR(__xludf.DUMMYFUNCTION("""COMPUTED_VALUE"""),1462398)</f>
        <v>1462398</v>
      </c>
      <c r="G85" s="47">
        <f>IFERROR(__xludf.DUMMYFUNCTION("""COMPUTED_VALUE"""),45862.6458333333)</f>
        <v>45862.6458333333</v>
      </c>
      <c r="H85" s="48">
        <f>IFERROR(__xludf.DUMMYFUNCTION("""COMPUTED_VALUE"""),1048.8)</f>
        <v>1048.8</v>
      </c>
      <c r="I85" s="47">
        <f>IFERROR(__xludf.DUMMYFUNCTION("""COMPUTED_VALUE"""),45862.6458333333)</f>
        <v>45862.6458333333</v>
      </c>
      <c r="J85" s="48">
        <f>IFERROR(__xludf.DUMMYFUNCTION("""COMPUTED_VALUE"""),1031.8)</f>
        <v>1031.8</v>
      </c>
      <c r="K85" s="3">
        <f t="shared" si="2"/>
        <v>0</v>
      </c>
      <c r="L85" s="3">
        <f t="shared" si="3"/>
        <v>0</v>
      </c>
    </row>
    <row r="86" customHeight="1" spans="1:12">
      <c r="A86" s="47">
        <f>IFERROR(__xludf.DUMMYFUNCTION("""COMPUTED_VALUE"""),45863.6458333333)</f>
        <v>45863.6458333333</v>
      </c>
      <c r="B86" s="48">
        <f>IFERROR(__xludf.DUMMYFUNCTION("""COMPUTED_VALUE"""),1026.9)</f>
        <v>1026.9</v>
      </c>
      <c r="C86" s="47">
        <f>IFERROR(__xludf.DUMMYFUNCTION("""COMPUTED_VALUE"""),45863.6458333333)</f>
        <v>45863.6458333333</v>
      </c>
      <c r="D86" s="48">
        <f>IFERROR(__xludf.DUMMYFUNCTION("""COMPUTED_VALUE"""),1033.8)</f>
        <v>1033.8</v>
      </c>
      <c r="E86" s="47">
        <f>IFERROR(__xludf.DUMMYFUNCTION("""COMPUTED_VALUE"""),45863.6458333333)</f>
        <v>45863.6458333333</v>
      </c>
      <c r="F86" s="48">
        <f>IFERROR(__xludf.DUMMYFUNCTION("""COMPUTED_VALUE"""),912255)</f>
        <v>912255</v>
      </c>
      <c r="G86" s="47">
        <f>IFERROR(__xludf.DUMMYFUNCTION("""COMPUTED_VALUE"""),45863.6458333333)</f>
        <v>45863.6458333333</v>
      </c>
      <c r="H86" s="48">
        <f>IFERROR(__xludf.DUMMYFUNCTION("""COMPUTED_VALUE"""),1035)</f>
        <v>1035</v>
      </c>
      <c r="I86" s="47">
        <f>IFERROR(__xludf.DUMMYFUNCTION("""COMPUTED_VALUE"""),45863.6458333333)</f>
        <v>45863.6458333333</v>
      </c>
      <c r="J86" s="48">
        <f>IFERROR(__xludf.DUMMYFUNCTION("""COMPUTED_VALUE"""),1020.1)</f>
        <v>1020.1</v>
      </c>
      <c r="K86" s="3">
        <f t="shared" si="2"/>
        <v>0</v>
      </c>
      <c r="L86" s="3">
        <f t="shared" si="3"/>
        <v>1026.9</v>
      </c>
    </row>
    <row r="87" customHeight="1" spans="1:12">
      <c r="A87" s="47">
        <f>IFERROR(__xludf.DUMMYFUNCTION("""COMPUTED_VALUE"""),45866.6458333333)</f>
        <v>45866.6458333333</v>
      </c>
      <c r="B87" s="48">
        <f>IFERROR(__xludf.DUMMYFUNCTION("""COMPUTED_VALUE"""),1028.8)</f>
        <v>1028.8</v>
      </c>
      <c r="C87" s="47">
        <f>IFERROR(__xludf.DUMMYFUNCTION("""COMPUTED_VALUE"""),45866.6458333333)</f>
        <v>45866.6458333333</v>
      </c>
      <c r="D87" s="48">
        <f>IFERROR(__xludf.DUMMYFUNCTION("""COMPUTED_VALUE"""),1029)</f>
        <v>1029</v>
      </c>
      <c r="E87" s="47">
        <f>IFERROR(__xludf.DUMMYFUNCTION("""COMPUTED_VALUE"""),45866.6458333333)</f>
        <v>45866.6458333333</v>
      </c>
      <c r="F87" s="48">
        <f>IFERROR(__xludf.DUMMYFUNCTION("""COMPUTED_VALUE"""),1839488)</f>
        <v>1839488</v>
      </c>
      <c r="G87" s="47">
        <f>IFERROR(__xludf.DUMMYFUNCTION("""COMPUTED_VALUE"""),45866.6458333333)</f>
        <v>45866.6458333333</v>
      </c>
      <c r="H87" s="48">
        <f>IFERROR(__xludf.DUMMYFUNCTION("""COMPUTED_VALUE"""),1034)</f>
        <v>1034</v>
      </c>
      <c r="I87" s="47">
        <f>IFERROR(__xludf.DUMMYFUNCTION("""COMPUTED_VALUE"""),45866.6458333333)</f>
        <v>45866.6458333333</v>
      </c>
      <c r="J87" s="48">
        <f>IFERROR(__xludf.DUMMYFUNCTION("""COMPUTED_VALUE"""),1017.4)</f>
        <v>1017.4</v>
      </c>
      <c r="K87" s="3">
        <f t="shared" si="2"/>
        <v>0</v>
      </c>
      <c r="L87" s="3">
        <f t="shared" si="3"/>
        <v>0</v>
      </c>
    </row>
    <row r="88" customHeight="1" spans="1:12">
      <c r="A88" s="47">
        <f>IFERROR(__xludf.DUMMYFUNCTION("""COMPUTED_VALUE"""),45867.6458333333)</f>
        <v>45867.6458333333</v>
      </c>
      <c r="B88" s="48">
        <f>IFERROR(__xludf.DUMMYFUNCTION("""COMPUTED_VALUE"""),1034.9)</f>
        <v>1034.9</v>
      </c>
      <c r="C88" s="47">
        <f>IFERROR(__xludf.DUMMYFUNCTION("""COMPUTED_VALUE"""),45867.6458333333)</f>
        <v>45867.6458333333</v>
      </c>
      <c r="D88" s="48">
        <f>IFERROR(__xludf.DUMMYFUNCTION("""COMPUTED_VALUE"""),1023.8)</f>
        <v>1023.8</v>
      </c>
      <c r="E88" s="47">
        <f>IFERROR(__xludf.DUMMYFUNCTION("""COMPUTED_VALUE"""),45867.6458333333)</f>
        <v>45867.6458333333</v>
      </c>
      <c r="F88" s="48">
        <f>IFERROR(__xludf.DUMMYFUNCTION("""COMPUTED_VALUE"""),2215340)</f>
        <v>2215340</v>
      </c>
      <c r="G88" s="47">
        <f>IFERROR(__xludf.DUMMYFUNCTION("""COMPUTED_VALUE"""),45867.6458333333)</f>
        <v>45867.6458333333</v>
      </c>
      <c r="H88" s="48">
        <f>IFERROR(__xludf.DUMMYFUNCTION("""COMPUTED_VALUE"""),1051.3)</f>
        <v>1051.3</v>
      </c>
      <c r="I88" s="47">
        <f>IFERROR(__xludf.DUMMYFUNCTION("""COMPUTED_VALUE"""),45867.6458333333)</f>
        <v>45867.6458333333</v>
      </c>
      <c r="J88" s="48">
        <f>IFERROR(__xludf.DUMMYFUNCTION("""COMPUTED_VALUE"""),1023.8)</f>
        <v>1023.8</v>
      </c>
      <c r="K88" s="3">
        <f t="shared" si="2"/>
        <v>0</v>
      </c>
      <c r="L88" s="3">
        <f t="shared" si="3"/>
        <v>0</v>
      </c>
    </row>
    <row r="89" customHeight="1" spans="1:12">
      <c r="A89" s="47">
        <f>IFERROR(__xludf.DUMMYFUNCTION("""COMPUTED_VALUE"""),45868.6458333333)</f>
        <v>45868.6458333333</v>
      </c>
      <c r="B89" s="48">
        <f>IFERROR(__xludf.DUMMYFUNCTION("""COMPUTED_VALUE"""),1037.9)</f>
        <v>1037.9</v>
      </c>
      <c r="C89" s="47">
        <f>IFERROR(__xludf.DUMMYFUNCTION("""COMPUTED_VALUE"""),45868.6458333333)</f>
        <v>45868.6458333333</v>
      </c>
      <c r="D89" s="48">
        <f>IFERROR(__xludf.DUMMYFUNCTION("""COMPUTED_VALUE"""),1046.4)</f>
        <v>1046.4</v>
      </c>
      <c r="E89" s="47">
        <f>IFERROR(__xludf.DUMMYFUNCTION("""COMPUTED_VALUE"""),45868.6458333333)</f>
        <v>45868.6458333333</v>
      </c>
      <c r="F89" s="48">
        <f>IFERROR(__xludf.DUMMYFUNCTION("""COMPUTED_VALUE"""),1781038)</f>
        <v>1781038</v>
      </c>
      <c r="G89" s="47">
        <f>IFERROR(__xludf.DUMMYFUNCTION("""COMPUTED_VALUE"""),45868.6458333333)</f>
        <v>45868.6458333333</v>
      </c>
      <c r="H89" s="48">
        <f>IFERROR(__xludf.DUMMYFUNCTION("""COMPUTED_VALUE"""),1052.3)</f>
        <v>1052.3</v>
      </c>
      <c r="I89" s="47">
        <f>IFERROR(__xludf.DUMMYFUNCTION("""COMPUTED_VALUE"""),45868.6458333333)</f>
        <v>45868.6458333333</v>
      </c>
      <c r="J89" s="48">
        <f>IFERROR(__xludf.DUMMYFUNCTION("""COMPUTED_VALUE"""),1031.7)</f>
        <v>1031.7</v>
      </c>
      <c r="K89" s="3">
        <f t="shared" si="2"/>
        <v>0</v>
      </c>
      <c r="L89" s="3">
        <f t="shared" si="3"/>
        <v>0</v>
      </c>
    </row>
    <row r="90" customHeight="1" spans="1:12">
      <c r="A90" s="47">
        <f>IFERROR(__xludf.DUMMYFUNCTION("""COMPUTED_VALUE"""),45869.6458333333)</f>
        <v>45869.6458333333</v>
      </c>
      <c r="B90" s="48">
        <f>IFERROR(__xludf.DUMMYFUNCTION("""COMPUTED_VALUE"""),1048.3)</f>
        <v>1048.3</v>
      </c>
      <c r="C90" s="47">
        <f>IFERROR(__xludf.DUMMYFUNCTION("""COMPUTED_VALUE"""),45869.6458333333)</f>
        <v>45869.6458333333</v>
      </c>
      <c r="D90" s="48">
        <f>IFERROR(__xludf.DUMMYFUNCTION("""COMPUTED_VALUE"""),1018)</f>
        <v>1018</v>
      </c>
      <c r="E90" s="47">
        <f>IFERROR(__xludf.DUMMYFUNCTION("""COMPUTED_VALUE"""),45869.6458333333)</f>
        <v>45869.6458333333</v>
      </c>
      <c r="F90" s="48">
        <f>IFERROR(__xludf.DUMMYFUNCTION("""COMPUTED_VALUE"""),3144726)</f>
        <v>3144726</v>
      </c>
      <c r="G90" s="47">
        <f>IFERROR(__xludf.DUMMYFUNCTION("""COMPUTED_VALUE"""),45869.6458333333)</f>
        <v>45869.6458333333</v>
      </c>
      <c r="H90" s="48">
        <f>IFERROR(__xludf.DUMMYFUNCTION("""COMPUTED_VALUE"""),1058.6)</f>
        <v>1058.6</v>
      </c>
      <c r="I90" s="47">
        <f>IFERROR(__xludf.DUMMYFUNCTION("""COMPUTED_VALUE"""),45869.6458333333)</f>
        <v>45869.6458333333</v>
      </c>
      <c r="J90" s="48">
        <f>IFERROR(__xludf.DUMMYFUNCTION("""COMPUTED_VALUE"""),1018)</f>
        <v>1018</v>
      </c>
      <c r="K90" s="3">
        <f t="shared" si="2"/>
        <v>0</v>
      </c>
      <c r="L90" s="3">
        <f t="shared" si="3"/>
        <v>0</v>
      </c>
    </row>
    <row r="91" customHeight="1" spans="1:12">
      <c r="A91" s="47">
        <f>IFERROR(__xludf.DUMMYFUNCTION("""COMPUTED_VALUE"""),45870.6458333333)</f>
        <v>45870.6458333333</v>
      </c>
      <c r="B91" s="48">
        <f>IFERROR(__xludf.DUMMYFUNCTION("""COMPUTED_VALUE"""),1027.8)</f>
        <v>1027.8</v>
      </c>
      <c r="C91" s="47">
        <f>IFERROR(__xludf.DUMMYFUNCTION("""COMPUTED_VALUE"""),45870.6458333333)</f>
        <v>45870.6458333333</v>
      </c>
      <c r="D91" s="48">
        <f>IFERROR(__xludf.DUMMYFUNCTION("""COMPUTED_VALUE"""),1054)</f>
        <v>1054</v>
      </c>
      <c r="E91" s="47">
        <f>IFERROR(__xludf.DUMMYFUNCTION("""COMPUTED_VALUE"""),45870.6458333333)</f>
        <v>45870.6458333333</v>
      </c>
      <c r="F91" s="48">
        <f>IFERROR(__xludf.DUMMYFUNCTION("""COMPUTED_VALUE"""),1604653)</f>
        <v>1604653</v>
      </c>
      <c r="G91" s="47">
        <f>IFERROR(__xludf.DUMMYFUNCTION("""COMPUTED_VALUE"""),45870.6458333333)</f>
        <v>45870.6458333333</v>
      </c>
      <c r="H91" s="48">
        <f>IFERROR(__xludf.DUMMYFUNCTION("""COMPUTED_VALUE"""),1054)</f>
        <v>1054</v>
      </c>
      <c r="I91" s="47">
        <f>IFERROR(__xludf.DUMMYFUNCTION("""COMPUTED_VALUE"""),45870.6458333333)</f>
        <v>45870.6458333333</v>
      </c>
      <c r="J91" s="48">
        <f>IFERROR(__xludf.DUMMYFUNCTION("""COMPUTED_VALUE"""),1023.6)</f>
        <v>1023.6</v>
      </c>
      <c r="K91" s="3">
        <f t="shared" si="2"/>
        <v>0</v>
      </c>
      <c r="L91" s="3">
        <f t="shared" si="3"/>
        <v>0</v>
      </c>
    </row>
    <row r="92" customHeight="1" spans="1:12">
      <c r="A92" s="47">
        <f>IFERROR(__xludf.DUMMYFUNCTION("""COMPUTED_VALUE"""),45873.6458333333)</f>
        <v>45873.6458333333</v>
      </c>
      <c r="B92" s="48">
        <f>IFERROR(__xludf.DUMMYFUNCTION("""COMPUTED_VALUE"""),1055.9)</f>
        <v>1055.9</v>
      </c>
      <c r="C92" s="47">
        <f>IFERROR(__xludf.DUMMYFUNCTION("""COMPUTED_VALUE"""),45873.6458333333)</f>
        <v>45873.6458333333</v>
      </c>
      <c r="D92" s="48">
        <f>IFERROR(__xludf.DUMMYFUNCTION("""COMPUTED_VALUE"""),1029.7)</f>
        <v>1029.7</v>
      </c>
      <c r="E92" s="47">
        <f>IFERROR(__xludf.DUMMYFUNCTION("""COMPUTED_VALUE"""),45873.6458333333)</f>
        <v>45873.6458333333</v>
      </c>
      <c r="F92" s="48">
        <f>IFERROR(__xludf.DUMMYFUNCTION("""COMPUTED_VALUE"""),1835680)</f>
        <v>1835680</v>
      </c>
      <c r="G92" s="47">
        <f>IFERROR(__xludf.DUMMYFUNCTION("""COMPUTED_VALUE"""),45873.6458333333)</f>
        <v>45873.6458333333</v>
      </c>
      <c r="H92" s="48">
        <f>IFERROR(__xludf.DUMMYFUNCTION("""COMPUTED_VALUE"""),1058.9)</f>
        <v>1058.9</v>
      </c>
      <c r="I92" s="47">
        <f>IFERROR(__xludf.DUMMYFUNCTION("""COMPUTED_VALUE"""),45873.6458333333)</f>
        <v>45873.6458333333</v>
      </c>
      <c r="J92" s="48">
        <f>IFERROR(__xludf.DUMMYFUNCTION("""COMPUTED_VALUE"""),1026.4)</f>
        <v>1026.4</v>
      </c>
      <c r="K92" s="3">
        <f t="shared" si="2"/>
        <v>0</v>
      </c>
      <c r="L92" s="3">
        <f t="shared" si="3"/>
        <v>0</v>
      </c>
    </row>
    <row r="93" customHeight="1" spans="1:12">
      <c r="A93" s="47">
        <f>IFERROR(__xludf.DUMMYFUNCTION("""COMPUTED_VALUE"""),45874.6458333333)</f>
        <v>45874.6458333333</v>
      </c>
      <c r="B93" s="48">
        <f>IFERROR(__xludf.DUMMYFUNCTION("""COMPUTED_VALUE"""),1053.4)</f>
        <v>1053.4</v>
      </c>
      <c r="C93" s="47">
        <f>IFERROR(__xludf.DUMMYFUNCTION("""COMPUTED_VALUE"""),45874.6458333333)</f>
        <v>45874.6458333333</v>
      </c>
      <c r="D93" s="48">
        <f>IFERROR(__xludf.DUMMYFUNCTION("""COMPUTED_VALUE"""),1059)</f>
        <v>1059</v>
      </c>
      <c r="E93" s="47">
        <f>IFERROR(__xludf.DUMMYFUNCTION("""COMPUTED_VALUE"""),45874.6458333333)</f>
        <v>45874.6458333333</v>
      </c>
      <c r="F93" s="48">
        <f>IFERROR(__xludf.DUMMYFUNCTION("""COMPUTED_VALUE"""),1524968)</f>
        <v>1524968</v>
      </c>
      <c r="G93" s="47">
        <f>IFERROR(__xludf.DUMMYFUNCTION("""COMPUTED_VALUE"""),45874.6458333333)</f>
        <v>45874.6458333333</v>
      </c>
      <c r="H93" s="48">
        <f>IFERROR(__xludf.DUMMYFUNCTION("""COMPUTED_VALUE"""),1063.4)</f>
        <v>1063.4</v>
      </c>
      <c r="I93" s="47">
        <f>IFERROR(__xludf.DUMMYFUNCTION("""COMPUTED_VALUE"""),45874.6458333333)</f>
        <v>45874.6458333333</v>
      </c>
      <c r="J93" s="48">
        <f>IFERROR(__xludf.DUMMYFUNCTION("""COMPUTED_VALUE"""),1048.7)</f>
        <v>1048.7</v>
      </c>
      <c r="K93" s="3">
        <f t="shared" si="2"/>
        <v>0</v>
      </c>
      <c r="L93" s="3">
        <f t="shared" si="3"/>
        <v>0</v>
      </c>
    </row>
    <row r="94" customHeight="1" spans="1:12">
      <c r="A94" s="47">
        <f>IFERROR(__xludf.DUMMYFUNCTION("""COMPUTED_VALUE"""),45875.6458333333)</f>
        <v>45875.6458333333</v>
      </c>
      <c r="B94" s="48">
        <f>IFERROR(__xludf.DUMMYFUNCTION("""COMPUTED_VALUE"""),1052.6)</f>
        <v>1052.6</v>
      </c>
      <c r="C94" s="47">
        <f>IFERROR(__xludf.DUMMYFUNCTION("""COMPUTED_VALUE"""),45875.6458333333)</f>
        <v>45875.6458333333</v>
      </c>
      <c r="D94" s="48">
        <f>IFERROR(__xludf.DUMMYFUNCTION("""COMPUTED_VALUE"""),1059)</f>
        <v>1059</v>
      </c>
      <c r="E94" s="47">
        <f>IFERROR(__xludf.DUMMYFUNCTION("""COMPUTED_VALUE"""),45875.6458333333)</f>
        <v>45875.6458333333</v>
      </c>
      <c r="F94" s="48">
        <f>IFERROR(__xludf.DUMMYFUNCTION("""COMPUTED_VALUE"""),1797515)</f>
        <v>1797515</v>
      </c>
      <c r="G94" s="47">
        <f>IFERROR(__xludf.DUMMYFUNCTION("""COMPUTED_VALUE"""),45875.6458333333)</f>
        <v>45875.6458333333</v>
      </c>
      <c r="H94" s="48">
        <f>IFERROR(__xludf.DUMMYFUNCTION("""COMPUTED_VALUE"""),1061.5)</f>
        <v>1061.5</v>
      </c>
      <c r="I94" s="47">
        <f>IFERROR(__xludf.DUMMYFUNCTION("""COMPUTED_VALUE"""),45875.6458333333)</f>
        <v>45875.6458333333</v>
      </c>
      <c r="J94" s="48">
        <f>IFERROR(__xludf.DUMMYFUNCTION("""COMPUTED_VALUE"""),1045.8)</f>
        <v>1045.8</v>
      </c>
      <c r="K94" s="3">
        <f t="shared" si="2"/>
        <v>0</v>
      </c>
      <c r="L94" s="3">
        <f t="shared" si="3"/>
        <v>0</v>
      </c>
    </row>
    <row r="95" customHeight="1" spans="1:12">
      <c r="A95" s="47">
        <f>IFERROR(__xludf.DUMMYFUNCTION("""COMPUTED_VALUE"""),45876.6458333333)</f>
        <v>45876.6458333333</v>
      </c>
      <c r="B95" s="48">
        <f>IFERROR(__xludf.DUMMYFUNCTION("""COMPUTED_VALUE"""),1064.8)</f>
        <v>1064.8</v>
      </c>
      <c r="C95" s="47">
        <f>IFERROR(__xludf.DUMMYFUNCTION("""COMPUTED_VALUE"""),45876.6458333333)</f>
        <v>45876.6458333333</v>
      </c>
      <c r="D95" s="48">
        <f>IFERROR(__xludf.DUMMYFUNCTION("""COMPUTED_VALUE"""),1052.6)</f>
        <v>1052.6</v>
      </c>
      <c r="E95" s="47">
        <f>IFERROR(__xludf.DUMMYFUNCTION("""COMPUTED_VALUE"""),45876.6458333333)</f>
        <v>45876.6458333333</v>
      </c>
      <c r="F95" s="48">
        <f>IFERROR(__xludf.DUMMYFUNCTION("""COMPUTED_VALUE"""),1837589)</f>
        <v>1837589</v>
      </c>
      <c r="G95" s="47">
        <f>IFERROR(__xludf.DUMMYFUNCTION("""COMPUTED_VALUE"""),45876.6458333333)</f>
        <v>45876.6458333333</v>
      </c>
      <c r="H95" s="48">
        <f>IFERROR(__xludf.DUMMYFUNCTION("""COMPUTED_VALUE"""),1074.9)</f>
        <v>1074.9</v>
      </c>
      <c r="I95" s="47">
        <f>IFERROR(__xludf.DUMMYFUNCTION("""COMPUTED_VALUE"""),45876.6458333333)</f>
        <v>45876.6458333333</v>
      </c>
      <c r="J95" s="48">
        <f>IFERROR(__xludf.DUMMYFUNCTION("""COMPUTED_VALUE"""),1046)</f>
        <v>1046</v>
      </c>
      <c r="K95" s="3">
        <f t="shared" si="2"/>
        <v>0</v>
      </c>
      <c r="L95" s="3">
        <f t="shared" si="3"/>
        <v>0</v>
      </c>
    </row>
    <row r="96" customHeight="1" spans="1:12">
      <c r="A96" s="47">
        <f>IFERROR(__xludf.DUMMYFUNCTION("""COMPUTED_VALUE"""),45877.6458333333)</f>
        <v>45877.6458333333</v>
      </c>
      <c r="B96" s="48">
        <f>IFERROR(__xludf.DUMMYFUNCTION("""COMPUTED_VALUE"""),1049.2)</f>
        <v>1049.2</v>
      </c>
      <c r="C96" s="47">
        <f>IFERROR(__xludf.DUMMYFUNCTION("""COMPUTED_VALUE"""),45877.6458333333)</f>
        <v>45877.6458333333</v>
      </c>
      <c r="D96" s="48">
        <f>IFERROR(__xludf.DUMMYFUNCTION("""COMPUTED_VALUE"""),1070)</f>
        <v>1070</v>
      </c>
      <c r="E96" s="47">
        <f>IFERROR(__xludf.DUMMYFUNCTION("""COMPUTED_VALUE"""),45877.6458333333)</f>
        <v>45877.6458333333</v>
      </c>
      <c r="F96" s="48">
        <f>IFERROR(__xludf.DUMMYFUNCTION("""COMPUTED_VALUE"""),2234463)</f>
        <v>2234463</v>
      </c>
      <c r="G96" s="47">
        <f>IFERROR(__xludf.DUMMYFUNCTION("""COMPUTED_VALUE"""),45877.6458333333)</f>
        <v>45877.6458333333</v>
      </c>
      <c r="H96" s="48">
        <f>IFERROR(__xludf.DUMMYFUNCTION("""COMPUTED_VALUE"""),1071.4)</f>
        <v>1071.4</v>
      </c>
      <c r="I96" s="47">
        <f>IFERROR(__xludf.DUMMYFUNCTION("""COMPUTED_VALUE"""),45877.6458333333)</f>
        <v>45877.6458333333</v>
      </c>
      <c r="J96" s="48">
        <f>IFERROR(__xludf.DUMMYFUNCTION("""COMPUTED_VALUE"""),1041.7)</f>
        <v>1041.7</v>
      </c>
      <c r="K96" s="3">
        <f t="shared" si="2"/>
        <v>0</v>
      </c>
      <c r="L96" s="3">
        <f t="shared" si="3"/>
        <v>0</v>
      </c>
    </row>
    <row r="97" customHeight="1" spans="1:12">
      <c r="A97" s="47">
        <f>IFERROR(__xludf.DUMMYFUNCTION("""COMPUTED_VALUE"""),45880.6458333333)</f>
        <v>45880.6458333333</v>
      </c>
      <c r="B97" s="48">
        <f>IFERROR(__xludf.DUMMYFUNCTION("""COMPUTED_VALUE"""),1052.7)</f>
        <v>1052.7</v>
      </c>
      <c r="C97" s="47">
        <f>IFERROR(__xludf.DUMMYFUNCTION("""COMPUTED_VALUE"""),45880.6458333333)</f>
        <v>45880.6458333333</v>
      </c>
      <c r="D97" s="48">
        <f>IFERROR(__xludf.DUMMYFUNCTION("""COMPUTED_VALUE"""),1049.2)</f>
        <v>1049.2</v>
      </c>
      <c r="E97" s="47">
        <f>IFERROR(__xludf.DUMMYFUNCTION("""COMPUTED_VALUE"""),45880.6458333333)</f>
        <v>45880.6458333333</v>
      </c>
      <c r="F97" s="48">
        <f>IFERROR(__xludf.DUMMYFUNCTION("""COMPUTED_VALUE"""),1492814)</f>
        <v>1492814</v>
      </c>
      <c r="G97" s="47">
        <f>IFERROR(__xludf.DUMMYFUNCTION("""COMPUTED_VALUE"""),45880.6458333333)</f>
        <v>45880.6458333333</v>
      </c>
      <c r="H97" s="48">
        <f>IFERROR(__xludf.DUMMYFUNCTION("""COMPUTED_VALUE"""),1065)</f>
        <v>1065</v>
      </c>
      <c r="I97" s="47">
        <f>IFERROR(__xludf.DUMMYFUNCTION("""COMPUTED_VALUE"""),45880.6458333333)</f>
        <v>45880.6458333333</v>
      </c>
      <c r="J97" s="48">
        <f>IFERROR(__xludf.DUMMYFUNCTION("""COMPUTED_VALUE"""),1046.3)</f>
        <v>1046.3</v>
      </c>
      <c r="K97" s="3">
        <f t="shared" si="2"/>
        <v>0</v>
      </c>
      <c r="L97" s="3">
        <f t="shared" si="3"/>
        <v>0</v>
      </c>
    </row>
    <row r="98" customHeight="1" spans="1:12">
      <c r="A98" s="47">
        <f>IFERROR(__xludf.DUMMYFUNCTION("""COMPUTED_VALUE"""),45881.6458333333)</f>
        <v>45881.6458333333</v>
      </c>
      <c r="B98" s="48">
        <f>IFERROR(__xludf.DUMMYFUNCTION("""COMPUTED_VALUE"""),1048.2)</f>
        <v>1048.2</v>
      </c>
      <c r="C98" s="47">
        <f>IFERROR(__xludf.DUMMYFUNCTION("""COMPUTED_VALUE"""),45881.6458333333)</f>
        <v>45881.6458333333</v>
      </c>
      <c r="D98" s="48">
        <f>IFERROR(__xludf.DUMMYFUNCTION("""COMPUTED_VALUE"""),1054.8)</f>
        <v>1054.8</v>
      </c>
      <c r="E98" s="47">
        <f>IFERROR(__xludf.DUMMYFUNCTION("""COMPUTED_VALUE"""),45881.6458333333)</f>
        <v>45881.6458333333</v>
      </c>
      <c r="F98" s="48">
        <f>IFERROR(__xludf.DUMMYFUNCTION("""COMPUTED_VALUE"""),1231299)</f>
        <v>1231299</v>
      </c>
      <c r="G98" s="47">
        <f>IFERROR(__xludf.DUMMYFUNCTION("""COMPUTED_VALUE"""),45881.6458333333)</f>
        <v>45881.6458333333</v>
      </c>
      <c r="H98" s="48">
        <f>IFERROR(__xludf.DUMMYFUNCTION("""COMPUTED_VALUE"""),1059.9)</f>
        <v>1059.9</v>
      </c>
      <c r="I98" s="47">
        <f>IFERROR(__xludf.DUMMYFUNCTION("""COMPUTED_VALUE"""),45881.6458333333)</f>
        <v>45881.6458333333</v>
      </c>
      <c r="J98" s="48">
        <f>IFERROR(__xludf.DUMMYFUNCTION("""COMPUTED_VALUE"""),1045.6)</f>
        <v>1045.6</v>
      </c>
      <c r="K98" s="3">
        <f t="shared" si="2"/>
        <v>0</v>
      </c>
      <c r="L98" s="3">
        <f t="shared" si="3"/>
        <v>0</v>
      </c>
    </row>
    <row r="99" customHeight="1" spans="1:12">
      <c r="A99" s="47">
        <f>IFERROR(__xludf.DUMMYFUNCTION("""COMPUTED_VALUE"""),45882.6458333333)</f>
        <v>45882.6458333333</v>
      </c>
      <c r="B99" s="48">
        <f>IFERROR(__xludf.DUMMYFUNCTION("""COMPUTED_VALUE"""),1053.7)</f>
        <v>1053.7</v>
      </c>
      <c r="C99" s="47">
        <f>IFERROR(__xludf.DUMMYFUNCTION("""COMPUTED_VALUE"""),45882.6458333333)</f>
        <v>45882.6458333333</v>
      </c>
      <c r="D99" s="48">
        <f>IFERROR(__xludf.DUMMYFUNCTION("""COMPUTED_VALUE"""),1052.2)</f>
        <v>1052.2</v>
      </c>
      <c r="E99" s="47">
        <f>IFERROR(__xludf.DUMMYFUNCTION("""COMPUTED_VALUE"""),45882.6458333333)</f>
        <v>45882.6458333333</v>
      </c>
      <c r="F99" s="48">
        <f>IFERROR(__xludf.DUMMYFUNCTION("""COMPUTED_VALUE"""),1125769)</f>
        <v>1125769</v>
      </c>
      <c r="G99" s="47">
        <f>IFERROR(__xludf.DUMMYFUNCTION("""COMPUTED_VALUE"""),45882.6458333333)</f>
        <v>45882.6458333333</v>
      </c>
      <c r="H99" s="48">
        <f>IFERROR(__xludf.DUMMYFUNCTION("""COMPUTED_VALUE"""),1059.6)</f>
        <v>1059.6</v>
      </c>
      <c r="I99" s="47">
        <f>IFERROR(__xludf.DUMMYFUNCTION("""COMPUTED_VALUE"""),45882.6458333333)</f>
        <v>45882.6458333333</v>
      </c>
      <c r="J99" s="48">
        <f>IFERROR(__xludf.DUMMYFUNCTION("""COMPUTED_VALUE"""),1050.3)</f>
        <v>1050.3</v>
      </c>
      <c r="K99" s="3">
        <f t="shared" si="2"/>
        <v>0</v>
      </c>
      <c r="L99" s="3">
        <f t="shared" si="3"/>
        <v>0</v>
      </c>
    </row>
    <row r="100" customHeight="1" spans="1:12">
      <c r="A100" s="47">
        <f>IFERROR(__xludf.DUMMYFUNCTION("""COMPUTED_VALUE"""),45883.6458333333)</f>
        <v>45883.6458333333</v>
      </c>
      <c r="B100" s="48">
        <f>IFERROR(__xludf.DUMMYFUNCTION("""COMPUTED_VALUE"""),1045.5)</f>
        <v>1045.5</v>
      </c>
      <c r="C100" s="47">
        <f>IFERROR(__xludf.DUMMYFUNCTION("""COMPUTED_VALUE"""),45883.6458333333)</f>
        <v>45883.6458333333</v>
      </c>
      <c r="D100" s="48">
        <f>IFERROR(__xludf.DUMMYFUNCTION("""COMPUTED_VALUE"""),1055)</f>
        <v>1055</v>
      </c>
      <c r="E100" s="47">
        <f>IFERROR(__xludf.DUMMYFUNCTION("""COMPUTED_VALUE"""),45883.6458333333)</f>
        <v>45883.6458333333</v>
      </c>
      <c r="F100" s="48">
        <f>IFERROR(__xludf.DUMMYFUNCTION("""COMPUTED_VALUE"""),870899)</f>
        <v>870899</v>
      </c>
      <c r="G100" s="47">
        <f>IFERROR(__xludf.DUMMYFUNCTION("""COMPUTED_VALUE"""),45883.6458333333)</f>
        <v>45883.6458333333</v>
      </c>
      <c r="H100" s="48">
        <f>IFERROR(__xludf.DUMMYFUNCTION("""COMPUTED_VALUE"""),1058.1)</f>
        <v>1058.1</v>
      </c>
      <c r="I100" s="47">
        <f>IFERROR(__xludf.DUMMYFUNCTION("""COMPUTED_VALUE"""),45883.6458333333)</f>
        <v>45883.6458333333</v>
      </c>
      <c r="J100" s="48">
        <f>IFERROR(__xludf.DUMMYFUNCTION("""COMPUTED_VALUE"""),1038.9)</f>
        <v>1038.9</v>
      </c>
      <c r="K100" s="3">
        <f t="shared" si="2"/>
        <v>0</v>
      </c>
      <c r="L100" s="3">
        <f t="shared" si="3"/>
        <v>1045.5</v>
      </c>
    </row>
    <row r="101" customHeight="1" spans="1:12">
      <c r="A101" s="47">
        <f>IFERROR(__xludf.DUMMYFUNCTION("""COMPUTED_VALUE"""),45887.6458333333)</f>
        <v>45887.6458333333</v>
      </c>
      <c r="B101" s="48">
        <f>IFERROR(__xludf.DUMMYFUNCTION("""COMPUTED_VALUE"""),1079.8)</f>
        <v>1079.8</v>
      </c>
      <c r="C101" s="47">
        <f>IFERROR(__xludf.DUMMYFUNCTION("""COMPUTED_VALUE"""),45887.6458333333)</f>
        <v>45887.6458333333</v>
      </c>
      <c r="D101" s="48">
        <f>IFERROR(__xludf.DUMMYFUNCTION("""COMPUTED_VALUE"""),1060)</f>
        <v>1060</v>
      </c>
      <c r="E101" s="47">
        <f>IFERROR(__xludf.DUMMYFUNCTION("""COMPUTED_VALUE"""),45887.6458333333)</f>
        <v>45887.6458333333</v>
      </c>
      <c r="F101" s="48">
        <f>IFERROR(__xludf.DUMMYFUNCTION("""COMPUTED_VALUE"""),3252940)</f>
        <v>3252940</v>
      </c>
      <c r="G101" s="47">
        <f>IFERROR(__xludf.DUMMYFUNCTION("""COMPUTED_VALUE"""),45887.6458333333)</f>
        <v>45887.6458333333</v>
      </c>
      <c r="H101" s="48">
        <f>IFERROR(__xludf.DUMMYFUNCTION("""COMPUTED_VALUE"""),1084)</f>
        <v>1084</v>
      </c>
      <c r="I101" s="47">
        <f>IFERROR(__xludf.DUMMYFUNCTION("""COMPUTED_VALUE"""),45887.6458333333)</f>
        <v>45887.6458333333</v>
      </c>
      <c r="J101" s="48">
        <f>IFERROR(__xludf.DUMMYFUNCTION("""COMPUTED_VALUE"""),1050)</f>
        <v>1050</v>
      </c>
      <c r="K101" s="3">
        <f t="shared" si="2"/>
        <v>0</v>
      </c>
      <c r="L101" s="3">
        <f t="shared" si="3"/>
        <v>0</v>
      </c>
    </row>
    <row r="102" customHeight="1" spans="1:12">
      <c r="A102" s="47">
        <f>IFERROR(__xludf.DUMMYFUNCTION("""COMPUTED_VALUE"""),45888.6458333333)</f>
        <v>45888.6458333333</v>
      </c>
      <c r="B102" s="48">
        <f>IFERROR(__xludf.DUMMYFUNCTION("""COMPUTED_VALUE"""),1073.4)</f>
        <v>1073.4</v>
      </c>
      <c r="C102" s="47">
        <f>IFERROR(__xludf.DUMMYFUNCTION("""COMPUTED_VALUE"""),45888.6458333333)</f>
        <v>45888.6458333333</v>
      </c>
      <c r="D102" s="48">
        <f>IFERROR(__xludf.DUMMYFUNCTION("""COMPUTED_VALUE"""),1080)</f>
        <v>1080</v>
      </c>
      <c r="E102" s="47">
        <f>IFERROR(__xludf.DUMMYFUNCTION("""COMPUTED_VALUE"""),45888.6458333333)</f>
        <v>45888.6458333333</v>
      </c>
      <c r="F102" s="48">
        <f>IFERROR(__xludf.DUMMYFUNCTION("""COMPUTED_VALUE"""),1867228)</f>
        <v>1867228</v>
      </c>
      <c r="G102" s="47">
        <f>IFERROR(__xludf.DUMMYFUNCTION("""COMPUTED_VALUE"""),45888.6458333333)</f>
        <v>45888.6458333333</v>
      </c>
      <c r="H102" s="48">
        <f>IFERROR(__xludf.DUMMYFUNCTION("""COMPUTED_VALUE"""),1088)</f>
        <v>1088</v>
      </c>
      <c r="I102" s="47">
        <f>IFERROR(__xludf.DUMMYFUNCTION("""COMPUTED_VALUE"""),45888.6458333333)</f>
        <v>45888.6458333333</v>
      </c>
      <c r="J102" s="48">
        <f>IFERROR(__xludf.DUMMYFUNCTION("""COMPUTED_VALUE"""),1070.7)</f>
        <v>1070.7</v>
      </c>
      <c r="K102" s="3">
        <f t="shared" si="2"/>
        <v>0</v>
      </c>
      <c r="L102" s="3">
        <f t="shared" si="3"/>
        <v>0</v>
      </c>
    </row>
    <row r="103" customHeight="1" spans="1:12">
      <c r="A103" s="47">
        <f>IFERROR(__xludf.DUMMYFUNCTION("""COMPUTED_VALUE"""),45889.6458333333)</f>
        <v>45889.6458333333</v>
      </c>
      <c r="B103" s="48">
        <f>IFERROR(__xludf.DUMMYFUNCTION("""COMPUTED_VALUE"""),1082.6)</f>
        <v>1082.6</v>
      </c>
      <c r="C103" s="47">
        <f>IFERROR(__xludf.DUMMYFUNCTION("""COMPUTED_VALUE"""),45889.6458333333)</f>
        <v>45889.6458333333</v>
      </c>
      <c r="D103" s="48">
        <f>IFERROR(__xludf.DUMMYFUNCTION("""COMPUTED_VALUE"""),1072)</f>
        <v>1072</v>
      </c>
      <c r="E103" s="47">
        <f>IFERROR(__xludf.DUMMYFUNCTION("""COMPUTED_VALUE"""),45889.6458333333)</f>
        <v>45889.6458333333</v>
      </c>
      <c r="F103" s="48">
        <f>IFERROR(__xludf.DUMMYFUNCTION("""COMPUTED_VALUE"""),1321114)</f>
        <v>1321114</v>
      </c>
      <c r="G103" s="47">
        <f>IFERROR(__xludf.DUMMYFUNCTION("""COMPUTED_VALUE"""),45889.6458333333)</f>
        <v>45889.6458333333</v>
      </c>
      <c r="H103" s="48">
        <f>IFERROR(__xludf.DUMMYFUNCTION("""COMPUTED_VALUE"""),1089.2)</f>
        <v>1089.2</v>
      </c>
      <c r="I103" s="47">
        <f>IFERROR(__xludf.DUMMYFUNCTION("""COMPUTED_VALUE"""),45889.6458333333)</f>
        <v>45889.6458333333</v>
      </c>
      <c r="J103" s="48">
        <f>IFERROR(__xludf.DUMMYFUNCTION("""COMPUTED_VALUE"""),1067.3)</f>
        <v>1067.3</v>
      </c>
      <c r="K103" s="3">
        <f t="shared" si="2"/>
        <v>1082.6</v>
      </c>
      <c r="L103" s="3">
        <f t="shared" si="3"/>
        <v>0</v>
      </c>
    </row>
    <row r="104" customHeight="1" spans="1:12">
      <c r="A104" s="47">
        <f>IFERROR(__xludf.DUMMYFUNCTION("""COMPUTED_VALUE"""),45890.6458333333)</f>
        <v>45890.6458333333</v>
      </c>
      <c r="B104" s="48">
        <f>IFERROR(__xludf.DUMMYFUNCTION("""COMPUTED_VALUE"""),1071.8)</f>
        <v>1071.8</v>
      </c>
      <c r="C104" s="47">
        <f>IFERROR(__xludf.DUMMYFUNCTION("""COMPUTED_VALUE"""),45890.6458333333)</f>
        <v>45890.6458333333</v>
      </c>
      <c r="D104" s="48">
        <f>IFERROR(__xludf.DUMMYFUNCTION("""COMPUTED_VALUE"""),1080.6)</f>
        <v>1080.6</v>
      </c>
      <c r="E104" s="47">
        <f>IFERROR(__xludf.DUMMYFUNCTION("""COMPUTED_VALUE"""),45890.6458333333)</f>
        <v>45890.6458333333</v>
      </c>
      <c r="F104" s="48">
        <f>IFERROR(__xludf.DUMMYFUNCTION("""COMPUTED_VALUE"""),2069244)</f>
        <v>2069244</v>
      </c>
      <c r="G104" s="47">
        <f>IFERROR(__xludf.DUMMYFUNCTION("""COMPUTED_VALUE"""),45890.6458333333)</f>
        <v>45890.6458333333</v>
      </c>
      <c r="H104" s="48">
        <f>IFERROR(__xludf.DUMMYFUNCTION("""COMPUTED_VALUE"""),1086.1)</f>
        <v>1086.1</v>
      </c>
      <c r="I104" s="47">
        <f>IFERROR(__xludf.DUMMYFUNCTION("""COMPUTED_VALUE"""),45890.6458333333)</f>
        <v>45890.6458333333</v>
      </c>
      <c r="J104" s="48">
        <f>IFERROR(__xludf.DUMMYFUNCTION("""COMPUTED_VALUE"""),1069.3)</f>
        <v>1069.3</v>
      </c>
      <c r="K104" s="3">
        <f t="shared" si="2"/>
        <v>0</v>
      </c>
      <c r="L104" s="3">
        <f t="shared" si="3"/>
        <v>0</v>
      </c>
    </row>
    <row r="105" customHeight="1" spans="1:12">
      <c r="A105" s="47">
        <f>IFERROR(__xludf.DUMMYFUNCTION("""COMPUTED_VALUE"""),45891.6458333333)</f>
        <v>45891.6458333333</v>
      </c>
      <c r="B105" s="48">
        <f>IFERROR(__xludf.DUMMYFUNCTION("""COMPUTED_VALUE"""),1054.6)</f>
        <v>1054.6</v>
      </c>
      <c r="C105" s="47">
        <f>IFERROR(__xludf.DUMMYFUNCTION("""COMPUTED_VALUE"""),45891.6458333333)</f>
        <v>45891.6458333333</v>
      </c>
      <c r="D105" s="48">
        <f>IFERROR(__xludf.DUMMYFUNCTION("""COMPUTED_VALUE"""),1068.5)</f>
        <v>1068.5</v>
      </c>
      <c r="E105" s="47">
        <f>IFERROR(__xludf.DUMMYFUNCTION("""COMPUTED_VALUE"""),45891.6458333333)</f>
        <v>45891.6458333333</v>
      </c>
      <c r="F105" s="48">
        <f>IFERROR(__xludf.DUMMYFUNCTION("""COMPUTED_VALUE"""),1950366)</f>
        <v>1950366</v>
      </c>
      <c r="G105" s="47">
        <f>IFERROR(__xludf.DUMMYFUNCTION("""COMPUTED_VALUE"""),45891.6458333333)</f>
        <v>45891.6458333333</v>
      </c>
      <c r="H105" s="48">
        <f>IFERROR(__xludf.DUMMYFUNCTION("""COMPUTED_VALUE"""),1071.4)</f>
        <v>1071.4</v>
      </c>
      <c r="I105" s="47">
        <f>IFERROR(__xludf.DUMMYFUNCTION("""COMPUTED_VALUE"""),45891.6458333333)</f>
        <v>45891.6458333333</v>
      </c>
      <c r="J105" s="48">
        <f>IFERROR(__xludf.DUMMYFUNCTION("""COMPUTED_VALUE"""),1051.3)</f>
        <v>1051.3</v>
      </c>
      <c r="K105" s="3">
        <f t="shared" si="2"/>
        <v>0</v>
      </c>
      <c r="L105" s="3">
        <f t="shared" si="3"/>
        <v>0</v>
      </c>
    </row>
    <row r="106" customHeight="1" spans="1:12">
      <c r="A106" s="47">
        <f>IFERROR(__xludf.DUMMYFUNCTION("""COMPUTED_VALUE"""),45894.6458333333)</f>
        <v>45894.6458333333</v>
      </c>
      <c r="B106" s="48">
        <f>IFERROR(__xludf.DUMMYFUNCTION("""COMPUTED_VALUE"""),1057.8)</f>
        <v>1057.8</v>
      </c>
      <c r="C106" s="47">
        <f>IFERROR(__xludf.DUMMYFUNCTION("""COMPUTED_VALUE"""),45894.6458333333)</f>
        <v>45894.6458333333</v>
      </c>
      <c r="D106" s="48">
        <f>IFERROR(__xludf.DUMMYFUNCTION("""COMPUTED_VALUE"""),1059.5)</f>
        <v>1059.5</v>
      </c>
      <c r="E106" s="47">
        <f>IFERROR(__xludf.DUMMYFUNCTION("""COMPUTED_VALUE"""),45894.6458333333)</f>
        <v>45894.6458333333</v>
      </c>
      <c r="F106" s="48">
        <f>IFERROR(__xludf.DUMMYFUNCTION("""COMPUTED_VALUE"""),1552036)</f>
        <v>1552036</v>
      </c>
      <c r="G106" s="47">
        <f>IFERROR(__xludf.DUMMYFUNCTION("""COMPUTED_VALUE"""),45894.6458333333)</f>
        <v>45894.6458333333</v>
      </c>
      <c r="H106" s="48">
        <f>IFERROR(__xludf.DUMMYFUNCTION("""COMPUTED_VALUE"""),1062.7)</f>
        <v>1062.7</v>
      </c>
      <c r="I106" s="47">
        <f>IFERROR(__xludf.DUMMYFUNCTION("""COMPUTED_VALUE"""),45894.6458333333)</f>
        <v>45894.6458333333</v>
      </c>
      <c r="J106" s="48">
        <f>IFERROR(__xludf.DUMMYFUNCTION("""COMPUTED_VALUE"""),1049.8)</f>
        <v>1049.8</v>
      </c>
      <c r="K106" s="3">
        <f t="shared" si="2"/>
        <v>0</v>
      </c>
      <c r="L106" s="3">
        <f t="shared" si="3"/>
        <v>0</v>
      </c>
    </row>
    <row r="107" customHeight="1" spans="1:12">
      <c r="A107" s="47">
        <f>IFERROR(__xludf.DUMMYFUNCTION("""COMPUTED_VALUE"""),45895.6458333333)</f>
        <v>45895.6458333333</v>
      </c>
      <c r="B107" s="48">
        <f>IFERROR(__xludf.DUMMYFUNCTION("""COMPUTED_VALUE"""),1047.1)</f>
        <v>1047.1</v>
      </c>
      <c r="C107" s="47">
        <f>IFERROR(__xludf.DUMMYFUNCTION("""COMPUTED_VALUE"""),45895.6458333333)</f>
        <v>45895.6458333333</v>
      </c>
      <c r="D107" s="48">
        <f>IFERROR(__xludf.DUMMYFUNCTION("""COMPUTED_VALUE"""),1051.2)</f>
        <v>1051.2</v>
      </c>
      <c r="E107" s="47">
        <f>IFERROR(__xludf.DUMMYFUNCTION("""COMPUTED_VALUE"""),45895.6458333333)</f>
        <v>45895.6458333333</v>
      </c>
      <c r="F107" s="48">
        <f>IFERROR(__xludf.DUMMYFUNCTION("""COMPUTED_VALUE"""),1758169)</f>
        <v>1758169</v>
      </c>
      <c r="G107" s="47">
        <f>IFERROR(__xludf.DUMMYFUNCTION("""COMPUTED_VALUE"""),45895.6458333333)</f>
        <v>45895.6458333333</v>
      </c>
      <c r="H107" s="48">
        <f>IFERROR(__xludf.DUMMYFUNCTION("""COMPUTED_VALUE"""),1057)</f>
        <v>1057</v>
      </c>
      <c r="I107" s="47">
        <f>IFERROR(__xludf.DUMMYFUNCTION("""COMPUTED_VALUE"""),45895.6458333333)</f>
        <v>45895.6458333333</v>
      </c>
      <c r="J107" s="48">
        <f>IFERROR(__xludf.DUMMYFUNCTION("""COMPUTED_VALUE"""),1044.7)</f>
        <v>1044.7</v>
      </c>
      <c r="K107" s="3">
        <f t="shared" si="2"/>
        <v>0</v>
      </c>
      <c r="L107" s="3">
        <f t="shared" si="3"/>
        <v>0</v>
      </c>
    </row>
    <row r="108" customHeight="1" spans="1:12">
      <c r="A108" s="47">
        <f>IFERROR(__xludf.DUMMYFUNCTION("""COMPUTED_VALUE"""),45897.6458333333)</f>
        <v>45897.6458333333</v>
      </c>
      <c r="B108" s="48">
        <f>IFERROR(__xludf.DUMMYFUNCTION("""COMPUTED_VALUE"""),1035.8)</f>
        <v>1035.8</v>
      </c>
      <c r="C108" s="47">
        <f>IFERROR(__xludf.DUMMYFUNCTION("""COMPUTED_VALUE"""),45897.6458333333)</f>
        <v>45897.6458333333</v>
      </c>
      <c r="D108" s="48">
        <f>IFERROR(__xludf.DUMMYFUNCTION("""COMPUTED_VALUE"""),1047.1)</f>
        <v>1047.1</v>
      </c>
      <c r="E108" s="47">
        <f>IFERROR(__xludf.DUMMYFUNCTION("""COMPUTED_VALUE"""),45897.6458333333)</f>
        <v>45897.6458333333</v>
      </c>
      <c r="F108" s="48">
        <f>IFERROR(__xludf.DUMMYFUNCTION("""COMPUTED_VALUE"""),1313061)</f>
        <v>1313061</v>
      </c>
      <c r="G108" s="47">
        <f>IFERROR(__xludf.DUMMYFUNCTION("""COMPUTED_VALUE"""),45897.6458333333)</f>
        <v>45897.6458333333</v>
      </c>
      <c r="H108" s="48">
        <f>IFERROR(__xludf.DUMMYFUNCTION("""COMPUTED_VALUE"""),1055.1)</f>
        <v>1055.1</v>
      </c>
      <c r="I108" s="47">
        <f>IFERROR(__xludf.DUMMYFUNCTION("""COMPUTED_VALUE"""),45897.6458333333)</f>
        <v>45897.6458333333</v>
      </c>
      <c r="J108" s="48">
        <f>IFERROR(__xludf.DUMMYFUNCTION("""COMPUTED_VALUE"""),1033.9)</f>
        <v>1033.9</v>
      </c>
      <c r="K108" s="3">
        <f t="shared" si="2"/>
        <v>0</v>
      </c>
      <c r="L108" s="3">
        <f t="shared" si="3"/>
        <v>0</v>
      </c>
    </row>
    <row r="109" customHeight="1" spans="1:12">
      <c r="A109" s="47">
        <f>IFERROR(__xludf.DUMMYFUNCTION("""COMPUTED_VALUE"""),45898.6458333333)</f>
        <v>45898.6458333333</v>
      </c>
      <c r="B109" s="48">
        <f>IFERROR(__xludf.DUMMYFUNCTION("""COMPUTED_VALUE"""),1026.6)</f>
        <v>1026.6</v>
      </c>
      <c r="C109" s="47">
        <f>IFERROR(__xludf.DUMMYFUNCTION("""COMPUTED_VALUE"""),45898.6458333333)</f>
        <v>45898.6458333333</v>
      </c>
      <c r="D109" s="48">
        <f>IFERROR(__xludf.DUMMYFUNCTION("""COMPUTED_VALUE"""),1032)</f>
        <v>1032</v>
      </c>
      <c r="E109" s="47">
        <f>IFERROR(__xludf.DUMMYFUNCTION("""COMPUTED_VALUE"""),45898.6458333333)</f>
        <v>45898.6458333333</v>
      </c>
      <c r="F109" s="48">
        <f>IFERROR(__xludf.DUMMYFUNCTION("""COMPUTED_VALUE"""),1062037)</f>
        <v>1062037</v>
      </c>
      <c r="G109" s="47">
        <f>IFERROR(__xludf.DUMMYFUNCTION("""COMPUTED_VALUE"""),45898.6458333333)</f>
        <v>45898.6458333333</v>
      </c>
      <c r="H109" s="48">
        <f>IFERROR(__xludf.DUMMYFUNCTION("""COMPUTED_VALUE"""),1038.3)</f>
        <v>1038.3</v>
      </c>
      <c r="I109" s="47">
        <f>IFERROR(__xludf.DUMMYFUNCTION("""COMPUTED_VALUE"""),45898.6458333333)</f>
        <v>45898.6458333333</v>
      </c>
      <c r="J109" s="48">
        <f>IFERROR(__xludf.DUMMYFUNCTION("""COMPUTED_VALUE"""),1022.3)</f>
        <v>1022.3</v>
      </c>
      <c r="K109" s="3">
        <f t="shared" si="2"/>
        <v>0</v>
      </c>
      <c r="L109" s="3">
        <f t="shared" si="3"/>
        <v>1026.6</v>
      </c>
    </row>
    <row r="110" customHeight="1" spans="1:12">
      <c r="A110" s="47">
        <f>IFERROR(__xludf.DUMMYFUNCTION("""COMPUTED_VALUE"""),45901.6458333333)</f>
        <v>45901.6458333333</v>
      </c>
      <c r="B110" s="48">
        <f>IFERROR(__xludf.DUMMYFUNCTION("""COMPUTED_VALUE"""),1035.5)</f>
        <v>1035.5</v>
      </c>
      <c r="C110" s="47">
        <f>IFERROR(__xludf.DUMMYFUNCTION("""COMPUTED_VALUE"""),45901.6458333333)</f>
        <v>45901.6458333333</v>
      </c>
      <c r="D110" s="48">
        <f>IFERROR(__xludf.DUMMYFUNCTION("""COMPUTED_VALUE"""),1026.6)</f>
        <v>1026.6</v>
      </c>
      <c r="E110" s="47">
        <f>IFERROR(__xludf.DUMMYFUNCTION("""COMPUTED_VALUE"""),45901.6458333333)</f>
        <v>45901.6458333333</v>
      </c>
      <c r="F110" s="48">
        <f>IFERROR(__xludf.DUMMYFUNCTION("""COMPUTED_VALUE"""),624424)</f>
        <v>624424</v>
      </c>
      <c r="G110" s="47">
        <f>IFERROR(__xludf.DUMMYFUNCTION("""COMPUTED_VALUE"""),45901.6458333333)</f>
        <v>45901.6458333333</v>
      </c>
      <c r="H110" s="48">
        <f>IFERROR(__xludf.DUMMYFUNCTION("""COMPUTED_VALUE"""),1038.6)</f>
        <v>1038.6</v>
      </c>
      <c r="I110" s="47">
        <f>IFERROR(__xludf.DUMMYFUNCTION("""COMPUTED_VALUE"""),45901.6458333333)</f>
        <v>45901.6458333333</v>
      </c>
      <c r="J110" s="48">
        <f>IFERROR(__xludf.DUMMYFUNCTION("""COMPUTED_VALUE"""),1026.1)</f>
        <v>1026.1</v>
      </c>
      <c r="K110" s="3">
        <f t="shared" si="2"/>
        <v>0</v>
      </c>
      <c r="L110" s="3">
        <f t="shared" si="3"/>
        <v>0</v>
      </c>
    </row>
    <row r="111" customHeight="1" spans="1:12">
      <c r="A111" s="47">
        <f>IFERROR(__xludf.DUMMYFUNCTION("""COMPUTED_VALUE"""),45902.6458333333)</f>
        <v>45902.6458333333</v>
      </c>
      <c r="B111" s="48">
        <f>IFERROR(__xludf.DUMMYFUNCTION("""COMPUTED_VALUE"""),1044)</f>
        <v>1044</v>
      </c>
      <c r="C111" s="47">
        <f>IFERROR(__xludf.DUMMYFUNCTION("""COMPUTED_VALUE"""),45902.6458333333)</f>
        <v>45902.6458333333</v>
      </c>
      <c r="D111" s="48">
        <f>IFERROR(__xludf.DUMMYFUNCTION("""COMPUTED_VALUE"""),1035.6)</f>
        <v>1035.6</v>
      </c>
      <c r="E111" s="47">
        <f>IFERROR(__xludf.DUMMYFUNCTION("""COMPUTED_VALUE"""),45902.6458333333)</f>
        <v>45902.6458333333</v>
      </c>
      <c r="F111" s="48">
        <f>IFERROR(__xludf.DUMMYFUNCTION("""COMPUTED_VALUE"""),1071341)</f>
        <v>1071341</v>
      </c>
      <c r="G111" s="47">
        <f>IFERROR(__xludf.DUMMYFUNCTION("""COMPUTED_VALUE"""),45902.6458333333)</f>
        <v>45902.6458333333</v>
      </c>
      <c r="H111" s="48">
        <f>IFERROR(__xludf.DUMMYFUNCTION("""COMPUTED_VALUE"""),1049.5)</f>
        <v>1049.5</v>
      </c>
      <c r="I111" s="47">
        <f>IFERROR(__xludf.DUMMYFUNCTION("""COMPUTED_VALUE"""),45902.6458333333)</f>
        <v>45902.6458333333</v>
      </c>
      <c r="J111" s="48">
        <f>IFERROR(__xludf.DUMMYFUNCTION("""COMPUTED_VALUE"""),1031.2)</f>
        <v>1031.2</v>
      </c>
      <c r="K111" s="3">
        <f t="shared" si="2"/>
        <v>0</v>
      </c>
      <c r="L111" s="3">
        <f t="shared" si="3"/>
        <v>0</v>
      </c>
    </row>
    <row r="112" customHeight="1" spans="1:12">
      <c r="A112" s="47">
        <f>IFERROR(__xludf.DUMMYFUNCTION("""COMPUTED_VALUE"""),45903.6458333333)</f>
        <v>45903.6458333333</v>
      </c>
      <c r="B112" s="48">
        <f>IFERROR(__xludf.DUMMYFUNCTION("""COMPUTED_VALUE"""),1072.2)</f>
        <v>1072.2</v>
      </c>
      <c r="C112" s="47">
        <f>IFERROR(__xludf.DUMMYFUNCTION("""COMPUTED_VALUE"""),45903.6458333333)</f>
        <v>45903.6458333333</v>
      </c>
      <c r="D112" s="48">
        <f>IFERROR(__xludf.DUMMYFUNCTION("""COMPUTED_VALUE"""),1042)</f>
        <v>1042</v>
      </c>
      <c r="E112" s="47">
        <f>IFERROR(__xludf.DUMMYFUNCTION("""COMPUTED_VALUE"""),45903.6458333333)</f>
        <v>45903.6458333333</v>
      </c>
      <c r="F112" s="48">
        <f>IFERROR(__xludf.DUMMYFUNCTION("""COMPUTED_VALUE"""),3357124)</f>
        <v>3357124</v>
      </c>
      <c r="G112" s="47">
        <f>IFERROR(__xludf.DUMMYFUNCTION("""COMPUTED_VALUE"""),45903.6458333333)</f>
        <v>45903.6458333333</v>
      </c>
      <c r="H112" s="48">
        <f>IFERROR(__xludf.DUMMYFUNCTION("""COMPUTED_VALUE"""),1079.9)</f>
        <v>1079.9</v>
      </c>
      <c r="I112" s="47">
        <f>IFERROR(__xludf.DUMMYFUNCTION("""COMPUTED_VALUE"""),45903.6458333333)</f>
        <v>45903.6458333333</v>
      </c>
      <c r="J112" s="48">
        <f>IFERROR(__xludf.DUMMYFUNCTION("""COMPUTED_VALUE"""),1040)</f>
        <v>1040</v>
      </c>
      <c r="K112" s="3">
        <f t="shared" si="2"/>
        <v>0</v>
      </c>
      <c r="L112" s="3">
        <f t="shared" si="3"/>
        <v>0</v>
      </c>
    </row>
    <row r="113" customHeight="1" spans="1:12">
      <c r="A113" s="47">
        <f>IFERROR(__xludf.DUMMYFUNCTION("""COMPUTED_VALUE"""),45904.6458333333)</f>
        <v>45904.6458333333</v>
      </c>
      <c r="B113" s="48">
        <f>IFERROR(__xludf.DUMMYFUNCTION("""COMPUTED_VALUE"""),1072.4)</f>
        <v>1072.4</v>
      </c>
      <c r="C113" s="47">
        <f>IFERROR(__xludf.DUMMYFUNCTION("""COMPUTED_VALUE"""),45904.6458333333)</f>
        <v>45904.6458333333</v>
      </c>
      <c r="D113" s="48">
        <f>IFERROR(__xludf.DUMMYFUNCTION("""COMPUTED_VALUE"""),1075)</f>
        <v>1075</v>
      </c>
      <c r="E113" s="47">
        <f>IFERROR(__xludf.DUMMYFUNCTION("""COMPUTED_VALUE"""),45904.6458333333)</f>
        <v>45904.6458333333</v>
      </c>
      <c r="F113" s="48">
        <f>IFERROR(__xludf.DUMMYFUNCTION("""COMPUTED_VALUE"""),922622)</f>
        <v>922622</v>
      </c>
      <c r="G113" s="47">
        <f>IFERROR(__xludf.DUMMYFUNCTION("""COMPUTED_VALUE"""),45904.6458333333)</f>
        <v>45904.6458333333</v>
      </c>
      <c r="H113" s="48">
        <f>IFERROR(__xludf.DUMMYFUNCTION("""COMPUTED_VALUE"""),1076.4)</f>
        <v>1076.4</v>
      </c>
      <c r="I113" s="47">
        <f>IFERROR(__xludf.DUMMYFUNCTION("""COMPUTED_VALUE"""),45904.6458333333)</f>
        <v>45904.6458333333</v>
      </c>
      <c r="J113" s="48">
        <f>IFERROR(__xludf.DUMMYFUNCTION("""COMPUTED_VALUE"""),1066.1)</f>
        <v>1066.1</v>
      </c>
      <c r="K113" s="3">
        <f t="shared" si="2"/>
        <v>0</v>
      </c>
      <c r="L113" s="3">
        <f t="shared" si="3"/>
        <v>0</v>
      </c>
    </row>
    <row r="114" customHeight="1" spans="1:12">
      <c r="A114" s="47">
        <f>IFERROR(__xludf.DUMMYFUNCTION("""COMPUTED_VALUE"""),45905.6458333333)</f>
        <v>45905.6458333333</v>
      </c>
      <c r="B114" s="48">
        <f>IFERROR(__xludf.DUMMYFUNCTION("""COMPUTED_VALUE"""),1073.1)</f>
        <v>1073.1</v>
      </c>
      <c r="C114" s="47">
        <f>IFERROR(__xludf.DUMMYFUNCTION("""COMPUTED_VALUE"""),45905.6458333333)</f>
        <v>45905.6458333333</v>
      </c>
      <c r="D114" s="48">
        <f>IFERROR(__xludf.DUMMYFUNCTION("""COMPUTED_VALUE"""),1069)</f>
        <v>1069</v>
      </c>
      <c r="E114" s="47">
        <f>IFERROR(__xludf.DUMMYFUNCTION("""COMPUTED_VALUE"""),45905.6458333333)</f>
        <v>45905.6458333333</v>
      </c>
      <c r="F114" s="48">
        <f>IFERROR(__xludf.DUMMYFUNCTION("""COMPUTED_VALUE"""),748933)</f>
        <v>748933</v>
      </c>
      <c r="G114" s="47">
        <f>IFERROR(__xludf.DUMMYFUNCTION("""COMPUTED_VALUE"""),45905.6458333333)</f>
        <v>45905.6458333333</v>
      </c>
      <c r="H114" s="48">
        <f>IFERROR(__xludf.DUMMYFUNCTION("""COMPUTED_VALUE"""),1076.6)</f>
        <v>1076.6</v>
      </c>
      <c r="I114" s="47">
        <f>IFERROR(__xludf.DUMMYFUNCTION("""COMPUTED_VALUE"""),45905.6458333333)</f>
        <v>45905.6458333333</v>
      </c>
      <c r="J114" s="48">
        <f>IFERROR(__xludf.DUMMYFUNCTION("""COMPUTED_VALUE"""),1063)</f>
        <v>1063</v>
      </c>
      <c r="K114" s="3">
        <f t="shared" si="2"/>
        <v>0</v>
      </c>
      <c r="L114" s="3">
        <f t="shared" si="3"/>
        <v>0</v>
      </c>
    </row>
    <row r="115" customHeight="1" spans="1:12">
      <c r="A115" s="47">
        <f>IFERROR(__xludf.DUMMYFUNCTION("""COMPUTED_VALUE"""),45908.6458333333)</f>
        <v>45908.6458333333</v>
      </c>
      <c r="B115" s="48">
        <f>IFERROR(__xludf.DUMMYFUNCTION("""COMPUTED_VALUE"""),1101.4)</f>
        <v>1101.4</v>
      </c>
      <c r="C115" s="47">
        <f>IFERROR(__xludf.DUMMYFUNCTION("""COMPUTED_VALUE"""),45908.6458333333)</f>
        <v>45908.6458333333</v>
      </c>
      <c r="D115" s="48">
        <f>IFERROR(__xludf.DUMMYFUNCTION("""COMPUTED_VALUE"""),1080.1)</f>
        <v>1080.1</v>
      </c>
      <c r="E115" s="47">
        <f>IFERROR(__xludf.DUMMYFUNCTION("""COMPUTED_VALUE"""),45908.6458333333)</f>
        <v>45908.6458333333</v>
      </c>
      <c r="F115" s="48">
        <f>IFERROR(__xludf.DUMMYFUNCTION("""COMPUTED_VALUE"""),3219380)</f>
        <v>3219380</v>
      </c>
      <c r="G115" s="47">
        <f>IFERROR(__xludf.DUMMYFUNCTION("""COMPUTED_VALUE"""),45908.6458333333)</f>
        <v>45908.6458333333</v>
      </c>
      <c r="H115" s="48">
        <f>IFERROR(__xludf.DUMMYFUNCTION("""COMPUTED_VALUE"""),1112.3)</f>
        <v>1112.3</v>
      </c>
      <c r="I115" s="47">
        <f>IFERROR(__xludf.DUMMYFUNCTION("""COMPUTED_VALUE"""),45908.6458333333)</f>
        <v>45908.6458333333</v>
      </c>
      <c r="J115" s="48">
        <f>IFERROR(__xludf.DUMMYFUNCTION("""COMPUTED_VALUE"""),1080.1)</f>
        <v>1080.1</v>
      </c>
      <c r="K115" s="3">
        <f t="shared" si="2"/>
        <v>0</v>
      </c>
      <c r="L115" s="3">
        <f t="shared" si="3"/>
        <v>0</v>
      </c>
    </row>
    <row r="116" customHeight="1" spans="1:12">
      <c r="A116" s="47">
        <f>IFERROR(__xludf.DUMMYFUNCTION("""COMPUTED_VALUE"""),45909.6458333333)</f>
        <v>45909.6458333333</v>
      </c>
      <c r="B116" s="48">
        <f>IFERROR(__xludf.DUMMYFUNCTION("""COMPUTED_VALUE"""),1104.5)</f>
        <v>1104.5</v>
      </c>
      <c r="C116" s="47">
        <f>IFERROR(__xludf.DUMMYFUNCTION("""COMPUTED_VALUE"""),45909.6458333333)</f>
        <v>45909.6458333333</v>
      </c>
      <c r="D116" s="48">
        <f>IFERROR(__xludf.DUMMYFUNCTION("""COMPUTED_VALUE"""),1100)</f>
        <v>1100</v>
      </c>
      <c r="E116" s="47">
        <f>IFERROR(__xludf.DUMMYFUNCTION("""COMPUTED_VALUE"""),45909.6458333333)</f>
        <v>45909.6458333333</v>
      </c>
      <c r="F116" s="48">
        <f>IFERROR(__xludf.DUMMYFUNCTION("""COMPUTED_VALUE"""),1058374)</f>
        <v>1058374</v>
      </c>
      <c r="G116" s="47">
        <f>IFERROR(__xludf.DUMMYFUNCTION("""COMPUTED_VALUE"""),45909.6458333333)</f>
        <v>45909.6458333333</v>
      </c>
      <c r="H116" s="48">
        <f>IFERROR(__xludf.DUMMYFUNCTION("""COMPUTED_VALUE"""),1110)</f>
        <v>1110</v>
      </c>
      <c r="I116" s="47">
        <f>IFERROR(__xludf.DUMMYFUNCTION("""COMPUTED_VALUE"""),45909.6458333333)</f>
        <v>45909.6458333333</v>
      </c>
      <c r="J116" s="48">
        <f>IFERROR(__xludf.DUMMYFUNCTION("""COMPUTED_VALUE"""),1095.7)</f>
        <v>1095.7</v>
      </c>
      <c r="K116" s="3">
        <f t="shared" si="2"/>
        <v>0</v>
      </c>
      <c r="L116" s="3">
        <f t="shared" si="3"/>
        <v>0</v>
      </c>
    </row>
    <row r="117" customHeight="1" spans="1:12">
      <c r="A117" s="47">
        <f>IFERROR(__xludf.DUMMYFUNCTION("""COMPUTED_VALUE"""),45910.6458333333)</f>
        <v>45910.6458333333</v>
      </c>
      <c r="B117" s="48">
        <f>IFERROR(__xludf.DUMMYFUNCTION("""COMPUTED_VALUE"""),1101.2)</f>
        <v>1101.2</v>
      </c>
      <c r="C117" s="47">
        <f>IFERROR(__xludf.DUMMYFUNCTION("""COMPUTED_VALUE"""),45910.6458333333)</f>
        <v>45910.6458333333</v>
      </c>
      <c r="D117" s="48">
        <f>IFERROR(__xludf.DUMMYFUNCTION("""COMPUTED_VALUE"""),1108)</f>
        <v>1108</v>
      </c>
      <c r="E117" s="47">
        <f>IFERROR(__xludf.DUMMYFUNCTION("""COMPUTED_VALUE"""),45910.6458333333)</f>
        <v>45910.6458333333</v>
      </c>
      <c r="F117" s="48">
        <f>IFERROR(__xludf.DUMMYFUNCTION("""COMPUTED_VALUE"""),1305818)</f>
        <v>1305818</v>
      </c>
      <c r="G117" s="47">
        <f>IFERROR(__xludf.DUMMYFUNCTION("""COMPUTED_VALUE"""),45910.6458333333)</f>
        <v>45910.6458333333</v>
      </c>
      <c r="H117" s="48">
        <f>IFERROR(__xludf.DUMMYFUNCTION("""COMPUTED_VALUE"""),1115.5)</f>
        <v>1115.5</v>
      </c>
      <c r="I117" s="47">
        <f>IFERROR(__xludf.DUMMYFUNCTION("""COMPUTED_VALUE"""),45910.6458333333)</f>
        <v>45910.6458333333</v>
      </c>
      <c r="J117" s="48">
        <f>IFERROR(__xludf.DUMMYFUNCTION("""COMPUTED_VALUE"""),1097.3)</f>
        <v>1097.3</v>
      </c>
      <c r="K117" s="3">
        <f t="shared" si="2"/>
        <v>0</v>
      </c>
      <c r="L117" s="3">
        <f t="shared" si="3"/>
        <v>0</v>
      </c>
    </row>
    <row r="118" customHeight="1" spans="1:12">
      <c r="A118" s="47">
        <f>IFERROR(__xludf.DUMMYFUNCTION("""COMPUTED_VALUE"""),45911.6458333333)</f>
        <v>45911.6458333333</v>
      </c>
      <c r="B118" s="48">
        <f>IFERROR(__xludf.DUMMYFUNCTION("""COMPUTED_VALUE"""),1099)</f>
        <v>1099</v>
      </c>
      <c r="C118" s="47">
        <f>IFERROR(__xludf.DUMMYFUNCTION("""COMPUTED_VALUE"""),45911.6458333333)</f>
        <v>45911.6458333333</v>
      </c>
      <c r="D118" s="48">
        <f>IFERROR(__xludf.DUMMYFUNCTION("""COMPUTED_VALUE"""),1101.2)</f>
        <v>1101.2</v>
      </c>
      <c r="E118" s="47">
        <f>IFERROR(__xludf.DUMMYFUNCTION("""COMPUTED_VALUE"""),45911.6458333333)</f>
        <v>45911.6458333333</v>
      </c>
      <c r="F118" s="48">
        <f>IFERROR(__xludf.DUMMYFUNCTION("""COMPUTED_VALUE"""),852085)</f>
        <v>852085</v>
      </c>
      <c r="G118" s="47">
        <f>IFERROR(__xludf.DUMMYFUNCTION("""COMPUTED_VALUE"""),45911.6458333333)</f>
        <v>45911.6458333333</v>
      </c>
      <c r="H118" s="48">
        <f>IFERROR(__xludf.DUMMYFUNCTION("""COMPUTED_VALUE"""),1108)</f>
        <v>1108</v>
      </c>
      <c r="I118" s="47">
        <f>IFERROR(__xludf.DUMMYFUNCTION("""COMPUTED_VALUE"""),45911.6458333333)</f>
        <v>45911.6458333333</v>
      </c>
      <c r="J118" s="48">
        <f>IFERROR(__xludf.DUMMYFUNCTION("""COMPUTED_VALUE"""),1095.2)</f>
        <v>1095.2</v>
      </c>
      <c r="K118" s="3">
        <f t="shared" si="2"/>
        <v>0</v>
      </c>
      <c r="L118" s="3">
        <f t="shared" si="3"/>
        <v>0</v>
      </c>
    </row>
    <row r="119" customHeight="1" spans="1:12">
      <c r="A119" s="47">
        <f>IFERROR(__xludf.DUMMYFUNCTION("""COMPUTED_VALUE"""),45912.6458333333)</f>
        <v>45912.6458333333</v>
      </c>
      <c r="B119" s="48">
        <f>IFERROR(__xludf.DUMMYFUNCTION("""COMPUTED_VALUE"""),1099)</f>
        <v>1099</v>
      </c>
      <c r="C119" s="47">
        <f>IFERROR(__xludf.DUMMYFUNCTION("""COMPUTED_VALUE"""),45912.6458333333)</f>
        <v>45912.6458333333</v>
      </c>
      <c r="D119" s="48">
        <f>IFERROR(__xludf.DUMMYFUNCTION("""COMPUTED_VALUE"""),1099)</f>
        <v>1099</v>
      </c>
      <c r="E119" s="47">
        <f>IFERROR(__xludf.DUMMYFUNCTION("""COMPUTED_VALUE"""),45912.6458333333)</f>
        <v>45912.6458333333</v>
      </c>
      <c r="F119" s="48">
        <f>IFERROR(__xludf.DUMMYFUNCTION("""COMPUTED_VALUE"""),1057815)</f>
        <v>1057815</v>
      </c>
      <c r="G119" s="47">
        <f>IFERROR(__xludf.DUMMYFUNCTION("""COMPUTED_VALUE"""),45912.6458333333)</f>
        <v>45912.6458333333</v>
      </c>
      <c r="H119" s="48">
        <f>IFERROR(__xludf.DUMMYFUNCTION("""COMPUTED_VALUE"""),1107.9)</f>
        <v>1107.9</v>
      </c>
      <c r="I119" s="47">
        <f>IFERROR(__xludf.DUMMYFUNCTION("""COMPUTED_VALUE"""),45912.6458333333)</f>
        <v>45912.6458333333</v>
      </c>
      <c r="J119" s="48">
        <f>IFERROR(__xludf.DUMMYFUNCTION("""COMPUTED_VALUE"""),1093)</f>
        <v>1093</v>
      </c>
      <c r="K119" s="3">
        <f t="shared" si="2"/>
        <v>0</v>
      </c>
      <c r="L119" s="3">
        <f t="shared" si="3"/>
        <v>0</v>
      </c>
    </row>
    <row r="120" customHeight="1" spans="1:12">
      <c r="A120" s="47">
        <f>IFERROR(__xludf.DUMMYFUNCTION("""COMPUTED_VALUE"""),45915.6458333333)</f>
        <v>45915.6458333333</v>
      </c>
      <c r="B120" s="48">
        <f>IFERROR(__xludf.DUMMYFUNCTION("""COMPUTED_VALUE"""),1100.9)</f>
        <v>1100.9</v>
      </c>
      <c r="C120" s="47">
        <f>IFERROR(__xludf.DUMMYFUNCTION("""COMPUTED_VALUE"""),45915.6458333333)</f>
        <v>45915.6458333333</v>
      </c>
      <c r="D120" s="48">
        <f>IFERROR(__xludf.DUMMYFUNCTION("""COMPUTED_VALUE"""),1100)</f>
        <v>1100</v>
      </c>
      <c r="E120" s="47">
        <f>IFERROR(__xludf.DUMMYFUNCTION("""COMPUTED_VALUE"""),45915.6458333333)</f>
        <v>45915.6458333333</v>
      </c>
      <c r="F120" s="48">
        <f>IFERROR(__xludf.DUMMYFUNCTION("""COMPUTED_VALUE"""),565667)</f>
        <v>565667</v>
      </c>
      <c r="G120" s="47">
        <f>IFERROR(__xludf.DUMMYFUNCTION("""COMPUTED_VALUE"""),45915.6458333333)</f>
        <v>45915.6458333333</v>
      </c>
      <c r="H120" s="48">
        <f>IFERROR(__xludf.DUMMYFUNCTION("""COMPUTED_VALUE"""),1105)</f>
        <v>1105</v>
      </c>
      <c r="I120" s="47">
        <f>IFERROR(__xludf.DUMMYFUNCTION("""COMPUTED_VALUE"""),45915.6458333333)</f>
        <v>45915.6458333333</v>
      </c>
      <c r="J120" s="48">
        <f>IFERROR(__xludf.DUMMYFUNCTION("""COMPUTED_VALUE"""),1090.5)</f>
        <v>1090.5</v>
      </c>
      <c r="K120" s="3">
        <f t="shared" si="2"/>
        <v>0</v>
      </c>
      <c r="L120" s="3">
        <f t="shared" si="3"/>
        <v>0</v>
      </c>
    </row>
    <row r="121" customHeight="1" spans="1:12">
      <c r="A121" s="47">
        <f>IFERROR(__xludf.DUMMYFUNCTION("""COMPUTED_VALUE"""),45916.6458333333)</f>
        <v>45916.6458333333</v>
      </c>
      <c r="B121" s="48">
        <f>IFERROR(__xludf.DUMMYFUNCTION("""COMPUTED_VALUE"""),1115.2)</f>
        <v>1115.2</v>
      </c>
      <c r="C121" s="47">
        <f>IFERROR(__xludf.DUMMYFUNCTION("""COMPUTED_VALUE"""),45916.6458333333)</f>
        <v>45916.6458333333</v>
      </c>
      <c r="D121" s="48">
        <f>IFERROR(__xludf.DUMMYFUNCTION("""COMPUTED_VALUE"""),1100.5)</f>
        <v>1100.5</v>
      </c>
      <c r="E121" s="47">
        <f>IFERROR(__xludf.DUMMYFUNCTION("""COMPUTED_VALUE"""),45916.6458333333)</f>
        <v>45916.6458333333</v>
      </c>
      <c r="F121" s="48">
        <f>IFERROR(__xludf.DUMMYFUNCTION("""COMPUTED_VALUE"""),1644497)</f>
        <v>1644497</v>
      </c>
      <c r="G121" s="47">
        <f>IFERROR(__xludf.DUMMYFUNCTION("""COMPUTED_VALUE"""),45916.6458333333)</f>
        <v>45916.6458333333</v>
      </c>
      <c r="H121" s="48">
        <f>IFERROR(__xludf.DUMMYFUNCTION("""COMPUTED_VALUE"""),1117.9)</f>
        <v>1117.9</v>
      </c>
      <c r="I121" s="47">
        <f>IFERROR(__xludf.DUMMYFUNCTION("""COMPUTED_VALUE"""),45916.6458333333)</f>
        <v>45916.6458333333</v>
      </c>
      <c r="J121" s="48">
        <f>IFERROR(__xludf.DUMMYFUNCTION("""COMPUTED_VALUE"""),1100)</f>
        <v>1100</v>
      </c>
      <c r="K121" s="3">
        <f t="shared" si="2"/>
        <v>0</v>
      </c>
      <c r="L121" s="3">
        <f t="shared" si="3"/>
        <v>0</v>
      </c>
    </row>
    <row r="122" customHeight="1" spans="1:12">
      <c r="A122" s="47">
        <f>IFERROR(__xludf.DUMMYFUNCTION("""COMPUTED_VALUE"""),45917.6458333333)</f>
        <v>45917.6458333333</v>
      </c>
      <c r="B122" s="48">
        <f>IFERROR(__xludf.DUMMYFUNCTION("""COMPUTED_VALUE"""),1111)</f>
        <v>1111</v>
      </c>
      <c r="C122" s="47">
        <f>IFERROR(__xludf.DUMMYFUNCTION("""COMPUTED_VALUE"""),45917.6458333333)</f>
        <v>45917.6458333333</v>
      </c>
      <c r="D122" s="48">
        <f>IFERROR(__xludf.DUMMYFUNCTION("""COMPUTED_VALUE"""),1119.5)</f>
        <v>1119.5</v>
      </c>
      <c r="E122" s="47">
        <f>IFERROR(__xludf.DUMMYFUNCTION("""COMPUTED_VALUE"""),45917.6458333333)</f>
        <v>45917.6458333333</v>
      </c>
      <c r="F122" s="48">
        <f>IFERROR(__xludf.DUMMYFUNCTION("""COMPUTED_VALUE"""),950577)</f>
        <v>950577</v>
      </c>
      <c r="G122" s="47">
        <f>IFERROR(__xludf.DUMMYFUNCTION("""COMPUTED_VALUE"""),45917.6458333333)</f>
        <v>45917.6458333333</v>
      </c>
      <c r="H122" s="48">
        <f>IFERROR(__xludf.DUMMYFUNCTION("""COMPUTED_VALUE"""),1122.6)</f>
        <v>1122.6</v>
      </c>
      <c r="I122" s="47">
        <f>IFERROR(__xludf.DUMMYFUNCTION("""COMPUTED_VALUE"""),45917.6458333333)</f>
        <v>45917.6458333333</v>
      </c>
      <c r="J122" s="48">
        <f>IFERROR(__xludf.DUMMYFUNCTION("""COMPUTED_VALUE"""),1107.1)</f>
        <v>1107.1</v>
      </c>
      <c r="K122" s="3">
        <f t="shared" si="2"/>
        <v>0</v>
      </c>
      <c r="L122" s="3">
        <f t="shared" si="3"/>
        <v>0</v>
      </c>
    </row>
    <row r="123" customHeight="1" spans="1:12">
      <c r="A123" s="47">
        <f>IFERROR(__xludf.DUMMYFUNCTION("""COMPUTED_VALUE"""),45918.6458333333)</f>
        <v>45918.6458333333</v>
      </c>
      <c r="B123" s="48">
        <f>IFERROR(__xludf.DUMMYFUNCTION("""COMPUTED_VALUE"""),1121.1)</f>
        <v>1121.1</v>
      </c>
      <c r="C123" s="47">
        <f>IFERROR(__xludf.DUMMYFUNCTION("""COMPUTED_VALUE"""),45918.6458333333)</f>
        <v>45918.6458333333</v>
      </c>
      <c r="D123" s="48">
        <f>IFERROR(__xludf.DUMMYFUNCTION("""COMPUTED_VALUE"""),1111.9)</f>
        <v>1111.9</v>
      </c>
      <c r="E123" s="47">
        <f>IFERROR(__xludf.DUMMYFUNCTION("""COMPUTED_VALUE"""),45918.6458333333)</f>
        <v>45918.6458333333</v>
      </c>
      <c r="F123" s="48">
        <f>IFERROR(__xludf.DUMMYFUNCTION("""COMPUTED_VALUE"""),824725)</f>
        <v>824725</v>
      </c>
      <c r="G123" s="47">
        <f>IFERROR(__xludf.DUMMYFUNCTION("""COMPUTED_VALUE"""),45918.6458333333)</f>
        <v>45918.6458333333</v>
      </c>
      <c r="H123" s="48">
        <f>IFERROR(__xludf.DUMMYFUNCTION("""COMPUTED_VALUE"""),1122.9)</f>
        <v>1122.9</v>
      </c>
      <c r="I123" s="47">
        <f>IFERROR(__xludf.DUMMYFUNCTION("""COMPUTED_VALUE"""),45918.6458333333)</f>
        <v>45918.6458333333</v>
      </c>
      <c r="J123" s="48">
        <f>IFERROR(__xludf.DUMMYFUNCTION("""COMPUTED_VALUE"""),1105)</f>
        <v>1105</v>
      </c>
      <c r="K123" s="3">
        <f t="shared" si="2"/>
        <v>0</v>
      </c>
      <c r="L123" s="3">
        <f t="shared" si="3"/>
        <v>0</v>
      </c>
    </row>
    <row r="124" customHeight="1" spans="1:12">
      <c r="A124" s="47">
        <f>IFERROR(__xludf.DUMMYFUNCTION("""COMPUTED_VALUE"""),45919.6458333333)</f>
        <v>45919.6458333333</v>
      </c>
      <c r="B124" s="48">
        <f>IFERROR(__xludf.DUMMYFUNCTION("""COMPUTED_VALUE"""),1122.8)</f>
        <v>1122.8</v>
      </c>
      <c r="C124" s="47">
        <f>IFERROR(__xludf.DUMMYFUNCTION("""COMPUTED_VALUE"""),45919.6458333333)</f>
        <v>45919.6458333333</v>
      </c>
      <c r="D124" s="48">
        <f>IFERROR(__xludf.DUMMYFUNCTION("""COMPUTED_VALUE"""),1121.1)</f>
        <v>1121.1</v>
      </c>
      <c r="E124" s="47">
        <f>IFERROR(__xludf.DUMMYFUNCTION("""COMPUTED_VALUE"""),45919.6458333333)</f>
        <v>45919.6458333333</v>
      </c>
      <c r="F124" s="48">
        <f>IFERROR(__xludf.DUMMYFUNCTION("""COMPUTED_VALUE"""),1351221)</f>
        <v>1351221</v>
      </c>
      <c r="G124" s="47">
        <f>IFERROR(__xludf.DUMMYFUNCTION("""COMPUTED_VALUE"""),45919.6458333333)</f>
        <v>45919.6458333333</v>
      </c>
      <c r="H124" s="48">
        <f>IFERROR(__xludf.DUMMYFUNCTION("""COMPUTED_VALUE"""),1126)</f>
        <v>1126</v>
      </c>
      <c r="I124" s="47">
        <f>IFERROR(__xludf.DUMMYFUNCTION("""COMPUTED_VALUE"""),45919.6458333333)</f>
        <v>45919.6458333333</v>
      </c>
      <c r="J124" s="48">
        <f>IFERROR(__xludf.DUMMYFUNCTION("""COMPUTED_VALUE"""),1113.7)</f>
        <v>1113.7</v>
      </c>
      <c r="K124" s="3">
        <f t="shared" si="2"/>
        <v>0</v>
      </c>
      <c r="L124" s="3">
        <f t="shared" si="3"/>
        <v>0</v>
      </c>
    </row>
    <row r="125" customHeight="1" spans="1:12">
      <c r="A125" s="47">
        <f>IFERROR(__xludf.DUMMYFUNCTION("""COMPUTED_VALUE"""),45922.6458333333)</f>
        <v>45922.6458333333</v>
      </c>
      <c r="B125" s="48">
        <f>IFERROR(__xludf.DUMMYFUNCTION("""COMPUTED_VALUE"""),1117)</f>
        <v>1117</v>
      </c>
      <c r="C125" s="47">
        <f>IFERROR(__xludf.DUMMYFUNCTION("""COMPUTED_VALUE"""),45922.6458333333)</f>
        <v>45922.6458333333</v>
      </c>
      <c r="D125" s="48">
        <f>IFERROR(__xludf.DUMMYFUNCTION("""COMPUTED_VALUE"""),1122)</f>
        <v>1122</v>
      </c>
      <c r="E125" s="47">
        <f>IFERROR(__xludf.DUMMYFUNCTION("""COMPUTED_VALUE"""),45922.6458333333)</f>
        <v>45922.6458333333</v>
      </c>
      <c r="F125" s="48">
        <f>IFERROR(__xludf.DUMMYFUNCTION("""COMPUTED_VALUE"""),786218)</f>
        <v>786218</v>
      </c>
      <c r="G125" s="47">
        <f>IFERROR(__xludf.DUMMYFUNCTION("""COMPUTED_VALUE"""),45922.6458333333)</f>
        <v>45922.6458333333</v>
      </c>
      <c r="H125" s="48">
        <f>IFERROR(__xludf.DUMMYFUNCTION("""COMPUTED_VALUE"""),1126.8)</f>
        <v>1126.8</v>
      </c>
      <c r="I125" s="47">
        <f>IFERROR(__xludf.DUMMYFUNCTION("""COMPUTED_VALUE"""),45922.6458333333)</f>
        <v>45922.6458333333</v>
      </c>
      <c r="J125" s="48">
        <f>IFERROR(__xludf.DUMMYFUNCTION("""COMPUTED_VALUE"""),1111.6)</f>
        <v>1111.6</v>
      </c>
      <c r="K125" s="3">
        <f t="shared" si="2"/>
        <v>0</v>
      </c>
      <c r="L125" s="3">
        <f t="shared" si="3"/>
        <v>0</v>
      </c>
    </row>
    <row r="126" customHeight="1" spans="1:10">
      <c r="A126" s="47">
        <f>IFERROR(__xludf.DUMMYFUNCTION("""COMPUTED_VALUE"""),45923.6458333333)</f>
        <v>45923.6458333333</v>
      </c>
      <c r="B126" s="48">
        <f>IFERROR(__xludf.DUMMYFUNCTION("""COMPUTED_VALUE"""),1138.4)</f>
        <v>1138.4</v>
      </c>
      <c r="C126" s="47">
        <f>IFERROR(__xludf.DUMMYFUNCTION("""COMPUTED_VALUE"""),45923.6458333333)</f>
        <v>45923.6458333333</v>
      </c>
      <c r="D126" s="48">
        <f>IFERROR(__xludf.DUMMYFUNCTION("""COMPUTED_VALUE"""),1125)</f>
        <v>1125</v>
      </c>
      <c r="E126" s="47">
        <f>IFERROR(__xludf.DUMMYFUNCTION("""COMPUTED_VALUE"""),45923.6458333333)</f>
        <v>45923.6458333333</v>
      </c>
      <c r="F126" s="48">
        <f>IFERROR(__xludf.DUMMYFUNCTION("""COMPUTED_VALUE"""),2075493)</f>
        <v>2075493</v>
      </c>
      <c r="G126" s="47">
        <f>IFERROR(__xludf.DUMMYFUNCTION("""COMPUTED_VALUE"""),45923.6458333333)</f>
        <v>45923.6458333333</v>
      </c>
      <c r="H126" s="48">
        <f>IFERROR(__xludf.DUMMYFUNCTION("""COMPUTED_VALUE"""),1148)</f>
        <v>1148</v>
      </c>
      <c r="I126" s="47">
        <f>IFERROR(__xludf.DUMMYFUNCTION("""COMPUTED_VALUE"""),45923.6458333333)</f>
        <v>45923.6458333333</v>
      </c>
      <c r="J126" s="48">
        <f>IFERROR(__xludf.DUMMYFUNCTION("""COMPUTED_VALUE"""),1117.1)</f>
        <v>1117.1</v>
      </c>
    </row>
    <row r="127" customHeight="1" spans="1:10">
      <c r="A127" s="47">
        <f>IFERROR(__xludf.DUMMYFUNCTION("""COMPUTED_VALUE"""),45924.6458333333)</f>
        <v>45924.6458333333</v>
      </c>
      <c r="B127" s="48">
        <f>IFERROR(__xludf.DUMMYFUNCTION("""COMPUTED_VALUE"""),1149.1)</f>
        <v>1149.1</v>
      </c>
      <c r="C127" s="47">
        <f>IFERROR(__xludf.DUMMYFUNCTION("""COMPUTED_VALUE"""),45924.6458333333)</f>
        <v>45924.6458333333</v>
      </c>
      <c r="D127" s="48">
        <f>IFERROR(__xludf.DUMMYFUNCTION("""COMPUTED_VALUE"""),1138.4)</f>
        <v>1138.4</v>
      </c>
      <c r="E127" s="47">
        <f>IFERROR(__xludf.DUMMYFUNCTION("""COMPUTED_VALUE"""),45924.6458333333)</f>
        <v>45924.6458333333</v>
      </c>
      <c r="F127" s="48">
        <f>IFERROR(__xludf.DUMMYFUNCTION("""COMPUTED_VALUE"""),2111388)</f>
        <v>2111388</v>
      </c>
      <c r="G127" s="47">
        <f>IFERROR(__xludf.DUMMYFUNCTION("""COMPUTED_VALUE"""),45924.6458333333)</f>
        <v>45924.6458333333</v>
      </c>
      <c r="H127" s="48">
        <f>IFERROR(__xludf.DUMMYFUNCTION("""COMPUTED_VALUE"""),1161)</f>
        <v>1161</v>
      </c>
      <c r="I127" s="47">
        <f>IFERROR(__xludf.DUMMYFUNCTION("""COMPUTED_VALUE"""),45924.6458333333)</f>
        <v>45924.6458333333</v>
      </c>
      <c r="J127" s="48">
        <f>IFERROR(__xludf.DUMMYFUNCTION("""COMPUTED_VALUE"""),1133)</f>
        <v>1133</v>
      </c>
    </row>
    <row r="128" customHeight="1" spans="1:10">
      <c r="A128" s="47">
        <f>IFERROR(__xludf.DUMMYFUNCTION("""COMPUTED_VALUE"""),45925.6458333333)</f>
        <v>45925.6458333333</v>
      </c>
      <c r="B128" s="48">
        <f>IFERROR(__xludf.DUMMYFUNCTION("""COMPUTED_VALUE"""),1148.5)</f>
        <v>1148.5</v>
      </c>
      <c r="C128" s="47">
        <f>IFERROR(__xludf.DUMMYFUNCTION("""COMPUTED_VALUE"""),45925.6458333333)</f>
        <v>45925.6458333333</v>
      </c>
      <c r="D128" s="48">
        <f>IFERROR(__xludf.DUMMYFUNCTION("""COMPUTED_VALUE"""),1149.1)</f>
        <v>1149.1</v>
      </c>
      <c r="E128" s="47">
        <f>IFERROR(__xludf.DUMMYFUNCTION("""COMPUTED_VALUE"""),45925.6458333333)</f>
        <v>45925.6458333333</v>
      </c>
      <c r="F128" s="48">
        <f>IFERROR(__xludf.DUMMYFUNCTION("""COMPUTED_VALUE"""),1581307)</f>
        <v>1581307</v>
      </c>
      <c r="G128" s="47">
        <f>IFERROR(__xludf.DUMMYFUNCTION("""COMPUTED_VALUE"""),45925.6458333333)</f>
        <v>45925.6458333333</v>
      </c>
      <c r="H128" s="48">
        <f>IFERROR(__xludf.DUMMYFUNCTION("""COMPUTED_VALUE"""),1157.5)</f>
        <v>1157.5</v>
      </c>
      <c r="I128" s="47">
        <f>IFERROR(__xludf.DUMMYFUNCTION("""COMPUTED_VALUE"""),45925.6458333333)</f>
        <v>45925.6458333333</v>
      </c>
      <c r="J128" s="48">
        <f>IFERROR(__xludf.DUMMYFUNCTION("""COMPUTED_VALUE"""),1140)</f>
        <v>1140</v>
      </c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IFERROR(__xludf.DUMMYFUNCTION("""COMPUTED_VALUE"""),1130.8)</f>
        <v>1130.8</v>
      </c>
      <c r="C129" s="47">
        <f>IFERROR(__xludf.DUMMYFUNCTION("""COMPUTED_VALUE"""),45926.6458333333)</f>
        <v>45926.6458333333</v>
      </c>
      <c r="D129" s="48">
        <f>IFERROR(__xludf.DUMMYFUNCTION("""COMPUTED_VALUE"""),1155)</f>
        <v>1155</v>
      </c>
      <c r="E129" s="47">
        <f>IFERROR(__xludf.DUMMYFUNCTION("""COMPUTED_VALUE"""),45926.6458333333)</f>
        <v>45926.6458333333</v>
      </c>
      <c r="F129" s="48">
        <f>IFERROR(__xludf.DUMMYFUNCTION("""COMPUTED_VALUE"""),2999892)</f>
        <v>2999892</v>
      </c>
      <c r="G129" s="47">
        <f>IFERROR(__xludf.DUMMYFUNCTION("""COMPUTED_VALUE"""),45926.6458333333)</f>
        <v>45926.6458333333</v>
      </c>
      <c r="H129" s="48">
        <f>IFERROR(__xludf.DUMMYFUNCTION("""COMPUTED_VALUE"""),1167.9)</f>
        <v>1167.9</v>
      </c>
      <c r="I129" s="47">
        <f>IFERROR(__xludf.DUMMYFUNCTION("""COMPUTED_VALUE"""),45926.6458333333)</f>
        <v>45926.6458333333</v>
      </c>
      <c r="J129" s="48">
        <f>IFERROR(__xludf.DUMMYFUNCTION("""COMPUTED_VALUE"""),1127.9)</f>
        <v>1127.9</v>
      </c>
    </row>
  </sheetData>
  <mergeCells count="3">
    <mergeCell ref="M1:P1"/>
    <mergeCell ref="A3:F3"/>
    <mergeCell ref="AB4:AE4"/>
  </mergeCells>
  <conditionalFormatting sqref="A1:A2 A4">
    <cfRule type="notContainsBlanks" dxfId="0" priority="1">
      <formula>LEN(TRIM(A1))&gt;0</formula>
    </cfRule>
  </conditionalFormatting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16">
      <c r="A1" s="49" t="s">
        <v>264</v>
      </c>
      <c r="B1" s="50">
        <f ca="1">TODAY()</f>
        <v>45927</v>
      </c>
      <c r="C1" s="51">
        <f ca="1">DAY(B1)</f>
        <v>27</v>
      </c>
      <c r="D1" s="51">
        <f ca="1" t="shared" ref="D1:D2" si="0">MONTH(B1)</f>
        <v>9</v>
      </c>
      <c r="E1" s="51">
        <f ca="1" t="shared" ref="E1:E2" si="1">YEAR(B1)</f>
        <v>2025</v>
      </c>
      <c r="F1" s="52"/>
      <c r="G1" s="53"/>
      <c r="H1" s="51"/>
      <c r="I1" s="51"/>
      <c r="J1" s="51"/>
      <c r="K1" s="51"/>
      <c r="L1" s="51"/>
      <c r="M1" s="62" t="s">
        <v>265</v>
      </c>
      <c r="N1" s="19"/>
      <c r="O1" s="19"/>
      <c r="P1" s="19"/>
    </row>
    <row r="2" customHeight="1" spans="1:20">
      <c r="A2" s="49" t="s">
        <v>266</v>
      </c>
      <c r="B2" s="50">
        <f ca="1">EDATE(TODAY(),-6)</f>
        <v>45743</v>
      </c>
      <c r="C2" s="51">
        <f ca="1">DAY(B2)</f>
        <v>27</v>
      </c>
      <c r="D2" s="51">
        <f ca="1" t="shared" si="0"/>
        <v>3</v>
      </c>
      <c r="E2" s="51">
        <f ca="1" t="shared" si="1"/>
        <v>2025</v>
      </c>
      <c r="F2" s="52"/>
      <c r="G2" s="53"/>
      <c r="H2" s="51"/>
      <c r="I2" s="51"/>
      <c r="J2" s="51"/>
      <c r="K2" s="51"/>
      <c r="L2" s="51"/>
      <c r="M2" s="63" t="str">
        <f>IFERROR(__xludf.DUMMYFUNCTION("GOOGLEFINANCE(L3, ""close"", WORKDAY(TODAY(), -1), WORKDAY(TODAY(), -1))"),"Date")</f>
        <v>Date</v>
      </c>
      <c r="N2" s="64" t="str">
        <f>IFERROR(__xludf.DUMMYFUNCTION("""COMPUTED_VALUE"""),"Close")</f>
        <v>Close</v>
      </c>
      <c r="O2" s="63" t="str">
        <f>IFERROR(__xludf.DUMMYFUNCTION("GOOGLEFINANCE(L3, ""open"", WORKDAY(TODAY(), -1), WORKDAY(TODAY(), -1))"),"Date")</f>
        <v>Date</v>
      </c>
      <c r="P2" s="64" t="str">
        <f>IFERROR(__xludf.DUMMYFUNCTION("""COMPUTED_VALUE"""),"Open")</f>
        <v>Open</v>
      </c>
      <c r="Q2" s="72" t="str">
        <f>IFERROR(__xludf.DUMMYFUNCTION("GOOGLEFINANCE(L3, ""hIGH"", WORKDAY(TODAY(), -1), WORKDAY(TODAY(), -1))"),"Date")</f>
        <v>Date</v>
      </c>
      <c r="R2" s="48" t="str">
        <f>IFERROR(__xludf.DUMMYFUNCTION("""COMPUTED_VALUE"""),"High")</f>
        <v>High</v>
      </c>
      <c r="S2" s="72" t="str">
        <f>IFERROR(__xludf.DUMMYFUNCTION("GOOGLEFINANCE(L3, ""LOW"", WORKDAY(TODAY(), -1), WORKDAY(TODAY(), -1))"),"Date")</f>
        <v>Date</v>
      </c>
      <c r="T2" s="48" t="str">
        <f>IFERROR(__xludf.DUMMYFUNCTION("""COMPUTED_VALUE"""),"Low")</f>
        <v>Low</v>
      </c>
    </row>
    <row r="3" customHeight="1" spans="1:20">
      <c r="A3" s="54" t="s">
        <v>60</v>
      </c>
      <c r="B3" s="7"/>
      <c r="C3" s="7"/>
      <c r="D3" s="7"/>
      <c r="E3" s="7"/>
      <c r="F3" s="8"/>
      <c r="G3" s="55" t="s">
        <v>268</v>
      </c>
      <c r="H3" s="56">
        <f>IFERROR(__xludf.DUMMYFUNCTION("GOOGLEFINANCE(L3, ""price"")"),1993.6)</f>
        <v>1993.6</v>
      </c>
      <c r="I3" s="65" t="s">
        <v>269</v>
      </c>
      <c r="J3" s="56">
        <f>IFERROR(__xludf.DUMMYFUNCTION("GOOGLEFINANCE(L3, ""volume"")"),1919165)</f>
        <v>1919165</v>
      </c>
      <c r="K3" s="66" t="s">
        <v>270</v>
      </c>
      <c r="L3" s="67" t="str">
        <f>Mastersheet!B26</f>
        <v>NSE:KOTAKBANK</v>
      </c>
      <c r="M3" s="68">
        <f>IFERROR(__xludf.DUMMYFUNCTION("""COMPUTED_VALUE"""),45926.6458333333)</f>
        <v>45926.6458333333</v>
      </c>
      <c r="N3" s="67">
        <f>IFERROR(__xludf.DUMMYFUNCTION("""COMPUTED_VALUE"""),1994.8)</f>
        <v>1994.8</v>
      </c>
      <c r="O3" s="68">
        <f>IFERROR(__xludf.DUMMYFUNCTION("""COMPUTED_VALUE"""),45926.6458333333)</f>
        <v>45926.6458333333</v>
      </c>
      <c r="P3" s="67">
        <f>IFERROR(__xludf.DUMMYFUNCTION("""COMPUTED_VALUE"""),2009)</f>
        <v>2009</v>
      </c>
      <c r="Q3" s="47">
        <f>IFERROR(__xludf.DUMMYFUNCTION("""COMPUTED_VALUE"""),45926.6458333333)</f>
        <v>45926.6458333333</v>
      </c>
      <c r="R3" s="48">
        <f>IFERROR(__xludf.DUMMYFUNCTION("""COMPUTED_VALUE"""),2019.2)</f>
        <v>2019.2</v>
      </c>
      <c r="S3" s="47">
        <f>IFERROR(__xludf.DUMMYFUNCTION("""COMPUTED_VALUE"""),45926.6458333333)</f>
        <v>45926.6458333333</v>
      </c>
      <c r="T3" s="48">
        <f>IFERROR(__xludf.DUMMYFUNCTION("""COMPUTED_VALUE"""),1989.1)</f>
        <v>1989.1</v>
      </c>
    </row>
    <row r="4" customHeight="1" spans="1:31">
      <c r="A4" s="57" t="str">
        <f>IFERROR(__xludf.DUMMYFUNCTION("GOOGLEFINANCE(L3, ""CLOSE"",DATE(E2,D2,C2), DATE(E1,D1,C1), ""DAILY"")"),"Date")</f>
        <v>Date</v>
      </c>
      <c r="B4" s="58" t="str">
        <f>IFERROR(__xludf.DUMMYFUNCTION("""COMPUTED_VALUE"""),"Close")</f>
        <v>Close</v>
      </c>
      <c r="C4" s="58" t="str">
        <f>IFERROR(__xludf.DUMMYFUNCTION("GOOGLEFINANCE(L3, ""open"", DATE(E2,D2,C2), DATE(E1,D1,C1), ""DAILY"")"),"Date")</f>
        <v>Date</v>
      </c>
      <c r="D4" s="58" t="str">
        <f>IFERROR(__xludf.DUMMYFUNCTION("""COMPUTED_VALUE"""),"Open")</f>
        <v>Open</v>
      </c>
      <c r="E4" s="59" t="str">
        <f>IFERROR(__xludf.DUMMYFUNCTION("GOOGLEFINANCE(L3, ""VOLUME"", DATE(E2,D2,C2), DATE(E1,D1,C1), ""DAILY"")"),"Date")</f>
        <v>Date</v>
      </c>
      <c r="F4" s="58" t="str">
        <f>IFERROR(__xludf.DUMMYFUNCTION("""COMPUTED_VALUE"""),"Volume")</f>
        <v>Volume</v>
      </c>
      <c r="G4" s="59" t="str">
        <f>IFERROR(__xludf.DUMMYFUNCTION("GOOGLEFINANCE(L3, ""HIGH"", DATE(E2,D2,C2), DATE(E1,D1,C1), ""DAILY"")"),"Date")</f>
        <v>Date</v>
      </c>
      <c r="H4" s="59" t="str">
        <f>IFERROR(__xludf.DUMMYFUNCTION("""COMPUTED_VALUE"""),"High")</f>
        <v>High</v>
      </c>
      <c r="I4" s="59" t="str">
        <f>IFERROR(__xludf.DUMMYFUNCTION("GOOGLEFINANCE(L3, ""LOW"", DATE(E2,D2,C2), DATE(E1,D1,C1), ""DAILY"")"),"Date")</f>
        <v>Date</v>
      </c>
      <c r="J4" s="69" t="str">
        <f>IFERROR(__xludf.DUMMYFUNCTION("""COMPUTED_VALUE"""),"Low")</f>
        <v>Low</v>
      </c>
      <c r="K4" s="70" t="s">
        <v>271</v>
      </c>
      <c r="L4" s="70" t="s">
        <v>272</v>
      </c>
      <c r="M4" s="70" t="s">
        <v>273</v>
      </c>
      <c r="N4" s="70" t="s">
        <v>274</v>
      </c>
      <c r="O4" s="70" t="s">
        <v>275</v>
      </c>
      <c r="P4" s="70" t="s">
        <v>276</v>
      </c>
      <c r="Q4" s="73" t="s">
        <v>277</v>
      </c>
      <c r="R4" s="73" t="s">
        <v>278</v>
      </c>
      <c r="S4" s="73" t="s">
        <v>279</v>
      </c>
      <c r="T4" s="73" t="s">
        <v>280</v>
      </c>
      <c r="U4" s="73" t="s">
        <v>281</v>
      </c>
      <c r="V4" s="73" t="s">
        <v>282</v>
      </c>
      <c r="W4" s="70" t="s">
        <v>283</v>
      </c>
      <c r="X4" s="74" t="s">
        <v>284</v>
      </c>
      <c r="Y4" s="37" t="s">
        <v>285</v>
      </c>
      <c r="Z4" s="77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60">
        <f>IFERROR(__xludf.DUMMYFUNCTION("""COMPUTED_VALUE"""),45743.6458333333)</f>
        <v>45743.6458333333</v>
      </c>
      <c r="B5" s="61">
        <f>IFERROR(__xludf.DUMMYFUNCTION("""COMPUTED_VALUE"""),2128.65)</f>
        <v>2128.65</v>
      </c>
      <c r="C5" s="60">
        <f>IFERROR(__xludf.DUMMYFUNCTION("""COMPUTED_VALUE"""),45743.6458333333)</f>
        <v>45743.6458333333</v>
      </c>
      <c r="D5" s="61">
        <f>IFERROR(__xludf.DUMMYFUNCTION("""COMPUTED_VALUE"""),2144)</f>
        <v>2144</v>
      </c>
      <c r="E5" s="60">
        <f>IFERROR(__xludf.DUMMYFUNCTION("""COMPUTED_VALUE"""),45743.6458333333)</f>
        <v>45743.6458333333</v>
      </c>
      <c r="F5" s="61">
        <f>IFERROR(__xludf.DUMMYFUNCTION("""COMPUTED_VALUE"""),9421224)</f>
        <v>9421224</v>
      </c>
      <c r="G5" s="60">
        <f>IFERROR(__xludf.DUMMYFUNCTION("""COMPUTED_VALUE"""),45743.6458333333)</f>
        <v>45743.6458333333</v>
      </c>
      <c r="H5" s="61">
        <f>IFERROR(__xludf.DUMMYFUNCTION("""COMPUTED_VALUE"""),2151.4)</f>
        <v>2151.4</v>
      </c>
      <c r="I5" s="71">
        <f>IFERROR(__xludf.DUMMYFUNCTION("""COMPUTED_VALUE"""),45743.6458333333)</f>
        <v>45743.6458333333</v>
      </c>
      <c r="J5" s="51">
        <f>IFERROR(__xludf.DUMMYFUNCTION("""COMPUTED_VALUE"""),2111.85)</f>
        <v>2111.85</v>
      </c>
      <c r="K5" s="51"/>
      <c r="L5" s="51"/>
      <c r="M5" s="51">
        <f t="array" ref="M5">INDEX(K11:K124,MATCH(SMALL(ABS(K11:K124-H3),1),ABS(K11:K124-H3),0))</f>
        <v>2003</v>
      </c>
      <c r="N5" s="51">
        <f t="array" ref="N5">INDEX(K11:K124,MATCH(SMALL(ABS(K11:K124-H3),2),ABS(K11:K124-H3),0))</f>
        <v>2029.9</v>
      </c>
      <c r="O5" s="51">
        <f t="array" ref="O5">INDEX(L11:L124,MATCH(SMALL(ABS(L11:L124-H3),1),ABS(L11:L124-H3),0))</f>
        <v>1959.7</v>
      </c>
      <c r="P5" s="51">
        <f t="array" ref="P5">INDEX(L11:L124,MATCH(SMALL(ABS(L11:L124-H3),2),ABS(L11:L124-H3),0))</f>
        <v>1952.7</v>
      </c>
      <c r="Q5" s="48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S5" s="75">
        <f ca="1">IF(Q5&gt;0,Q5,S5)</f>
        <v>2003</v>
      </c>
      <c r="T5" s="48">
        <f ca="1">IF(AND(H3&gt;=Mastersheet!I3*S5,H3&lt;=Mastersheet!J3*S5),1,0)</f>
        <v>0</v>
      </c>
      <c r="U5" s="76">
        <f>(N3+P3)/2</f>
        <v>2001.9</v>
      </c>
      <c r="V5" s="48">
        <f>(N3+P3+R3+T3)/4</f>
        <v>2003.025</v>
      </c>
      <c r="W5" s="48">
        <f>IF(V5&gt;U5,1,0)</f>
        <v>1</v>
      </c>
      <c r="X5" s="48">
        <f>IF(V5&gt;U5,0,1)</f>
        <v>0</v>
      </c>
      <c r="Y5" s="48">
        <f>IF(COUNTIF(Mastersheet!E:E,L3)&gt;0,0,1)</f>
        <v>1</v>
      </c>
      <c r="Z5" s="78">
        <f ca="1">IF(T5*W5*Y5=1,1,0)</f>
        <v>0</v>
      </c>
      <c r="AA5" s="79"/>
      <c r="AB5" s="44" t="s">
        <v>289</v>
      </c>
      <c r="AC5" s="80" t="s">
        <v>290</v>
      </c>
      <c r="AD5" s="81" t="s">
        <v>291</v>
      </c>
      <c r="AE5" s="81" t="s">
        <v>292</v>
      </c>
    </row>
    <row r="6" customHeight="1" spans="1:31">
      <c r="A6" s="47">
        <f>IFERROR(__xludf.DUMMYFUNCTION("""COMPUTED_VALUE"""),45744.6458333333)</f>
        <v>45744.6458333333</v>
      </c>
      <c r="B6" s="48">
        <f>IFERROR(__xludf.DUMMYFUNCTION("""COMPUTED_VALUE"""),2171.2)</f>
        <v>2171.2</v>
      </c>
      <c r="C6" s="47">
        <f>IFERROR(__xludf.DUMMYFUNCTION("""COMPUTED_VALUE"""),45744.6458333333)</f>
        <v>45744.6458333333</v>
      </c>
      <c r="D6" s="48">
        <f>IFERROR(__xludf.DUMMYFUNCTION("""COMPUTED_VALUE"""),2139.3)</f>
        <v>2139.3</v>
      </c>
      <c r="E6" s="47">
        <f>IFERROR(__xludf.DUMMYFUNCTION("""COMPUTED_VALUE"""),45744.6458333333)</f>
        <v>45744.6458333333</v>
      </c>
      <c r="F6" s="48">
        <f>IFERROR(__xludf.DUMMYFUNCTION("""COMPUTED_VALUE"""),3672253)</f>
        <v>3672253</v>
      </c>
      <c r="G6" s="47">
        <f>IFERROR(__xludf.DUMMYFUNCTION("""COMPUTED_VALUE"""),45744.6458333333)</f>
        <v>45744.6458333333</v>
      </c>
      <c r="H6" s="48">
        <f>IFERROR(__xludf.DUMMYFUNCTION("""COMPUTED_VALUE"""),2179.9)</f>
        <v>2179.9</v>
      </c>
      <c r="I6" s="47">
        <f>IFERROR(__xludf.DUMMYFUNCTION("""COMPUTED_VALUE"""),45744.6458333333)</f>
        <v>45744.6458333333</v>
      </c>
      <c r="J6" s="48">
        <f>IFERROR(__xludf.DUMMYFUNCTION("""COMPUTED_VALUE"""),2139)</f>
        <v>2139</v>
      </c>
      <c r="AB6" s="48">
        <f>IF(COUNTIF(Mastersheet!E:E,L3)&gt;0,1,0)</f>
        <v>0</v>
      </c>
      <c r="AC6" s="48">
        <f>IF(AND(H3&gt;Mastersheet!L3*Mastersheet!F3,X5),1,0)</f>
        <v>0</v>
      </c>
      <c r="AD6" s="76">
        <f>IF(H3&lt;Mastersheet!M3*Mastersheet!F3,1,0)</f>
        <v>0</v>
      </c>
      <c r="AE6" s="48">
        <f>IF(OR(AC6*AB6=1,AD6*AB6=1),1,0)</f>
        <v>0</v>
      </c>
    </row>
    <row r="7" customHeight="1" spans="1:10">
      <c r="A7" s="47">
        <f>IFERROR(__xludf.DUMMYFUNCTION("""COMPUTED_VALUE"""),45748.6458333333)</f>
        <v>45748.6458333333</v>
      </c>
      <c r="B7" s="48">
        <f>IFERROR(__xludf.DUMMYFUNCTION("""COMPUTED_VALUE"""),2145.9)</f>
        <v>2145.9</v>
      </c>
      <c r="C7" s="47">
        <f>IFERROR(__xludf.DUMMYFUNCTION("""COMPUTED_VALUE"""),45748.6458333333)</f>
        <v>45748.6458333333</v>
      </c>
      <c r="D7" s="48">
        <f>IFERROR(__xludf.DUMMYFUNCTION("""COMPUTED_VALUE"""),2174.3)</f>
        <v>2174.3</v>
      </c>
      <c r="E7" s="47">
        <f>IFERROR(__xludf.DUMMYFUNCTION("""COMPUTED_VALUE"""),45748.6458333333)</f>
        <v>45748.6458333333</v>
      </c>
      <c r="F7" s="48">
        <f>IFERROR(__xludf.DUMMYFUNCTION("""COMPUTED_VALUE"""),3750939)</f>
        <v>3750939</v>
      </c>
      <c r="G7" s="47">
        <f>IFERROR(__xludf.DUMMYFUNCTION("""COMPUTED_VALUE"""),45748.6458333333)</f>
        <v>45748.6458333333</v>
      </c>
      <c r="H7" s="48">
        <f>IFERROR(__xludf.DUMMYFUNCTION("""COMPUTED_VALUE"""),2178.5)</f>
        <v>2178.5</v>
      </c>
      <c r="I7" s="47">
        <f>IFERROR(__xludf.DUMMYFUNCTION("""COMPUTED_VALUE"""),45748.6458333333)</f>
        <v>45748.6458333333</v>
      </c>
      <c r="J7" s="48">
        <f>IFERROR(__xludf.DUMMYFUNCTION("""COMPUTED_VALUE"""),2135.9)</f>
        <v>2135.9</v>
      </c>
    </row>
    <row r="8" customHeight="1" spans="1:10">
      <c r="A8" s="47">
        <f>IFERROR(__xludf.DUMMYFUNCTION("""COMPUTED_VALUE"""),45749.6458333333)</f>
        <v>45749.6458333333</v>
      </c>
      <c r="B8" s="48">
        <f>IFERROR(__xludf.DUMMYFUNCTION("""COMPUTED_VALUE"""),2154.6)</f>
        <v>2154.6</v>
      </c>
      <c r="C8" s="47">
        <f>IFERROR(__xludf.DUMMYFUNCTION("""COMPUTED_VALUE"""),45749.6458333333)</f>
        <v>45749.6458333333</v>
      </c>
      <c r="D8" s="48">
        <f>IFERROR(__xludf.DUMMYFUNCTION("""COMPUTED_VALUE"""),2141)</f>
        <v>2141</v>
      </c>
      <c r="E8" s="47">
        <f>IFERROR(__xludf.DUMMYFUNCTION("""COMPUTED_VALUE"""),45749.6458333333)</f>
        <v>45749.6458333333</v>
      </c>
      <c r="F8" s="48">
        <f>IFERROR(__xludf.DUMMYFUNCTION("""COMPUTED_VALUE"""),2132192)</f>
        <v>2132192</v>
      </c>
      <c r="G8" s="47">
        <f>IFERROR(__xludf.DUMMYFUNCTION("""COMPUTED_VALUE"""),45749.6458333333)</f>
        <v>45749.6458333333</v>
      </c>
      <c r="H8" s="48">
        <f>IFERROR(__xludf.DUMMYFUNCTION("""COMPUTED_VALUE"""),2160.65)</f>
        <v>2160.65</v>
      </c>
      <c r="I8" s="47">
        <f>IFERROR(__xludf.DUMMYFUNCTION("""COMPUTED_VALUE"""),45749.6458333333)</f>
        <v>45749.6458333333</v>
      </c>
      <c r="J8" s="48">
        <f>IFERROR(__xludf.DUMMYFUNCTION("""COMPUTED_VALUE"""),2139.65)</f>
        <v>2139.65</v>
      </c>
    </row>
    <row r="9" customHeight="1" spans="1:10">
      <c r="A9" s="47">
        <f>IFERROR(__xludf.DUMMYFUNCTION("""COMPUTED_VALUE"""),45750.6458333333)</f>
        <v>45750.6458333333</v>
      </c>
      <c r="B9" s="48">
        <f>IFERROR(__xludf.DUMMYFUNCTION("""COMPUTED_VALUE"""),2132.6)</f>
        <v>2132.6</v>
      </c>
      <c r="C9" s="47">
        <f>IFERROR(__xludf.DUMMYFUNCTION("""COMPUTED_VALUE"""),45750.6458333333)</f>
        <v>45750.6458333333</v>
      </c>
      <c r="D9" s="48">
        <f>IFERROR(__xludf.DUMMYFUNCTION("""COMPUTED_VALUE"""),2129)</f>
        <v>2129</v>
      </c>
      <c r="E9" s="47">
        <f>IFERROR(__xludf.DUMMYFUNCTION("""COMPUTED_VALUE"""),45750.6458333333)</f>
        <v>45750.6458333333</v>
      </c>
      <c r="F9" s="48">
        <f>IFERROR(__xludf.DUMMYFUNCTION("""COMPUTED_VALUE"""),1694038)</f>
        <v>1694038</v>
      </c>
      <c r="G9" s="47">
        <f>IFERROR(__xludf.DUMMYFUNCTION("""COMPUTED_VALUE"""),45750.6458333333)</f>
        <v>45750.6458333333</v>
      </c>
      <c r="H9" s="48">
        <f>IFERROR(__xludf.DUMMYFUNCTION("""COMPUTED_VALUE"""),2151.7)</f>
        <v>2151.7</v>
      </c>
      <c r="I9" s="47">
        <f>IFERROR(__xludf.DUMMYFUNCTION("""COMPUTED_VALUE"""),45750.6458333333)</f>
        <v>45750.6458333333</v>
      </c>
      <c r="J9" s="48">
        <f>IFERROR(__xludf.DUMMYFUNCTION("""COMPUTED_VALUE"""),2127.15)</f>
        <v>2127.15</v>
      </c>
    </row>
    <row r="10" customHeight="1" spans="1:10">
      <c r="A10" s="47">
        <f>IFERROR(__xludf.DUMMYFUNCTION("""COMPUTED_VALUE"""),45751.6458333333)</f>
        <v>45751.6458333333</v>
      </c>
      <c r="B10" s="48">
        <f>IFERROR(__xludf.DUMMYFUNCTION("""COMPUTED_VALUE"""),2131.95)</f>
        <v>2131.95</v>
      </c>
      <c r="C10" s="47">
        <f>IFERROR(__xludf.DUMMYFUNCTION("""COMPUTED_VALUE"""),45751.6458333333)</f>
        <v>45751.6458333333</v>
      </c>
      <c r="D10" s="48">
        <f>IFERROR(__xludf.DUMMYFUNCTION("""COMPUTED_VALUE"""),2130.9)</f>
        <v>2130.9</v>
      </c>
      <c r="E10" s="47">
        <f>IFERROR(__xludf.DUMMYFUNCTION("""COMPUTED_VALUE"""),45751.6458333333)</f>
        <v>45751.6458333333</v>
      </c>
      <c r="F10" s="48">
        <f>IFERROR(__xludf.DUMMYFUNCTION("""COMPUTED_VALUE"""),3788403)</f>
        <v>3788403</v>
      </c>
      <c r="G10" s="47">
        <f>IFERROR(__xludf.DUMMYFUNCTION("""COMPUTED_VALUE"""),45751.6458333333)</f>
        <v>45751.6458333333</v>
      </c>
      <c r="H10" s="48">
        <f>IFERROR(__xludf.DUMMYFUNCTION("""COMPUTED_VALUE"""),2146.3)</f>
        <v>2146.3</v>
      </c>
      <c r="I10" s="47">
        <f>IFERROR(__xludf.DUMMYFUNCTION("""COMPUTED_VALUE"""),45751.6458333333)</f>
        <v>45751.6458333333</v>
      </c>
      <c r="J10" s="48">
        <f>IFERROR(__xludf.DUMMYFUNCTION("""COMPUTED_VALUE"""),2118.15)</f>
        <v>2118.15</v>
      </c>
    </row>
    <row r="11" customHeight="1" spans="1:12">
      <c r="A11" s="47">
        <f>IFERROR(__xludf.DUMMYFUNCTION("""COMPUTED_VALUE"""),45754.6458333333)</f>
        <v>45754.6458333333</v>
      </c>
      <c r="B11" s="48">
        <f>IFERROR(__xludf.DUMMYFUNCTION("""COMPUTED_VALUE"""),2037.85)</f>
        <v>2037.85</v>
      </c>
      <c r="C11" s="47">
        <f>IFERROR(__xludf.DUMMYFUNCTION("""COMPUTED_VALUE"""),45754.6458333333)</f>
        <v>45754.6458333333</v>
      </c>
      <c r="D11" s="48">
        <f>IFERROR(__xludf.DUMMYFUNCTION("""COMPUTED_VALUE"""),2018.7)</f>
        <v>2018.7</v>
      </c>
      <c r="E11" s="47">
        <f>IFERROR(__xludf.DUMMYFUNCTION("""COMPUTED_VALUE"""),45754.6458333333)</f>
        <v>45754.6458333333</v>
      </c>
      <c r="F11" s="48">
        <f>IFERROR(__xludf.DUMMYFUNCTION("""COMPUTED_VALUE"""),7139049)</f>
        <v>7139049</v>
      </c>
      <c r="G11" s="47">
        <f>IFERROR(__xludf.DUMMYFUNCTION("""COMPUTED_VALUE"""),45754.6458333333)</f>
        <v>45754.6458333333</v>
      </c>
      <c r="H11" s="48">
        <f>IFERROR(__xludf.DUMMYFUNCTION("""COMPUTED_VALUE"""),2083.6)</f>
        <v>2083.6</v>
      </c>
      <c r="I11" s="47">
        <f>IFERROR(__xludf.DUMMYFUNCTION("""COMPUTED_VALUE"""),45754.6458333333)</f>
        <v>45754.6458333333</v>
      </c>
      <c r="J11" s="48">
        <f>IFERROR(__xludf.DUMMYFUNCTION("""COMPUTED_VALUE"""),2000.8)</f>
        <v>2000.8</v>
      </c>
      <c r="K11" s="3">
        <f t="shared" ref="K11:K125" si="2">IF(B11=MAX(B5:B17),B11,0)</f>
        <v>0</v>
      </c>
      <c r="L11" s="3">
        <f t="shared" ref="L11:L125" si="3">IF(B11=MIN(B5:B17),B11,0)</f>
        <v>2037.85</v>
      </c>
    </row>
    <row r="12" customHeight="1" spans="1:12">
      <c r="A12" s="47">
        <f>IFERROR(__xludf.DUMMYFUNCTION("""COMPUTED_VALUE"""),45755.6458333333)</f>
        <v>45755.6458333333</v>
      </c>
      <c r="B12" s="48">
        <f>IFERROR(__xludf.DUMMYFUNCTION("""COMPUTED_VALUE"""),2055.15)</f>
        <v>2055.15</v>
      </c>
      <c r="C12" s="47">
        <f>IFERROR(__xludf.DUMMYFUNCTION("""COMPUTED_VALUE"""),45755.6458333333)</f>
        <v>45755.6458333333</v>
      </c>
      <c r="D12" s="48">
        <f>IFERROR(__xludf.DUMMYFUNCTION("""COMPUTED_VALUE"""),2062.45)</f>
        <v>2062.45</v>
      </c>
      <c r="E12" s="47">
        <f>IFERROR(__xludf.DUMMYFUNCTION("""COMPUTED_VALUE"""),45755.6458333333)</f>
        <v>45755.6458333333</v>
      </c>
      <c r="F12" s="48">
        <f>IFERROR(__xludf.DUMMYFUNCTION("""COMPUTED_VALUE"""),4094339)</f>
        <v>4094339</v>
      </c>
      <c r="G12" s="47">
        <f>IFERROR(__xludf.DUMMYFUNCTION("""COMPUTED_VALUE"""),45755.6458333333)</f>
        <v>45755.6458333333</v>
      </c>
      <c r="H12" s="48">
        <f>IFERROR(__xludf.DUMMYFUNCTION("""COMPUTED_VALUE"""),2079.9)</f>
        <v>2079.9</v>
      </c>
      <c r="I12" s="47">
        <f>IFERROR(__xludf.DUMMYFUNCTION("""COMPUTED_VALUE"""),45755.6458333333)</f>
        <v>45755.6458333333</v>
      </c>
      <c r="J12" s="48">
        <f>IFERROR(__xludf.DUMMYFUNCTION("""COMPUTED_VALUE"""),2038)</f>
        <v>2038</v>
      </c>
      <c r="K12" s="3">
        <f t="shared" si="2"/>
        <v>0</v>
      </c>
      <c r="L12" s="3">
        <f t="shared" si="3"/>
        <v>0</v>
      </c>
    </row>
    <row r="13" customHeight="1" spans="1:12">
      <c r="A13" s="47">
        <f>IFERROR(__xludf.DUMMYFUNCTION("""COMPUTED_VALUE"""),45756.6458333333)</f>
        <v>45756.6458333333</v>
      </c>
      <c r="B13" s="48">
        <f>IFERROR(__xludf.DUMMYFUNCTION("""COMPUTED_VALUE"""),2052.7)</f>
        <v>2052.7</v>
      </c>
      <c r="C13" s="47">
        <f>IFERROR(__xludf.DUMMYFUNCTION("""COMPUTED_VALUE"""),45756.6458333333)</f>
        <v>45756.6458333333</v>
      </c>
      <c r="D13" s="48">
        <f>IFERROR(__xludf.DUMMYFUNCTION("""COMPUTED_VALUE"""),2054)</f>
        <v>2054</v>
      </c>
      <c r="E13" s="47">
        <f>IFERROR(__xludf.DUMMYFUNCTION("""COMPUTED_VALUE"""),45756.6458333333)</f>
        <v>45756.6458333333</v>
      </c>
      <c r="F13" s="48">
        <f>IFERROR(__xludf.DUMMYFUNCTION("""COMPUTED_VALUE"""),3919578)</f>
        <v>3919578</v>
      </c>
      <c r="G13" s="47">
        <f>IFERROR(__xludf.DUMMYFUNCTION("""COMPUTED_VALUE"""),45756.6458333333)</f>
        <v>45756.6458333333</v>
      </c>
      <c r="H13" s="48">
        <f>IFERROR(__xludf.DUMMYFUNCTION("""COMPUTED_VALUE"""),2065)</f>
        <v>2065</v>
      </c>
      <c r="I13" s="47">
        <f>IFERROR(__xludf.DUMMYFUNCTION("""COMPUTED_VALUE"""),45756.6458333333)</f>
        <v>45756.6458333333</v>
      </c>
      <c r="J13" s="48">
        <f>IFERROR(__xludf.DUMMYFUNCTION("""COMPUTED_VALUE"""),2042.1)</f>
        <v>2042.1</v>
      </c>
      <c r="K13" s="3">
        <f t="shared" si="2"/>
        <v>0</v>
      </c>
      <c r="L13" s="3">
        <f t="shared" si="3"/>
        <v>0</v>
      </c>
    </row>
    <row r="14" customHeight="1" spans="1:12">
      <c r="A14" s="47">
        <f>IFERROR(__xludf.DUMMYFUNCTION("""COMPUTED_VALUE"""),45758.6458333333)</f>
        <v>45758.6458333333</v>
      </c>
      <c r="B14" s="48">
        <f>IFERROR(__xludf.DUMMYFUNCTION("""COMPUTED_VALUE"""),2111.2)</f>
        <v>2111.2</v>
      </c>
      <c r="C14" s="47">
        <f>IFERROR(__xludf.DUMMYFUNCTION("""COMPUTED_VALUE"""),45758.6458333333)</f>
        <v>45758.6458333333</v>
      </c>
      <c r="D14" s="48">
        <f>IFERROR(__xludf.DUMMYFUNCTION("""COMPUTED_VALUE"""),2065)</f>
        <v>2065</v>
      </c>
      <c r="E14" s="47">
        <f>IFERROR(__xludf.DUMMYFUNCTION("""COMPUTED_VALUE"""),45758.6458333333)</f>
        <v>45758.6458333333</v>
      </c>
      <c r="F14" s="48">
        <f>IFERROR(__xludf.DUMMYFUNCTION("""COMPUTED_VALUE"""),5594689)</f>
        <v>5594689</v>
      </c>
      <c r="G14" s="47">
        <f>IFERROR(__xludf.DUMMYFUNCTION("""COMPUTED_VALUE"""),45758.6458333333)</f>
        <v>45758.6458333333</v>
      </c>
      <c r="H14" s="48">
        <f>IFERROR(__xludf.DUMMYFUNCTION("""COMPUTED_VALUE"""),2139.5)</f>
        <v>2139.5</v>
      </c>
      <c r="I14" s="47">
        <f>IFERROR(__xludf.DUMMYFUNCTION("""COMPUTED_VALUE"""),45758.6458333333)</f>
        <v>45758.6458333333</v>
      </c>
      <c r="J14" s="48">
        <f>IFERROR(__xludf.DUMMYFUNCTION("""COMPUTED_VALUE"""),2058.5)</f>
        <v>2058.5</v>
      </c>
      <c r="K14" s="3">
        <f t="shared" si="2"/>
        <v>0</v>
      </c>
      <c r="L14" s="3">
        <f t="shared" si="3"/>
        <v>0</v>
      </c>
    </row>
    <row r="15" customHeight="1" spans="1:12">
      <c r="A15" s="47">
        <f>IFERROR(__xludf.DUMMYFUNCTION("""COMPUTED_VALUE"""),45762.6458333333)</f>
        <v>45762.6458333333</v>
      </c>
      <c r="B15" s="48">
        <f>IFERROR(__xludf.DUMMYFUNCTION("""COMPUTED_VALUE"""),2120.2)</f>
        <v>2120.2</v>
      </c>
      <c r="C15" s="47">
        <f>IFERROR(__xludf.DUMMYFUNCTION("""COMPUTED_VALUE"""),45762.6458333333)</f>
        <v>45762.6458333333</v>
      </c>
      <c r="D15" s="48">
        <f>IFERROR(__xludf.DUMMYFUNCTION("""COMPUTED_VALUE"""),2145)</f>
        <v>2145</v>
      </c>
      <c r="E15" s="47">
        <f>IFERROR(__xludf.DUMMYFUNCTION("""COMPUTED_VALUE"""),45762.6458333333)</f>
        <v>45762.6458333333</v>
      </c>
      <c r="F15" s="48">
        <f>IFERROR(__xludf.DUMMYFUNCTION("""COMPUTED_VALUE"""),5635664)</f>
        <v>5635664</v>
      </c>
      <c r="G15" s="47">
        <f>IFERROR(__xludf.DUMMYFUNCTION("""COMPUTED_VALUE"""),45762.6458333333)</f>
        <v>45762.6458333333</v>
      </c>
      <c r="H15" s="48">
        <f>IFERROR(__xludf.DUMMYFUNCTION("""COMPUTED_VALUE"""),2147)</f>
        <v>2147</v>
      </c>
      <c r="I15" s="47">
        <f>IFERROR(__xludf.DUMMYFUNCTION("""COMPUTED_VALUE"""),45762.6458333333)</f>
        <v>45762.6458333333</v>
      </c>
      <c r="J15" s="48">
        <f>IFERROR(__xludf.DUMMYFUNCTION("""COMPUTED_VALUE"""),2099.6)</f>
        <v>2099.6</v>
      </c>
      <c r="K15" s="3">
        <f t="shared" si="2"/>
        <v>0</v>
      </c>
      <c r="L15" s="3">
        <f t="shared" si="3"/>
        <v>0</v>
      </c>
    </row>
    <row r="16" customHeight="1" spans="1:12">
      <c r="A16" s="47">
        <f>IFERROR(__xludf.DUMMYFUNCTION("""COMPUTED_VALUE"""),45763.6458333333)</f>
        <v>45763.6458333333</v>
      </c>
      <c r="B16" s="48">
        <f>IFERROR(__xludf.DUMMYFUNCTION("""COMPUTED_VALUE"""),2123.4)</f>
        <v>2123.4</v>
      </c>
      <c r="C16" s="47">
        <f>IFERROR(__xludf.DUMMYFUNCTION("""COMPUTED_VALUE"""),45763.6458333333)</f>
        <v>45763.6458333333</v>
      </c>
      <c r="D16" s="48">
        <f>IFERROR(__xludf.DUMMYFUNCTION("""COMPUTED_VALUE"""),2120)</f>
        <v>2120</v>
      </c>
      <c r="E16" s="47">
        <f>IFERROR(__xludf.DUMMYFUNCTION("""COMPUTED_VALUE"""),45763.6458333333)</f>
        <v>45763.6458333333</v>
      </c>
      <c r="F16" s="48">
        <f>IFERROR(__xludf.DUMMYFUNCTION("""COMPUTED_VALUE"""),2899779)</f>
        <v>2899779</v>
      </c>
      <c r="G16" s="47">
        <f>IFERROR(__xludf.DUMMYFUNCTION("""COMPUTED_VALUE"""),45763.6458333333)</f>
        <v>45763.6458333333</v>
      </c>
      <c r="H16" s="48">
        <f>IFERROR(__xludf.DUMMYFUNCTION("""COMPUTED_VALUE"""),2151.6)</f>
        <v>2151.6</v>
      </c>
      <c r="I16" s="47">
        <f>IFERROR(__xludf.DUMMYFUNCTION("""COMPUTED_VALUE"""),45763.6458333333)</f>
        <v>45763.6458333333</v>
      </c>
      <c r="J16" s="48">
        <f>IFERROR(__xludf.DUMMYFUNCTION("""COMPUTED_VALUE"""),2113.3)</f>
        <v>2113.3</v>
      </c>
      <c r="K16" s="3">
        <f t="shared" si="2"/>
        <v>0</v>
      </c>
      <c r="L16" s="3">
        <f t="shared" si="3"/>
        <v>0</v>
      </c>
    </row>
    <row r="17" customHeight="1" spans="1:12">
      <c r="A17" s="47">
        <f>IFERROR(__xludf.DUMMYFUNCTION("""COMPUTED_VALUE"""),45764.6458333333)</f>
        <v>45764.6458333333</v>
      </c>
      <c r="B17" s="48">
        <f>IFERROR(__xludf.DUMMYFUNCTION("""COMPUTED_VALUE"""),2188.1)</f>
        <v>2188.1</v>
      </c>
      <c r="C17" s="47">
        <f>IFERROR(__xludf.DUMMYFUNCTION("""COMPUTED_VALUE"""),45764.6458333333)</f>
        <v>45764.6458333333</v>
      </c>
      <c r="D17" s="48">
        <f>IFERROR(__xludf.DUMMYFUNCTION("""COMPUTED_VALUE"""),2115)</f>
        <v>2115</v>
      </c>
      <c r="E17" s="47">
        <f>IFERROR(__xludf.DUMMYFUNCTION("""COMPUTED_VALUE"""),45764.6458333333)</f>
        <v>45764.6458333333</v>
      </c>
      <c r="F17" s="48">
        <f>IFERROR(__xludf.DUMMYFUNCTION("""COMPUTED_VALUE"""),5388632)</f>
        <v>5388632</v>
      </c>
      <c r="G17" s="47">
        <f>IFERROR(__xludf.DUMMYFUNCTION("""COMPUTED_VALUE"""),45764.6458333333)</f>
        <v>45764.6458333333</v>
      </c>
      <c r="H17" s="48">
        <f>IFERROR(__xludf.DUMMYFUNCTION("""COMPUTED_VALUE"""),2193.9)</f>
        <v>2193.9</v>
      </c>
      <c r="I17" s="47">
        <f>IFERROR(__xludf.DUMMYFUNCTION("""COMPUTED_VALUE"""),45764.6458333333)</f>
        <v>45764.6458333333</v>
      </c>
      <c r="J17" s="48">
        <f>IFERROR(__xludf.DUMMYFUNCTION("""COMPUTED_VALUE"""),2097.7)</f>
        <v>2097.7</v>
      </c>
      <c r="K17" s="3">
        <f t="shared" si="2"/>
        <v>0</v>
      </c>
      <c r="L17" s="3">
        <f t="shared" si="3"/>
        <v>0</v>
      </c>
    </row>
    <row r="18" customHeight="1" spans="1:12">
      <c r="A18" s="47">
        <f>IFERROR(__xludf.DUMMYFUNCTION("""COMPUTED_VALUE"""),45768.6458333333)</f>
        <v>45768.6458333333</v>
      </c>
      <c r="B18" s="48">
        <f>IFERROR(__xludf.DUMMYFUNCTION("""COMPUTED_VALUE"""),2241.4)</f>
        <v>2241.4</v>
      </c>
      <c r="C18" s="47">
        <f>IFERROR(__xludf.DUMMYFUNCTION("""COMPUTED_VALUE"""),45768.6458333333)</f>
        <v>45768.6458333333</v>
      </c>
      <c r="D18" s="48">
        <f>IFERROR(__xludf.DUMMYFUNCTION("""COMPUTED_VALUE"""),2195)</f>
        <v>2195</v>
      </c>
      <c r="E18" s="47">
        <f>IFERROR(__xludf.DUMMYFUNCTION("""COMPUTED_VALUE"""),45768.6458333333)</f>
        <v>45768.6458333333</v>
      </c>
      <c r="F18" s="48">
        <f>IFERROR(__xludf.DUMMYFUNCTION("""COMPUTED_VALUE"""),4886498)</f>
        <v>4886498</v>
      </c>
      <c r="G18" s="47">
        <f>IFERROR(__xludf.DUMMYFUNCTION("""COMPUTED_VALUE"""),45768.6458333333)</f>
        <v>45768.6458333333</v>
      </c>
      <c r="H18" s="48">
        <f>IFERROR(__xludf.DUMMYFUNCTION("""COMPUTED_VALUE"""),2261.2)</f>
        <v>2261.2</v>
      </c>
      <c r="I18" s="47">
        <f>IFERROR(__xludf.DUMMYFUNCTION("""COMPUTED_VALUE"""),45768.6458333333)</f>
        <v>45768.6458333333</v>
      </c>
      <c r="J18" s="48">
        <f>IFERROR(__xludf.DUMMYFUNCTION("""COMPUTED_VALUE"""),2175.4)</f>
        <v>2175.4</v>
      </c>
      <c r="K18" s="3">
        <f t="shared" si="2"/>
        <v>0</v>
      </c>
      <c r="L18" s="3">
        <f t="shared" si="3"/>
        <v>0</v>
      </c>
    </row>
    <row r="19" customHeight="1" spans="1:12">
      <c r="A19" s="47">
        <f>IFERROR(__xludf.DUMMYFUNCTION("""COMPUTED_VALUE"""),45769.6458333333)</f>
        <v>45769.6458333333</v>
      </c>
      <c r="B19" s="48">
        <f>IFERROR(__xludf.DUMMYFUNCTION("""COMPUTED_VALUE"""),2268.8)</f>
        <v>2268.8</v>
      </c>
      <c r="C19" s="47">
        <f>IFERROR(__xludf.DUMMYFUNCTION("""COMPUTED_VALUE"""),45769.6458333333)</f>
        <v>45769.6458333333</v>
      </c>
      <c r="D19" s="48">
        <f>IFERROR(__xludf.DUMMYFUNCTION("""COMPUTED_VALUE"""),2249)</f>
        <v>2249</v>
      </c>
      <c r="E19" s="47">
        <f>IFERROR(__xludf.DUMMYFUNCTION("""COMPUTED_VALUE"""),45769.6458333333)</f>
        <v>45769.6458333333</v>
      </c>
      <c r="F19" s="48">
        <f>IFERROR(__xludf.DUMMYFUNCTION("""COMPUTED_VALUE"""),6732983)</f>
        <v>6732983</v>
      </c>
      <c r="G19" s="47">
        <f>IFERROR(__xludf.DUMMYFUNCTION("""COMPUTED_VALUE"""),45769.6458333333)</f>
        <v>45769.6458333333</v>
      </c>
      <c r="H19" s="48">
        <f>IFERROR(__xludf.DUMMYFUNCTION("""COMPUTED_VALUE"""),2301.9)</f>
        <v>2301.9</v>
      </c>
      <c r="I19" s="47">
        <f>IFERROR(__xludf.DUMMYFUNCTION("""COMPUTED_VALUE"""),45769.6458333333)</f>
        <v>45769.6458333333</v>
      </c>
      <c r="J19" s="48">
        <f>IFERROR(__xludf.DUMMYFUNCTION("""COMPUTED_VALUE"""),2245.4)</f>
        <v>2245.4</v>
      </c>
      <c r="K19" s="3">
        <f t="shared" si="2"/>
        <v>2268.8</v>
      </c>
      <c r="L19" s="3">
        <f t="shared" si="3"/>
        <v>0</v>
      </c>
    </row>
    <row r="20" customHeight="1" spans="1:12">
      <c r="A20" s="47">
        <f>IFERROR(__xludf.DUMMYFUNCTION("""COMPUTED_VALUE"""),45770.6458333333)</f>
        <v>45770.6458333333</v>
      </c>
      <c r="B20" s="48">
        <f>IFERROR(__xludf.DUMMYFUNCTION("""COMPUTED_VALUE"""),2227)</f>
        <v>2227</v>
      </c>
      <c r="C20" s="47">
        <f>IFERROR(__xludf.DUMMYFUNCTION("""COMPUTED_VALUE"""),45770.6458333333)</f>
        <v>45770.6458333333</v>
      </c>
      <c r="D20" s="48">
        <f>IFERROR(__xludf.DUMMYFUNCTION("""COMPUTED_VALUE"""),2285)</f>
        <v>2285</v>
      </c>
      <c r="E20" s="47">
        <f>IFERROR(__xludf.DUMMYFUNCTION("""COMPUTED_VALUE"""),45770.6458333333)</f>
        <v>45770.6458333333</v>
      </c>
      <c r="F20" s="48">
        <f>IFERROR(__xludf.DUMMYFUNCTION("""COMPUTED_VALUE"""),3523879)</f>
        <v>3523879</v>
      </c>
      <c r="G20" s="47">
        <f>IFERROR(__xludf.DUMMYFUNCTION("""COMPUTED_VALUE"""),45770.6458333333)</f>
        <v>45770.6458333333</v>
      </c>
      <c r="H20" s="48">
        <f>IFERROR(__xludf.DUMMYFUNCTION("""COMPUTED_VALUE"""),2290)</f>
        <v>2290</v>
      </c>
      <c r="I20" s="47">
        <f>IFERROR(__xludf.DUMMYFUNCTION("""COMPUTED_VALUE"""),45770.6458333333)</f>
        <v>45770.6458333333</v>
      </c>
      <c r="J20" s="48">
        <f>IFERROR(__xludf.DUMMYFUNCTION("""COMPUTED_VALUE"""),2220)</f>
        <v>2220</v>
      </c>
      <c r="K20" s="3">
        <f t="shared" si="2"/>
        <v>0</v>
      </c>
      <c r="L20" s="3">
        <f t="shared" si="3"/>
        <v>0</v>
      </c>
    </row>
    <row r="21" customHeight="1" spans="1:12">
      <c r="A21" s="47">
        <f>IFERROR(__xludf.DUMMYFUNCTION("""COMPUTED_VALUE"""),45771.6458333333)</f>
        <v>45771.6458333333</v>
      </c>
      <c r="B21" s="48">
        <f>IFERROR(__xludf.DUMMYFUNCTION("""COMPUTED_VALUE"""),2223)</f>
        <v>2223</v>
      </c>
      <c r="C21" s="47">
        <f>IFERROR(__xludf.DUMMYFUNCTION("""COMPUTED_VALUE"""),45771.6458333333)</f>
        <v>45771.6458333333</v>
      </c>
      <c r="D21" s="48">
        <f>IFERROR(__xludf.DUMMYFUNCTION("""COMPUTED_VALUE"""),2218)</f>
        <v>2218</v>
      </c>
      <c r="E21" s="47">
        <f>IFERROR(__xludf.DUMMYFUNCTION("""COMPUTED_VALUE"""),45771.6458333333)</f>
        <v>45771.6458333333</v>
      </c>
      <c r="F21" s="48">
        <f>IFERROR(__xludf.DUMMYFUNCTION("""COMPUTED_VALUE"""),4168537)</f>
        <v>4168537</v>
      </c>
      <c r="G21" s="47">
        <f>IFERROR(__xludf.DUMMYFUNCTION("""COMPUTED_VALUE"""),45771.6458333333)</f>
        <v>45771.6458333333</v>
      </c>
      <c r="H21" s="48">
        <f>IFERROR(__xludf.DUMMYFUNCTION("""COMPUTED_VALUE"""),2237.9)</f>
        <v>2237.9</v>
      </c>
      <c r="I21" s="47">
        <f>IFERROR(__xludf.DUMMYFUNCTION("""COMPUTED_VALUE"""),45771.6458333333)</f>
        <v>45771.6458333333</v>
      </c>
      <c r="J21" s="48">
        <f>IFERROR(__xludf.DUMMYFUNCTION("""COMPUTED_VALUE"""),2213.7)</f>
        <v>2213.7</v>
      </c>
      <c r="K21" s="3">
        <f t="shared" si="2"/>
        <v>0</v>
      </c>
      <c r="L21" s="3">
        <f t="shared" si="3"/>
        <v>0</v>
      </c>
    </row>
    <row r="22" customHeight="1" spans="1:12">
      <c r="A22" s="47">
        <f>IFERROR(__xludf.DUMMYFUNCTION("""COMPUTED_VALUE"""),45772.6458333333)</f>
        <v>45772.6458333333</v>
      </c>
      <c r="B22" s="48">
        <f>IFERROR(__xludf.DUMMYFUNCTION("""COMPUTED_VALUE"""),2204.4)</f>
        <v>2204.4</v>
      </c>
      <c r="C22" s="47">
        <f>IFERROR(__xludf.DUMMYFUNCTION("""COMPUTED_VALUE"""),45772.6458333333)</f>
        <v>45772.6458333333</v>
      </c>
      <c r="D22" s="48">
        <f>IFERROR(__xludf.DUMMYFUNCTION("""COMPUTED_VALUE"""),2220)</f>
        <v>2220</v>
      </c>
      <c r="E22" s="47">
        <f>IFERROR(__xludf.DUMMYFUNCTION("""COMPUTED_VALUE"""),45772.6458333333)</f>
        <v>45772.6458333333</v>
      </c>
      <c r="F22" s="48">
        <f>IFERROR(__xludf.DUMMYFUNCTION("""COMPUTED_VALUE"""),2136003)</f>
        <v>2136003</v>
      </c>
      <c r="G22" s="47">
        <f>IFERROR(__xludf.DUMMYFUNCTION("""COMPUTED_VALUE"""),45772.6458333333)</f>
        <v>45772.6458333333</v>
      </c>
      <c r="H22" s="48">
        <f>IFERROR(__xludf.DUMMYFUNCTION("""COMPUTED_VALUE"""),2233.4)</f>
        <v>2233.4</v>
      </c>
      <c r="I22" s="47">
        <f>IFERROR(__xludf.DUMMYFUNCTION("""COMPUTED_VALUE"""),45772.6458333333)</f>
        <v>45772.6458333333</v>
      </c>
      <c r="J22" s="48">
        <f>IFERROR(__xludf.DUMMYFUNCTION("""COMPUTED_VALUE"""),2178.2)</f>
        <v>2178.2</v>
      </c>
      <c r="K22" s="3">
        <f t="shared" si="2"/>
        <v>0</v>
      </c>
      <c r="L22" s="3">
        <f t="shared" si="3"/>
        <v>0</v>
      </c>
    </row>
    <row r="23" customHeight="1" spans="1:12">
      <c r="A23" s="47">
        <f>IFERROR(__xludf.DUMMYFUNCTION("""COMPUTED_VALUE"""),45775.6458333333)</f>
        <v>45775.6458333333</v>
      </c>
      <c r="B23" s="48">
        <f>IFERROR(__xludf.DUMMYFUNCTION("""COMPUTED_VALUE"""),2225.6)</f>
        <v>2225.6</v>
      </c>
      <c r="C23" s="47">
        <f>IFERROR(__xludf.DUMMYFUNCTION("""COMPUTED_VALUE"""),45775.6458333333)</f>
        <v>45775.6458333333</v>
      </c>
      <c r="D23" s="48">
        <f>IFERROR(__xludf.DUMMYFUNCTION("""COMPUTED_VALUE"""),2197)</f>
        <v>2197</v>
      </c>
      <c r="E23" s="47">
        <f>IFERROR(__xludf.DUMMYFUNCTION("""COMPUTED_VALUE"""),45775.6458333333)</f>
        <v>45775.6458333333</v>
      </c>
      <c r="F23" s="48">
        <f>IFERROR(__xludf.DUMMYFUNCTION("""COMPUTED_VALUE"""),2438178)</f>
        <v>2438178</v>
      </c>
      <c r="G23" s="47">
        <f>IFERROR(__xludf.DUMMYFUNCTION("""COMPUTED_VALUE"""),45775.6458333333)</f>
        <v>45775.6458333333</v>
      </c>
      <c r="H23" s="48">
        <f>IFERROR(__xludf.DUMMYFUNCTION("""COMPUTED_VALUE"""),2231.8)</f>
        <v>2231.8</v>
      </c>
      <c r="I23" s="47">
        <f>IFERROR(__xludf.DUMMYFUNCTION("""COMPUTED_VALUE"""),45775.6458333333)</f>
        <v>45775.6458333333</v>
      </c>
      <c r="J23" s="48">
        <f>IFERROR(__xludf.DUMMYFUNCTION("""COMPUTED_VALUE"""),2189.4)</f>
        <v>2189.4</v>
      </c>
      <c r="K23" s="3">
        <f t="shared" si="2"/>
        <v>0</v>
      </c>
      <c r="L23" s="3">
        <f t="shared" si="3"/>
        <v>0</v>
      </c>
    </row>
    <row r="24" customHeight="1" spans="1:12">
      <c r="A24" s="47">
        <f>IFERROR(__xludf.DUMMYFUNCTION("""COMPUTED_VALUE"""),45776.6458333333)</f>
        <v>45776.6458333333</v>
      </c>
      <c r="B24" s="48">
        <f>IFERROR(__xludf.DUMMYFUNCTION("""COMPUTED_VALUE"""),2205)</f>
        <v>2205</v>
      </c>
      <c r="C24" s="47">
        <f>IFERROR(__xludf.DUMMYFUNCTION("""COMPUTED_VALUE"""),45776.6458333333)</f>
        <v>45776.6458333333</v>
      </c>
      <c r="D24" s="48">
        <f>IFERROR(__xludf.DUMMYFUNCTION("""COMPUTED_VALUE"""),2225.6)</f>
        <v>2225.6</v>
      </c>
      <c r="E24" s="47">
        <f>IFERROR(__xludf.DUMMYFUNCTION("""COMPUTED_VALUE"""),45776.6458333333)</f>
        <v>45776.6458333333</v>
      </c>
      <c r="F24" s="48">
        <f>IFERROR(__xludf.DUMMYFUNCTION("""COMPUTED_VALUE"""),3058265)</f>
        <v>3058265</v>
      </c>
      <c r="G24" s="47">
        <f>IFERROR(__xludf.DUMMYFUNCTION("""COMPUTED_VALUE"""),45776.6458333333)</f>
        <v>45776.6458333333</v>
      </c>
      <c r="H24" s="48">
        <f>IFERROR(__xludf.DUMMYFUNCTION("""COMPUTED_VALUE"""),2247)</f>
        <v>2247</v>
      </c>
      <c r="I24" s="47">
        <f>IFERROR(__xludf.DUMMYFUNCTION("""COMPUTED_VALUE"""),45776.6458333333)</f>
        <v>45776.6458333333</v>
      </c>
      <c r="J24" s="48">
        <f>IFERROR(__xludf.DUMMYFUNCTION("""COMPUTED_VALUE"""),2198.8)</f>
        <v>2198.8</v>
      </c>
      <c r="K24" s="3">
        <f t="shared" si="2"/>
        <v>0</v>
      </c>
      <c r="L24" s="3">
        <f t="shared" si="3"/>
        <v>0</v>
      </c>
    </row>
    <row r="25" customHeight="1" spans="1:12">
      <c r="A25" s="47">
        <f>IFERROR(__xludf.DUMMYFUNCTION("""COMPUTED_VALUE"""),45777.6458333333)</f>
        <v>45777.6458333333</v>
      </c>
      <c r="B25" s="48">
        <f>IFERROR(__xludf.DUMMYFUNCTION("""COMPUTED_VALUE"""),2208.1)</f>
        <v>2208.1</v>
      </c>
      <c r="C25" s="47">
        <f>IFERROR(__xludf.DUMMYFUNCTION("""COMPUTED_VALUE"""),45777.6458333333)</f>
        <v>45777.6458333333</v>
      </c>
      <c r="D25" s="48">
        <f>IFERROR(__xludf.DUMMYFUNCTION("""COMPUTED_VALUE"""),2213.9)</f>
        <v>2213.9</v>
      </c>
      <c r="E25" s="47">
        <f>IFERROR(__xludf.DUMMYFUNCTION("""COMPUTED_VALUE"""),45777.6458333333)</f>
        <v>45777.6458333333</v>
      </c>
      <c r="F25" s="48">
        <f>IFERROR(__xludf.DUMMYFUNCTION("""COMPUTED_VALUE"""),4622917)</f>
        <v>4622917</v>
      </c>
      <c r="G25" s="47">
        <f>IFERROR(__xludf.DUMMYFUNCTION("""COMPUTED_VALUE"""),45777.6458333333)</f>
        <v>45777.6458333333</v>
      </c>
      <c r="H25" s="48">
        <f>IFERROR(__xludf.DUMMYFUNCTION("""COMPUTED_VALUE"""),2231)</f>
        <v>2231</v>
      </c>
      <c r="I25" s="47">
        <f>IFERROR(__xludf.DUMMYFUNCTION("""COMPUTED_VALUE"""),45777.6458333333)</f>
        <v>45777.6458333333</v>
      </c>
      <c r="J25" s="48">
        <f>IFERROR(__xludf.DUMMYFUNCTION("""COMPUTED_VALUE"""),2188.2)</f>
        <v>2188.2</v>
      </c>
      <c r="K25" s="3">
        <f t="shared" si="2"/>
        <v>0</v>
      </c>
      <c r="L25" s="3">
        <f t="shared" si="3"/>
        <v>0</v>
      </c>
    </row>
    <row r="26" customHeight="1" spans="1:12">
      <c r="A26" s="47">
        <f>IFERROR(__xludf.DUMMYFUNCTION("""COMPUTED_VALUE"""),45779.6458333333)</f>
        <v>45779.6458333333</v>
      </c>
      <c r="B26" s="48">
        <f>IFERROR(__xludf.DUMMYFUNCTION("""COMPUTED_VALUE"""),2185.2)</f>
        <v>2185.2</v>
      </c>
      <c r="C26" s="47">
        <f>IFERROR(__xludf.DUMMYFUNCTION("""COMPUTED_VALUE"""),45779.6458333333)</f>
        <v>45779.6458333333</v>
      </c>
      <c r="D26" s="48">
        <f>IFERROR(__xludf.DUMMYFUNCTION("""COMPUTED_VALUE"""),2204)</f>
        <v>2204</v>
      </c>
      <c r="E26" s="47">
        <f>IFERROR(__xludf.DUMMYFUNCTION("""COMPUTED_VALUE"""),45779.6458333333)</f>
        <v>45779.6458333333</v>
      </c>
      <c r="F26" s="48">
        <f>IFERROR(__xludf.DUMMYFUNCTION("""COMPUTED_VALUE"""),1815806)</f>
        <v>1815806</v>
      </c>
      <c r="G26" s="47">
        <f>IFERROR(__xludf.DUMMYFUNCTION("""COMPUTED_VALUE"""),45779.6458333333)</f>
        <v>45779.6458333333</v>
      </c>
      <c r="H26" s="48">
        <f>IFERROR(__xludf.DUMMYFUNCTION("""COMPUTED_VALUE"""),2223.6)</f>
        <v>2223.6</v>
      </c>
      <c r="I26" s="47">
        <f>IFERROR(__xludf.DUMMYFUNCTION("""COMPUTED_VALUE"""),45779.6458333333)</f>
        <v>45779.6458333333</v>
      </c>
      <c r="J26" s="48">
        <f>IFERROR(__xludf.DUMMYFUNCTION("""COMPUTED_VALUE"""),2171.2)</f>
        <v>2171.2</v>
      </c>
      <c r="K26" s="3">
        <f t="shared" si="2"/>
        <v>0</v>
      </c>
      <c r="L26" s="3">
        <f t="shared" si="3"/>
        <v>0</v>
      </c>
    </row>
    <row r="27" customHeight="1" spans="1:12">
      <c r="A27" s="47">
        <f>IFERROR(__xludf.DUMMYFUNCTION("""COMPUTED_VALUE"""),45782.6458333333)</f>
        <v>45782.6458333333</v>
      </c>
      <c r="B27" s="48">
        <f>IFERROR(__xludf.DUMMYFUNCTION("""COMPUTED_VALUE"""),2084.9)</f>
        <v>2084.9</v>
      </c>
      <c r="C27" s="47">
        <f>IFERROR(__xludf.DUMMYFUNCTION("""COMPUTED_VALUE"""),45782.6458333333)</f>
        <v>45782.6458333333</v>
      </c>
      <c r="D27" s="48">
        <f>IFERROR(__xludf.DUMMYFUNCTION("""COMPUTED_VALUE"""),2105.1)</f>
        <v>2105.1</v>
      </c>
      <c r="E27" s="47">
        <f>IFERROR(__xludf.DUMMYFUNCTION("""COMPUTED_VALUE"""),45782.6458333333)</f>
        <v>45782.6458333333</v>
      </c>
      <c r="F27" s="48">
        <f>IFERROR(__xludf.DUMMYFUNCTION("""COMPUTED_VALUE"""),8821617)</f>
        <v>8821617</v>
      </c>
      <c r="G27" s="47">
        <f>IFERROR(__xludf.DUMMYFUNCTION("""COMPUTED_VALUE"""),45782.6458333333)</f>
        <v>45782.6458333333</v>
      </c>
      <c r="H27" s="48">
        <f>IFERROR(__xludf.DUMMYFUNCTION("""COMPUTED_VALUE"""),2133.8)</f>
        <v>2133.8</v>
      </c>
      <c r="I27" s="47">
        <f>IFERROR(__xludf.DUMMYFUNCTION("""COMPUTED_VALUE"""),45782.6458333333)</f>
        <v>45782.6458333333</v>
      </c>
      <c r="J27" s="48">
        <f>IFERROR(__xludf.DUMMYFUNCTION("""COMPUTED_VALUE"""),2058)</f>
        <v>2058</v>
      </c>
      <c r="K27" s="3">
        <f t="shared" si="2"/>
        <v>0</v>
      </c>
      <c r="L27" s="3">
        <f t="shared" si="3"/>
        <v>0</v>
      </c>
    </row>
    <row r="28" customHeight="1" spans="1:12">
      <c r="A28" s="47">
        <f>IFERROR(__xludf.DUMMYFUNCTION("""COMPUTED_VALUE"""),45783.6458333333)</f>
        <v>45783.6458333333</v>
      </c>
      <c r="B28" s="48">
        <f>IFERROR(__xludf.DUMMYFUNCTION("""COMPUTED_VALUE"""),2074)</f>
        <v>2074</v>
      </c>
      <c r="C28" s="47">
        <f>IFERROR(__xludf.DUMMYFUNCTION("""COMPUTED_VALUE"""),45783.6458333333)</f>
        <v>45783.6458333333</v>
      </c>
      <c r="D28" s="48">
        <f>IFERROR(__xludf.DUMMYFUNCTION("""COMPUTED_VALUE"""),2086)</f>
        <v>2086</v>
      </c>
      <c r="E28" s="47">
        <f>IFERROR(__xludf.DUMMYFUNCTION("""COMPUTED_VALUE"""),45783.6458333333)</f>
        <v>45783.6458333333</v>
      </c>
      <c r="F28" s="48">
        <f>IFERROR(__xludf.DUMMYFUNCTION("""COMPUTED_VALUE"""),3405097)</f>
        <v>3405097</v>
      </c>
      <c r="G28" s="47">
        <f>IFERROR(__xludf.DUMMYFUNCTION("""COMPUTED_VALUE"""),45783.6458333333)</f>
        <v>45783.6458333333</v>
      </c>
      <c r="H28" s="48">
        <f>IFERROR(__xludf.DUMMYFUNCTION("""COMPUTED_VALUE"""),2091.4)</f>
        <v>2091.4</v>
      </c>
      <c r="I28" s="47">
        <f>IFERROR(__xludf.DUMMYFUNCTION("""COMPUTED_VALUE"""),45783.6458333333)</f>
        <v>45783.6458333333</v>
      </c>
      <c r="J28" s="48">
        <f>IFERROR(__xludf.DUMMYFUNCTION("""COMPUTED_VALUE"""),2065)</f>
        <v>2065</v>
      </c>
      <c r="K28" s="3">
        <f t="shared" si="2"/>
        <v>0</v>
      </c>
      <c r="L28" s="3">
        <f t="shared" si="3"/>
        <v>2074</v>
      </c>
    </row>
    <row r="29" customHeight="1" spans="1:12">
      <c r="A29" s="47">
        <f>IFERROR(__xludf.DUMMYFUNCTION("""COMPUTED_VALUE"""),45784.6458333333)</f>
        <v>45784.6458333333</v>
      </c>
      <c r="B29" s="48">
        <f>IFERROR(__xludf.DUMMYFUNCTION("""COMPUTED_VALUE"""),2094.9)</f>
        <v>2094.9</v>
      </c>
      <c r="C29" s="47">
        <f>IFERROR(__xludf.DUMMYFUNCTION("""COMPUTED_VALUE"""),45784.6458333333)</f>
        <v>45784.6458333333</v>
      </c>
      <c r="D29" s="48">
        <f>IFERROR(__xludf.DUMMYFUNCTION("""COMPUTED_VALUE"""),2063.7)</f>
        <v>2063.7</v>
      </c>
      <c r="E29" s="47">
        <f>IFERROR(__xludf.DUMMYFUNCTION("""COMPUTED_VALUE"""),45784.6458333333)</f>
        <v>45784.6458333333</v>
      </c>
      <c r="F29" s="48">
        <f>IFERROR(__xludf.DUMMYFUNCTION("""COMPUTED_VALUE"""),3739456)</f>
        <v>3739456</v>
      </c>
      <c r="G29" s="47">
        <f>IFERROR(__xludf.DUMMYFUNCTION("""COMPUTED_VALUE"""),45784.6458333333)</f>
        <v>45784.6458333333</v>
      </c>
      <c r="H29" s="48">
        <f>IFERROR(__xludf.DUMMYFUNCTION("""COMPUTED_VALUE"""),2101.8)</f>
        <v>2101.8</v>
      </c>
      <c r="I29" s="47">
        <f>IFERROR(__xludf.DUMMYFUNCTION("""COMPUTED_VALUE"""),45784.6458333333)</f>
        <v>45784.6458333333</v>
      </c>
      <c r="J29" s="48">
        <f>IFERROR(__xludf.DUMMYFUNCTION("""COMPUTED_VALUE"""),2054.5)</f>
        <v>2054.5</v>
      </c>
      <c r="K29" s="3">
        <f t="shared" si="2"/>
        <v>0</v>
      </c>
      <c r="L29" s="3">
        <f t="shared" si="3"/>
        <v>0</v>
      </c>
    </row>
    <row r="30" customHeight="1" spans="1:12">
      <c r="A30" s="47">
        <f>IFERROR(__xludf.DUMMYFUNCTION("""COMPUTED_VALUE"""),45785.6458333333)</f>
        <v>45785.6458333333</v>
      </c>
      <c r="B30" s="48">
        <f>IFERROR(__xludf.DUMMYFUNCTION("""COMPUTED_VALUE"""),2112.6)</f>
        <v>2112.6</v>
      </c>
      <c r="C30" s="47">
        <f>IFERROR(__xludf.DUMMYFUNCTION("""COMPUTED_VALUE"""),45785.6458333333)</f>
        <v>45785.6458333333</v>
      </c>
      <c r="D30" s="48">
        <f>IFERROR(__xludf.DUMMYFUNCTION("""COMPUTED_VALUE"""),2099)</f>
        <v>2099</v>
      </c>
      <c r="E30" s="47">
        <f>IFERROR(__xludf.DUMMYFUNCTION("""COMPUTED_VALUE"""),45785.6458333333)</f>
        <v>45785.6458333333</v>
      </c>
      <c r="F30" s="48">
        <f>IFERROR(__xludf.DUMMYFUNCTION("""COMPUTED_VALUE"""),6924871)</f>
        <v>6924871</v>
      </c>
      <c r="G30" s="47">
        <f>IFERROR(__xludf.DUMMYFUNCTION("""COMPUTED_VALUE"""),45785.6458333333)</f>
        <v>45785.6458333333</v>
      </c>
      <c r="H30" s="48">
        <f>IFERROR(__xludf.DUMMYFUNCTION("""COMPUTED_VALUE"""),2138.7)</f>
        <v>2138.7</v>
      </c>
      <c r="I30" s="47">
        <f>IFERROR(__xludf.DUMMYFUNCTION("""COMPUTED_VALUE"""),45785.6458333333)</f>
        <v>45785.6458333333</v>
      </c>
      <c r="J30" s="48">
        <f>IFERROR(__xludf.DUMMYFUNCTION("""COMPUTED_VALUE"""),2094.9)</f>
        <v>2094.9</v>
      </c>
      <c r="K30" s="3">
        <f t="shared" si="2"/>
        <v>0</v>
      </c>
      <c r="L30" s="3">
        <f t="shared" si="3"/>
        <v>0</v>
      </c>
    </row>
    <row r="31" customHeight="1" spans="1:12">
      <c r="A31" s="47">
        <f>IFERROR(__xludf.DUMMYFUNCTION("""COMPUTED_VALUE"""),45786.6458333333)</f>
        <v>45786.6458333333</v>
      </c>
      <c r="B31" s="48">
        <f>IFERROR(__xludf.DUMMYFUNCTION("""COMPUTED_VALUE"""),2103.1)</f>
        <v>2103.1</v>
      </c>
      <c r="C31" s="47">
        <f>IFERROR(__xludf.DUMMYFUNCTION("""COMPUTED_VALUE"""),45786.6458333333)</f>
        <v>45786.6458333333</v>
      </c>
      <c r="D31" s="48">
        <f>IFERROR(__xludf.DUMMYFUNCTION("""COMPUTED_VALUE"""),2075)</f>
        <v>2075</v>
      </c>
      <c r="E31" s="47">
        <f>IFERROR(__xludf.DUMMYFUNCTION("""COMPUTED_VALUE"""),45786.6458333333)</f>
        <v>45786.6458333333</v>
      </c>
      <c r="F31" s="48">
        <f>IFERROR(__xludf.DUMMYFUNCTION("""COMPUTED_VALUE"""),4654300)</f>
        <v>4654300</v>
      </c>
      <c r="G31" s="47">
        <f>IFERROR(__xludf.DUMMYFUNCTION("""COMPUTED_VALUE"""),45786.6458333333)</f>
        <v>45786.6458333333</v>
      </c>
      <c r="H31" s="48">
        <f>IFERROR(__xludf.DUMMYFUNCTION("""COMPUTED_VALUE"""),2120)</f>
        <v>2120</v>
      </c>
      <c r="I31" s="47">
        <f>IFERROR(__xludf.DUMMYFUNCTION("""COMPUTED_VALUE"""),45786.6458333333)</f>
        <v>45786.6458333333</v>
      </c>
      <c r="J31" s="48">
        <f>IFERROR(__xludf.DUMMYFUNCTION("""COMPUTED_VALUE"""),2075)</f>
        <v>2075</v>
      </c>
      <c r="K31" s="3">
        <f t="shared" si="2"/>
        <v>0</v>
      </c>
      <c r="L31" s="3">
        <f t="shared" si="3"/>
        <v>0</v>
      </c>
    </row>
    <row r="32" customHeight="1" spans="1:12">
      <c r="A32" s="47">
        <f>IFERROR(__xludf.DUMMYFUNCTION("""COMPUTED_VALUE"""),45789.6458333333)</f>
        <v>45789.6458333333</v>
      </c>
      <c r="B32" s="48">
        <f>IFERROR(__xludf.DUMMYFUNCTION("""COMPUTED_VALUE"""),2145)</f>
        <v>2145</v>
      </c>
      <c r="C32" s="47">
        <f>IFERROR(__xludf.DUMMYFUNCTION("""COMPUTED_VALUE"""),45789.6458333333)</f>
        <v>45789.6458333333</v>
      </c>
      <c r="D32" s="48">
        <f>IFERROR(__xludf.DUMMYFUNCTION("""COMPUTED_VALUE"""),2134)</f>
        <v>2134</v>
      </c>
      <c r="E32" s="47">
        <f>IFERROR(__xludf.DUMMYFUNCTION("""COMPUTED_VALUE"""),45789.6458333333)</f>
        <v>45789.6458333333</v>
      </c>
      <c r="F32" s="48">
        <f>IFERROR(__xludf.DUMMYFUNCTION("""COMPUTED_VALUE"""),3021874)</f>
        <v>3021874</v>
      </c>
      <c r="G32" s="47">
        <f>IFERROR(__xludf.DUMMYFUNCTION("""COMPUTED_VALUE"""),45789.6458333333)</f>
        <v>45789.6458333333</v>
      </c>
      <c r="H32" s="48">
        <f>IFERROR(__xludf.DUMMYFUNCTION("""COMPUTED_VALUE"""),2163.6)</f>
        <v>2163.6</v>
      </c>
      <c r="I32" s="47">
        <f>IFERROR(__xludf.DUMMYFUNCTION("""COMPUTED_VALUE"""),45789.6458333333)</f>
        <v>45789.6458333333</v>
      </c>
      <c r="J32" s="48">
        <f>IFERROR(__xludf.DUMMYFUNCTION("""COMPUTED_VALUE"""),2126.1)</f>
        <v>2126.1</v>
      </c>
      <c r="K32" s="3">
        <f t="shared" si="2"/>
        <v>0</v>
      </c>
      <c r="L32" s="3">
        <f t="shared" si="3"/>
        <v>0</v>
      </c>
    </row>
    <row r="33" customHeight="1" spans="1:12">
      <c r="A33" s="47">
        <f>IFERROR(__xludf.DUMMYFUNCTION("""COMPUTED_VALUE"""),45790.6458333333)</f>
        <v>45790.6458333333</v>
      </c>
      <c r="B33" s="48">
        <f>IFERROR(__xludf.DUMMYFUNCTION("""COMPUTED_VALUE"""),2115.6)</f>
        <v>2115.6</v>
      </c>
      <c r="C33" s="47">
        <f>IFERROR(__xludf.DUMMYFUNCTION("""COMPUTED_VALUE"""),45790.6458333333)</f>
        <v>45790.6458333333</v>
      </c>
      <c r="D33" s="48">
        <f>IFERROR(__xludf.DUMMYFUNCTION("""COMPUTED_VALUE"""),2135)</f>
        <v>2135</v>
      </c>
      <c r="E33" s="47">
        <f>IFERROR(__xludf.DUMMYFUNCTION("""COMPUTED_VALUE"""),45790.6458333333)</f>
        <v>45790.6458333333</v>
      </c>
      <c r="F33" s="48">
        <f>IFERROR(__xludf.DUMMYFUNCTION("""COMPUTED_VALUE"""),4307824)</f>
        <v>4307824</v>
      </c>
      <c r="G33" s="47">
        <f>IFERROR(__xludf.DUMMYFUNCTION("""COMPUTED_VALUE"""),45790.6458333333)</f>
        <v>45790.6458333333</v>
      </c>
      <c r="H33" s="48">
        <f>IFERROR(__xludf.DUMMYFUNCTION("""COMPUTED_VALUE"""),2146.1)</f>
        <v>2146.1</v>
      </c>
      <c r="I33" s="47">
        <f>IFERROR(__xludf.DUMMYFUNCTION("""COMPUTED_VALUE"""),45790.6458333333)</f>
        <v>45790.6458333333</v>
      </c>
      <c r="J33" s="48">
        <f>IFERROR(__xludf.DUMMYFUNCTION("""COMPUTED_VALUE"""),2101.1)</f>
        <v>2101.1</v>
      </c>
      <c r="K33" s="3">
        <f t="shared" si="2"/>
        <v>0</v>
      </c>
      <c r="L33" s="3">
        <f t="shared" si="3"/>
        <v>0</v>
      </c>
    </row>
    <row r="34" customHeight="1" spans="1:12">
      <c r="A34" s="47">
        <f>IFERROR(__xludf.DUMMYFUNCTION("""COMPUTED_VALUE"""),45791.6458333333)</f>
        <v>45791.6458333333</v>
      </c>
      <c r="B34" s="48">
        <f>IFERROR(__xludf.DUMMYFUNCTION("""COMPUTED_VALUE"""),2092.4)</f>
        <v>2092.4</v>
      </c>
      <c r="C34" s="47">
        <f>IFERROR(__xludf.DUMMYFUNCTION("""COMPUTED_VALUE"""),45791.6458333333)</f>
        <v>45791.6458333333</v>
      </c>
      <c r="D34" s="48">
        <f>IFERROR(__xludf.DUMMYFUNCTION("""COMPUTED_VALUE"""),2111)</f>
        <v>2111</v>
      </c>
      <c r="E34" s="47">
        <f>IFERROR(__xludf.DUMMYFUNCTION("""COMPUTED_VALUE"""),45791.6458333333)</f>
        <v>45791.6458333333</v>
      </c>
      <c r="F34" s="48">
        <f>IFERROR(__xludf.DUMMYFUNCTION("""COMPUTED_VALUE"""),2137594)</f>
        <v>2137594</v>
      </c>
      <c r="G34" s="47">
        <f>IFERROR(__xludf.DUMMYFUNCTION("""COMPUTED_VALUE"""),45791.6458333333)</f>
        <v>45791.6458333333</v>
      </c>
      <c r="H34" s="48">
        <f>IFERROR(__xludf.DUMMYFUNCTION("""COMPUTED_VALUE"""),2119.9)</f>
        <v>2119.9</v>
      </c>
      <c r="I34" s="47">
        <f>IFERROR(__xludf.DUMMYFUNCTION("""COMPUTED_VALUE"""),45791.6458333333)</f>
        <v>45791.6458333333</v>
      </c>
      <c r="J34" s="48">
        <f>IFERROR(__xludf.DUMMYFUNCTION("""COMPUTED_VALUE"""),2084)</f>
        <v>2084</v>
      </c>
      <c r="K34" s="3">
        <f t="shared" si="2"/>
        <v>0</v>
      </c>
      <c r="L34" s="3">
        <f t="shared" si="3"/>
        <v>0</v>
      </c>
    </row>
    <row r="35" customHeight="1" spans="1:12">
      <c r="A35" s="47">
        <f>IFERROR(__xludf.DUMMYFUNCTION("""COMPUTED_VALUE"""),45792.6458333333)</f>
        <v>45792.6458333333</v>
      </c>
      <c r="B35" s="48">
        <f>IFERROR(__xludf.DUMMYFUNCTION("""COMPUTED_VALUE"""),2106.4)</f>
        <v>2106.4</v>
      </c>
      <c r="C35" s="47">
        <f>IFERROR(__xludf.DUMMYFUNCTION("""COMPUTED_VALUE"""),45792.6458333333)</f>
        <v>45792.6458333333</v>
      </c>
      <c r="D35" s="48">
        <f>IFERROR(__xludf.DUMMYFUNCTION("""COMPUTED_VALUE"""),2085.1)</f>
        <v>2085.1</v>
      </c>
      <c r="E35" s="47">
        <f>IFERROR(__xludf.DUMMYFUNCTION("""COMPUTED_VALUE"""),45792.6458333333)</f>
        <v>45792.6458333333</v>
      </c>
      <c r="F35" s="48">
        <f>IFERROR(__xludf.DUMMYFUNCTION("""COMPUTED_VALUE"""),4262359)</f>
        <v>4262359</v>
      </c>
      <c r="G35" s="47">
        <f>IFERROR(__xludf.DUMMYFUNCTION("""COMPUTED_VALUE"""),45792.6458333333)</f>
        <v>45792.6458333333</v>
      </c>
      <c r="H35" s="48">
        <f>IFERROR(__xludf.DUMMYFUNCTION("""COMPUTED_VALUE"""),2112)</f>
        <v>2112</v>
      </c>
      <c r="I35" s="47">
        <f>IFERROR(__xludf.DUMMYFUNCTION("""COMPUTED_VALUE"""),45792.6458333333)</f>
        <v>45792.6458333333</v>
      </c>
      <c r="J35" s="48">
        <f>IFERROR(__xludf.DUMMYFUNCTION("""COMPUTED_VALUE"""),2065.4)</f>
        <v>2065.4</v>
      </c>
      <c r="K35" s="3">
        <f t="shared" si="2"/>
        <v>0</v>
      </c>
      <c r="L35" s="3">
        <f t="shared" si="3"/>
        <v>0</v>
      </c>
    </row>
    <row r="36" customHeight="1" spans="1:12">
      <c r="A36" s="47">
        <f>IFERROR(__xludf.DUMMYFUNCTION("""COMPUTED_VALUE"""),45793.6458333333)</f>
        <v>45793.6458333333</v>
      </c>
      <c r="B36" s="48">
        <f>IFERROR(__xludf.DUMMYFUNCTION("""COMPUTED_VALUE"""),2108.2)</f>
        <v>2108.2</v>
      </c>
      <c r="C36" s="47">
        <f>IFERROR(__xludf.DUMMYFUNCTION("""COMPUTED_VALUE"""),45793.6458333333)</f>
        <v>45793.6458333333</v>
      </c>
      <c r="D36" s="48">
        <f>IFERROR(__xludf.DUMMYFUNCTION("""COMPUTED_VALUE"""),2099.9)</f>
        <v>2099.9</v>
      </c>
      <c r="E36" s="47">
        <f>IFERROR(__xludf.DUMMYFUNCTION("""COMPUTED_VALUE"""),45793.6458333333)</f>
        <v>45793.6458333333</v>
      </c>
      <c r="F36" s="48">
        <f>IFERROR(__xludf.DUMMYFUNCTION("""COMPUTED_VALUE"""),2057908)</f>
        <v>2057908</v>
      </c>
      <c r="G36" s="47">
        <f>IFERROR(__xludf.DUMMYFUNCTION("""COMPUTED_VALUE"""),45793.6458333333)</f>
        <v>45793.6458333333</v>
      </c>
      <c r="H36" s="48">
        <f>IFERROR(__xludf.DUMMYFUNCTION("""COMPUTED_VALUE"""),2114.9)</f>
        <v>2114.9</v>
      </c>
      <c r="I36" s="47">
        <f>IFERROR(__xludf.DUMMYFUNCTION("""COMPUTED_VALUE"""),45793.6458333333)</f>
        <v>45793.6458333333</v>
      </c>
      <c r="J36" s="48">
        <f>IFERROR(__xludf.DUMMYFUNCTION("""COMPUTED_VALUE"""),2090.1)</f>
        <v>2090.1</v>
      </c>
      <c r="K36" s="3">
        <f t="shared" si="2"/>
        <v>0</v>
      </c>
      <c r="L36" s="3">
        <f t="shared" si="3"/>
        <v>0</v>
      </c>
    </row>
    <row r="37" customHeight="1" spans="1:12">
      <c r="A37" s="47">
        <f>IFERROR(__xludf.DUMMYFUNCTION("""COMPUTED_VALUE"""),45796.6458333333)</f>
        <v>45796.6458333333</v>
      </c>
      <c r="B37" s="48">
        <f>IFERROR(__xludf.DUMMYFUNCTION("""COMPUTED_VALUE"""),2111.2)</f>
        <v>2111.2</v>
      </c>
      <c r="C37" s="47">
        <f>IFERROR(__xludf.DUMMYFUNCTION("""COMPUTED_VALUE"""),45796.6458333333)</f>
        <v>45796.6458333333</v>
      </c>
      <c r="D37" s="48">
        <f>IFERROR(__xludf.DUMMYFUNCTION("""COMPUTED_VALUE"""),2102)</f>
        <v>2102</v>
      </c>
      <c r="E37" s="47">
        <f>IFERROR(__xludf.DUMMYFUNCTION("""COMPUTED_VALUE"""),45796.6458333333)</f>
        <v>45796.6458333333</v>
      </c>
      <c r="F37" s="48">
        <f>IFERROR(__xludf.DUMMYFUNCTION("""COMPUTED_VALUE"""),1505704)</f>
        <v>1505704</v>
      </c>
      <c r="G37" s="47">
        <f>IFERROR(__xludf.DUMMYFUNCTION("""COMPUTED_VALUE"""),45796.6458333333)</f>
        <v>45796.6458333333</v>
      </c>
      <c r="H37" s="48">
        <f>IFERROR(__xludf.DUMMYFUNCTION("""COMPUTED_VALUE"""),2124)</f>
        <v>2124</v>
      </c>
      <c r="I37" s="47">
        <f>IFERROR(__xludf.DUMMYFUNCTION("""COMPUTED_VALUE"""),45796.6458333333)</f>
        <v>45796.6458333333</v>
      </c>
      <c r="J37" s="48">
        <f>IFERROR(__xludf.DUMMYFUNCTION("""COMPUTED_VALUE"""),2100.4)</f>
        <v>2100.4</v>
      </c>
      <c r="K37" s="3">
        <f t="shared" si="2"/>
        <v>0</v>
      </c>
      <c r="L37" s="3">
        <f t="shared" si="3"/>
        <v>0</v>
      </c>
    </row>
    <row r="38" customHeight="1" spans="1:12">
      <c r="A38" s="47">
        <f>IFERROR(__xludf.DUMMYFUNCTION("""COMPUTED_VALUE"""),45797.6458333333)</f>
        <v>45797.6458333333</v>
      </c>
      <c r="B38" s="48">
        <f>IFERROR(__xludf.DUMMYFUNCTION("""COMPUTED_VALUE"""),2090.1)</f>
        <v>2090.1</v>
      </c>
      <c r="C38" s="47">
        <f>IFERROR(__xludf.DUMMYFUNCTION("""COMPUTED_VALUE"""),45797.6458333333)</f>
        <v>45797.6458333333</v>
      </c>
      <c r="D38" s="48">
        <f>IFERROR(__xludf.DUMMYFUNCTION("""COMPUTED_VALUE"""),2114.8)</f>
        <v>2114.8</v>
      </c>
      <c r="E38" s="47">
        <f>IFERROR(__xludf.DUMMYFUNCTION("""COMPUTED_VALUE"""),45797.6458333333)</f>
        <v>45797.6458333333</v>
      </c>
      <c r="F38" s="48">
        <f>IFERROR(__xludf.DUMMYFUNCTION("""COMPUTED_VALUE"""),3909098)</f>
        <v>3909098</v>
      </c>
      <c r="G38" s="47">
        <f>IFERROR(__xludf.DUMMYFUNCTION("""COMPUTED_VALUE"""),45797.6458333333)</f>
        <v>45797.6458333333</v>
      </c>
      <c r="H38" s="48">
        <f>IFERROR(__xludf.DUMMYFUNCTION("""COMPUTED_VALUE"""),2117.9)</f>
        <v>2117.9</v>
      </c>
      <c r="I38" s="47">
        <f>IFERROR(__xludf.DUMMYFUNCTION("""COMPUTED_VALUE"""),45797.6458333333)</f>
        <v>45797.6458333333</v>
      </c>
      <c r="J38" s="48">
        <f>IFERROR(__xludf.DUMMYFUNCTION("""COMPUTED_VALUE"""),2084.7)</f>
        <v>2084.7</v>
      </c>
      <c r="K38" s="3">
        <f t="shared" si="2"/>
        <v>0</v>
      </c>
      <c r="L38" s="3">
        <f t="shared" si="3"/>
        <v>0</v>
      </c>
    </row>
    <row r="39" customHeight="1" spans="1:12">
      <c r="A39" s="47">
        <f>IFERROR(__xludf.DUMMYFUNCTION("""COMPUTED_VALUE"""),45798.6458333333)</f>
        <v>45798.6458333333</v>
      </c>
      <c r="B39" s="48">
        <f>IFERROR(__xludf.DUMMYFUNCTION("""COMPUTED_VALUE"""),2071.3)</f>
        <v>2071.3</v>
      </c>
      <c r="C39" s="47">
        <f>IFERROR(__xludf.DUMMYFUNCTION("""COMPUTED_VALUE"""),45798.6458333333)</f>
        <v>45798.6458333333</v>
      </c>
      <c r="D39" s="48">
        <f>IFERROR(__xludf.DUMMYFUNCTION("""COMPUTED_VALUE"""),2095)</f>
        <v>2095</v>
      </c>
      <c r="E39" s="47">
        <f>IFERROR(__xludf.DUMMYFUNCTION("""COMPUTED_VALUE"""),45798.6458333333)</f>
        <v>45798.6458333333</v>
      </c>
      <c r="F39" s="48">
        <f>IFERROR(__xludf.DUMMYFUNCTION("""COMPUTED_VALUE"""),2141740)</f>
        <v>2141740</v>
      </c>
      <c r="G39" s="47">
        <f>IFERROR(__xludf.DUMMYFUNCTION("""COMPUTED_VALUE"""),45798.6458333333)</f>
        <v>45798.6458333333</v>
      </c>
      <c r="H39" s="48">
        <f>IFERROR(__xludf.DUMMYFUNCTION("""COMPUTED_VALUE"""),2096.3)</f>
        <v>2096.3</v>
      </c>
      <c r="I39" s="47">
        <f>IFERROR(__xludf.DUMMYFUNCTION("""COMPUTED_VALUE"""),45798.6458333333)</f>
        <v>45798.6458333333</v>
      </c>
      <c r="J39" s="48">
        <f>IFERROR(__xludf.DUMMYFUNCTION("""COMPUTED_VALUE"""),2060)</f>
        <v>2060</v>
      </c>
      <c r="K39" s="3">
        <f t="shared" si="2"/>
        <v>0</v>
      </c>
      <c r="L39" s="3">
        <f t="shared" si="3"/>
        <v>0</v>
      </c>
    </row>
    <row r="40" customHeight="1" spans="1:12">
      <c r="A40" s="47">
        <f>IFERROR(__xludf.DUMMYFUNCTION("""COMPUTED_VALUE"""),45799.6458333333)</f>
        <v>45799.6458333333</v>
      </c>
      <c r="B40" s="48">
        <f>IFERROR(__xludf.DUMMYFUNCTION("""COMPUTED_VALUE"""),2065.8)</f>
        <v>2065.8</v>
      </c>
      <c r="C40" s="47">
        <f>IFERROR(__xludf.DUMMYFUNCTION("""COMPUTED_VALUE"""),45799.6458333333)</f>
        <v>45799.6458333333</v>
      </c>
      <c r="D40" s="48">
        <f>IFERROR(__xludf.DUMMYFUNCTION("""COMPUTED_VALUE"""),2074)</f>
        <v>2074</v>
      </c>
      <c r="E40" s="47">
        <f>IFERROR(__xludf.DUMMYFUNCTION("""COMPUTED_VALUE"""),45799.6458333333)</f>
        <v>45799.6458333333</v>
      </c>
      <c r="F40" s="48">
        <f>IFERROR(__xludf.DUMMYFUNCTION("""COMPUTED_VALUE"""),3289328)</f>
        <v>3289328</v>
      </c>
      <c r="G40" s="47">
        <f>IFERROR(__xludf.DUMMYFUNCTION("""COMPUTED_VALUE"""),45799.6458333333)</f>
        <v>45799.6458333333</v>
      </c>
      <c r="H40" s="48">
        <f>IFERROR(__xludf.DUMMYFUNCTION("""COMPUTED_VALUE"""),2077.6)</f>
        <v>2077.6</v>
      </c>
      <c r="I40" s="47">
        <f>IFERROR(__xludf.DUMMYFUNCTION("""COMPUTED_VALUE"""),45799.6458333333)</f>
        <v>45799.6458333333</v>
      </c>
      <c r="J40" s="48">
        <f>IFERROR(__xludf.DUMMYFUNCTION("""COMPUTED_VALUE"""),2050.7)</f>
        <v>2050.7</v>
      </c>
      <c r="K40" s="3">
        <f t="shared" si="2"/>
        <v>0</v>
      </c>
      <c r="L40" s="3">
        <f t="shared" si="3"/>
        <v>2065.8</v>
      </c>
    </row>
    <row r="41" customHeight="1" spans="1:12">
      <c r="A41" s="47">
        <f>IFERROR(__xludf.DUMMYFUNCTION("""COMPUTED_VALUE"""),45800.6458333333)</f>
        <v>45800.6458333333</v>
      </c>
      <c r="B41" s="48">
        <f>IFERROR(__xludf.DUMMYFUNCTION("""COMPUTED_VALUE"""),2100.8)</f>
        <v>2100.8</v>
      </c>
      <c r="C41" s="47">
        <f>IFERROR(__xludf.DUMMYFUNCTION("""COMPUTED_VALUE"""),45800.6458333333)</f>
        <v>45800.6458333333</v>
      </c>
      <c r="D41" s="48">
        <f>IFERROR(__xludf.DUMMYFUNCTION("""COMPUTED_VALUE"""),2065.8)</f>
        <v>2065.8</v>
      </c>
      <c r="E41" s="47">
        <f>IFERROR(__xludf.DUMMYFUNCTION("""COMPUTED_VALUE"""),45800.6458333333)</f>
        <v>45800.6458333333</v>
      </c>
      <c r="F41" s="48">
        <f>IFERROR(__xludf.DUMMYFUNCTION("""COMPUTED_VALUE"""),1650953)</f>
        <v>1650953</v>
      </c>
      <c r="G41" s="47">
        <f>IFERROR(__xludf.DUMMYFUNCTION("""COMPUTED_VALUE"""),45800.6458333333)</f>
        <v>45800.6458333333</v>
      </c>
      <c r="H41" s="48">
        <f>IFERROR(__xludf.DUMMYFUNCTION("""COMPUTED_VALUE"""),2109.3)</f>
        <v>2109.3</v>
      </c>
      <c r="I41" s="47">
        <f>IFERROR(__xludf.DUMMYFUNCTION("""COMPUTED_VALUE"""),45800.6458333333)</f>
        <v>45800.6458333333</v>
      </c>
      <c r="J41" s="48">
        <f>IFERROR(__xludf.DUMMYFUNCTION("""COMPUTED_VALUE"""),2065.8)</f>
        <v>2065.8</v>
      </c>
      <c r="K41" s="3">
        <f t="shared" si="2"/>
        <v>0</v>
      </c>
      <c r="L41" s="3">
        <f t="shared" si="3"/>
        <v>0</v>
      </c>
    </row>
    <row r="42" customHeight="1" spans="1:12">
      <c r="A42" s="47">
        <f>IFERROR(__xludf.DUMMYFUNCTION("""COMPUTED_VALUE"""),45803.6458333333)</f>
        <v>45803.6458333333</v>
      </c>
      <c r="B42" s="48">
        <f>IFERROR(__xludf.DUMMYFUNCTION("""COMPUTED_VALUE"""),2089.3)</f>
        <v>2089.3</v>
      </c>
      <c r="C42" s="47">
        <f>IFERROR(__xludf.DUMMYFUNCTION("""COMPUTED_VALUE"""),45803.6458333333)</f>
        <v>45803.6458333333</v>
      </c>
      <c r="D42" s="48">
        <f>IFERROR(__xludf.DUMMYFUNCTION("""COMPUTED_VALUE"""),2090.1)</f>
        <v>2090.1</v>
      </c>
      <c r="E42" s="47">
        <f>IFERROR(__xludf.DUMMYFUNCTION("""COMPUTED_VALUE"""),45803.6458333333)</f>
        <v>45803.6458333333</v>
      </c>
      <c r="F42" s="48">
        <f>IFERROR(__xludf.DUMMYFUNCTION("""COMPUTED_VALUE"""),2040285)</f>
        <v>2040285</v>
      </c>
      <c r="G42" s="47">
        <f>IFERROR(__xludf.DUMMYFUNCTION("""COMPUTED_VALUE"""),45803.6458333333)</f>
        <v>45803.6458333333</v>
      </c>
      <c r="H42" s="48">
        <f>IFERROR(__xludf.DUMMYFUNCTION("""COMPUTED_VALUE"""),2112)</f>
        <v>2112</v>
      </c>
      <c r="I42" s="47">
        <f>IFERROR(__xludf.DUMMYFUNCTION("""COMPUTED_VALUE"""),45803.6458333333)</f>
        <v>45803.6458333333</v>
      </c>
      <c r="J42" s="48">
        <f>IFERROR(__xludf.DUMMYFUNCTION("""COMPUTED_VALUE"""),2085.1)</f>
        <v>2085.1</v>
      </c>
      <c r="K42" s="3">
        <f t="shared" si="2"/>
        <v>0</v>
      </c>
      <c r="L42" s="3">
        <f t="shared" si="3"/>
        <v>0</v>
      </c>
    </row>
    <row r="43" customHeight="1" spans="1:12">
      <c r="A43" s="47">
        <f>IFERROR(__xludf.DUMMYFUNCTION("""COMPUTED_VALUE"""),45804.6458333333)</f>
        <v>45804.6458333333</v>
      </c>
      <c r="B43" s="48">
        <f>IFERROR(__xludf.DUMMYFUNCTION("""COMPUTED_VALUE"""),2077.4)</f>
        <v>2077.4</v>
      </c>
      <c r="C43" s="47">
        <f>IFERROR(__xludf.DUMMYFUNCTION("""COMPUTED_VALUE"""),45804.6458333333)</f>
        <v>45804.6458333333</v>
      </c>
      <c r="D43" s="48">
        <f>IFERROR(__xludf.DUMMYFUNCTION("""COMPUTED_VALUE"""),2090)</f>
        <v>2090</v>
      </c>
      <c r="E43" s="47">
        <f>IFERROR(__xludf.DUMMYFUNCTION("""COMPUTED_VALUE"""),45804.6458333333)</f>
        <v>45804.6458333333</v>
      </c>
      <c r="F43" s="48">
        <f>IFERROR(__xludf.DUMMYFUNCTION("""COMPUTED_VALUE"""),3459940)</f>
        <v>3459940</v>
      </c>
      <c r="G43" s="47">
        <f>IFERROR(__xludf.DUMMYFUNCTION("""COMPUTED_VALUE"""),45804.6458333333)</f>
        <v>45804.6458333333</v>
      </c>
      <c r="H43" s="48">
        <f>IFERROR(__xludf.DUMMYFUNCTION("""COMPUTED_VALUE"""),2099)</f>
        <v>2099</v>
      </c>
      <c r="I43" s="47">
        <f>IFERROR(__xludf.DUMMYFUNCTION("""COMPUTED_VALUE"""),45804.6458333333)</f>
        <v>45804.6458333333</v>
      </c>
      <c r="J43" s="48">
        <f>IFERROR(__xludf.DUMMYFUNCTION("""COMPUTED_VALUE"""),2061.2)</f>
        <v>2061.2</v>
      </c>
      <c r="K43" s="3">
        <f t="shared" si="2"/>
        <v>0</v>
      </c>
      <c r="L43" s="3">
        <f t="shared" si="3"/>
        <v>0</v>
      </c>
    </row>
    <row r="44" customHeight="1" spans="1:12">
      <c r="A44" s="47">
        <f>IFERROR(__xludf.DUMMYFUNCTION("""COMPUTED_VALUE"""),45805.6458333333)</f>
        <v>45805.6458333333</v>
      </c>
      <c r="B44" s="48">
        <f>IFERROR(__xludf.DUMMYFUNCTION("""COMPUTED_VALUE"""),2074.3)</f>
        <v>2074.3</v>
      </c>
      <c r="C44" s="47">
        <f>IFERROR(__xludf.DUMMYFUNCTION("""COMPUTED_VALUE"""),45805.6458333333)</f>
        <v>45805.6458333333</v>
      </c>
      <c r="D44" s="48">
        <f>IFERROR(__xludf.DUMMYFUNCTION("""COMPUTED_VALUE"""),2075)</f>
        <v>2075</v>
      </c>
      <c r="E44" s="47">
        <f>IFERROR(__xludf.DUMMYFUNCTION("""COMPUTED_VALUE"""),45805.6458333333)</f>
        <v>45805.6458333333</v>
      </c>
      <c r="F44" s="48">
        <f>IFERROR(__xludf.DUMMYFUNCTION("""COMPUTED_VALUE"""),1634636)</f>
        <v>1634636</v>
      </c>
      <c r="G44" s="47">
        <f>IFERROR(__xludf.DUMMYFUNCTION("""COMPUTED_VALUE"""),45805.6458333333)</f>
        <v>45805.6458333333</v>
      </c>
      <c r="H44" s="48">
        <f>IFERROR(__xludf.DUMMYFUNCTION("""COMPUTED_VALUE"""),2080.4)</f>
        <v>2080.4</v>
      </c>
      <c r="I44" s="47">
        <f>IFERROR(__xludf.DUMMYFUNCTION("""COMPUTED_VALUE"""),45805.6458333333)</f>
        <v>45805.6458333333</v>
      </c>
      <c r="J44" s="48">
        <f>IFERROR(__xludf.DUMMYFUNCTION("""COMPUTED_VALUE"""),2063.4)</f>
        <v>2063.4</v>
      </c>
      <c r="K44" s="3">
        <f t="shared" si="2"/>
        <v>0</v>
      </c>
      <c r="L44" s="3">
        <f t="shared" si="3"/>
        <v>0</v>
      </c>
    </row>
    <row r="45" customHeight="1" spans="1:12">
      <c r="A45" s="47">
        <f>IFERROR(__xludf.DUMMYFUNCTION("""COMPUTED_VALUE"""),45806.6458333333)</f>
        <v>45806.6458333333</v>
      </c>
      <c r="B45" s="48">
        <f>IFERROR(__xludf.DUMMYFUNCTION("""COMPUTED_VALUE"""),2081.6)</f>
        <v>2081.6</v>
      </c>
      <c r="C45" s="47">
        <f>IFERROR(__xludf.DUMMYFUNCTION("""COMPUTED_VALUE"""),45806.6458333333)</f>
        <v>45806.6458333333</v>
      </c>
      <c r="D45" s="48">
        <f>IFERROR(__xludf.DUMMYFUNCTION("""COMPUTED_VALUE"""),2077.3)</f>
        <v>2077.3</v>
      </c>
      <c r="E45" s="47">
        <f>IFERROR(__xludf.DUMMYFUNCTION("""COMPUTED_VALUE"""),45806.6458333333)</f>
        <v>45806.6458333333</v>
      </c>
      <c r="F45" s="48">
        <f>IFERROR(__xludf.DUMMYFUNCTION("""COMPUTED_VALUE"""),4987382)</f>
        <v>4987382</v>
      </c>
      <c r="G45" s="47">
        <f>IFERROR(__xludf.DUMMYFUNCTION("""COMPUTED_VALUE"""),45806.6458333333)</f>
        <v>45806.6458333333</v>
      </c>
      <c r="H45" s="48">
        <f>IFERROR(__xludf.DUMMYFUNCTION("""COMPUTED_VALUE"""),2096)</f>
        <v>2096</v>
      </c>
      <c r="I45" s="47">
        <f>IFERROR(__xludf.DUMMYFUNCTION("""COMPUTED_VALUE"""),45806.6458333333)</f>
        <v>45806.6458333333</v>
      </c>
      <c r="J45" s="48">
        <f>IFERROR(__xludf.DUMMYFUNCTION("""COMPUTED_VALUE"""),2055)</f>
        <v>2055</v>
      </c>
      <c r="K45" s="3">
        <f t="shared" si="2"/>
        <v>0</v>
      </c>
      <c r="L45" s="3">
        <f t="shared" si="3"/>
        <v>0</v>
      </c>
    </row>
    <row r="46" customHeight="1" spans="1:12">
      <c r="A46" s="47">
        <f>IFERROR(__xludf.DUMMYFUNCTION("""COMPUTED_VALUE"""),45807.6458333333)</f>
        <v>45807.6458333333</v>
      </c>
      <c r="B46" s="48">
        <f>IFERROR(__xludf.DUMMYFUNCTION("""COMPUTED_VALUE"""),2074.7)</f>
        <v>2074.7</v>
      </c>
      <c r="C46" s="47">
        <f>IFERROR(__xludf.DUMMYFUNCTION("""COMPUTED_VALUE"""),45807.6458333333)</f>
        <v>45807.6458333333</v>
      </c>
      <c r="D46" s="48">
        <f>IFERROR(__xludf.DUMMYFUNCTION("""COMPUTED_VALUE"""),2081.6)</f>
        <v>2081.6</v>
      </c>
      <c r="E46" s="47">
        <f>IFERROR(__xludf.DUMMYFUNCTION("""COMPUTED_VALUE"""),45807.6458333333)</f>
        <v>45807.6458333333</v>
      </c>
      <c r="F46" s="48">
        <f>IFERROR(__xludf.DUMMYFUNCTION("""COMPUTED_VALUE"""),9807728)</f>
        <v>9807728</v>
      </c>
      <c r="G46" s="47">
        <f>IFERROR(__xludf.DUMMYFUNCTION("""COMPUTED_VALUE"""),45807.6458333333)</f>
        <v>45807.6458333333</v>
      </c>
      <c r="H46" s="48">
        <f>IFERROR(__xludf.DUMMYFUNCTION("""COMPUTED_VALUE"""),2090.2)</f>
        <v>2090.2</v>
      </c>
      <c r="I46" s="47">
        <f>IFERROR(__xludf.DUMMYFUNCTION("""COMPUTED_VALUE"""),45807.6458333333)</f>
        <v>45807.6458333333</v>
      </c>
      <c r="J46" s="48">
        <f>IFERROR(__xludf.DUMMYFUNCTION("""COMPUTED_VALUE"""),2065.5)</f>
        <v>2065.5</v>
      </c>
      <c r="K46" s="3">
        <f t="shared" si="2"/>
        <v>0</v>
      </c>
      <c r="L46" s="3">
        <f t="shared" si="3"/>
        <v>0</v>
      </c>
    </row>
    <row r="47" customHeight="1" spans="1:12">
      <c r="A47" s="47">
        <f>IFERROR(__xludf.DUMMYFUNCTION("""COMPUTED_VALUE"""),45810.6458333333)</f>
        <v>45810.6458333333</v>
      </c>
      <c r="B47" s="48">
        <f>IFERROR(__xludf.DUMMYFUNCTION("""COMPUTED_VALUE"""),2063.6)</f>
        <v>2063.6</v>
      </c>
      <c r="C47" s="47">
        <f>IFERROR(__xludf.DUMMYFUNCTION("""COMPUTED_VALUE"""),45810.6458333333)</f>
        <v>45810.6458333333</v>
      </c>
      <c r="D47" s="48">
        <f>IFERROR(__xludf.DUMMYFUNCTION("""COMPUTED_VALUE"""),2067)</f>
        <v>2067</v>
      </c>
      <c r="E47" s="47">
        <f>IFERROR(__xludf.DUMMYFUNCTION("""COMPUTED_VALUE"""),45810.6458333333)</f>
        <v>45810.6458333333</v>
      </c>
      <c r="F47" s="48">
        <f>IFERROR(__xludf.DUMMYFUNCTION("""COMPUTED_VALUE"""),2701140)</f>
        <v>2701140</v>
      </c>
      <c r="G47" s="47">
        <f>IFERROR(__xludf.DUMMYFUNCTION("""COMPUTED_VALUE"""),45810.6458333333)</f>
        <v>45810.6458333333</v>
      </c>
      <c r="H47" s="48">
        <f>IFERROR(__xludf.DUMMYFUNCTION("""COMPUTED_VALUE"""),2075.8)</f>
        <v>2075.8</v>
      </c>
      <c r="I47" s="47">
        <f>IFERROR(__xludf.DUMMYFUNCTION("""COMPUTED_VALUE"""),45810.6458333333)</f>
        <v>45810.6458333333</v>
      </c>
      <c r="J47" s="48">
        <f>IFERROR(__xludf.DUMMYFUNCTION("""COMPUTED_VALUE"""),2051.2)</f>
        <v>2051.2</v>
      </c>
      <c r="K47" s="3">
        <f t="shared" si="2"/>
        <v>0</v>
      </c>
      <c r="L47" s="3">
        <f t="shared" si="3"/>
        <v>0</v>
      </c>
    </row>
    <row r="48" customHeight="1" spans="1:12">
      <c r="A48" s="47">
        <f>IFERROR(__xludf.DUMMYFUNCTION("""COMPUTED_VALUE"""),45811.6458333333)</f>
        <v>45811.6458333333</v>
      </c>
      <c r="B48" s="48">
        <f>IFERROR(__xludf.DUMMYFUNCTION("""COMPUTED_VALUE"""),2044.5)</f>
        <v>2044.5</v>
      </c>
      <c r="C48" s="47">
        <f>IFERROR(__xludf.DUMMYFUNCTION("""COMPUTED_VALUE"""),45811.6458333333)</f>
        <v>45811.6458333333</v>
      </c>
      <c r="D48" s="48">
        <f>IFERROR(__xludf.DUMMYFUNCTION("""COMPUTED_VALUE"""),2070)</f>
        <v>2070</v>
      </c>
      <c r="E48" s="47">
        <f>IFERROR(__xludf.DUMMYFUNCTION("""COMPUTED_VALUE"""),45811.6458333333)</f>
        <v>45811.6458333333</v>
      </c>
      <c r="F48" s="48">
        <f>IFERROR(__xludf.DUMMYFUNCTION("""COMPUTED_VALUE"""),6463818)</f>
        <v>6463818</v>
      </c>
      <c r="G48" s="47">
        <f>IFERROR(__xludf.DUMMYFUNCTION("""COMPUTED_VALUE"""),45811.6458333333)</f>
        <v>45811.6458333333</v>
      </c>
      <c r="H48" s="48">
        <f>IFERROR(__xludf.DUMMYFUNCTION("""COMPUTED_VALUE"""),2075.8)</f>
        <v>2075.8</v>
      </c>
      <c r="I48" s="47">
        <f>IFERROR(__xludf.DUMMYFUNCTION("""COMPUTED_VALUE"""),45811.6458333333)</f>
        <v>45811.6458333333</v>
      </c>
      <c r="J48" s="48">
        <f>IFERROR(__xludf.DUMMYFUNCTION("""COMPUTED_VALUE"""),2034.2)</f>
        <v>2034.2</v>
      </c>
      <c r="K48" s="3">
        <f t="shared" si="2"/>
        <v>0</v>
      </c>
      <c r="L48" s="3">
        <f t="shared" si="3"/>
        <v>0</v>
      </c>
    </row>
    <row r="49" customHeight="1" spans="1:12">
      <c r="A49" s="47">
        <f>IFERROR(__xludf.DUMMYFUNCTION("""COMPUTED_VALUE"""),45812.6458333333)</f>
        <v>45812.6458333333</v>
      </c>
      <c r="B49" s="48">
        <f>IFERROR(__xludf.DUMMYFUNCTION("""COMPUTED_VALUE"""),2046.3)</f>
        <v>2046.3</v>
      </c>
      <c r="C49" s="47">
        <f>IFERROR(__xludf.DUMMYFUNCTION("""COMPUTED_VALUE"""),45812.6458333333)</f>
        <v>45812.6458333333</v>
      </c>
      <c r="D49" s="48">
        <f>IFERROR(__xludf.DUMMYFUNCTION("""COMPUTED_VALUE"""),2047.1)</f>
        <v>2047.1</v>
      </c>
      <c r="E49" s="47">
        <f>IFERROR(__xludf.DUMMYFUNCTION("""COMPUTED_VALUE"""),45812.6458333333)</f>
        <v>45812.6458333333</v>
      </c>
      <c r="F49" s="48">
        <f>IFERROR(__xludf.DUMMYFUNCTION("""COMPUTED_VALUE"""),2331114)</f>
        <v>2331114</v>
      </c>
      <c r="G49" s="47">
        <f>IFERROR(__xludf.DUMMYFUNCTION("""COMPUTED_VALUE"""),45812.6458333333)</f>
        <v>45812.6458333333</v>
      </c>
      <c r="H49" s="48">
        <f>IFERROR(__xludf.DUMMYFUNCTION("""COMPUTED_VALUE"""),2058.5)</f>
        <v>2058.5</v>
      </c>
      <c r="I49" s="47">
        <f>IFERROR(__xludf.DUMMYFUNCTION("""COMPUTED_VALUE"""),45812.6458333333)</f>
        <v>45812.6458333333</v>
      </c>
      <c r="J49" s="48">
        <f>IFERROR(__xludf.DUMMYFUNCTION("""COMPUTED_VALUE"""),2040.8)</f>
        <v>2040.8</v>
      </c>
      <c r="K49" s="3">
        <f t="shared" si="2"/>
        <v>0</v>
      </c>
      <c r="L49" s="3">
        <f t="shared" si="3"/>
        <v>0</v>
      </c>
    </row>
    <row r="50" customHeight="1" spans="1:12">
      <c r="A50" s="47">
        <f>IFERROR(__xludf.DUMMYFUNCTION("""COMPUTED_VALUE"""),45813.6458333333)</f>
        <v>45813.6458333333</v>
      </c>
      <c r="B50" s="48">
        <f>IFERROR(__xludf.DUMMYFUNCTION("""COMPUTED_VALUE"""),2039.9)</f>
        <v>2039.9</v>
      </c>
      <c r="C50" s="47">
        <f>IFERROR(__xludf.DUMMYFUNCTION("""COMPUTED_VALUE"""),45813.6458333333)</f>
        <v>45813.6458333333</v>
      </c>
      <c r="D50" s="48">
        <f>IFERROR(__xludf.DUMMYFUNCTION("""COMPUTED_VALUE"""),2054.8)</f>
        <v>2054.8</v>
      </c>
      <c r="E50" s="47">
        <f>IFERROR(__xludf.DUMMYFUNCTION("""COMPUTED_VALUE"""),45813.6458333333)</f>
        <v>45813.6458333333</v>
      </c>
      <c r="F50" s="48">
        <f>IFERROR(__xludf.DUMMYFUNCTION("""COMPUTED_VALUE"""),3725332)</f>
        <v>3725332</v>
      </c>
      <c r="G50" s="47">
        <f>IFERROR(__xludf.DUMMYFUNCTION("""COMPUTED_VALUE"""),45813.6458333333)</f>
        <v>45813.6458333333</v>
      </c>
      <c r="H50" s="48">
        <f>IFERROR(__xludf.DUMMYFUNCTION("""COMPUTED_VALUE"""),2056.4)</f>
        <v>2056.4</v>
      </c>
      <c r="I50" s="47">
        <f>IFERROR(__xludf.DUMMYFUNCTION("""COMPUTED_VALUE"""),45813.6458333333)</f>
        <v>45813.6458333333</v>
      </c>
      <c r="J50" s="48">
        <f>IFERROR(__xludf.DUMMYFUNCTION("""COMPUTED_VALUE"""),2034.2)</f>
        <v>2034.2</v>
      </c>
      <c r="K50" s="3">
        <f t="shared" si="2"/>
        <v>0</v>
      </c>
      <c r="L50" s="3">
        <f t="shared" si="3"/>
        <v>2039.9</v>
      </c>
    </row>
    <row r="51" customHeight="1" spans="1:12">
      <c r="A51" s="47">
        <f>IFERROR(__xludf.DUMMYFUNCTION("""COMPUTED_VALUE"""),45814.6458333333)</f>
        <v>45814.6458333333</v>
      </c>
      <c r="B51" s="48">
        <f>IFERROR(__xludf.DUMMYFUNCTION("""COMPUTED_VALUE"""),2073.4)</f>
        <v>2073.4</v>
      </c>
      <c r="C51" s="47">
        <f>IFERROR(__xludf.DUMMYFUNCTION("""COMPUTED_VALUE"""),45814.6458333333)</f>
        <v>45814.6458333333</v>
      </c>
      <c r="D51" s="48">
        <f>IFERROR(__xludf.DUMMYFUNCTION("""COMPUTED_VALUE"""),2043.9)</f>
        <v>2043.9</v>
      </c>
      <c r="E51" s="47">
        <f>IFERROR(__xludf.DUMMYFUNCTION("""COMPUTED_VALUE"""),45814.6458333333)</f>
        <v>45814.6458333333</v>
      </c>
      <c r="F51" s="48">
        <f>IFERROR(__xludf.DUMMYFUNCTION("""COMPUTED_VALUE"""),4424324)</f>
        <v>4424324</v>
      </c>
      <c r="G51" s="47">
        <f>IFERROR(__xludf.DUMMYFUNCTION("""COMPUTED_VALUE"""),45814.6458333333)</f>
        <v>45814.6458333333</v>
      </c>
      <c r="H51" s="48">
        <f>IFERROR(__xludf.DUMMYFUNCTION("""COMPUTED_VALUE"""),2084.9)</f>
        <v>2084.9</v>
      </c>
      <c r="I51" s="47">
        <f>IFERROR(__xludf.DUMMYFUNCTION("""COMPUTED_VALUE"""),45814.6458333333)</f>
        <v>45814.6458333333</v>
      </c>
      <c r="J51" s="48">
        <f>IFERROR(__xludf.DUMMYFUNCTION("""COMPUTED_VALUE"""),2033.8)</f>
        <v>2033.8</v>
      </c>
      <c r="K51" s="3">
        <f t="shared" si="2"/>
        <v>0</v>
      </c>
      <c r="L51" s="3">
        <f t="shared" si="3"/>
        <v>0</v>
      </c>
    </row>
    <row r="52" customHeight="1" spans="1:12">
      <c r="A52" s="47">
        <f>IFERROR(__xludf.DUMMYFUNCTION("""COMPUTED_VALUE"""),45817.6458333333)</f>
        <v>45817.6458333333</v>
      </c>
      <c r="B52" s="48">
        <f>IFERROR(__xludf.DUMMYFUNCTION("""COMPUTED_VALUE"""),2138.2)</f>
        <v>2138.2</v>
      </c>
      <c r="C52" s="47">
        <f>IFERROR(__xludf.DUMMYFUNCTION("""COMPUTED_VALUE"""),45817.6458333333)</f>
        <v>45817.6458333333</v>
      </c>
      <c r="D52" s="48">
        <f>IFERROR(__xludf.DUMMYFUNCTION("""COMPUTED_VALUE"""),2111)</f>
        <v>2111</v>
      </c>
      <c r="E52" s="47">
        <f>IFERROR(__xludf.DUMMYFUNCTION("""COMPUTED_VALUE"""),45817.6458333333)</f>
        <v>45817.6458333333</v>
      </c>
      <c r="F52" s="48">
        <f>IFERROR(__xludf.DUMMYFUNCTION("""COMPUTED_VALUE"""),5779088)</f>
        <v>5779088</v>
      </c>
      <c r="G52" s="47">
        <f>IFERROR(__xludf.DUMMYFUNCTION("""COMPUTED_VALUE"""),45817.6458333333)</f>
        <v>45817.6458333333</v>
      </c>
      <c r="H52" s="48">
        <f>IFERROR(__xludf.DUMMYFUNCTION("""COMPUTED_VALUE"""),2142.4)</f>
        <v>2142.4</v>
      </c>
      <c r="I52" s="47">
        <f>IFERROR(__xludf.DUMMYFUNCTION("""COMPUTED_VALUE"""),45817.6458333333)</f>
        <v>45817.6458333333</v>
      </c>
      <c r="J52" s="48">
        <f>IFERROR(__xludf.DUMMYFUNCTION("""COMPUTED_VALUE"""),2090)</f>
        <v>2090</v>
      </c>
      <c r="K52" s="3">
        <f t="shared" si="2"/>
        <v>0</v>
      </c>
      <c r="L52" s="3">
        <f t="shared" si="3"/>
        <v>0</v>
      </c>
    </row>
    <row r="53" customHeight="1" spans="1:12">
      <c r="A53" s="47">
        <f>IFERROR(__xludf.DUMMYFUNCTION("""COMPUTED_VALUE"""),45818.6458333333)</f>
        <v>45818.6458333333</v>
      </c>
      <c r="B53" s="48">
        <f>IFERROR(__xludf.DUMMYFUNCTION("""COMPUTED_VALUE"""),2151.1)</f>
        <v>2151.1</v>
      </c>
      <c r="C53" s="47">
        <f>IFERROR(__xludf.DUMMYFUNCTION("""COMPUTED_VALUE"""),45818.6458333333)</f>
        <v>45818.6458333333</v>
      </c>
      <c r="D53" s="48">
        <f>IFERROR(__xludf.DUMMYFUNCTION("""COMPUTED_VALUE"""),2146.7)</f>
        <v>2146.7</v>
      </c>
      <c r="E53" s="47">
        <f>IFERROR(__xludf.DUMMYFUNCTION("""COMPUTED_VALUE"""),45818.6458333333)</f>
        <v>45818.6458333333</v>
      </c>
      <c r="F53" s="48">
        <f>IFERROR(__xludf.DUMMYFUNCTION("""COMPUTED_VALUE"""),4915742)</f>
        <v>4915742</v>
      </c>
      <c r="G53" s="47">
        <f>IFERROR(__xludf.DUMMYFUNCTION("""COMPUTED_VALUE"""),45818.6458333333)</f>
        <v>45818.6458333333</v>
      </c>
      <c r="H53" s="48">
        <f>IFERROR(__xludf.DUMMYFUNCTION("""COMPUTED_VALUE"""),2172.9)</f>
        <v>2172.9</v>
      </c>
      <c r="I53" s="47">
        <f>IFERROR(__xludf.DUMMYFUNCTION("""COMPUTED_VALUE"""),45818.6458333333)</f>
        <v>45818.6458333333</v>
      </c>
      <c r="J53" s="48">
        <f>IFERROR(__xludf.DUMMYFUNCTION("""COMPUTED_VALUE"""),2138.2)</f>
        <v>2138.2</v>
      </c>
      <c r="K53" s="3">
        <f t="shared" si="2"/>
        <v>2151.1</v>
      </c>
      <c r="L53" s="3">
        <f t="shared" si="3"/>
        <v>0</v>
      </c>
    </row>
    <row r="54" customHeight="1" spans="1:12">
      <c r="A54" s="47">
        <f>IFERROR(__xludf.DUMMYFUNCTION("""COMPUTED_VALUE"""),45819.6458333333)</f>
        <v>45819.6458333333</v>
      </c>
      <c r="B54" s="48">
        <f>IFERROR(__xludf.DUMMYFUNCTION("""COMPUTED_VALUE"""),2145.3)</f>
        <v>2145.3</v>
      </c>
      <c r="C54" s="47">
        <f>IFERROR(__xludf.DUMMYFUNCTION("""COMPUTED_VALUE"""),45819.6458333333)</f>
        <v>45819.6458333333</v>
      </c>
      <c r="D54" s="48">
        <f>IFERROR(__xludf.DUMMYFUNCTION("""COMPUTED_VALUE"""),2149)</f>
        <v>2149</v>
      </c>
      <c r="E54" s="47">
        <f>IFERROR(__xludf.DUMMYFUNCTION("""COMPUTED_VALUE"""),45819.6458333333)</f>
        <v>45819.6458333333</v>
      </c>
      <c r="F54" s="48">
        <f>IFERROR(__xludf.DUMMYFUNCTION("""COMPUTED_VALUE"""),1782061)</f>
        <v>1782061</v>
      </c>
      <c r="G54" s="47">
        <f>IFERROR(__xludf.DUMMYFUNCTION("""COMPUTED_VALUE"""),45819.6458333333)</f>
        <v>45819.6458333333</v>
      </c>
      <c r="H54" s="48">
        <f>IFERROR(__xludf.DUMMYFUNCTION("""COMPUTED_VALUE"""),2160.7)</f>
        <v>2160.7</v>
      </c>
      <c r="I54" s="47">
        <f>IFERROR(__xludf.DUMMYFUNCTION("""COMPUTED_VALUE"""),45819.6458333333)</f>
        <v>45819.6458333333</v>
      </c>
      <c r="J54" s="48">
        <f>IFERROR(__xludf.DUMMYFUNCTION("""COMPUTED_VALUE"""),2133)</f>
        <v>2133</v>
      </c>
      <c r="K54" s="3">
        <f t="shared" si="2"/>
        <v>0</v>
      </c>
      <c r="L54" s="3">
        <f t="shared" si="3"/>
        <v>0</v>
      </c>
    </row>
    <row r="55" customHeight="1" spans="1:12">
      <c r="A55" s="47">
        <f>IFERROR(__xludf.DUMMYFUNCTION("""COMPUTED_VALUE"""),45820.6458333333)</f>
        <v>45820.6458333333</v>
      </c>
      <c r="B55" s="48">
        <f>IFERROR(__xludf.DUMMYFUNCTION("""COMPUTED_VALUE"""),2126.8)</f>
        <v>2126.8</v>
      </c>
      <c r="C55" s="47">
        <f>IFERROR(__xludf.DUMMYFUNCTION("""COMPUTED_VALUE"""),45820.6458333333)</f>
        <v>45820.6458333333</v>
      </c>
      <c r="D55" s="48">
        <f>IFERROR(__xludf.DUMMYFUNCTION("""COMPUTED_VALUE"""),2145.3)</f>
        <v>2145.3</v>
      </c>
      <c r="E55" s="47">
        <f>IFERROR(__xludf.DUMMYFUNCTION("""COMPUTED_VALUE"""),45820.6458333333)</f>
        <v>45820.6458333333</v>
      </c>
      <c r="F55" s="48">
        <f>IFERROR(__xludf.DUMMYFUNCTION("""COMPUTED_VALUE"""),2978172)</f>
        <v>2978172</v>
      </c>
      <c r="G55" s="47">
        <f>IFERROR(__xludf.DUMMYFUNCTION("""COMPUTED_VALUE"""),45820.6458333333)</f>
        <v>45820.6458333333</v>
      </c>
      <c r="H55" s="48">
        <f>IFERROR(__xludf.DUMMYFUNCTION("""COMPUTED_VALUE"""),2148.8)</f>
        <v>2148.8</v>
      </c>
      <c r="I55" s="47">
        <f>IFERROR(__xludf.DUMMYFUNCTION("""COMPUTED_VALUE"""),45820.6458333333)</f>
        <v>45820.6458333333</v>
      </c>
      <c r="J55" s="48">
        <f>IFERROR(__xludf.DUMMYFUNCTION("""COMPUTED_VALUE"""),2122.2)</f>
        <v>2122.2</v>
      </c>
      <c r="K55" s="3">
        <f t="shared" si="2"/>
        <v>0</v>
      </c>
      <c r="L55" s="3">
        <f t="shared" si="3"/>
        <v>0</v>
      </c>
    </row>
    <row r="56" customHeight="1" spans="1:12">
      <c r="A56" s="47">
        <f>IFERROR(__xludf.DUMMYFUNCTION("""COMPUTED_VALUE"""),45821.6458333333)</f>
        <v>45821.6458333333</v>
      </c>
      <c r="B56" s="48">
        <f>IFERROR(__xludf.DUMMYFUNCTION("""COMPUTED_VALUE"""),2107.4)</f>
        <v>2107.4</v>
      </c>
      <c r="C56" s="47">
        <f>IFERROR(__xludf.DUMMYFUNCTION("""COMPUTED_VALUE"""),45821.6458333333)</f>
        <v>45821.6458333333</v>
      </c>
      <c r="D56" s="48">
        <f>IFERROR(__xludf.DUMMYFUNCTION("""COMPUTED_VALUE"""),2072)</f>
        <v>2072</v>
      </c>
      <c r="E56" s="47">
        <f>IFERROR(__xludf.DUMMYFUNCTION("""COMPUTED_VALUE"""),45821.6458333333)</f>
        <v>45821.6458333333</v>
      </c>
      <c r="F56" s="48">
        <f>IFERROR(__xludf.DUMMYFUNCTION("""COMPUTED_VALUE"""),4467274)</f>
        <v>4467274</v>
      </c>
      <c r="G56" s="47">
        <f>IFERROR(__xludf.DUMMYFUNCTION("""COMPUTED_VALUE"""),45821.6458333333)</f>
        <v>45821.6458333333</v>
      </c>
      <c r="H56" s="48">
        <f>IFERROR(__xludf.DUMMYFUNCTION("""COMPUTED_VALUE"""),2122)</f>
        <v>2122</v>
      </c>
      <c r="I56" s="47">
        <f>IFERROR(__xludf.DUMMYFUNCTION("""COMPUTED_VALUE"""),45821.6458333333)</f>
        <v>45821.6458333333</v>
      </c>
      <c r="J56" s="48">
        <f>IFERROR(__xludf.DUMMYFUNCTION("""COMPUTED_VALUE"""),2072)</f>
        <v>2072</v>
      </c>
      <c r="K56" s="3">
        <f t="shared" si="2"/>
        <v>0</v>
      </c>
      <c r="L56" s="3">
        <f t="shared" si="3"/>
        <v>0</v>
      </c>
    </row>
    <row r="57" customHeight="1" spans="1:12">
      <c r="A57" s="47">
        <f>IFERROR(__xludf.DUMMYFUNCTION("""COMPUTED_VALUE"""),45824.6458333333)</f>
        <v>45824.6458333333</v>
      </c>
      <c r="B57" s="48">
        <f>IFERROR(__xludf.DUMMYFUNCTION("""COMPUTED_VALUE"""),2139)</f>
        <v>2139</v>
      </c>
      <c r="C57" s="47">
        <f>IFERROR(__xludf.DUMMYFUNCTION("""COMPUTED_VALUE"""),45824.6458333333)</f>
        <v>45824.6458333333</v>
      </c>
      <c r="D57" s="48">
        <f>IFERROR(__xludf.DUMMYFUNCTION("""COMPUTED_VALUE"""),2107.9)</f>
        <v>2107.9</v>
      </c>
      <c r="E57" s="47">
        <f>IFERROR(__xludf.DUMMYFUNCTION("""COMPUTED_VALUE"""),45824.6458333333)</f>
        <v>45824.6458333333</v>
      </c>
      <c r="F57" s="48">
        <f>IFERROR(__xludf.DUMMYFUNCTION("""COMPUTED_VALUE"""),2941596)</f>
        <v>2941596</v>
      </c>
      <c r="G57" s="47">
        <f>IFERROR(__xludf.DUMMYFUNCTION("""COMPUTED_VALUE"""),45824.6458333333)</f>
        <v>45824.6458333333</v>
      </c>
      <c r="H57" s="48">
        <f>IFERROR(__xludf.DUMMYFUNCTION("""COMPUTED_VALUE"""),2144.7)</f>
        <v>2144.7</v>
      </c>
      <c r="I57" s="47">
        <f>IFERROR(__xludf.DUMMYFUNCTION("""COMPUTED_VALUE"""),45824.6458333333)</f>
        <v>45824.6458333333</v>
      </c>
      <c r="J57" s="48">
        <f>IFERROR(__xludf.DUMMYFUNCTION("""COMPUTED_VALUE"""),2088.8)</f>
        <v>2088.8</v>
      </c>
      <c r="K57" s="3">
        <f t="shared" si="2"/>
        <v>0</v>
      </c>
      <c r="L57" s="3">
        <f t="shared" si="3"/>
        <v>0</v>
      </c>
    </row>
    <row r="58" customHeight="1" spans="1:12">
      <c r="A58" s="47">
        <f>IFERROR(__xludf.DUMMYFUNCTION("""COMPUTED_VALUE"""),45825.6458333333)</f>
        <v>45825.6458333333</v>
      </c>
      <c r="B58" s="48">
        <f>IFERROR(__xludf.DUMMYFUNCTION("""COMPUTED_VALUE"""),2136.8)</f>
        <v>2136.8</v>
      </c>
      <c r="C58" s="47">
        <f>IFERROR(__xludf.DUMMYFUNCTION("""COMPUTED_VALUE"""),45825.6458333333)</f>
        <v>45825.6458333333</v>
      </c>
      <c r="D58" s="48">
        <f>IFERROR(__xludf.DUMMYFUNCTION("""COMPUTED_VALUE"""),2139)</f>
        <v>2139</v>
      </c>
      <c r="E58" s="47">
        <f>IFERROR(__xludf.DUMMYFUNCTION("""COMPUTED_VALUE"""),45825.6458333333)</f>
        <v>45825.6458333333</v>
      </c>
      <c r="F58" s="48">
        <f>IFERROR(__xludf.DUMMYFUNCTION("""COMPUTED_VALUE"""),3108300)</f>
        <v>3108300</v>
      </c>
      <c r="G58" s="47">
        <f>IFERROR(__xludf.DUMMYFUNCTION("""COMPUTED_VALUE"""),45825.6458333333)</f>
        <v>45825.6458333333</v>
      </c>
      <c r="H58" s="48">
        <f>IFERROR(__xludf.DUMMYFUNCTION("""COMPUTED_VALUE"""),2155.8)</f>
        <v>2155.8</v>
      </c>
      <c r="I58" s="47">
        <f>IFERROR(__xludf.DUMMYFUNCTION("""COMPUTED_VALUE"""),45825.6458333333)</f>
        <v>45825.6458333333</v>
      </c>
      <c r="J58" s="48">
        <f>IFERROR(__xludf.DUMMYFUNCTION("""COMPUTED_VALUE"""),2130.2)</f>
        <v>2130.2</v>
      </c>
      <c r="K58" s="3">
        <f t="shared" si="2"/>
        <v>0</v>
      </c>
      <c r="L58" s="3">
        <f t="shared" si="3"/>
        <v>0</v>
      </c>
    </row>
    <row r="59" customHeight="1" spans="1:12">
      <c r="A59" s="47">
        <f>IFERROR(__xludf.DUMMYFUNCTION("""COMPUTED_VALUE"""),45826.6458333333)</f>
        <v>45826.6458333333</v>
      </c>
      <c r="B59" s="48">
        <f>IFERROR(__xludf.DUMMYFUNCTION("""COMPUTED_VALUE"""),2132.4)</f>
        <v>2132.4</v>
      </c>
      <c r="C59" s="47">
        <f>IFERROR(__xludf.DUMMYFUNCTION("""COMPUTED_VALUE"""),45826.6458333333)</f>
        <v>45826.6458333333</v>
      </c>
      <c r="D59" s="48">
        <f>IFERROR(__xludf.DUMMYFUNCTION("""COMPUTED_VALUE"""),2125)</f>
        <v>2125</v>
      </c>
      <c r="E59" s="47">
        <f>IFERROR(__xludf.DUMMYFUNCTION("""COMPUTED_VALUE"""),45826.6458333333)</f>
        <v>45826.6458333333</v>
      </c>
      <c r="F59" s="48">
        <f>IFERROR(__xludf.DUMMYFUNCTION("""COMPUTED_VALUE"""),3900651)</f>
        <v>3900651</v>
      </c>
      <c r="G59" s="47">
        <f>IFERROR(__xludf.DUMMYFUNCTION("""COMPUTED_VALUE"""),45826.6458333333)</f>
        <v>45826.6458333333</v>
      </c>
      <c r="H59" s="48">
        <f>IFERROR(__xludf.DUMMYFUNCTION("""COMPUTED_VALUE"""),2137.4)</f>
        <v>2137.4</v>
      </c>
      <c r="I59" s="47">
        <f>IFERROR(__xludf.DUMMYFUNCTION("""COMPUTED_VALUE"""),45826.6458333333)</f>
        <v>45826.6458333333</v>
      </c>
      <c r="J59" s="48">
        <f>IFERROR(__xludf.DUMMYFUNCTION("""COMPUTED_VALUE"""),2108.7)</f>
        <v>2108.7</v>
      </c>
      <c r="K59" s="3">
        <f t="shared" si="2"/>
        <v>0</v>
      </c>
      <c r="L59" s="3">
        <f t="shared" si="3"/>
        <v>0</v>
      </c>
    </row>
    <row r="60" customHeight="1" spans="1:12">
      <c r="A60" s="47">
        <f>IFERROR(__xludf.DUMMYFUNCTION("""COMPUTED_VALUE"""),45827.6458333333)</f>
        <v>45827.6458333333</v>
      </c>
      <c r="B60" s="48">
        <f>IFERROR(__xludf.DUMMYFUNCTION("""COMPUTED_VALUE"""),2146.4)</f>
        <v>2146.4</v>
      </c>
      <c r="C60" s="47">
        <f>IFERROR(__xludf.DUMMYFUNCTION("""COMPUTED_VALUE"""),45827.6458333333)</f>
        <v>45827.6458333333</v>
      </c>
      <c r="D60" s="48">
        <f>IFERROR(__xludf.DUMMYFUNCTION("""COMPUTED_VALUE"""),2139.5)</f>
        <v>2139.5</v>
      </c>
      <c r="E60" s="47">
        <f>IFERROR(__xludf.DUMMYFUNCTION("""COMPUTED_VALUE"""),45827.6458333333)</f>
        <v>45827.6458333333</v>
      </c>
      <c r="F60" s="48">
        <f>IFERROR(__xludf.DUMMYFUNCTION("""COMPUTED_VALUE"""),3405199)</f>
        <v>3405199</v>
      </c>
      <c r="G60" s="47">
        <f>IFERROR(__xludf.DUMMYFUNCTION("""COMPUTED_VALUE"""),45827.6458333333)</f>
        <v>45827.6458333333</v>
      </c>
      <c r="H60" s="48">
        <f>IFERROR(__xludf.DUMMYFUNCTION("""COMPUTED_VALUE"""),2154.7)</f>
        <v>2154.7</v>
      </c>
      <c r="I60" s="47">
        <f>IFERROR(__xludf.DUMMYFUNCTION("""COMPUTED_VALUE"""),45827.6458333333)</f>
        <v>45827.6458333333</v>
      </c>
      <c r="J60" s="48">
        <f>IFERROR(__xludf.DUMMYFUNCTION("""COMPUTED_VALUE"""),2133.1)</f>
        <v>2133.1</v>
      </c>
      <c r="K60" s="3">
        <f t="shared" si="2"/>
        <v>0</v>
      </c>
      <c r="L60" s="3">
        <f t="shared" si="3"/>
        <v>0</v>
      </c>
    </row>
    <row r="61" customHeight="1" spans="1:12">
      <c r="A61" s="47">
        <f>IFERROR(__xludf.DUMMYFUNCTION("""COMPUTED_VALUE"""),45828.6458333333)</f>
        <v>45828.6458333333</v>
      </c>
      <c r="B61" s="48">
        <f>IFERROR(__xludf.DUMMYFUNCTION("""COMPUTED_VALUE"""),2169.8)</f>
        <v>2169.8</v>
      </c>
      <c r="C61" s="47">
        <f>IFERROR(__xludf.DUMMYFUNCTION("""COMPUTED_VALUE"""),45828.6458333333)</f>
        <v>45828.6458333333</v>
      </c>
      <c r="D61" s="48">
        <f>IFERROR(__xludf.DUMMYFUNCTION("""COMPUTED_VALUE"""),2145)</f>
        <v>2145</v>
      </c>
      <c r="E61" s="47">
        <f>IFERROR(__xludf.DUMMYFUNCTION("""COMPUTED_VALUE"""),45828.6458333333)</f>
        <v>45828.6458333333</v>
      </c>
      <c r="F61" s="48">
        <f>IFERROR(__xludf.DUMMYFUNCTION("""COMPUTED_VALUE"""),3372636)</f>
        <v>3372636</v>
      </c>
      <c r="G61" s="47">
        <f>IFERROR(__xludf.DUMMYFUNCTION("""COMPUTED_VALUE"""),45828.6458333333)</f>
        <v>45828.6458333333</v>
      </c>
      <c r="H61" s="48">
        <f>IFERROR(__xludf.DUMMYFUNCTION("""COMPUTED_VALUE"""),2176)</f>
        <v>2176</v>
      </c>
      <c r="I61" s="47">
        <f>IFERROR(__xludf.DUMMYFUNCTION("""COMPUTED_VALUE"""),45828.6458333333)</f>
        <v>45828.6458333333</v>
      </c>
      <c r="J61" s="48">
        <f>IFERROR(__xludf.DUMMYFUNCTION("""COMPUTED_VALUE"""),2131.3)</f>
        <v>2131.3</v>
      </c>
      <c r="K61" s="3">
        <f t="shared" si="2"/>
        <v>0</v>
      </c>
      <c r="L61" s="3">
        <f t="shared" si="3"/>
        <v>0</v>
      </c>
    </row>
    <row r="62" customHeight="1" spans="1:12">
      <c r="A62" s="47">
        <f>IFERROR(__xludf.DUMMYFUNCTION("""COMPUTED_VALUE"""),45831.6458333333)</f>
        <v>45831.6458333333</v>
      </c>
      <c r="B62" s="48">
        <f>IFERROR(__xludf.DUMMYFUNCTION("""COMPUTED_VALUE"""),2184.1)</f>
        <v>2184.1</v>
      </c>
      <c r="C62" s="47">
        <f>IFERROR(__xludf.DUMMYFUNCTION("""COMPUTED_VALUE"""),45831.6458333333)</f>
        <v>45831.6458333333</v>
      </c>
      <c r="D62" s="48">
        <f>IFERROR(__xludf.DUMMYFUNCTION("""COMPUTED_VALUE"""),2158.1)</f>
        <v>2158.1</v>
      </c>
      <c r="E62" s="47">
        <f>IFERROR(__xludf.DUMMYFUNCTION("""COMPUTED_VALUE"""),45831.6458333333)</f>
        <v>45831.6458333333</v>
      </c>
      <c r="F62" s="48">
        <f>IFERROR(__xludf.DUMMYFUNCTION("""COMPUTED_VALUE"""),1720614)</f>
        <v>1720614</v>
      </c>
      <c r="G62" s="47">
        <f>IFERROR(__xludf.DUMMYFUNCTION("""COMPUTED_VALUE"""),45831.6458333333)</f>
        <v>45831.6458333333</v>
      </c>
      <c r="H62" s="48">
        <f>IFERROR(__xludf.DUMMYFUNCTION("""COMPUTED_VALUE"""),2189.7)</f>
        <v>2189.7</v>
      </c>
      <c r="I62" s="47">
        <f>IFERROR(__xludf.DUMMYFUNCTION("""COMPUTED_VALUE"""),45831.6458333333)</f>
        <v>45831.6458333333</v>
      </c>
      <c r="J62" s="48">
        <f>IFERROR(__xludf.DUMMYFUNCTION("""COMPUTED_VALUE"""),2151.2)</f>
        <v>2151.2</v>
      </c>
      <c r="K62" s="3">
        <f t="shared" si="2"/>
        <v>0</v>
      </c>
      <c r="L62" s="3">
        <f t="shared" si="3"/>
        <v>0</v>
      </c>
    </row>
    <row r="63" customHeight="1" spans="1:12">
      <c r="A63" s="47">
        <f>IFERROR(__xludf.DUMMYFUNCTION("""COMPUTED_VALUE"""),45832.6458333333)</f>
        <v>45832.6458333333</v>
      </c>
      <c r="B63" s="48">
        <f>IFERROR(__xludf.DUMMYFUNCTION("""COMPUTED_VALUE"""),2223.6)</f>
        <v>2223.6</v>
      </c>
      <c r="C63" s="47">
        <f>IFERROR(__xludf.DUMMYFUNCTION("""COMPUTED_VALUE"""),45832.6458333333)</f>
        <v>45832.6458333333</v>
      </c>
      <c r="D63" s="48">
        <f>IFERROR(__xludf.DUMMYFUNCTION("""COMPUTED_VALUE"""),2208)</f>
        <v>2208</v>
      </c>
      <c r="E63" s="47">
        <f>IFERROR(__xludf.DUMMYFUNCTION("""COMPUTED_VALUE"""),45832.6458333333)</f>
        <v>45832.6458333333</v>
      </c>
      <c r="F63" s="48">
        <f>IFERROR(__xludf.DUMMYFUNCTION("""COMPUTED_VALUE"""),5604520)</f>
        <v>5604520</v>
      </c>
      <c r="G63" s="47">
        <f>IFERROR(__xludf.DUMMYFUNCTION("""COMPUTED_VALUE"""),45832.6458333333)</f>
        <v>45832.6458333333</v>
      </c>
      <c r="H63" s="48">
        <f>IFERROR(__xludf.DUMMYFUNCTION("""COMPUTED_VALUE"""),2233.6)</f>
        <v>2233.6</v>
      </c>
      <c r="I63" s="47">
        <f>IFERROR(__xludf.DUMMYFUNCTION("""COMPUTED_VALUE"""),45832.6458333333)</f>
        <v>45832.6458333333</v>
      </c>
      <c r="J63" s="48">
        <f>IFERROR(__xludf.DUMMYFUNCTION("""COMPUTED_VALUE"""),2191.4)</f>
        <v>2191.4</v>
      </c>
      <c r="K63" s="3">
        <f t="shared" si="2"/>
        <v>2223.6</v>
      </c>
      <c r="L63" s="3">
        <f t="shared" si="3"/>
        <v>0</v>
      </c>
    </row>
    <row r="64" customHeight="1" spans="1:12">
      <c r="A64" s="47">
        <f>IFERROR(__xludf.DUMMYFUNCTION("""COMPUTED_VALUE"""),45833.6458333333)</f>
        <v>45833.6458333333</v>
      </c>
      <c r="B64" s="48">
        <f>IFERROR(__xludf.DUMMYFUNCTION("""COMPUTED_VALUE"""),2198.3)</f>
        <v>2198.3</v>
      </c>
      <c r="C64" s="47">
        <f>IFERROR(__xludf.DUMMYFUNCTION("""COMPUTED_VALUE"""),45833.6458333333)</f>
        <v>45833.6458333333</v>
      </c>
      <c r="D64" s="48">
        <f>IFERROR(__xludf.DUMMYFUNCTION("""COMPUTED_VALUE"""),2223)</f>
        <v>2223</v>
      </c>
      <c r="E64" s="47">
        <f>IFERROR(__xludf.DUMMYFUNCTION("""COMPUTED_VALUE"""),45833.6458333333)</f>
        <v>45833.6458333333</v>
      </c>
      <c r="F64" s="48">
        <f>IFERROR(__xludf.DUMMYFUNCTION("""COMPUTED_VALUE"""),3575429)</f>
        <v>3575429</v>
      </c>
      <c r="G64" s="47">
        <f>IFERROR(__xludf.DUMMYFUNCTION("""COMPUTED_VALUE"""),45833.6458333333)</f>
        <v>45833.6458333333</v>
      </c>
      <c r="H64" s="48">
        <f>IFERROR(__xludf.DUMMYFUNCTION("""COMPUTED_VALUE"""),2223.6)</f>
        <v>2223.6</v>
      </c>
      <c r="I64" s="47">
        <f>IFERROR(__xludf.DUMMYFUNCTION("""COMPUTED_VALUE"""),45833.6458333333)</f>
        <v>45833.6458333333</v>
      </c>
      <c r="J64" s="48">
        <f>IFERROR(__xludf.DUMMYFUNCTION("""COMPUTED_VALUE"""),2191)</f>
        <v>2191</v>
      </c>
      <c r="K64" s="3">
        <f t="shared" si="2"/>
        <v>0</v>
      </c>
      <c r="L64" s="3">
        <f t="shared" si="3"/>
        <v>0</v>
      </c>
    </row>
    <row r="65" customHeight="1" spans="1:12">
      <c r="A65" s="47">
        <f>IFERROR(__xludf.DUMMYFUNCTION("""COMPUTED_VALUE"""),45834.6458333333)</f>
        <v>45834.6458333333</v>
      </c>
      <c r="B65" s="48">
        <f>IFERROR(__xludf.DUMMYFUNCTION("""COMPUTED_VALUE"""),2203.9)</f>
        <v>2203.9</v>
      </c>
      <c r="C65" s="47">
        <f>IFERROR(__xludf.DUMMYFUNCTION("""COMPUTED_VALUE"""),45834.6458333333)</f>
        <v>45834.6458333333</v>
      </c>
      <c r="D65" s="48">
        <f>IFERROR(__xludf.DUMMYFUNCTION("""COMPUTED_VALUE"""),2202.4)</f>
        <v>2202.4</v>
      </c>
      <c r="E65" s="47">
        <f>IFERROR(__xludf.DUMMYFUNCTION("""COMPUTED_VALUE"""),45834.6458333333)</f>
        <v>45834.6458333333</v>
      </c>
      <c r="F65" s="48">
        <f>IFERROR(__xludf.DUMMYFUNCTION("""COMPUTED_VALUE"""),5670127)</f>
        <v>5670127</v>
      </c>
      <c r="G65" s="47">
        <f>IFERROR(__xludf.DUMMYFUNCTION("""COMPUTED_VALUE"""),45834.6458333333)</f>
        <v>45834.6458333333</v>
      </c>
      <c r="H65" s="48">
        <f>IFERROR(__xludf.DUMMYFUNCTION("""COMPUTED_VALUE"""),2210)</f>
        <v>2210</v>
      </c>
      <c r="I65" s="47">
        <f>IFERROR(__xludf.DUMMYFUNCTION("""COMPUTED_VALUE"""),45834.6458333333)</f>
        <v>45834.6458333333</v>
      </c>
      <c r="J65" s="48">
        <f>IFERROR(__xludf.DUMMYFUNCTION("""COMPUTED_VALUE"""),2180)</f>
        <v>2180</v>
      </c>
      <c r="K65" s="3">
        <f t="shared" si="2"/>
        <v>0</v>
      </c>
      <c r="L65" s="3">
        <f t="shared" si="3"/>
        <v>0</v>
      </c>
    </row>
    <row r="66" customHeight="1" spans="1:12">
      <c r="A66" s="47">
        <f>IFERROR(__xludf.DUMMYFUNCTION("""COMPUTED_VALUE"""),45835.6458333333)</f>
        <v>45835.6458333333</v>
      </c>
      <c r="B66" s="48">
        <f>IFERROR(__xludf.DUMMYFUNCTION("""COMPUTED_VALUE"""),2207.9)</f>
        <v>2207.9</v>
      </c>
      <c r="C66" s="47">
        <f>IFERROR(__xludf.DUMMYFUNCTION("""COMPUTED_VALUE"""),45835.6458333333)</f>
        <v>45835.6458333333</v>
      </c>
      <c r="D66" s="48">
        <f>IFERROR(__xludf.DUMMYFUNCTION("""COMPUTED_VALUE"""),2210)</f>
        <v>2210</v>
      </c>
      <c r="E66" s="47">
        <f>IFERROR(__xludf.DUMMYFUNCTION("""COMPUTED_VALUE"""),45835.6458333333)</f>
        <v>45835.6458333333</v>
      </c>
      <c r="F66" s="48">
        <f>IFERROR(__xludf.DUMMYFUNCTION("""COMPUTED_VALUE"""),9649439)</f>
        <v>9649439</v>
      </c>
      <c r="G66" s="47">
        <f>IFERROR(__xludf.DUMMYFUNCTION("""COMPUTED_VALUE"""),45835.6458333333)</f>
        <v>45835.6458333333</v>
      </c>
      <c r="H66" s="48">
        <f>IFERROR(__xludf.DUMMYFUNCTION("""COMPUTED_VALUE"""),2217.3)</f>
        <v>2217.3</v>
      </c>
      <c r="I66" s="47">
        <f>IFERROR(__xludf.DUMMYFUNCTION("""COMPUTED_VALUE"""),45835.6458333333)</f>
        <v>45835.6458333333</v>
      </c>
      <c r="J66" s="48">
        <f>IFERROR(__xludf.DUMMYFUNCTION("""COMPUTED_VALUE"""),2182.6)</f>
        <v>2182.6</v>
      </c>
      <c r="K66" s="3">
        <f t="shared" si="2"/>
        <v>0</v>
      </c>
      <c r="L66" s="3">
        <f t="shared" si="3"/>
        <v>0</v>
      </c>
    </row>
    <row r="67" customHeight="1" spans="1:12">
      <c r="A67" s="47">
        <f>IFERROR(__xludf.DUMMYFUNCTION("""COMPUTED_VALUE"""),45838.6458333333)</f>
        <v>45838.6458333333</v>
      </c>
      <c r="B67" s="48">
        <f>IFERROR(__xludf.DUMMYFUNCTION("""COMPUTED_VALUE"""),2163.5)</f>
        <v>2163.5</v>
      </c>
      <c r="C67" s="47">
        <f>IFERROR(__xludf.DUMMYFUNCTION("""COMPUTED_VALUE"""),45838.6458333333)</f>
        <v>45838.6458333333</v>
      </c>
      <c r="D67" s="48">
        <f>IFERROR(__xludf.DUMMYFUNCTION("""COMPUTED_VALUE"""),2207.9)</f>
        <v>2207.9</v>
      </c>
      <c r="E67" s="47">
        <f>IFERROR(__xludf.DUMMYFUNCTION("""COMPUTED_VALUE"""),45838.6458333333)</f>
        <v>45838.6458333333</v>
      </c>
      <c r="F67" s="48">
        <f>IFERROR(__xludf.DUMMYFUNCTION("""COMPUTED_VALUE"""),3727657)</f>
        <v>3727657</v>
      </c>
      <c r="G67" s="47">
        <f>IFERROR(__xludf.DUMMYFUNCTION("""COMPUTED_VALUE"""),45838.6458333333)</f>
        <v>45838.6458333333</v>
      </c>
      <c r="H67" s="48">
        <f>IFERROR(__xludf.DUMMYFUNCTION("""COMPUTED_VALUE"""),2209)</f>
        <v>2209</v>
      </c>
      <c r="I67" s="47">
        <f>IFERROR(__xludf.DUMMYFUNCTION("""COMPUTED_VALUE"""),45838.6458333333)</f>
        <v>45838.6458333333</v>
      </c>
      <c r="J67" s="48">
        <f>IFERROR(__xludf.DUMMYFUNCTION("""COMPUTED_VALUE"""),2154.5)</f>
        <v>2154.5</v>
      </c>
      <c r="K67" s="3">
        <f t="shared" si="2"/>
        <v>0</v>
      </c>
      <c r="L67" s="3">
        <f t="shared" si="3"/>
        <v>0</v>
      </c>
    </row>
    <row r="68" customHeight="1" spans="1:12">
      <c r="A68" s="47">
        <f>IFERROR(__xludf.DUMMYFUNCTION("""COMPUTED_VALUE"""),45839.6458333333)</f>
        <v>45839.6458333333</v>
      </c>
      <c r="B68" s="48">
        <f>IFERROR(__xludf.DUMMYFUNCTION("""COMPUTED_VALUE"""),2183.6)</f>
        <v>2183.6</v>
      </c>
      <c r="C68" s="47">
        <f>IFERROR(__xludf.DUMMYFUNCTION("""COMPUTED_VALUE"""),45839.6458333333)</f>
        <v>45839.6458333333</v>
      </c>
      <c r="D68" s="48">
        <f>IFERROR(__xludf.DUMMYFUNCTION("""COMPUTED_VALUE"""),2163.5)</f>
        <v>2163.5</v>
      </c>
      <c r="E68" s="47">
        <f>IFERROR(__xludf.DUMMYFUNCTION("""COMPUTED_VALUE"""),45839.6458333333)</f>
        <v>45839.6458333333</v>
      </c>
      <c r="F68" s="48">
        <f>IFERROR(__xludf.DUMMYFUNCTION("""COMPUTED_VALUE"""),4025754)</f>
        <v>4025754</v>
      </c>
      <c r="G68" s="47">
        <f>IFERROR(__xludf.DUMMYFUNCTION("""COMPUTED_VALUE"""),45839.6458333333)</f>
        <v>45839.6458333333</v>
      </c>
      <c r="H68" s="48">
        <f>IFERROR(__xludf.DUMMYFUNCTION("""COMPUTED_VALUE"""),2186.5)</f>
        <v>2186.5</v>
      </c>
      <c r="I68" s="47">
        <f>IFERROR(__xludf.DUMMYFUNCTION("""COMPUTED_VALUE"""),45839.6458333333)</f>
        <v>45839.6458333333</v>
      </c>
      <c r="J68" s="48">
        <f>IFERROR(__xludf.DUMMYFUNCTION("""COMPUTED_VALUE"""),2159.3)</f>
        <v>2159.3</v>
      </c>
      <c r="K68" s="3">
        <f t="shared" si="2"/>
        <v>0</v>
      </c>
      <c r="L68" s="3">
        <f t="shared" si="3"/>
        <v>0</v>
      </c>
    </row>
    <row r="69" customHeight="1" spans="1:12">
      <c r="A69" s="47">
        <f>IFERROR(__xludf.DUMMYFUNCTION("""COMPUTED_VALUE"""),45840.6458333333)</f>
        <v>45840.6458333333</v>
      </c>
      <c r="B69" s="48">
        <f>IFERROR(__xludf.DUMMYFUNCTION("""COMPUTED_VALUE"""),2169.1)</f>
        <v>2169.1</v>
      </c>
      <c r="C69" s="47">
        <f>IFERROR(__xludf.DUMMYFUNCTION("""COMPUTED_VALUE"""),45840.6458333333)</f>
        <v>45840.6458333333</v>
      </c>
      <c r="D69" s="48">
        <f>IFERROR(__xludf.DUMMYFUNCTION("""COMPUTED_VALUE"""),2185)</f>
        <v>2185</v>
      </c>
      <c r="E69" s="47">
        <f>IFERROR(__xludf.DUMMYFUNCTION("""COMPUTED_VALUE"""),45840.6458333333)</f>
        <v>45840.6458333333</v>
      </c>
      <c r="F69" s="48">
        <f>IFERROR(__xludf.DUMMYFUNCTION("""COMPUTED_VALUE"""),1876511)</f>
        <v>1876511</v>
      </c>
      <c r="G69" s="47">
        <f>IFERROR(__xludf.DUMMYFUNCTION("""COMPUTED_VALUE"""),45840.6458333333)</f>
        <v>45840.6458333333</v>
      </c>
      <c r="H69" s="48">
        <f>IFERROR(__xludf.DUMMYFUNCTION("""COMPUTED_VALUE"""),2197.2)</f>
        <v>2197.2</v>
      </c>
      <c r="I69" s="47">
        <f>IFERROR(__xludf.DUMMYFUNCTION("""COMPUTED_VALUE"""),45840.6458333333)</f>
        <v>45840.6458333333</v>
      </c>
      <c r="J69" s="48">
        <f>IFERROR(__xludf.DUMMYFUNCTION("""COMPUTED_VALUE"""),2161)</f>
        <v>2161</v>
      </c>
      <c r="K69" s="3">
        <f t="shared" si="2"/>
        <v>0</v>
      </c>
      <c r="L69" s="3">
        <f t="shared" si="3"/>
        <v>0</v>
      </c>
    </row>
    <row r="70" customHeight="1" spans="1:12">
      <c r="A70" s="47">
        <f>IFERROR(__xludf.DUMMYFUNCTION("""COMPUTED_VALUE"""),45841.6458333333)</f>
        <v>45841.6458333333</v>
      </c>
      <c r="B70" s="48">
        <f>IFERROR(__xludf.DUMMYFUNCTION("""COMPUTED_VALUE"""),2126.6)</f>
        <v>2126.6</v>
      </c>
      <c r="C70" s="47">
        <f>IFERROR(__xludf.DUMMYFUNCTION("""COMPUTED_VALUE"""),45841.6458333333)</f>
        <v>45841.6458333333</v>
      </c>
      <c r="D70" s="48">
        <f>IFERROR(__xludf.DUMMYFUNCTION("""COMPUTED_VALUE"""),2139.1)</f>
        <v>2139.1</v>
      </c>
      <c r="E70" s="47">
        <f>IFERROR(__xludf.DUMMYFUNCTION("""COMPUTED_VALUE"""),45841.6458333333)</f>
        <v>45841.6458333333</v>
      </c>
      <c r="F70" s="48">
        <f>IFERROR(__xludf.DUMMYFUNCTION("""COMPUTED_VALUE"""),4667399)</f>
        <v>4667399</v>
      </c>
      <c r="G70" s="47">
        <f>IFERROR(__xludf.DUMMYFUNCTION("""COMPUTED_VALUE"""),45841.6458333333)</f>
        <v>45841.6458333333</v>
      </c>
      <c r="H70" s="48">
        <f>IFERROR(__xludf.DUMMYFUNCTION("""COMPUTED_VALUE"""),2151.9)</f>
        <v>2151.9</v>
      </c>
      <c r="I70" s="47">
        <f>IFERROR(__xludf.DUMMYFUNCTION("""COMPUTED_VALUE"""),45841.6458333333)</f>
        <v>45841.6458333333</v>
      </c>
      <c r="J70" s="48">
        <f>IFERROR(__xludf.DUMMYFUNCTION("""COMPUTED_VALUE"""),2121.9)</f>
        <v>2121.9</v>
      </c>
      <c r="K70" s="3">
        <f t="shared" si="2"/>
        <v>0</v>
      </c>
      <c r="L70" s="3">
        <f t="shared" si="3"/>
        <v>2126.6</v>
      </c>
    </row>
    <row r="71" customHeight="1" spans="1:12">
      <c r="A71" s="47">
        <f>IFERROR(__xludf.DUMMYFUNCTION("""COMPUTED_VALUE"""),45842.6458333333)</f>
        <v>45842.6458333333</v>
      </c>
      <c r="B71" s="48">
        <f>IFERROR(__xludf.DUMMYFUNCTION("""COMPUTED_VALUE"""),2129.8)</f>
        <v>2129.8</v>
      </c>
      <c r="C71" s="47">
        <f>IFERROR(__xludf.DUMMYFUNCTION("""COMPUTED_VALUE"""),45842.6458333333)</f>
        <v>45842.6458333333</v>
      </c>
      <c r="D71" s="48">
        <f>IFERROR(__xludf.DUMMYFUNCTION("""COMPUTED_VALUE"""),2124)</f>
        <v>2124</v>
      </c>
      <c r="E71" s="47">
        <f>IFERROR(__xludf.DUMMYFUNCTION("""COMPUTED_VALUE"""),45842.6458333333)</f>
        <v>45842.6458333333</v>
      </c>
      <c r="F71" s="48">
        <f>IFERROR(__xludf.DUMMYFUNCTION("""COMPUTED_VALUE"""),1686215)</f>
        <v>1686215</v>
      </c>
      <c r="G71" s="47">
        <f>IFERROR(__xludf.DUMMYFUNCTION("""COMPUTED_VALUE"""),45842.6458333333)</f>
        <v>45842.6458333333</v>
      </c>
      <c r="H71" s="48">
        <f>IFERROR(__xludf.DUMMYFUNCTION("""COMPUTED_VALUE"""),2137.3)</f>
        <v>2137.3</v>
      </c>
      <c r="I71" s="47">
        <f>IFERROR(__xludf.DUMMYFUNCTION("""COMPUTED_VALUE"""),45842.6458333333)</f>
        <v>45842.6458333333</v>
      </c>
      <c r="J71" s="48">
        <f>IFERROR(__xludf.DUMMYFUNCTION("""COMPUTED_VALUE"""),2111)</f>
        <v>2111</v>
      </c>
      <c r="K71" s="3">
        <f t="shared" si="2"/>
        <v>0</v>
      </c>
      <c r="L71" s="3">
        <f t="shared" si="3"/>
        <v>0</v>
      </c>
    </row>
    <row r="72" customHeight="1" spans="1:12">
      <c r="A72" s="47">
        <f>IFERROR(__xludf.DUMMYFUNCTION("""COMPUTED_VALUE"""),45845.6458333333)</f>
        <v>45845.6458333333</v>
      </c>
      <c r="B72" s="48">
        <f>IFERROR(__xludf.DUMMYFUNCTION("""COMPUTED_VALUE"""),2149.8)</f>
        <v>2149.8</v>
      </c>
      <c r="C72" s="47">
        <f>IFERROR(__xludf.DUMMYFUNCTION("""COMPUTED_VALUE"""),45845.6458333333)</f>
        <v>45845.6458333333</v>
      </c>
      <c r="D72" s="48">
        <f>IFERROR(__xludf.DUMMYFUNCTION("""COMPUTED_VALUE"""),2130)</f>
        <v>2130</v>
      </c>
      <c r="E72" s="47">
        <f>IFERROR(__xludf.DUMMYFUNCTION("""COMPUTED_VALUE"""),45845.6458333333)</f>
        <v>45845.6458333333</v>
      </c>
      <c r="F72" s="48">
        <f>IFERROR(__xludf.DUMMYFUNCTION("""COMPUTED_VALUE"""),2170585)</f>
        <v>2170585</v>
      </c>
      <c r="G72" s="47">
        <f>IFERROR(__xludf.DUMMYFUNCTION("""COMPUTED_VALUE"""),45845.6458333333)</f>
        <v>45845.6458333333</v>
      </c>
      <c r="H72" s="48">
        <f>IFERROR(__xludf.DUMMYFUNCTION("""COMPUTED_VALUE"""),2156.8)</f>
        <v>2156.8</v>
      </c>
      <c r="I72" s="47">
        <f>IFERROR(__xludf.DUMMYFUNCTION("""COMPUTED_VALUE"""),45845.6458333333)</f>
        <v>45845.6458333333</v>
      </c>
      <c r="J72" s="48">
        <f>IFERROR(__xludf.DUMMYFUNCTION("""COMPUTED_VALUE"""),2121.8)</f>
        <v>2121.8</v>
      </c>
      <c r="K72" s="3">
        <f t="shared" si="2"/>
        <v>0</v>
      </c>
      <c r="L72" s="3">
        <f t="shared" si="3"/>
        <v>0</v>
      </c>
    </row>
    <row r="73" customHeight="1" spans="1:12">
      <c r="A73" s="47">
        <f>IFERROR(__xludf.DUMMYFUNCTION("""COMPUTED_VALUE"""),45846.6458333333)</f>
        <v>45846.6458333333</v>
      </c>
      <c r="B73" s="48">
        <f>IFERROR(__xludf.DUMMYFUNCTION("""COMPUTED_VALUE"""),2224.5)</f>
        <v>2224.5</v>
      </c>
      <c r="C73" s="47">
        <f>IFERROR(__xludf.DUMMYFUNCTION("""COMPUTED_VALUE"""),45846.6458333333)</f>
        <v>45846.6458333333</v>
      </c>
      <c r="D73" s="48">
        <f>IFERROR(__xludf.DUMMYFUNCTION("""COMPUTED_VALUE"""),2185)</f>
        <v>2185</v>
      </c>
      <c r="E73" s="47">
        <f>IFERROR(__xludf.DUMMYFUNCTION("""COMPUTED_VALUE"""),45846.6458333333)</f>
        <v>45846.6458333333</v>
      </c>
      <c r="F73" s="48">
        <f>IFERROR(__xludf.DUMMYFUNCTION("""COMPUTED_VALUE"""),7526291)</f>
        <v>7526291</v>
      </c>
      <c r="G73" s="47">
        <f>IFERROR(__xludf.DUMMYFUNCTION("""COMPUTED_VALUE"""),45846.6458333333)</f>
        <v>45846.6458333333</v>
      </c>
      <c r="H73" s="48">
        <f>IFERROR(__xludf.DUMMYFUNCTION("""COMPUTED_VALUE"""),2241.5)</f>
        <v>2241.5</v>
      </c>
      <c r="I73" s="47">
        <f>IFERROR(__xludf.DUMMYFUNCTION("""COMPUTED_VALUE"""),45846.6458333333)</f>
        <v>45846.6458333333</v>
      </c>
      <c r="J73" s="48">
        <f>IFERROR(__xludf.DUMMYFUNCTION("""COMPUTED_VALUE"""),2176.2)</f>
        <v>2176.2</v>
      </c>
      <c r="K73" s="3">
        <f t="shared" si="2"/>
        <v>0</v>
      </c>
      <c r="L73" s="3">
        <f t="shared" si="3"/>
        <v>0</v>
      </c>
    </row>
    <row r="74" customHeight="1" spans="1:12">
      <c r="A74" s="47">
        <f>IFERROR(__xludf.DUMMYFUNCTION("""COMPUTED_VALUE"""),45847.6458333333)</f>
        <v>45847.6458333333</v>
      </c>
      <c r="B74" s="48">
        <f>IFERROR(__xludf.DUMMYFUNCTION("""COMPUTED_VALUE"""),2229.3)</f>
        <v>2229.3</v>
      </c>
      <c r="C74" s="47">
        <f>IFERROR(__xludf.DUMMYFUNCTION("""COMPUTED_VALUE"""),45847.6458333333)</f>
        <v>45847.6458333333</v>
      </c>
      <c r="D74" s="48">
        <f>IFERROR(__xludf.DUMMYFUNCTION("""COMPUTED_VALUE"""),2217)</f>
        <v>2217</v>
      </c>
      <c r="E74" s="47">
        <f>IFERROR(__xludf.DUMMYFUNCTION("""COMPUTED_VALUE"""),45847.6458333333)</f>
        <v>45847.6458333333</v>
      </c>
      <c r="F74" s="48">
        <f>IFERROR(__xludf.DUMMYFUNCTION("""COMPUTED_VALUE"""),2020902)</f>
        <v>2020902</v>
      </c>
      <c r="G74" s="47">
        <f>IFERROR(__xludf.DUMMYFUNCTION("""COMPUTED_VALUE"""),45847.6458333333)</f>
        <v>45847.6458333333</v>
      </c>
      <c r="H74" s="48">
        <f>IFERROR(__xludf.DUMMYFUNCTION("""COMPUTED_VALUE"""),2234.1)</f>
        <v>2234.1</v>
      </c>
      <c r="I74" s="47">
        <f>IFERROR(__xludf.DUMMYFUNCTION("""COMPUTED_VALUE"""),45847.6458333333)</f>
        <v>45847.6458333333</v>
      </c>
      <c r="J74" s="48">
        <f>IFERROR(__xludf.DUMMYFUNCTION("""COMPUTED_VALUE"""),2214)</f>
        <v>2214</v>
      </c>
      <c r="K74" s="3">
        <f t="shared" si="2"/>
        <v>2229.3</v>
      </c>
      <c r="L74" s="3">
        <f t="shared" si="3"/>
        <v>0</v>
      </c>
    </row>
    <row r="75" customHeight="1" spans="1:12">
      <c r="A75" s="47">
        <f>IFERROR(__xludf.DUMMYFUNCTION("""COMPUTED_VALUE"""),45848.6458333333)</f>
        <v>45848.6458333333</v>
      </c>
      <c r="B75" s="48">
        <f>IFERROR(__xludf.DUMMYFUNCTION("""COMPUTED_VALUE"""),2203.8)</f>
        <v>2203.8</v>
      </c>
      <c r="C75" s="47">
        <f>IFERROR(__xludf.DUMMYFUNCTION("""COMPUTED_VALUE"""),45848.6458333333)</f>
        <v>45848.6458333333</v>
      </c>
      <c r="D75" s="48">
        <f>IFERROR(__xludf.DUMMYFUNCTION("""COMPUTED_VALUE"""),2229.1)</f>
        <v>2229.1</v>
      </c>
      <c r="E75" s="47">
        <f>IFERROR(__xludf.DUMMYFUNCTION("""COMPUTED_VALUE"""),45848.6458333333)</f>
        <v>45848.6458333333</v>
      </c>
      <c r="F75" s="48">
        <f>IFERROR(__xludf.DUMMYFUNCTION("""COMPUTED_VALUE"""),5721813)</f>
        <v>5721813</v>
      </c>
      <c r="G75" s="47">
        <f>IFERROR(__xludf.DUMMYFUNCTION("""COMPUTED_VALUE"""),45848.6458333333)</f>
        <v>45848.6458333333</v>
      </c>
      <c r="H75" s="48">
        <f>IFERROR(__xludf.DUMMYFUNCTION("""COMPUTED_VALUE"""),2242.7)</f>
        <v>2242.7</v>
      </c>
      <c r="I75" s="47">
        <f>IFERROR(__xludf.DUMMYFUNCTION("""COMPUTED_VALUE"""),45848.6458333333)</f>
        <v>45848.6458333333</v>
      </c>
      <c r="J75" s="48">
        <f>IFERROR(__xludf.DUMMYFUNCTION("""COMPUTED_VALUE"""),2186.9)</f>
        <v>2186.9</v>
      </c>
      <c r="K75" s="3">
        <f t="shared" si="2"/>
        <v>0</v>
      </c>
      <c r="L75" s="3">
        <f t="shared" si="3"/>
        <v>0</v>
      </c>
    </row>
    <row r="76" customHeight="1" spans="1:12">
      <c r="A76" s="47">
        <f>IFERROR(__xludf.DUMMYFUNCTION("""COMPUTED_VALUE"""),45849.6458333333)</f>
        <v>45849.6458333333</v>
      </c>
      <c r="B76" s="48">
        <f>IFERROR(__xludf.DUMMYFUNCTION("""COMPUTED_VALUE"""),2220.6)</f>
        <v>2220.6</v>
      </c>
      <c r="C76" s="47">
        <f>IFERROR(__xludf.DUMMYFUNCTION("""COMPUTED_VALUE"""),45849.6458333333)</f>
        <v>45849.6458333333</v>
      </c>
      <c r="D76" s="48">
        <f>IFERROR(__xludf.DUMMYFUNCTION("""COMPUTED_VALUE"""),2201.8)</f>
        <v>2201.8</v>
      </c>
      <c r="E76" s="47">
        <f>IFERROR(__xludf.DUMMYFUNCTION("""COMPUTED_VALUE"""),45849.6458333333)</f>
        <v>45849.6458333333</v>
      </c>
      <c r="F76" s="48">
        <f>IFERROR(__xludf.DUMMYFUNCTION("""COMPUTED_VALUE"""),2679166)</f>
        <v>2679166</v>
      </c>
      <c r="G76" s="47">
        <f>IFERROR(__xludf.DUMMYFUNCTION("""COMPUTED_VALUE"""),45849.6458333333)</f>
        <v>45849.6458333333</v>
      </c>
      <c r="H76" s="48">
        <f>IFERROR(__xludf.DUMMYFUNCTION("""COMPUTED_VALUE"""),2225)</f>
        <v>2225</v>
      </c>
      <c r="I76" s="47">
        <f>IFERROR(__xludf.DUMMYFUNCTION("""COMPUTED_VALUE"""),45849.6458333333)</f>
        <v>45849.6458333333</v>
      </c>
      <c r="J76" s="48">
        <f>IFERROR(__xludf.DUMMYFUNCTION("""COMPUTED_VALUE"""),2198.6)</f>
        <v>2198.6</v>
      </c>
      <c r="K76" s="3">
        <f t="shared" si="2"/>
        <v>0</v>
      </c>
      <c r="L76" s="3">
        <f t="shared" si="3"/>
        <v>0</v>
      </c>
    </row>
    <row r="77" customHeight="1" spans="1:12">
      <c r="A77" s="47">
        <f>IFERROR(__xludf.DUMMYFUNCTION("""COMPUTED_VALUE"""),45852.6458333333)</f>
        <v>45852.6458333333</v>
      </c>
      <c r="B77" s="48">
        <f>IFERROR(__xludf.DUMMYFUNCTION("""COMPUTED_VALUE"""),2203.8)</f>
        <v>2203.8</v>
      </c>
      <c r="C77" s="47">
        <f>IFERROR(__xludf.DUMMYFUNCTION("""COMPUTED_VALUE"""),45852.6458333333)</f>
        <v>45852.6458333333</v>
      </c>
      <c r="D77" s="48">
        <f>IFERROR(__xludf.DUMMYFUNCTION("""COMPUTED_VALUE"""),2223.9)</f>
        <v>2223.9</v>
      </c>
      <c r="E77" s="47">
        <f>IFERROR(__xludf.DUMMYFUNCTION("""COMPUTED_VALUE"""),45852.6458333333)</f>
        <v>45852.6458333333</v>
      </c>
      <c r="F77" s="48">
        <f>IFERROR(__xludf.DUMMYFUNCTION("""COMPUTED_VALUE"""),2395337)</f>
        <v>2395337</v>
      </c>
      <c r="G77" s="47">
        <f>IFERROR(__xludf.DUMMYFUNCTION("""COMPUTED_VALUE"""),45852.6458333333)</f>
        <v>45852.6458333333</v>
      </c>
      <c r="H77" s="48">
        <f>IFERROR(__xludf.DUMMYFUNCTION("""COMPUTED_VALUE"""),2227)</f>
        <v>2227</v>
      </c>
      <c r="I77" s="47">
        <f>IFERROR(__xludf.DUMMYFUNCTION("""COMPUTED_VALUE"""),45852.6458333333)</f>
        <v>45852.6458333333</v>
      </c>
      <c r="J77" s="48">
        <f>IFERROR(__xludf.DUMMYFUNCTION("""COMPUTED_VALUE"""),2197.3)</f>
        <v>2197.3</v>
      </c>
      <c r="K77" s="3">
        <f t="shared" si="2"/>
        <v>0</v>
      </c>
      <c r="L77" s="3">
        <f t="shared" si="3"/>
        <v>0</v>
      </c>
    </row>
    <row r="78" customHeight="1" spans="1:12">
      <c r="A78" s="47">
        <f>IFERROR(__xludf.DUMMYFUNCTION("""COMPUTED_VALUE"""),45853.6458333333)</f>
        <v>45853.6458333333</v>
      </c>
      <c r="B78" s="48">
        <f>IFERROR(__xludf.DUMMYFUNCTION("""COMPUTED_VALUE"""),2188.1)</f>
        <v>2188.1</v>
      </c>
      <c r="C78" s="47">
        <f>IFERROR(__xludf.DUMMYFUNCTION("""COMPUTED_VALUE"""),45853.6458333333)</f>
        <v>45853.6458333333</v>
      </c>
      <c r="D78" s="48">
        <f>IFERROR(__xludf.DUMMYFUNCTION("""COMPUTED_VALUE"""),2210)</f>
        <v>2210</v>
      </c>
      <c r="E78" s="47">
        <f>IFERROR(__xludf.DUMMYFUNCTION("""COMPUTED_VALUE"""),45853.6458333333)</f>
        <v>45853.6458333333</v>
      </c>
      <c r="F78" s="48">
        <f>IFERROR(__xludf.DUMMYFUNCTION("""COMPUTED_VALUE"""),2974143)</f>
        <v>2974143</v>
      </c>
      <c r="G78" s="47">
        <f>IFERROR(__xludf.DUMMYFUNCTION("""COMPUTED_VALUE"""),45853.6458333333)</f>
        <v>45853.6458333333</v>
      </c>
      <c r="H78" s="48">
        <f>IFERROR(__xludf.DUMMYFUNCTION("""COMPUTED_VALUE"""),2233.6)</f>
        <v>2233.6</v>
      </c>
      <c r="I78" s="47">
        <f>IFERROR(__xludf.DUMMYFUNCTION("""COMPUTED_VALUE"""),45853.6458333333)</f>
        <v>45853.6458333333</v>
      </c>
      <c r="J78" s="48">
        <f>IFERROR(__xludf.DUMMYFUNCTION("""COMPUTED_VALUE"""),2181.9)</f>
        <v>2181.9</v>
      </c>
      <c r="K78" s="3">
        <f t="shared" si="2"/>
        <v>0</v>
      </c>
      <c r="L78" s="3">
        <f t="shared" si="3"/>
        <v>0</v>
      </c>
    </row>
    <row r="79" customHeight="1" spans="1:12">
      <c r="A79" s="47">
        <f>IFERROR(__xludf.DUMMYFUNCTION("""COMPUTED_VALUE"""),45854.6458333333)</f>
        <v>45854.6458333333</v>
      </c>
      <c r="B79" s="48">
        <f>IFERROR(__xludf.DUMMYFUNCTION("""COMPUTED_VALUE"""),2179.4)</f>
        <v>2179.4</v>
      </c>
      <c r="C79" s="47">
        <f>IFERROR(__xludf.DUMMYFUNCTION("""COMPUTED_VALUE"""),45854.6458333333)</f>
        <v>45854.6458333333</v>
      </c>
      <c r="D79" s="48">
        <f>IFERROR(__xludf.DUMMYFUNCTION("""COMPUTED_VALUE"""),2184.1)</f>
        <v>2184.1</v>
      </c>
      <c r="E79" s="47">
        <f>IFERROR(__xludf.DUMMYFUNCTION("""COMPUTED_VALUE"""),45854.6458333333)</f>
        <v>45854.6458333333</v>
      </c>
      <c r="F79" s="48">
        <f>IFERROR(__xludf.DUMMYFUNCTION("""COMPUTED_VALUE"""),2287703)</f>
        <v>2287703</v>
      </c>
      <c r="G79" s="47">
        <f>IFERROR(__xludf.DUMMYFUNCTION("""COMPUTED_VALUE"""),45854.6458333333)</f>
        <v>45854.6458333333</v>
      </c>
      <c r="H79" s="48">
        <f>IFERROR(__xludf.DUMMYFUNCTION("""COMPUTED_VALUE"""),2190)</f>
        <v>2190</v>
      </c>
      <c r="I79" s="47">
        <f>IFERROR(__xludf.DUMMYFUNCTION("""COMPUTED_VALUE"""),45854.6458333333)</f>
        <v>45854.6458333333</v>
      </c>
      <c r="J79" s="48">
        <f>IFERROR(__xludf.DUMMYFUNCTION("""COMPUTED_VALUE"""),2156)</f>
        <v>2156</v>
      </c>
      <c r="K79" s="3">
        <f t="shared" si="2"/>
        <v>0</v>
      </c>
      <c r="L79" s="3">
        <f t="shared" si="3"/>
        <v>0</v>
      </c>
    </row>
    <row r="80" customHeight="1" spans="1:12">
      <c r="A80" s="47">
        <f>IFERROR(__xludf.DUMMYFUNCTION("""COMPUTED_VALUE"""),45855.6458333333)</f>
        <v>45855.6458333333</v>
      </c>
      <c r="B80" s="48">
        <f>IFERROR(__xludf.DUMMYFUNCTION("""COMPUTED_VALUE"""),2170.8)</f>
        <v>2170.8</v>
      </c>
      <c r="C80" s="47">
        <f>IFERROR(__xludf.DUMMYFUNCTION("""COMPUTED_VALUE"""),45855.6458333333)</f>
        <v>45855.6458333333</v>
      </c>
      <c r="D80" s="48">
        <f>IFERROR(__xludf.DUMMYFUNCTION("""COMPUTED_VALUE"""),2175)</f>
        <v>2175</v>
      </c>
      <c r="E80" s="47">
        <f>IFERROR(__xludf.DUMMYFUNCTION("""COMPUTED_VALUE"""),45855.6458333333)</f>
        <v>45855.6458333333</v>
      </c>
      <c r="F80" s="48">
        <f>IFERROR(__xludf.DUMMYFUNCTION("""COMPUTED_VALUE"""),2179561)</f>
        <v>2179561</v>
      </c>
      <c r="G80" s="47">
        <f>IFERROR(__xludf.DUMMYFUNCTION("""COMPUTED_VALUE"""),45855.6458333333)</f>
        <v>45855.6458333333</v>
      </c>
      <c r="H80" s="48">
        <f>IFERROR(__xludf.DUMMYFUNCTION("""COMPUTED_VALUE"""),2191.7)</f>
        <v>2191.7</v>
      </c>
      <c r="I80" s="47">
        <f>IFERROR(__xludf.DUMMYFUNCTION("""COMPUTED_VALUE"""),45855.6458333333)</f>
        <v>45855.6458333333</v>
      </c>
      <c r="J80" s="48">
        <f>IFERROR(__xludf.DUMMYFUNCTION("""COMPUTED_VALUE"""),2166.7)</f>
        <v>2166.7</v>
      </c>
      <c r="K80" s="3">
        <f t="shared" si="2"/>
        <v>0</v>
      </c>
      <c r="L80" s="3">
        <f t="shared" si="3"/>
        <v>0</v>
      </c>
    </row>
    <row r="81" customHeight="1" spans="1:12">
      <c r="A81" s="47">
        <f>IFERROR(__xludf.DUMMYFUNCTION("""COMPUTED_VALUE"""),45856.6458333333)</f>
        <v>45856.6458333333</v>
      </c>
      <c r="B81" s="48">
        <f>IFERROR(__xludf.DUMMYFUNCTION("""COMPUTED_VALUE"""),2140.5)</f>
        <v>2140.5</v>
      </c>
      <c r="C81" s="47">
        <f>IFERROR(__xludf.DUMMYFUNCTION("""COMPUTED_VALUE"""),45856.6458333333)</f>
        <v>45856.6458333333</v>
      </c>
      <c r="D81" s="48">
        <f>IFERROR(__xludf.DUMMYFUNCTION("""COMPUTED_VALUE"""),2167.6)</f>
        <v>2167.6</v>
      </c>
      <c r="E81" s="47">
        <f>IFERROR(__xludf.DUMMYFUNCTION("""COMPUTED_VALUE"""),45856.6458333333)</f>
        <v>45856.6458333333</v>
      </c>
      <c r="F81" s="48">
        <f>IFERROR(__xludf.DUMMYFUNCTION("""COMPUTED_VALUE"""),2566543)</f>
        <v>2566543</v>
      </c>
      <c r="G81" s="47">
        <f>IFERROR(__xludf.DUMMYFUNCTION("""COMPUTED_VALUE"""),45856.6458333333)</f>
        <v>45856.6458333333</v>
      </c>
      <c r="H81" s="48">
        <f>IFERROR(__xludf.DUMMYFUNCTION("""COMPUTED_VALUE"""),2168)</f>
        <v>2168</v>
      </c>
      <c r="I81" s="47">
        <f>IFERROR(__xludf.DUMMYFUNCTION("""COMPUTED_VALUE"""),45856.6458333333)</f>
        <v>45856.6458333333</v>
      </c>
      <c r="J81" s="48">
        <f>IFERROR(__xludf.DUMMYFUNCTION("""COMPUTED_VALUE"""),2131)</f>
        <v>2131</v>
      </c>
      <c r="K81" s="3">
        <f t="shared" si="2"/>
        <v>0</v>
      </c>
      <c r="L81" s="3">
        <f t="shared" si="3"/>
        <v>0</v>
      </c>
    </row>
    <row r="82" customHeight="1" spans="1:12">
      <c r="A82" s="47">
        <f>IFERROR(__xludf.DUMMYFUNCTION("""COMPUTED_VALUE"""),45859.6458333333)</f>
        <v>45859.6458333333</v>
      </c>
      <c r="B82" s="48">
        <f>IFERROR(__xludf.DUMMYFUNCTION("""COMPUTED_VALUE"""),2165.2)</f>
        <v>2165.2</v>
      </c>
      <c r="C82" s="47">
        <f>IFERROR(__xludf.DUMMYFUNCTION("""COMPUTED_VALUE"""),45859.6458333333)</f>
        <v>45859.6458333333</v>
      </c>
      <c r="D82" s="48">
        <f>IFERROR(__xludf.DUMMYFUNCTION("""COMPUTED_VALUE"""),2138.1)</f>
        <v>2138.1</v>
      </c>
      <c r="E82" s="47">
        <f>IFERROR(__xludf.DUMMYFUNCTION("""COMPUTED_VALUE"""),45859.6458333333)</f>
        <v>45859.6458333333</v>
      </c>
      <c r="F82" s="48">
        <f>IFERROR(__xludf.DUMMYFUNCTION("""COMPUTED_VALUE"""),1827099)</f>
        <v>1827099</v>
      </c>
      <c r="G82" s="47">
        <f>IFERROR(__xludf.DUMMYFUNCTION("""COMPUTED_VALUE"""),45859.6458333333)</f>
        <v>45859.6458333333</v>
      </c>
      <c r="H82" s="48">
        <f>IFERROR(__xludf.DUMMYFUNCTION("""COMPUTED_VALUE"""),2167.6)</f>
        <v>2167.6</v>
      </c>
      <c r="I82" s="47">
        <f>IFERROR(__xludf.DUMMYFUNCTION("""COMPUTED_VALUE"""),45859.6458333333)</f>
        <v>45859.6458333333</v>
      </c>
      <c r="J82" s="48">
        <f>IFERROR(__xludf.DUMMYFUNCTION("""COMPUTED_VALUE"""),2130.2)</f>
        <v>2130.2</v>
      </c>
      <c r="K82" s="3">
        <f t="shared" si="2"/>
        <v>0</v>
      </c>
      <c r="L82" s="3">
        <f t="shared" si="3"/>
        <v>0</v>
      </c>
    </row>
    <row r="83" customHeight="1" spans="1:12">
      <c r="A83" s="47">
        <f>IFERROR(__xludf.DUMMYFUNCTION("""COMPUTED_VALUE"""),45860.6458333333)</f>
        <v>45860.6458333333</v>
      </c>
      <c r="B83" s="48">
        <f>IFERROR(__xludf.DUMMYFUNCTION("""COMPUTED_VALUE"""),2160.2)</f>
        <v>2160.2</v>
      </c>
      <c r="C83" s="47">
        <f>IFERROR(__xludf.DUMMYFUNCTION("""COMPUTED_VALUE"""),45860.6458333333)</f>
        <v>45860.6458333333</v>
      </c>
      <c r="D83" s="48">
        <f>IFERROR(__xludf.DUMMYFUNCTION("""COMPUTED_VALUE"""),2172)</f>
        <v>2172</v>
      </c>
      <c r="E83" s="47">
        <f>IFERROR(__xludf.DUMMYFUNCTION("""COMPUTED_VALUE"""),45860.6458333333)</f>
        <v>45860.6458333333</v>
      </c>
      <c r="F83" s="48">
        <f>IFERROR(__xludf.DUMMYFUNCTION("""COMPUTED_VALUE"""),1564562)</f>
        <v>1564562</v>
      </c>
      <c r="G83" s="47">
        <f>IFERROR(__xludf.DUMMYFUNCTION("""COMPUTED_VALUE"""),45860.6458333333)</f>
        <v>45860.6458333333</v>
      </c>
      <c r="H83" s="48">
        <f>IFERROR(__xludf.DUMMYFUNCTION("""COMPUTED_VALUE"""),2175)</f>
        <v>2175</v>
      </c>
      <c r="I83" s="47">
        <f>IFERROR(__xludf.DUMMYFUNCTION("""COMPUTED_VALUE"""),45860.6458333333)</f>
        <v>45860.6458333333</v>
      </c>
      <c r="J83" s="48">
        <f>IFERROR(__xludf.DUMMYFUNCTION("""COMPUTED_VALUE"""),2145)</f>
        <v>2145</v>
      </c>
      <c r="K83" s="3">
        <f t="shared" si="2"/>
        <v>0</v>
      </c>
      <c r="L83" s="3">
        <f t="shared" si="3"/>
        <v>0</v>
      </c>
    </row>
    <row r="84" customHeight="1" spans="1:12">
      <c r="A84" s="47">
        <f>IFERROR(__xludf.DUMMYFUNCTION("""COMPUTED_VALUE"""),45861.6458333333)</f>
        <v>45861.6458333333</v>
      </c>
      <c r="B84" s="48">
        <f>IFERROR(__xludf.DUMMYFUNCTION("""COMPUTED_VALUE"""),2170.4)</f>
        <v>2170.4</v>
      </c>
      <c r="C84" s="47">
        <f>IFERROR(__xludf.DUMMYFUNCTION("""COMPUTED_VALUE"""),45861.6458333333)</f>
        <v>45861.6458333333</v>
      </c>
      <c r="D84" s="48">
        <f>IFERROR(__xludf.DUMMYFUNCTION("""COMPUTED_VALUE"""),2171)</f>
        <v>2171</v>
      </c>
      <c r="E84" s="47">
        <f>IFERROR(__xludf.DUMMYFUNCTION("""COMPUTED_VALUE"""),45861.6458333333)</f>
        <v>45861.6458333333</v>
      </c>
      <c r="F84" s="48">
        <f>IFERROR(__xludf.DUMMYFUNCTION("""COMPUTED_VALUE"""),2790541)</f>
        <v>2790541</v>
      </c>
      <c r="G84" s="47">
        <f>IFERROR(__xludf.DUMMYFUNCTION("""COMPUTED_VALUE"""),45861.6458333333)</f>
        <v>45861.6458333333</v>
      </c>
      <c r="H84" s="48">
        <f>IFERROR(__xludf.DUMMYFUNCTION("""COMPUTED_VALUE"""),2179.8)</f>
        <v>2179.8</v>
      </c>
      <c r="I84" s="47">
        <f>IFERROR(__xludf.DUMMYFUNCTION("""COMPUTED_VALUE"""),45861.6458333333)</f>
        <v>45861.6458333333</v>
      </c>
      <c r="J84" s="48">
        <f>IFERROR(__xludf.DUMMYFUNCTION("""COMPUTED_VALUE"""),2156.2)</f>
        <v>2156.2</v>
      </c>
      <c r="K84" s="3">
        <f t="shared" si="2"/>
        <v>0</v>
      </c>
      <c r="L84" s="3">
        <f t="shared" si="3"/>
        <v>0</v>
      </c>
    </row>
    <row r="85" customHeight="1" spans="1:12">
      <c r="A85" s="47">
        <f>IFERROR(__xludf.DUMMYFUNCTION("""COMPUTED_VALUE"""),45862.6458333333)</f>
        <v>45862.6458333333</v>
      </c>
      <c r="B85" s="48">
        <f>IFERROR(__xludf.DUMMYFUNCTION("""COMPUTED_VALUE"""),2142.1)</f>
        <v>2142.1</v>
      </c>
      <c r="C85" s="47">
        <f>IFERROR(__xludf.DUMMYFUNCTION("""COMPUTED_VALUE"""),45862.6458333333)</f>
        <v>45862.6458333333</v>
      </c>
      <c r="D85" s="48">
        <f>IFERROR(__xludf.DUMMYFUNCTION("""COMPUTED_VALUE"""),2165.4)</f>
        <v>2165.4</v>
      </c>
      <c r="E85" s="47">
        <f>IFERROR(__xludf.DUMMYFUNCTION("""COMPUTED_VALUE"""),45862.6458333333)</f>
        <v>45862.6458333333</v>
      </c>
      <c r="F85" s="48">
        <f>IFERROR(__xludf.DUMMYFUNCTION("""COMPUTED_VALUE"""),2058400)</f>
        <v>2058400</v>
      </c>
      <c r="G85" s="47">
        <f>IFERROR(__xludf.DUMMYFUNCTION("""COMPUTED_VALUE"""),45862.6458333333)</f>
        <v>45862.6458333333</v>
      </c>
      <c r="H85" s="48">
        <f>IFERROR(__xludf.DUMMYFUNCTION("""COMPUTED_VALUE"""),2171.8)</f>
        <v>2171.8</v>
      </c>
      <c r="I85" s="47">
        <f>IFERROR(__xludf.DUMMYFUNCTION("""COMPUTED_VALUE"""),45862.6458333333)</f>
        <v>45862.6458333333</v>
      </c>
      <c r="J85" s="48">
        <f>IFERROR(__xludf.DUMMYFUNCTION("""COMPUTED_VALUE"""),2140)</f>
        <v>2140</v>
      </c>
      <c r="K85" s="3">
        <f t="shared" si="2"/>
        <v>0</v>
      </c>
      <c r="L85" s="3">
        <f t="shared" si="3"/>
        <v>0</v>
      </c>
    </row>
    <row r="86" customHeight="1" spans="1:12">
      <c r="A86" s="47">
        <f>IFERROR(__xludf.DUMMYFUNCTION("""COMPUTED_VALUE"""),45863.6458333333)</f>
        <v>45863.6458333333</v>
      </c>
      <c r="B86" s="48">
        <f>IFERROR(__xludf.DUMMYFUNCTION("""COMPUTED_VALUE"""),2124.6)</f>
        <v>2124.6</v>
      </c>
      <c r="C86" s="47">
        <f>IFERROR(__xludf.DUMMYFUNCTION("""COMPUTED_VALUE"""),45863.6458333333)</f>
        <v>45863.6458333333</v>
      </c>
      <c r="D86" s="48">
        <f>IFERROR(__xludf.DUMMYFUNCTION("""COMPUTED_VALUE"""),2139.1)</f>
        <v>2139.1</v>
      </c>
      <c r="E86" s="47">
        <f>IFERROR(__xludf.DUMMYFUNCTION("""COMPUTED_VALUE"""),45863.6458333333)</f>
        <v>45863.6458333333</v>
      </c>
      <c r="F86" s="48">
        <f>IFERROR(__xludf.DUMMYFUNCTION("""COMPUTED_VALUE"""),1745475)</f>
        <v>1745475</v>
      </c>
      <c r="G86" s="47">
        <f>IFERROR(__xludf.DUMMYFUNCTION("""COMPUTED_VALUE"""),45863.6458333333)</f>
        <v>45863.6458333333</v>
      </c>
      <c r="H86" s="48">
        <f>IFERROR(__xludf.DUMMYFUNCTION("""COMPUTED_VALUE"""),2149.9)</f>
        <v>2149.9</v>
      </c>
      <c r="I86" s="47">
        <f>IFERROR(__xludf.DUMMYFUNCTION("""COMPUTED_VALUE"""),45863.6458333333)</f>
        <v>45863.6458333333</v>
      </c>
      <c r="J86" s="48">
        <f>IFERROR(__xludf.DUMMYFUNCTION("""COMPUTED_VALUE"""),2118.3)</f>
        <v>2118.3</v>
      </c>
      <c r="K86" s="3">
        <f t="shared" si="2"/>
        <v>0</v>
      </c>
      <c r="L86" s="3">
        <f t="shared" si="3"/>
        <v>0</v>
      </c>
    </row>
    <row r="87" customHeight="1" spans="1:12">
      <c r="A87" s="47">
        <f>IFERROR(__xludf.DUMMYFUNCTION("""COMPUTED_VALUE"""),45866.6458333333)</f>
        <v>45866.6458333333</v>
      </c>
      <c r="B87" s="48">
        <f>IFERROR(__xludf.DUMMYFUNCTION("""COMPUTED_VALUE"""),1966.6)</f>
        <v>1966.6</v>
      </c>
      <c r="C87" s="47">
        <f>IFERROR(__xludf.DUMMYFUNCTION("""COMPUTED_VALUE"""),45866.6458333333)</f>
        <v>45866.6458333333</v>
      </c>
      <c r="D87" s="48">
        <f>IFERROR(__xludf.DUMMYFUNCTION("""COMPUTED_VALUE"""),2025.3)</f>
        <v>2025.3</v>
      </c>
      <c r="E87" s="47">
        <f>IFERROR(__xludf.DUMMYFUNCTION("""COMPUTED_VALUE"""),45866.6458333333)</f>
        <v>45866.6458333333</v>
      </c>
      <c r="F87" s="48">
        <f>IFERROR(__xludf.DUMMYFUNCTION("""COMPUTED_VALUE"""),13824699)</f>
        <v>13824699</v>
      </c>
      <c r="G87" s="47">
        <f>IFERROR(__xludf.DUMMYFUNCTION("""COMPUTED_VALUE"""),45866.6458333333)</f>
        <v>45866.6458333333</v>
      </c>
      <c r="H87" s="48">
        <f>IFERROR(__xludf.DUMMYFUNCTION("""COMPUTED_VALUE"""),2055.3)</f>
        <v>2055.3</v>
      </c>
      <c r="I87" s="47">
        <f>IFERROR(__xludf.DUMMYFUNCTION("""COMPUTED_VALUE"""),45866.6458333333)</f>
        <v>45866.6458333333</v>
      </c>
      <c r="J87" s="48">
        <f>IFERROR(__xludf.DUMMYFUNCTION("""COMPUTED_VALUE"""),1960)</f>
        <v>1960</v>
      </c>
      <c r="K87" s="3">
        <f t="shared" si="2"/>
        <v>0</v>
      </c>
      <c r="L87" s="3">
        <f t="shared" si="3"/>
        <v>0</v>
      </c>
    </row>
    <row r="88" customHeight="1" spans="1:12">
      <c r="A88" s="47">
        <f>IFERROR(__xludf.DUMMYFUNCTION("""COMPUTED_VALUE"""),45867.6458333333)</f>
        <v>45867.6458333333</v>
      </c>
      <c r="B88" s="48">
        <f>IFERROR(__xludf.DUMMYFUNCTION("""COMPUTED_VALUE"""),1972.7)</f>
        <v>1972.7</v>
      </c>
      <c r="C88" s="47">
        <f>IFERROR(__xludf.DUMMYFUNCTION("""COMPUTED_VALUE"""),45867.6458333333)</f>
        <v>45867.6458333333</v>
      </c>
      <c r="D88" s="48">
        <f>IFERROR(__xludf.DUMMYFUNCTION("""COMPUTED_VALUE"""),1967)</f>
        <v>1967</v>
      </c>
      <c r="E88" s="47">
        <f>IFERROR(__xludf.DUMMYFUNCTION("""COMPUTED_VALUE"""),45867.6458333333)</f>
        <v>45867.6458333333</v>
      </c>
      <c r="F88" s="48">
        <f>IFERROR(__xludf.DUMMYFUNCTION("""COMPUTED_VALUE"""),5043934)</f>
        <v>5043934</v>
      </c>
      <c r="G88" s="47">
        <f>IFERROR(__xludf.DUMMYFUNCTION("""COMPUTED_VALUE"""),45867.6458333333)</f>
        <v>45867.6458333333</v>
      </c>
      <c r="H88" s="48">
        <f>IFERROR(__xludf.DUMMYFUNCTION("""COMPUTED_VALUE"""),1979.7)</f>
        <v>1979.7</v>
      </c>
      <c r="I88" s="47">
        <f>IFERROR(__xludf.DUMMYFUNCTION("""COMPUTED_VALUE"""),45867.6458333333)</f>
        <v>45867.6458333333</v>
      </c>
      <c r="J88" s="48">
        <f>IFERROR(__xludf.DUMMYFUNCTION("""COMPUTED_VALUE"""),1953)</f>
        <v>1953</v>
      </c>
      <c r="K88" s="3">
        <f t="shared" si="2"/>
        <v>0</v>
      </c>
      <c r="L88" s="3">
        <f t="shared" si="3"/>
        <v>0</v>
      </c>
    </row>
    <row r="89" customHeight="1" spans="1:12">
      <c r="A89" s="47">
        <f>IFERROR(__xludf.DUMMYFUNCTION("""COMPUTED_VALUE"""),45868.6458333333)</f>
        <v>45868.6458333333</v>
      </c>
      <c r="B89" s="48">
        <f>IFERROR(__xludf.DUMMYFUNCTION("""COMPUTED_VALUE"""),1959.7)</f>
        <v>1959.7</v>
      </c>
      <c r="C89" s="47">
        <f>IFERROR(__xludf.DUMMYFUNCTION("""COMPUTED_VALUE"""),45868.6458333333)</f>
        <v>45868.6458333333</v>
      </c>
      <c r="D89" s="48">
        <f>IFERROR(__xludf.DUMMYFUNCTION("""COMPUTED_VALUE"""),1966.1)</f>
        <v>1966.1</v>
      </c>
      <c r="E89" s="47">
        <f>IFERROR(__xludf.DUMMYFUNCTION("""COMPUTED_VALUE"""),45868.6458333333)</f>
        <v>45868.6458333333</v>
      </c>
      <c r="F89" s="48">
        <f>IFERROR(__xludf.DUMMYFUNCTION("""COMPUTED_VALUE"""),3589991)</f>
        <v>3589991</v>
      </c>
      <c r="G89" s="47">
        <f>IFERROR(__xludf.DUMMYFUNCTION("""COMPUTED_VALUE"""),45868.6458333333)</f>
        <v>45868.6458333333</v>
      </c>
      <c r="H89" s="48">
        <f>IFERROR(__xludf.DUMMYFUNCTION("""COMPUTED_VALUE"""),1980.9)</f>
        <v>1980.9</v>
      </c>
      <c r="I89" s="47">
        <f>IFERROR(__xludf.DUMMYFUNCTION("""COMPUTED_VALUE"""),45868.6458333333)</f>
        <v>45868.6458333333</v>
      </c>
      <c r="J89" s="48">
        <f>IFERROR(__xludf.DUMMYFUNCTION("""COMPUTED_VALUE"""),1957)</f>
        <v>1957</v>
      </c>
      <c r="K89" s="3">
        <f t="shared" si="2"/>
        <v>0</v>
      </c>
      <c r="L89" s="3">
        <f t="shared" si="3"/>
        <v>1959.7</v>
      </c>
    </row>
    <row r="90" customHeight="1" spans="1:12">
      <c r="A90" s="47">
        <f>IFERROR(__xludf.DUMMYFUNCTION("""COMPUTED_VALUE"""),45869.6458333333)</f>
        <v>45869.6458333333</v>
      </c>
      <c r="B90" s="48">
        <f>IFERROR(__xludf.DUMMYFUNCTION("""COMPUTED_VALUE"""),1978.6)</f>
        <v>1978.6</v>
      </c>
      <c r="C90" s="47">
        <f>IFERROR(__xludf.DUMMYFUNCTION("""COMPUTED_VALUE"""),45869.6458333333)</f>
        <v>45869.6458333333</v>
      </c>
      <c r="D90" s="48">
        <f>IFERROR(__xludf.DUMMYFUNCTION("""COMPUTED_VALUE"""),1941.2)</f>
        <v>1941.2</v>
      </c>
      <c r="E90" s="47">
        <f>IFERROR(__xludf.DUMMYFUNCTION("""COMPUTED_VALUE"""),45869.6458333333)</f>
        <v>45869.6458333333</v>
      </c>
      <c r="F90" s="48">
        <f>IFERROR(__xludf.DUMMYFUNCTION("""COMPUTED_VALUE"""),4303918)</f>
        <v>4303918</v>
      </c>
      <c r="G90" s="47">
        <f>IFERROR(__xludf.DUMMYFUNCTION("""COMPUTED_VALUE"""),45869.6458333333)</f>
        <v>45869.6458333333</v>
      </c>
      <c r="H90" s="48">
        <f>IFERROR(__xludf.DUMMYFUNCTION("""COMPUTED_VALUE"""),1998.6)</f>
        <v>1998.6</v>
      </c>
      <c r="I90" s="47">
        <f>IFERROR(__xludf.DUMMYFUNCTION("""COMPUTED_VALUE"""),45869.6458333333)</f>
        <v>45869.6458333333</v>
      </c>
      <c r="J90" s="48">
        <f>IFERROR(__xludf.DUMMYFUNCTION("""COMPUTED_VALUE"""),1935)</f>
        <v>1935</v>
      </c>
      <c r="K90" s="3">
        <f t="shared" si="2"/>
        <v>0</v>
      </c>
      <c r="L90" s="3">
        <f t="shared" si="3"/>
        <v>0</v>
      </c>
    </row>
    <row r="91" customHeight="1" spans="1:12">
      <c r="A91" s="47">
        <f>IFERROR(__xludf.DUMMYFUNCTION("""COMPUTED_VALUE"""),45870.6458333333)</f>
        <v>45870.6458333333</v>
      </c>
      <c r="B91" s="48">
        <f>IFERROR(__xludf.DUMMYFUNCTION("""COMPUTED_VALUE"""),1992.4)</f>
        <v>1992.4</v>
      </c>
      <c r="C91" s="47">
        <f>IFERROR(__xludf.DUMMYFUNCTION("""COMPUTED_VALUE"""),45870.6458333333)</f>
        <v>45870.6458333333</v>
      </c>
      <c r="D91" s="48">
        <f>IFERROR(__xludf.DUMMYFUNCTION("""COMPUTED_VALUE"""),1983)</f>
        <v>1983</v>
      </c>
      <c r="E91" s="47">
        <f>IFERROR(__xludf.DUMMYFUNCTION("""COMPUTED_VALUE"""),45870.6458333333)</f>
        <v>45870.6458333333</v>
      </c>
      <c r="F91" s="48">
        <f>IFERROR(__xludf.DUMMYFUNCTION("""COMPUTED_VALUE"""),2672373)</f>
        <v>2672373</v>
      </c>
      <c r="G91" s="47">
        <f>IFERROR(__xludf.DUMMYFUNCTION("""COMPUTED_VALUE"""),45870.6458333333)</f>
        <v>45870.6458333333</v>
      </c>
      <c r="H91" s="48">
        <f>IFERROR(__xludf.DUMMYFUNCTION("""COMPUTED_VALUE"""),2007)</f>
        <v>2007</v>
      </c>
      <c r="I91" s="47">
        <f>IFERROR(__xludf.DUMMYFUNCTION("""COMPUTED_VALUE"""),45870.6458333333)</f>
        <v>45870.6458333333</v>
      </c>
      <c r="J91" s="48">
        <f>IFERROR(__xludf.DUMMYFUNCTION("""COMPUTED_VALUE"""),1972.1)</f>
        <v>1972.1</v>
      </c>
      <c r="K91" s="3">
        <f t="shared" si="2"/>
        <v>0</v>
      </c>
      <c r="L91" s="3">
        <f t="shared" si="3"/>
        <v>0</v>
      </c>
    </row>
    <row r="92" customHeight="1" spans="1:12">
      <c r="A92" s="47">
        <f>IFERROR(__xludf.DUMMYFUNCTION("""COMPUTED_VALUE"""),45873.6458333333)</f>
        <v>45873.6458333333</v>
      </c>
      <c r="B92" s="48">
        <f>IFERROR(__xludf.DUMMYFUNCTION("""COMPUTED_VALUE"""),1997)</f>
        <v>1997</v>
      </c>
      <c r="C92" s="47">
        <f>IFERROR(__xludf.DUMMYFUNCTION("""COMPUTED_VALUE"""),45873.6458333333)</f>
        <v>45873.6458333333</v>
      </c>
      <c r="D92" s="48">
        <f>IFERROR(__xludf.DUMMYFUNCTION("""COMPUTED_VALUE"""),1987)</f>
        <v>1987</v>
      </c>
      <c r="E92" s="47">
        <f>IFERROR(__xludf.DUMMYFUNCTION("""COMPUTED_VALUE"""),45873.6458333333)</f>
        <v>45873.6458333333</v>
      </c>
      <c r="F92" s="48">
        <f>IFERROR(__xludf.DUMMYFUNCTION("""COMPUTED_VALUE"""),1543261)</f>
        <v>1543261</v>
      </c>
      <c r="G92" s="47">
        <f>IFERROR(__xludf.DUMMYFUNCTION("""COMPUTED_VALUE"""),45873.6458333333)</f>
        <v>45873.6458333333</v>
      </c>
      <c r="H92" s="48">
        <f>IFERROR(__xludf.DUMMYFUNCTION("""COMPUTED_VALUE"""),2007)</f>
        <v>2007</v>
      </c>
      <c r="I92" s="47">
        <f>IFERROR(__xludf.DUMMYFUNCTION("""COMPUTED_VALUE"""),45873.6458333333)</f>
        <v>45873.6458333333</v>
      </c>
      <c r="J92" s="48">
        <f>IFERROR(__xludf.DUMMYFUNCTION("""COMPUTED_VALUE"""),1982.1)</f>
        <v>1982.1</v>
      </c>
      <c r="K92" s="3">
        <f t="shared" si="2"/>
        <v>0</v>
      </c>
      <c r="L92" s="3">
        <f t="shared" si="3"/>
        <v>0</v>
      </c>
    </row>
    <row r="93" customHeight="1" spans="1:12">
      <c r="A93" s="47">
        <f>IFERROR(__xludf.DUMMYFUNCTION("""COMPUTED_VALUE"""),45874.6458333333)</f>
        <v>45874.6458333333</v>
      </c>
      <c r="B93" s="48">
        <f>IFERROR(__xludf.DUMMYFUNCTION("""COMPUTED_VALUE"""),2003)</f>
        <v>2003</v>
      </c>
      <c r="C93" s="47">
        <f>IFERROR(__xludf.DUMMYFUNCTION("""COMPUTED_VALUE"""),45874.6458333333)</f>
        <v>45874.6458333333</v>
      </c>
      <c r="D93" s="48">
        <f>IFERROR(__xludf.DUMMYFUNCTION("""COMPUTED_VALUE"""),2008)</f>
        <v>2008</v>
      </c>
      <c r="E93" s="47">
        <f>IFERROR(__xludf.DUMMYFUNCTION("""COMPUTED_VALUE"""),45874.6458333333)</f>
        <v>45874.6458333333</v>
      </c>
      <c r="F93" s="48">
        <f>IFERROR(__xludf.DUMMYFUNCTION("""COMPUTED_VALUE"""),2421332)</f>
        <v>2421332</v>
      </c>
      <c r="G93" s="47">
        <f>IFERROR(__xludf.DUMMYFUNCTION("""COMPUTED_VALUE"""),45874.6458333333)</f>
        <v>45874.6458333333</v>
      </c>
      <c r="H93" s="48">
        <f>IFERROR(__xludf.DUMMYFUNCTION("""COMPUTED_VALUE"""),2008)</f>
        <v>2008</v>
      </c>
      <c r="I93" s="47">
        <f>IFERROR(__xludf.DUMMYFUNCTION("""COMPUTED_VALUE"""),45874.6458333333)</f>
        <v>45874.6458333333</v>
      </c>
      <c r="J93" s="48">
        <f>IFERROR(__xludf.DUMMYFUNCTION("""COMPUTED_VALUE"""),1994.8)</f>
        <v>1994.8</v>
      </c>
      <c r="K93" s="3">
        <f t="shared" si="2"/>
        <v>2003</v>
      </c>
      <c r="L93" s="3">
        <f t="shared" si="3"/>
        <v>0</v>
      </c>
    </row>
    <row r="94" customHeight="1" spans="1:12">
      <c r="A94" s="47">
        <f>IFERROR(__xludf.DUMMYFUNCTION("""COMPUTED_VALUE"""),45875.6458333333)</f>
        <v>45875.6458333333</v>
      </c>
      <c r="B94" s="48">
        <f>IFERROR(__xludf.DUMMYFUNCTION("""COMPUTED_VALUE"""),2002.4)</f>
        <v>2002.4</v>
      </c>
      <c r="C94" s="47">
        <f>IFERROR(__xludf.DUMMYFUNCTION("""COMPUTED_VALUE"""),45875.6458333333)</f>
        <v>45875.6458333333</v>
      </c>
      <c r="D94" s="48">
        <f>IFERROR(__xludf.DUMMYFUNCTION("""COMPUTED_VALUE"""),2003)</f>
        <v>2003</v>
      </c>
      <c r="E94" s="47">
        <f>IFERROR(__xludf.DUMMYFUNCTION("""COMPUTED_VALUE"""),45875.6458333333)</f>
        <v>45875.6458333333</v>
      </c>
      <c r="F94" s="48">
        <f>IFERROR(__xludf.DUMMYFUNCTION("""COMPUTED_VALUE"""),2662279)</f>
        <v>2662279</v>
      </c>
      <c r="G94" s="47">
        <f>IFERROR(__xludf.DUMMYFUNCTION("""COMPUTED_VALUE"""),45875.6458333333)</f>
        <v>45875.6458333333</v>
      </c>
      <c r="H94" s="48">
        <f>IFERROR(__xludf.DUMMYFUNCTION("""COMPUTED_VALUE"""),2025.6)</f>
        <v>2025.6</v>
      </c>
      <c r="I94" s="47">
        <f>IFERROR(__xludf.DUMMYFUNCTION("""COMPUTED_VALUE"""),45875.6458333333)</f>
        <v>45875.6458333333</v>
      </c>
      <c r="J94" s="48">
        <f>IFERROR(__xludf.DUMMYFUNCTION("""COMPUTED_VALUE"""),1992.7)</f>
        <v>1992.7</v>
      </c>
      <c r="K94" s="3">
        <f t="shared" si="2"/>
        <v>0</v>
      </c>
      <c r="L94" s="3">
        <f t="shared" si="3"/>
        <v>0</v>
      </c>
    </row>
    <row r="95" customHeight="1" spans="1:12">
      <c r="A95" s="47">
        <f>IFERROR(__xludf.DUMMYFUNCTION("""COMPUTED_VALUE"""),45876.6458333333)</f>
        <v>45876.6458333333</v>
      </c>
      <c r="B95" s="48">
        <f>IFERROR(__xludf.DUMMYFUNCTION("""COMPUTED_VALUE"""),1992.1)</f>
        <v>1992.1</v>
      </c>
      <c r="C95" s="47">
        <f>IFERROR(__xludf.DUMMYFUNCTION("""COMPUTED_VALUE"""),45876.6458333333)</f>
        <v>45876.6458333333</v>
      </c>
      <c r="D95" s="48">
        <f>IFERROR(__xludf.DUMMYFUNCTION("""COMPUTED_VALUE"""),1981)</f>
        <v>1981</v>
      </c>
      <c r="E95" s="47">
        <f>IFERROR(__xludf.DUMMYFUNCTION("""COMPUTED_VALUE"""),45876.6458333333)</f>
        <v>45876.6458333333</v>
      </c>
      <c r="F95" s="48">
        <f>IFERROR(__xludf.DUMMYFUNCTION("""COMPUTED_VALUE"""),14552199)</f>
        <v>14552199</v>
      </c>
      <c r="G95" s="47">
        <f>IFERROR(__xludf.DUMMYFUNCTION("""COMPUTED_VALUE"""),45876.6458333333)</f>
        <v>45876.6458333333</v>
      </c>
      <c r="H95" s="48">
        <f>IFERROR(__xludf.DUMMYFUNCTION("""COMPUTED_VALUE"""),1995.5)</f>
        <v>1995.5</v>
      </c>
      <c r="I95" s="47">
        <f>IFERROR(__xludf.DUMMYFUNCTION("""COMPUTED_VALUE"""),45876.6458333333)</f>
        <v>45876.6458333333</v>
      </c>
      <c r="J95" s="48">
        <f>IFERROR(__xludf.DUMMYFUNCTION("""COMPUTED_VALUE"""),1965)</f>
        <v>1965</v>
      </c>
      <c r="K95" s="3">
        <f t="shared" si="2"/>
        <v>0</v>
      </c>
      <c r="L95" s="3">
        <f t="shared" si="3"/>
        <v>0</v>
      </c>
    </row>
    <row r="96" customHeight="1" spans="1:12">
      <c r="A96" s="47">
        <f>IFERROR(__xludf.DUMMYFUNCTION("""COMPUTED_VALUE"""),45877.6458333333)</f>
        <v>45877.6458333333</v>
      </c>
      <c r="B96" s="48">
        <f>IFERROR(__xludf.DUMMYFUNCTION("""COMPUTED_VALUE"""),1952.7)</f>
        <v>1952.7</v>
      </c>
      <c r="C96" s="47">
        <f>IFERROR(__xludf.DUMMYFUNCTION("""COMPUTED_VALUE"""),45877.6458333333)</f>
        <v>45877.6458333333</v>
      </c>
      <c r="D96" s="48">
        <f>IFERROR(__xludf.DUMMYFUNCTION("""COMPUTED_VALUE"""),1993.9)</f>
        <v>1993.9</v>
      </c>
      <c r="E96" s="47">
        <f>IFERROR(__xludf.DUMMYFUNCTION("""COMPUTED_VALUE"""),45877.6458333333)</f>
        <v>45877.6458333333</v>
      </c>
      <c r="F96" s="48">
        <f>IFERROR(__xludf.DUMMYFUNCTION("""COMPUTED_VALUE"""),2185729)</f>
        <v>2185729</v>
      </c>
      <c r="G96" s="47">
        <f>IFERROR(__xludf.DUMMYFUNCTION("""COMPUTED_VALUE"""),45877.6458333333)</f>
        <v>45877.6458333333</v>
      </c>
      <c r="H96" s="48">
        <f>IFERROR(__xludf.DUMMYFUNCTION("""COMPUTED_VALUE"""),1999.5)</f>
        <v>1999.5</v>
      </c>
      <c r="I96" s="47">
        <f>IFERROR(__xludf.DUMMYFUNCTION("""COMPUTED_VALUE"""),45877.6458333333)</f>
        <v>45877.6458333333</v>
      </c>
      <c r="J96" s="48">
        <f>IFERROR(__xludf.DUMMYFUNCTION("""COMPUTED_VALUE"""),1948.2)</f>
        <v>1948.2</v>
      </c>
      <c r="K96" s="3">
        <f t="shared" si="2"/>
        <v>0</v>
      </c>
      <c r="L96" s="3">
        <f t="shared" si="3"/>
        <v>1952.7</v>
      </c>
    </row>
    <row r="97" customHeight="1" spans="1:12">
      <c r="A97" s="47">
        <f>IFERROR(__xludf.DUMMYFUNCTION("""COMPUTED_VALUE"""),45880.6458333333)</f>
        <v>45880.6458333333</v>
      </c>
      <c r="B97" s="48">
        <f>IFERROR(__xludf.DUMMYFUNCTION("""COMPUTED_VALUE"""),1975.9)</f>
        <v>1975.9</v>
      </c>
      <c r="C97" s="47">
        <f>IFERROR(__xludf.DUMMYFUNCTION("""COMPUTED_VALUE"""),45880.6458333333)</f>
        <v>45880.6458333333</v>
      </c>
      <c r="D97" s="48">
        <f>IFERROR(__xludf.DUMMYFUNCTION("""COMPUTED_VALUE"""),1964)</f>
        <v>1964</v>
      </c>
      <c r="E97" s="47">
        <f>IFERROR(__xludf.DUMMYFUNCTION("""COMPUTED_VALUE"""),45880.6458333333)</f>
        <v>45880.6458333333</v>
      </c>
      <c r="F97" s="48">
        <f>IFERROR(__xludf.DUMMYFUNCTION("""COMPUTED_VALUE"""),2202513)</f>
        <v>2202513</v>
      </c>
      <c r="G97" s="47">
        <f>IFERROR(__xludf.DUMMYFUNCTION("""COMPUTED_VALUE"""),45880.6458333333)</f>
        <v>45880.6458333333</v>
      </c>
      <c r="H97" s="48">
        <f>IFERROR(__xludf.DUMMYFUNCTION("""COMPUTED_VALUE"""),2024)</f>
        <v>2024</v>
      </c>
      <c r="I97" s="47">
        <f>IFERROR(__xludf.DUMMYFUNCTION("""COMPUTED_VALUE"""),45880.6458333333)</f>
        <v>45880.6458333333</v>
      </c>
      <c r="J97" s="48">
        <f>IFERROR(__xludf.DUMMYFUNCTION("""COMPUTED_VALUE"""),1956.4)</f>
        <v>1956.4</v>
      </c>
      <c r="K97" s="3">
        <f t="shared" si="2"/>
        <v>0</v>
      </c>
      <c r="L97" s="3">
        <f t="shared" si="3"/>
        <v>0</v>
      </c>
    </row>
    <row r="98" customHeight="1" spans="1:12">
      <c r="A98" s="47">
        <f>IFERROR(__xludf.DUMMYFUNCTION("""COMPUTED_VALUE"""),45881.6458333333)</f>
        <v>45881.6458333333</v>
      </c>
      <c r="B98" s="48">
        <f>IFERROR(__xludf.DUMMYFUNCTION("""COMPUTED_VALUE"""),1959)</f>
        <v>1959</v>
      </c>
      <c r="C98" s="47">
        <f>IFERROR(__xludf.DUMMYFUNCTION("""COMPUTED_VALUE"""),45881.6458333333)</f>
        <v>45881.6458333333</v>
      </c>
      <c r="D98" s="48">
        <f>IFERROR(__xludf.DUMMYFUNCTION("""COMPUTED_VALUE"""),1975)</f>
        <v>1975</v>
      </c>
      <c r="E98" s="47">
        <f>IFERROR(__xludf.DUMMYFUNCTION("""COMPUTED_VALUE"""),45881.6458333333)</f>
        <v>45881.6458333333</v>
      </c>
      <c r="F98" s="48">
        <f>IFERROR(__xludf.DUMMYFUNCTION("""COMPUTED_VALUE"""),1577824)</f>
        <v>1577824</v>
      </c>
      <c r="G98" s="47">
        <f>IFERROR(__xludf.DUMMYFUNCTION("""COMPUTED_VALUE"""),45881.6458333333)</f>
        <v>45881.6458333333</v>
      </c>
      <c r="H98" s="48">
        <f>IFERROR(__xludf.DUMMYFUNCTION("""COMPUTED_VALUE"""),1985.9)</f>
        <v>1985.9</v>
      </c>
      <c r="I98" s="47">
        <f>IFERROR(__xludf.DUMMYFUNCTION("""COMPUTED_VALUE"""),45881.6458333333)</f>
        <v>45881.6458333333</v>
      </c>
      <c r="J98" s="48">
        <f>IFERROR(__xludf.DUMMYFUNCTION("""COMPUTED_VALUE"""),1956.4)</f>
        <v>1956.4</v>
      </c>
      <c r="K98" s="3">
        <f t="shared" si="2"/>
        <v>0</v>
      </c>
      <c r="L98" s="3">
        <f t="shared" si="3"/>
        <v>0</v>
      </c>
    </row>
    <row r="99" customHeight="1" spans="1:12">
      <c r="A99" s="47">
        <f>IFERROR(__xludf.DUMMYFUNCTION("""COMPUTED_VALUE"""),45882.6458333333)</f>
        <v>45882.6458333333</v>
      </c>
      <c r="B99" s="48">
        <f>IFERROR(__xludf.DUMMYFUNCTION("""COMPUTED_VALUE"""),1987.7)</f>
        <v>1987.7</v>
      </c>
      <c r="C99" s="47">
        <f>IFERROR(__xludf.DUMMYFUNCTION("""COMPUTED_VALUE"""),45882.6458333333)</f>
        <v>45882.6458333333</v>
      </c>
      <c r="D99" s="48">
        <f>IFERROR(__xludf.DUMMYFUNCTION("""COMPUTED_VALUE"""),1968)</f>
        <v>1968</v>
      </c>
      <c r="E99" s="47">
        <f>IFERROR(__xludf.DUMMYFUNCTION("""COMPUTED_VALUE"""),45882.6458333333)</f>
        <v>45882.6458333333</v>
      </c>
      <c r="F99" s="48">
        <f>IFERROR(__xludf.DUMMYFUNCTION("""COMPUTED_VALUE"""),2746733)</f>
        <v>2746733</v>
      </c>
      <c r="G99" s="47">
        <f>IFERROR(__xludf.DUMMYFUNCTION("""COMPUTED_VALUE"""),45882.6458333333)</f>
        <v>45882.6458333333</v>
      </c>
      <c r="H99" s="48">
        <f>IFERROR(__xludf.DUMMYFUNCTION("""COMPUTED_VALUE"""),1996.3)</f>
        <v>1996.3</v>
      </c>
      <c r="I99" s="47">
        <f>IFERROR(__xludf.DUMMYFUNCTION("""COMPUTED_VALUE"""),45882.6458333333)</f>
        <v>45882.6458333333</v>
      </c>
      <c r="J99" s="48">
        <f>IFERROR(__xludf.DUMMYFUNCTION("""COMPUTED_VALUE"""),1962.2)</f>
        <v>1962.2</v>
      </c>
      <c r="K99" s="3">
        <f t="shared" si="2"/>
        <v>0</v>
      </c>
      <c r="L99" s="3">
        <f t="shared" si="3"/>
        <v>0</v>
      </c>
    </row>
    <row r="100" customHeight="1" spans="1:12">
      <c r="A100" s="47">
        <f>IFERROR(__xludf.DUMMYFUNCTION("""COMPUTED_VALUE"""),45883.6458333333)</f>
        <v>45883.6458333333</v>
      </c>
      <c r="B100" s="48">
        <f>IFERROR(__xludf.DUMMYFUNCTION("""COMPUTED_VALUE"""),1978.2)</f>
        <v>1978.2</v>
      </c>
      <c r="C100" s="47">
        <f>IFERROR(__xludf.DUMMYFUNCTION("""COMPUTED_VALUE"""),45883.6458333333)</f>
        <v>45883.6458333333</v>
      </c>
      <c r="D100" s="48">
        <f>IFERROR(__xludf.DUMMYFUNCTION("""COMPUTED_VALUE"""),1988)</f>
        <v>1988</v>
      </c>
      <c r="E100" s="47">
        <f>IFERROR(__xludf.DUMMYFUNCTION("""COMPUTED_VALUE"""),45883.6458333333)</f>
        <v>45883.6458333333</v>
      </c>
      <c r="F100" s="48">
        <f>IFERROR(__xludf.DUMMYFUNCTION("""COMPUTED_VALUE"""),1984593)</f>
        <v>1984593</v>
      </c>
      <c r="G100" s="47">
        <f>IFERROR(__xludf.DUMMYFUNCTION("""COMPUTED_VALUE"""),45883.6458333333)</f>
        <v>45883.6458333333</v>
      </c>
      <c r="H100" s="48">
        <f>IFERROR(__xludf.DUMMYFUNCTION("""COMPUTED_VALUE"""),1993.5)</f>
        <v>1993.5</v>
      </c>
      <c r="I100" s="47">
        <f>IFERROR(__xludf.DUMMYFUNCTION("""COMPUTED_VALUE"""),45883.6458333333)</f>
        <v>45883.6458333333</v>
      </c>
      <c r="J100" s="48">
        <f>IFERROR(__xludf.DUMMYFUNCTION("""COMPUTED_VALUE"""),1975.5)</f>
        <v>1975.5</v>
      </c>
      <c r="K100" s="3">
        <f t="shared" si="2"/>
        <v>0</v>
      </c>
      <c r="L100" s="3">
        <f t="shared" si="3"/>
        <v>0</v>
      </c>
    </row>
    <row r="101" customHeight="1" spans="1:12">
      <c r="A101" s="47">
        <f>IFERROR(__xludf.DUMMYFUNCTION("""COMPUTED_VALUE"""),45887.6458333333)</f>
        <v>45887.6458333333</v>
      </c>
      <c r="B101" s="48">
        <f>IFERROR(__xludf.DUMMYFUNCTION("""COMPUTED_VALUE"""),2001.4)</f>
        <v>2001.4</v>
      </c>
      <c r="C101" s="47">
        <f>IFERROR(__xludf.DUMMYFUNCTION("""COMPUTED_VALUE"""),45887.6458333333)</f>
        <v>45887.6458333333</v>
      </c>
      <c r="D101" s="48">
        <f>IFERROR(__xludf.DUMMYFUNCTION("""COMPUTED_VALUE"""),1997.9)</f>
        <v>1997.9</v>
      </c>
      <c r="E101" s="47">
        <f>IFERROR(__xludf.DUMMYFUNCTION("""COMPUTED_VALUE"""),45887.6458333333)</f>
        <v>45887.6458333333</v>
      </c>
      <c r="F101" s="48">
        <f>IFERROR(__xludf.DUMMYFUNCTION("""COMPUTED_VALUE"""),4303944)</f>
        <v>4303944</v>
      </c>
      <c r="G101" s="47">
        <f>IFERROR(__xludf.DUMMYFUNCTION("""COMPUTED_VALUE"""),45887.6458333333)</f>
        <v>45887.6458333333</v>
      </c>
      <c r="H101" s="48">
        <f>IFERROR(__xludf.DUMMYFUNCTION("""COMPUTED_VALUE"""),2026)</f>
        <v>2026</v>
      </c>
      <c r="I101" s="47">
        <f>IFERROR(__xludf.DUMMYFUNCTION("""COMPUTED_VALUE"""),45887.6458333333)</f>
        <v>45887.6458333333</v>
      </c>
      <c r="J101" s="48">
        <f>IFERROR(__xludf.DUMMYFUNCTION("""COMPUTED_VALUE"""),1997.1)</f>
        <v>1997.1</v>
      </c>
      <c r="K101" s="3">
        <f t="shared" si="2"/>
        <v>0</v>
      </c>
      <c r="L101" s="3">
        <f t="shared" si="3"/>
        <v>0</v>
      </c>
    </row>
    <row r="102" customHeight="1" spans="1:12">
      <c r="A102" s="47">
        <f>IFERROR(__xludf.DUMMYFUNCTION("""COMPUTED_VALUE"""),45888.6458333333)</f>
        <v>45888.6458333333</v>
      </c>
      <c r="B102" s="48">
        <f>IFERROR(__xludf.DUMMYFUNCTION("""COMPUTED_VALUE"""),2029.9)</f>
        <v>2029.9</v>
      </c>
      <c r="C102" s="47">
        <f>IFERROR(__xludf.DUMMYFUNCTION("""COMPUTED_VALUE"""),45888.6458333333)</f>
        <v>45888.6458333333</v>
      </c>
      <c r="D102" s="48">
        <f>IFERROR(__xludf.DUMMYFUNCTION("""COMPUTED_VALUE"""),1994)</f>
        <v>1994</v>
      </c>
      <c r="E102" s="47">
        <f>IFERROR(__xludf.DUMMYFUNCTION("""COMPUTED_VALUE"""),45888.6458333333)</f>
        <v>45888.6458333333</v>
      </c>
      <c r="F102" s="48">
        <f>IFERROR(__xludf.DUMMYFUNCTION("""COMPUTED_VALUE"""),3111769)</f>
        <v>3111769</v>
      </c>
      <c r="G102" s="47">
        <f>IFERROR(__xludf.DUMMYFUNCTION("""COMPUTED_VALUE"""),45888.6458333333)</f>
        <v>45888.6458333333</v>
      </c>
      <c r="H102" s="48">
        <f>IFERROR(__xludf.DUMMYFUNCTION("""COMPUTED_VALUE"""),2032.5)</f>
        <v>2032.5</v>
      </c>
      <c r="I102" s="47">
        <f>IFERROR(__xludf.DUMMYFUNCTION("""COMPUTED_VALUE"""),45888.6458333333)</f>
        <v>45888.6458333333</v>
      </c>
      <c r="J102" s="48">
        <f>IFERROR(__xludf.DUMMYFUNCTION("""COMPUTED_VALUE"""),1992.5)</f>
        <v>1992.5</v>
      </c>
      <c r="K102" s="3">
        <f t="shared" si="2"/>
        <v>2029.9</v>
      </c>
      <c r="L102" s="3">
        <f t="shared" si="3"/>
        <v>0</v>
      </c>
    </row>
    <row r="103" customHeight="1" spans="1:12">
      <c r="A103" s="47">
        <f>IFERROR(__xludf.DUMMYFUNCTION("""COMPUTED_VALUE"""),45889.6458333333)</f>
        <v>45889.6458333333</v>
      </c>
      <c r="B103" s="48">
        <f>IFERROR(__xludf.DUMMYFUNCTION("""COMPUTED_VALUE"""),2017.5)</f>
        <v>2017.5</v>
      </c>
      <c r="C103" s="47">
        <f>IFERROR(__xludf.DUMMYFUNCTION("""COMPUTED_VALUE"""),45889.6458333333)</f>
        <v>45889.6458333333</v>
      </c>
      <c r="D103" s="48">
        <f>IFERROR(__xludf.DUMMYFUNCTION("""COMPUTED_VALUE"""),2020.5)</f>
        <v>2020.5</v>
      </c>
      <c r="E103" s="47">
        <f>IFERROR(__xludf.DUMMYFUNCTION("""COMPUTED_VALUE"""),45889.6458333333)</f>
        <v>45889.6458333333</v>
      </c>
      <c r="F103" s="48">
        <f>IFERROR(__xludf.DUMMYFUNCTION("""COMPUTED_VALUE"""),2626941)</f>
        <v>2626941</v>
      </c>
      <c r="G103" s="47">
        <f>IFERROR(__xludf.DUMMYFUNCTION("""COMPUTED_VALUE"""),45889.6458333333)</f>
        <v>45889.6458333333</v>
      </c>
      <c r="H103" s="48">
        <f>IFERROR(__xludf.DUMMYFUNCTION("""COMPUTED_VALUE"""),2024.2)</f>
        <v>2024.2</v>
      </c>
      <c r="I103" s="47">
        <f>IFERROR(__xludf.DUMMYFUNCTION("""COMPUTED_VALUE"""),45889.6458333333)</f>
        <v>45889.6458333333</v>
      </c>
      <c r="J103" s="48">
        <f>IFERROR(__xludf.DUMMYFUNCTION("""COMPUTED_VALUE"""),2005.5)</f>
        <v>2005.5</v>
      </c>
      <c r="K103" s="3">
        <f t="shared" si="2"/>
        <v>0</v>
      </c>
      <c r="L103" s="3">
        <f t="shared" si="3"/>
        <v>0</v>
      </c>
    </row>
    <row r="104" customHeight="1" spans="1:12">
      <c r="A104" s="47">
        <f>IFERROR(__xludf.DUMMYFUNCTION("""COMPUTED_VALUE"""),45890.6458333333)</f>
        <v>45890.6458333333</v>
      </c>
      <c r="B104" s="48">
        <f>IFERROR(__xludf.DUMMYFUNCTION("""COMPUTED_VALUE"""),2017.8)</f>
        <v>2017.8</v>
      </c>
      <c r="C104" s="47">
        <f>IFERROR(__xludf.DUMMYFUNCTION("""COMPUTED_VALUE"""),45890.6458333333)</f>
        <v>45890.6458333333</v>
      </c>
      <c r="D104" s="48">
        <f>IFERROR(__xludf.DUMMYFUNCTION("""COMPUTED_VALUE"""),2039)</f>
        <v>2039</v>
      </c>
      <c r="E104" s="47">
        <f>IFERROR(__xludf.DUMMYFUNCTION("""COMPUTED_VALUE"""),45890.6458333333)</f>
        <v>45890.6458333333</v>
      </c>
      <c r="F104" s="48">
        <f>IFERROR(__xludf.DUMMYFUNCTION("""COMPUTED_VALUE"""),2898787)</f>
        <v>2898787</v>
      </c>
      <c r="G104" s="47">
        <f>IFERROR(__xludf.DUMMYFUNCTION("""COMPUTED_VALUE"""),45890.6458333333)</f>
        <v>45890.6458333333</v>
      </c>
      <c r="H104" s="48">
        <f>IFERROR(__xludf.DUMMYFUNCTION("""COMPUTED_VALUE"""),2039)</f>
        <v>2039</v>
      </c>
      <c r="I104" s="47">
        <f>IFERROR(__xludf.DUMMYFUNCTION("""COMPUTED_VALUE"""),45890.6458333333)</f>
        <v>45890.6458333333</v>
      </c>
      <c r="J104" s="48">
        <f>IFERROR(__xludf.DUMMYFUNCTION("""COMPUTED_VALUE"""),2012.9)</f>
        <v>2012.9</v>
      </c>
      <c r="K104" s="3">
        <f t="shared" si="2"/>
        <v>0</v>
      </c>
      <c r="L104" s="3">
        <f t="shared" si="3"/>
        <v>0</v>
      </c>
    </row>
    <row r="105" customHeight="1" spans="1:12">
      <c r="A105" s="47">
        <f>IFERROR(__xludf.DUMMYFUNCTION("""COMPUTED_VALUE"""),45891.6458333333)</f>
        <v>45891.6458333333</v>
      </c>
      <c r="B105" s="48">
        <f>IFERROR(__xludf.DUMMYFUNCTION("""COMPUTED_VALUE"""),1986.6)</f>
        <v>1986.6</v>
      </c>
      <c r="C105" s="47">
        <f>IFERROR(__xludf.DUMMYFUNCTION("""COMPUTED_VALUE"""),45891.6458333333)</f>
        <v>45891.6458333333</v>
      </c>
      <c r="D105" s="48">
        <f>IFERROR(__xludf.DUMMYFUNCTION("""COMPUTED_VALUE"""),2010.2)</f>
        <v>2010.2</v>
      </c>
      <c r="E105" s="47">
        <f>IFERROR(__xludf.DUMMYFUNCTION("""COMPUTED_VALUE"""),45891.6458333333)</f>
        <v>45891.6458333333</v>
      </c>
      <c r="F105" s="48">
        <f>IFERROR(__xludf.DUMMYFUNCTION("""COMPUTED_VALUE"""),1791693)</f>
        <v>1791693</v>
      </c>
      <c r="G105" s="47">
        <f>IFERROR(__xludf.DUMMYFUNCTION("""COMPUTED_VALUE"""),45891.6458333333)</f>
        <v>45891.6458333333</v>
      </c>
      <c r="H105" s="48">
        <f>IFERROR(__xludf.DUMMYFUNCTION("""COMPUTED_VALUE"""),2018.6)</f>
        <v>2018.6</v>
      </c>
      <c r="I105" s="47">
        <f>IFERROR(__xludf.DUMMYFUNCTION("""COMPUTED_VALUE"""),45891.6458333333)</f>
        <v>45891.6458333333</v>
      </c>
      <c r="J105" s="48">
        <f>IFERROR(__xludf.DUMMYFUNCTION("""COMPUTED_VALUE"""),1980.2)</f>
        <v>1980.2</v>
      </c>
      <c r="K105" s="3">
        <f t="shared" si="2"/>
        <v>0</v>
      </c>
      <c r="L105" s="3">
        <f t="shared" si="3"/>
        <v>0</v>
      </c>
    </row>
    <row r="106" customHeight="1" spans="1:12">
      <c r="A106" s="47">
        <f>IFERROR(__xludf.DUMMYFUNCTION("""COMPUTED_VALUE"""),45894.6458333333)</f>
        <v>45894.6458333333</v>
      </c>
      <c r="B106" s="48">
        <f>IFERROR(__xludf.DUMMYFUNCTION("""COMPUTED_VALUE"""),1983.3)</f>
        <v>1983.3</v>
      </c>
      <c r="C106" s="47">
        <f>IFERROR(__xludf.DUMMYFUNCTION("""COMPUTED_VALUE"""),45894.6458333333)</f>
        <v>45894.6458333333</v>
      </c>
      <c r="D106" s="48">
        <f>IFERROR(__xludf.DUMMYFUNCTION("""COMPUTED_VALUE"""),1987)</f>
        <v>1987</v>
      </c>
      <c r="E106" s="47">
        <f>IFERROR(__xludf.DUMMYFUNCTION("""COMPUTED_VALUE"""),45894.6458333333)</f>
        <v>45894.6458333333</v>
      </c>
      <c r="F106" s="48">
        <f>IFERROR(__xludf.DUMMYFUNCTION("""COMPUTED_VALUE"""),2369815)</f>
        <v>2369815</v>
      </c>
      <c r="G106" s="47">
        <f>IFERROR(__xludf.DUMMYFUNCTION("""COMPUTED_VALUE"""),45894.6458333333)</f>
        <v>45894.6458333333</v>
      </c>
      <c r="H106" s="48">
        <f>IFERROR(__xludf.DUMMYFUNCTION("""COMPUTED_VALUE"""),1998.8)</f>
        <v>1998.8</v>
      </c>
      <c r="I106" s="47">
        <f>IFERROR(__xludf.DUMMYFUNCTION("""COMPUTED_VALUE"""),45894.6458333333)</f>
        <v>45894.6458333333</v>
      </c>
      <c r="J106" s="48">
        <f>IFERROR(__xludf.DUMMYFUNCTION("""COMPUTED_VALUE"""),1976.7)</f>
        <v>1976.7</v>
      </c>
      <c r="K106" s="3">
        <f t="shared" si="2"/>
        <v>0</v>
      </c>
      <c r="L106" s="3">
        <f t="shared" si="3"/>
        <v>0</v>
      </c>
    </row>
    <row r="107" customHeight="1" spans="1:12">
      <c r="A107" s="47">
        <f>IFERROR(__xludf.DUMMYFUNCTION("""COMPUTED_VALUE"""),45895.6458333333)</f>
        <v>45895.6458333333</v>
      </c>
      <c r="B107" s="48">
        <f>IFERROR(__xludf.DUMMYFUNCTION("""COMPUTED_VALUE"""),1965.7)</f>
        <v>1965.7</v>
      </c>
      <c r="C107" s="47">
        <f>IFERROR(__xludf.DUMMYFUNCTION("""COMPUTED_VALUE"""),45895.6458333333)</f>
        <v>45895.6458333333</v>
      </c>
      <c r="D107" s="48">
        <f>IFERROR(__xludf.DUMMYFUNCTION("""COMPUTED_VALUE"""),1978)</f>
        <v>1978</v>
      </c>
      <c r="E107" s="47">
        <f>IFERROR(__xludf.DUMMYFUNCTION("""COMPUTED_VALUE"""),45895.6458333333)</f>
        <v>45895.6458333333</v>
      </c>
      <c r="F107" s="48">
        <f>IFERROR(__xludf.DUMMYFUNCTION("""COMPUTED_VALUE"""),3710138)</f>
        <v>3710138</v>
      </c>
      <c r="G107" s="47">
        <f>IFERROR(__xludf.DUMMYFUNCTION("""COMPUTED_VALUE"""),45895.6458333333)</f>
        <v>45895.6458333333</v>
      </c>
      <c r="H107" s="48">
        <f>IFERROR(__xludf.DUMMYFUNCTION("""COMPUTED_VALUE"""),1983.9)</f>
        <v>1983.9</v>
      </c>
      <c r="I107" s="47">
        <f>IFERROR(__xludf.DUMMYFUNCTION("""COMPUTED_VALUE"""),45895.6458333333)</f>
        <v>45895.6458333333</v>
      </c>
      <c r="J107" s="48">
        <f>IFERROR(__xludf.DUMMYFUNCTION("""COMPUTED_VALUE"""),1961.2)</f>
        <v>1961.2</v>
      </c>
      <c r="K107" s="3">
        <f t="shared" si="2"/>
        <v>0</v>
      </c>
      <c r="L107" s="3">
        <f t="shared" si="3"/>
        <v>0</v>
      </c>
    </row>
    <row r="108" customHeight="1" spans="1:12">
      <c r="A108" s="47">
        <f>IFERROR(__xludf.DUMMYFUNCTION("""COMPUTED_VALUE"""),45897.6458333333)</f>
        <v>45897.6458333333</v>
      </c>
      <c r="B108" s="48">
        <f>IFERROR(__xludf.DUMMYFUNCTION("""COMPUTED_VALUE"""),1944.7)</f>
        <v>1944.7</v>
      </c>
      <c r="C108" s="47">
        <f>IFERROR(__xludf.DUMMYFUNCTION("""COMPUTED_VALUE"""),45897.6458333333)</f>
        <v>45897.6458333333</v>
      </c>
      <c r="D108" s="48">
        <f>IFERROR(__xludf.DUMMYFUNCTION("""COMPUTED_VALUE"""),1955)</f>
        <v>1955</v>
      </c>
      <c r="E108" s="47">
        <f>IFERROR(__xludf.DUMMYFUNCTION("""COMPUTED_VALUE"""),45897.6458333333)</f>
        <v>45897.6458333333</v>
      </c>
      <c r="F108" s="48">
        <f>IFERROR(__xludf.DUMMYFUNCTION("""COMPUTED_VALUE"""),3597940)</f>
        <v>3597940</v>
      </c>
      <c r="G108" s="47">
        <f>IFERROR(__xludf.DUMMYFUNCTION("""COMPUTED_VALUE"""),45897.6458333333)</f>
        <v>45897.6458333333</v>
      </c>
      <c r="H108" s="48">
        <f>IFERROR(__xludf.DUMMYFUNCTION("""COMPUTED_VALUE"""),1968)</f>
        <v>1968</v>
      </c>
      <c r="I108" s="47">
        <f>IFERROR(__xludf.DUMMYFUNCTION("""COMPUTED_VALUE"""),45897.6458333333)</f>
        <v>45897.6458333333</v>
      </c>
      <c r="J108" s="48">
        <f>IFERROR(__xludf.DUMMYFUNCTION("""COMPUTED_VALUE"""),1941.1)</f>
        <v>1941.1</v>
      </c>
      <c r="K108" s="3">
        <f t="shared" si="2"/>
        <v>0</v>
      </c>
      <c r="L108" s="3">
        <f t="shared" si="3"/>
        <v>0</v>
      </c>
    </row>
    <row r="109" customHeight="1" spans="1:12">
      <c r="A109" s="47">
        <f>IFERROR(__xludf.DUMMYFUNCTION("""COMPUTED_VALUE"""),45898.6458333333)</f>
        <v>45898.6458333333</v>
      </c>
      <c r="B109" s="48">
        <f>IFERROR(__xludf.DUMMYFUNCTION("""COMPUTED_VALUE"""),1960.3)</f>
        <v>1960.3</v>
      </c>
      <c r="C109" s="47">
        <f>IFERROR(__xludf.DUMMYFUNCTION("""COMPUTED_VALUE"""),45898.6458333333)</f>
        <v>45898.6458333333</v>
      </c>
      <c r="D109" s="48">
        <f>IFERROR(__xludf.DUMMYFUNCTION("""COMPUTED_VALUE"""),1950.2)</f>
        <v>1950.2</v>
      </c>
      <c r="E109" s="47">
        <f>IFERROR(__xludf.DUMMYFUNCTION("""COMPUTED_VALUE"""),45898.6458333333)</f>
        <v>45898.6458333333</v>
      </c>
      <c r="F109" s="48">
        <f>IFERROR(__xludf.DUMMYFUNCTION("""COMPUTED_VALUE"""),3074358)</f>
        <v>3074358</v>
      </c>
      <c r="G109" s="47">
        <f>IFERROR(__xludf.DUMMYFUNCTION("""COMPUTED_VALUE"""),45898.6458333333)</f>
        <v>45898.6458333333</v>
      </c>
      <c r="H109" s="48">
        <f>IFERROR(__xludf.DUMMYFUNCTION("""COMPUTED_VALUE"""),1984.9)</f>
        <v>1984.9</v>
      </c>
      <c r="I109" s="47">
        <f>IFERROR(__xludf.DUMMYFUNCTION("""COMPUTED_VALUE"""),45898.6458333333)</f>
        <v>45898.6458333333</v>
      </c>
      <c r="J109" s="48">
        <f>IFERROR(__xludf.DUMMYFUNCTION("""COMPUTED_VALUE"""),1950.2)</f>
        <v>1950.2</v>
      </c>
      <c r="K109" s="3">
        <f t="shared" si="2"/>
        <v>0</v>
      </c>
      <c r="L109" s="3">
        <f t="shared" si="3"/>
        <v>0</v>
      </c>
    </row>
    <row r="110" customHeight="1" spans="1:12">
      <c r="A110" s="47">
        <f>IFERROR(__xludf.DUMMYFUNCTION("""COMPUTED_VALUE"""),45901.6458333333)</f>
        <v>45901.6458333333</v>
      </c>
      <c r="B110" s="48">
        <f>IFERROR(__xludf.DUMMYFUNCTION("""COMPUTED_VALUE"""),1968.6)</f>
        <v>1968.6</v>
      </c>
      <c r="C110" s="47">
        <f>IFERROR(__xludf.DUMMYFUNCTION("""COMPUTED_VALUE"""),45901.6458333333)</f>
        <v>45901.6458333333</v>
      </c>
      <c r="D110" s="48">
        <f>IFERROR(__xludf.DUMMYFUNCTION("""COMPUTED_VALUE"""),1960.3)</f>
        <v>1960.3</v>
      </c>
      <c r="E110" s="47">
        <f>IFERROR(__xludf.DUMMYFUNCTION("""COMPUTED_VALUE"""),45901.6458333333)</f>
        <v>45901.6458333333</v>
      </c>
      <c r="F110" s="48">
        <f>IFERROR(__xludf.DUMMYFUNCTION("""COMPUTED_VALUE"""),1578322)</f>
        <v>1578322</v>
      </c>
      <c r="G110" s="47">
        <f>IFERROR(__xludf.DUMMYFUNCTION("""COMPUTED_VALUE"""),45901.6458333333)</f>
        <v>45901.6458333333</v>
      </c>
      <c r="H110" s="48">
        <f>IFERROR(__xludf.DUMMYFUNCTION("""COMPUTED_VALUE"""),1972.8)</f>
        <v>1972.8</v>
      </c>
      <c r="I110" s="47">
        <f>IFERROR(__xludf.DUMMYFUNCTION("""COMPUTED_VALUE"""),45901.6458333333)</f>
        <v>45901.6458333333</v>
      </c>
      <c r="J110" s="48">
        <f>IFERROR(__xludf.DUMMYFUNCTION("""COMPUTED_VALUE"""),1955.2)</f>
        <v>1955.2</v>
      </c>
      <c r="K110" s="3">
        <f t="shared" si="2"/>
        <v>0</v>
      </c>
      <c r="L110" s="3">
        <f t="shared" si="3"/>
        <v>0</v>
      </c>
    </row>
    <row r="111" customHeight="1" spans="1:12">
      <c r="A111" s="47">
        <f>IFERROR(__xludf.DUMMYFUNCTION("""COMPUTED_VALUE"""),45902.6458333333)</f>
        <v>45902.6458333333</v>
      </c>
      <c r="B111" s="48">
        <f>IFERROR(__xludf.DUMMYFUNCTION("""COMPUTED_VALUE"""),1942.5)</f>
        <v>1942.5</v>
      </c>
      <c r="C111" s="47">
        <f>IFERROR(__xludf.DUMMYFUNCTION("""COMPUTED_VALUE"""),45902.6458333333)</f>
        <v>45902.6458333333</v>
      </c>
      <c r="D111" s="48">
        <f>IFERROR(__xludf.DUMMYFUNCTION("""COMPUTED_VALUE"""),1966)</f>
        <v>1966</v>
      </c>
      <c r="E111" s="47">
        <f>IFERROR(__xludf.DUMMYFUNCTION("""COMPUTED_VALUE"""),45902.6458333333)</f>
        <v>45902.6458333333</v>
      </c>
      <c r="F111" s="48">
        <f>IFERROR(__xludf.DUMMYFUNCTION("""COMPUTED_VALUE"""),2583419)</f>
        <v>2583419</v>
      </c>
      <c r="G111" s="47">
        <f>IFERROR(__xludf.DUMMYFUNCTION("""COMPUTED_VALUE"""),45902.6458333333)</f>
        <v>45902.6458333333</v>
      </c>
      <c r="H111" s="48">
        <f>IFERROR(__xludf.DUMMYFUNCTION("""COMPUTED_VALUE"""),1975.2)</f>
        <v>1975.2</v>
      </c>
      <c r="I111" s="47">
        <f>IFERROR(__xludf.DUMMYFUNCTION("""COMPUTED_VALUE"""),45902.6458333333)</f>
        <v>45902.6458333333</v>
      </c>
      <c r="J111" s="48">
        <f>IFERROR(__xludf.DUMMYFUNCTION("""COMPUTED_VALUE"""),1940.4)</f>
        <v>1940.4</v>
      </c>
      <c r="K111" s="3">
        <f t="shared" si="2"/>
        <v>0</v>
      </c>
      <c r="L111" s="3">
        <f t="shared" si="3"/>
        <v>1942.5</v>
      </c>
    </row>
    <row r="112" customHeight="1" spans="1:12">
      <c r="A112" s="47">
        <f>IFERROR(__xludf.DUMMYFUNCTION("""COMPUTED_VALUE"""),45903.6458333333)</f>
        <v>45903.6458333333</v>
      </c>
      <c r="B112" s="48">
        <f>IFERROR(__xludf.DUMMYFUNCTION("""COMPUTED_VALUE"""),1960.2)</f>
        <v>1960.2</v>
      </c>
      <c r="C112" s="47">
        <f>IFERROR(__xludf.DUMMYFUNCTION("""COMPUTED_VALUE"""),45903.6458333333)</f>
        <v>45903.6458333333</v>
      </c>
      <c r="D112" s="48">
        <f>IFERROR(__xludf.DUMMYFUNCTION("""COMPUTED_VALUE"""),1944)</f>
        <v>1944</v>
      </c>
      <c r="E112" s="47">
        <f>IFERROR(__xludf.DUMMYFUNCTION("""COMPUTED_VALUE"""),45903.6458333333)</f>
        <v>45903.6458333333</v>
      </c>
      <c r="F112" s="48">
        <f>IFERROR(__xludf.DUMMYFUNCTION("""COMPUTED_VALUE"""),4007454)</f>
        <v>4007454</v>
      </c>
      <c r="G112" s="47">
        <f>IFERROR(__xludf.DUMMYFUNCTION("""COMPUTED_VALUE"""),45903.6458333333)</f>
        <v>45903.6458333333</v>
      </c>
      <c r="H112" s="48">
        <f>IFERROR(__xludf.DUMMYFUNCTION("""COMPUTED_VALUE"""),1963.8)</f>
        <v>1963.8</v>
      </c>
      <c r="I112" s="47">
        <f>IFERROR(__xludf.DUMMYFUNCTION("""COMPUTED_VALUE"""),45903.6458333333)</f>
        <v>45903.6458333333</v>
      </c>
      <c r="J112" s="48">
        <f>IFERROR(__xludf.DUMMYFUNCTION("""COMPUTED_VALUE"""),1931.1)</f>
        <v>1931.1</v>
      </c>
      <c r="K112" s="3">
        <f t="shared" si="2"/>
        <v>0</v>
      </c>
      <c r="L112" s="3">
        <f t="shared" si="3"/>
        <v>0</v>
      </c>
    </row>
    <row r="113" customHeight="1" spans="1:12">
      <c r="A113" s="47">
        <f>IFERROR(__xludf.DUMMYFUNCTION("""COMPUTED_VALUE"""),45904.6458333333)</f>
        <v>45904.6458333333</v>
      </c>
      <c r="B113" s="48">
        <f>IFERROR(__xludf.DUMMYFUNCTION("""COMPUTED_VALUE"""),1949.7)</f>
        <v>1949.7</v>
      </c>
      <c r="C113" s="47">
        <f>IFERROR(__xludf.DUMMYFUNCTION("""COMPUTED_VALUE"""),45904.6458333333)</f>
        <v>45904.6458333333</v>
      </c>
      <c r="D113" s="48">
        <f>IFERROR(__xludf.DUMMYFUNCTION("""COMPUTED_VALUE"""),1961)</f>
        <v>1961</v>
      </c>
      <c r="E113" s="47">
        <f>IFERROR(__xludf.DUMMYFUNCTION("""COMPUTED_VALUE"""),45904.6458333333)</f>
        <v>45904.6458333333</v>
      </c>
      <c r="F113" s="48">
        <f>IFERROR(__xludf.DUMMYFUNCTION("""COMPUTED_VALUE"""),1891459)</f>
        <v>1891459</v>
      </c>
      <c r="G113" s="47">
        <f>IFERROR(__xludf.DUMMYFUNCTION("""COMPUTED_VALUE"""),45904.6458333333)</f>
        <v>45904.6458333333</v>
      </c>
      <c r="H113" s="48">
        <f>IFERROR(__xludf.DUMMYFUNCTION("""COMPUTED_VALUE"""),1971.7)</f>
        <v>1971.7</v>
      </c>
      <c r="I113" s="47">
        <f>IFERROR(__xludf.DUMMYFUNCTION("""COMPUTED_VALUE"""),45904.6458333333)</f>
        <v>45904.6458333333</v>
      </c>
      <c r="J113" s="48">
        <f>IFERROR(__xludf.DUMMYFUNCTION("""COMPUTED_VALUE"""),1946.5)</f>
        <v>1946.5</v>
      </c>
      <c r="K113" s="3">
        <f t="shared" si="2"/>
        <v>0</v>
      </c>
      <c r="L113" s="3">
        <f t="shared" si="3"/>
        <v>0</v>
      </c>
    </row>
    <row r="114" customHeight="1" spans="1:12">
      <c r="A114" s="47">
        <f>IFERROR(__xludf.DUMMYFUNCTION("""COMPUTED_VALUE"""),45905.6458333333)</f>
        <v>45905.6458333333</v>
      </c>
      <c r="B114" s="48">
        <f>IFERROR(__xludf.DUMMYFUNCTION("""COMPUTED_VALUE"""),1945.5)</f>
        <v>1945.5</v>
      </c>
      <c r="C114" s="47">
        <f>IFERROR(__xludf.DUMMYFUNCTION("""COMPUTED_VALUE"""),45905.6458333333)</f>
        <v>45905.6458333333</v>
      </c>
      <c r="D114" s="48">
        <f>IFERROR(__xludf.DUMMYFUNCTION("""COMPUTED_VALUE"""),1949.7)</f>
        <v>1949.7</v>
      </c>
      <c r="E114" s="47">
        <f>IFERROR(__xludf.DUMMYFUNCTION("""COMPUTED_VALUE"""),45905.6458333333)</f>
        <v>45905.6458333333</v>
      </c>
      <c r="F114" s="48">
        <f>IFERROR(__xludf.DUMMYFUNCTION("""COMPUTED_VALUE"""),1981252)</f>
        <v>1981252</v>
      </c>
      <c r="G114" s="47">
        <f>IFERROR(__xludf.DUMMYFUNCTION("""COMPUTED_VALUE"""),45905.6458333333)</f>
        <v>45905.6458333333</v>
      </c>
      <c r="H114" s="48">
        <f>IFERROR(__xludf.DUMMYFUNCTION("""COMPUTED_VALUE"""),1957.3)</f>
        <v>1957.3</v>
      </c>
      <c r="I114" s="47">
        <f>IFERROR(__xludf.DUMMYFUNCTION("""COMPUTED_VALUE"""),45905.6458333333)</f>
        <v>45905.6458333333</v>
      </c>
      <c r="J114" s="48">
        <f>IFERROR(__xludf.DUMMYFUNCTION("""COMPUTED_VALUE"""),1937.1)</f>
        <v>1937.1</v>
      </c>
      <c r="K114" s="3">
        <f t="shared" si="2"/>
        <v>0</v>
      </c>
      <c r="L114" s="3">
        <f t="shared" si="3"/>
        <v>0</v>
      </c>
    </row>
    <row r="115" customHeight="1" spans="1:12">
      <c r="A115" s="47">
        <f>IFERROR(__xludf.DUMMYFUNCTION("""COMPUTED_VALUE"""),45908.6458333333)</f>
        <v>45908.6458333333</v>
      </c>
      <c r="B115" s="48">
        <f>IFERROR(__xludf.DUMMYFUNCTION("""COMPUTED_VALUE"""),1950.1)</f>
        <v>1950.1</v>
      </c>
      <c r="C115" s="47">
        <f>IFERROR(__xludf.DUMMYFUNCTION("""COMPUTED_VALUE"""),45908.6458333333)</f>
        <v>45908.6458333333</v>
      </c>
      <c r="D115" s="48">
        <f>IFERROR(__xludf.DUMMYFUNCTION("""COMPUTED_VALUE"""),1942.5)</f>
        <v>1942.5</v>
      </c>
      <c r="E115" s="47">
        <f>IFERROR(__xludf.DUMMYFUNCTION("""COMPUTED_VALUE"""),45908.6458333333)</f>
        <v>45908.6458333333</v>
      </c>
      <c r="F115" s="48">
        <f>IFERROR(__xludf.DUMMYFUNCTION("""COMPUTED_VALUE"""),2505558)</f>
        <v>2505558</v>
      </c>
      <c r="G115" s="47">
        <f>IFERROR(__xludf.DUMMYFUNCTION("""COMPUTED_VALUE"""),45908.6458333333)</f>
        <v>45908.6458333333</v>
      </c>
      <c r="H115" s="48">
        <f>IFERROR(__xludf.DUMMYFUNCTION("""COMPUTED_VALUE"""),1961.5)</f>
        <v>1961.5</v>
      </c>
      <c r="I115" s="47">
        <f>IFERROR(__xludf.DUMMYFUNCTION("""COMPUTED_VALUE"""),45908.6458333333)</f>
        <v>45908.6458333333</v>
      </c>
      <c r="J115" s="48">
        <f>IFERROR(__xludf.DUMMYFUNCTION("""COMPUTED_VALUE"""),1931.5)</f>
        <v>1931.5</v>
      </c>
      <c r="K115" s="3">
        <f t="shared" si="2"/>
        <v>0</v>
      </c>
      <c r="L115" s="3">
        <f t="shared" si="3"/>
        <v>0</v>
      </c>
    </row>
    <row r="116" customHeight="1" spans="1:12">
      <c r="A116" s="47">
        <f>IFERROR(__xludf.DUMMYFUNCTION("""COMPUTED_VALUE"""),45909.6458333333)</f>
        <v>45909.6458333333</v>
      </c>
      <c r="B116" s="48">
        <f>IFERROR(__xludf.DUMMYFUNCTION("""COMPUTED_VALUE"""),1960.4)</f>
        <v>1960.4</v>
      </c>
      <c r="C116" s="47">
        <f>IFERROR(__xludf.DUMMYFUNCTION("""COMPUTED_VALUE"""),45909.6458333333)</f>
        <v>45909.6458333333</v>
      </c>
      <c r="D116" s="48">
        <f>IFERROR(__xludf.DUMMYFUNCTION("""COMPUTED_VALUE"""),1956)</f>
        <v>1956</v>
      </c>
      <c r="E116" s="47">
        <f>IFERROR(__xludf.DUMMYFUNCTION("""COMPUTED_VALUE"""),45909.6458333333)</f>
        <v>45909.6458333333</v>
      </c>
      <c r="F116" s="48">
        <f>IFERROR(__xludf.DUMMYFUNCTION("""COMPUTED_VALUE"""),3174784)</f>
        <v>3174784</v>
      </c>
      <c r="G116" s="47">
        <f>IFERROR(__xludf.DUMMYFUNCTION("""COMPUTED_VALUE"""),45909.6458333333)</f>
        <v>45909.6458333333</v>
      </c>
      <c r="H116" s="48">
        <f>IFERROR(__xludf.DUMMYFUNCTION("""COMPUTED_VALUE"""),1965.9)</f>
        <v>1965.9</v>
      </c>
      <c r="I116" s="47">
        <f>IFERROR(__xludf.DUMMYFUNCTION("""COMPUTED_VALUE"""),45909.6458333333)</f>
        <v>45909.6458333333</v>
      </c>
      <c r="J116" s="48">
        <f>IFERROR(__xludf.DUMMYFUNCTION("""COMPUTED_VALUE"""),1939.8)</f>
        <v>1939.8</v>
      </c>
      <c r="K116" s="3">
        <f t="shared" si="2"/>
        <v>0</v>
      </c>
      <c r="L116" s="3">
        <f t="shared" si="3"/>
        <v>0</v>
      </c>
    </row>
    <row r="117" customHeight="1" spans="1:12">
      <c r="A117" s="47">
        <f>IFERROR(__xludf.DUMMYFUNCTION("""COMPUTED_VALUE"""),45910.6458333333)</f>
        <v>45910.6458333333</v>
      </c>
      <c r="B117" s="48">
        <f>IFERROR(__xludf.DUMMYFUNCTION("""COMPUTED_VALUE"""),1973.3)</f>
        <v>1973.3</v>
      </c>
      <c r="C117" s="47">
        <f>IFERROR(__xludf.DUMMYFUNCTION("""COMPUTED_VALUE"""),45910.6458333333)</f>
        <v>45910.6458333333</v>
      </c>
      <c r="D117" s="48">
        <f>IFERROR(__xludf.DUMMYFUNCTION("""COMPUTED_VALUE"""),1984.9)</f>
        <v>1984.9</v>
      </c>
      <c r="E117" s="47">
        <f>IFERROR(__xludf.DUMMYFUNCTION("""COMPUTED_VALUE"""),45910.6458333333)</f>
        <v>45910.6458333333</v>
      </c>
      <c r="F117" s="48">
        <f>IFERROR(__xludf.DUMMYFUNCTION("""COMPUTED_VALUE"""),8520902)</f>
        <v>8520902</v>
      </c>
      <c r="G117" s="47">
        <f>IFERROR(__xludf.DUMMYFUNCTION("""COMPUTED_VALUE"""),45910.6458333333)</f>
        <v>45910.6458333333</v>
      </c>
      <c r="H117" s="48">
        <f>IFERROR(__xludf.DUMMYFUNCTION("""COMPUTED_VALUE"""),1988.9)</f>
        <v>1988.9</v>
      </c>
      <c r="I117" s="47">
        <f>IFERROR(__xludf.DUMMYFUNCTION("""COMPUTED_VALUE"""),45910.6458333333)</f>
        <v>45910.6458333333</v>
      </c>
      <c r="J117" s="48">
        <f>IFERROR(__xludf.DUMMYFUNCTION("""COMPUTED_VALUE"""),1965.8)</f>
        <v>1965.8</v>
      </c>
      <c r="K117" s="3">
        <f t="shared" si="2"/>
        <v>0</v>
      </c>
      <c r="L117" s="3">
        <f t="shared" si="3"/>
        <v>0</v>
      </c>
    </row>
    <row r="118" customHeight="1" spans="1:12">
      <c r="A118" s="47">
        <f>IFERROR(__xludf.DUMMYFUNCTION("""COMPUTED_VALUE"""),45911.6458333333)</f>
        <v>45911.6458333333</v>
      </c>
      <c r="B118" s="48">
        <f>IFERROR(__xludf.DUMMYFUNCTION("""COMPUTED_VALUE"""),1972.3)</f>
        <v>1972.3</v>
      </c>
      <c r="C118" s="47">
        <f>IFERROR(__xludf.DUMMYFUNCTION("""COMPUTED_VALUE"""),45911.6458333333)</f>
        <v>45911.6458333333</v>
      </c>
      <c r="D118" s="48">
        <f>IFERROR(__xludf.DUMMYFUNCTION("""COMPUTED_VALUE"""),1977)</f>
        <v>1977</v>
      </c>
      <c r="E118" s="47">
        <f>IFERROR(__xludf.DUMMYFUNCTION("""COMPUTED_VALUE"""),45911.6458333333)</f>
        <v>45911.6458333333</v>
      </c>
      <c r="F118" s="48">
        <f>IFERROR(__xludf.DUMMYFUNCTION("""COMPUTED_VALUE"""),2363267)</f>
        <v>2363267</v>
      </c>
      <c r="G118" s="47">
        <f>IFERROR(__xludf.DUMMYFUNCTION("""COMPUTED_VALUE"""),45911.6458333333)</f>
        <v>45911.6458333333</v>
      </c>
      <c r="H118" s="48">
        <f>IFERROR(__xludf.DUMMYFUNCTION("""COMPUTED_VALUE"""),1985)</f>
        <v>1985</v>
      </c>
      <c r="I118" s="47">
        <f>IFERROR(__xludf.DUMMYFUNCTION("""COMPUTED_VALUE"""),45911.6458333333)</f>
        <v>45911.6458333333</v>
      </c>
      <c r="J118" s="48">
        <f>IFERROR(__xludf.DUMMYFUNCTION("""COMPUTED_VALUE"""),1963.3)</f>
        <v>1963.3</v>
      </c>
      <c r="K118" s="3">
        <f t="shared" si="2"/>
        <v>0</v>
      </c>
      <c r="L118" s="3">
        <f t="shared" si="3"/>
        <v>0</v>
      </c>
    </row>
    <row r="119" customHeight="1" spans="1:12">
      <c r="A119" s="47">
        <f>IFERROR(__xludf.DUMMYFUNCTION("""COMPUTED_VALUE"""),45912.6458333333)</f>
        <v>45912.6458333333</v>
      </c>
      <c r="B119" s="48">
        <f>IFERROR(__xludf.DUMMYFUNCTION("""COMPUTED_VALUE"""),1972.3)</f>
        <v>1972.3</v>
      </c>
      <c r="C119" s="47">
        <f>IFERROR(__xludf.DUMMYFUNCTION("""COMPUTED_VALUE"""),45912.6458333333)</f>
        <v>45912.6458333333</v>
      </c>
      <c r="D119" s="48">
        <f>IFERROR(__xludf.DUMMYFUNCTION("""COMPUTED_VALUE"""),1973.2)</f>
        <v>1973.2</v>
      </c>
      <c r="E119" s="47">
        <f>IFERROR(__xludf.DUMMYFUNCTION("""COMPUTED_VALUE"""),45912.6458333333)</f>
        <v>45912.6458333333</v>
      </c>
      <c r="F119" s="48">
        <f>IFERROR(__xludf.DUMMYFUNCTION("""COMPUTED_VALUE"""),3615457)</f>
        <v>3615457</v>
      </c>
      <c r="G119" s="47">
        <f>IFERROR(__xludf.DUMMYFUNCTION("""COMPUTED_VALUE"""),45912.6458333333)</f>
        <v>45912.6458333333</v>
      </c>
      <c r="H119" s="48">
        <f>IFERROR(__xludf.DUMMYFUNCTION("""COMPUTED_VALUE"""),1985)</f>
        <v>1985</v>
      </c>
      <c r="I119" s="47">
        <f>IFERROR(__xludf.DUMMYFUNCTION("""COMPUTED_VALUE"""),45912.6458333333)</f>
        <v>45912.6458333333</v>
      </c>
      <c r="J119" s="48">
        <f>IFERROR(__xludf.DUMMYFUNCTION("""COMPUTED_VALUE"""),1966)</f>
        <v>1966</v>
      </c>
      <c r="K119" s="3">
        <f t="shared" si="2"/>
        <v>0</v>
      </c>
      <c r="L119" s="3">
        <f t="shared" si="3"/>
        <v>0</v>
      </c>
    </row>
    <row r="120" customHeight="1" spans="1:12">
      <c r="A120" s="47">
        <f>IFERROR(__xludf.DUMMYFUNCTION("""COMPUTED_VALUE"""),45915.6458333333)</f>
        <v>45915.6458333333</v>
      </c>
      <c r="B120" s="48">
        <f>IFERROR(__xludf.DUMMYFUNCTION("""COMPUTED_VALUE"""),1970.8)</f>
        <v>1970.8</v>
      </c>
      <c r="C120" s="47">
        <f>IFERROR(__xludf.DUMMYFUNCTION("""COMPUTED_VALUE"""),45915.6458333333)</f>
        <v>45915.6458333333</v>
      </c>
      <c r="D120" s="48">
        <f>IFERROR(__xludf.DUMMYFUNCTION("""COMPUTED_VALUE"""),1968)</f>
        <v>1968</v>
      </c>
      <c r="E120" s="47">
        <f>IFERROR(__xludf.DUMMYFUNCTION("""COMPUTED_VALUE"""),45915.6458333333)</f>
        <v>45915.6458333333</v>
      </c>
      <c r="F120" s="48">
        <f>IFERROR(__xludf.DUMMYFUNCTION("""COMPUTED_VALUE"""),2619626)</f>
        <v>2619626</v>
      </c>
      <c r="G120" s="47">
        <f>IFERROR(__xludf.DUMMYFUNCTION("""COMPUTED_VALUE"""),45915.6458333333)</f>
        <v>45915.6458333333</v>
      </c>
      <c r="H120" s="48">
        <f>IFERROR(__xludf.DUMMYFUNCTION("""COMPUTED_VALUE"""),1981.6)</f>
        <v>1981.6</v>
      </c>
      <c r="I120" s="47">
        <f>IFERROR(__xludf.DUMMYFUNCTION("""COMPUTED_VALUE"""),45915.6458333333)</f>
        <v>45915.6458333333</v>
      </c>
      <c r="J120" s="48">
        <f>IFERROR(__xludf.DUMMYFUNCTION("""COMPUTED_VALUE"""),1964.9)</f>
        <v>1964.9</v>
      </c>
      <c r="K120" s="3">
        <f t="shared" si="2"/>
        <v>0</v>
      </c>
      <c r="L120" s="3">
        <f t="shared" si="3"/>
        <v>0</v>
      </c>
    </row>
    <row r="121" customHeight="1" spans="1:12">
      <c r="A121" s="47">
        <f>IFERROR(__xludf.DUMMYFUNCTION("""COMPUTED_VALUE"""),45916.6458333333)</f>
        <v>45916.6458333333</v>
      </c>
      <c r="B121" s="48">
        <f>IFERROR(__xludf.DUMMYFUNCTION("""COMPUTED_VALUE"""),2021.7)</f>
        <v>2021.7</v>
      </c>
      <c r="C121" s="47">
        <f>IFERROR(__xludf.DUMMYFUNCTION("""COMPUTED_VALUE"""),45916.6458333333)</f>
        <v>45916.6458333333</v>
      </c>
      <c r="D121" s="48">
        <f>IFERROR(__xludf.DUMMYFUNCTION("""COMPUTED_VALUE"""),1976.4)</f>
        <v>1976.4</v>
      </c>
      <c r="E121" s="47">
        <f>IFERROR(__xludf.DUMMYFUNCTION("""COMPUTED_VALUE"""),45916.6458333333)</f>
        <v>45916.6458333333</v>
      </c>
      <c r="F121" s="48">
        <f>IFERROR(__xludf.DUMMYFUNCTION("""COMPUTED_VALUE"""),4016877)</f>
        <v>4016877</v>
      </c>
      <c r="G121" s="47">
        <f>IFERROR(__xludf.DUMMYFUNCTION("""COMPUTED_VALUE"""),45916.6458333333)</f>
        <v>45916.6458333333</v>
      </c>
      <c r="H121" s="48">
        <f>IFERROR(__xludf.DUMMYFUNCTION("""COMPUTED_VALUE"""),2030.5)</f>
        <v>2030.5</v>
      </c>
      <c r="I121" s="47">
        <f>IFERROR(__xludf.DUMMYFUNCTION("""COMPUTED_VALUE"""),45916.6458333333)</f>
        <v>45916.6458333333</v>
      </c>
      <c r="J121" s="48">
        <f>IFERROR(__xludf.DUMMYFUNCTION("""COMPUTED_VALUE"""),1973.2)</f>
        <v>1973.2</v>
      </c>
      <c r="K121" s="3">
        <f t="shared" si="2"/>
        <v>0</v>
      </c>
      <c r="L121" s="3">
        <f t="shared" si="3"/>
        <v>0</v>
      </c>
    </row>
    <row r="122" customHeight="1" spans="1:12">
      <c r="A122" s="47">
        <f>IFERROR(__xludf.DUMMYFUNCTION("""COMPUTED_VALUE"""),45917.6458333333)</f>
        <v>45917.6458333333</v>
      </c>
      <c r="B122" s="48">
        <f>IFERROR(__xludf.DUMMYFUNCTION("""COMPUTED_VALUE"""),2050.3)</f>
        <v>2050.3</v>
      </c>
      <c r="C122" s="47">
        <f>IFERROR(__xludf.DUMMYFUNCTION("""COMPUTED_VALUE"""),45917.6458333333)</f>
        <v>45917.6458333333</v>
      </c>
      <c r="D122" s="48">
        <f>IFERROR(__xludf.DUMMYFUNCTION("""COMPUTED_VALUE"""),2029)</f>
        <v>2029</v>
      </c>
      <c r="E122" s="47">
        <f>IFERROR(__xludf.DUMMYFUNCTION("""COMPUTED_VALUE"""),45917.6458333333)</f>
        <v>45917.6458333333</v>
      </c>
      <c r="F122" s="48">
        <f>IFERROR(__xludf.DUMMYFUNCTION("""COMPUTED_VALUE"""),4783438)</f>
        <v>4783438</v>
      </c>
      <c r="G122" s="47">
        <f>IFERROR(__xludf.DUMMYFUNCTION("""COMPUTED_VALUE"""),45917.6458333333)</f>
        <v>45917.6458333333</v>
      </c>
      <c r="H122" s="48">
        <f>IFERROR(__xludf.DUMMYFUNCTION("""COMPUTED_VALUE"""),2052.7)</f>
        <v>2052.7</v>
      </c>
      <c r="I122" s="47">
        <f>IFERROR(__xludf.DUMMYFUNCTION("""COMPUTED_VALUE"""),45917.6458333333)</f>
        <v>45917.6458333333</v>
      </c>
      <c r="J122" s="48">
        <f>IFERROR(__xludf.DUMMYFUNCTION("""COMPUTED_VALUE"""),2020.3)</f>
        <v>2020.3</v>
      </c>
      <c r="K122" s="3">
        <f t="shared" si="2"/>
        <v>0</v>
      </c>
      <c r="L122" s="3">
        <f t="shared" si="3"/>
        <v>0</v>
      </c>
    </row>
    <row r="123" customHeight="1" spans="1:12">
      <c r="A123" s="47">
        <f>IFERROR(__xludf.DUMMYFUNCTION("""COMPUTED_VALUE"""),45918.6458333333)</f>
        <v>45918.6458333333</v>
      </c>
      <c r="B123" s="48">
        <f>IFERROR(__xludf.DUMMYFUNCTION("""COMPUTED_VALUE"""),2054.6)</f>
        <v>2054.6</v>
      </c>
      <c r="C123" s="47">
        <f>IFERROR(__xludf.DUMMYFUNCTION("""COMPUTED_VALUE"""),45918.6458333333)</f>
        <v>45918.6458333333</v>
      </c>
      <c r="D123" s="48">
        <f>IFERROR(__xludf.DUMMYFUNCTION("""COMPUTED_VALUE"""),2050)</f>
        <v>2050</v>
      </c>
      <c r="E123" s="47">
        <f>IFERROR(__xludf.DUMMYFUNCTION("""COMPUTED_VALUE"""),45918.6458333333)</f>
        <v>45918.6458333333</v>
      </c>
      <c r="F123" s="48">
        <f>IFERROR(__xludf.DUMMYFUNCTION("""COMPUTED_VALUE"""),3484116)</f>
        <v>3484116</v>
      </c>
      <c r="G123" s="47">
        <f>IFERROR(__xludf.DUMMYFUNCTION("""COMPUTED_VALUE"""),45918.6458333333)</f>
        <v>45918.6458333333</v>
      </c>
      <c r="H123" s="48">
        <f>IFERROR(__xludf.DUMMYFUNCTION("""COMPUTED_VALUE"""),2061.3)</f>
        <v>2061.3</v>
      </c>
      <c r="I123" s="47">
        <f>IFERROR(__xludf.DUMMYFUNCTION("""COMPUTED_VALUE"""),45918.6458333333)</f>
        <v>45918.6458333333</v>
      </c>
      <c r="J123" s="48">
        <f>IFERROR(__xludf.DUMMYFUNCTION("""COMPUTED_VALUE"""),2042.2)</f>
        <v>2042.2</v>
      </c>
      <c r="K123" s="3">
        <f t="shared" si="2"/>
        <v>2054.6</v>
      </c>
      <c r="L123" s="3">
        <f t="shared" si="3"/>
        <v>0</v>
      </c>
    </row>
    <row r="124" customHeight="1" spans="1:12">
      <c r="A124" s="47">
        <f>IFERROR(__xludf.DUMMYFUNCTION("""COMPUTED_VALUE"""),45919.6458333333)</f>
        <v>45919.6458333333</v>
      </c>
      <c r="B124" s="48">
        <f>IFERROR(__xludf.DUMMYFUNCTION("""COMPUTED_VALUE"""),2031)</f>
        <v>2031</v>
      </c>
      <c r="C124" s="47">
        <f>IFERROR(__xludf.DUMMYFUNCTION("""COMPUTED_VALUE"""),45919.6458333333)</f>
        <v>45919.6458333333</v>
      </c>
      <c r="D124" s="48">
        <f>IFERROR(__xludf.DUMMYFUNCTION("""COMPUTED_VALUE"""),2054.6)</f>
        <v>2054.6</v>
      </c>
      <c r="E124" s="47">
        <f>IFERROR(__xludf.DUMMYFUNCTION("""COMPUTED_VALUE"""),45919.6458333333)</f>
        <v>45919.6458333333</v>
      </c>
      <c r="F124" s="48">
        <f>IFERROR(__xludf.DUMMYFUNCTION("""COMPUTED_VALUE"""),4486225)</f>
        <v>4486225</v>
      </c>
      <c r="G124" s="47">
        <f>IFERROR(__xludf.DUMMYFUNCTION("""COMPUTED_VALUE"""),45919.6458333333)</f>
        <v>45919.6458333333</v>
      </c>
      <c r="H124" s="48">
        <f>IFERROR(__xludf.DUMMYFUNCTION("""COMPUTED_VALUE"""),2054.6)</f>
        <v>2054.6</v>
      </c>
      <c r="I124" s="47">
        <f>IFERROR(__xludf.DUMMYFUNCTION("""COMPUTED_VALUE"""),45919.6458333333)</f>
        <v>45919.6458333333</v>
      </c>
      <c r="J124" s="48">
        <f>IFERROR(__xludf.DUMMYFUNCTION("""COMPUTED_VALUE"""),2027.4)</f>
        <v>2027.4</v>
      </c>
      <c r="K124" s="3">
        <f t="shared" si="2"/>
        <v>0</v>
      </c>
      <c r="L124" s="3">
        <f t="shared" si="3"/>
        <v>0</v>
      </c>
    </row>
    <row r="125" customHeight="1" spans="1:12">
      <c r="A125" s="47">
        <f>IFERROR(__xludf.DUMMYFUNCTION("""COMPUTED_VALUE"""),45922.6458333333)</f>
        <v>45922.6458333333</v>
      </c>
      <c r="B125" s="48">
        <f>IFERROR(__xludf.DUMMYFUNCTION("""COMPUTED_VALUE"""),2021.7)</f>
        <v>2021.7</v>
      </c>
      <c r="C125" s="47">
        <f>IFERROR(__xludf.DUMMYFUNCTION("""COMPUTED_VALUE"""),45922.6458333333)</f>
        <v>45922.6458333333</v>
      </c>
      <c r="D125" s="48">
        <f>IFERROR(__xludf.DUMMYFUNCTION("""COMPUTED_VALUE"""),2032)</f>
        <v>2032</v>
      </c>
      <c r="E125" s="47">
        <f>IFERROR(__xludf.DUMMYFUNCTION("""COMPUTED_VALUE"""),45922.6458333333)</f>
        <v>45922.6458333333</v>
      </c>
      <c r="F125" s="48">
        <f>IFERROR(__xludf.DUMMYFUNCTION("""COMPUTED_VALUE"""),2645982)</f>
        <v>2645982</v>
      </c>
      <c r="G125" s="47">
        <f>IFERROR(__xludf.DUMMYFUNCTION("""COMPUTED_VALUE"""),45922.6458333333)</f>
        <v>45922.6458333333</v>
      </c>
      <c r="H125" s="48">
        <f>IFERROR(__xludf.DUMMYFUNCTION("""COMPUTED_VALUE"""),2039.6)</f>
        <v>2039.6</v>
      </c>
      <c r="I125" s="47">
        <f>IFERROR(__xludf.DUMMYFUNCTION("""COMPUTED_VALUE"""),45922.6458333333)</f>
        <v>45922.6458333333</v>
      </c>
      <c r="J125" s="48">
        <f>IFERROR(__xludf.DUMMYFUNCTION("""COMPUTED_VALUE"""),2017.4)</f>
        <v>2017.4</v>
      </c>
      <c r="K125" s="3">
        <f t="shared" si="2"/>
        <v>0</v>
      </c>
      <c r="L125" s="3">
        <f t="shared" si="3"/>
        <v>0</v>
      </c>
    </row>
    <row r="126" customHeight="1" spans="1:10">
      <c r="A126" s="47">
        <f>IFERROR(__xludf.DUMMYFUNCTION("""COMPUTED_VALUE"""),45923.6458333333)</f>
        <v>45923.6458333333</v>
      </c>
      <c r="B126" s="48">
        <f>IFERROR(__xludf.DUMMYFUNCTION("""COMPUTED_VALUE"""),2047.7)</f>
        <v>2047.7</v>
      </c>
      <c r="C126" s="47">
        <f>IFERROR(__xludf.DUMMYFUNCTION("""COMPUTED_VALUE"""),45923.6458333333)</f>
        <v>45923.6458333333</v>
      </c>
      <c r="D126" s="48">
        <f>IFERROR(__xludf.DUMMYFUNCTION("""COMPUTED_VALUE"""),2023)</f>
        <v>2023</v>
      </c>
      <c r="E126" s="47">
        <f>IFERROR(__xludf.DUMMYFUNCTION("""COMPUTED_VALUE"""),45923.6458333333)</f>
        <v>45923.6458333333</v>
      </c>
      <c r="F126" s="48">
        <f>IFERROR(__xludf.DUMMYFUNCTION("""COMPUTED_VALUE"""),5085648)</f>
        <v>5085648</v>
      </c>
      <c r="G126" s="47">
        <f>IFERROR(__xludf.DUMMYFUNCTION("""COMPUTED_VALUE"""),45923.6458333333)</f>
        <v>45923.6458333333</v>
      </c>
      <c r="H126" s="48">
        <f>IFERROR(__xludf.DUMMYFUNCTION("""COMPUTED_VALUE"""),2053.1)</f>
        <v>2053.1</v>
      </c>
      <c r="I126" s="47">
        <f>IFERROR(__xludf.DUMMYFUNCTION("""COMPUTED_VALUE"""),45923.6458333333)</f>
        <v>45923.6458333333</v>
      </c>
      <c r="J126" s="48">
        <f>IFERROR(__xludf.DUMMYFUNCTION("""COMPUTED_VALUE"""),2008.4)</f>
        <v>2008.4</v>
      </c>
    </row>
    <row r="127" customHeight="1" spans="1:10">
      <c r="A127" s="47">
        <f>IFERROR(__xludf.DUMMYFUNCTION("""COMPUTED_VALUE"""),45924.6458333333)</f>
        <v>45924.6458333333</v>
      </c>
      <c r="B127" s="48">
        <f>IFERROR(__xludf.DUMMYFUNCTION("""COMPUTED_VALUE"""),2031.3)</f>
        <v>2031.3</v>
      </c>
      <c r="C127" s="47">
        <f>IFERROR(__xludf.DUMMYFUNCTION("""COMPUTED_VALUE"""),45924.6458333333)</f>
        <v>45924.6458333333</v>
      </c>
      <c r="D127" s="48">
        <f>IFERROR(__xludf.DUMMYFUNCTION("""COMPUTED_VALUE"""),2042)</f>
        <v>2042</v>
      </c>
      <c r="E127" s="47">
        <f>IFERROR(__xludf.DUMMYFUNCTION("""COMPUTED_VALUE"""),45924.6458333333)</f>
        <v>45924.6458333333</v>
      </c>
      <c r="F127" s="48">
        <f>IFERROR(__xludf.DUMMYFUNCTION("""COMPUTED_VALUE"""),3678877)</f>
        <v>3678877</v>
      </c>
      <c r="G127" s="47">
        <f>IFERROR(__xludf.DUMMYFUNCTION("""COMPUTED_VALUE"""),45924.6458333333)</f>
        <v>45924.6458333333</v>
      </c>
      <c r="H127" s="48">
        <f>IFERROR(__xludf.DUMMYFUNCTION("""COMPUTED_VALUE"""),2048.1)</f>
        <v>2048.1</v>
      </c>
      <c r="I127" s="47">
        <f>IFERROR(__xludf.DUMMYFUNCTION("""COMPUTED_VALUE"""),45924.6458333333)</f>
        <v>45924.6458333333</v>
      </c>
      <c r="J127" s="48">
        <f>IFERROR(__xludf.DUMMYFUNCTION("""COMPUTED_VALUE"""),2029)</f>
        <v>2029</v>
      </c>
    </row>
    <row r="128" customHeight="1" spans="1:10">
      <c r="A128" s="47">
        <f>IFERROR(__xludf.DUMMYFUNCTION("""COMPUTED_VALUE"""),45925.6458333333)</f>
        <v>45925.6458333333</v>
      </c>
      <c r="B128" s="48">
        <f>IFERROR(__xludf.DUMMYFUNCTION("""COMPUTED_VALUE"""),2013.5)</f>
        <v>2013.5</v>
      </c>
      <c r="C128" s="47">
        <f>IFERROR(__xludf.DUMMYFUNCTION("""COMPUTED_VALUE"""),45925.6458333333)</f>
        <v>45925.6458333333</v>
      </c>
      <c r="D128" s="48">
        <f>IFERROR(__xludf.DUMMYFUNCTION("""COMPUTED_VALUE"""),2032.3)</f>
        <v>2032.3</v>
      </c>
      <c r="E128" s="47">
        <f>IFERROR(__xludf.DUMMYFUNCTION("""COMPUTED_VALUE"""),45925.6458333333)</f>
        <v>45925.6458333333</v>
      </c>
      <c r="F128" s="48">
        <f>IFERROR(__xludf.DUMMYFUNCTION("""COMPUTED_VALUE"""),4007855)</f>
        <v>4007855</v>
      </c>
      <c r="G128" s="47">
        <f>IFERROR(__xludf.DUMMYFUNCTION("""COMPUTED_VALUE"""),45925.6458333333)</f>
        <v>45925.6458333333</v>
      </c>
      <c r="H128" s="48">
        <f>IFERROR(__xludf.DUMMYFUNCTION("""COMPUTED_VALUE"""),2037.5)</f>
        <v>2037.5</v>
      </c>
      <c r="I128" s="47">
        <f>IFERROR(__xludf.DUMMYFUNCTION("""COMPUTED_VALUE"""),45925.6458333333)</f>
        <v>45925.6458333333</v>
      </c>
      <c r="J128" s="48">
        <f>IFERROR(__xludf.DUMMYFUNCTION("""COMPUTED_VALUE"""),2010)</f>
        <v>2010</v>
      </c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IFERROR(__xludf.DUMMYFUNCTION("""COMPUTED_VALUE"""),1994.8)</f>
        <v>1994.8</v>
      </c>
      <c r="C129" s="47">
        <f>IFERROR(__xludf.DUMMYFUNCTION("""COMPUTED_VALUE"""),45926.6458333333)</f>
        <v>45926.6458333333</v>
      </c>
      <c r="D129" s="48">
        <f>IFERROR(__xludf.DUMMYFUNCTION("""COMPUTED_VALUE"""),2009)</f>
        <v>2009</v>
      </c>
      <c r="E129" s="47">
        <f>IFERROR(__xludf.DUMMYFUNCTION("""COMPUTED_VALUE"""),45926.6458333333)</f>
        <v>45926.6458333333</v>
      </c>
      <c r="F129" s="48">
        <f>IFERROR(__xludf.DUMMYFUNCTION("""COMPUTED_VALUE"""),1919165)</f>
        <v>1919165</v>
      </c>
      <c r="G129" s="47">
        <f>IFERROR(__xludf.DUMMYFUNCTION("""COMPUTED_VALUE"""),45926.6458333333)</f>
        <v>45926.6458333333</v>
      </c>
      <c r="H129" s="48">
        <f>IFERROR(__xludf.DUMMYFUNCTION("""COMPUTED_VALUE"""),2019.2)</f>
        <v>2019.2</v>
      </c>
      <c r="I129" s="47">
        <f>IFERROR(__xludf.DUMMYFUNCTION("""COMPUTED_VALUE"""),45926.6458333333)</f>
        <v>45926.6458333333</v>
      </c>
      <c r="J129" s="48">
        <f>IFERROR(__xludf.DUMMYFUNCTION("""COMPUTED_VALUE"""),1989.1)</f>
        <v>1989.1</v>
      </c>
    </row>
  </sheetData>
  <mergeCells count="3">
    <mergeCell ref="M1:P1"/>
    <mergeCell ref="A3:F3"/>
    <mergeCell ref="AB4:AE4"/>
  </mergeCells>
  <conditionalFormatting sqref="A1:A2 A4">
    <cfRule type="notContainsBlanks" dxfId="0" priority="1">
      <formula>LEN(TRIM(A1))&gt;0</formula>
    </cfRule>
  </conditionalFormatting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16">
      <c r="A1" s="49" t="s">
        <v>264</v>
      </c>
      <c r="B1" s="50">
        <f ca="1">TODAY()</f>
        <v>45927</v>
      </c>
      <c r="C1" s="51">
        <f ca="1">DAY(B1)</f>
        <v>27</v>
      </c>
      <c r="D1" s="51">
        <f ca="1" t="shared" ref="D1:D2" si="0">MONTH(B1)</f>
        <v>9</v>
      </c>
      <c r="E1" s="51">
        <f ca="1" t="shared" ref="E1:E2" si="1">YEAR(B1)</f>
        <v>2025</v>
      </c>
      <c r="F1" s="52"/>
      <c r="G1" s="53"/>
      <c r="H1" s="51"/>
      <c r="I1" s="51"/>
      <c r="J1" s="51"/>
      <c r="K1" s="51"/>
      <c r="L1" s="51"/>
      <c r="M1" s="62" t="s">
        <v>265</v>
      </c>
      <c r="N1" s="19"/>
      <c r="O1" s="19"/>
      <c r="P1" s="19"/>
    </row>
    <row r="2" customHeight="1" spans="1:20">
      <c r="A2" s="49" t="s">
        <v>266</v>
      </c>
      <c r="B2" s="50">
        <f ca="1">EDATE(TODAY(),-6)</f>
        <v>45743</v>
      </c>
      <c r="C2" s="51">
        <f ca="1">DAY(B2)</f>
        <v>27</v>
      </c>
      <c r="D2" s="51">
        <f ca="1" t="shared" si="0"/>
        <v>3</v>
      </c>
      <c r="E2" s="51">
        <f ca="1" t="shared" si="1"/>
        <v>2025</v>
      </c>
      <c r="F2" s="52"/>
      <c r="G2" s="53"/>
      <c r="H2" s="51"/>
      <c r="I2" s="51"/>
      <c r="J2" s="51"/>
      <c r="K2" s="51"/>
      <c r="L2" s="51"/>
      <c r="M2" s="63" t="str">
        <f>IFERROR(__xludf.DUMMYFUNCTION("GOOGLEFINANCE(L3, ""close"", WORKDAY(TODAY(), -1), WORKDAY(TODAY(), -1))"),"Date")</f>
        <v>Date</v>
      </c>
      <c r="N2" s="64" t="str">
        <f>IFERROR(__xludf.DUMMYFUNCTION("""COMPUTED_VALUE"""),"Close")</f>
        <v>Close</v>
      </c>
      <c r="O2" s="63" t="str">
        <f>IFERROR(__xludf.DUMMYFUNCTION("GOOGLEFINANCE(L3, ""open"", WORKDAY(TODAY(), -1), WORKDAY(TODAY(), -1))"),"Date")</f>
        <v>Date</v>
      </c>
      <c r="P2" s="64" t="str">
        <f>IFERROR(__xludf.DUMMYFUNCTION("""COMPUTED_VALUE"""),"Open")</f>
        <v>Open</v>
      </c>
      <c r="Q2" s="72" t="str">
        <f>IFERROR(__xludf.DUMMYFUNCTION("GOOGLEFINANCE(L3, ""hIGH"", WORKDAY(TODAY(), -1), WORKDAY(TODAY(), -1))"),"Date")</f>
        <v>Date</v>
      </c>
      <c r="R2" s="48" t="str">
        <f>IFERROR(__xludf.DUMMYFUNCTION("""COMPUTED_VALUE"""),"High")</f>
        <v>High</v>
      </c>
      <c r="S2" s="72" t="str">
        <f>IFERROR(__xludf.DUMMYFUNCTION("GOOGLEFINANCE(L3, ""LOW"", WORKDAY(TODAY(), -1), WORKDAY(TODAY(), -1))"),"Date")</f>
        <v>Date</v>
      </c>
      <c r="T2" s="48" t="str">
        <f>IFERROR(__xludf.DUMMYFUNCTION("""COMPUTED_VALUE"""),"Low")</f>
        <v>Low</v>
      </c>
    </row>
    <row r="3" customHeight="1" spans="1:20">
      <c r="A3" s="54" t="s">
        <v>62</v>
      </c>
      <c r="B3" s="7"/>
      <c r="C3" s="7"/>
      <c r="D3" s="7"/>
      <c r="E3" s="7"/>
      <c r="F3" s="8"/>
      <c r="G3" s="55" t="s">
        <v>268</v>
      </c>
      <c r="H3" s="56">
        <f>IFERROR(__xludf.DUMMYFUNCTION("GOOGLEFINANCE(L3, ""price"")"),16307)</f>
        <v>16307</v>
      </c>
      <c r="I3" s="65" t="s">
        <v>269</v>
      </c>
      <c r="J3" s="56">
        <f>IFERROR(__xludf.DUMMYFUNCTION("GOOGLEFINANCE(L3, ""volume"")"),490957)</f>
        <v>490957</v>
      </c>
      <c r="K3" s="66" t="s">
        <v>270</v>
      </c>
      <c r="L3" s="67" t="str">
        <f>Mastersheet!B27</f>
        <v>NSE:MARUTI</v>
      </c>
      <c r="M3" s="68">
        <f>IFERROR(__xludf.DUMMYFUNCTION("""COMPUTED_VALUE"""),45926.6458333333)</f>
        <v>45926.6458333333</v>
      </c>
      <c r="N3" s="67">
        <f>IFERROR(__xludf.DUMMYFUNCTION("""COMPUTED_VALUE"""),16286)</f>
        <v>16286</v>
      </c>
      <c r="O3" s="68">
        <f>IFERROR(__xludf.DUMMYFUNCTION("""COMPUTED_VALUE"""),45926.6458333333)</f>
        <v>45926.6458333333</v>
      </c>
      <c r="P3" s="67">
        <f>IFERROR(__xludf.DUMMYFUNCTION("""COMPUTED_VALUE"""),16235)</f>
        <v>16235</v>
      </c>
      <c r="Q3" s="47">
        <f>IFERROR(__xludf.DUMMYFUNCTION("""COMPUTED_VALUE"""),45926.6458333333)</f>
        <v>45926.6458333333</v>
      </c>
      <c r="R3" s="48">
        <f>IFERROR(__xludf.DUMMYFUNCTION("""COMPUTED_VALUE"""),16435)</f>
        <v>16435</v>
      </c>
      <c r="S3" s="47">
        <f>IFERROR(__xludf.DUMMYFUNCTION("""COMPUTED_VALUE"""),45926.6458333333)</f>
        <v>45926.6458333333</v>
      </c>
      <c r="T3" s="48">
        <f>IFERROR(__xludf.DUMMYFUNCTION("""COMPUTED_VALUE"""),16202)</f>
        <v>16202</v>
      </c>
    </row>
    <row r="4" customHeight="1" spans="1:31">
      <c r="A4" s="57" t="str">
        <f>IFERROR(__xludf.DUMMYFUNCTION("GOOGLEFINANCE(L3, ""CLOSE"",DATE(E2,D2,C2), DATE(E1,D1,C1), ""DAILY"")"),"Date")</f>
        <v>Date</v>
      </c>
      <c r="B4" s="58" t="str">
        <f>IFERROR(__xludf.DUMMYFUNCTION("""COMPUTED_VALUE"""),"Close")</f>
        <v>Close</v>
      </c>
      <c r="C4" s="58" t="str">
        <f>IFERROR(__xludf.DUMMYFUNCTION("GOOGLEFINANCE(L3, ""open"", DATE(E2,D2,C2), DATE(E1,D1,C1), ""DAILY"")"),"Date")</f>
        <v>Date</v>
      </c>
      <c r="D4" s="58" t="str">
        <f>IFERROR(__xludf.DUMMYFUNCTION("""COMPUTED_VALUE"""),"Open")</f>
        <v>Open</v>
      </c>
      <c r="E4" s="59" t="str">
        <f>IFERROR(__xludf.DUMMYFUNCTION("GOOGLEFINANCE(L3, ""VOLUME"", DATE(E2,D2,C2), DATE(E1,D1,C1), ""DAILY"")"),"Date")</f>
        <v>Date</v>
      </c>
      <c r="F4" s="58" t="str">
        <f>IFERROR(__xludf.DUMMYFUNCTION("""COMPUTED_VALUE"""),"Volume")</f>
        <v>Volume</v>
      </c>
      <c r="G4" s="59" t="str">
        <f>IFERROR(__xludf.DUMMYFUNCTION("GOOGLEFINANCE(L3, ""HIGH"", DATE(E2,D2,C2), DATE(E1,D1,C1), ""DAILY"")"),"Date")</f>
        <v>Date</v>
      </c>
      <c r="H4" s="59" t="str">
        <f>IFERROR(__xludf.DUMMYFUNCTION("""COMPUTED_VALUE"""),"High")</f>
        <v>High</v>
      </c>
      <c r="I4" s="59" t="str">
        <f>IFERROR(__xludf.DUMMYFUNCTION("GOOGLEFINANCE(L3, ""LOW"", DATE(E2,D2,C2), DATE(E1,D1,C1), ""DAILY"")"),"Date")</f>
        <v>Date</v>
      </c>
      <c r="J4" s="69" t="str">
        <f>IFERROR(__xludf.DUMMYFUNCTION("""COMPUTED_VALUE"""),"Low")</f>
        <v>Low</v>
      </c>
      <c r="K4" s="70" t="s">
        <v>271</v>
      </c>
      <c r="L4" s="70" t="s">
        <v>272</v>
      </c>
      <c r="M4" s="70" t="s">
        <v>273</v>
      </c>
      <c r="N4" s="70" t="s">
        <v>274</v>
      </c>
      <c r="O4" s="70" t="s">
        <v>275</v>
      </c>
      <c r="P4" s="70" t="s">
        <v>276</v>
      </c>
      <c r="Q4" s="73" t="s">
        <v>277</v>
      </c>
      <c r="R4" s="73" t="s">
        <v>278</v>
      </c>
      <c r="S4" s="73" t="s">
        <v>279</v>
      </c>
      <c r="T4" s="73" t="s">
        <v>280</v>
      </c>
      <c r="U4" s="73" t="s">
        <v>281</v>
      </c>
      <c r="V4" s="73" t="s">
        <v>282</v>
      </c>
      <c r="W4" s="70" t="s">
        <v>283</v>
      </c>
      <c r="X4" s="74" t="s">
        <v>284</v>
      </c>
      <c r="Y4" s="37" t="s">
        <v>285</v>
      </c>
      <c r="Z4" s="77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60">
        <f>IFERROR(__xludf.DUMMYFUNCTION("""COMPUTED_VALUE"""),45743.6458333333)</f>
        <v>45743.6458333333</v>
      </c>
      <c r="B5" s="61">
        <f>IFERROR(__xludf.DUMMYFUNCTION("""COMPUTED_VALUE"""),11721.95)</f>
        <v>11721.95</v>
      </c>
      <c r="C5" s="60">
        <f>IFERROR(__xludf.DUMMYFUNCTION("""COMPUTED_VALUE"""),45743.6458333333)</f>
        <v>45743.6458333333</v>
      </c>
      <c r="D5" s="61">
        <f>IFERROR(__xludf.DUMMYFUNCTION("""COMPUTED_VALUE"""),11773.15)</f>
        <v>11773.15</v>
      </c>
      <c r="E5" s="60">
        <f>IFERROR(__xludf.DUMMYFUNCTION("""COMPUTED_VALUE"""),45743.6458333333)</f>
        <v>45743.6458333333</v>
      </c>
      <c r="F5" s="61">
        <f>IFERROR(__xludf.DUMMYFUNCTION("""COMPUTED_VALUE"""),645787)</f>
        <v>645787</v>
      </c>
      <c r="G5" s="60">
        <f>IFERROR(__xludf.DUMMYFUNCTION("""COMPUTED_VALUE"""),45743.6458333333)</f>
        <v>45743.6458333333</v>
      </c>
      <c r="H5" s="61">
        <f>IFERROR(__xludf.DUMMYFUNCTION("""COMPUTED_VALUE"""),11898)</f>
        <v>11898</v>
      </c>
      <c r="I5" s="71">
        <f>IFERROR(__xludf.DUMMYFUNCTION("""COMPUTED_VALUE"""),45743.6458333333)</f>
        <v>45743.6458333333</v>
      </c>
      <c r="J5" s="51">
        <f>IFERROR(__xludf.DUMMYFUNCTION("""COMPUTED_VALUE"""),11638)</f>
        <v>11638</v>
      </c>
      <c r="K5" s="51"/>
      <c r="L5" s="51"/>
      <c r="M5" s="51">
        <f t="array" ref="M5">INDEX(K11:K124,MATCH(SMALL(ABS(K11:K124-H3),1),ABS(K11:K124-H3),0))</f>
        <v>12995</v>
      </c>
      <c r="N5" s="51">
        <f t="array" ref="N5">INDEX(K11:K124,MATCH(SMALL(ABS(K11:K124-H3),2),ABS(K11:K124-H3),0))</f>
        <v>12806</v>
      </c>
      <c r="O5" s="51">
        <f t="array" ref="O5">INDEX(L11:L124,MATCH(SMALL(ABS(L11:L124-H3),1),ABS(L11:L124-H3),0))</f>
        <v>14662</v>
      </c>
      <c r="P5" s="51">
        <f t="array" ref="P5">INDEX(L11:L124,MATCH(SMALL(ABS(L11:L124-H3),2),ABS(L11:L124-H3),0))</f>
        <v>12400</v>
      </c>
      <c r="Q5" s="48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S5" s="75">
        <f ca="1">IF(Q5&gt;0,Q5,S5)</f>
        <v>12806</v>
      </c>
      <c r="T5" s="48">
        <f ca="1">IF(AND(H3&gt;=Mastersheet!I3*S5,H3&lt;=Mastersheet!J3*S5),1,0)</f>
        <v>0</v>
      </c>
      <c r="U5" s="76">
        <f>(N3+P3)/2</f>
        <v>16260.5</v>
      </c>
      <c r="V5" s="48">
        <f>(N3+P3+R3+T3)/4</f>
        <v>16289.5</v>
      </c>
      <c r="W5" s="48">
        <f>IF(V5&gt;U5,1,0)</f>
        <v>1</v>
      </c>
      <c r="X5" s="48">
        <f>IF(V5&gt;U5,0,1)</f>
        <v>0</v>
      </c>
      <c r="Y5" s="48">
        <f>IF(COUNTIF(Mastersheet!E:E,L3)&gt;0,0,1)</f>
        <v>1</v>
      </c>
      <c r="Z5" s="78">
        <f ca="1">IF(T5*W5*Y5=1,1,0)</f>
        <v>0</v>
      </c>
      <c r="AA5" s="79"/>
      <c r="AB5" s="44" t="s">
        <v>289</v>
      </c>
      <c r="AC5" s="80" t="s">
        <v>290</v>
      </c>
      <c r="AD5" s="81" t="s">
        <v>291</v>
      </c>
      <c r="AE5" s="81" t="s">
        <v>292</v>
      </c>
    </row>
    <row r="6" customHeight="1" spans="1:31">
      <c r="A6" s="47">
        <f>IFERROR(__xludf.DUMMYFUNCTION("""COMPUTED_VALUE"""),45744.6458333333)</f>
        <v>45744.6458333333</v>
      </c>
      <c r="B6" s="48">
        <f>IFERROR(__xludf.DUMMYFUNCTION("""COMPUTED_VALUE"""),11522.15)</f>
        <v>11522.15</v>
      </c>
      <c r="C6" s="47">
        <f>IFERROR(__xludf.DUMMYFUNCTION("""COMPUTED_VALUE"""),45744.6458333333)</f>
        <v>45744.6458333333</v>
      </c>
      <c r="D6" s="48">
        <f>IFERROR(__xludf.DUMMYFUNCTION("""COMPUTED_VALUE"""),11699.05)</f>
        <v>11699.05</v>
      </c>
      <c r="E6" s="47">
        <f>IFERROR(__xludf.DUMMYFUNCTION("""COMPUTED_VALUE"""),45744.6458333333)</f>
        <v>45744.6458333333</v>
      </c>
      <c r="F6" s="48">
        <f>IFERROR(__xludf.DUMMYFUNCTION("""COMPUTED_VALUE"""),541795)</f>
        <v>541795</v>
      </c>
      <c r="G6" s="47">
        <f>IFERROR(__xludf.DUMMYFUNCTION("""COMPUTED_VALUE"""),45744.6458333333)</f>
        <v>45744.6458333333</v>
      </c>
      <c r="H6" s="48">
        <f>IFERROR(__xludf.DUMMYFUNCTION("""COMPUTED_VALUE"""),11745.95)</f>
        <v>11745.95</v>
      </c>
      <c r="I6" s="47">
        <f>IFERROR(__xludf.DUMMYFUNCTION("""COMPUTED_VALUE"""),45744.6458333333)</f>
        <v>45744.6458333333</v>
      </c>
      <c r="J6" s="48">
        <f>IFERROR(__xludf.DUMMYFUNCTION("""COMPUTED_VALUE"""),11400.1)</f>
        <v>11400.1</v>
      </c>
      <c r="AB6" s="48">
        <f>IF(COUNTIF(Mastersheet!E:E,L3)&gt;0,1,0)</f>
        <v>0</v>
      </c>
      <c r="AC6" s="48">
        <f>IF(AND(H3&gt;Mastersheet!L3*Mastersheet!F3,X5),1,0)</f>
        <v>0</v>
      </c>
      <c r="AD6" s="76">
        <f>IF(H3&lt;Mastersheet!M3*Mastersheet!F3,1,0)</f>
        <v>0</v>
      </c>
      <c r="AE6" s="48">
        <f>IF(OR(AC6*AB6=1,AD6*AB6=1),1,0)</f>
        <v>0</v>
      </c>
    </row>
    <row r="7" customHeight="1" spans="1:10">
      <c r="A7" s="47">
        <f>IFERROR(__xludf.DUMMYFUNCTION("""COMPUTED_VALUE"""),45748.6458333333)</f>
        <v>45748.6458333333</v>
      </c>
      <c r="B7" s="48">
        <f>IFERROR(__xludf.DUMMYFUNCTION("""COMPUTED_VALUE"""),11481.1)</f>
        <v>11481.1</v>
      </c>
      <c r="C7" s="47">
        <f>IFERROR(__xludf.DUMMYFUNCTION("""COMPUTED_VALUE"""),45748.6458333333)</f>
        <v>45748.6458333333</v>
      </c>
      <c r="D7" s="48">
        <f>IFERROR(__xludf.DUMMYFUNCTION("""COMPUTED_VALUE"""),11480)</f>
        <v>11480</v>
      </c>
      <c r="E7" s="47">
        <f>IFERROR(__xludf.DUMMYFUNCTION("""COMPUTED_VALUE"""),45748.6458333333)</f>
        <v>45748.6458333333</v>
      </c>
      <c r="F7" s="48">
        <f>IFERROR(__xludf.DUMMYFUNCTION("""COMPUTED_VALUE"""),498244)</f>
        <v>498244</v>
      </c>
      <c r="G7" s="47">
        <f>IFERROR(__xludf.DUMMYFUNCTION("""COMPUTED_VALUE"""),45748.6458333333)</f>
        <v>45748.6458333333</v>
      </c>
      <c r="H7" s="48">
        <f>IFERROR(__xludf.DUMMYFUNCTION("""COMPUTED_VALUE"""),11545.8)</f>
        <v>11545.8</v>
      </c>
      <c r="I7" s="47">
        <f>IFERROR(__xludf.DUMMYFUNCTION("""COMPUTED_VALUE"""),45748.6458333333)</f>
        <v>45748.6458333333</v>
      </c>
      <c r="J7" s="48">
        <f>IFERROR(__xludf.DUMMYFUNCTION("""COMPUTED_VALUE"""),11290)</f>
        <v>11290</v>
      </c>
    </row>
    <row r="8" customHeight="1" spans="1:10">
      <c r="A8" s="47">
        <f>IFERROR(__xludf.DUMMYFUNCTION("""COMPUTED_VALUE"""),45749.6458333333)</f>
        <v>45749.6458333333</v>
      </c>
      <c r="B8" s="48">
        <f>IFERROR(__xludf.DUMMYFUNCTION("""COMPUTED_VALUE"""),11716.1)</f>
        <v>11716.1</v>
      </c>
      <c r="C8" s="47">
        <f>IFERROR(__xludf.DUMMYFUNCTION("""COMPUTED_VALUE"""),45749.6458333333)</f>
        <v>45749.6458333333</v>
      </c>
      <c r="D8" s="48">
        <f>IFERROR(__xludf.DUMMYFUNCTION("""COMPUTED_VALUE"""),11481.1)</f>
        <v>11481.1</v>
      </c>
      <c r="E8" s="47">
        <f>IFERROR(__xludf.DUMMYFUNCTION("""COMPUTED_VALUE"""),45749.6458333333)</f>
        <v>45749.6458333333</v>
      </c>
      <c r="F8" s="48">
        <f>IFERROR(__xludf.DUMMYFUNCTION("""COMPUTED_VALUE"""),452994)</f>
        <v>452994</v>
      </c>
      <c r="G8" s="47">
        <f>IFERROR(__xludf.DUMMYFUNCTION("""COMPUTED_VALUE"""),45749.6458333333)</f>
        <v>45749.6458333333</v>
      </c>
      <c r="H8" s="48">
        <f>IFERROR(__xludf.DUMMYFUNCTION("""COMPUTED_VALUE"""),11732)</f>
        <v>11732</v>
      </c>
      <c r="I8" s="47">
        <f>IFERROR(__xludf.DUMMYFUNCTION("""COMPUTED_VALUE"""),45749.6458333333)</f>
        <v>45749.6458333333</v>
      </c>
      <c r="J8" s="48">
        <f>IFERROR(__xludf.DUMMYFUNCTION("""COMPUTED_VALUE"""),11410.05)</f>
        <v>11410.05</v>
      </c>
    </row>
    <row r="9" customHeight="1" spans="1:10">
      <c r="A9" s="47">
        <f>IFERROR(__xludf.DUMMYFUNCTION("""COMPUTED_VALUE"""),45750.6458333333)</f>
        <v>45750.6458333333</v>
      </c>
      <c r="B9" s="48">
        <f>IFERROR(__xludf.DUMMYFUNCTION("""COMPUTED_VALUE"""),11688.1)</f>
        <v>11688.1</v>
      </c>
      <c r="C9" s="47">
        <f>IFERROR(__xludf.DUMMYFUNCTION("""COMPUTED_VALUE"""),45750.6458333333)</f>
        <v>45750.6458333333</v>
      </c>
      <c r="D9" s="48">
        <f>IFERROR(__xludf.DUMMYFUNCTION("""COMPUTED_VALUE"""),11630.5)</f>
        <v>11630.5</v>
      </c>
      <c r="E9" s="47">
        <f>IFERROR(__xludf.DUMMYFUNCTION("""COMPUTED_VALUE"""),45750.6458333333)</f>
        <v>45750.6458333333</v>
      </c>
      <c r="F9" s="48">
        <f>IFERROR(__xludf.DUMMYFUNCTION("""COMPUTED_VALUE"""),326624)</f>
        <v>326624</v>
      </c>
      <c r="G9" s="47">
        <f>IFERROR(__xludf.DUMMYFUNCTION("""COMPUTED_VALUE"""),45750.6458333333)</f>
        <v>45750.6458333333</v>
      </c>
      <c r="H9" s="48">
        <f>IFERROR(__xludf.DUMMYFUNCTION("""COMPUTED_VALUE"""),11802.95)</f>
        <v>11802.95</v>
      </c>
      <c r="I9" s="47">
        <f>IFERROR(__xludf.DUMMYFUNCTION("""COMPUTED_VALUE"""),45750.6458333333)</f>
        <v>45750.6458333333</v>
      </c>
      <c r="J9" s="48">
        <f>IFERROR(__xludf.DUMMYFUNCTION("""COMPUTED_VALUE"""),11611.05)</f>
        <v>11611.05</v>
      </c>
    </row>
    <row r="10" customHeight="1" spans="1:10">
      <c r="A10" s="47">
        <f>IFERROR(__xludf.DUMMYFUNCTION("""COMPUTED_VALUE"""),45751.6458333333)</f>
        <v>45751.6458333333</v>
      </c>
      <c r="B10" s="48">
        <f>IFERROR(__xludf.DUMMYFUNCTION("""COMPUTED_VALUE"""),11482)</f>
        <v>11482</v>
      </c>
      <c r="C10" s="47">
        <f>IFERROR(__xludf.DUMMYFUNCTION("""COMPUTED_VALUE"""),45751.6458333333)</f>
        <v>45751.6458333333</v>
      </c>
      <c r="D10" s="48">
        <f>IFERROR(__xludf.DUMMYFUNCTION("""COMPUTED_VALUE"""),11600)</f>
        <v>11600</v>
      </c>
      <c r="E10" s="47">
        <f>IFERROR(__xludf.DUMMYFUNCTION("""COMPUTED_VALUE"""),45751.6458333333)</f>
        <v>45751.6458333333</v>
      </c>
      <c r="F10" s="48">
        <f>IFERROR(__xludf.DUMMYFUNCTION("""COMPUTED_VALUE"""),355785)</f>
        <v>355785</v>
      </c>
      <c r="G10" s="47">
        <f>IFERROR(__xludf.DUMMYFUNCTION("""COMPUTED_VALUE"""),45751.6458333333)</f>
        <v>45751.6458333333</v>
      </c>
      <c r="H10" s="48">
        <f>IFERROR(__xludf.DUMMYFUNCTION("""COMPUTED_VALUE"""),11630)</f>
        <v>11630</v>
      </c>
      <c r="I10" s="47">
        <f>IFERROR(__xludf.DUMMYFUNCTION("""COMPUTED_VALUE"""),45751.6458333333)</f>
        <v>45751.6458333333</v>
      </c>
      <c r="J10" s="48">
        <f>IFERROR(__xludf.DUMMYFUNCTION("""COMPUTED_VALUE"""),11330)</f>
        <v>11330</v>
      </c>
    </row>
    <row r="11" customHeight="1" spans="1:12">
      <c r="A11" s="47">
        <f>IFERROR(__xludf.DUMMYFUNCTION("""COMPUTED_VALUE"""),45754.6458333333)</f>
        <v>45754.6458333333</v>
      </c>
      <c r="B11" s="48">
        <f>IFERROR(__xludf.DUMMYFUNCTION("""COMPUTED_VALUE"""),11329.75)</f>
        <v>11329.75</v>
      </c>
      <c r="C11" s="47">
        <f>IFERROR(__xludf.DUMMYFUNCTION("""COMPUTED_VALUE"""),45754.6458333333)</f>
        <v>45754.6458333333</v>
      </c>
      <c r="D11" s="48">
        <f>IFERROR(__xludf.DUMMYFUNCTION("""COMPUTED_VALUE"""),11105.6)</f>
        <v>11105.6</v>
      </c>
      <c r="E11" s="47">
        <f>IFERROR(__xludf.DUMMYFUNCTION("""COMPUTED_VALUE"""),45754.6458333333)</f>
        <v>45754.6458333333</v>
      </c>
      <c r="F11" s="48">
        <f>IFERROR(__xludf.DUMMYFUNCTION("""COMPUTED_VALUE"""),602353)</f>
        <v>602353</v>
      </c>
      <c r="G11" s="47">
        <f>IFERROR(__xludf.DUMMYFUNCTION("""COMPUTED_VALUE"""),45754.6458333333)</f>
        <v>45754.6458333333</v>
      </c>
      <c r="H11" s="48">
        <f>IFERROR(__xludf.DUMMYFUNCTION("""COMPUTED_VALUE"""),11358.5)</f>
        <v>11358.5</v>
      </c>
      <c r="I11" s="47">
        <f>IFERROR(__xludf.DUMMYFUNCTION("""COMPUTED_VALUE"""),45754.6458333333)</f>
        <v>45754.6458333333</v>
      </c>
      <c r="J11" s="48">
        <f>IFERROR(__xludf.DUMMYFUNCTION("""COMPUTED_VALUE"""),11059.45)</f>
        <v>11059.45</v>
      </c>
      <c r="K11" s="3">
        <f t="shared" ref="K11:K125" si="2">IF(B11=MAX(B5:B17),B11,0)</f>
        <v>0</v>
      </c>
      <c r="L11" s="3">
        <f t="shared" ref="L11:L125" si="3">IF(B11=MIN(B5:B17),B11,0)</f>
        <v>11329.75</v>
      </c>
    </row>
    <row r="12" customHeight="1" spans="1:12">
      <c r="A12" s="47">
        <f>IFERROR(__xludf.DUMMYFUNCTION("""COMPUTED_VALUE"""),45755.6458333333)</f>
        <v>45755.6458333333</v>
      </c>
      <c r="B12" s="48">
        <f>IFERROR(__xludf.DUMMYFUNCTION("""COMPUTED_VALUE"""),11458.9)</f>
        <v>11458.9</v>
      </c>
      <c r="C12" s="47">
        <f>IFERROR(__xludf.DUMMYFUNCTION("""COMPUTED_VALUE"""),45755.6458333333)</f>
        <v>45755.6458333333</v>
      </c>
      <c r="D12" s="48">
        <f>IFERROR(__xludf.DUMMYFUNCTION("""COMPUTED_VALUE"""),11530)</f>
        <v>11530</v>
      </c>
      <c r="E12" s="47">
        <f>IFERROR(__xludf.DUMMYFUNCTION("""COMPUTED_VALUE"""),45755.6458333333)</f>
        <v>45755.6458333333</v>
      </c>
      <c r="F12" s="48">
        <f>IFERROR(__xludf.DUMMYFUNCTION("""COMPUTED_VALUE"""),629968)</f>
        <v>629968</v>
      </c>
      <c r="G12" s="47">
        <f>IFERROR(__xludf.DUMMYFUNCTION("""COMPUTED_VALUE"""),45755.6458333333)</f>
        <v>45755.6458333333</v>
      </c>
      <c r="H12" s="48">
        <f>IFERROR(__xludf.DUMMYFUNCTION("""COMPUTED_VALUE"""),11550.35)</f>
        <v>11550.35</v>
      </c>
      <c r="I12" s="47">
        <f>IFERROR(__xludf.DUMMYFUNCTION("""COMPUTED_VALUE"""),45755.6458333333)</f>
        <v>45755.6458333333</v>
      </c>
      <c r="J12" s="48">
        <f>IFERROR(__xludf.DUMMYFUNCTION("""COMPUTED_VALUE"""),11290.05)</f>
        <v>11290.05</v>
      </c>
      <c r="K12" s="3">
        <f t="shared" si="2"/>
        <v>0</v>
      </c>
      <c r="L12" s="3">
        <f t="shared" si="3"/>
        <v>0</v>
      </c>
    </row>
    <row r="13" customHeight="1" spans="1:12">
      <c r="A13" s="47">
        <f>IFERROR(__xludf.DUMMYFUNCTION("""COMPUTED_VALUE"""),45756.6458333333)</f>
        <v>45756.6458333333</v>
      </c>
      <c r="B13" s="48">
        <f>IFERROR(__xludf.DUMMYFUNCTION("""COMPUTED_VALUE"""),11457.4)</f>
        <v>11457.4</v>
      </c>
      <c r="C13" s="47">
        <f>IFERROR(__xludf.DUMMYFUNCTION("""COMPUTED_VALUE"""),45756.6458333333)</f>
        <v>45756.6458333333</v>
      </c>
      <c r="D13" s="48">
        <f>IFERROR(__xludf.DUMMYFUNCTION("""COMPUTED_VALUE"""),11460.1)</f>
        <v>11460.1</v>
      </c>
      <c r="E13" s="47">
        <f>IFERROR(__xludf.DUMMYFUNCTION("""COMPUTED_VALUE"""),45756.6458333333)</f>
        <v>45756.6458333333</v>
      </c>
      <c r="F13" s="48">
        <f>IFERROR(__xludf.DUMMYFUNCTION("""COMPUTED_VALUE"""),255114)</f>
        <v>255114</v>
      </c>
      <c r="G13" s="47">
        <f>IFERROR(__xludf.DUMMYFUNCTION("""COMPUTED_VALUE"""),45756.6458333333)</f>
        <v>45756.6458333333</v>
      </c>
      <c r="H13" s="48">
        <f>IFERROR(__xludf.DUMMYFUNCTION("""COMPUTED_VALUE"""),11538.7)</f>
        <v>11538.7</v>
      </c>
      <c r="I13" s="47">
        <f>IFERROR(__xludf.DUMMYFUNCTION("""COMPUTED_VALUE"""),45756.6458333333)</f>
        <v>45756.6458333333</v>
      </c>
      <c r="J13" s="48">
        <f>IFERROR(__xludf.DUMMYFUNCTION("""COMPUTED_VALUE"""),11425)</f>
        <v>11425</v>
      </c>
      <c r="K13" s="3">
        <f t="shared" si="2"/>
        <v>0</v>
      </c>
      <c r="L13" s="3">
        <f t="shared" si="3"/>
        <v>0</v>
      </c>
    </row>
    <row r="14" customHeight="1" spans="1:12">
      <c r="A14" s="47">
        <f>IFERROR(__xludf.DUMMYFUNCTION("""COMPUTED_VALUE"""),45758.6458333333)</f>
        <v>45758.6458333333</v>
      </c>
      <c r="B14" s="48">
        <f>IFERROR(__xludf.DUMMYFUNCTION("""COMPUTED_VALUE"""),11599.05)</f>
        <v>11599.05</v>
      </c>
      <c r="C14" s="47">
        <f>IFERROR(__xludf.DUMMYFUNCTION("""COMPUTED_VALUE"""),45758.6458333333)</f>
        <v>45758.6458333333</v>
      </c>
      <c r="D14" s="48">
        <f>IFERROR(__xludf.DUMMYFUNCTION("""COMPUTED_VALUE"""),11480.35)</f>
        <v>11480.35</v>
      </c>
      <c r="E14" s="47">
        <f>IFERROR(__xludf.DUMMYFUNCTION("""COMPUTED_VALUE"""),45758.6458333333)</f>
        <v>45758.6458333333</v>
      </c>
      <c r="F14" s="48">
        <f>IFERROR(__xludf.DUMMYFUNCTION("""COMPUTED_VALUE"""),231420)</f>
        <v>231420</v>
      </c>
      <c r="G14" s="47">
        <f>IFERROR(__xludf.DUMMYFUNCTION("""COMPUTED_VALUE"""),45758.6458333333)</f>
        <v>45758.6458333333</v>
      </c>
      <c r="H14" s="48">
        <f>IFERROR(__xludf.DUMMYFUNCTION("""COMPUTED_VALUE"""),11678.75)</f>
        <v>11678.75</v>
      </c>
      <c r="I14" s="47">
        <f>IFERROR(__xludf.DUMMYFUNCTION("""COMPUTED_VALUE"""),45758.6458333333)</f>
        <v>45758.6458333333</v>
      </c>
      <c r="J14" s="48">
        <f>IFERROR(__xludf.DUMMYFUNCTION("""COMPUTED_VALUE"""),11480)</f>
        <v>11480</v>
      </c>
      <c r="K14" s="3">
        <f t="shared" si="2"/>
        <v>0</v>
      </c>
      <c r="L14" s="3">
        <f t="shared" si="3"/>
        <v>0</v>
      </c>
    </row>
    <row r="15" customHeight="1" spans="1:12">
      <c r="A15" s="47">
        <f>IFERROR(__xludf.DUMMYFUNCTION("""COMPUTED_VALUE"""),45762.6458333333)</f>
        <v>45762.6458333333</v>
      </c>
      <c r="B15" s="48">
        <f>IFERROR(__xludf.DUMMYFUNCTION("""COMPUTED_VALUE"""),11855)</f>
        <v>11855</v>
      </c>
      <c r="C15" s="47">
        <f>IFERROR(__xludf.DUMMYFUNCTION("""COMPUTED_VALUE"""),45762.6458333333)</f>
        <v>45762.6458333333</v>
      </c>
      <c r="D15" s="48">
        <f>IFERROR(__xludf.DUMMYFUNCTION("""COMPUTED_VALUE"""),11790)</f>
        <v>11790</v>
      </c>
      <c r="E15" s="47">
        <f>IFERROR(__xludf.DUMMYFUNCTION("""COMPUTED_VALUE"""),45762.6458333333)</f>
        <v>45762.6458333333</v>
      </c>
      <c r="F15" s="48">
        <f>IFERROR(__xludf.DUMMYFUNCTION("""COMPUTED_VALUE"""),458593)</f>
        <v>458593</v>
      </c>
      <c r="G15" s="47">
        <f>IFERROR(__xludf.DUMMYFUNCTION("""COMPUTED_VALUE"""),45762.6458333333)</f>
        <v>45762.6458333333</v>
      </c>
      <c r="H15" s="48">
        <f>IFERROR(__xludf.DUMMYFUNCTION("""COMPUTED_VALUE"""),11940)</f>
        <v>11940</v>
      </c>
      <c r="I15" s="47">
        <f>IFERROR(__xludf.DUMMYFUNCTION("""COMPUTED_VALUE"""),45762.6458333333)</f>
        <v>45762.6458333333</v>
      </c>
      <c r="J15" s="48">
        <f>IFERROR(__xludf.DUMMYFUNCTION("""COMPUTED_VALUE"""),11680)</f>
        <v>11680</v>
      </c>
      <c r="K15" s="3">
        <f t="shared" si="2"/>
        <v>0</v>
      </c>
      <c r="L15" s="3">
        <f t="shared" si="3"/>
        <v>0</v>
      </c>
    </row>
    <row r="16" customHeight="1" spans="1:12">
      <c r="A16" s="47">
        <f>IFERROR(__xludf.DUMMYFUNCTION("""COMPUTED_VALUE"""),45763.6458333333)</f>
        <v>45763.6458333333</v>
      </c>
      <c r="B16" s="48">
        <f>IFERROR(__xludf.DUMMYFUNCTION("""COMPUTED_VALUE"""),11664)</f>
        <v>11664</v>
      </c>
      <c r="C16" s="47">
        <f>IFERROR(__xludf.DUMMYFUNCTION("""COMPUTED_VALUE"""),45763.6458333333)</f>
        <v>45763.6458333333</v>
      </c>
      <c r="D16" s="48">
        <f>IFERROR(__xludf.DUMMYFUNCTION("""COMPUTED_VALUE"""),11768)</f>
        <v>11768</v>
      </c>
      <c r="E16" s="47">
        <f>IFERROR(__xludf.DUMMYFUNCTION("""COMPUTED_VALUE"""),45763.6458333333)</f>
        <v>45763.6458333333</v>
      </c>
      <c r="F16" s="48">
        <f>IFERROR(__xludf.DUMMYFUNCTION("""COMPUTED_VALUE"""),470494)</f>
        <v>470494</v>
      </c>
      <c r="G16" s="47">
        <f>IFERROR(__xludf.DUMMYFUNCTION("""COMPUTED_VALUE"""),45763.6458333333)</f>
        <v>45763.6458333333</v>
      </c>
      <c r="H16" s="48">
        <f>IFERROR(__xludf.DUMMYFUNCTION("""COMPUTED_VALUE"""),11768)</f>
        <v>11768</v>
      </c>
      <c r="I16" s="47">
        <f>IFERROR(__xludf.DUMMYFUNCTION("""COMPUTED_VALUE"""),45763.6458333333)</f>
        <v>45763.6458333333</v>
      </c>
      <c r="J16" s="48">
        <f>IFERROR(__xludf.DUMMYFUNCTION("""COMPUTED_VALUE"""),11615)</f>
        <v>11615</v>
      </c>
      <c r="K16" s="3">
        <f t="shared" si="2"/>
        <v>0</v>
      </c>
      <c r="L16" s="3">
        <f t="shared" si="3"/>
        <v>0</v>
      </c>
    </row>
    <row r="17" customHeight="1" spans="1:12">
      <c r="A17" s="47">
        <f>IFERROR(__xludf.DUMMYFUNCTION("""COMPUTED_VALUE"""),45764.6458333333)</f>
        <v>45764.6458333333</v>
      </c>
      <c r="B17" s="48">
        <f>IFERROR(__xludf.DUMMYFUNCTION("""COMPUTED_VALUE"""),11695)</f>
        <v>11695</v>
      </c>
      <c r="C17" s="47">
        <f>IFERROR(__xludf.DUMMYFUNCTION("""COMPUTED_VALUE"""),45764.6458333333)</f>
        <v>45764.6458333333</v>
      </c>
      <c r="D17" s="48">
        <f>IFERROR(__xludf.DUMMYFUNCTION("""COMPUTED_VALUE"""),11664)</f>
        <v>11664</v>
      </c>
      <c r="E17" s="47">
        <f>IFERROR(__xludf.DUMMYFUNCTION("""COMPUTED_VALUE"""),45764.6458333333)</f>
        <v>45764.6458333333</v>
      </c>
      <c r="F17" s="48">
        <f>IFERROR(__xludf.DUMMYFUNCTION("""COMPUTED_VALUE"""),302146)</f>
        <v>302146</v>
      </c>
      <c r="G17" s="47">
        <f>IFERROR(__xludf.DUMMYFUNCTION("""COMPUTED_VALUE"""),45764.6458333333)</f>
        <v>45764.6458333333</v>
      </c>
      <c r="H17" s="48">
        <f>IFERROR(__xludf.DUMMYFUNCTION("""COMPUTED_VALUE"""),11728)</f>
        <v>11728</v>
      </c>
      <c r="I17" s="47">
        <f>IFERROR(__xludf.DUMMYFUNCTION("""COMPUTED_VALUE"""),45764.6458333333)</f>
        <v>45764.6458333333</v>
      </c>
      <c r="J17" s="48">
        <f>IFERROR(__xludf.DUMMYFUNCTION("""COMPUTED_VALUE"""),11525)</f>
        <v>11525</v>
      </c>
      <c r="K17" s="3">
        <f t="shared" si="2"/>
        <v>0</v>
      </c>
      <c r="L17" s="3">
        <f t="shared" si="3"/>
        <v>0</v>
      </c>
    </row>
    <row r="18" customHeight="1" spans="1:12">
      <c r="A18" s="47">
        <f>IFERROR(__xludf.DUMMYFUNCTION("""COMPUTED_VALUE"""),45768.6458333333)</f>
        <v>45768.6458333333</v>
      </c>
      <c r="B18" s="48">
        <f>IFERROR(__xludf.DUMMYFUNCTION("""COMPUTED_VALUE"""),11745)</f>
        <v>11745</v>
      </c>
      <c r="C18" s="47">
        <f>IFERROR(__xludf.DUMMYFUNCTION("""COMPUTED_VALUE"""),45768.6458333333)</f>
        <v>45768.6458333333</v>
      </c>
      <c r="D18" s="48">
        <f>IFERROR(__xludf.DUMMYFUNCTION("""COMPUTED_VALUE"""),11695)</f>
        <v>11695</v>
      </c>
      <c r="E18" s="47">
        <f>IFERROR(__xludf.DUMMYFUNCTION("""COMPUTED_VALUE"""),45768.6458333333)</f>
        <v>45768.6458333333</v>
      </c>
      <c r="F18" s="48">
        <f>IFERROR(__xludf.DUMMYFUNCTION("""COMPUTED_VALUE"""),318493)</f>
        <v>318493</v>
      </c>
      <c r="G18" s="47">
        <f>IFERROR(__xludf.DUMMYFUNCTION("""COMPUTED_VALUE"""),45768.6458333333)</f>
        <v>45768.6458333333</v>
      </c>
      <c r="H18" s="48">
        <f>IFERROR(__xludf.DUMMYFUNCTION("""COMPUTED_VALUE"""),11769)</f>
        <v>11769</v>
      </c>
      <c r="I18" s="47">
        <f>IFERROR(__xludf.DUMMYFUNCTION("""COMPUTED_VALUE"""),45768.6458333333)</f>
        <v>45768.6458333333</v>
      </c>
      <c r="J18" s="48">
        <f>IFERROR(__xludf.DUMMYFUNCTION("""COMPUTED_VALUE"""),11588)</f>
        <v>11588</v>
      </c>
      <c r="K18" s="3">
        <f t="shared" si="2"/>
        <v>0</v>
      </c>
      <c r="L18" s="3">
        <f t="shared" si="3"/>
        <v>0</v>
      </c>
    </row>
    <row r="19" customHeight="1" spans="1:12">
      <c r="A19" s="47">
        <f>IFERROR(__xludf.DUMMYFUNCTION("""COMPUTED_VALUE"""),45769.6458333333)</f>
        <v>45769.6458333333</v>
      </c>
      <c r="B19" s="48">
        <f>IFERROR(__xludf.DUMMYFUNCTION("""COMPUTED_VALUE"""),11734)</f>
        <v>11734</v>
      </c>
      <c r="C19" s="47">
        <f>IFERROR(__xludf.DUMMYFUNCTION("""COMPUTED_VALUE"""),45769.6458333333)</f>
        <v>45769.6458333333</v>
      </c>
      <c r="D19" s="48">
        <f>IFERROR(__xludf.DUMMYFUNCTION("""COMPUTED_VALUE"""),11770)</f>
        <v>11770</v>
      </c>
      <c r="E19" s="47">
        <f>IFERROR(__xludf.DUMMYFUNCTION("""COMPUTED_VALUE"""),45769.6458333333)</f>
        <v>45769.6458333333</v>
      </c>
      <c r="F19" s="48">
        <f>IFERROR(__xludf.DUMMYFUNCTION("""COMPUTED_VALUE"""),516753)</f>
        <v>516753</v>
      </c>
      <c r="G19" s="47">
        <f>IFERROR(__xludf.DUMMYFUNCTION("""COMPUTED_VALUE"""),45769.6458333333)</f>
        <v>45769.6458333333</v>
      </c>
      <c r="H19" s="48">
        <f>IFERROR(__xludf.DUMMYFUNCTION("""COMPUTED_VALUE"""),11788)</f>
        <v>11788</v>
      </c>
      <c r="I19" s="47">
        <f>IFERROR(__xludf.DUMMYFUNCTION("""COMPUTED_VALUE"""),45769.6458333333)</f>
        <v>45769.6458333333</v>
      </c>
      <c r="J19" s="48">
        <f>IFERROR(__xludf.DUMMYFUNCTION("""COMPUTED_VALUE"""),11615)</f>
        <v>11615</v>
      </c>
      <c r="K19" s="3">
        <f t="shared" si="2"/>
        <v>0</v>
      </c>
      <c r="L19" s="3">
        <f t="shared" si="3"/>
        <v>0</v>
      </c>
    </row>
    <row r="20" customHeight="1" spans="1:12">
      <c r="A20" s="47">
        <f>IFERROR(__xludf.DUMMYFUNCTION("""COMPUTED_VALUE"""),45770.6458333333)</f>
        <v>45770.6458333333</v>
      </c>
      <c r="B20" s="48">
        <f>IFERROR(__xludf.DUMMYFUNCTION("""COMPUTED_VALUE"""),11907)</f>
        <v>11907</v>
      </c>
      <c r="C20" s="47">
        <f>IFERROR(__xludf.DUMMYFUNCTION("""COMPUTED_VALUE"""),45770.6458333333)</f>
        <v>45770.6458333333</v>
      </c>
      <c r="D20" s="48">
        <f>IFERROR(__xludf.DUMMYFUNCTION("""COMPUTED_VALUE"""),11799)</f>
        <v>11799</v>
      </c>
      <c r="E20" s="47">
        <f>IFERROR(__xludf.DUMMYFUNCTION("""COMPUTED_VALUE"""),45770.6458333333)</f>
        <v>45770.6458333333</v>
      </c>
      <c r="F20" s="48">
        <f>IFERROR(__xludf.DUMMYFUNCTION("""COMPUTED_VALUE"""),493839)</f>
        <v>493839</v>
      </c>
      <c r="G20" s="47">
        <f>IFERROR(__xludf.DUMMYFUNCTION("""COMPUTED_VALUE"""),45770.6458333333)</f>
        <v>45770.6458333333</v>
      </c>
      <c r="H20" s="48">
        <f>IFERROR(__xludf.DUMMYFUNCTION("""COMPUTED_VALUE"""),11971)</f>
        <v>11971</v>
      </c>
      <c r="I20" s="47">
        <f>IFERROR(__xludf.DUMMYFUNCTION("""COMPUTED_VALUE"""),45770.6458333333)</f>
        <v>45770.6458333333</v>
      </c>
      <c r="J20" s="48">
        <f>IFERROR(__xludf.DUMMYFUNCTION("""COMPUTED_VALUE"""),11729)</f>
        <v>11729</v>
      </c>
      <c r="K20" s="3">
        <f t="shared" si="2"/>
        <v>0</v>
      </c>
      <c r="L20" s="3">
        <f t="shared" si="3"/>
        <v>0</v>
      </c>
    </row>
    <row r="21" customHeight="1" spans="1:12">
      <c r="A21" s="47">
        <f>IFERROR(__xludf.DUMMYFUNCTION("""COMPUTED_VALUE"""),45771.6458333333)</f>
        <v>45771.6458333333</v>
      </c>
      <c r="B21" s="48">
        <f>IFERROR(__xludf.DUMMYFUNCTION("""COMPUTED_VALUE"""),11894)</f>
        <v>11894</v>
      </c>
      <c r="C21" s="47">
        <f>IFERROR(__xludf.DUMMYFUNCTION("""COMPUTED_VALUE"""),45771.6458333333)</f>
        <v>45771.6458333333</v>
      </c>
      <c r="D21" s="48">
        <f>IFERROR(__xludf.DUMMYFUNCTION("""COMPUTED_VALUE"""),11940)</f>
        <v>11940</v>
      </c>
      <c r="E21" s="47">
        <f>IFERROR(__xludf.DUMMYFUNCTION("""COMPUTED_VALUE"""),45771.6458333333)</f>
        <v>45771.6458333333</v>
      </c>
      <c r="F21" s="48">
        <f>IFERROR(__xludf.DUMMYFUNCTION("""COMPUTED_VALUE"""),387863)</f>
        <v>387863</v>
      </c>
      <c r="G21" s="47">
        <f>IFERROR(__xludf.DUMMYFUNCTION("""COMPUTED_VALUE"""),45771.6458333333)</f>
        <v>45771.6458333333</v>
      </c>
      <c r="H21" s="48">
        <f>IFERROR(__xludf.DUMMYFUNCTION("""COMPUTED_VALUE"""),12040)</f>
        <v>12040</v>
      </c>
      <c r="I21" s="47">
        <f>IFERROR(__xludf.DUMMYFUNCTION("""COMPUTED_VALUE"""),45771.6458333333)</f>
        <v>45771.6458333333</v>
      </c>
      <c r="J21" s="48">
        <f>IFERROR(__xludf.DUMMYFUNCTION("""COMPUTED_VALUE"""),11858)</f>
        <v>11858</v>
      </c>
      <c r="K21" s="3">
        <f t="shared" si="2"/>
        <v>0</v>
      </c>
      <c r="L21" s="3">
        <f t="shared" si="3"/>
        <v>0</v>
      </c>
    </row>
    <row r="22" customHeight="1" spans="1:12">
      <c r="A22" s="47">
        <f>IFERROR(__xludf.DUMMYFUNCTION("""COMPUTED_VALUE"""),45772.6458333333)</f>
        <v>45772.6458333333</v>
      </c>
      <c r="B22" s="48">
        <f>IFERROR(__xludf.DUMMYFUNCTION("""COMPUTED_VALUE"""),11698)</f>
        <v>11698</v>
      </c>
      <c r="C22" s="47">
        <f>IFERROR(__xludf.DUMMYFUNCTION("""COMPUTED_VALUE"""),45772.6458333333)</f>
        <v>45772.6458333333</v>
      </c>
      <c r="D22" s="48">
        <f>IFERROR(__xludf.DUMMYFUNCTION("""COMPUTED_VALUE"""),11902)</f>
        <v>11902</v>
      </c>
      <c r="E22" s="47">
        <f>IFERROR(__xludf.DUMMYFUNCTION("""COMPUTED_VALUE"""),45772.6458333333)</f>
        <v>45772.6458333333</v>
      </c>
      <c r="F22" s="48">
        <f>IFERROR(__xludf.DUMMYFUNCTION("""COMPUTED_VALUE"""),906266)</f>
        <v>906266</v>
      </c>
      <c r="G22" s="47">
        <f>IFERROR(__xludf.DUMMYFUNCTION("""COMPUTED_VALUE"""),45772.6458333333)</f>
        <v>45772.6458333333</v>
      </c>
      <c r="H22" s="48">
        <f>IFERROR(__xludf.DUMMYFUNCTION("""COMPUTED_VALUE"""),12046)</f>
        <v>12046</v>
      </c>
      <c r="I22" s="47">
        <f>IFERROR(__xludf.DUMMYFUNCTION("""COMPUTED_VALUE"""),45772.6458333333)</f>
        <v>45772.6458333333</v>
      </c>
      <c r="J22" s="48">
        <f>IFERROR(__xludf.DUMMYFUNCTION("""COMPUTED_VALUE"""),11598)</f>
        <v>11598</v>
      </c>
      <c r="K22" s="3">
        <f t="shared" si="2"/>
        <v>0</v>
      </c>
      <c r="L22" s="3">
        <f t="shared" si="3"/>
        <v>0</v>
      </c>
    </row>
    <row r="23" customHeight="1" spans="1:12">
      <c r="A23" s="47">
        <f>IFERROR(__xludf.DUMMYFUNCTION("""COMPUTED_VALUE"""),45775.6458333333)</f>
        <v>45775.6458333333</v>
      </c>
      <c r="B23" s="48">
        <f>IFERROR(__xludf.DUMMYFUNCTION("""COMPUTED_VALUE"""),11846)</f>
        <v>11846</v>
      </c>
      <c r="C23" s="47">
        <f>IFERROR(__xludf.DUMMYFUNCTION("""COMPUTED_VALUE"""),45775.6458333333)</f>
        <v>45775.6458333333</v>
      </c>
      <c r="D23" s="48">
        <f>IFERROR(__xludf.DUMMYFUNCTION("""COMPUTED_VALUE"""),11428)</f>
        <v>11428</v>
      </c>
      <c r="E23" s="47">
        <f>IFERROR(__xludf.DUMMYFUNCTION("""COMPUTED_VALUE"""),45775.6458333333)</f>
        <v>45775.6458333333</v>
      </c>
      <c r="F23" s="48">
        <f>IFERROR(__xludf.DUMMYFUNCTION("""COMPUTED_VALUE"""),457303)</f>
        <v>457303</v>
      </c>
      <c r="G23" s="47">
        <f>IFERROR(__xludf.DUMMYFUNCTION("""COMPUTED_VALUE"""),45775.6458333333)</f>
        <v>45775.6458333333</v>
      </c>
      <c r="H23" s="48">
        <f>IFERROR(__xludf.DUMMYFUNCTION("""COMPUTED_VALUE"""),11896)</f>
        <v>11896</v>
      </c>
      <c r="I23" s="47">
        <f>IFERROR(__xludf.DUMMYFUNCTION("""COMPUTED_VALUE"""),45775.6458333333)</f>
        <v>45775.6458333333</v>
      </c>
      <c r="J23" s="48">
        <f>IFERROR(__xludf.DUMMYFUNCTION("""COMPUTED_VALUE"""),11289)</f>
        <v>11289</v>
      </c>
      <c r="K23" s="3">
        <f t="shared" si="2"/>
        <v>0</v>
      </c>
      <c r="L23" s="3">
        <f t="shared" si="3"/>
        <v>0</v>
      </c>
    </row>
    <row r="24" customHeight="1" spans="1:12">
      <c r="A24" s="47">
        <f>IFERROR(__xludf.DUMMYFUNCTION("""COMPUTED_VALUE"""),45776.6458333333)</f>
        <v>45776.6458333333</v>
      </c>
      <c r="B24" s="48">
        <f>IFERROR(__xludf.DUMMYFUNCTION("""COMPUTED_VALUE"""),11841)</f>
        <v>11841</v>
      </c>
      <c r="C24" s="47">
        <f>IFERROR(__xludf.DUMMYFUNCTION("""COMPUTED_VALUE"""),45776.6458333333)</f>
        <v>45776.6458333333</v>
      </c>
      <c r="D24" s="48">
        <f>IFERROR(__xludf.DUMMYFUNCTION("""COMPUTED_VALUE"""),11812)</f>
        <v>11812</v>
      </c>
      <c r="E24" s="47">
        <f>IFERROR(__xludf.DUMMYFUNCTION("""COMPUTED_VALUE"""),45776.6458333333)</f>
        <v>45776.6458333333</v>
      </c>
      <c r="F24" s="48">
        <f>IFERROR(__xludf.DUMMYFUNCTION("""COMPUTED_VALUE"""),455596)</f>
        <v>455596</v>
      </c>
      <c r="G24" s="47">
        <f>IFERROR(__xludf.DUMMYFUNCTION("""COMPUTED_VALUE"""),45776.6458333333)</f>
        <v>45776.6458333333</v>
      </c>
      <c r="H24" s="48">
        <f>IFERROR(__xludf.DUMMYFUNCTION("""COMPUTED_VALUE"""),11940)</f>
        <v>11940</v>
      </c>
      <c r="I24" s="47">
        <f>IFERROR(__xludf.DUMMYFUNCTION("""COMPUTED_VALUE"""),45776.6458333333)</f>
        <v>45776.6458333333</v>
      </c>
      <c r="J24" s="48">
        <f>IFERROR(__xludf.DUMMYFUNCTION("""COMPUTED_VALUE"""),11741)</f>
        <v>11741</v>
      </c>
      <c r="K24" s="3">
        <f t="shared" si="2"/>
        <v>0</v>
      </c>
      <c r="L24" s="3">
        <f t="shared" si="3"/>
        <v>0</v>
      </c>
    </row>
    <row r="25" customHeight="1" spans="1:12">
      <c r="A25" s="47">
        <f>IFERROR(__xludf.DUMMYFUNCTION("""COMPUTED_VALUE"""),45777.6458333333)</f>
        <v>45777.6458333333</v>
      </c>
      <c r="B25" s="48">
        <f>IFERROR(__xludf.DUMMYFUNCTION("""COMPUTED_VALUE"""),12257)</f>
        <v>12257</v>
      </c>
      <c r="C25" s="47">
        <f>IFERROR(__xludf.DUMMYFUNCTION("""COMPUTED_VALUE"""),45777.6458333333)</f>
        <v>45777.6458333333</v>
      </c>
      <c r="D25" s="48">
        <f>IFERROR(__xludf.DUMMYFUNCTION("""COMPUTED_VALUE"""),11825)</f>
        <v>11825</v>
      </c>
      <c r="E25" s="47">
        <f>IFERROR(__xludf.DUMMYFUNCTION("""COMPUTED_VALUE"""),45777.6458333333)</f>
        <v>45777.6458333333</v>
      </c>
      <c r="F25" s="48">
        <f>IFERROR(__xludf.DUMMYFUNCTION("""COMPUTED_VALUE"""),967250)</f>
        <v>967250</v>
      </c>
      <c r="G25" s="47">
        <f>IFERROR(__xludf.DUMMYFUNCTION("""COMPUTED_VALUE"""),45777.6458333333)</f>
        <v>45777.6458333333</v>
      </c>
      <c r="H25" s="48">
        <f>IFERROR(__xludf.DUMMYFUNCTION("""COMPUTED_VALUE"""),12325)</f>
        <v>12325</v>
      </c>
      <c r="I25" s="47">
        <f>IFERROR(__xludf.DUMMYFUNCTION("""COMPUTED_VALUE"""),45777.6458333333)</f>
        <v>45777.6458333333</v>
      </c>
      <c r="J25" s="48">
        <f>IFERROR(__xludf.DUMMYFUNCTION("""COMPUTED_VALUE"""),11800)</f>
        <v>11800</v>
      </c>
      <c r="K25" s="3">
        <f t="shared" si="2"/>
        <v>0</v>
      </c>
      <c r="L25" s="3">
        <f t="shared" si="3"/>
        <v>0</v>
      </c>
    </row>
    <row r="26" customHeight="1" spans="1:12">
      <c r="A26" s="47">
        <f>IFERROR(__xludf.DUMMYFUNCTION("""COMPUTED_VALUE"""),45779.6458333333)</f>
        <v>45779.6458333333</v>
      </c>
      <c r="B26" s="48">
        <f>IFERROR(__xludf.DUMMYFUNCTION("""COMPUTED_VALUE"""),12406)</f>
        <v>12406</v>
      </c>
      <c r="C26" s="47">
        <f>IFERROR(__xludf.DUMMYFUNCTION("""COMPUTED_VALUE"""),45779.6458333333)</f>
        <v>45779.6458333333</v>
      </c>
      <c r="D26" s="48">
        <f>IFERROR(__xludf.DUMMYFUNCTION("""COMPUTED_VALUE"""),12257)</f>
        <v>12257</v>
      </c>
      <c r="E26" s="47">
        <f>IFERROR(__xludf.DUMMYFUNCTION("""COMPUTED_VALUE"""),45779.6458333333)</f>
        <v>45779.6458333333</v>
      </c>
      <c r="F26" s="48">
        <f>IFERROR(__xludf.DUMMYFUNCTION("""COMPUTED_VALUE"""),707908)</f>
        <v>707908</v>
      </c>
      <c r="G26" s="47">
        <f>IFERROR(__xludf.DUMMYFUNCTION("""COMPUTED_VALUE"""),45779.6458333333)</f>
        <v>45779.6458333333</v>
      </c>
      <c r="H26" s="48">
        <f>IFERROR(__xludf.DUMMYFUNCTION("""COMPUTED_VALUE"""),12727)</f>
        <v>12727</v>
      </c>
      <c r="I26" s="47">
        <f>IFERROR(__xludf.DUMMYFUNCTION("""COMPUTED_VALUE"""),45779.6458333333)</f>
        <v>45779.6458333333</v>
      </c>
      <c r="J26" s="48">
        <f>IFERROR(__xludf.DUMMYFUNCTION("""COMPUTED_VALUE"""),12250)</f>
        <v>12250</v>
      </c>
      <c r="K26" s="3">
        <f t="shared" si="2"/>
        <v>0</v>
      </c>
      <c r="L26" s="3">
        <f t="shared" si="3"/>
        <v>0</v>
      </c>
    </row>
    <row r="27" customHeight="1" spans="1:12">
      <c r="A27" s="47">
        <f>IFERROR(__xludf.DUMMYFUNCTION("""COMPUTED_VALUE"""),45782.6458333333)</f>
        <v>45782.6458333333</v>
      </c>
      <c r="B27" s="48">
        <f>IFERROR(__xludf.DUMMYFUNCTION("""COMPUTED_VALUE"""),12458)</f>
        <v>12458</v>
      </c>
      <c r="C27" s="47">
        <f>IFERROR(__xludf.DUMMYFUNCTION("""COMPUTED_VALUE"""),45782.6458333333)</f>
        <v>45782.6458333333</v>
      </c>
      <c r="D27" s="48">
        <f>IFERROR(__xludf.DUMMYFUNCTION("""COMPUTED_VALUE"""),12490)</f>
        <v>12490</v>
      </c>
      <c r="E27" s="47">
        <f>IFERROR(__xludf.DUMMYFUNCTION("""COMPUTED_VALUE"""),45782.6458333333)</f>
        <v>45782.6458333333</v>
      </c>
      <c r="F27" s="48">
        <f>IFERROR(__xludf.DUMMYFUNCTION("""COMPUTED_VALUE"""),270014)</f>
        <v>270014</v>
      </c>
      <c r="G27" s="47">
        <f>IFERROR(__xludf.DUMMYFUNCTION("""COMPUTED_VALUE"""),45782.6458333333)</f>
        <v>45782.6458333333</v>
      </c>
      <c r="H27" s="48">
        <f>IFERROR(__xludf.DUMMYFUNCTION("""COMPUTED_VALUE"""),12490)</f>
        <v>12490</v>
      </c>
      <c r="I27" s="47">
        <f>IFERROR(__xludf.DUMMYFUNCTION("""COMPUTED_VALUE"""),45782.6458333333)</f>
        <v>45782.6458333333</v>
      </c>
      <c r="J27" s="48">
        <f>IFERROR(__xludf.DUMMYFUNCTION("""COMPUTED_VALUE"""),12362)</f>
        <v>12362</v>
      </c>
      <c r="K27" s="3">
        <f t="shared" si="2"/>
        <v>0</v>
      </c>
      <c r="L27" s="3">
        <f t="shared" si="3"/>
        <v>0</v>
      </c>
    </row>
    <row r="28" customHeight="1" spans="1:12">
      <c r="A28" s="47">
        <f>IFERROR(__xludf.DUMMYFUNCTION("""COMPUTED_VALUE"""),45783.6458333333)</f>
        <v>45783.6458333333</v>
      </c>
      <c r="B28" s="48">
        <f>IFERROR(__xludf.DUMMYFUNCTION("""COMPUTED_VALUE"""),12581)</f>
        <v>12581</v>
      </c>
      <c r="C28" s="47">
        <f>IFERROR(__xludf.DUMMYFUNCTION("""COMPUTED_VALUE"""),45783.6458333333)</f>
        <v>45783.6458333333</v>
      </c>
      <c r="D28" s="48">
        <f>IFERROR(__xludf.DUMMYFUNCTION("""COMPUTED_VALUE"""),12438)</f>
        <v>12438</v>
      </c>
      <c r="E28" s="47">
        <f>IFERROR(__xludf.DUMMYFUNCTION("""COMPUTED_VALUE"""),45783.6458333333)</f>
        <v>45783.6458333333</v>
      </c>
      <c r="F28" s="48">
        <f>IFERROR(__xludf.DUMMYFUNCTION("""COMPUTED_VALUE"""),414921)</f>
        <v>414921</v>
      </c>
      <c r="G28" s="47">
        <f>IFERROR(__xludf.DUMMYFUNCTION("""COMPUTED_VALUE"""),45783.6458333333)</f>
        <v>45783.6458333333</v>
      </c>
      <c r="H28" s="48">
        <f>IFERROR(__xludf.DUMMYFUNCTION("""COMPUTED_VALUE"""),12599)</f>
        <v>12599</v>
      </c>
      <c r="I28" s="47">
        <f>IFERROR(__xludf.DUMMYFUNCTION("""COMPUTED_VALUE"""),45783.6458333333)</f>
        <v>45783.6458333333</v>
      </c>
      <c r="J28" s="48">
        <f>IFERROR(__xludf.DUMMYFUNCTION("""COMPUTED_VALUE"""),12371)</f>
        <v>12371</v>
      </c>
      <c r="K28" s="3">
        <f t="shared" si="2"/>
        <v>0</v>
      </c>
      <c r="L28" s="3">
        <f t="shared" si="3"/>
        <v>0</v>
      </c>
    </row>
    <row r="29" customHeight="1" spans="1:12">
      <c r="A29" s="47">
        <f>IFERROR(__xludf.DUMMYFUNCTION("""COMPUTED_VALUE"""),45784.6458333333)</f>
        <v>45784.6458333333</v>
      </c>
      <c r="B29" s="48">
        <f>IFERROR(__xludf.DUMMYFUNCTION("""COMPUTED_VALUE"""),12633)</f>
        <v>12633</v>
      </c>
      <c r="C29" s="47">
        <f>IFERROR(__xludf.DUMMYFUNCTION("""COMPUTED_VALUE"""),45784.6458333333)</f>
        <v>45784.6458333333</v>
      </c>
      <c r="D29" s="48">
        <f>IFERROR(__xludf.DUMMYFUNCTION("""COMPUTED_VALUE"""),12355)</f>
        <v>12355</v>
      </c>
      <c r="E29" s="47">
        <f>IFERROR(__xludf.DUMMYFUNCTION("""COMPUTED_VALUE"""),45784.6458333333)</f>
        <v>45784.6458333333</v>
      </c>
      <c r="F29" s="48">
        <f>IFERROR(__xludf.DUMMYFUNCTION("""COMPUTED_VALUE"""),303619)</f>
        <v>303619</v>
      </c>
      <c r="G29" s="47">
        <f>IFERROR(__xludf.DUMMYFUNCTION("""COMPUTED_VALUE"""),45784.6458333333)</f>
        <v>45784.6458333333</v>
      </c>
      <c r="H29" s="48">
        <f>IFERROR(__xludf.DUMMYFUNCTION("""COMPUTED_VALUE"""),12669)</f>
        <v>12669</v>
      </c>
      <c r="I29" s="47">
        <f>IFERROR(__xludf.DUMMYFUNCTION("""COMPUTED_VALUE"""),45784.6458333333)</f>
        <v>45784.6458333333</v>
      </c>
      <c r="J29" s="48">
        <f>IFERROR(__xludf.DUMMYFUNCTION("""COMPUTED_VALUE"""),12355)</f>
        <v>12355</v>
      </c>
      <c r="K29" s="3">
        <f t="shared" si="2"/>
        <v>0</v>
      </c>
      <c r="L29" s="3">
        <f t="shared" si="3"/>
        <v>0</v>
      </c>
    </row>
    <row r="30" customHeight="1" spans="1:12">
      <c r="A30" s="47">
        <f>IFERROR(__xludf.DUMMYFUNCTION("""COMPUTED_VALUE"""),45785.6458333333)</f>
        <v>45785.6458333333</v>
      </c>
      <c r="B30" s="48">
        <f>IFERROR(__xludf.DUMMYFUNCTION("""COMPUTED_VALUE"""),12392)</f>
        <v>12392</v>
      </c>
      <c r="C30" s="47">
        <f>IFERROR(__xludf.DUMMYFUNCTION("""COMPUTED_VALUE"""),45785.6458333333)</f>
        <v>45785.6458333333</v>
      </c>
      <c r="D30" s="48">
        <f>IFERROR(__xludf.DUMMYFUNCTION("""COMPUTED_VALUE"""),12560)</f>
        <v>12560</v>
      </c>
      <c r="E30" s="47">
        <f>IFERROR(__xludf.DUMMYFUNCTION("""COMPUTED_VALUE"""),45785.6458333333)</f>
        <v>45785.6458333333</v>
      </c>
      <c r="F30" s="48">
        <f>IFERROR(__xludf.DUMMYFUNCTION("""COMPUTED_VALUE"""),485326)</f>
        <v>485326</v>
      </c>
      <c r="G30" s="47">
        <f>IFERROR(__xludf.DUMMYFUNCTION("""COMPUTED_VALUE"""),45785.6458333333)</f>
        <v>45785.6458333333</v>
      </c>
      <c r="H30" s="48">
        <f>IFERROR(__xludf.DUMMYFUNCTION("""COMPUTED_VALUE"""),12597)</f>
        <v>12597</v>
      </c>
      <c r="I30" s="47">
        <f>IFERROR(__xludf.DUMMYFUNCTION("""COMPUTED_VALUE"""),45785.6458333333)</f>
        <v>45785.6458333333</v>
      </c>
      <c r="J30" s="48">
        <f>IFERROR(__xludf.DUMMYFUNCTION("""COMPUTED_VALUE"""),12330)</f>
        <v>12330</v>
      </c>
      <c r="K30" s="3">
        <f t="shared" si="2"/>
        <v>0</v>
      </c>
      <c r="L30" s="3">
        <f t="shared" si="3"/>
        <v>0</v>
      </c>
    </row>
    <row r="31" customHeight="1" spans="1:12">
      <c r="A31" s="47">
        <f>IFERROR(__xludf.DUMMYFUNCTION("""COMPUTED_VALUE"""),45786.6458333333)</f>
        <v>45786.6458333333</v>
      </c>
      <c r="B31" s="48">
        <f>IFERROR(__xludf.DUMMYFUNCTION("""COMPUTED_VALUE"""),12250)</f>
        <v>12250</v>
      </c>
      <c r="C31" s="47">
        <f>IFERROR(__xludf.DUMMYFUNCTION("""COMPUTED_VALUE"""),45786.6458333333)</f>
        <v>45786.6458333333</v>
      </c>
      <c r="D31" s="48">
        <f>IFERROR(__xludf.DUMMYFUNCTION("""COMPUTED_VALUE"""),12135)</f>
        <v>12135</v>
      </c>
      <c r="E31" s="47">
        <f>IFERROR(__xludf.DUMMYFUNCTION("""COMPUTED_VALUE"""),45786.6458333333)</f>
        <v>45786.6458333333</v>
      </c>
      <c r="F31" s="48">
        <f>IFERROR(__xludf.DUMMYFUNCTION("""COMPUTED_VALUE"""),278112)</f>
        <v>278112</v>
      </c>
      <c r="G31" s="47">
        <f>IFERROR(__xludf.DUMMYFUNCTION("""COMPUTED_VALUE"""),45786.6458333333)</f>
        <v>45786.6458333333</v>
      </c>
      <c r="H31" s="48">
        <f>IFERROR(__xludf.DUMMYFUNCTION("""COMPUTED_VALUE"""),12360)</f>
        <v>12360</v>
      </c>
      <c r="I31" s="47">
        <f>IFERROR(__xludf.DUMMYFUNCTION("""COMPUTED_VALUE"""),45786.6458333333)</f>
        <v>45786.6458333333</v>
      </c>
      <c r="J31" s="48">
        <f>IFERROR(__xludf.DUMMYFUNCTION("""COMPUTED_VALUE"""),12115)</f>
        <v>12115</v>
      </c>
      <c r="K31" s="3">
        <f t="shared" si="2"/>
        <v>0</v>
      </c>
      <c r="L31" s="3">
        <f t="shared" si="3"/>
        <v>12250</v>
      </c>
    </row>
    <row r="32" customHeight="1" spans="1:12">
      <c r="A32" s="47">
        <f>IFERROR(__xludf.DUMMYFUNCTION("""COMPUTED_VALUE"""),45789.6458333333)</f>
        <v>45789.6458333333</v>
      </c>
      <c r="B32" s="48">
        <f>IFERROR(__xludf.DUMMYFUNCTION("""COMPUTED_VALUE"""),12616)</f>
        <v>12616</v>
      </c>
      <c r="C32" s="47">
        <f>IFERROR(__xludf.DUMMYFUNCTION("""COMPUTED_VALUE"""),45789.6458333333)</f>
        <v>45789.6458333333</v>
      </c>
      <c r="D32" s="48">
        <f>IFERROR(__xludf.DUMMYFUNCTION("""COMPUTED_VALUE"""),12426)</f>
        <v>12426</v>
      </c>
      <c r="E32" s="47">
        <f>IFERROR(__xludf.DUMMYFUNCTION("""COMPUTED_VALUE"""),45789.6458333333)</f>
        <v>45789.6458333333</v>
      </c>
      <c r="F32" s="48">
        <f>IFERROR(__xludf.DUMMYFUNCTION("""COMPUTED_VALUE"""),185165)</f>
        <v>185165</v>
      </c>
      <c r="G32" s="47">
        <f>IFERROR(__xludf.DUMMYFUNCTION("""COMPUTED_VALUE"""),45789.6458333333)</f>
        <v>45789.6458333333</v>
      </c>
      <c r="H32" s="48">
        <f>IFERROR(__xludf.DUMMYFUNCTION("""COMPUTED_VALUE"""),12630)</f>
        <v>12630</v>
      </c>
      <c r="I32" s="47">
        <f>IFERROR(__xludf.DUMMYFUNCTION("""COMPUTED_VALUE"""),45789.6458333333)</f>
        <v>45789.6458333333</v>
      </c>
      <c r="J32" s="48">
        <f>IFERROR(__xludf.DUMMYFUNCTION("""COMPUTED_VALUE"""),12426)</f>
        <v>12426</v>
      </c>
      <c r="K32" s="3">
        <f t="shared" si="2"/>
        <v>0</v>
      </c>
      <c r="L32" s="3">
        <f t="shared" si="3"/>
        <v>0</v>
      </c>
    </row>
    <row r="33" customHeight="1" spans="1:12">
      <c r="A33" s="47">
        <f>IFERROR(__xludf.DUMMYFUNCTION("""COMPUTED_VALUE"""),45790.6458333333)</f>
        <v>45790.6458333333</v>
      </c>
      <c r="B33" s="48">
        <f>IFERROR(__xludf.DUMMYFUNCTION("""COMPUTED_VALUE"""),12482)</f>
        <v>12482</v>
      </c>
      <c r="C33" s="47">
        <f>IFERROR(__xludf.DUMMYFUNCTION("""COMPUTED_VALUE"""),45790.6458333333)</f>
        <v>45790.6458333333</v>
      </c>
      <c r="D33" s="48">
        <f>IFERROR(__xludf.DUMMYFUNCTION("""COMPUTED_VALUE"""),12600)</f>
        <v>12600</v>
      </c>
      <c r="E33" s="47">
        <f>IFERROR(__xludf.DUMMYFUNCTION("""COMPUTED_VALUE"""),45790.6458333333)</f>
        <v>45790.6458333333</v>
      </c>
      <c r="F33" s="48">
        <f>IFERROR(__xludf.DUMMYFUNCTION("""COMPUTED_VALUE"""),378269)</f>
        <v>378269</v>
      </c>
      <c r="G33" s="47">
        <f>IFERROR(__xludf.DUMMYFUNCTION("""COMPUTED_VALUE"""),45790.6458333333)</f>
        <v>45790.6458333333</v>
      </c>
      <c r="H33" s="48">
        <f>IFERROR(__xludf.DUMMYFUNCTION("""COMPUTED_VALUE"""),12700)</f>
        <v>12700</v>
      </c>
      <c r="I33" s="47">
        <f>IFERROR(__xludf.DUMMYFUNCTION("""COMPUTED_VALUE"""),45790.6458333333)</f>
        <v>45790.6458333333</v>
      </c>
      <c r="J33" s="48">
        <f>IFERROR(__xludf.DUMMYFUNCTION("""COMPUTED_VALUE"""),12430)</f>
        <v>12430</v>
      </c>
      <c r="K33" s="3">
        <f t="shared" si="2"/>
        <v>0</v>
      </c>
      <c r="L33" s="3">
        <f t="shared" si="3"/>
        <v>0</v>
      </c>
    </row>
    <row r="34" customHeight="1" spans="1:12">
      <c r="A34" s="47">
        <f>IFERROR(__xludf.DUMMYFUNCTION("""COMPUTED_VALUE"""),45791.6458333333)</f>
        <v>45791.6458333333</v>
      </c>
      <c r="B34" s="48">
        <f>IFERROR(__xludf.DUMMYFUNCTION("""COMPUTED_VALUE"""),12670)</f>
        <v>12670</v>
      </c>
      <c r="C34" s="47">
        <f>IFERROR(__xludf.DUMMYFUNCTION("""COMPUTED_VALUE"""),45791.6458333333)</f>
        <v>45791.6458333333</v>
      </c>
      <c r="D34" s="48">
        <f>IFERROR(__xludf.DUMMYFUNCTION("""COMPUTED_VALUE"""),12485)</f>
        <v>12485</v>
      </c>
      <c r="E34" s="47">
        <f>IFERROR(__xludf.DUMMYFUNCTION("""COMPUTED_VALUE"""),45791.6458333333)</f>
        <v>45791.6458333333</v>
      </c>
      <c r="F34" s="48">
        <f>IFERROR(__xludf.DUMMYFUNCTION("""COMPUTED_VALUE"""),306050)</f>
        <v>306050</v>
      </c>
      <c r="G34" s="47">
        <f>IFERROR(__xludf.DUMMYFUNCTION("""COMPUTED_VALUE"""),45791.6458333333)</f>
        <v>45791.6458333333</v>
      </c>
      <c r="H34" s="48">
        <f>IFERROR(__xludf.DUMMYFUNCTION("""COMPUTED_VALUE"""),12718)</f>
        <v>12718</v>
      </c>
      <c r="I34" s="47">
        <f>IFERROR(__xludf.DUMMYFUNCTION("""COMPUTED_VALUE"""),45791.6458333333)</f>
        <v>45791.6458333333</v>
      </c>
      <c r="J34" s="48">
        <f>IFERROR(__xludf.DUMMYFUNCTION("""COMPUTED_VALUE"""),12411)</f>
        <v>12411</v>
      </c>
      <c r="K34" s="3">
        <f t="shared" si="2"/>
        <v>0</v>
      </c>
      <c r="L34" s="3">
        <f t="shared" si="3"/>
        <v>0</v>
      </c>
    </row>
    <row r="35" customHeight="1" spans="1:12">
      <c r="A35" s="47">
        <f>IFERROR(__xludf.DUMMYFUNCTION("""COMPUTED_VALUE"""),45792.6458333333)</f>
        <v>45792.6458333333</v>
      </c>
      <c r="B35" s="48">
        <f>IFERROR(__xludf.DUMMYFUNCTION("""COMPUTED_VALUE"""),12952)</f>
        <v>12952</v>
      </c>
      <c r="C35" s="47">
        <f>IFERROR(__xludf.DUMMYFUNCTION("""COMPUTED_VALUE"""),45792.6458333333)</f>
        <v>45792.6458333333</v>
      </c>
      <c r="D35" s="48">
        <f>IFERROR(__xludf.DUMMYFUNCTION("""COMPUTED_VALUE"""),12600)</f>
        <v>12600</v>
      </c>
      <c r="E35" s="47">
        <f>IFERROR(__xludf.DUMMYFUNCTION("""COMPUTED_VALUE"""),45792.6458333333)</f>
        <v>45792.6458333333</v>
      </c>
      <c r="F35" s="48">
        <f>IFERROR(__xludf.DUMMYFUNCTION("""COMPUTED_VALUE"""),561496)</f>
        <v>561496</v>
      </c>
      <c r="G35" s="47">
        <f>IFERROR(__xludf.DUMMYFUNCTION("""COMPUTED_VALUE"""),45792.6458333333)</f>
        <v>45792.6458333333</v>
      </c>
      <c r="H35" s="48">
        <f>IFERROR(__xludf.DUMMYFUNCTION("""COMPUTED_VALUE"""),13023)</f>
        <v>13023</v>
      </c>
      <c r="I35" s="47">
        <f>IFERROR(__xludf.DUMMYFUNCTION("""COMPUTED_VALUE"""),45792.6458333333)</f>
        <v>45792.6458333333</v>
      </c>
      <c r="J35" s="48">
        <f>IFERROR(__xludf.DUMMYFUNCTION("""COMPUTED_VALUE"""),12548)</f>
        <v>12548</v>
      </c>
      <c r="K35" s="3">
        <f t="shared" si="2"/>
        <v>0</v>
      </c>
      <c r="L35" s="3">
        <f t="shared" si="3"/>
        <v>0</v>
      </c>
    </row>
    <row r="36" customHeight="1" spans="1:12">
      <c r="A36" s="47">
        <f>IFERROR(__xludf.DUMMYFUNCTION("""COMPUTED_VALUE"""),45793.6458333333)</f>
        <v>45793.6458333333</v>
      </c>
      <c r="B36" s="48">
        <f>IFERROR(__xludf.DUMMYFUNCTION("""COMPUTED_VALUE"""),12995)</f>
        <v>12995</v>
      </c>
      <c r="C36" s="47">
        <f>IFERROR(__xludf.DUMMYFUNCTION("""COMPUTED_VALUE"""),45793.6458333333)</f>
        <v>45793.6458333333</v>
      </c>
      <c r="D36" s="48">
        <f>IFERROR(__xludf.DUMMYFUNCTION("""COMPUTED_VALUE"""),12950)</f>
        <v>12950</v>
      </c>
      <c r="E36" s="47">
        <f>IFERROR(__xludf.DUMMYFUNCTION("""COMPUTED_VALUE"""),45793.6458333333)</f>
        <v>45793.6458333333</v>
      </c>
      <c r="F36" s="48">
        <f>IFERROR(__xludf.DUMMYFUNCTION("""COMPUTED_VALUE"""),425275)</f>
        <v>425275</v>
      </c>
      <c r="G36" s="47">
        <f>IFERROR(__xludf.DUMMYFUNCTION("""COMPUTED_VALUE"""),45793.6458333333)</f>
        <v>45793.6458333333</v>
      </c>
      <c r="H36" s="48">
        <f>IFERROR(__xludf.DUMMYFUNCTION("""COMPUTED_VALUE"""),13086)</f>
        <v>13086</v>
      </c>
      <c r="I36" s="47">
        <f>IFERROR(__xludf.DUMMYFUNCTION("""COMPUTED_VALUE"""),45793.6458333333)</f>
        <v>45793.6458333333</v>
      </c>
      <c r="J36" s="48">
        <f>IFERROR(__xludf.DUMMYFUNCTION("""COMPUTED_VALUE"""),12912)</f>
        <v>12912</v>
      </c>
      <c r="K36" s="3">
        <f t="shared" si="2"/>
        <v>12995</v>
      </c>
      <c r="L36" s="3">
        <f t="shared" si="3"/>
        <v>0</v>
      </c>
    </row>
    <row r="37" customHeight="1" spans="1:12">
      <c r="A37" s="47">
        <f>IFERROR(__xludf.DUMMYFUNCTION("""COMPUTED_VALUE"""),45796.6458333333)</f>
        <v>45796.6458333333</v>
      </c>
      <c r="B37" s="48">
        <f>IFERROR(__xludf.DUMMYFUNCTION("""COMPUTED_VALUE"""),12989)</f>
        <v>12989</v>
      </c>
      <c r="C37" s="47">
        <f>IFERROR(__xludf.DUMMYFUNCTION("""COMPUTED_VALUE"""),45796.6458333333)</f>
        <v>45796.6458333333</v>
      </c>
      <c r="D37" s="48">
        <f>IFERROR(__xludf.DUMMYFUNCTION("""COMPUTED_VALUE"""),12990)</f>
        <v>12990</v>
      </c>
      <c r="E37" s="47">
        <f>IFERROR(__xludf.DUMMYFUNCTION("""COMPUTED_VALUE"""),45796.6458333333)</f>
        <v>45796.6458333333</v>
      </c>
      <c r="F37" s="48">
        <f>IFERROR(__xludf.DUMMYFUNCTION("""COMPUTED_VALUE"""),244277)</f>
        <v>244277</v>
      </c>
      <c r="G37" s="47">
        <f>IFERROR(__xludf.DUMMYFUNCTION("""COMPUTED_VALUE"""),45796.6458333333)</f>
        <v>45796.6458333333</v>
      </c>
      <c r="H37" s="48">
        <f>IFERROR(__xludf.DUMMYFUNCTION("""COMPUTED_VALUE"""),13046)</f>
        <v>13046</v>
      </c>
      <c r="I37" s="47">
        <f>IFERROR(__xludf.DUMMYFUNCTION("""COMPUTED_VALUE"""),45796.6458333333)</f>
        <v>45796.6458333333</v>
      </c>
      <c r="J37" s="48">
        <f>IFERROR(__xludf.DUMMYFUNCTION("""COMPUTED_VALUE"""),12930)</f>
        <v>12930</v>
      </c>
      <c r="K37" s="3">
        <f t="shared" si="2"/>
        <v>0</v>
      </c>
      <c r="L37" s="3">
        <f t="shared" si="3"/>
        <v>0</v>
      </c>
    </row>
    <row r="38" customHeight="1" spans="1:12">
      <c r="A38" s="47">
        <f>IFERROR(__xludf.DUMMYFUNCTION("""COMPUTED_VALUE"""),45797.6458333333)</f>
        <v>45797.6458333333</v>
      </c>
      <c r="B38" s="48">
        <f>IFERROR(__xludf.DUMMYFUNCTION("""COMPUTED_VALUE"""),12638)</f>
        <v>12638</v>
      </c>
      <c r="C38" s="47">
        <f>IFERROR(__xludf.DUMMYFUNCTION("""COMPUTED_VALUE"""),45797.6458333333)</f>
        <v>45797.6458333333</v>
      </c>
      <c r="D38" s="48">
        <f>IFERROR(__xludf.DUMMYFUNCTION("""COMPUTED_VALUE"""),13005)</f>
        <v>13005</v>
      </c>
      <c r="E38" s="47">
        <f>IFERROR(__xludf.DUMMYFUNCTION("""COMPUTED_VALUE"""),45797.6458333333)</f>
        <v>45797.6458333333</v>
      </c>
      <c r="F38" s="48">
        <f>IFERROR(__xludf.DUMMYFUNCTION("""COMPUTED_VALUE"""),361111)</f>
        <v>361111</v>
      </c>
      <c r="G38" s="47">
        <f>IFERROR(__xludf.DUMMYFUNCTION("""COMPUTED_VALUE"""),45797.6458333333)</f>
        <v>45797.6458333333</v>
      </c>
      <c r="H38" s="48">
        <f>IFERROR(__xludf.DUMMYFUNCTION("""COMPUTED_VALUE"""),13010)</f>
        <v>13010</v>
      </c>
      <c r="I38" s="47">
        <f>IFERROR(__xludf.DUMMYFUNCTION("""COMPUTED_VALUE"""),45797.6458333333)</f>
        <v>45797.6458333333</v>
      </c>
      <c r="J38" s="48">
        <f>IFERROR(__xludf.DUMMYFUNCTION("""COMPUTED_VALUE"""),12610)</f>
        <v>12610</v>
      </c>
      <c r="K38" s="3">
        <f t="shared" si="2"/>
        <v>0</v>
      </c>
      <c r="L38" s="3">
        <f t="shared" si="3"/>
        <v>0</v>
      </c>
    </row>
    <row r="39" customHeight="1" spans="1:12">
      <c r="A39" s="47">
        <f>IFERROR(__xludf.DUMMYFUNCTION("""COMPUTED_VALUE"""),45798.6458333333)</f>
        <v>45798.6458333333</v>
      </c>
      <c r="B39" s="48">
        <f>IFERROR(__xludf.DUMMYFUNCTION("""COMPUTED_VALUE"""),12615)</f>
        <v>12615</v>
      </c>
      <c r="C39" s="47">
        <f>IFERROR(__xludf.DUMMYFUNCTION("""COMPUTED_VALUE"""),45798.6458333333)</f>
        <v>45798.6458333333</v>
      </c>
      <c r="D39" s="48">
        <f>IFERROR(__xludf.DUMMYFUNCTION("""COMPUTED_VALUE"""),12675)</f>
        <v>12675</v>
      </c>
      <c r="E39" s="47">
        <f>IFERROR(__xludf.DUMMYFUNCTION("""COMPUTED_VALUE"""),45798.6458333333)</f>
        <v>45798.6458333333</v>
      </c>
      <c r="F39" s="48">
        <f>IFERROR(__xludf.DUMMYFUNCTION("""COMPUTED_VALUE"""),209104)</f>
        <v>209104</v>
      </c>
      <c r="G39" s="47">
        <f>IFERROR(__xludf.DUMMYFUNCTION("""COMPUTED_VALUE"""),45798.6458333333)</f>
        <v>45798.6458333333</v>
      </c>
      <c r="H39" s="48">
        <f>IFERROR(__xludf.DUMMYFUNCTION("""COMPUTED_VALUE"""),12808)</f>
        <v>12808</v>
      </c>
      <c r="I39" s="47">
        <f>IFERROR(__xludf.DUMMYFUNCTION("""COMPUTED_VALUE"""),45798.6458333333)</f>
        <v>45798.6458333333</v>
      </c>
      <c r="J39" s="48">
        <f>IFERROR(__xludf.DUMMYFUNCTION("""COMPUTED_VALUE"""),12594)</f>
        <v>12594</v>
      </c>
      <c r="K39" s="3">
        <f t="shared" si="2"/>
        <v>0</v>
      </c>
      <c r="L39" s="3">
        <f t="shared" si="3"/>
        <v>0</v>
      </c>
    </row>
    <row r="40" customHeight="1" spans="1:12">
      <c r="A40" s="47">
        <f>IFERROR(__xludf.DUMMYFUNCTION("""COMPUTED_VALUE"""),45799.6458333333)</f>
        <v>45799.6458333333</v>
      </c>
      <c r="B40" s="48">
        <f>IFERROR(__xludf.DUMMYFUNCTION("""COMPUTED_VALUE"""),12445)</f>
        <v>12445</v>
      </c>
      <c r="C40" s="47">
        <f>IFERROR(__xludf.DUMMYFUNCTION("""COMPUTED_VALUE"""),45799.6458333333)</f>
        <v>45799.6458333333</v>
      </c>
      <c r="D40" s="48">
        <f>IFERROR(__xludf.DUMMYFUNCTION("""COMPUTED_VALUE"""),12611)</f>
        <v>12611</v>
      </c>
      <c r="E40" s="47">
        <f>IFERROR(__xludf.DUMMYFUNCTION("""COMPUTED_VALUE"""),45799.6458333333)</f>
        <v>45799.6458333333</v>
      </c>
      <c r="F40" s="48">
        <f>IFERROR(__xludf.DUMMYFUNCTION("""COMPUTED_VALUE"""),434848)</f>
        <v>434848</v>
      </c>
      <c r="G40" s="47">
        <f>IFERROR(__xludf.DUMMYFUNCTION("""COMPUTED_VALUE"""),45799.6458333333)</f>
        <v>45799.6458333333</v>
      </c>
      <c r="H40" s="48">
        <f>IFERROR(__xludf.DUMMYFUNCTION("""COMPUTED_VALUE"""),12611)</f>
        <v>12611</v>
      </c>
      <c r="I40" s="47">
        <f>IFERROR(__xludf.DUMMYFUNCTION("""COMPUTED_VALUE"""),45799.6458333333)</f>
        <v>45799.6458333333</v>
      </c>
      <c r="J40" s="48">
        <f>IFERROR(__xludf.DUMMYFUNCTION("""COMPUTED_VALUE"""),12395)</f>
        <v>12395</v>
      </c>
      <c r="K40" s="3">
        <f t="shared" si="2"/>
        <v>0</v>
      </c>
      <c r="L40" s="3">
        <f t="shared" si="3"/>
        <v>0</v>
      </c>
    </row>
    <row r="41" customHeight="1" spans="1:12">
      <c r="A41" s="47">
        <f>IFERROR(__xludf.DUMMYFUNCTION("""COMPUTED_VALUE"""),45800.6458333333)</f>
        <v>45800.6458333333</v>
      </c>
      <c r="B41" s="48">
        <f>IFERROR(__xludf.DUMMYFUNCTION("""COMPUTED_VALUE"""),12453)</f>
        <v>12453</v>
      </c>
      <c r="C41" s="47">
        <f>IFERROR(__xludf.DUMMYFUNCTION("""COMPUTED_VALUE"""),45800.6458333333)</f>
        <v>45800.6458333333</v>
      </c>
      <c r="D41" s="48">
        <f>IFERROR(__xludf.DUMMYFUNCTION("""COMPUTED_VALUE"""),12450)</f>
        <v>12450</v>
      </c>
      <c r="E41" s="47">
        <f>IFERROR(__xludf.DUMMYFUNCTION("""COMPUTED_VALUE"""),45800.6458333333)</f>
        <v>45800.6458333333</v>
      </c>
      <c r="F41" s="48">
        <f>IFERROR(__xludf.DUMMYFUNCTION("""COMPUTED_VALUE"""),169465)</f>
        <v>169465</v>
      </c>
      <c r="G41" s="47">
        <f>IFERROR(__xludf.DUMMYFUNCTION("""COMPUTED_VALUE"""),45800.6458333333)</f>
        <v>45800.6458333333</v>
      </c>
      <c r="H41" s="48">
        <f>IFERROR(__xludf.DUMMYFUNCTION("""COMPUTED_VALUE"""),12495)</f>
        <v>12495</v>
      </c>
      <c r="I41" s="47">
        <f>IFERROR(__xludf.DUMMYFUNCTION("""COMPUTED_VALUE"""),45800.6458333333)</f>
        <v>45800.6458333333</v>
      </c>
      <c r="J41" s="48">
        <f>IFERROR(__xludf.DUMMYFUNCTION("""COMPUTED_VALUE"""),12423)</f>
        <v>12423</v>
      </c>
      <c r="K41" s="3">
        <f t="shared" si="2"/>
        <v>0</v>
      </c>
      <c r="L41" s="3">
        <f t="shared" si="3"/>
        <v>0</v>
      </c>
    </row>
    <row r="42" customHeight="1" spans="1:12">
      <c r="A42" s="47">
        <f>IFERROR(__xludf.DUMMYFUNCTION("""COMPUTED_VALUE"""),45803.6458333333)</f>
        <v>45803.6458333333</v>
      </c>
      <c r="B42" s="48">
        <f>IFERROR(__xludf.DUMMYFUNCTION("""COMPUTED_VALUE"""),12421)</f>
        <v>12421</v>
      </c>
      <c r="C42" s="47">
        <f>IFERROR(__xludf.DUMMYFUNCTION("""COMPUTED_VALUE"""),45803.6458333333)</f>
        <v>45803.6458333333</v>
      </c>
      <c r="D42" s="48">
        <f>IFERROR(__xludf.DUMMYFUNCTION("""COMPUTED_VALUE"""),12455)</f>
        <v>12455</v>
      </c>
      <c r="E42" s="47">
        <f>IFERROR(__xludf.DUMMYFUNCTION("""COMPUTED_VALUE"""),45803.6458333333)</f>
        <v>45803.6458333333</v>
      </c>
      <c r="F42" s="48">
        <f>IFERROR(__xludf.DUMMYFUNCTION("""COMPUTED_VALUE"""),214703)</f>
        <v>214703</v>
      </c>
      <c r="G42" s="47">
        <f>IFERROR(__xludf.DUMMYFUNCTION("""COMPUTED_VALUE"""),45803.6458333333)</f>
        <v>45803.6458333333</v>
      </c>
      <c r="H42" s="48">
        <f>IFERROR(__xludf.DUMMYFUNCTION("""COMPUTED_VALUE"""),12539)</f>
        <v>12539</v>
      </c>
      <c r="I42" s="47">
        <f>IFERROR(__xludf.DUMMYFUNCTION("""COMPUTED_VALUE"""),45803.6458333333)</f>
        <v>45803.6458333333</v>
      </c>
      <c r="J42" s="48">
        <f>IFERROR(__xludf.DUMMYFUNCTION("""COMPUTED_VALUE"""),12391)</f>
        <v>12391</v>
      </c>
      <c r="K42" s="3">
        <f t="shared" si="2"/>
        <v>0</v>
      </c>
      <c r="L42" s="3">
        <f t="shared" si="3"/>
        <v>0</v>
      </c>
    </row>
    <row r="43" customHeight="1" spans="1:12">
      <c r="A43" s="47">
        <f>IFERROR(__xludf.DUMMYFUNCTION("""COMPUTED_VALUE"""),45804.6458333333)</f>
        <v>45804.6458333333</v>
      </c>
      <c r="B43" s="48">
        <f>IFERROR(__xludf.DUMMYFUNCTION("""COMPUTED_VALUE"""),12414)</f>
        <v>12414</v>
      </c>
      <c r="C43" s="47">
        <f>IFERROR(__xludf.DUMMYFUNCTION("""COMPUTED_VALUE"""),45804.6458333333)</f>
        <v>45804.6458333333</v>
      </c>
      <c r="D43" s="48">
        <f>IFERROR(__xludf.DUMMYFUNCTION("""COMPUTED_VALUE"""),12421)</f>
        <v>12421</v>
      </c>
      <c r="E43" s="47">
        <f>IFERROR(__xludf.DUMMYFUNCTION("""COMPUTED_VALUE"""),45804.6458333333)</f>
        <v>45804.6458333333</v>
      </c>
      <c r="F43" s="48">
        <f>IFERROR(__xludf.DUMMYFUNCTION("""COMPUTED_VALUE"""),344679)</f>
        <v>344679</v>
      </c>
      <c r="G43" s="47">
        <f>IFERROR(__xludf.DUMMYFUNCTION("""COMPUTED_VALUE"""),45804.6458333333)</f>
        <v>45804.6458333333</v>
      </c>
      <c r="H43" s="48">
        <f>IFERROR(__xludf.DUMMYFUNCTION("""COMPUTED_VALUE"""),12479)</f>
        <v>12479</v>
      </c>
      <c r="I43" s="47">
        <f>IFERROR(__xludf.DUMMYFUNCTION("""COMPUTED_VALUE"""),45804.6458333333)</f>
        <v>45804.6458333333</v>
      </c>
      <c r="J43" s="48">
        <f>IFERROR(__xludf.DUMMYFUNCTION("""COMPUTED_VALUE"""),12290)</f>
        <v>12290</v>
      </c>
      <c r="K43" s="3">
        <f t="shared" si="2"/>
        <v>0</v>
      </c>
      <c r="L43" s="3">
        <f t="shared" si="3"/>
        <v>0</v>
      </c>
    </row>
    <row r="44" customHeight="1" spans="1:12">
      <c r="A44" s="47">
        <f>IFERROR(__xludf.DUMMYFUNCTION("""COMPUTED_VALUE"""),45805.6458333333)</f>
        <v>45805.6458333333</v>
      </c>
      <c r="B44" s="48">
        <f>IFERROR(__xludf.DUMMYFUNCTION("""COMPUTED_VALUE"""),12331)</f>
        <v>12331</v>
      </c>
      <c r="C44" s="47">
        <f>IFERROR(__xludf.DUMMYFUNCTION("""COMPUTED_VALUE"""),45805.6458333333)</f>
        <v>45805.6458333333</v>
      </c>
      <c r="D44" s="48">
        <f>IFERROR(__xludf.DUMMYFUNCTION("""COMPUTED_VALUE"""),12414)</f>
        <v>12414</v>
      </c>
      <c r="E44" s="47">
        <f>IFERROR(__xludf.DUMMYFUNCTION("""COMPUTED_VALUE"""),45805.6458333333)</f>
        <v>45805.6458333333</v>
      </c>
      <c r="F44" s="48">
        <f>IFERROR(__xludf.DUMMYFUNCTION("""COMPUTED_VALUE"""),178181)</f>
        <v>178181</v>
      </c>
      <c r="G44" s="47">
        <f>IFERROR(__xludf.DUMMYFUNCTION("""COMPUTED_VALUE"""),45805.6458333333)</f>
        <v>45805.6458333333</v>
      </c>
      <c r="H44" s="48">
        <f>IFERROR(__xludf.DUMMYFUNCTION("""COMPUTED_VALUE"""),12415)</f>
        <v>12415</v>
      </c>
      <c r="I44" s="47">
        <f>IFERROR(__xludf.DUMMYFUNCTION("""COMPUTED_VALUE"""),45805.6458333333)</f>
        <v>45805.6458333333</v>
      </c>
      <c r="J44" s="48">
        <f>IFERROR(__xludf.DUMMYFUNCTION("""COMPUTED_VALUE"""),12305)</f>
        <v>12305</v>
      </c>
      <c r="K44" s="3">
        <f t="shared" si="2"/>
        <v>0</v>
      </c>
      <c r="L44" s="3">
        <f t="shared" si="3"/>
        <v>0</v>
      </c>
    </row>
    <row r="45" customHeight="1" spans="1:12">
      <c r="A45" s="47">
        <f>IFERROR(__xludf.DUMMYFUNCTION("""COMPUTED_VALUE"""),45806.6458333333)</f>
        <v>45806.6458333333</v>
      </c>
      <c r="B45" s="48">
        <f>IFERROR(__xludf.DUMMYFUNCTION("""COMPUTED_VALUE"""),12392)</f>
        <v>12392</v>
      </c>
      <c r="C45" s="47">
        <f>IFERROR(__xludf.DUMMYFUNCTION("""COMPUTED_VALUE"""),45806.6458333333)</f>
        <v>45806.6458333333</v>
      </c>
      <c r="D45" s="48">
        <f>IFERROR(__xludf.DUMMYFUNCTION("""COMPUTED_VALUE"""),12340)</f>
        <v>12340</v>
      </c>
      <c r="E45" s="47">
        <f>IFERROR(__xludf.DUMMYFUNCTION("""COMPUTED_VALUE"""),45806.6458333333)</f>
        <v>45806.6458333333</v>
      </c>
      <c r="F45" s="48">
        <f>IFERROR(__xludf.DUMMYFUNCTION("""COMPUTED_VALUE"""),191097)</f>
        <v>191097</v>
      </c>
      <c r="G45" s="47">
        <f>IFERROR(__xludf.DUMMYFUNCTION("""COMPUTED_VALUE"""),45806.6458333333)</f>
        <v>45806.6458333333</v>
      </c>
      <c r="H45" s="48">
        <f>IFERROR(__xludf.DUMMYFUNCTION("""COMPUTED_VALUE"""),12428)</f>
        <v>12428</v>
      </c>
      <c r="I45" s="47">
        <f>IFERROR(__xludf.DUMMYFUNCTION("""COMPUTED_VALUE"""),45806.6458333333)</f>
        <v>45806.6458333333</v>
      </c>
      <c r="J45" s="48">
        <f>IFERROR(__xludf.DUMMYFUNCTION("""COMPUTED_VALUE"""),12266)</f>
        <v>12266</v>
      </c>
      <c r="K45" s="3">
        <f t="shared" si="2"/>
        <v>0</v>
      </c>
      <c r="L45" s="3">
        <f t="shared" si="3"/>
        <v>0</v>
      </c>
    </row>
    <row r="46" customHeight="1" spans="1:12">
      <c r="A46" s="47">
        <f>IFERROR(__xludf.DUMMYFUNCTION("""COMPUTED_VALUE"""),45807.6458333333)</f>
        <v>45807.6458333333</v>
      </c>
      <c r="B46" s="48">
        <f>IFERROR(__xludf.DUMMYFUNCTION("""COMPUTED_VALUE"""),12319)</f>
        <v>12319</v>
      </c>
      <c r="C46" s="47">
        <f>IFERROR(__xludf.DUMMYFUNCTION("""COMPUTED_VALUE"""),45807.6458333333)</f>
        <v>45807.6458333333</v>
      </c>
      <c r="D46" s="48">
        <f>IFERROR(__xludf.DUMMYFUNCTION("""COMPUTED_VALUE"""),12392)</f>
        <v>12392</v>
      </c>
      <c r="E46" s="47">
        <f>IFERROR(__xludf.DUMMYFUNCTION("""COMPUTED_VALUE"""),45807.6458333333)</f>
        <v>45807.6458333333</v>
      </c>
      <c r="F46" s="48">
        <f>IFERROR(__xludf.DUMMYFUNCTION("""COMPUTED_VALUE"""),351353)</f>
        <v>351353</v>
      </c>
      <c r="G46" s="47">
        <f>IFERROR(__xludf.DUMMYFUNCTION("""COMPUTED_VALUE"""),45807.6458333333)</f>
        <v>45807.6458333333</v>
      </c>
      <c r="H46" s="48">
        <f>IFERROR(__xludf.DUMMYFUNCTION("""COMPUTED_VALUE"""),12490)</f>
        <v>12490</v>
      </c>
      <c r="I46" s="47">
        <f>IFERROR(__xludf.DUMMYFUNCTION("""COMPUTED_VALUE"""),45807.6458333333)</f>
        <v>45807.6458333333</v>
      </c>
      <c r="J46" s="48">
        <f>IFERROR(__xludf.DUMMYFUNCTION("""COMPUTED_VALUE"""),12251)</f>
        <v>12251</v>
      </c>
      <c r="K46" s="3">
        <f t="shared" si="2"/>
        <v>0</v>
      </c>
      <c r="L46" s="3">
        <f t="shared" si="3"/>
        <v>0</v>
      </c>
    </row>
    <row r="47" customHeight="1" spans="1:12">
      <c r="A47" s="47">
        <f>IFERROR(__xludf.DUMMYFUNCTION("""COMPUTED_VALUE"""),45810.6458333333)</f>
        <v>45810.6458333333</v>
      </c>
      <c r="B47" s="48">
        <f>IFERROR(__xludf.DUMMYFUNCTION("""COMPUTED_VALUE"""),12290)</f>
        <v>12290</v>
      </c>
      <c r="C47" s="47">
        <f>IFERROR(__xludf.DUMMYFUNCTION("""COMPUTED_VALUE"""),45810.6458333333)</f>
        <v>45810.6458333333</v>
      </c>
      <c r="D47" s="48">
        <f>IFERROR(__xludf.DUMMYFUNCTION("""COMPUTED_VALUE"""),12161)</f>
        <v>12161</v>
      </c>
      <c r="E47" s="47">
        <f>IFERROR(__xludf.DUMMYFUNCTION("""COMPUTED_VALUE"""),45810.6458333333)</f>
        <v>45810.6458333333</v>
      </c>
      <c r="F47" s="48">
        <f>IFERROR(__xludf.DUMMYFUNCTION("""COMPUTED_VALUE"""),264972)</f>
        <v>264972</v>
      </c>
      <c r="G47" s="47">
        <f>IFERROR(__xludf.DUMMYFUNCTION("""COMPUTED_VALUE"""),45810.6458333333)</f>
        <v>45810.6458333333</v>
      </c>
      <c r="H47" s="48">
        <f>IFERROR(__xludf.DUMMYFUNCTION("""COMPUTED_VALUE"""),12319)</f>
        <v>12319</v>
      </c>
      <c r="I47" s="47">
        <f>IFERROR(__xludf.DUMMYFUNCTION("""COMPUTED_VALUE"""),45810.6458333333)</f>
        <v>45810.6458333333</v>
      </c>
      <c r="J47" s="48">
        <f>IFERROR(__xludf.DUMMYFUNCTION("""COMPUTED_VALUE"""),12132)</f>
        <v>12132</v>
      </c>
      <c r="K47" s="3">
        <f t="shared" si="2"/>
        <v>0</v>
      </c>
      <c r="L47" s="3">
        <f t="shared" si="3"/>
        <v>0</v>
      </c>
    </row>
    <row r="48" customHeight="1" spans="1:12">
      <c r="A48" s="47">
        <f>IFERROR(__xludf.DUMMYFUNCTION("""COMPUTED_VALUE"""),45811.6458333333)</f>
        <v>45811.6458333333</v>
      </c>
      <c r="B48" s="48">
        <f>IFERROR(__xludf.DUMMYFUNCTION("""COMPUTED_VALUE"""),12128)</f>
        <v>12128</v>
      </c>
      <c r="C48" s="47">
        <f>IFERROR(__xludf.DUMMYFUNCTION("""COMPUTED_VALUE"""),45811.6458333333)</f>
        <v>45811.6458333333</v>
      </c>
      <c r="D48" s="48">
        <f>IFERROR(__xludf.DUMMYFUNCTION("""COMPUTED_VALUE"""),12273)</f>
        <v>12273</v>
      </c>
      <c r="E48" s="47">
        <f>IFERROR(__xludf.DUMMYFUNCTION("""COMPUTED_VALUE"""),45811.6458333333)</f>
        <v>45811.6458333333</v>
      </c>
      <c r="F48" s="48">
        <f>IFERROR(__xludf.DUMMYFUNCTION("""COMPUTED_VALUE"""),369114)</f>
        <v>369114</v>
      </c>
      <c r="G48" s="47">
        <f>IFERROR(__xludf.DUMMYFUNCTION("""COMPUTED_VALUE"""),45811.6458333333)</f>
        <v>45811.6458333333</v>
      </c>
      <c r="H48" s="48">
        <f>IFERROR(__xludf.DUMMYFUNCTION("""COMPUTED_VALUE"""),12350)</f>
        <v>12350</v>
      </c>
      <c r="I48" s="47">
        <f>IFERROR(__xludf.DUMMYFUNCTION("""COMPUTED_VALUE"""),45811.6458333333)</f>
        <v>45811.6458333333</v>
      </c>
      <c r="J48" s="48">
        <f>IFERROR(__xludf.DUMMYFUNCTION("""COMPUTED_VALUE"""),12060)</f>
        <v>12060</v>
      </c>
      <c r="K48" s="3">
        <f t="shared" si="2"/>
        <v>0</v>
      </c>
      <c r="L48" s="3">
        <f t="shared" si="3"/>
        <v>0</v>
      </c>
    </row>
    <row r="49" customHeight="1" spans="1:12">
      <c r="A49" s="47">
        <f>IFERROR(__xludf.DUMMYFUNCTION("""COMPUTED_VALUE"""),45812.6458333333)</f>
        <v>45812.6458333333</v>
      </c>
      <c r="B49" s="48">
        <f>IFERROR(__xludf.DUMMYFUNCTION("""COMPUTED_VALUE"""),12163)</f>
        <v>12163</v>
      </c>
      <c r="C49" s="47">
        <f>IFERROR(__xludf.DUMMYFUNCTION("""COMPUTED_VALUE"""),45812.6458333333)</f>
        <v>45812.6458333333</v>
      </c>
      <c r="D49" s="48">
        <f>IFERROR(__xludf.DUMMYFUNCTION("""COMPUTED_VALUE"""),12128)</f>
        <v>12128</v>
      </c>
      <c r="E49" s="47">
        <f>IFERROR(__xludf.DUMMYFUNCTION("""COMPUTED_VALUE"""),45812.6458333333)</f>
        <v>45812.6458333333</v>
      </c>
      <c r="F49" s="48">
        <f>IFERROR(__xludf.DUMMYFUNCTION("""COMPUTED_VALUE"""),205846)</f>
        <v>205846</v>
      </c>
      <c r="G49" s="47">
        <f>IFERROR(__xludf.DUMMYFUNCTION("""COMPUTED_VALUE"""),45812.6458333333)</f>
        <v>45812.6458333333</v>
      </c>
      <c r="H49" s="48">
        <f>IFERROR(__xludf.DUMMYFUNCTION("""COMPUTED_VALUE"""),12245)</f>
        <v>12245</v>
      </c>
      <c r="I49" s="47">
        <f>IFERROR(__xludf.DUMMYFUNCTION("""COMPUTED_VALUE"""),45812.6458333333)</f>
        <v>45812.6458333333</v>
      </c>
      <c r="J49" s="48">
        <f>IFERROR(__xludf.DUMMYFUNCTION("""COMPUTED_VALUE"""),12128)</f>
        <v>12128</v>
      </c>
      <c r="K49" s="3">
        <f t="shared" si="2"/>
        <v>0</v>
      </c>
      <c r="L49" s="3">
        <f t="shared" si="3"/>
        <v>0</v>
      </c>
    </row>
    <row r="50" customHeight="1" spans="1:12">
      <c r="A50" s="47">
        <f>IFERROR(__xludf.DUMMYFUNCTION("""COMPUTED_VALUE"""),45813.6458333333)</f>
        <v>45813.6458333333</v>
      </c>
      <c r="B50" s="48">
        <f>IFERROR(__xludf.DUMMYFUNCTION("""COMPUTED_VALUE"""),12126)</f>
        <v>12126</v>
      </c>
      <c r="C50" s="47">
        <f>IFERROR(__xludf.DUMMYFUNCTION("""COMPUTED_VALUE"""),45813.6458333333)</f>
        <v>45813.6458333333</v>
      </c>
      <c r="D50" s="48">
        <f>IFERROR(__xludf.DUMMYFUNCTION("""COMPUTED_VALUE"""),12200)</f>
        <v>12200</v>
      </c>
      <c r="E50" s="47">
        <f>IFERROR(__xludf.DUMMYFUNCTION("""COMPUTED_VALUE"""),45813.6458333333)</f>
        <v>45813.6458333333</v>
      </c>
      <c r="F50" s="48">
        <f>IFERROR(__xludf.DUMMYFUNCTION("""COMPUTED_VALUE"""),319783)</f>
        <v>319783</v>
      </c>
      <c r="G50" s="47">
        <f>IFERROR(__xludf.DUMMYFUNCTION("""COMPUTED_VALUE"""),45813.6458333333)</f>
        <v>45813.6458333333</v>
      </c>
      <c r="H50" s="48">
        <f>IFERROR(__xludf.DUMMYFUNCTION("""COMPUTED_VALUE"""),12257)</f>
        <v>12257</v>
      </c>
      <c r="I50" s="47">
        <f>IFERROR(__xludf.DUMMYFUNCTION("""COMPUTED_VALUE"""),45813.6458333333)</f>
        <v>45813.6458333333</v>
      </c>
      <c r="J50" s="48">
        <f>IFERROR(__xludf.DUMMYFUNCTION("""COMPUTED_VALUE"""),12016)</f>
        <v>12016</v>
      </c>
      <c r="K50" s="3">
        <f t="shared" si="2"/>
        <v>0</v>
      </c>
      <c r="L50" s="3">
        <f t="shared" si="3"/>
        <v>12126</v>
      </c>
    </row>
    <row r="51" customHeight="1" spans="1:12">
      <c r="A51" s="47">
        <f>IFERROR(__xludf.DUMMYFUNCTION("""COMPUTED_VALUE"""),45814.6458333333)</f>
        <v>45814.6458333333</v>
      </c>
      <c r="B51" s="48">
        <f>IFERROR(__xludf.DUMMYFUNCTION("""COMPUTED_VALUE"""),12462)</f>
        <v>12462</v>
      </c>
      <c r="C51" s="47">
        <f>IFERROR(__xludf.DUMMYFUNCTION("""COMPUTED_VALUE"""),45814.6458333333)</f>
        <v>45814.6458333333</v>
      </c>
      <c r="D51" s="48">
        <f>IFERROR(__xludf.DUMMYFUNCTION("""COMPUTED_VALUE"""),12139)</f>
        <v>12139</v>
      </c>
      <c r="E51" s="47">
        <f>IFERROR(__xludf.DUMMYFUNCTION("""COMPUTED_VALUE"""),45814.6458333333)</f>
        <v>45814.6458333333</v>
      </c>
      <c r="F51" s="48">
        <f>IFERROR(__xludf.DUMMYFUNCTION("""COMPUTED_VALUE"""),456129)</f>
        <v>456129</v>
      </c>
      <c r="G51" s="47">
        <f>IFERROR(__xludf.DUMMYFUNCTION("""COMPUTED_VALUE"""),45814.6458333333)</f>
        <v>45814.6458333333</v>
      </c>
      <c r="H51" s="48">
        <f>IFERROR(__xludf.DUMMYFUNCTION("""COMPUTED_VALUE"""),12535)</f>
        <v>12535</v>
      </c>
      <c r="I51" s="47">
        <f>IFERROR(__xludf.DUMMYFUNCTION("""COMPUTED_VALUE"""),45814.6458333333)</f>
        <v>45814.6458333333</v>
      </c>
      <c r="J51" s="48">
        <f>IFERROR(__xludf.DUMMYFUNCTION("""COMPUTED_VALUE"""),12100)</f>
        <v>12100</v>
      </c>
      <c r="K51" s="3">
        <f t="shared" si="2"/>
        <v>0</v>
      </c>
      <c r="L51" s="3">
        <f t="shared" si="3"/>
        <v>0</v>
      </c>
    </row>
    <row r="52" customHeight="1" spans="1:12">
      <c r="A52" s="47">
        <f>IFERROR(__xludf.DUMMYFUNCTION("""COMPUTED_VALUE"""),45817.6458333333)</f>
        <v>45817.6458333333</v>
      </c>
      <c r="B52" s="48">
        <f>IFERROR(__xludf.DUMMYFUNCTION("""COMPUTED_VALUE"""),12637)</f>
        <v>12637</v>
      </c>
      <c r="C52" s="47">
        <f>IFERROR(__xludf.DUMMYFUNCTION("""COMPUTED_VALUE"""),45817.6458333333)</f>
        <v>45817.6458333333</v>
      </c>
      <c r="D52" s="48">
        <f>IFERROR(__xludf.DUMMYFUNCTION("""COMPUTED_VALUE"""),12505)</f>
        <v>12505</v>
      </c>
      <c r="E52" s="47">
        <f>IFERROR(__xludf.DUMMYFUNCTION("""COMPUTED_VALUE"""),45817.6458333333)</f>
        <v>45817.6458333333</v>
      </c>
      <c r="F52" s="48">
        <f>IFERROR(__xludf.DUMMYFUNCTION("""COMPUTED_VALUE"""),323443)</f>
        <v>323443</v>
      </c>
      <c r="G52" s="47">
        <f>IFERROR(__xludf.DUMMYFUNCTION("""COMPUTED_VALUE"""),45817.6458333333)</f>
        <v>45817.6458333333</v>
      </c>
      <c r="H52" s="48">
        <f>IFERROR(__xludf.DUMMYFUNCTION("""COMPUTED_VALUE"""),12660)</f>
        <v>12660</v>
      </c>
      <c r="I52" s="47">
        <f>IFERROR(__xludf.DUMMYFUNCTION("""COMPUTED_VALUE"""),45817.6458333333)</f>
        <v>45817.6458333333</v>
      </c>
      <c r="J52" s="48">
        <f>IFERROR(__xludf.DUMMYFUNCTION("""COMPUTED_VALUE"""),12466)</f>
        <v>12466</v>
      </c>
      <c r="K52" s="3">
        <f t="shared" si="2"/>
        <v>12637</v>
      </c>
      <c r="L52" s="3">
        <f t="shared" si="3"/>
        <v>0</v>
      </c>
    </row>
    <row r="53" customHeight="1" spans="1:12">
      <c r="A53" s="47">
        <f>IFERROR(__xludf.DUMMYFUNCTION("""COMPUTED_VALUE"""),45818.6458333333)</f>
        <v>45818.6458333333</v>
      </c>
      <c r="B53" s="48">
        <f>IFERROR(__xludf.DUMMYFUNCTION("""COMPUTED_VALUE"""),12520)</f>
        <v>12520</v>
      </c>
      <c r="C53" s="47">
        <f>IFERROR(__xludf.DUMMYFUNCTION("""COMPUTED_VALUE"""),45818.6458333333)</f>
        <v>45818.6458333333</v>
      </c>
      <c r="D53" s="48">
        <f>IFERROR(__xludf.DUMMYFUNCTION("""COMPUTED_VALUE"""),12660)</f>
        <v>12660</v>
      </c>
      <c r="E53" s="47">
        <f>IFERROR(__xludf.DUMMYFUNCTION("""COMPUTED_VALUE"""),45818.6458333333)</f>
        <v>45818.6458333333</v>
      </c>
      <c r="F53" s="48">
        <f>IFERROR(__xludf.DUMMYFUNCTION("""COMPUTED_VALUE"""),325292)</f>
        <v>325292</v>
      </c>
      <c r="G53" s="47">
        <f>IFERROR(__xludf.DUMMYFUNCTION("""COMPUTED_VALUE"""),45818.6458333333)</f>
        <v>45818.6458333333</v>
      </c>
      <c r="H53" s="48">
        <f>IFERROR(__xludf.DUMMYFUNCTION("""COMPUTED_VALUE"""),12744)</f>
        <v>12744</v>
      </c>
      <c r="I53" s="47">
        <f>IFERROR(__xludf.DUMMYFUNCTION("""COMPUTED_VALUE"""),45818.6458333333)</f>
        <v>45818.6458333333</v>
      </c>
      <c r="J53" s="48">
        <f>IFERROR(__xludf.DUMMYFUNCTION("""COMPUTED_VALUE"""),12461)</f>
        <v>12461</v>
      </c>
      <c r="K53" s="3">
        <f t="shared" si="2"/>
        <v>0</v>
      </c>
      <c r="L53" s="3">
        <f t="shared" si="3"/>
        <v>0</v>
      </c>
    </row>
    <row r="54" customHeight="1" spans="1:12">
      <c r="A54" s="47">
        <f>IFERROR(__xludf.DUMMYFUNCTION("""COMPUTED_VALUE"""),45819.6458333333)</f>
        <v>45819.6458333333</v>
      </c>
      <c r="B54" s="48">
        <f>IFERROR(__xludf.DUMMYFUNCTION("""COMPUTED_VALUE"""),12452)</f>
        <v>12452</v>
      </c>
      <c r="C54" s="47">
        <f>IFERROR(__xludf.DUMMYFUNCTION("""COMPUTED_VALUE"""),45819.6458333333)</f>
        <v>45819.6458333333</v>
      </c>
      <c r="D54" s="48">
        <f>IFERROR(__xludf.DUMMYFUNCTION("""COMPUTED_VALUE"""),12470)</f>
        <v>12470</v>
      </c>
      <c r="E54" s="47">
        <f>IFERROR(__xludf.DUMMYFUNCTION("""COMPUTED_VALUE"""),45819.6458333333)</f>
        <v>45819.6458333333</v>
      </c>
      <c r="F54" s="48">
        <f>IFERROR(__xludf.DUMMYFUNCTION("""COMPUTED_VALUE"""),306061)</f>
        <v>306061</v>
      </c>
      <c r="G54" s="47">
        <f>IFERROR(__xludf.DUMMYFUNCTION("""COMPUTED_VALUE"""),45819.6458333333)</f>
        <v>45819.6458333333</v>
      </c>
      <c r="H54" s="48">
        <f>IFERROR(__xludf.DUMMYFUNCTION("""COMPUTED_VALUE"""),12560)</f>
        <v>12560</v>
      </c>
      <c r="I54" s="47">
        <f>IFERROR(__xludf.DUMMYFUNCTION("""COMPUTED_VALUE"""),45819.6458333333)</f>
        <v>45819.6458333333</v>
      </c>
      <c r="J54" s="48">
        <f>IFERROR(__xludf.DUMMYFUNCTION("""COMPUTED_VALUE"""),12427)</f>
        <v>12427</v>
      </c>
      <c r="K54" s="3">
        <f t="shared" si="2"/>
        <v>0</v>
      </c>
      <c r="L54" s="3">
        <f t="shared" si="3"/>
        <v>0</v>
      </c>
    </row>
    <row r="55" customHeight="1" spans="1:12">
      <c r="A55" s="47">
        <f>IFERROR(__xludf.DUMMYFUNCTION("""COMPUTED_VALUE"""),45820.6458333333)</f>
        <v>45820.6458333333</v>
      </c>
      <c r="B55" s="48">
        <f>IFERROR(__xludf.DUMMYFUNCTION("""COMPUTED_VALUE"""),12390)</f>
        <v>12390</v>
      </c>
      <c r="C55" s="47">
        <f>IFERROR(__xludf.DUMMYFUNCTION("""COMPUTED_VALUE"""),45820.6458333333)</f>
        <v>45820.6458333333</v>
      </c>
      <c r="D55" s="48">
        <f>IFERROR(__xludf.DUMMYFUNCTION("""COMPUTED_VALUE"""),12459)</f>
        <v>12459</v>
      </c>
      <c r="E55" s="47">
        <f>IFERROR(__xludf.DUMMYFUNCTION("""COMPUTED_VALUE"""),45820.6458333333)</f>
        <v>45820.6458333333</v>
      </c>
      <c r="F55" s="48">
        <f>IFERROR(__xludf.DUMMYFUNCTION("""COMPUTED_VALUE"""),347339)</f>
        <v>347339</v>
      </c>
      <c r="G55" s="47">
        <f>IFERROR(__xludf.DUMMYFUNCTION("""COMPUTED_VALUE"""),45820.6458333333)</f>
        <v>45820.6458333333</v>
      </c>
      <c r="H55" s="48">
        <f>IFERROR(__xludf.DUMMYFUNCTION("""COMPUTED_VALUE"""),12490)</f>
        <v>12490</v>
      </c>
      <c r="I55" s="47">
        <f>IFERROR(__xludf.DUMMYFUNCTION("""COMPUTED_VALUE"""),45820.6458333333)</f>
        <v>45820.6458333333</v>
      </c>
      <c r="J55" s="48">
        <f>IFERROR(__xludf.DUMMYFUNCTION("""COMPUTED_VALUE"""),12307)</f>
        <v>12307</v>
      </c>
      <c r="K55" s="3">
        <f t="shared" si="2"/>
        <v>0</v>
      </c>
      <c r="L55" s="3">
        <f t="shared" si="3"/>
        <v>0</v>
      </c>
    </row>
    <row r="56" customHeight="1" spans="1:12">
      <c r="A56" s="47">
        <f>IFERROR(__xludf.DUMMYFUNCTION("""COMPUTED_VALUE"""),45821.6458333333)</f>
        <v>45821.6458333333</v>
      </c>
      <c r="B56" s="48">
        <f>IFERROR(__xludf.DUMMYFUNCTION("""COMPUTED_VALUE"""),12408)</f>
        <v>12408</v>
      </c>
      <c r="C56" s="47">
        <f>IFERROR(__xludf.DUMMYFUNCTION("""COMPUTED_VALUE"""),45821.6458333333)</f>
        <v>45821.6458333333</v>
      </c>
      <c r="D56" s="48">
        <f>IFERROR(__xludf.DUMMYFUNCTION("""COMPUTED_VALUE"""),12200)</f>
        <v>12200</v>
      </c>
      <c r="E56" s="47">
        <f>IFERROR(__xludf.DUMMYFUNCTION("""COMPUTED_VALUE"""),45821.6458333333)</f>
        <v>45821.6458333333</v>
      </c>
      <c r="F56" s="48">
        <f>IFERROR(__xludf.DUMMYFUNCTION("""COMPUTED_VALUE"""),385493)</f>
        <v>385493</v>
      </c>
      <c r="G56" s="47">
        <f>IFERROR(__xludf.DUMMYFUNCTION("""COMPUTED_VALUE"""),45821.6458333333)</f>
        <v>45821.6458333333</v>
      </c>
      <c r="H56" s="48">
        <f>IFERROR(__xludf.DUMMYFUNCTION("""COMPUTED_VALUE"""),12425)</f>
        <v>12425</v>
      </c>
      <c r="I56" s="47">
        <f>IFERROR(__xludf.DUMMYFUNCTION("""COMPUTED_VALUE"""),45821.6458333333)</f>
        <v>45821.6458333333</v>
      </c>
      <c r="J56" s="48">
        <f>IFERROR(__xludf.DUMMYFUNCTION("""COMPUTED_VALUE"""),12176)</f>
        <v>12176</v>
      </c>
      <c r="K56" s="3">
        <f t="shared" si="2"/>
        <v>0</v>
      </c>
      <c r="L56" s="3">
        <f t="shared" si="3"/>
        <v>0</v>
      </c>
    </row>
    <row r="57" customHeight="1" spans="1:12">
      <c r="A57" s="47">
        <f>IFERROR(__xludf.DUMMYFUNCTION("""COMPUTED_VALUE"""),45824.6458333333)</f>
        <v>45824.6458333333</v>
      </c>
      <c r="B57" s="48">
        <f>IFERROR(__xludf.DUMMYFUNCTION("""COMPUTED_VALUE"""),12530)</f>
        <v>12530</v>
      </c>
      <c r="C57" s="47">
        <f>IFERROR(__xludf.DUMMYFUNCTION("""COMPUTED_VALUE"""),45824.6458333333)</f>
        <v>45824.6458333333</v>
      </c>
      <c r="D57" s="48">
        <f>IFERROR(__xludf.DUMMYFUNCTION("""COMPUTED_VALUE"""),12404)</f>
        <v>12404</v>
      </c>
      <c r="E57" s="47">
        <f>IFERROR(__xludf.DUMMYFUNCTION("""COMPUTED_VALUE"""),45824.6458333333)</f>
        <v>45824.6458333333</v>
      </c>
      <c r="F57" s="48">
        <f>IFERROR(__xludf.DUMMYFUNCTION("""COMPUTED_VALUE"""),184242)</f>
        <v>184242</v>
      </c>
      <c r="G57" s="47">
        <f>IFERROR(__xludf.DUMMYFUNCTION("""COMPUTED_VALUE"""),45824.6458333333)</f>
        <v>45824.6458333333</v>
      </c>
      <c r="H57" s="48">
        <f>IFERROR(__xludf.DUMMYFUNCTION("""COMPUTED_VALUE"""),12567)</f>
        <v>12567</v>
      </c>
      <c r="I57" s="47">
        <f>IFERROR(__xludf.DUMMYFUNCTION("""COMPUTED_VALUE"""),45824.6458333333)</f>
        <v>45824.6458333333</v>
      </c>
      <c r="J57" s="48">
        <f>IFERROR(__xludf.DUMMYFUNCTION("""COMPUTED_VALUE"""),12336)</f>
        <v>12336</v>
      </c>
      <c r="K57" s="3">
        <f t="shared" si="2"/>
        <v>0</v>
      </c>
      <c r="L57" s="3">
        <f t="shared" si="3"/>
        <v>0</v>
      </c>
    </row>
    <row r="58" customHeight="1" spans="1:12">
      <c r="A58" s="47">
        <f>IFERROR(__xludf.DUMMYFUNCTION("""COMPUTED_VALUE"""),45825.6458333333)</f>
        <v>45825.6458333333</v>
      </c>
      <c r="B58" s="48">
        <f>IFERROR(__xludf.DUMMYFUNCTION("""COMPUTED_VALUE"""),12595)</f>
        <v>12595</v>
      </c>
      <c r="C58" s="47">
        <f>IFERROR(__xludf.DUMMYFUNCTION("""COMPUTED_VALUE"""),45825.6458333333)</f>
        <v>45825.6458333333</v>
      </c>
      <c r="D58" s="48">
        <f>IFERROR(__xludf.DUMMYFUNCTION("""COMPUTED_VALUE"""),12529)</f>
        <v>12529</v>
      </c>
      <c r="E58" s="47">
        <f>IFERROR(__xludf.DUMMYFUNCTION("""COMPUTED_VALUE"""),45825.6458333333)</f>
        <v>45825.6458333333</v>
      </c>
      <c r="F58" s="48">
        <f>IFERROR(__xludf.DUMMYFUNCTION("""COMPUTED_VALUE"""),226597)</f>
        <v>226597</v>
      </c>
      <c r="G58" s="47">
        <f>IFERROR(__xludf.DUMMYFUNCTION("""COMPUTED_VALUE"""),45825.6458333333)</f>
        <v>45825.6458333333</v>
      </c>
      <c r="H58" s="48">
        <f>IFERROR(__xludf.DUMMYFUNCTION("""COMPUTED_VALUE"""),12615)</f>
        <v>12615</v>
      </c>
      <c r="I58" s="47">
        <f>IFERROR(__xludf.DUMMYFUNCTION("""COMPUTED_VALUE"""),45825.6458333333)</f>
        <v>45825.6458333333</v>
      </c>
      <c r="J58" s="48">
        <f>IFERROR(__xludf.DUMMYFUNCTION("""COMPUTED_VALUE"""),12470)</f>
        <v>12470</v>
      </c>
      <c r="K58" s="3">
        <f t="shared" si="2"/>
        <v>0</v>
      </c>
      <c r="L58" s="3">
        <f t="shared" si="3"/>
        <v>0</v>
      </c>
    </row>
    <row r="59" customHeight="1" spans="1:12">
      <c r="A59" s="47">
        <f>IFERROR(__xludf.DUMMYFUNCTION("""COMPUTED_VALUE"""),45826.6458333333)</f>
        <v>45826.6458333333</v>
      </c>
      <c r="B59" s="48">
        <f>IFERROR(__xludf.DUMMYFUNCTION("""COMPUTED_VALUE"""),12748)</f>
        <v>12748</v>
      </c>
      <c r="C59" s="47">
        <f>IFERROR(__xludf.DUMMYFUNCTION("""COMPUTED_VALUE"""),45826.6458333333)</f>
        <v>45826.6458333333</v>
      </c>
      <c r="D59" s="48">
        <f>IFERROR(__xludf.DUMMYFUNCTION("""COMPUTED_VALUE"""),12620)</f>
        <v>12620</v>
      </c>
      <c r="E59" s="47">
        <f>IFERROR(__xludf.DUMMYFUNCTION("""COMPUTED_VALUE"""),45826.6458333333)</f>
        <v>45826.6458333333</v>
      </c>
      <c r="F59" s="48">
        <f>IFERROR(__xludf.DUMMYFUNCTION("""COMPUTED_VALUE"""),467738)</f>
        <v>467738</v>
      </c>
      <c r="G59" s="47">
        <f>IFERROR(__xludf.DUMMYFUNCTION("""COMPUTED_VALUE"""),45826.6458333333)</f>
        <v>45826.6458333333</v>
      </c>
      <c r="H59" s="48">
        <f>IFERROR(__xludf.DUMMYFUNCTION("""COMPUTED_VALUE"""),12880)</f>
        <v>12880</v>
      </c>
      <c r="I59" s="47">
        <f>IFERROR(__xludf.DUMMYFUNCTION("""COMPUTED_VALUE"""),45826.6458333333)</f>
        <v>45826.6458333333</v>
      </c>
      <c r="J59" s="48">
        <f>IFERROR(__xludf.DUMMYFUNCTION("""COMPUTED_VALUE"""),12550)</f>
        <v>12550</v>
      </c>
      <c r="K59" s="3">
        <f t="shared" si="2"/>
        <v>0</v>
      </c>
      <c r="L59" s="3">
        <f t="shared" si="3"/>
        <v>0</v>
      </c>
    </row>
    <row r="60" customHeight="1" spans="1:12">
      <c r="A60" s="47">
        <f>IFERROR(__xludf.DUMMYFUNCTION("""COMPUTED_VALUE"""),45827.6458333333)</f>
        <v>45827.6458333333</v>
      </c>
      <c r="B60" s="48">
        <f>IFERROR(__xludf.DUMMYFUNCTION("""COMPUTED_VALUE"""),12806)</f>
        <v>12806</v>
      </c>
      <c r="C60" s="47">
        <f>IFERROR(__xludf.DUMMYFUNCTION("""COMPUTED_VALUE"""),45827.6458333333)</f>
        <v>45827.6458333333</v>
      </c>
      <c r="D60" s="48">
        <f>IFERROR(__xludf.DUMMYFUNCTION("""COMPUTED_VALUE"""),12750)</f>
        <v>12750</v>
      </c>
      <c r="E60" s="47">
        <f>IFERROR(__xludf.DUMMYFUNCTION("""COMPUTED_VALUE"""),45827.6458333333)</f>
        <v>45827.6458333333</v>
      </c>
      <c r="F60" s="48">
        <f>IFERROR(__xludf.DUMMYFUNCTION("""COMPUTED_VALUE"""),339117)</f>
        <v>339117</v>
      </c>
      <c r="G60" s="47">
        <f>IFERROR(__xludf.DUMMYFUNCTION("""COMPUTED_VALUE"""),45827.6458333333)</f>
        <v>45827.6458333333</v>
      </c>
      <c r="H60" s="48">
        <f>IFERROR(__xludf.DUMMYFUNCTION("""COMPUTED_VALUE"""),12825)</f>
        <v>12825</v>
      </c>
      <c r="I60" s="47">
        <f>IFERROR(__xludf.DUMMYFUNCTION("""COMPUTED_VALUE"""),45827.6458333333)</f>
        <v>45827.6458333333</v>
      </c>
      <c r="J60" s="48">
        <f>IFERROR(__xludf.DUMMYFUNCTION("""COMPUTED_VALUE"""),12714)</f>
        <v>12714</v>
      </c>
      <c r="K60" s="3">
        <f t="shared" si="2"/>
        <v>12806</v>
      </c>
      <c r="L60" s="3">
        <f t="shared" si="3"/>
        <v>0</v>
      </c>
    </row>
    <row r="61" customHeight="1" spans="1:12">
      <c r="A61" s="47">
        <f>IFERROR(__xludf.DUMMYFUNCTION("""COMPUTED_VALUE"""),45828.6458333333)</f>
        <v>45828.6458333333</v>
      </c>
      <c r="B61" s="48">
        <f>IFERROR(__xludf.DUMMYFUNCTION("""COMPUTED_VALUE"""),12791)</f>
        <v>12791</v>
      </c>
      <c r="C61" s="47">
        <f>IFERROR(__xludf.DUMMYFUNCTION("""COMPUTED_VALUE"""),45828.6458333333)</f>
        <v>45828.6458333333</v>
      </c>
      <c r="D61" s="48">
        <f>IFERROR(__xludf.DUMMYFUNCTION("""COMPUTED_VALUE"""),12809)</f>
        <v>12809</v>
      </c>
      <c r="E61" s="47">
        <f>IFERROR(__xludf.DUMMYFUNCTION("""COMPUTED_VALUE"""),45828.6458333333)</f>
        <v>45828.6458333333</v>
      </c>
      <c r="F61" s="48">
        <f>IFERROR(__xludf.DUMMYFUNCTION("""COMPUTED_VALUE"""),652128)</f>
        <v>652128</v>
      </c>
      <c r="G61" s="47">
        <f>IFERROR(__xludf.DUMMYFUNCTION("""COMPUTED_VALUE"""),45828.6458333333)</f>
        <v>45828.6458333333</v>
      </c>
      <c r="H61" s="48">
        <f>IFERROR(__xludf.DUMMYFUNCTION("""COMPUTED_VALUE"""),12890)</f>
        <v>12890</v>
      </c>
      <c r="I61" s="47">
        <f>IFERROR(__xludf.DUMMYFUNCTION("""COMPUTED_VALUE"""),45828.6458333333)</f>
        <v>45828.6458333333</v>
      </c>
      <c r="J61" s="48">
        <f>IFERROR(__xludf.DUMMYFUNCTION("""COMPUTED_VALUE"""),12728)</f>
        <v>12728</v>
      </c>
      <c r="K61" s="3">
        <f t="shared" si="2"/>
        <v>0</v>
      </c>
      <c r="L61" s="3">
        <f t="shared" si="3"/>
        <v>0</v>
      </c>
    </row>
    <row r="62" customHeight="1" spans="1:12">
      <c r="A62" s="47">
        <f>IFERROR(__xludf.DUMMYFUNCTION("""COMPUTED_VALUE"""),45831.6458333333)</f>
        <v>45831.6458333333</v>
      </c>
      <c r="B62" s="48">
        <f>IFERROR(__xludf.DUMMYFUNCTION("""COMPUTED_VALUE"""),12699)</f>
        <v>12699</v>
      </c>
      <c r="C62" s="47">
        <f>IFERROR(__xludf.DUMMYFUNCTION("""COMPUTED_VALUE"""),45831.6458333333)</f>
        <v>45831.6458333333</v>
      </c>
      <c r="D62" s="48">
        <f>IFERROR(__xludf.DUMMYFUNCTION("""COMPUTED_VALUE"""),12771)</f>
        <v>12771</v>
      </c>
      <c r="E62" s="47">
        <f>IFERROR(__xludf.DUMMYFUNCTION("""COMPUTED_VALUE"""),45831.6458333333)</f>
        <v>45831.6458333333</v>
      </c>
      <c r="F62" s="48">
        <f>IFERROR(__xludf.DUMMYFUNCTION("""COMPUTED_VALUE"""),192037)</f>
        <v>192037</v>
      </c>
      <c r="G62" s="47">
        <f>IFERROR(__xludf.DUMMYFUNCTION("""COMPUTED_VALUE"""),45831.6458333333)</f>
        <v>45831.6458333333</v>
      </c>
      <c r="H62" s="48">
        <f>IFERROR(__xludf.DUMMYFUNCTION("""COMPUTED_VALUE"""),12786)</f>
        <v>12786</v>
      </c>
      <c r="I62" s="47">
        <f>IFERROR(__xludf.DUMMYFUNCTION("""COMPUTED_VALUE"""),45831.6458333333)</f>
        <v>45831.6458333333</v>
      </c>
      <c r="J62" s="48">
        <f>IFERROR(__xludf.DUMMYFUNCTION("""COMPUTED_VALUE"""),12666)</f>
        <v>12666</v>
      </c>
      <c r="K62" s="3">
        <f t="shared" si="2"/>
        <v>0</v>
      </c>
      <c r="L62" s="3">
        <f t="shared" si="3"/>
        <v>0</v>
      </c>
    </row>
    <row r="63" customHeight="1" spans="1:12">
      <c r="A63" s="47">
        <f>IFERROR(__xludf.DUMMYFUNCTION("""COMPUTED_VALUE"""),45832.6458333333)</f>
        <v>45832.6458333333</v>
      </c>
      <c r="B63" s="48">
        <f>IFERROR(__xludf.DUMMYFUNCTION("""COMPUTED_VALUE"""),12611)</f>
        <v>12611</v>
      </c>
      <c r="C63" s="47">
        <f>IFERROR(__xludf.DUMMYFUNCTION("""COMPUTED_VALUE"""),45832.6458333333)</f>
        <v>45832.6458333333</v>
      </c>
      <c r="D63" s="48">
        <f>IFERROR(__xludf.DUMMYFUNCTION("""COMPUTED_VALUE"""),12830)</f>
        <v>12830</v>
      </c>
      <c r="E63" s="47">
        <f>IFERROR(__xludf.DUMMYFUNCTION("""COMPUTED_VALUE"""),45832.6458333333)</f>
        <v>45832.6458333333</v>
      </c>
      <c r="F63" s="48">
        <f>IFERROR(__xludf.DUMMYFUNCTION("""COMPUTED_VALUE"""),332717)</f>
        <v>332717</v>
      </c>
      <c r="G63" s="47">
        <f>IFERROR(__xludf.DUMMYFUNCTION("""COMPUTED_VALUE"""),45832.6458333333)</f>
        <v>45832.6458333333</v>
      </c>
      <c r="H63" s="48">
        <f>IFERROR(__xludf.DUMMYFUNCTION("""COMPUTED_VALUE"""),12855)</f>
        <v>12855</v>
      </c>
      <c r="I63" s="47">
        <f>IFERROR(__xludf.DUMMYFUNCTION("""COMPUTED_VALUE"""),45832.6458333333)</f>
        <v>45832.6458333333</v>
      </c>
      <c r="J63" s="48">
        <f>IFERROR(__xludf.DUMMYFUNCTION("""COMPUTED_VALUE"""),12553)</f>
        <v>12553</v>
      </c>
      <c r="K63" s="3">
        <f t="shared" si="2"/>
        <v>0</v>
      </c>
      <c r="L63" s="3">
        <f t="shared" si="3"/>
        <v>0</v>
      </c>
    </row>
    <row r="64" customHeight="1" spans="1:12">
      <c r="A64" s="47">
        <f>IFERROR(__xludf.DUMMYFUNCTION("""COMPUTED_VALUE"""),45833.6458333333)</f>
        <v>45833.6458333333</v>
      </c>
      <c r="B64" s="48">
        <f>IFERROR(__xludf.DUMMYFUNCTION("""COMPUTED_VALUE"""),12767)</f>
        <v>12767</v>
      </c>
      <c r="C64" s="47">
        <f>IFERROR(__xludf.DUMMYFUNCTION("""COMPUTED_VALUE"""),45833.6458333333)</f>
        <v>45833.6458333333</v>
      </c>
      <c r="D64" s="48">
        <f>IFERROR(__xludf.DUMMYFUNCTION("""COMPUTED_VALUE"""),12684)</f>
        <v>12684</v>
      </c>
      <c r="E64" s="47">
        <f>IFERROR(__xludf.DUMMYFUNCTION("""COMPUTED_VALUE"""),45833.6458333333)</f>
        <v>45833.6458333333</v>
      </c>
      <c r="F64" s="48">
        <f>IFERROR(__xludf.DUMMYFUNCTION("""COMPUTED_VALUE"""),316536)</f>
        <v>316536</v>
      </c>
      <c r="G64" s="47">
        <f>IFERROR(__xludf.DUMMYFUNCTION("""COMPUTED_VALUE"""),45833.6458333333)</f>
        <v>45833.6458333333</v>
      </c>
      <c r="H64" s="48">
        <f>IFERROR(__xludf.DUMMYFUNCTION("""COMPUTED_VALUE"""),12807)</f>
        <v>12807</v>
      </c>
      <c r="I64" s="47">
        <f>IFERROR(__xludf.DUMMYFUNCTION("""COMPUTED_VALUE"""),45833.6458333333)</f>
        <v>45833.6458333333</v>
      </c>
      <c r="J64" s="48">
        <f>IFERROR(__xludf.DUMMYFUNCTION("""COMPUTED_VALUE"""),12617)</f>
        <v>12617</v>
      </c>
      <c r="K64" s="3">
        <f t="shared" si="2"/>
        <v>0</v>
      </c>
      <c r="L64" s="3">
        <f t="shared" si="3"/>
        <v>0</v>
      </c>
    </row>
    <row r="65" customHeight="1" spans="1:12">
      <c r="A65" s="47">
        <f>IFERROR(__xludf.DUMMYFUNCTION("""COMPUTED_VALUE"""),45834.6458333333)</f>
        <v>45834.6458333333</v>
      </c>
      <c r="B65" s="48">
        <f>IFERROR(__xludf.DUMMYFUNCTION("""COMPUTED_VALUE"""),12715)</f>
        <v>12715</v>
      </c>
      <c r="C65" s="47">
        <f>IFERROR(__xludf.DUMMYFUNCTION("""COMPUTED_VALUE"""),45834.6458333333)</f>
        <v>45834.6458333333</v>
      </c>
      <c r="D65" s="48">
        <f>IFERROR(__xludf.DUMMYFUNCTION("""COMPUTED_VALUE"""),12780)</f>
        <v>12780</v>
      </c>
      <c r="E65" s="47">
        <f>IFERROR(__xludf.DUMMYFUNCTION("""COMPUTED_VALUE"""),45834.6458333333)</f>
        <v>45834.6458333333</v>
      </c>
      <c r="F65" s="48">
        <f>IFERROR(__xludf.DUMMYFUNCTION("""COMPUTED_VALUE"""),354735)</f>
        <v>354735</v>
      </c>
      <c r="G65" s="47">
        <f>IFERROR(__xludf.DUMMYFUNCTION("""COMPUTED_VALUE"""),45834.6458333333)</f>
        <v>45834.6458333333</v>
      </c>
      <c r="H65" s="48">
        <f>IFERROR(__xludf.DUMMYFUNCTION("""COMPUTED_VALUE"""),12848)</f>
        <v>12848</v>
      </c>
      <c r="I65" s="47">
        <f>IFERROR(__xludf.DUMMYFUNCTION("""COMPUTED_VALUE"""),45834.6458333333)</f>
        <v>45834.6458333333</v>
      </c>
      <c r="J65" s="48">
        <f>IFERROR(__xludf.DUMMYFUNCTION("""COMPUTED_VALUE"""),12689)</f>
        <v>12689</v>
      </c>
      <c r="K65" s="3">
        <f t="shared" si="2"/>
        <v>0</v>
      </c>
      <c r="L65" s="3">
        <f t="shared" si="3"/>
        <v>0</v>
      </c>
    </row>
    <row r="66" customHeight="1" spans="1:12">
      <c r="A66" s="47">
        <f>IFERROR(__xludf.DUMMYFUNCTION("""COMPUTED_VALUE"""),45835.6458333333)</f>
        <v>45835.6458333333</v>
      </c>
      <c r="B66" s="48">
        <f>IFERROR(__xludf.DUMMYFUNCTION("""COMPUTED_VALUE"""),12642)</f>
        <v>12642</v>
      </c>
      <c r="C66" s="47">
        <f>IFERROR(__xludf.DUMMYFUNCTION("""COMPUTED_VALUE"""),45835.6458333333)</f>
        <v>45835.6458333333</v>
      </c>
      <c r="D66" s="48">
        <f>IFERROR(__xludf.DUMMYFUNCTION("""COMPUTED_VALUE"""),12750)</f>
        <v>12750</v>
      </c>
      <c r="E66" s="47">
        <f>IFERROR(__xludf.DUMMYFUNCTION("""COMPUTED_VALUE"""),45835.6458333333)</f>
        <v>45835.6458333333</v>
      </c>
      <c r="F66" s="48">
        <f>IFERROR(__xludf.DUMMYFUNCTION("""COMPUTED_VALUE"""),346403)</f>
        <v>346403</v>
      </c>
      <c r="G66" s="47">
        <f>IFERROR(__xludf.DUMMYFUNCTION("""COMPUTED_VALUE"""),45835.6458333333)</f>
        <v>45835.6458333333</v>
      </c>
      <c r="H66" s="48">
        <f>IFERROR(__xludf.DUMMYFUNCTION("""COMPUTED_VALUE"""),12799)</f>
        <v>12799</v>
      </c>
      <c r="I66" s="47">
        <f>IFERROR(__xludf.DUMMYFUNCTION("""COMPUTED_VALUE"""),45835.6458333333)</f>
        <v>45835.6458333333</v>
      </c>
      <c r="J66" s="48">
        <f>IFERROR(__xludf.DUMMYFUNCTION("""COMPUTED_VALUE"""),12621)</f>
        <v>12621</v>
      </c>
      <c r="K66" s="3">
        <f t="shared" si="2"/>
        <v>0</v>
      </c>
      <c r="L66" s="3">
        <f t="shared" si="3"/>
        <v>0</v>
      </c>
    </row>
    <row r="67" customHeight="1" spans="1:12">
      <c r="A67" s="47">
        <f>IFERROR(__xludf.DUMMYFUNCTION("""COMPUTED_VALUE"""),45838.6458333333)</f>
        <v>45838.6458333333</v>
      </c>
      <c r="B67" s="48">
        <f>IFERROR(__xludf.DUMMYFUNCTION("""COMPUTED_VALUE"""),12400)</f>
        <v>12400</v>
      </c>
      <c r="C67" s="47">
        <f>IFERROR(__xludf.DUMMYFUNCTION("""COMPUTED_VALUE"""),45838.6458333333)</f>
        <v>45838.6458333333</v>
      </c>
      <c r="D67" s="48">
        <f>IFERROR(__xludf.DUMMYFUNCTION("""COMPUTED_VALUE"""),12667)</f>
        <v>12667</v>
      </c>
      <c r="E67" s="47">
        <f>IFERROR(__xludf.DUMMYFUNCTION("""COMPUTED_VALUE"""),45838.6458333333)</f>
        <v>45838.6458333333</v>
      </c>
      <c r="F67" s="48">
        <f>IFERROR(__xludf.DUMMYFUNCTION("""COMPUTED_VALUE"""),448956)</f>
        <v>448956</v>
      </c>
      <c r="G67" s="47">
        <f>IFERROR(__xludf.DUMMYFUNCTION("""COMPUTED_VALUE"""),45838.6458333333)</f>
        <v>45838.6458333333</v>
      </c>
      <c r="H67" s="48">
        <f>IFERROR(__xludf.DUMMYFUNCTION("""COMPUTED_VALUE"""),12675)</f>
        <v>12675</v>
      </c>
      <c r="I67" s="47">
        <f>IFERROR(__xludf.DUMMYFUNCTION("""COMPUTED_VALUE"""),45838.6458333333)</f>
        <v>45838.6458333333</v>
      </c>
      <c r="J67" s="48">
        <f>IFERROR(__xludf.DUMMYFUNCTION("""COMPUTED_VALUE"""),12332)</f>
        <v>12332</v>
      </c>
      <c r="K67" s="3">
        <f t="shared" si="2"/>
        <v>0</v>
      </c>
      <c r="L67" s="3">
        <f t="shared" si="3"/>
        <v>12400</v>
      </c>
    </row>
    <row r="68" customHeight="1" spans="1:12">
      <c r="A68" s="47">
        <f>IFERROR(__xludf.DUMMYFUNCTION("""COMPUTED_VALUE"""),45839.6458333333)</f>
        <v>45839.6458333333</v>
      </c>
      <c r="B68" s="48">
        <f>IFERROR(__xludf.DUMMYFUNCTION("""COMPUTED_VALUE"""),12442)</f>
        <v>12442</v>
      </c>
      <c r="C68" s="47">
        <f>IFERROR(__xludf.DUMMYFUNCTION("""COMPUTED_VALUE"""),45839.6458333333)</f>
        <v>45839.6458333333</v>
      </c>
      <c r="D68" s="48">
        <f>IFERROR(__xludf.DUMMYFUNCTION("""COMPUTED_VALUE"""),12450)</f>
        <v>12450</v>
      </c>
      <c r="E68" s="47">
        <f>IFERROR(__xludf.DUMMYFUNCTION("""COMPUTED_VALUE"""),45839.6458333333)</f>
        <v>45839.6458333333</v>
      </c>
      <c r="F68" s="48">
        <f>IFERROR(__xludf.DUMMYFUNCTION("""COMPUTED_VALUE"""),283481)</f>
        <v>283481</v>
      </c>
      <c r="G68" s="47">
        <f>IFERROR(__xludf.DUMMYFUNCTION("""COMPUTED_VALUE"""),45839.6458333333)</f>
        <v>45839.6458333333</v>
      </c>
      <c r="H68" s="48">
        <f>IFERROR(__xludf.DUMMYFUNCTION("""COMPUTED_VALUE"""),12459)</f>
        <v>12459</v>
      </c>
      <c r="I68" s="47">
        <f>IFERROR(__xludf.DUMMYFUNCTION("""COMPUTED_VALUE"""),45839.6458333333)</f>
        <v>45839.6458333333</v>
      </c>
      <c r="J68" s="48">
        <f>IFERROR(__xludf.DUMMYFUNCTION("""COMPUTED_VALUE"""),12320)</f>
        <v>12320</v>
      </c>
      <c r="K68" s="3">
        <f t="shared" si="2"/>
        <v>0</v>
      </c>
      <c r="L68" s="3">
        <f t="shared" si="3"/>
        <v>0</v>
      </c>
    </row>
    <row r="69" customHeight="1" spans="1:12">
      <c r="A69" s="47">
        <f>IFERROR(__xludf.DUMMYFUNCTION("""COMPUTED_VALUE"""),45840.6458333333)</f>
        <v>45840.6458333333</v>
      </c>
      <c r="B69" s="48">
        <f>IFERROR(__xludf.DUMMYFUNCTION("""COMPUTED_VALUE"""),12622)</f>
        <v>12622</v>
      </c>
      <c r="C69" s="47">
        <f>IFERROR(__xludf.DUMMYFUNCTION("""COMPUTED_VALUE"""),45840.6458333333)</f>
        <v>45840.6458333333</v>
      </c>
      <c r="D69" s="48">
        <f>IFERROR(__xludf.DUMMYFUNCTION("""COMPUTED_VALUE"""),12380)</f>
        <v>12380</v>
      </c>
      <c r="E69" s="47">
        <f>IFERROR(__xludf.DUMMYFUNCTION("""COMPUTED_VALUE"""),45840.6458333333)</f>
        <v>45840.6458333333</v>
      </c>
      <c r="F69" s="48">
        <f>IFERROR(__xludf.DUMMYFUNCTION("""COMPUTED_VALUE"""),609735)</f>
        <v>609735</v>
      </c>
      <c r="G69" s="47">
        <f>IFERROR(__xludf.DUMMYFUNCTION("""COMPUTED_VALUE"""),45840.6458333333)</f>
        <v>45840.6458333333</v>
      </c>
      <c r="H69" s="48">
        <f>IFERROR(__xludf.DUMMYFUNCTION("""COMPUTED_VALUE"""),12643)</f>
        <v>12643</v>
      </c>
      <c r="I69" s="47">
        <f>IFERROR(__xludf.DUMMYFUNCTION("""COMPUTED_VALUE"""),45840.6458333333)</f>
        <v>45840.6458333333</v>
      </c>
      <c r="J69" s="48">
        <f>IFERROR(__xludf.DUMMYFUNCTION("""COMPUTED_VALUE"""),12359)</f>
        <v>12359</v>
      </c>
      <c r="K69" s="3">
        <f t="shared" si="2"/>
        <v>0</v>
      </c>
      <c r="L69" s="3">
        <f t="shared" si="3"/>
        <v>0</v>
      </c>
    </row>
    <row r="70" customHeight="1" spans="1:12">
      <c r="A70" s="47">
        <f>IFERROR(__xludf.DUMMYFUNCTION("""COMPUTED_VALUE"""),45841.6458333333)</f>
        <v>45841.6458333333</v>
      </c>
      <c r="B70" s="48">
        <f>IFERROR(__xludf.DUMMYFUNCTION("""COMPUTED_VALUE"""),12752)</f>
        <v>12752</v>
      </c>
      <c r="C70" s="47">
        <f>IFERROR(__xludf.DUMMYFUNCTION("""COMPUTED_VALUE"""),45841.6458333333)</f>
        <v>45841.6458333333</v>
      </c>
      <c r="D70" s="48">
        <f>IFERROR(__xludf.DUMMYFUNCTION("""COMPUTED_VALUE"""),12630)</f>
        <v>12630</v>
      </c>
      <c r="E70" s="47">
        <f>IFERROR(__xludf.DUMMYFUNCTION("""COMPUTED_VALUE"""),45841.6458333333)</f>
        <v>45841.6458333333</v>
      </c>
      <c r="F70" s="48">
        <f>IFERROR(__xludf.DUMMYFUNCTION("""COMPUTED_VALUE"""),606221)</f>
        <v>606221</v>
      </c>
      <c r="G70" s="47">
        <f>IFERROR(__xludf.DUMMYFUNCTION("""COMPUTED_VALUE"""),45841.6458333333)</f>
        <v>45841.6458333333</v>
      </c>
      <c r="H70" s="48">
        <f>IFERROR(__xludf.DUMMYFUNCTION("""COMPUTED_VALUE"""),12820)</f>
        <v>12820</v>
      </c>
      <c r="I70" s="47">
        <f>IFERROR(__xludf.DUMMYFUNCTION("""COMPUTED_VALUE"""),45841.6458333333)</f>
        <v>45841.6458333333</v>
      </c>
      <c r="J70" s="48">
        <f>IFERROR(__xludf.DUMMYFUNCTION("""COMPUTED_VALUE"""),12590)</f>
        <v>12590</v>
      </c>
      <c r="K70" s="3">
        <f t="shared" si="2"/>
        <v>0</v>
      </c>
      <c r="L70" s="3">
        <f t="shared" si="3"/>
        <v>0</v>
      </c>
    </row>
    <row r="71" customHeight="1" spans="1:12">
      <c r="A71" s="47">
        <f>IFERROR(__xludf.DUMMYFUNCTION("""COMPUTED_VALUE"""),45842.6458333333)</f>
        <v>45842.6458333333</v>
      </c>
      <c r="B71" s="48">
        <f>IFERROR(__xludf.DUMMYFUNCTION("""COMPUTED_VALUE"""),12646)</f>
        <v>12646</v>
      </c>
      <c r="C71" s="47">
        <f>IFERROR(__xludf.DUMMYFUNCTION("""COMPUTED_VALUE"""),45842.6458333333)</f>
        <v>45842.6458333333</v>
      </c>
      <c r="D71" s="48">
        <f>IFERROR(__xludf.DUMMYFUNCTION("""COMPUTED_VALUE"""),12715)</f>
        <v>12715</v>
      </c>
      <c r="E71" s="47">
        <f>IFERROR(__xludf.DUMMYFUNCTION("""COMPUTED_VALUE"""),45842.6458333333)</f>
        <v>45842.6458333333</v>
      </c>
      <c r="F71" s="48">
        <f>IFERROR(__xludf.DUMMYFUNCTION("""COMPUTED_VALUE"""),225607)</f>
        <v>225607</v>
      </c>
      <c r="G71" s="47">
        <f>IFERROR(__xludf.DUMMYFUNCTION("""COMPUTED_VALUE"""),45842.6458333333)</f>
        <v>45842.6458333333</v>
      </c>
      <c r="H71" s="48">
        <f>IFERROR(__xludf.DUMMYFUNCTION("""COMPUTED_VALUE"""),12748)</f>
        <v>12748</v>
      </c>
      <c r="I71" s="47">
        <f>IFERROR(__xludf.DUMMYFUNCTION("""COMPUTED_VALUE"""),45842.6458333333)</f>
        <v>45842.6458333333</v>
      </c>
      <c r="J71" s="48">
        <f>IFERROR(__xludf.DUMMYFUNCTION("""COMPUTED_VALUE"""),12608)</f>
        <v>12608</v>
      </c>
      <c r="K71" s="3">
        <f t="shared" si="2"/>
        <v>0</v>
      </c>
      <c r="L71" s="3">
        <f t="shared" si="3"/>
        <v>0</v>
      </c>
    </row>
    <row r="72" customHeight="1" spans="1:12">
      <c r="A72" s="47">
        <f>IFERROR(__xludf.DUMMYFUNCTION("""COMPUTED_VALUE"""),45845.6458333333)</f>
        <v>45845.6458333333</v>
      </c>
      <c r="B72" s="48">
        <f>IFERROR(__xludf.DUMMYFUNCTION("""COMPUTED_VALUE"""),12520)</f>
        <v>12520</v>
      </c>
      <c r="C72" s="47">
        <f>IFERROR(__xludf.DUMMYFUNCTION("""COMPUTED_VALUE"""),45845.6458333333)</f>
        <v>45845.6458333333</v>
      </c>
      <c r="D72" s="48">
        <f>IFERROR(__xludf.DUMMYFUNCTION("""COMPUTED_VALUE"""),12647)</f>
        <v>12647</v>
      </c>
      <c r="E72" s="47">
        <f>IFERROR(__xludf.DUMMYFUNCTION("""COMPUTED_VALUE"""),45845.6458333333)</f>
        <v>45845.6458333333</v>
      </c>
      <c r="F72" s="48">
        <f>IFERROR(__xludf.DUMMYFUNCTION("""COMPUTED_VALUE"""),220116)</f>
        <v>220116</v>
      </c>
      <c r="G72" s="47">
        <f>IFERROR(__xludf.DUMMYFUNCTION("""COMPUTED_VALUE"""),45845.6458333333)</f>
        <v>45845.6458333333</v>
      </c>
      <c r="H72" s="48">
        <f>IFERROR(__xludf.DUMMYFUNCTION("""COMPUTED_VALUE"""),12670)</f>
        <v>12670</v>
      </c>
      <c r="I72" s="47">
        <f>IFERROR(__xludf.DUMMYFUNCTION("""COMPUTED_VALUE"""),45845.6458333333)</f>
        <v>45845.6458333333</v>
      </c>
      <c r="J72" s="48">
        <f>IFERROR(__xludf.DUMMYFUNCTION("""COMPUTED_VALUE"""),12471)</f>
        <v>12471</v>
      </c>
      <c r="K72" s="3">
        <f t="shared" si="2"/>
        <v>0</v>
      </c>
      <c r="L72" s="3">
        <f t="shared" si="3"/>
        <v>0</v>
      </c>
    </row>
    <row r="73" customHeight="1" spans="1:12">
      <c r="A73" s="47">
        <f>IFERROR(__xludf.DUMMYFUNCTION("""COMPUTED_VALUE"""),45846.6458333333)</f>
        <v>45846.6458333333</v>
      </c>
      <c r="B73" s="48">
        <f>IFERROR(__xludf.DUMMYFUNCTION("""COMPUTED_VALUE"""),12414)</f>
        <v>12414</v>
      </c>
      <c r="C73" s="47">
        <f>IFERROR(__xludf.DUMMYFUNCTION("""COMPUTED_VALUE"""),45846.6458333333)</f>
        <v>45846.6458333333</v>
      </c>
      <c r="D73" s="48">
        <f>IFERROR(__xludf.DUMMYFUNCTION("""COMPUTED_VALUE"""),12525)</f>
        <v>12525</v>
      </c>
      <c r="E73" s="47">
        <f>IFERROR(__xludf.DUMMYFUNCTION("""COMPUTED_VALUE"""),45846.6458333333)</f>
        <v>45846.6458333333</v>
      </c>
      <c r="F73" s="48">
        <f>IFERROR(__xludf.DUMMYFUNCTION("""COMPUTED_VALUE"""),241050)</f>
        <v>241050</v>
      </c>
      <c r="G73" s="47">
        <f>IFERROR(__xludf.DUMMYFUNCTION("""COMPUTED_VALUE"""),45846.6458333333)</f>
        <v>45846.6458333333</v>
      </c>
      <c r="H73" s="48">
        <f>IFERROR(__xludf.DUMMYFUNCTION("""COMPUTED_VALUE"""),12555)</f>
        <v>12555</v>
      </c>
      <c r="I73" s="47">
        <f>IFERROR(__xludf.DUMMYFUNCTION("""COMPUTED_VALUE"""),45846.6458333333)</f>
        <v>45846.6458333333</v>
      </c>
      <c r="J73" s="48">
        <f>IFERROR(__xludf.DUMMYFUNCTION("""COMPUTED_VALUE"""),12359)</f>
        <v>12359</v>
      </c>
      <c r="K73" s="3">
        <f t="shared" si="2"/>
        <v>0</v>
      </c>
      <c r="L73" s="3">
        <f t="shared" si="3"/>
        <v>0</v>
      </c>
    </row>
    <row r="74" customHeight="1" spans="1:12">
      <c r="A74" s="47">
        <f>IFERROR(__xludf.DUMMYFUNCTION("""COMPUTED_VALUE"""),45847.6458333333)</f>
        <v>45847.6458333333</v>
      </c>
      <c r="B74" s="48">
        <f>IFERROR(__xludf.DUMMYFUNCTION("""COMPUTED_VALUE"""),12470)</f>
        <v>12470</v>
      </c>
      <c r="C74" s="47">
        <f>IFERROR(__xludf.DUMMYFUNCTION("""COMPUTED_VALUE"""),45847.6458333333)</f>
        <v>45847.6458333333</v>
      </c>
      <c r="D74" s="48">
        <f>IFERROR(__xludf.DUMMYFUNCTION("""COMPUTED_VALUE"""),12435)</f>
        <v>12435</v>
      </c>
      <c r="E74" s="47">
        <f>IFERROR(__xludf.DUMMYFUNCTION("""COMPUTED_VALUE"""),45847.6458333333)</f>
        <v>45847.6458333333</v>
      </c>
      <c r="F74" s="48">
        <f>IFERROR(__xludf.DUMMYFUNCTION("""COMPUTED_VALUE"""),174203)</f>
        <v>174203</v>
      </c>
      <c r="G74" s="47">
        <f>IFERROR(__xludf.DUMMYFUNCTION("""COMPUTED_VALUE"""),45847.6458333333)</f>
        <v>45847.6458333333</v>
      </c>
      <c r="H74" s="48">
        <f>IFERROR(__xludf.DUMMYFUNCTION("""COMPUTED_VALUE"""),12540)</f>
        <v>12540</v>
      </c>
      <c r="I74" s="47">
        <f>IFERROR(__xludf.DUMMYFUNCTION("""COMPUTED_VALUE"""),45847.6458333333)</f>
        <v>45847.6458333333</v>
      </c>
      <c r="J74" s="48">
        <f>IFERROR(__xludf.DUMMYFUNCTION("""COMPUTED_VALUE"""),12430)</f>
        <v>12430</v>
      </c>
      <c r="K74" s="3">
        <f t="shared" si="2"/>
        <v>0</v>
      </c>
      <c r="L74" s="3">
        <f t="shared" si="3"/>
        <v>0</v>
      </c>
    </row>
    <row r="75" customHeight="1" spans="1:12">
      <c r="A75" s="47">
        <f>IFERROR(__xludf.DUMMYFUNCTION("""COMPUTED_VALUE"""),45848.6458333333)</f>
        <v>45848.6458333333</v>
      </c>
      <c r="B75" s="48">
        <f>IFERROR(__xludf.DUMMYFUNCTION("""COMPUTED_VALUE"""),12650)</f>
        <v>12650</v>
      </c>
      <c r="C75" s="47">
        <f>IFERROR(__xludf.DUMMYFUNCTION("""COMPUTED_VALUE"""),45848.6458333333)</f>
        <v>45848.6458333333</v>
      </c>
      <c r="D75" s="48">
        <f>IFERROR(__xludf.DUMMYFUNCTION("""COMPUTED_VALUE"""),12500)</f>
        <v>12500</v>
      </c>
      <c r="E75" s="47">
        <f>IFERROR(__xludf.DUMMYFUNCTION("""COMPUTED_VALUE"""),45848.6458333333)</f>
        <v>45848.6458333333</v>
      </c>
      <c r="F75" s="48">
        <f>IFERROR(__xludf.DUMMYFUNCTION("""COMPUTED_VALUE"""),277325)</f>
        <v>277325</v>
      </c>
      <c r="G75" s="47">
        <f>IFERROR(__xludf.DUMMYFUNCTION("""COMPUTED_VALUE"""),45848.6458333333)</f>
        <v>45848.6458333333</v>
      </c>
      <c r="H75" s="48">
        <f>IFERROR(__xludf.DUMMYFUNCTION("""COMPUTED_VALUE"""),12670)</f>
        <v>12670</v>
      </c>
      <c r="I75" s="47">
        <f>IFERROR(__xludf.DUMMYFUNCTION("""COMPUTED_VALUE"""),45848.6458333333)</f>
        <v>45848.6458333333</v>
      </c>
      <c r="J75" s="48">
        <f>IFERROR(__xludf.DUMMYFUNCTION("""COMPUTED_VALUE"""),12401)</f>
        <v>12401</v>
      </c>
      <c r="K75" s="3">
        <f t="shared" si="2"/>
        <v>0</v>
      </c>
      <c r="L75" s="3">
        <f t="shared" si="3"/>
        <v>0</v>
      </c>
    </row>
    <row r="76" customHeight="1" spans="1:12">
      <c r="A76" s="47">
        <f>IFERROR(__xludf.DUMMYFUNCTION("""COMPUTED_VALUE"""),45849.6458333333)</f>
        <v>45849.6458333333</v>
      </c>
      <c r="B76" s="48">
        <f>IFERROR(__xludf.DUMMYFUNCTION("""COMPUTED_VALUE"""),12574)</f>
        <v>12574</v>
      </c>
      <c r="C76" s="47">
        <f>IFERROR(__xludf.DUMMYFUNCTION("""COMPUTED_VALUE"""),45849.6458333333)</f>
        <v>45849.6458333333</v>
      </c>
      <c r="D76" s="48">
        <f>IFERROR(__xludf.DUMMYFUNCTION("""COMPUTED_VALUE"""),12640)</f>
        <v>12640</v>
      </c>
      <c r="E76" s="47">
        <f>IFERROR(__xludf.DUMMYFUNCTION("""COMPUTED_VALUE"""),45849.6458333333)</f>
        <v>45849.6458333333</v>
      </c>
      <c r="F76" s="48">
        <f>IFERROR(__xludf.DUMMYFUNCTION("""COMPUTED_VALUE"""),194420)</f>
        <v>194420</v>
      </c>
      <c r="G76" s="47">
        <f>IFERROR(__xludf.DUMMYFUNCTION("""COMPUTED_VALUE"""),45849.6458333333)</f>
        <v>45849.6458333333</v>
      </c>
      <c r="H76" s="48">
        <f>IFERROR(__xludf.DUMMYFUNCTION("""COMPUTED_VALUE"""),12685)</f>
        <v>12685</v>
      </c>
      <c r="I76" s="47">
        <f>IFERROR(__xludf.DUMMYFUNCTION("""COMPUTED_VALUE"""),45849.6458333333)</f>
        <v>45849.6458333333</v>
      </c>
      <c r="J76" s="48">
        <f>IFERROR(__xludf.DUMMYFUNCTION("""COMPUTED_VALUE"""),12521)</f>
        <v>12521</v>
      </c>
      <c r="K76" s="3">
        <f t="shared" si="2"/>
        <v>0</v>
      </c>
      <c r="L76" s="3">
        <f t="shared" si="3"/>
        <v>0</v>
      </c>
    </row>
    <row r="77" customHeight="1" spans="1:12">
      <c r="A77" s="47">
        <f>IFERROR(__xludf.DUMMYFUNCTION("""COMPUTED_VALUE"""),45852.6458333333)</f>
        <v>45852.6458333333</v>
      </c>
      <c r="B77" s="48">
        <f>IFERROR(__xludf.DUMMYFUNCTION("""COMPUTED_VALUE"""),12514)</f>
        <v>12514</v>
      </c>
      <c r="C77" s="47">
        <f>IFERROR(__xludf.DUMMYFUNCTION("""COMPUTED_VALUE"""),45852.6458333333)</f>
        <v>45852.6458333333</v>
      </c>
      <c r="D77" s="48">
        <f>IFERROR(__xludf.DUMMYFUNCTION("""COMPUTED_VALUE"""),12590)</f>
        <v>12590</v>
      </c>
      <c r="E77" s="47">
        <f>IFERROR(__xludf.DUMMYFUNCTION("""COMPUTED_VALUE"""),45852.6458333333)</f>
        <v>45852.6458333333</v>
      </c>
      <c r="F77" s="48">
        <f>IFERROR(__xludf.DUMMYFUNCTION("""COMPUTED_VALUE"""),246737)</f>
        <v>246737</v>
      </c>
      <c r="G77" s="47">
        <f>IFERROR(__xludf.DUMMYFUNCTION("""COMPUTED_VALUE"""),45852.6458333333)</f>
        <v>45852.6458333333</v>
      </c>
      <c r="H77" s="48">
        <f>IFERROR(__xludf.DUMMYFUNCTION("""COMPUTED_VALUE"""),12616)</f>
        <v>12616</v>
      </c>
      <c r="I77" s="47">
        <f>IFERROR(__xludf.DUMMYFUNCTION("""COMPUTED_VALUE"""),45852.6458333333)</f>
        <v>45852.6458333333</v>
      </c>
      <c r="J77" s="48">
        <f>IFERROR(__xludf.DUMMYFUNCTION("""COMPUTED_VALUE"""),12431)</f>
        <v>12431</v>
      </c>
      <c r="K77" s="3">
        <f t="shared" si="2"/>
        <v>0</v>
      </c>
      <c r="L77" s="3">
        <f t="shared" si="3"/>
        <v>0</v>
      </c>
    </row>
    <row r="78" customHeight="1" spans="1:12">
      <c r="A78" s="47">
        <f>IFERROR(__xludf.DUMMYFUNCTION("""COMPUTED_VALUE"""),45853.6458333333)</f>
        <v>45853.6458333333</v>
      </c>
      <c r="B78" s="48">
        <f>IFERROR(__xludf.DUMMYFUNCTION("""COMPUTED_VALUE"""),12536)</f>
        <v>12536</v>
      </c>
      <c r="C78" s="47">
        <f>IFERROR(__xludf.DUMMYFUNCTION("""COMPUTED_VALUE"""),45853.6458333333)</f>
        <v>45853.6458333333</v>
      </c>
      <c r="D78" s="48">
        <f>IFERROR(__xludf.DUMMYFUNCTION("""COMPUTED_VALUE"""),12481)</f>
        <v>12481</v>
      </c>
      <c r="E78" s="47">
        <f>IFERROR(__xludf.DUMMYFUNCTION("""COMPUTED_VALUE"""),45853.6458333333)</f>
        <v>45853.6458333333</v>
      </c>
      <c r="F78" s="48">
        <f>IFERROR(__xludf.DUMMYFUNCTION("""COMPUTED_VALUE"""),147377)</f>
        <v>147377</v>
      </c>
      <c r="G78" s="47">
        <f>IFERROR(__xludf.DUMMYFUNCTION("""COMPUTED_VALUE"""),45853.6458333333)</f>
        <v>45853.6458333333</v>
      </c>
      <c r="H78" s="48">
        <f>IFERROR(__xludf.DUMMYFUNCTION("""COMPUTED_VALUE"""),12598)</f>
        <v>12598</v>
      </c>
      <c r="I78" s="47">
        <f>IFERROR(__xludf.DUMMYFUNCTION("""COMPUTED_VALUE"""),45853.6458333333)</f>
        <v>45853.6458333333</v>
      </c>
      <c r="J78" s="48">
        <f>IFERROR(__xludf.DUMMYFUNCTION("""COMPUTED_VALUE"""),12481)</f>
        <v>12481</v>
      </c>
      <c r="K78" s="3">
        <f t="shared" si="2"/>
        <v>0</v>
      </c>
      <c r="L78" s="3">
        <f t="shared" si="3"/>
        <v>0</v>
      </c>
    </row>
    <row r="79" customHeight="1" spans="1:12">
      <c r="A79" s="47">
        <f>IFERROR(__xludf.DUMMYFUNCTION("""COMPUTED_VALUE"""),45854.6458333333)</f>
        <v>45854.6458333333</v>
      </c>
      <c r="B79" s="48">
        <f>IFERROR(__xludf.DUMMYFUNCTION("""COMPUTED_VALUE"""),12564)</f>
        <v>12564</v>
      </c>
      <c r="C79" s="47">
        <f>IFERROR(__xludf.DUMMYFUNCTION("""COMPUTED_VALUE"""),45854.6458333333)</f>
        <v>45854.6458333333</v>
      </c>
      <c r="D79" s="48">
        <f>IFERROR(__xludf.DUMMYFUNCTION("""COMPUTED_VALUE"""),12536)</f>
        <v>12536</v>
      </c>
      <c r="E79" s="47">
        <f>IFERROR(__xludf.DUMMYFUNCTION("""COMPUTED_VALUE"""),45854.6458333333)</f>
        <v>45854.6458333333</v>
      </c>
      <c r="F79" s="48">
        <f>IFERROR(__xludf.DUMMYFUNCTION("""COMPUTED_VALUE"""),204480)</f>
        <v>204480</v>
      </c>
      <c r="G79" s="47">
        <f>IFERROR(__xludf.DUMMYFUNCTION("""COMPUTED_VALUE"""),45854.6458333333)</f>
        <v>45854.6458333333</v>
      </c>
      <c r="H79" s="48">
        <f>IFERROR(__xludf.DUMMYFUNCTION("""COMPUTED_VALUE"""),12571)</f>
        <v>12571</v>
      </c>
      <c r="I79" s="47">
        <f>IFERROR(__xludf.DUMMYFUNCTION("""COMPUTED_VALUE"""),45854.6458333333)</f>
        <v>45854.6458333333</v>
      </c>
      <c r="J79" s="48">
        <f>IFERROR(__xludf.DUMMYFUNCTION("""COMPUTED_VALUE"""),12439)</f>
        <v>12439</v>
      </c>
      <c r="K79" s="3">
        <f t="shared" si="2"/>
        <v>0</v>
      </c>
      <c r="L79" s="3">
        <f t="shared" si="3"/>
        <v>0</v>
      </c>
    </row>
    <row r="80" customHeight="1" spans="1:12">
      <c r="A80" s="47">
        <f>IFERROR(__xludf.DUMMYFUNCTION("""COMPUTED_VALUE"""),45855.6458333333)</f>
        <v>45855.6458333333</v>
      </c>
      <c r="B80" s="48">
        <f>IFERROR(__xludf.DUMMYFUNCTION("""COMPUTED_VALUE"""),12476)</f>
        <v>12476</v>
      </c>
      <c r="C80" s="47">
        <f>IFERROR(__xludf.DUMMYFUNCTION("""COMPUTED_VALUE"""),45855.6458333333)</f>
        <v>45855.6458333333</v>
      </c>
      <c r="D80" s="48">
        <f>IFERROR(__xludf.DUMMYFUNCTION("""COMPUTED_VALUE"""),12569)</f>
        <v>12569</v>
      </c>
      <c r="E80" s="47">
        <f>IFERROR(__xludf.DUMMYFUNCTION("""COMPUTED_VALUE"""),45855.6458333333)</f>
        <v>45855.6458333333</v>
      </c>
      <c r="F80" s="48">
        <f>IFERROR(__xludf.DUMMYFUNCTION("""COMPUTED_VALUE"""),189207)</f>
        <v>189207</v>
      </c>
      <c r="G80" s="47">
        <f>IFERROR(__xludf.DUMMYFUNCTION("""COMPUTED_VALUE"""),45855.6458333333)</f>
        <v>45855.6458333333</v>
      </c>
      <c r="H80" s="48">
        <f>IFERROR(__xludf.DUMMYFUNCTION("""COMPUTED_VALUE"""),12627)</f>
        <v>12627</v>
      </c>
      <c r="I80" s="47">
        <f>IFERROR(__xludf.DUMMYFUNCTION("""COMPUTED_VALUE"""),45855.6458333333)</f>
        <v>45855.6458333333</v>
      </c>
      <c r="J80" s="48">
        <f>IFERROR(__xludf.DUMMYFUNCTION("""COMPUTED_VALUE"""),12463)</f>
        <v>12463</v>
      </c>
      <c r="K80" s="3">
        <f t="shared" si="2"/>
        <v>0</v>
      </c>
      <c r="L80" s="3">
        <f t="shared" si="3"/>
        <v>0</v>
      </c>
    </row>
    <row r="81" customHeight="1" spans="1:12">
      <c r="A81" s="47">
        <f>IFERROR(__xludf.DUMMYFUNCTION("""COMPUTED_VALUE"""),45856.6458333333)</f>
        <v>45856.6458333333</v>
      </c>
      <c r="B81" s="48">
        <f>IFERROR(__xludf.DUMMYFUNCTION("""COMPUTED_VALUE"""),12419)</f>
        <v>12419</v>
      </c>
      <c r="C81" s="47">
        <f>IFERROR(__xludf.DUMMYFUNCTION("""COMPUTED_VALUE"""),45856.6458333333)</f>
        <v>45856.6458333333</v>
      </c>
      <c r="D81" s="48">
        <f>IFERROR(__xludf.DUMMYFUNCTION("""COMPUTED_VALUE"""),12525)</f>
        <v>12525</v>
      </c>
      <c r="E81" s="47">
        <f>IFERROR(__xludf.DUMMYFUNCTION("""COMPUTED_VALUE"""),45856.6458333333)</f>
        <v>45856.6458333333</v>
      </c>
      <c r="F81" s="48">
        <f>IFERROR(__xludf.DUMMYFUNCTION("""COMPUTED_VALUE"""),124068)</f>
        <v>124068</v>
      </c>
      <c r="G81" s="47">
        <f>IFERROR(__xludf.DUMMYFUNCTION("""COMPUTED_VALUE"""),45856.6458333333)</f>
        <v>45856.6458333333</v>
      </c>
      <c r="H81" s="48">
        <f>IFERROR(__xludf.DUMMYFUNCTION("""COMPUTED_VALUE"""),12527)</f>
        <v>12527</v>
      </c>
      <c r="I81" s="47">
        <f>IFERROR(__xludf.DUMMYFUNCTION("""COMPUTED_VALUE"""),45856.6458333333)</f>
        <v>45856.6458333333</v>
      </c>
      <c r="J81" s="48">
        <f>IFERROR(__xludf.DUMMYFUNCTION("""COMPUTED_VALUE"""),12370)</f>
        <v>12370</v>
      </c>
      <c r="K81" s="3">
        <f t="shared" si="2"/>
        <v>0</v>
      </c>
      <c r="L81" s="3">
        <f t="shared" si="3"/>
        <v>0</v>
      </c>
    </row>
    <row r="82" customHeight="1" spans="1:12">
      <c r="A82" s="47">
        <f>IFERROR(__xludf.DUMMYFUNCTION("""COMPUTED_VALUE"""),45859.6458333333)</f>
        <v>45859.6458333333</v>
      </c>
      <c r="B82" s="48">
        <f>IFERROR(__xludf.DUMMYFUNCTION("""COMPUTED_VALUE"""),12405)</f>
        <v>12405</v>
      </c>
      <c r="C82" s="47">
        <f>IFERROR(__xludf.DUMMYFUNCTION("""COMPUTED_VALUE"""),45859.6458333333)</f>
        <v>45859.6458333333</v>
      </c>
      <c r="D82" s="48">
        <f>IFERROR(__xludf.DUMMYFUNCTION("""COMPUTED_VALUE"""),12431)</f>
        <v>12431</v>
      </c>
      <c r="E82" s="47">
        <f>IFERROR(__xludf.DUMMYFUNCTION("""COMPUTED_VALUE"""),45859.6458333333)</f>
        <v>45859.6458333333</v>
      </c>
      <c r="F82" s="48">
        <f>IFERROR(__xludf.DUMMYFUNCTION("""COMPUTED_VALUE"""),232066)</f>
        <v>232066</v>
      </c>
      <c r="G82" s="47">
        <f>IFERROR(__xludf.DUMMYFUNCTION("""COMPUTED_VALUE"""),45859.6458333333)</f>
        <v>45859.6458333333</v>
      </c>
      <c r="H82" s="48">
        <f>IFERROR(__xludf.DUMMYFUNCTION("""COMPUTED_VALUE"""),12478)</f>
        <v>12478</v>
      </c>
      <c r="I82" s="47">
        <f>IFERROR(__xludf.DUMMYFUNCTION("""COMPUTED_VALUE"""),45859.6458333333)</f>
        <v>45859.6458333333</v>
      </c>
      <c r="J82" s="48">
        <f>IFERROR(__xludf.DUMMYFUNCTION("""COMPUTED_VALUE"""),12342)</f>
        <v>12342</v>
      </c>
      <c r="K82" s="3">
        <f t="shared" si="2"/>
        <v>0</v>
      </c>
      <c r="L82" s="3">
        <f t="shared" si="3"/>
        <v>0</v>
      </c>
    </row>
    <row r="83" customHeight="1" spans="1:12">
      <c r="A83" s="47">
        <f>IFERROR(__xludf.DUMMYFUNCTION("""COMPUTED_VALUE"""),45860.6458333333)</f>
        <v>45860.6458333333</v>
      </c>
      <c r="B83" s="48">
        <f>IFERROR(__xludf.DUMMYFUNCTION("""COMPUTED_VALUE"""),12492)</f>
        <v>12492</v>
      </c>
      <c r="C83" s="47">
        <f>IFERROR(__xludf.DUMMYFUNCTION("""COMPUTED_VALUE"""),45860.6458333333)</f>
        <v>45860.6458333333</v>
      </c>
      <c r="D83" s="48">
        <f>IFERROR(__xludf.DUMMYFUNCTION("""COMPUTED_VALUE"""),12449)</f>
        <v>12449</v>
      </c>
      <c r="E83" s="47">
        <f>IFERROR(__xludf.DUMMYFUNCTION("""COMPUTED_VALUE"""),45860.6458333333)</f>
        <v>45860.6458333333</v>
      </c>
      <c r="F83" s="48">
        <f>IFERROR(__xludf.DUMMYFUNCTION("""COMPUTED_VALUE"""),169006)</f>
        <v>169006</v>
      </c>
      <c r="G83" s="47">
        <f>IFERROR(__xludf.DUMMYFUNCTION("""COMPUTED_VALUE"""),45860.6458333333)</f>
        <v>45860.6458333333</v>
      </c>
      <c r="H83" s="48">
        <f>IFERROR(__xludf.DUMMYFUNCTION("""COMPUTED_VALUE"""),12530)</f>
        <v>12530</v>
      </c>
      <c r="I83" s="47">
        <f>IFERROR(__xludf.DUMMYFUNCTION("""COMPUTED_VALUE"""),45860.6458333333)</f>
        <v>45860.6458333333</v>
      </c>
      <c r="J83" s="48">
        <f>IFERROR(__xludf.DUMMYFUNCTION("""COMPUTED_VALUE"""),12319)</f>
        <v>12319</v>
      </c>
      <c r="K83" s="3">
        <f t="shared" si="2"/>
        <v>0</v>
      </c>
      <c r="L83" s="3">
        <f t="shared" si="3"/>
        <v>0</v>
      </c>
    </row>
    <row r="84" customHeight="1" spans="1:12">
      <c r="A84" s="47">
        <f>IFERROR(__xludf.DUMMYFUNCTION("""COMPUTED_VALUE"""),45861.6458333333)</f>
        <v>45861.6458333333</v>
      </c>
      <c r="B84" s="48">
        <f>IFERROR(__xludf.DUMMYFUNCTION("""COMPUTED_VALUE"""),12627)</f>
        <v>12627</v>
      </c>
      <c r="C84" s="47">
        <f>IFERROR(__xludf.DUMMYFUNCTION("""COMPUTED_VALUE"""),45861.6458333333)</f>
        <v>45861.6458333333</v>
      </c>
      <c r="D84" s="48">
        <f>IFERROR(__xludf.DUMMYFUNCTION("""COMPUTED_VALUE"""),12540)</f>
        <v>12540</v>
      </c>
      <c r="E84" s="47">
        <f>IFERROR(__xludf.DUMMYFUNCTION("""COMPUTED_VALUE"""),45861.6458333333)</f>
        <v>45861.6458333333</v>
      </c>
      <c r="F84" s="48">
        <f>IFERROR(__xludf.DUMMYFUNCTION("""COMPUTED_VALUE"""),342005)</f>
        <v>342005</v>
      </c>
      <c r="G84" s="47">
        <f>IFERROR(__xludf.DUMMYFUNCTION("""COMPUTED_VALUE"""),45861.6458333333)</f>
        <v>45861.6458333333</v>
      </c>
      <c r="H84" s="48">
        <f>IFERROR(__xludf.DUMMYFUNCTION("""COMPUTED_VALUE"""),12719)</f>
        <v>12719</v>
      </c>
      <c r="I84" s="47">
        <f>IFERROR(__xludf.DUMMYFUNCTION("""COMPUTED_VALUE"""),45861.6458333333)</f>
        <v>45861.6458333333</v>
      </c>
      <c r="J84" s="48">
        <f>IFERROR(__xludf.DUMMYFUNCTION("""COMPUTED_VALUE"""),12540)</f>
        <v>12540</v>
      </c>
      <c r="K84" s="3">
        <f t="shared" si="2"/>
        <v>12627</v>
      </c>
      <c r="L84" s="3">
        <f t="shared" si="3"/>
        <v>0</v>
      </c>
    </row>
    <row r="85" customHeight="1" spans="1:12">
      <c r="A85" s="47">
        <f>IFERROR(__xludf.DUMMYFUNCTION("""COMPUTED_VALUE"""),45862.6458333333)</f>
        <v>45862.6458333333</v>
      </c>
      <c r="B85" s="48">
        <f>IFERROR(__xludf.DUMMYFUNCTION("""COMPUTED_VALUE"""),12557)</f>
        <v>12557</v>
      </c>
      <c r="C85" s="47">
        <f>IFERROR(__xludf.DUMMYFUNCTION("""COMPUTED_VALUE"""),45862.6458333333)</f>
        <v>45862.6458333333</v>
      </c>
      <c r="D85" s="48">
        <f>IFERROR(__xludf.DUMMYFUNCTION("""COMPUTED_VALUE"""),12648)</f>
        <v>12648</v>
      </c>
      <c r="E85" s="47">
        <f>IFERROR(__xludf.DUMMYFUNCTION("""COMPUTED_VALUE"""),45862.6458333333)</f>
        <v>45862.6458333333</v>
      </c>
      <c r="F85" s="48">
        <f>IFERROR(__xludf.DUMMYFUNCTION("""COMPUTED_VALUE"""),157163)</f>
        <v>157163</v>
      </c>
      <c r="G85" s="47">
        <f>IFERROR(__xludf.DUMMYFUNCTION("""COMPUTED_VALUE"""),45862.6458333333)</f>
        <v>45862.6458333333</v>
      </c>
      <c r="H85" s="48">
        <f>IFERROR(__xludf.DUMMYFUNCTION("""COMPUTED_VALUE"""),12661)</f>
        <v>12661</v>
      </c>
      <c r="I85" s="47">
        <f>IFERROR(__xludf.DUMMYFUNCTION("""COMPUTED_VALUE"""),45862.6458333333)</f>
        <v>45862.6458333333</v>
      </c>
      <c r="J85" s="48">
        <f>IFERROR(__xludf.DUMMYFUNCTION("""COMPUTED_VALUE"""),12519)</f>
        <v>12519</v>
      </c>
      <c r="K85" s="3">
        <f t="shared" si="2"/>
        <v>0</v>
      </c>
      <c r="L85" s="3">
        <f t="shared" si="3"/>
        <v>0</v>
      </c>
    </row>
    <row r="86" customHeight="1" spans="1:12">
      <c r="A86" s="47">
        <f>IFERROR(__xludf.DUMMYFUNCTION("""COMPUTED_VALUE"""),45863.6458333333)</f>
        <v>45863.6458333333</v>
      </c>
      <c r="B86" s="48">
        <f>IFERROR(__xludf.DUMMYFUNCTION("""COMPUTED_VALUE"""),12404)</f>
        <v>12404</v>
      </c>
      <c r="C86" s="47">
        <f>IFERROR(__xludf.DUMMYFUNCTION("""COMPUTED_VALUE"""),45863.6458333333)</f>
        <v>45863.6458333333</v>
      </c>
      <c r="D86" s="48">
        <f>IFERROR(__xludf.DUMMYFUNCTION("""COMPUTED_VALUE"""),12545)</f>
        <v>12545</v>
      </c>
      <c r="E86" s="47">
        <f>IFERROR(__xludf.DUMMYFUNCTION("""COMPUTED_VALUE"""),45863.6458333333)</f>
        <v>45863.6458333333</v>
      </c>
      <c r="F86" s="48">
        <f>IFERROR(__xludf.DUMMYFUNCTION("""COMPUTED_VALUE"""),260700)</f>
        <v>260700</v>
      </c>
      <c r="G86" s="47">
        <f>IFERROR(__xludf.DUMMYFUNCTION("""COMPUTED_VALUE"""),45863.6458333333)</f>
        <v>45863.6458333333</v>
      </c>
      <c r="H86" s="48">
        <f>IFERROR(__xludf.DUMMYFUNCTION("""COMPUTED_VALUE"""),12557)</f>
        <v>12557</v>
      </c>
      <c r="I86" s="47">
        <f>IFERROR(__xludf.DUMMYFUNCTION("""COMPUTED_VALUE"""),45863.6458333333)</f>
        <v>45863.6458333333</v>
      </c>
      <c r="J86" s="48">
        <f>IFERROR(__xludf.DUMMYFUNCTION("""COMPUTED_VALUE"""),12357)</f>
        <v>12357</v>
      </c>
      <c r="K86" s="3">
        <f t="shared" si="2"/>
        <v>0</v>
      </c>
      <c r="L86" s="3">
        <f t="shared" si="3"/>
        <v>0</v>
      </c>
    </row>
    <row r="87" customHeight="1" spans="1:12">
      <c r="A87" s="47">
        <f>IFERROR(__xludf.DUMMYFUNCTION("""COMPUTED_VALUE"""),45866.6458333333)</f>
        <v>45866.6458333333</v>
      </c>
      <c r="B87" s="48">
        <f>IFERROR(__xludf.DUMMYFUNCTION("""COMPUTED_VALUE"""),12340)</f>
        <v>12340</v>
      </c>
      <c r="C87" s="47">
        <f>IFERROR(__xludf.DUMMYFUNCTION("""COMPUTED_VALUE"""),45866.6458333333)</f>
        <v>45866.6458333333</v>
      </c>
      <c r="D87" s="48">
        <f>IFERROR(__xludf.DUMMYFUNCTION("""COMPUTED_VALUE"""),12371)</f>
        <v>12371</v>
      </c>
      <c r="E87" s="47">
        <f>IFERROR(__xludf.DUMMYFUNCTION("""COMPUTED_VALUE"""),45866.6458333333)</f>
        <v>45866.6458333333</v>
      </c>
      <c r="F87" s="48">
        <f>IFERROR(__xludf.DUMMYFUNCTION("""COMPUTED_VALUE"""),292879)</f>
        <v>292879</v>
      </c>
      <c r="G87" s="47">
        <f>IFERROR(__xludf.DUMMYFUNCTION("""COMPUTED_VALUE"""),45866.6458333333)</f>
        <v>45866.6458333333</v>
      </c>
      <c r="H87" s="48">
        <f>IFERROR(__xludf.DUMMYFUNCTION("""COMPUTED_VALUE"""),12535)</f>
        <v>12535</v>
      </c>
      <c r="I87" s="47">
        <f>IFERROR(__xludf.DUMMYFUNCTION("""COMPUTED_VALUE"""),45866.6458333333)</f>
        <v>45866.6458333333</v>
      </c>
      <c r="J87" s="48">
        <f>IFERROR(__xludf.DUMMYFUNCTION("""COMPUTED_VALUE"""),12302)</f>
        <v>12302</v>
      </c>
      <c r="K87" s="3">
        <f t="shared" si="2"/>
        <v>0</v>
      </c>
      <c r="L87" s="3">
        <f t="shared" si="3"/>
        <v>0</v>
      </c>
    </row>
    <row r="88" customHeight="1" spans="1:12">
      <c r="A88" s="47">
        <f>IFERROR(__xludf.DUMMYFUNCTION("""COMPUTED_VALUE"""),45867.6458333333)</f>
        <v>45867.6458333333</v>
      </c>
      <c r="B88" s="48">
        <f>IFERROR(__xludf.DUMMYFUNCTION("""COMPUTED_VALUE"""),12469)</f>
        <v>12469</v>
      </c>
      <c r="C88" s="47">
        <f>IFERROR(__xludf.DUMMYFUNCTION("""COMPUTED_VALUE"""),45867.6458333333)</f>
        <v>45867.6458333333</v>
      </c>
      <c r="D88" s="48">
        <f>IFERROR(__xludf.DUMMYFUNCTION("""COMPUTED_VALUE"""),12340)</f>
        <v>12340</v>
      </c>
      <c r="E88" s="47">
        <f>IFERROR(__xludf.DUMMYFUNCTION("""COMPUTED_VALUE"""),45867.6458333333)</f>
        <v>45867.6458333333</v>
      </c>
      <c r="F88" s="48">
        <f>IFERROR(__xludf.DUMMYFUNCTION("""COMPUTED_VALUE"""),285115)</f>
        <v>285115</v>
      </c>
      <c r="G88" s="47">
        <f>IFERROR(__xludf.DUMMYFUNCTION("""COMPUTED_VALUE"""),45867.6458333333)</f>
        <v>45867.6458333333</v>
      </c>
      <c r="H88" s="48">
        <f>IFERROR(__xludf.DUMMYFUNCTION("""COMPUTED_VALUE"""),12507)</f>
        <v>12507</v>
      </c>
      <c r="I88" s="47">
        <f>IFERROR(__xludf.DUMMYFUNCTION("""COMPUTED_VALUE"""),45867.6458333333)</f>
        <v>45867.6458333333</v>
      </c>
      <c r="J88" s="48">
        <f>IFERROR(__xludf.DUMMYFUNCTION("""COMPUTED_VALUE"""),12268)</f>
        <v>12268</v>
      </c>
      <c r="K88" s="3">
        <f t="shared" si="2"/>
        <v>0</v>
      </c>
      <c r="L88" s="3">
        <f t="shared" si="3"/>
        <v>0</v>
      </c>
    </row>
    <row r="89" customHeight="1" spans="1:12">
      <c r="A89" s="47">
        <f>IFERROR(__xludf.DUMMYFUNCTION("""COMPUTED_VALUE"""),45868.6458333333)</f>
        <v>45868.6458333333</v>
      </c>
      <c r="B89" s="48">
        <f>IFERROR(__xludf.DUMMYFUNCTION("""COMPUTED_VALUE"""),12618)</f>
        <v>12618</v>
      </c>
      <c r="C89" s="47">
        <f>IFERROR(__xludf.DUMMYFUNCTION("""COMPUTED_VALUE"""),45868.6458333333)</f>
        <v>45868.6458333333</v>
      </c>
      <c r="D89" s="48">
        <f>IFERROR(__xludf.DUMMYFUNCTION("""COMPUTED_VALUE"""),12431)</f>
        <v>12431</v>
      </c>
      <c r="E89" s="47">
        <f>IFERROR(__xludf.DUMMYFUNCTION("""COMPUTED_VALUE"""),45868.6458333333)</f>
        <v>45868.6458333333</v>
      </c>
      <c r="F89" s="48">
        <f>IFERROR(__xludf.DUMMYFUNCTION("""COMPUTED_VALUE"""),203847)</f>
        <v>203847</v>
      </c>
      <c r="G89" s="47">
        <f>IFERROR(__xludf.DUMMYFUNCTION("""COMPUTED_VALUE"""),45868.6458333333)</f>
        <v>45868.6458333333</v>
      </c>
      <c r="H89" s="48">
        <f>IFERROR(__xludf.DUMMYFUNCTION("""COMPUTED_VALUE"""),12643)</f>
        <v>12643</v>
      </c>
      <c r="I89" s="47">
        <f>IFERROR(__xludf.DUMMYFUNCTION("""COMPUTED_VALUE"""),45868.6458333333)</f>
        <v>45868.6458333333</v>
      </c>
      <c r="J89" s="48">
        <f>IFERROR(__xludf.DUMMYFUNCTION("""COMPUTED_VALUE"""),12420)</f>
        <v>12420</v>
      </c>
      <c r="K89" s="3">
        <f t="shared" si="2"/>
        <v>0</v>
      </c>
      <c r="L89" s="3">
        <f t="shared" si="3"/>
        <v>0</v>
      </c>
    </row>
    <row r="90" customHeight="1" spans="1:12">
      <c r="A90" s="47">
        <f>IFERROR(__xludf.DUMMYFUNCTION("""COMPUTED_VALUE"""),45869.6458333333)</f>
        <v>45869.6458333333</v>
      </c>
      <c r="B90" s="48">
        <f>IFERROR(__xludf.DUMMYFUNCTION("""COMPUTED_VALUE"""),12608)</f>
        <v>12608</v>
      </c>
      <c r="C90" s="47">
        <f>IFERROR(__xludf.DUMMYFUNCTION("""COMPUTED_VALUE"""),45869.6458333333)</f>
        <v>45869.6458333333</v>
      </c>
      <c r="D90" s="48">
        <f>IFERROR(__xludf.DUMMYFUNCTION("""COMPUTED_VALUE"""),12506)</f>
        <v>12506</v>
      </c>
      <c r="E90" s="47">
        <f>IFERROR(__xludf.DUMMYFUNCTION("""COMPUTED_VALUE"""),45869.6458333333)</f>
        <v>45869.6458333333</v>
      </c>
      <c r="F90" s="48">
        <f>IFERROR(__xludf.DUMMYFUNCTION("""COMPUTED_VALUE"""),709783)</f>
        <v>709783</v>
      </c>
      <c r="G90" s="47">
        <f>IFERROR(__xludf.DUMMYFUNCTION("""COMPUTED_VALUE"""),45869.6458333333)</f>
        <v>45869.6458333333</v>
      </c>
      <c r="H90" s="48">
        <f>IFERROR(__xludf.DUMMYFUNCTION("""COMPUTED_VALUE"""),12760)</f>
        <v>12760</v>
      </c>
      <c r="I90" s="47">
        <f>IFERROR(__xludf.DUMMYFUNCTION("""COMPUTED_VALUE"""),45869.6458333333)</f>
        <v>45869.6458333333</v>
      </c>
      <c r="J90" s="48">
        <f>IFERROR(__xludf.DUMMYFUNCTION("""COMPUTED_VALUE"""),12464)</f>
        <v>12464</v>
      </c>
      <c r="K90" s="3">
        <f t="shared" si="2"/>
        <v>0</v>
      </c>
      <c r="L90" s="3">
        <f t="shared" si="3"/>
        <v>0</v>
      </c>
    </row>
    <row r="91" customHeight="1" spans="1:12">
      <c r="A91" s="47">
        <f>IFERROR(__xludf.DUMMYFUNCTION("""COMPUTED_VALUE"""),45870.6458333333)</f>
        <v>45870.6458333333</v>
      </c>
      <c r="B91" s="48">
        <f>IFERROR(__xludf.DUMMYFUNCTION("""COMPUTED_VALUE"""),12302)</f>
        <v>12302</v>
      </c>
      <c r="C91" s="47">
        <f>IFERROR(__xludf.DUMMYFUNCTION("""COMPUTED_VALUE"""),45870.6458333333)</f>
        <v>45870.6458333333</v>
      </c>
      <c r="D91" s="48">
        <f>IFERROR(__xludf.DUMMYFUNCTION("""COMPUTED_VALUE"""),12521)</f>
        <v>12521</v>
      </c>
      <c r="E91" s="47">
        <f>IFERROR(__xludf.DUMMYFUNCTION("""COMPUTED_VALUE"""),45870.6458333333)</f>
        <v>45870.6458333333</v>
      </c>
      <c r="F91" s="48">
        <f>IFERROR(__xludf.DUMMYFUNCTION("""COMPUTED_VALUE"""),346024)</f>
        <v>346024</v>
      </c>
      <c r="G91" s="47">
        <f>IFERROR(__xludf.DUMMYFUNCTION("""COMPUTED_VALUE"""),45870.6458333333)</f>
        <v>45870.6458333333</v>
      </c>
      <c r="H91" s="48">
        <f>IFERROR(__xludf.DUMMYFUNCTION("""COMPUTED_VALUE"""),12779)</f>
        <v>12779</v>
      </c>
      <c r="I91" s="47">
        <f>IFERROR(__xludf.DUMMYFUNCTION("""COMPUTED_VALUE"""),45870.6458333333)</f>
        <v>45870.6458333333</v>
      </c>
      <c r="J91" s="48">
        <f>IFERROR(__xludf.DUMMYFUNCTION("""COMPUTED_VALUE"""),12273)</f>
        <v>12273</v>
      </c>
      <c r="K91" s="3">
        <f t="shared" si="2"/>
        <v>0</v>
      </c>
      <c r="L91" s="3">
        <f t="shared" si="3"/>
        <v>12302</v>
      </c>
    </row>
    <row r="92" customHeight="1" spans="1:12">
      <c r="A92" s="47">
        <f>IFERROR(__xludf.DUMMYFUNCTION("""COMPUTED_VALUE"""),45873.6458333333)</f>
        <v>45873.6458333333</v>
      </c>
      <c r="B92" s="48">
        <f>IFERROR(__xludf.DUMMYFUNCTION("""COMPUTED_VALUE"""),12365)</f>
        <v>12365</v>
      </c>
      <c r="C92" s="47">
        <f>IFERROR(__xludf.DUMMYFUNCTION("""COMPUTED_VALUE"""),45873.6458333333)</f>
        <v>45873.6458333333</v>
      </c>
      <c r="D92" s="48">
        <f>IFERROR(__xludf.DUMMYFUNCTION("""COMPUTED_VALUE"""),12326)</f>
        <v>12326</v>
      </c>
      <c r="E92" s="47">
        <f>IFERROR(__xludf.DUMMYFUNCTION("""COMPUTED_VALUE"""),45873.6458333333)</f>
        <v>45873.6458333333</v>
      </c>
      <c r="F92" s="48">
        <f>IFERROR(__xludf.DUMMYFUNCTION("""COMPUTED_VALUE"""),255693)</f>
        <v>255693</v>
      </c>
      <c r="G92" s="47">
        <f>IFERROR(__xludf.DUMMYFUNCTION("""COMPUTED_VALUE"""),45873.6458333333)</f>
        <v>45873.6458333333</v>
      </c>
      <c r="H92" s="48">
        <f>IFERROR(__xludf.DUMMYFUNCTION("""COMPUTED_VALUE"""),12425)</f>
        <v>12425</v>
      </c>
      <c r="I92" s="47">
        <f>IFERROR(__xludf.DUMMYFUNCTION("""COMPUTED_VALUE"""),45873.6458333333)</f>
        <v>45873.6458333333</v>
      </c>
      <c r="J92" s="48">
        <f>IFERROR(__xludf.DUMMYFUNCTION("""COMPUTED_VALUE"""),12225)</f>
        <v>12225</v>
      </c>
      <c r="K92" s="3">
        <f t="shared" si="2"/>
        <v>0</v>
      </c>
      <c r="L92" s="3">
        <f t="shared" si="3"/>
        <v>0</v>
      </c>
    </row>
    <row r="93" customHeight="1" spans="1:12">
      <c r="A93" s="47">
        <f>IFERROR(__xludf.DUMMYFUNCTION("""COMPUTED_VALUE"""),45874.6458333333)</f>
        <v>45874.6458333333</v>
      </c>
      <c r="B93" s="48">
        <f>IFERROR(__xludf.DUMMYFUNCTION("""COMPUTED_VALUE"""),12537)</f>
        <v>12537</v>
      </c>
      <c r="C93" s="47">
        <f>IFERROR(__xludf.DUMMYFUNCTION("""COMPUTED_VALUE"""),45874.6458333333)</f>
        <v>45874.6458333333</v>
      </c>
      <c r="D93" s="48">
        <f>IFERROR(__xludf.DUMMYFUNCTION("""COMPUTED_VALUE"""),12400)</f>
        <v>12400</v>
      </c>
      <c r="E93" s="47">
        <f>IFERROR(__xludf.DUMMYFUNCTION("""COMPUTED_VALUE"""),45874.6458333333)</f>
        <v>45874.6458333333</v>
      </c>
      <c r="F93" s="48">
        <f>IFERROR(__xludf.DUMMYFUNCTION("""COMPUTED_VALUE"""),233560)</f>
        <v>233560</v>
      </c>
      <c r="G93" s="47">
        <f>IFERROR(__xludf.DUMMYFUNCTION("""COMPUTED_VALUE"""),45874.6458333333)</f>
        <v>45874.6458333333</v>
      </c>
      <c r="H93" s="48">
        <f>IFERROR(__xludf.DUMMYFUNCTION("""COMPUTED_VALUE"""),12577)</f>
        <v>12577</v>
      </c>
      <c r="I93" s="47">
        <f>IFERROR(__xludf.DUMMYFUNCTION("""COMPUTED_VALUE"""),45874.6458333333)</f>
        <v>45874.6458333333</v>
      </c>
      <c r="J93" s="48">
        <f>IFERROR(__xludf.DUMMYFUNCTION("""COMPUTED_VALUE"""),12370)</f>
        <v>12370</v>
      </c>
      <c r="K93" s="3">
        <f t="shared" si="2"/>
        <v>0</v>
      </c>
      <c r="L93" s="3">
        <f t="shared" si="3"/>
        <v>0</v>
      </c>
    </row>
    <row r="94" customHeight="1" spans="1:12">
      <c r="A94" s="47">
        <f>IFERROR(__xludf.DUMMYFUNCTION("""COMPUTED_VALUE"""),45875.6458333333)</f>
        <v>45875.6458333333</v>
      </c>
      <c r="B94" s="48">
        <f>IFERROR(__xludf.DUMMYFUNCTION("""COMPUTED_VALUE"""),12524)</f>
        <v>12524</v>
      </c>
      <c r="C94" s="47">
        <f>IFERROR(__xludf.DUMMYFUNCTION("""COMPUTED_VALUE"""),45875.6458333333)</f>
        <v>45875.6458333333</v>
      </c>
      <c r="D94" s="48">
        <f>IFERROR(__xludf.DUMMYFUNCTION("""COMPUTED_VALUE"""),12570)</f>
        <v>12570</v>
      </c>
      <c r="E94" s="47">
        <f>IFERROR(__xludf.DUMMYFUNCTION("""COMPUTED_VALUE"""),45875.6458333333)</f>
        <v>45875.6458333333</v>
      </c>
      <c r="F94" s="48">
        <f>IFERROR(__xludf.DUMMYFUNCTION("""COMPUTED_VALUE"""),151608)</f>
        <v>151608</v>
      </c>
      <c r="G94" s="47">
        <f>IFERROR(__xludf.DUMMYFUNCTION("""COMPUTED_VALUE"""),45875.6458333333)</f>
        <v>45875.6458333333</v>
      </c>
      <c r="H94" s="48">
        <f>IFERROR(__xludf.DUMMYFUNCTION("""COMPUTED_VALUE"""),12619)</f>
        <v>12619</v>
      </c>
      <c r="I94" s="47">
        <f>IFERROR(__xludf.DUMMYFUNCTION("""COMPUTED_VALUE"""),45875.6458333333)</f>
        <v>45875.6458333333</v>
      </c>
      <c r="J94" s="48">
        <f>IFERROR(__xludf.DUMMYFUNCTION("""COMPUTED_VALUE"""),12483)</f>
        <v>12483</v>
      </c>
      <c r="K94" s="3">
        <f t="shared" si="2"/>
        <v>0</v>
      </c>
      <c r="L94" s="3">
        <f t="shared" si="3"/>
        <v>0</v>
      </c>
    </row>
    <row r="95" customHeight="1" spans="1:12">
      <c r="A95" s="47">
        <f>IFERROR(__xludf.DUMMYFUNCTION("""COMPUTED_VALUE"""),45876.6458333333)</f>
        <v>45876.6458333333</v>
      </c>
      <c r="B95" s="48">
        <f>IFERROR(__xludf.DUMMYFUNCTION("""COMPUTED_VALUE"""),12632)</f>
        <v>12632</v>
      </c>
      <c r="C95" s="47">
        <f>IFERROR(__xludf.DUMMYFUNCTION("""COMPUTED_VALUE"""),45876.6458333333)</f>
        <v>45876.6458333333</v>
      </c>
      <c r="D95" s="48">
        <f>IFERROR(__xludf.DUMMYFUNCTION("""COMPUTED_VALUE"""),12525)</f>
        <v>12525</v>
      </c>
      <c r="E95" s="47">
        <f>IFERROR(__xludf.DUMMYFUNCTION("""COMPUTED_VALUE"""),45876.6458333333)</f>
        <v>45876.6458333333</v>
      </c>
      <c r="F95" s="48">
        <f>IFERROR(__xludf.DUMMYFUNCTION("""COMPUTED_VALUE"""),173393)</f>
        <v>173393</v>
      </c>
      <c r="G95" s="47">
        <f>IFERROR(__xludf.DUMMYFUNCTION("""COMPUTED_VALUE"""),45876.6458333333)</f>
        <v>45876.6458333333</v>
      </c>
      <c r="H95" s="48">
        <f>IFERROR(__xludf.DUMMYFUNCTION("""COMPUTED_VALUE"""),12654)</f>
        <v>12654</v>
      </c>
      <c r="I95" s="47">
        <f>IFERROR(__xludf.DUMMYFUNCTION("""COMPUTED_VALUE"""),45876.6458333333)</f>
        <v>45876.6458333333</v>
      </c>
      <c r="J95" s="48">
        <f>IFERROR(__xludf.DUMMYFUNCTION("""COMPUTED_VALUE"""),12429)</f>
        <v>12429</v>
      </c>
      <c r="K95" s="3">
        <f t="shared" si="2"/>
        <v>0</v>
      </c>
      <c r="L95" s="3">
        <f t="shared" si="3"/>
        <v>0</v>
      </c>
    </row>
    <row r="96" customHeight="1" spans="1:12">
      <c r="A96" s="47">
        <f>IFERROR(__xludf.DUMMYFUNCTION("""COMPUTED_VALUE"""),45877.6458333333)</f>
        <v>45877.6458333333</v>
      </c>
      <c r="B96" s="48">
        <f>IFERROR(__xludf.DUMMYFUNCTION("""COMPUTED_VALUE"""),12590)</f>
        <v>12590</v>
      </c>
      <c r="C96" s="47">
        <f>IFERROR(__xludf.DUMMYFUNCTION("""COMPUTED_VALUE"""),45877.6458333333)</f>
        <v>45877.6458333333</v>
      </c>
      <c r="D96" s="48">
        <f>IFERROR(__xludf.DUMMYFUNCTION("""COMPUTED_VALUE"""),12630)</f>
        <v>12630</v>
      </c>
      <c r="E96" s="47">
        <f>IFERROR(__xludf.DUMMYFUNCTION("""COMPUTED_VALUE"""),45877.6458333333)</f>
        <v>45877.6458333333</v>
      </c>
      <c r="F96" s="48">
        <f>IFERROR(__xludf.DUMMYFUNCTION("""COMPUTED_VALUE"""),247048)</f>
        <v>247048</v>
      </c>
      <c r="G96" s="47">
        <f>IFERROR(__xludf.DUMMYFUNCTION("""COMPUTED_VALUE"""),45877.6458333333)</f>
        <v>45877.6458333333</v>
      </c>
      <c r="H96" s="48">
        <f>IFERROR(__xludf.DUMMYFUNCTION("""COMPUTED_VALUE"""),12725)</f>
        <v>12725</v>
      </c>
      <c r="I96" s="47">
        <f>IFERROR(__xludf.DUMMYFUNCTION("""COMPUTED_VALUE"""),45877.6458333333)</f>
        <v>45877.6458333333</v>
      </c>
      <c r="J96" s="48">
        <f>IFERROR(__xludf.DUMMYFUNCTION("""COMPUTED_VALUE"""),12564)</f>
        <v>12564</v>
      </c>
      <c r="K96" s="3">
        <f t="shared" si="2"/>
        <v>0</v>
      </c>
      <c r="L96" s="3">
        <f t="shared" si="3"/>
        <v>0</v>
      </c>
    </row>
    <row r="97" customHeight="1" spans="1:12">
      <c r="A97" s="47">
        <f>IFERROR(__xludf.DUMMYFUNCTION("""COMPUTED_VALUE"""),45880.6458333333)</f>
        <v>45880.6458333333</v>
      </c>
      <c r="B97" s="48">
        <f>IFERROR(__xludf.DUMMYFUNCTION("""COMPUTED_VALUE"""),12597)</f>
        <v>12597</v>
      </c>
      <c r="C97" s="47">
        <f>IFERROR(__xludf.DUMMYFUNCTION("""COMPUTED_VALUE"""),45880.6458333333)</f>
        <v>45880.6458333333</v>
      </c>
      <c r="D97" s="48">
        <f>IFERROR(__xludf.DUMMYFUNCTION("""COMPUTED_VALUE"""),12585)</f>
        <v>12585</v>
      </c>
      <c r="E97" s="47">
        <f>IFERROR(__xludf.DUMMYFUNCTION("""COMPUTED_VALUE"""),45880.6458333333)</f>
        <v>45880.6458333333</v>
      </c>
      <c r="F97" s="48">
        <f>IFERROR(__xludf.DUMMYFUNCTION("""COMPUTED_VALUE"""),187230)</f>
        <v>187230</v>
      </c>
      <c r="G97" s="47">
        <f>IFERROR(__xludf.DUMMYFUNCTION("""COMPUTED_VALUE"""),45880.6458333333)</f>
        <v>45880.6458333333</v>
      </c>
      <c r="H97" s="48">
        <f>IFERROR(__xludf.DUMMYFUNCTION("""COMPUTED_VALUE"""),12734)</f>
        <v>12734</v>
      </c>
      <c r="I97" s="47">
        <f>IFERROR(__xludf.DUMMYFUNCTION("""COMPUTED_VALUE"""),45880.6458333333)</f>
        <v>45880.6458333333</v>
      </c>
      <c r="J97" s="48">
        <f>IFERROR(__xludf.DUMMYFUNCTION("""COMPUTED_VALUE"""),12482)</f>
        <v>12482</v>
      </c>
      <c r="K97" s="3">
        <f t="shared" si="2"/>
        <v>0</v>
      </c>
      <c r="L97" s="3">
        <f t="shared" si="3"/>
        <v>0</v>
      </c>
    </row>
    <row r="98" customHeight="1" spans="1:12">
      <c r="A98" s="47">
        <f>IFERROR(__xludf.DUMMYFUNCTION("""COMPUTED_VALUE"""),45881.6458333333)</f>
        <v>45881.6458333333</v>
      </c>
      <c r="B98" s="48">
        <f>IFERROR(__xludf.DUMMYFUNCTION("""COMPUTED_VALUE"""),12840)</f>
        <v>12840</v>
      </c>
      <c r="C98" s="47">
        <f>IFERROR(__xludf.DUMMYFUNCTION("""COMPUTED_VALUE"""),45881.6458333333)</f>
        <v>45881.6458333333</v>
      </c>
      <c r="D98" s="48">
        <f>IFERROR(__xludf.DUMMYFUNCTION("""COMPUTED_VALUE"""),12620)</f>
        <v>12620</v>
      </c>
      <c r="E98" s="47">
        <f>IFERROR(__xludf.DUMMYFUNCTION("""COMPUTED_VALUE"""),45881.6458333333)</f>
        <v>45881.6458333333</v>
      </c>
      <c r="F98" s="48">
        <f>IFERROR(__xludf.DUMMYFUNCTION("""COMPUTED_VALUE"""),504476)</f>
        <v>504476</v>
      </c>
      <c r="G98" s="47">
        <f>IFERROR(__xludf.DUMMYFUNCTION("""COMPUTED_VALUE"""),45881.6458333333)</f>
        <v>45881.6458333333</v>
      </c>
      <c r="H98" s="48">
        <f>IFERROR(__xludf.DUMMYFUNCTION("""COMPUTED_VALUE"""),12959)</f>
        <v>12959</v>
      </c>
      <c r="I98" s="47">
        <f>IFERROR(__xludf.DUMMYFUNCTION("""COMPUTED_VALUE"""),45881.6458333333)</f>
        <v>45881.6458333333</v>
      </c>
      <c r="J98" s="48">
        <f>IFERROR(__xludf.DUMMYFUNCTION("""COMPUTED_VALUE"""),12606)</f>
        <v>12606</v>
      </c>
      <c r="K98" s="3">
        <f t="shared" si="2"/>
        <v>0</v>
      </c>
      <c r="L98" s="3">
        <f t="shared" si="3"/>
        <v>0</v>
      </c>
    </row>
    <row r="99" customHeight="1" spans="1:12">
      <c r="A99" s="47">
        <f>IFERROR(__xludf.DUMMYFUNCTION("""COMPUTED_VALUE"""),45882.6458333333)</f>
        <v>45882.6458333333</v>
      </c>
      <c r="B99" s="48">
        <f>IFERROR(__xludf.DUMMYFUNCTION("""COMPUTED_VALUE"""),12834)</f>
        <v>12834</v>
      </c>
      <c r="C99" s="47">
        <f>IFERROR(__xludf.DUMMYFUNCTION("""COMPUTED_VALUE"""),45882.6458333333)</f>
        <v>45882.6458333333</v>
      </c>
      <c r="D99" s="48">
        <f>IFERROR(__xludf.DUMMYFUNCTION("""COMPUTED_VALUE"""),12840)</f>
        <v>12840</v>
      </c>
      <c r="E99" s="47">
        <f>IFERROR(__xludf.DUMMYFUNCTION("""COMPUTED_VALUE"""),45882.6458333333)</f>
        <v>45882.6458333333</v>
      </c>
      <c r="F99" s="48">
        <f>IFERROR(__xludf.DUMMYFUNCTION("""COMPUTED_VALUE"""),252065)</f>
        <v>252065</v>
      </c>
      <c r="G99" s="47">
        <f>IFERROR(__xludf.DUMMYFUNCTION("""COMPUTED_VALUE"""),45882.6458333333)</f>
        <v>45882.6458333333</v>
      </c>
      <c r="H99" s="48">
        <f>IFERROR(__xludf.DUMMYFUNCTION("""COMPUTED_VALUE"""),12925)</f>
        <v>12925</v>
      </c>
      <c r="I99" s="47">
        <f>IFERROR(__xludf.DUMMYFUNCTION("""COMPUTED_VALUE"""),45882.6458333333)</f>
        <v>45882.6458333333</v>
      </c>
      <c r="J99" s="48">
        <f>IFERROR(__xludf.DUMMYFUNCTION("""COMPUTED_VALUE"""),12752)</f>
        <v>12752</v>
      </c>
      <c r="K99" s="3">
        <f t="shared" si="2"/>
        <v>0</v>
      </c>
      <c r="L99" s="3">
        <f t="shared" si="3"/>
        <v>0</v>
      </c>
    </row>
    <row r="100" customHeight="1" spans="1:12">
      <c r="A100" s="47">
        <f>IFERROR(__xludf.DUMMYFUNCTION("""COMPUTED_VALUE"""),45883.6458333333)</f>
        <v>45883.6458333333</v>
      </c>
      <c r="B100" s="48">
        <f>IFERROR(__xludf.DUMMYFUNCTION("""COMPUTED_VALUE"""),12936)</f>
        <v>12936</v>
      </c>
      <c r="C100" s="47">
        <f>IFERROR(__xludf.DUMMYFUNCTION("""COMPUTED_VALUE"""),45883.6458333333)</f>
        <v>45883.6458333333</v>
      </c>
      <c r="D100" s="48">
        <f>IFERROR(__xludf.DUMMYFUNCTION("""COMPUTED_VALUE"""),12864)</f>
        <v>12864</v>
      </c>
      <c r="E100" s="47">
        <f>IFERROR(__xludf.DUMMYFUNCTION("""COMPUTED_VALUE"""),45883.6458333333)</f>
        <v>45883.6458333333</v>
      </c>
      <c r="F100" s="48">
        <f>IFERROR(__xludf.DUMMYFUNCTION("""COMPUTED_VALUE"""),318580)</f>
        <v>318580</v>
      </c>
      <c r="G100" s="47">
        <f>IFERROR(__xludf.DUMMYFUNCTION("""COMPUTED_VALUE"""),45883.6458333333)</f>
        <v>45883.6458333333</v>
      </c>
      <c r="H100" s="48">
        <f>IFERROR(__xludf.DUMMYFUNCTION("""COMPUTED_VALUE"""),12956)</f>
        <v>12956</v>
      </c>
      <c r="I100" s="47">
        <f>IFERROR(__xludf.DUMMYFUNCTION("""COMPUTED_VALUE"""),45883.6458333333)</f>
        <v>45883.6458333333</v>
      </c>
      <c r="J100" s="48">
        <f>IFERROR(__xludf.DUMMYFUNCTION("""COMPUTED_VALUE"""),12825)</f>
        <v>12825</v>
      </c>
      <c r="K100" s="3">
        <f t="shared" si="2"/>
        <v>0</v>
      </c>
      <c r="L100" s="3">
        <f t="shared" si="3"/>
        <v>0</v>
      </c>
    </row>
    <row r="101" customHeight="1" spans="1:12">
      <c r="A101" s="47">
        <f>IFERROR(__xludf.DUMMYFUNCTION("""COMPUTED_VALUE"""),45887.6458333333)</f>
        <v>45887.6458333333</v>
      </c>
      <c r="B101" s="48">
        <f>IFERROR(__xludf.DUMMYFUNCTION("""COMPUTED_VALUE"""),14068)</f>
        <v>14068</v>
      </c>
      <c r="C101" s="47">
        <f>IFERROR(__xludf.DUMMYFUNCTION("""COMPUTED_VALUE"""),45887.6458333333)</f>
        <v>45887.6458333333</v>
      </c>
      <c r="D101" s="48">
        <f>IFERROR(__xludf.DUMMYFUNCTION("""COMPUTED_VALUE"""),13703)</f>
        <v>13703</v>
      </c>
      <c r="E101" s="47">
        <f>IFERROR(__xludf.DUMMYFUNCTION("""COMPUTED_VALUE"""),45887.6458333333)</f>
        <v>45887.6458333333</v>
      </c>
      <c r="F101" s="48">
        <f>IFERROR(__xludf.DUMMYFUNCTION("""COMPUTED_VALUE"""),2154781)</f>
        <v>2154781</v>
      </c>
      <c r="G101" s="47">
        <f>IFERROR(__xludf.DUMMYFUNCTION("""COMPUTED_VALUE"""),45887.6458333333)</f>
        <v>45887.6458333333</v>
      </c>
      <c r="H101" s="48">
        <f>IFERROR(__xludf.DUMMYFUNCTION("""COMPUTED_VALUE"""),14125)</f>
        <v>14125</v>
      </c>
      <c r="I101" s="47">
        <f>IFERROR(__xludf.DUMMYFUNCTION("""COMPUTED_VALUE"""),45887.6458333333)</f>
        <v>45887.6458333333</v>
      </c>
      <c r="J101" s="48">
        <f>IFERROR(__xludf.DUMMYFUNCTION("""COMPUTED_VALUE"""),13664)</f>
        <v>13664</v>
      </c>
      <c r="K101" s="3">
        <f t="shared" si="2"/>
        <v>0</v>
      </c>
      <c r="L101" s="3">
        <f t="shared" si="3"/>
        <v>0</v>
      </c>
    </row>
    <row r="102" customHeight="1" spans="1:12">
      <c r="A102" s="47">
        <f>IFERROR(__xludf.DUMMYFUNCTION("""COMPUTED_VALUE"""),45888.6458333333)</f>
        <v>45888.6458333333</v>
      </c>
      <c r="B102" s="48">
        <f>IFERROR(__xludf.DUMMYFUNCTION("""COMPUTED_VALUE"""),14250)</f>
        <v>14250</v>
      </c>
      <c r="C102" s="47">
        <f>IFERROR(__xludf.DUMMYFUNCTION("""COMPUTED_VALUE"""),45888.6458333333)</f>
        <v>45888.6458333333</v>
      </c>
      <c r="D102" s="48">
        <f>IFERROR(__xludf.DUMMYFUNCTION("""COMPUTED_VALUE"""),14070)</f>
        <v>14070</v>
      </c>
      <c r="E102" s="47">
        <f>IFERROR(__xludf.DUMMYFUNCTION("""COMPUTED_VALUE"""),45888.6458333333)</f>
        <v>45888.6458333333</v>
      </c>
      <c r="F102" s="48">
        <f>IFERROR(__xludf.DUMMYFUNCTION("""COMPUTED_VALUE"""),906623)</f>
        <v>906623</v>
      </c>
      <c r="G102" s="47">
        <f>IFERROR(__xludf.DUMMYFUNCTION("""COMPUTED_VALUE"""),45888.6458333333)</f>
        <v>45888.6458333333</v>
      </c>
      <c r="H102" s="48">
        <f>IFERROR(__xludf.DUMMYFUNCTION("""COMPUTED_VALUE"""),14270)</f>
        <v>14270</v>
      </c>
      <c r="I102" s="47">
        <f>IFERROR(__xludf.DUMMYFUNCTION("""COMPUTED_VALUE"""),45888.6458333333)</f>
        <v>45888.6458333333</v>
      </c>
      <c r="J102" s="48">
        <f>IFERROR(__xludf.DUMMYFUNCTION("""COMPUTED_VALUE"""),13979)</f>
        <v>13979</v>
      </c>
      <c r="K102" s="3">
        <f t="shared" si="2"/>
        <v>0</v>
      </c>
      <c r="L102" s="3">
        <f t="shared" si="3"/>
        <v>0</v>
      </c>
    </row>
    <row r="103" customHeight="1" spans="1:12">
      <c r="A103" s="47">
        <f>IFERROR(__xludf.DUMMYFUNCTION("""COMPUTED_VALUE"""),45889.6458333333)</f>
        <v>45889.6458333333</v>
      </c>
      <c r="B103" s="48">
        <f>IFERROR(__xludf.DUMMYFUNCTION("""COMPUTED_VALUE"""),14221)</f>
        <v>14221</v>
      </c>
      <c r="C103" s="47">
        <f>IFERROR(__xludf.DUMMYFUNCTION("""COMPUTED_VALUE"""),45889.6458333333)</f>
        <v>45889.6458333333</v>
      </c>
      <c r="D103" s="48">
        <f>IFERROR(__xludf.DUMMYFUNCTION("""COMPUTED_VALUE"""),14362)</f>
        <v>14362</v>
      </c>
      <c r="E103" s="47">
        <f>IFERROR(__xludf.DUMMYFUNCTION("""COMPUTED_VALUE"""),45889.6458333333)</f>
        <v>45889.6458333333</v>
      </c>
      <c r="F103" s="48">
        <f>IFERROR(__xludf.DUMMYFUNCTION("""COMPUTED_VALUE"""),391425)</f>
        <v>391425</v>
      </c>
      <c r="G103" s="47">
        <f>IFERROR(__xludf.DUMMYFUNCTION("""COMPUTED_VALUE"""),45889.6458333333)</f>
        <v>45889.6458333333</v>
      </c>
      <c r="H103" s="48">
        <f>IFERROR(__xludf.DUMMYFUNCTION("""COMPUTED_VALUE"""),14362)</f>
        <v>14362</v>
      </c>
      <c r="I103" s="47">
        <f>IFERROR(__xludf.DUMMYFUNCTION("""COMPUTED_VALUE"""),45889.6458333333)</f>
        <v>45889.6458333333</v>
      </c>
      <c r="J103" s="48">
        <f>IFERROR(__xludf.DUMMYFUNCTION("""COMPUTED_VALUE"""),14200)</f>
        <v>14200</v>
      </c>
      <c r="K103" s="3">
        <f t="shared" si="2"/>
        <v>0</v>
      </c>
      <c r="L103" s="3">
        <f t="shared" si="3"/>
        <v>0</v>
      </c>
    </row>
    <row r="104" customHeight="1" spans="1:12">
      <c r="A104" s="47">
        <f>IFERROR(__xludf.DUMMYFUNCTION("""COMPUTED_VALUE"""),45890.6458333333)</f>
        <v>45890.6458333333</v>
      </c>
      <c r="B104" s="48">
        <f>IFERROR(__xludf.DUMMYFUNCTION("""COMPUTED_VALUE"""),14280)</f>
        <v>14280</v>
      </c>
      <c r="C104" s="47">
        <f>IFERROR(__xludf.DUMMYFUNCTION("""COMPUTED_VALUE"""),45890.6458333333)</f>
        <v>45890.6458333333</v>
      </c>
      <c r="D104" s="48">
        <f>IFERROR(__xludf.DUMMYFUNCTION("""COMPUTED_VALUE"""),14219)</f>
        <v>14219</v>
      </c>
      <c r="E104" s="47">
        <f>IFERROR(__xludf.DUMMYFUNCTION("""COMPUTED_VALUE"""),45890.6458333333)</f>
        <v>45890.6458333333</v>
      </c>
      <c r="F104" s="48">
        <f>IFERROR(__xludf.DUMMYFUNCTION("""COMPUTED_VALUE"""),513460)</f>
        <v>513460</v>
      </c>
      <c r="G104" s="47">
        <f>IFERROR(__xludf.DUMMYFUNCTION("""COMPUTED_VALUE"""),45890.6458333333)</f>
        <v>45890.6458333333</v>
      </c>
      <c r="H104" s="48">
        <f>IFERROR(__xludf.DUMMYFUNCTION("""COMPUTED_VALUE"""),14401)</f>
        <v>14401</v>
      </c>
      <c r="I104" s="47">
        <f>IFERROR(__xludf.DUMMYFUNCTION("""COMPUTED_VALUE"""),45890.6458333333)</f>
        <v>45890.6458333333</v>
      </c>
      <c r="J104" s="48">
        <f>IFERROR(__xludf.DUMMYFUNCTION("""COMPUTED_VALUE"""),14156)</f>
        <v>14156</v>
      </c>
      <c r="K104" s="3">
        <f t="shared" si="2"/>
        <v>0</v>
      </c>
      <c r="L104" s="3">
        <f t="shared" si="3"/>
        <v>0</v>
      </c>
    </row>
    <row r="105" customHeight="1" spans="1:12">
      <c r="A105" s="47">
        <f>IFERROR(__xludf.DUMMYFUNCTION("""COMPUTED_VALUE"""),45891.6458333333)</f>
        <v>45891.6458333333</v>
      </c>
      <c r="B105" s="48">
        <f>IFERROR(__xludf.DUMMYFUNCTION("""COMPUTED_VALUE"""),14349)</f>
        <v>14349</v>
      </c>
      <c r="C105" s="47">
        <f>IFERROR(__xludf.DUMMYFUNCTION("""COMPUTED_VALUE"""),45891.6458333333)</f>
        <v>45891.6458333333</v>
      </c>
      <c r="D105" s="48">
        <f>IFERROR(__xludf.DUMMYFUNCTION("""COMPUTED_VALUE"""),14349)</f>
        <v>14349</v>
      </c>
      <c r="E105" s="47">
        <f>IFERROR(__xludf.DUMMYFUNCTION("""COMPUTED_VALUE"""),45891.6458333333)</f>
        <v>45891.6458333333</v>
      </c>
      <c r="F105" s="48">
        <f>IFERROR(__xludf.DUMMYFUNCTION("""COMPUTED_VALUE"""),458935)</f>
        <v>458935</v>
      </c>
      <c r="G105" s="47">
        <f>IFERROR(__xludf.DUMMYFUNCTION("""COMPUTED_VALUE"""),45891.6458333333)</f>
        <v>45891.6458333333</v>
      </c>
      <c r="H105" s="48">
        <f>IFERROR(__xludf.DUMMYFUNCTION("""COMPUTED_VALUE"""),14370)</f>
        <v>14370</v>
      </c>
      <c r="I105" s="47">
        <f>IFERROR(__xludf.DUMMYFUNCTION("""COMPUTED_VALUE"""),45891.6458333333)</f>
        <v>45891.6458333333</v>
      </c>
      <c r="J105" s="48">
        <f>IFERROR(__xludf.DUMMYFUNCTION("""COMPUTED_VALUE"""),14230)</f>
        <v>14230</v>
      </c>
      <c r="K105" s="3">
        <f t="shared" si="2"/>
        <v>0</v>
      </c>
      <c r="L105" s="3">
        <f t="shared" si="3"/>
        <v>0</v>
      </c>
    </row>
    <row r="106" customHeight="1" spans="1:12">
      <c r="A106" s="47">
        <f>IFERROR(__xludf.DUMMYFUNCTION("""COMPUTED_VALUE"""),45894.6458333333)</f>
        <v>45894.6458333333</v>
      </c>
      <c r="B106" s="48">
        <f>IFERROR(__xludf.DUMMYFUNCTION("""COMPUTED_VALUE"""),14452)</f>
        <v>14452</v>
      </c>
      <c r="C106" s="47">
        <f>IFERROR(__xludf.DUMMYFUNCTION("""COMPUTED_VALUE"""),45894.6458333333)</f>
        <v>45894.6458333333</v>
      </c>
      <c r="D106" s="48">
        <f>IFERROR(__xludf.DUMMYFUNCTION("""COMPUTED_VALUE"""),14401)</f>
        <v>14401</v>
      </c>
      <c r="E106" s="47">
        <f>IFERROR(__xludf.DUMMYFUNCTION("""COMPUTED_VALUE"""),45894.6458333333)</f>
        <v>45894.6458333333</v>
      </c>
      <c r="F106" s="48">
        <f>IFERROR(__xludf.DUMMYFUNCTION("""COMPUTED_VALUE"""),357110)</f>
        <v>357110</v>
      </c>
      <c r="G106" s="47">
        <f>IFERROR(__xludf.DUMMYFUNCTION("""COMPUTED_VALUE"""),45894.6458333333)</f>
        <v>45894.6458333333</v>
      </c>
      <c r="H106" s="48">
        <f>IFERROR(__xludf.DUMMYFUNCTION("""COMPUTED_VALUE"""),14478)</f>
        <v>14478</v>
      </c>
      <c r="I106" s="47">
        <f>IFERROR(__xludf.DUMMYFUNCTION("""COMPUTED_VALUE"""),45894.6458333333)</f>
        <v>45894.6458333333</v>
      </c>
      <c r="J106" s="48">
        <f>IFERROR(__xludf.DUMMYFUNCTION("""COMPUTED_VALUE"""),14280)</f>
        <v>14280</v>
      </c>
      <c r="K106" s="3">
        <f t="shared" si="2"/>
        <v>0</v>
      </c>
      <c r="L106" s="3">
        <f t="shared" si="3"/>
        <v>0</v>
      </c>
    </row>
    <row r="107" customHeight="1" spans="1:12">
      <c r="A107" s="47">
        <f>IFERROR(__xludf.DUMMYFUNCTION("""COMPUTED_VALUE"""),45895.6458333333)</f>
        <v>45895.6458333333</v>
      </c>
      <c r="B107" s="48">
        <f>IFERROR(__xludf.DUMMYFUNCTION("""COMPUTED_VALUE"""),14714)</f>
        <v>14714</v>
      </c>
      <c r="C107" s="47">
        <f>IFERROR(__xludf.DUMMYFUNCTION("""COMPUTED_VALUE"""),45895.6458333333)</f>
        <v>45895.6458333333</v>
      </c>
      <c r="D107" s="48">
        <f>IFERROR(__xludf.DUMMYFUNCTION("""COMPUTED_VALUE"""),14452)</f>
        <v>14452</v>
      </c>
      <c r="E107" s="47">
        <f>IFERROR(__xludf.DUMMYFUNCTION("""COMPUTED_VALUE"""),45895.6458333333)</f>
        <v>45895.6458333333</v>
      </c>
      <c r="F107" s="48">
        <f>IFERROR(__xludf.DUMMYFUNCTION("""COMPUTED_VALUE"""),962974)</f>
        <v>962974</v>
      </c>
      <c r="G107" s="47">
        <f>IFERROR(__xludf.DUMMYFUNCTION("""COMPUTED_VALUE"""),45895.6458333333)</f>
        <v>45895.6458333333</v>
      </c>
      <c r="H107" s="48">
        <f>IFERROR(__xludf.DUMMYFUNCTION("""COMPUTED_VALUE"""),14825)</f>
        <v>14825</v>
      </c>
      <c r="I107" s="47">
        <f>IFERROR(__xludf.DUMMYFUNCTION("""COMPUTED_VALUE"""),45895.6458333333)</f>
        <v>45895.6458333333</v>
      </c>
      <c r="J107" s="48">
        <f>IFERROR(__xludf.DUMMYFUNCTION("""COMPUTED_VALUE"""),14391)</f>
        <v>14391</v>
      </c>
      <c r="K107" s="3">
        <f t="shared" si="2"/>
        <v>0</v>
      </c>
      <c r="L107" s="3">
        <f t="shared" si="3"/>
        <v>0</v>
      </c>
    </row>
    <row r="108" customHeight="1" spans="1:12">
      <c r="A108" s="47">
        <f>IFERROR(__xludf.DUMMYFUNCTION("""COMPUTED_VALUE"""),45897.6458333333)</f>
        <v>45897.6458333333</v>
      </c>
      <c r="B108" s="48">
        <f>IFERROR(__xludf.DUMMYFUNCTION("""COMPUTED_VALUE"""),14752)</f>
        <v>14752</v>
      </c>
      <c r="C108" s="47">
        <f>IFERROR(__xludf.DUMMYFUNCTION("""COMPUTED_VALUE"""),45897.6458333333)</f>
        <v>45897.6458333333</v>
      </c>
      <c r="D108" s="48">
        <f>IFERROR(__xludf.DUMMYFUNCTION("""COMPUTED_VALUE"""),14895)</f>
        <v>14895</v>
      </c>
      <c r="E108" s="47">
        <f>IFERROR(__xludf.DUMMYFUNCTION("""COMPUTED_VALUE"""),45897.6458333333)</f>
        <v>45897.6458333333</v>
      </c>
      <c r="F108" s="48">
        <f>IFERROR(__xludf.DUMMYFUNCTION("""COMPUTED_VALUE"""),666635)</f>
        <v>666635</v>
      </c>
      <c r="G108" s="47">
        <f>IFERROR(__xludf.DUMMYFUNCTION("""COMPUTED_VALUE"""),45897.6458333333)</f>
        <v>45897.6458333333</v>
      </c>
      <c r="H108" s="48">
        <f>IFERROR(__xludf.DUMMYFUNCTION("""COMPUTED_VALUE"""),14895)</f>
        <v>14895</v>
      </c>
      <c r="I108" s="47">
        <f>IFERROR(__xludf.DUMMYFUNCTION("""COMPUTED_VALUE"""),45897.6458333333)</f>
        <v>45897.6458333333</v>
      </c>
      <c r="J108" s="48">
        <f>IFERROR(__xludf.DUMMYFUNCTION("""COMPUTED_VALUE"""),14625)</f>
        <v>14625</v>
      </c>
      <c r="K108" s="3">
        <f t="shared" si="2"/>
        <v>0</v>
      </c>
      <c r="L108" s="3">
        <f t="shared" si="3"/>
        <v>0</v>
      </c>
    </row>
    <row r="109" customHeight="1" spans="1:12">
      <c r="A109" s="47">
        <f>IFERROR(__xludf.DUMMYFUNCTION("""COMPUTED_VALUE"""),45898.6458333333)</f>
        <v>45898.6458333333</v>
      </c>
      <c r="B109" s="48">
        <f>IFERROR(__xludf.DUMMYFUNCTION("""COMPUTED_VALUE"""),14791)</f>
        <v>14791</v>
      </c>
      <c r="C109" s="47">
        <f>IFERROR(__xludf.DUMMYFUNCTION("""COMPUTED_VALUE"""),45898.6458333333)</f>
        <v>45898.6458333333</v>
      </c>
      <c r="D109" s="48">
        <f>IFERROR(__xludf.DUMMYFUNCTION("""COMPUTED_VALUE"""),14750)</f>
        <v>14750</v>
      </c>
      <c r="E109" s="47">
        <f>IFERROR(__xludf.DUMMYFUNCTION("""COMPUTED_VALUE"""),45898.6458333333)</f>
        <v>45898.6458333333</v>
      </c>
      <c r="F109" s="48">
        <f>IFERROR(__xludf.DUMMYFUNCTION("""COMPUTED_VALUE"""),621560)</f>
        <v>621560</v>
      </c>
      <c r="G109" s="47">
        <f>IFERROR(__xludf.DUMMYFUNCTION("""COMPUTED_VALUE"""),45898.6458333333)</f>
        <v>45898.6458333333</v>
      </c>
      <c r="H109" s="48">
        <f>IFERROR(__xludf.DUMMYFUNCTION("""COMPUTED_VALUE"""),14850)</f>
        <v>14850</v>
      </c>
      <c r="I109" s="47">
        <f>IFERROR(__xludf.DUMMYFUNCTION("""COMPUTED_VALUE"""),45898.6458333333)</f>
        <v>45898.6458333333</v>
      </c>
      <c r="J109" s="48">
        <f>IFERROR(__xludf.DUMMYFUNCTION("""COMPUTED_VALUE"""),14692)</f>
        <v>14692</v>
      </c>
      <c r="K109" s="3">
        <f t="shared" si="2"/>
        <v>0</v>
      </c>
      <c r="L109" s="3">
        <f t="shared" si="3"/>
        <v>0</v>
      </c>
    </row>
    <row r="110" customHeight="1" spans="1:12">
      <c r="A110" s="47">
        <f>IFERROR(__xludf.DUMMYFUNCTION("""COMPUTED_VALUE"""),45901.6458333333)</f>
        <v>45901.6458333333</v>
      </c>
      <c r="B110" s="48">
        <f>IFERROR(__xludf.DUMMYFUNCTION("""COMPUTED_VALUE"""),14887)</f>
        <v>14887</v>
      </c>
      <c r="C110" s="47">
        <f>IFERROR(__xludf.DUMMYFUNCTION("""COMPUTED_VALUE"""),45901.6458333333)</f>
        <v>45901.6458333333</v>
      </c>
      <c r="D110" s="48">
        <f>IFERROR(__xludf.DUMMYFUNCTION("""COMPUTED_VALUE"""),14790)</f>
        <v>14790</v>
      </c>
      <c r="E110" s="47">
        <f>IFERROR(__xludf.DUMMYFUNCTION("""COMPUTED_VALUE"""),45901.6458333333)</f>
        <v>45901.6458333333</v>
      </c>
      <c r="F110" s="48">
        <f>IFERROR(__xludf.DUMMYFUNCTION("""COMPUTED_VALUE"""),572927)</f>
        <v>572927</v>
      </c>
      <c r="G110" s="47">
        <f>IFERROR(__xludf.DUMMYFUNCTION("""COMPUTED_VALUE"""),45901.6458333333)</f>
        <v>45901.6458333333</v>
      </c>
      <c r="H110" s="48">
        <f>IFERROR(__xludf.DUMMYFUNCTION("""COMPUTED_VALUE"""),14938)</f>
        <v>14938</v>
      </c>
      <c r="I110" s="47">
        <f>IFERROR(__xludf.DUMMYFUNCTION("""COMPUTED_VALUE"""),45901.6458333333)</f>
        <v>45901.6458333333</v>
      </c>
      <c r="J110" s="48">
        <f>IFERROR(__xludf.DUMMYFUNCTION("""COMPUTED_VALUE"""),14654)</f>
        <v>14654</v>
      </c>
      <c r="K110" s="3">
        <f t="shared" si="2"/>
        <v>0</v>
      </c>
      <c r="L110" s="3">
        <f t="shared" si="3"/>
        <v>0</v>
      </c>
    </row>
    <row r="111" customHeight="1" spans="1:12">
      <c r="A111" s="47">
        <f>IFERROR(__xludf.DUMMYFUNCTION("""COMPUTED_VALUE"""),45902.6458333333)</f>
        <v>45902.6458333333</v>
      </c>
      <c r="B111" s="48">
        <f>IFERROR(__xludf.DUMMYFUNCTION("""COMPUTED_VALUE"""),14842)</f>
        <v>14842</v>
      </c>
      <c r="C111" s="47">
        <f>IFERROR(__xludf.DUMMYFUNCTION("""COMPUTED_VALUE"""),45902.6458333333)</f>
        <v>45902.6458333333</v>
      </c>
      <c r="D111" s="48">
        <f>IFERROR(__xludf.DUMMYFUNCTION("""COMPUTED_VALUE"""),14859)</f>
        <v>14859</v>
      </c>
      <c r="E111" s="47">
        <f>IFERROR(__xludf.DUMMYFUNCTION("""COMPUTED_VALUE"""),45902.6458333333)</f>
        <v>45902.6458333333</v>
      </c>
      <c r="F111" s="48">
        <f>IFERROR(__xludf.DUMMYFUNCTION("""COMPUTED_VALUE"""),379167)</f>
        <v>379167</v>
      </c>
      <c r="G111" s="47">
        <f>IFERROR(__xludf.DUMMYFUNCTION("""COMPUTED_VALUE"""),45902.6458333333)</f>
        <v>45902.6458333333</v>
      </c>
      <c r="H111" s="48">
        <f>IFERROR(__xludf.DUMMYFUNCTION("""COMPUTED_VALUE"""),14934)</f>
        <v>14934</v>
      </c>
      <c r="I111" s="47">
        <f>IFERROR(__xludf.DUMMYFUNCTION("""COMPUTED_VALUE"""),45902.6458333333)</f>
        <v>45902.6458333333</v>
      </c>
      <c r="J111" s="48">
        <f>IFERROR(__xludf.DUMMYFUNCTION("""COMPUTED_VALUE"""),14783)</f>
        <v>14783</v>
      </c>
      <c r="K111" s="3">
        <f t="shared" si="2"/>
        <v>0</v>
      </c>
      <c r="L111" s="3">
        <f t="shared" si="3"/>
        <v>0</v>
      </c>
    </row>
    <row r="112" customHeight="1" spans="1:12">
      <c r="A112" s="47">
        <f>IFERROR(__xludf.DUMMYFUNCTION("""COMPUTED_VALUE"""),45903.6458333333)</f>
        <v>45903.6458333333</v>
      </c>
      <c r="B112" s="48">
        <f>IFERROR(__xludf.DUMMYFUNCTION("""COMPUTED_VALUE"""),14927)</f>
        <v>14927</v>
      </c>
      <c r="C112" s="47">
        <f>IFERROR(__xludf.DUMMYFUNCTION("""COMPUTED_VALUE"""),45903.6458333333)</f>
        <v>45903.6458333333</v>
      </c>
      <c r="D112" s="48">
        <f>IFERROR(__xludf.DUMMYFUNCTION("""COMPUTED_VALUE"""),14875)</f>
        <v>14875</v>
      </c>
      <c r="E112" s="47">
        <f>IFERROR(__xludf.DUMMYFUNCTION("""COMPUTED_VALUE"""),45903.6458333333)</f>
        <v>45903.6458333333</v>
      </c>
      <c r="F112" s="48">
        <f>IFERROR(__xludf.DUMMYFUNCTION("""COMPUTED_VALUE"""),561656)</f>
        <v>561656</v>
      </c>
      <c r="G112" s="47">
        <f>IFERROR(__xludf.DUMMYFUNCTION("""COMPUTED_VALUE"""),45903.6458333333)</f>
        <v>45903.6458333333</v>
      </c>
      <c r="H112" s="48">
        <f>IFERROR(__xludf.DUMMYFUNCTION("""COMPUTED_VALUE"""),14991)</f>
        <v>14991</v>
      </c>
      <c r="I112" s="47">
        <f>IFERROR(__xludf.DUMMYFUNCTION("""COMPUTED_VALUE"""),45903.6458333333)</f>
        <v>45903.6458333333</v>
      </c>
      <c r="J112" s="48">
        <f>IFERROR(__xludf.DUMMYFUNCTION("""COMPUTED_VALUE"""),14750)</f>
        <v>14750</v>
      </c>
      <c r="K112" s="3">
        <f t="shared" si="2"/>
        <v>0</v>
      </c>
      <c r="L112" s="3">
        <f t="shared" si="3"/>
        <v>0</v>
      </c>
    </row>
    <row r="113" customHeight="1" spans="1:12">
      <c r="A113" s="47">
        <f>IFERROR(__xludf.DUMMYFUNCTION("""COMPUTED_VALUE"""),45904.6458333333)</f>
        <v>45904.6458333333</v>
      </c>
      <c r="B113" s="48">
        <f>IFERROR(__xludf.DUMMYFUNCTION("""COMPUTED_VALUE"""),14662)</f>
        <v>14662</v>
      </c>
      <c r="C113" s="47">
        <f>IFERROR(__xludf.DUMMYFUNCTION("""COMPUTED_VALUE"""),45904.6458333333)</f>
        <v>45904.6458333333</v>
      </c>
      <c r="D113" s="48">
        <f>IFERROR(__xludf.DUMMYFUNCTION("""COMPUTED_VALUE"""),15240)</f>
        <v>15240</v>
      </c>
      <c r="E113" s="47">
        <f>IFERROR(__xludf.DUMMYFUNCTION("""COMPUTED_VALUE"""),45904.6458333333)</f>
        <v>45904.6458333333</v>
      </c>
      <c r="F113" s="48">
        <f>IFERROR(__xludf.DUMMYFUNCTION("""COMPUTED_VALUE"""),784369)</f>
        <v>784369</v>
      </c>
      <c r="G113" s="47">
        <f>IFERROR(__xludf.DUMMYFUNCTION("""COMPUTED_VALUE"""),45904.6458333333)</f>
        <v>45904.6458333333</v>
      </c>
      <c r="H113" s="48">
        <f>IFERROR(__xludf.DUMMYFUNCTION("""COMPUTED_VALUE"""),15240)</f>
        <v>15240</v>
      </c>
      <c r="I113" s="47">
        <f>IFERROR(__xludf.DUMMYFUNCTION("""COMPUTED_VALUE"""),45904.6458333333)</f>
        <v>45904.6458333333</v>
      </c>
      <c r="J113" s="48">
        <f>IFERROR(__xludf.DUMMYFUNCTION("""COMPUTED_VALUE"""),14630)</f>
        <v>14630</v>
      </c>
      <c r="K113" s="3">
        <f t="shared" si="2"/>
        <v>0</v>
      </c>
      <c r="L113" s="3">
        <f t="shared" si="3"/>
        <v>14662</v>
      </c>
    </row>
    <row r="114" customHeight="1" spans="1:12">
      <c r="A114" s="47">
        <f>IFERROR(__xludf.DUMMYFUNCTION("""COMPUTED_VALUE"""),45905.6458333333)</f>
        <v>45905.6458333333</v>
      </c>
      <c r="B114" s="48">
        <f>IFERROR(__xludf.DUMMYFUNCTION("""COMPUTED_VALUE"""),14895)</f>
        <v>14895</v>
      </c>
      <c r="C114" s="47">
        <f>IFERROR(__xludf.DUMMYFUNCTION("""COMPUTED_VALUE"""),45905.6458333333)</f>
        <v>45905.6458333333</v>
      </c>
      <c r="D114" s="48">
        <f>IFERROR(__xludf.DUMMYFUNCTION("""COMPUTED_VALUE"""),14740)</f>
        <v>14740</v>
      </c>
      <c r="E114" s="47">
        <f>IFERROR(__xludf.DUMMYFUNCTION("""COMPUTED_VALUE"""),45905.6458333333)</f>
        <v>45905.6458333333</v>
      </c>
      <c r="F114" s="48">
        <f>IFERROR(__xludf.DUMMYFUNCTION("""COMPUTED_VALUE"""),473806)</f>
        <v>473806</v>
      </c>
      <c r="G114" s="47">
        <f>IFERROR(__xludf.DUMMYFUNCTION("""COMPUTED_VALUE"""),45905.6458333333)</f>
        <v>45905.6458333333</v>
      </c>
      <c r="H114" s="48">
        <f>IFERROR(__xludf.DUMMYFUNCTION("""COMPUTED_VALUE"""),14957)</f>
        <v>14957</v>
      </c>
      <c r="I114" s="47">
        <f>IFERROR(__xludf.DUMMYFUNCTION("""COMPUTED_VALUE"""),45905.6458333333)</f>
        <v>45905.6458333333</v>
      </c>
      <c r="J114" s="48">
        <f>IFERROR(__xludf.DUMMYFUNCTION("""COMPUTED_VALUE"""),14701)</f>
        <v>14701</v>
      </c>
      <c r="K114" s="3">
        <f t="shared" si="2"/>
        <v>0</v>
      </c>
      <c r="L114" s="3">
        <f t="shared" si="3"/>
        <v>0</v>
      </c>
    </row>
    <row r="115" customHeight="1" spans="1:12">
      <c r="A115" s="47">
        <f>IFERROR(__xludf.DUMMYFUNCTION("""COMPUTED_VALUE"""),45908.6458333333)</f>
        <v>45908.6458333333</v>
      </c>
      <c r="B115" s="48">
        <f>IFERROR(__xludf.DUMMYFUNCTION("""COMPUTED_VALUE"""),15258)</f>
        <v>15258</v>
      </c>
      <c r="C115" s="47">
        <f>IFERROR(__xludf.DUMMYFUNCTION("""COMPUTED_VALUE"""),45908.6458333333)</f>
        <v>45908.6458333333</v>
      </c>
      <c r="D115" s="48">
        <f>IFERROR(__xludf.DUMMYFUNCTION("""COMPUTED_VALUE"""),14921)</f>
        <v>14921</v>
      </c>
      <c r="E115" s="47">
        <f>IFERROR(__xludf.DUMMYFUNCTION("""COMPUTED_VALUE"""),45908.6458333333)</f>
        <v>45908.6458333333</v>
      </c>
      <c r="F115" s="48">
        <f>IFERROR(__xludf.DUMMYFUNCTION("""COMPUTED_VALUE"""),691077)</f>
        <v>691077</v>
      </c>
      <c r="G115" s="47">
        <f>IFERROR(__xludf.DUMMYFUNCTION("""COMPUTED_VALUE"""),45908.6458333333)</f>
        <v>45908.6458333333</v>
      </c>
      <c r="H115" s="48">
        <f>IFERROR(__xludf.DUMMYFUNCTION("""COMPUTED_VALUE"""),15319)</f>
        <v>15319</v>
      </c>
      <c r="I115" s="47">
        <f>IFERROR(__xludf.DUMMYFUNCTION("""COMPUTED_VALUE"""),45908.6458333333)</f>
        <v>45908.6458333333</v>
      </c>
      <c r="J115" s="48">
        <f>IFERROR(__xludf.DUMMYFUNCTION("""COMPUTED_VALUE"""),14850)</f>
        <v>14850</v>
      </c>
      <c r="K115" s="3">
        <f t="shared" si="2"/>
        <v>0</v>
      </c>
      <c r="L115" s="3">
        <f t="shared" si="3"/>
        <v>0</v>
      </c>
    </row>
    <row r="116" customHeight="1" spans="1:12">
      <c r="A116" s="47">
        <f>IFERROR(__xludf.DUMMYFUNCTION("""COMPUTED_VALUE"""),45909.6458333333)</f>
        <v>45909.6458333333</v>
      </c>
      <c r="B116" s="48">
        <f>IFERROR(__xludf.DUMMYFUNCTION("""COMPUTED_VALUE"""),15365)</f>
        <v>15365</v>
      </c>
      <c r="C116" s="47">
        <f>IFERROR(__xludf.DUMMYFUNCTION("""COMPUTED_VALUE"""),45909.6458333333)</f>
        <v>45909.6458333333</v>
      </c>
      <c r="D116" s="48">
        <f>IFERROR(__xludf.DUMMYFUNCTION("""COMPUTED_VALUE"""),15249)</f>
        <v>15249</v>
      </c>
      <c r="E116" s="47">
        <f>IFERROR(__xludf.DUMMYFUNCTION("""COMPUTED_VALUE"""),45909.6458333333)</f>
        <v>45909.6458333333</v>
      </c>
      <c r="F116" s="48">
        <f>IFERROR(__xludf.DUMMYFUNCTION("""COMPUTED_VALUE"""),605860)</f>
        <v>605860</v>
      </c>
      <c r="G116" s="47">
        <f>IFERROR(__xludf.DUMMYFUNCTION("""COMPUTED_VALUE"""),45909.6458333333)</f>
        <v>45909.6458333333</v>
      </c>
      <c r="H116" s="48">
        <f>IFERROR(__xludf.DUMMYFUNCTION("""COMPUTED_VALUE"""),15384)</f>
        <v>15384</v>
      </c>
      <c r="I116" s="47">
        <f>IFERROR(__xludf.DUMMYFUNCTION("""COMPUTED_VALUE"""),45909.6458333333)</f>
        <v>45909.6458333333</v>
      </c>
      <c r="J116" s="48">
        <f>IFERROR(__xludf.DUMMYFUNCTION("""COMPUTED_VALUE"""),15201)</f>
        <v>15201</v>
      </c>
      <c r="K116" s="3">
        <f t="shared" si="2"/>
        <v>0</v>
      </c>
      <c r="L116" s="3">
        <f t="shared" si="3"/>
        <v>0</v>
      </c>
    </row>
    <row r="117" customHeight="1" spans="1:12">
      <c r="A117" s="47">
        <f>IFERROR(__xludf.DUMMYFUNCTION("""COMPUTED_VALUE"""),45910.6458333333)</f>
        <v>45910.6458333333</v>
      </c>
      <c r="B117" s="48">
        <f>IFERROR(__xludf.DUMMYFUNCTION("""COMPUTED_VALUE"""),15108)</f>
        <v>15108</v>
      </c>
      <c r="C117" s="47">
        <f>IFERROR(__xludf.DUMMYFUNCTION("""COMPUTED_VALUE"""),45910.6458333333)</f>
        <v>45910.6458333333</v>
      </c>
      <c r="D117" s="48">
        <f>IFERROR(__xludf.DUMMYFUNCTION("""COMPUTED_VALUE"""),15366)</f>
        <v>15366</v>
      </c>
      <c r="E117" s="47">
        <f>IFERROR(__xludf.DUMMYFUNCTION("""COMPUTED_VALUE"""),45910.6458333333)</f>
        <v>45910.6458333333</v>
      </c>
      <c r="F117" s="48">
        <f>IFERROR(__xludf.DUMMYFUNCTION("""COMPUTED_VALUE"""),489062)</f>
        <v>489062</v>
      </c>
      <c r="G117" s="47">
        <f>IFERROR(__xludf.DUMMYFUNCTION("""COMPUTED_VALUE"""),45910.6458333333)</f>
        <v>45910.6458333333</v>
      </c>
      <c r="H117" s="48">
        <f>IFERROR(__xludf.DUMMYFUNCTION("""COMPUTED_VALUE"""),15384)</f>
        <v>15384</v>
      </c>
      <c r="I117" s="47">
        <f>IFERROR(__xludf.DUMMYFUNCTION("""COMPUTED_VALUE"""),45910.6458333333)</f>
        <v>45910.6458333333</v>
      </c>
      <c r="J117" s="48">
        <f>IFERROR(__xludf.DUMMYFUNCTION("""COMPUTED_VALUE"""),15072)</f>
        <v>15072</v>
      </c>
      <c r="K117" s="3">
        <f t="shared" si="2"/>
        <v>0</v>
      </c>
      <c r="L117" s="3">
        <f t="shared" si="3"/>
        <v>0</v>
      </c>
    </row>
    <row r="118" customHeight="1" spans="1:12">
      <c r="A118" s="47">
        <f>IFERROR(__xludf.DUMMYFUNCTION("""COMPUTED_VALUE"""),45911.6458333333)</f>
        <v>45911.6458333333</v>
      </c>
      <c r="B118" s="48">
        <f>IFERROR(__xludf.DUMMYFUNCTION("""COMPUTED_VALUE"""),15095)</f>
        <v>15095</v>
      </c>
      <c r="C118" s="47">
        <f>IFERROR(__xludf.DUMMYFUNCTION("""COMPUTED_VALUE"""),45911.6458333333)</f>
        <v>45911.6458333333</v>
      </c>
      <c r="D118" s="48">
        <f>IFERROR(__xludf.DUMMYFUNCTION("""COMPUTED_VALUE"""),15111)</f>
        <v>15111</v>
      </c>
      <c r="E118" s="47">
        <f>IFERROR(__xludf.DUMMYFUNCTION("""COMPUTED_VALUE"""),45911.6458333333)</f>
        <v>45911.6458333333</v>
      </c>
      <c r="F118" s="48">
        <f>IFERROR(__xludf.DUMMYFUNCTION("""COMPUTED_VALUE"""),657161)</f>
        <v>657161</v>
      </c>
      <c r="G118" s="47">
        <f>IFERROR(__xludf.DUMMYFUNCTION("""COMPUTED_VALUE"""),45911.6458333333)</f>
        <v>45911.6458333333</v>
      </c>
      <c r="H118" s="48">
        <f>IFERROR(__xludf.DUMMYFUNCTION("""COMPUTED_VALUE"""),15191)</f>
        <v>15191</v>
      </c>
      <c r="I118" s="47">
        <f>IFERROR(__xludf.DUMMYFUNCTION("""COMPUTED_VALUE"""),45911.6458333333)</f>
        <v>45911.6458333333</v>
      </c>
      <c r="J118" s="48">
        <f>IFERROR(__xludf.DUMMYFUNCTION("""COMPUTED_VALUE"""),15038)</f>
        <v>15038</v>
      </c>
      <c r="K118" s="3">
        <f t="shared" si="2"/>
        <v>0</v>
      </c>
      <c r="L118" s="3">
        <f t="shared" si="3"/>
        <v>0</v>
      </c>
    </row>
    <row r="119" customHeight="1" spans="1:12">
      <c r="A119" s="47">
        <f>IFERROR(__xludf.DUMMYFUNCTION("""COMPUTED_VALUE"""),45912.6458333333)</f>
        <v>45912.6458333333</v>
      </c>
      <c r="B119" s="48">
        <f>IFERROR(__xludf.DUMMYFUNCTION("""COMPUTED_VALUE"""),15325)</f>
        <v>15325</v>
      </c>
      <c r="C119" s="47">
        <f>IFERROR(__xludf.DUMMYFUNCTION("""COMPUTED_VALUE"""),45912.6458333333)</f>
        <v>45912.6458333333</v>
      </c>
      <c r="D119" s="48">
        <f>IFERROR(__xludf.DUMMYFUNCTION("""COMPUTED_VALUE"""),15160)</f>
        <v>15160</v>
      </c>
      <c r="E119" s="47">
        <f>IFERROR(__xludf.DUMMYFUNCTION("""COMPUTED_VALUE"""),45912.6458333333)</f>
        <v>45912.6458333333</v>
      </c>
      <c r="F119" s="48">
        <f>IFERROR(__xludf.DUMMYFUNCTION("""COMPUTED_VALUE"""),420101)</f>
        <v>420101</v>
      </c>
      <c r="G119" s="47">
        <f>IFERROR(__xludf.DUMMYFUNCTION("""COMPUTED_VALUE"""),45912.6458333333)</f>
        <v>45912.6458333333</v>
      </c>
      <c r="H119" s="48">
        <f>IFERROR(__xludf.DUMMYFUNCTION("""COMPUTED_VALUE"""),15373)</f>
        <v>15373</v>
      </c>
      <c r="I119" s="47">
        <f>IFERROR(__xludf.DUMMYFUNCTION("""COMPUTED_VALUE"""),45912.6458333333)</f>
        <v>45912.6458333333</v>
      </c>
      <c r="J119" s="48">
        <f>IFERROR(__xludf.DUMMYFUNCTION("""COMPUTED_VALUE"""),15153)</f>
        <v>15153</v>
      </c>
      <c r="K119" s="3">
        <f t="shared" si="2"/>
        <v>0</v>
      </c>
      <c r="L119" s="3">
        <f t="shared" si="3"/>
        <v>0</v>
      </c>
    </row>
    <row r="120" customHeight="1" spans="1:12">
      <c r="A120" s="47">
        <f>IFERROR(__xludf.DUMMYFUNCTION("""COMPUTED_VALUE"""),45915.6458333333)</f>
        <v>45915.6458333333</v>
      </c>
      <c r="B120" s="48">
        <f>IFERROR(__xludf.DUMMYFUNCTION("""COMPUTED_VALUE"""),15265)</f>
        <v>15265</v>
      </c>
      <c r="C120" s="47">
        <f>IFERROR(__xludf.DUMMYFUNCTION("""COMPUTED_VALUE"""),45915.6458333333)</f>
        <v>45915.6458333333</v>
      </c>
      <c r="D120" s="48">
        <f>IFERROR(__xludf.DUMMYFUNCTION("""COMPUTED_VALUE"""),15350)</f>
        <v>15350</v>
      </c>
      <c r="E120" s="47">
        <f>IFERROR(__xludf.DUMMYFUNCTION("""COMPUTED_VALUE"""),45915.6458333333)</f>
        <v>45915.6458333333</v>
      </c>
      <c r="F120" s="48">
        <f>IFERROR(__xludf.DUMMYFUNCTION("""COMPUTED_VALUE"""),170587)</f>
        <v>170587</v>
      </c>
      <c r="G120" s="47">
        <f>IFERROR(__xludf.DUMMYFUNCTION("""COMPUTED_VALUE"""),45915.6458333333)</f>
        <v>45915.6458333333</v>
      </c>
      <c r="H120" s="48">
        <f>IFERROR(__xludf.DUMMYFUNCTION("""COMPUTED_VALUE"""),15378)</f>
        <v>15378</v>
      </c>
      <c r="I120" s="47">
        <f>IFERROR(__xludf.DUMMYFUNCTION("""COMPUTED_VALUE"""),45915.6458333333)</f>
        <v>45915.6458333333</v>
      </c>
      <c r="J120" s="48">
        <f>IFERROR(__xludf.DUMMYFUNCTION("""COMPUTED_VALUE"""),15249)</f>
        <v>15249</v>
      </c>
      <c r="K120" s="3">
        <f t="shared" si="2"/>
        <v>0</v>
      </c>
      <c r="L120" s="3">
        <f t="shared" si="3"/>
        <v>0</v>
      </c>
    </row>
    <row r="121" customHeight="1" spans="1:12">
      <c r="A121" s="47">
        <f>IFERROR(__xludf.DUMMYFUNCTION("""COMPUTED_VALUE"""),45916.6458333333)</f>
        <v>45916.6458333333</v>
      </c>
      <c r="B121" s="48">
        <f>IFERROR(__xludf.DUMMYFUNCTION("""COMPUTED_VALUE"""),15573)</f>
        <v>15573</v>
      </c>
      <c r="C121" s="47">
        <f>IFERROR(__xludf.DUMMYFUNCTION("""COMPUTED_VALUE"""),45916.6458333333)</f>
        <v>45916.6458333333</v>
      </c>
      <c r="D121" s="48">
        <f>IFERROR(__xludf.DUMMYFUNCTION("""COMPUTED_VALUE"""),15300)</f>
        <v>15300</v>
      </c>
      <c r="E121" s="47">
        <f>IFERROR(__xludf.DUMMYFUNCTION("""COMPUTED_VALUE"""),45916.6458333333)</f>
        <v>45916.6458333333</v>
      </c>
      <c r="F121" s="48">
        <f>IFERROR(__xludf.DUMMYFUNCTION("""COMPUTED_VALUE"""),381944)</f>
        <v>381944</v>
      </c>
      <c r="G121" s="47">
        <f>IFERROR(__xludf.DUMMYFUNCTION("""COMPUTED_VALUE"""),45916.6458333333)</f>
        <v>45916.6458333333</v>
      </c>
      <c r="H121" s="48">
        <f>IFERROR(__xludf.DUMMYFUNCTION("""COMPUTED_VALUE"""),15594)</f>
        <v>15594</v>
      </c>
      <c r="I121" s="47">
        <f>IFERROR(__xludf.DUMMYFUNCTION("""COMPUTED_VALUE"""),45916.6458333333)</f>
        <v>45916.6458333333</v>
      </c>
      <c r="J121" s="48">
        <f>IFERROR(__xludf.DUMMYFUNCTION("""COMPUTED_VALUE"""),15284)</f>
        <v>15284</v>
      </c>
      <c r="K121" s="3">
        <f t="shared" si="2"/>
        <v>0</v>
      </c>
      <c r="L121" s="3">
        <f t="shared" si="3"/>
        <v>0</v>
      </c>
    </row>
    <row r="122" customHeight="1" spans="1:12">
      <c r="A122" s="47">
        <f>IFERROR(__xludf.DUMMYFUNCTION("""COMPUTED_VALUE"""),45917.6458333333)</f>
        <v>45917.6458333333</v>
      </c>
      <c r="B122" s="48">
        <f>IFERROR(__xludf.DUMMYFUNCTION("""COMPUTED_VALUE"""),15801)</f>
        <v>15801</v>
      </c>
      <c r="C122" s="47">
        <f>IFERROR(__xludf.DUMMYFUNCTION("""COMPUTED_VALUE"""),45917.6458333333)</f>
        <v>45917.6458333333</v>
      </c>
      <c r="D122" s="48">
        <f>IFERROR(__xludf.DUMMYFUNCTION("""COMPUTED_VALUE"""),15592)</f>
        <v>15592</v>
      </c>
      <c r="E122" s="47">
        <f>IFERROR(__xludf.DUMMYFUNCTION("""COMPUTED_VALUE"""),45917.6458333333)</f>
        <v>45917.6458333333</v>
      </c>
      <c r="F122" s="48">
        <f>IFERROR(__xludf.DUMMYFUNCTION("""COMPUTED_VALUE"""),624986)</f>
        <v>624986</v>
      </c>
      <c r="G122" s="47">
        <f>IFERROR(__xludf.DUMMYFUNCTION("""COMPUTED_VALUE"""),45917.6458333333)</f>
        <v>45917.6458333333</v>
      </c>
      <c r="H122" s="48">
        <f>IFERROR(__xludf.DUMMYFUNCTION("""COMPUTED_VALUE"""),15818)</f>
        <v>15818</v>
      </c>
      <c r="I122" s="47">
        <f>IFERROR(__xludf.DUMMYFUNCTION("""COMPUTED_VALUE"""),45917.6458333333)</f>
        <v>45917.6458333333</v>
      </c>
      <c r="J122" s="48">
        <f>IFERROR(__xludf.DUMMYFUNCTION("""COMPUTED_VALUE"""),15570)</f>
        <v>15570</v>
      </c>
      <c r="K122" s="3">
        <f t="shared" si="2"/>
        <v>0</v>
      </c>
      <c r="L122" s="3">
        <f t="shared" si="3"/>
        <v>0</v>
      </c>
    </row>
    <row r="123" customHeight="1" spans="1:12">
      <c r="A123" s="47">
        <f>IFERROR(__xludf.DUMMYFUNCTION("""COMPUTED_VALUE"""),45918.6458333333)</f>
        <v>45918.6458333333</v>
      </c>
      <c r="B123" s="48">
        <f>IFERROR(__xludf.DUMMYFUNCTION("""COMPUTED_VALUE"""),15817)</f>
        <v>15817</v>
      </c>
      <c r="C123" s="47">
        <f>IFERROR(__xludf.DUMMYFUNCTION("""COMPUTED_VALUE"""),45918.6458333333)</f>
        <v>45918.6458333333</v>
      </c>
      <c r="D123" s="48">
        <f>IFERROR(__xludf.DUMMYFUNCTION("""COMPUTED_VALUE"""),15916)</f>
        <v>15916</v>
      </c>
      <c r="E123" s="47">
        <f>IFERROR(__xludf.DUMMYFUNCTION("""COMPUTED_VALUE"""),45918.6458333333)</f>
        <v>45918.6458333333</v>
      </c>
      <c r="F123" s="48">
        <f>IFERROR(__xludf.DUMMYFUNCTION("""COMPUTED_VALUE"""),642175)</f>
        <v>642175</v>
      </c>
      <c r="G123" s="47">
        <f>IFERROR(__xludf.DUMMYFUNCTION("""COMPUTED_VALUE"""),45918.6458333333)</f>
        <v>45918.6458333333</v>
      </c>
      <c r="H123" s="48">
        <f>IFERROR(__xludf.DUMMYFUNCTION("""COMPUTED_VALUE"""),15939)</f>
        <v>15939</v>
      </c>
      <c r="I123" s="47">
        <f>IFERROR(__xludf.DUMMYFUNCTION("""COMPUTED_VALUE"""),45918.6458333333)</f>
        <v>45918.6458333333</v>
      </c>
      <c r="J123" s="48">
        <f>IFERROR(__xludf.DUMMYFUNCTION("""COMPUTED_VALUE"""),15703)</f>
        <v>15703</v>
      </c>
      <c r="K123" s="3">
        <f t="shared" si="2"/>
        <v>0</v>
      </c>
      <c r="L123" s="3">
        <f t="shared" si="3"/>
        <v>0</v>
      </c>
    </row>
    <row r="124" customHeight="1" spans="1:12">
      <c r="A124" s="47">
        <f>IFERROR(__xludf.DUMMYFUNCTION("""COMPUTED_VALUE"""),45919.6458333333)</f>
        <v>45919.6458333333</v>
      </c>
      <c r="B124" s="48">
        <f>IFERROR(__xludf.DUMMYFUNCTION("""COMPUTED_VALUE"""),15864)</f>
        <v>15864</v>
      </c>
      <c r="C124" s="47">
        <f>IFERROR(__xludf.DUMMYFUNCTION("""COMPUTED_VALUE"""),45919.6458333333)</f>
        <v>45919.6458333333</v>
      </c>
      <c r="D124" s="48">
        <f>IFERROR(__xludf.DUMMYFUNCTION("""COMPUTED_VALUE"""),16000)</f>
        <v>16000</v>
      </c>
      <c r="E124" s="47">
        <f>IFERROR(__xludf.DUMMYFUNCTION("""COMPUTED_VALUE"""),45919.6458333333)</f>
        <v>45919.6458333333</v>
      </c>
      <c r="F124" s="48">
        <f>IFERROR(__xludf.DUMMYFUNCTION("""COMPUTED_VALUE"""),652443)</f>
        <v>652443</v>
      </c>
      <c r="G124" s="47">
        <f>IFERROR(__xludf.DUMMYFUNCTION("""COMPUTED_VALUE"""),45919.6458333333)</f>
        <v>45919.6458333333</v>
      </c>
      <c r="H124" s="48">
        <f>IFERROR(__xludf.DUMMYFUNCTION("""COMPUTED_VALUE"""),16060)</f>
        <v>16060</v>
      </c>
      <c r="I124" s="47">
        <f>IFERROR(__xludf.DUMMYFUNCTION("""COMPUTED_VALUE"""),45919.6458333333)</f>
        <v>45919.6458333333</v>
      </c>
      <c r="J124" s="48">
        <f>IFERROR(__xludf.DUMMYFUNCTION("""COMPUTED_VALUE"""),15811)</f>
        <v>15811</v>
      </c>
      <c r="K124" s="3">
        <f t="shared" si="2"/>
        <v>0</v>
      </c>
      <c r="L124" s="3">
        <f t="shared" si="3"/>
        <v>0</v>
      </c>
    </row>
    <row r="125" customHeight="1" spans="1:12">
      <c r="A125" s="47">
        <f>IFERROR(__xludf.DUMMYFUNCTION("""COMPUTED_VALUE"""),45922.6458333333)</f>
        <v>45922.6458333333</v>
      </c>
      <c r="B125" s="48">
        <f>IFERROR(__xludf.DUMMYFUNCTION("""COMPUTED_VALUE"""),15816)</f>
        <v>15816</v>
      </c>
      <c r="C125" s="47">
        <f>IFERROR(__xludf.DUMMYFUNCTION("""COMPUTED_VALUE"""),45922.6458333333)</f>
        <v>45922.6458333333</v>
      </c>
      <c r="D125" s="48">
        <f>IFERROR(__xludf.DUMMYFUNCTION("""COMPUTED_VALUE"""),15879)</f>
        <v>15879</v>
      </c>
      <c r="E125" s="47">
        <f>IFERROR(__xludf.DUMMYFUNCTION("""COMPUTED_VALUE"""),45922.6458333333)</f>
        <v>45922.6458333333</v>
      </c>
      <c r="F125" s="48">
        <f>IFERROR(__xludf.DUMMYFUNCTION("""COMPUTED_VALUE"""),302234)</f>
        <v>302234</v>
      </c>
      <c r="G125" s="47">
        <f>IFERROR(__xludf.DUMMYFUNCTION("""COMPUTED_VALUE"""),45922.6458333333)</f>
        <v>45922.6458333333</v>
      </c>
      <c r="H125" s="48">
        <f>IFERROR(__xludf.DUMMYFUNCTION("""COMPUTED_VALUE"""),16000)</f>
        <v>16000</v>
      </c>
      <c r="I125" s="47">
        <f>IFERROR(__xludf.DUMMYFUNCTION("""COMPUTED_VALUE"""),45922.6458333333)</f>
        <v>45922.6458333333</v>
      </c>
      <c r="J125" s="48">
        <f>IFERROR(__xludf.DUMMYFUNCTION("""COMPUTED_VALUE"""),15779)</f>
        <v>15779</v>
      </c>
      <c r="K125" s="3">
        <f t="shared" si="2"/>
        <v>0</v>
      </c>
      <c r="L125" s="3">
        <f t="shared" si="3"/>
        <v>0</v>
      </c>
    </row>
    <row r="126" customHeight="1" spans="1:10">
      <c r="A126" s="47">
        <f>IFERROR(__xludf.DUMMYFUNCTION("""COMPUTED_VALUE"""),45923.6458333333)</f>
        <v>45923.6458333333</v>
      </c>
      <c r="B126" s="48">
        <f>IFERROR(__xludf.DUMMYFUNCTION("""COMPUTED_VALUE"""),16097)</f>
        <v>16097</v>
      </c>
      <c r="C126" s="47">
        <f>IFERROR(__xludf.DUMMYFUNCTION("""COMPUTED_VALUE"""),45923.6458333333)</f>
        <v>45923.6458333333</v>
      </c>
      <c r="D126" s="48">
        <f>IFERROR(__xludf.DUMMYFUNCTION("""COMPUTED_VALUE"""),16120)</f>
        <v>16120</v>
      </c>
      <c r="E126" s="47">
        <f>IFERROR(__xludf.DUMMYFUNCTION("""COMPUTED_VALUE"""),45923.6458333333)</f>
        <v>45923.6458333333</v>
      </c>
      <c r="F126" s="48">
        <f>IFERROR(__xludf.DUMMYFUNCTION("""COMPUTED_VALUE"""),873114)</f>
        <v>873114</v>
      </c>
      <c r="G126" s="47">
        <f>IFERROR(__xludf.DUMMYFUNCTION("""COMPUTED_VALUE"""),45923.6458333333)</f>
        <v>45923.6458333333</v>
      </c>
      <c r="H126" s="48">
        <f>IFERROR(__xludf.DUMMYFUNCTION("""COMPUTED_VALUE"""),16325)</f>
        <v>16325</v>
      </c>
      <c r="I126" s="47">
        <f>IFERROR(__xludf.DUMMYFUNCTION("""COMPUTED_VALUE"""),45923.6458333333)</f>
        <v>45923.6458333333</v>
      </c>
      <c r="J126" s="48">
        <f>IFERROR(__xludf.DUMMYFUNCTION("""COMPUTED_VALUE"""),16031)</f>
        <v>16031</v>
      </c>
    </row>
    <row r="127" customHeight="1" spans="1:10">
      <c r="A127" s="47">
        <f>IFERROR(__xludf.DUMMYFUNCTION("""COMPUTED_VALUE"""),45924.6458333333)</f>
        <v>45924.6458333333</v>
      </c>
      <c r="B127" s="48">
        <f>IFERROR(__xludf.DUMMYFUNCTION("""COMPUTED_VALUE"""),16249)</f>
        <v>16249</v>
      </c>
      <c r="C127" s="47">
        <f>IFERROR(__xludf.DUMMYFUNCTION("""COMPUTED_VALUE"""),45924.6458333333)</f>
        <v>45924.6458333333</v>
      </c>
      <c r="D127" s="48">
        <f>IFERROR(__xludf.DUMMYFUNCTION("""COMPUTED_VALUE"""),16188)</f>
        <v>16188</v>
      </c>
      <c r="E127" s="47">
        <f>IFERROR(__xludf.DUMMYFUNCTION("""COMPUTED_VALUE"""),45924.6458333333)</f>
        <v>45924.6458333333</v>
      </c>
      <c r="F127" s="48">
        <f>IFERROR(__xludf.DUMMYFUNCTION("""COMPUTED_VALUE"""),663647)</f>
        <v>663647</v>
      </c>
      <c r="G127" s="47">
        <f>IFERROR(__xludf.DUMMYFUNCTION("""COMPUTED_VALUE"""),45924.6458333333)</f>
        <v>45924.6458333333</v>
      </c>
      <c r="H127" s="48">
        <f>IFERROR(__xludf.DUMMYFUNCTION("""COMPUTED_VALUE"""),16375)</f>
        <v>16375</v>
      </c>
      <c r="I127" s="47">
        <f>IFERROR(__xludf.DUMMYFUNCTION("""COMPUTED_VALUE"""),45924.6458333333)</f>
        <v>45924.6458333333</v>
      </c>
      <c r="J127" s="48">
        <f>IFERROR(__xludf.DUMMYFUNCTION("""COMPUTED_VALUE"""),16063)</f>
        <v>16063</v>
      </c>
    </row>
    <row r="128" customHeight="1" spans="1:10">
      <c r="A128" s="47">
        <f>IFERROR(__xludf.DUMMYFUNCTION("""COMPUTED_VALUE"""),45925.6458333333)</f>
        <v>45925.6458333333</v>
      </c>
      <c r="B128" s="48">
        <f>IFERROR(__xludf.DUMMYFUNCTION("""COMPUTED_VALUE"""),16269)</f>
        <v>16269</v>
      </c>
      <c r="C128" s="47">
        <f>IFERROR(__xludf.DUMMYFUNCTION("""COMPUTED_VALUE"""),45925.6458333333)</f>
        <v>45925.6458333333</v>
      </c>
      <c r="D128" s="48">
        <f>IFERROR(__xludf.DUMMYFUNCTION("""COMPUTED_VALUE"""),16249)</f>
        <v>16249</v>
      </c>
      <c r="E128" s="47">
        <f>IFERROR(__xludf.DUMMYFUNCTION("""COMPUTED_VALUE"""),45925.6458333333)</f>
        <v>45925.6458333333</v>
      </c>
      <c r="F128" s="48">
        <f>IFERROR(__xludf.DUMMYFUNCTION("""COMPUTED_VALUE"""),490262)</f>
        <v>490262</v>
      </c>
      <c r="G128" s="47">
        <f>IFERROR(__xludf.DUMMYFUNCTION("""COMPUTED_VALUE"""),45925.6458333333)</f>
        <v>45925.6458333333</v>
      </c>
      <c r="H128" s="48">
        <f>IFERROR(__xludf.DUMMYFUNCTION("""COMPUTED_VALUE"""),16370)</f>
        <v>16370</v>
      </c>
      <c r="I128" s="47">
        <f>IFERROR(__xludf.DUMMYFUNCTION("""COMPUTED_VALUE"""),45925.6458333333)</f>
        <v>45925.6458333333</v>
      </c>
      <c r="J128" s="48">
        <f>IFERROR(__xludf.DUMMYFUNCTION("""COMPUTED_VALUE"""),16067)</f>
        <v>16067</v>
      </c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IFERROR(__xludf.DUMMYFUNCTION("""COMPUTED_VALUE"""),16286)</f>
        <v>16286</v>
      </c>
      <c r="C129" s="47">
        <f>IFERROR(__xludf.DUMMYFUNCTION("""COMPUTED_VALUE"""),45926.6458333333)</f>
        <v>45926.6458333333</v>
      </c>
      <c r="D129" s="48">
        <f>IFERROR(__xludf.DUMMYFUNCTION("""COMPUTED_VALUE"""),16235)</f>
        <v>16235</v>
      </c>
      <c r="E129" s="47">
        <f>IFERROR(__xludf.DUMMYFUNCTION("""COMPUTED_VALUE"""),45926.6458333333)</f>
        <v>45926.6458333333</v>
      </c>
      <c r="F129" s="48">
        <f>IFERROR(__xludf.DUMMYFUNCTION("""COMPUTED_VALUE"""),490957)</f>
        <v>490957</v>
      </c>
      <c r="G129" s="47">
        <f>IFERROR(__xludf.DUMMYFUNCTION("""COMPUTED_VALUE"""),45926.6458333333)</f>
        <v>45926.6458333333</v>
      </c>
      <c r="H129" s="48">
        <f>IFERROR(__xludf.DUMMYFUNCTION("""COMPUTED_VALUE"""),16435)</f>
        <v>16435</v>
      </c>
      <c r="I129" s="47">
        <f>IFERROR(__xludf.DUMMYFUNCTION("""COMPUTED_VALUE"""),45926.6458333333)</f>
        <v>45926.6458333333</v>
      </c>
      <c r="J129" s="48">
        <f>IFERROR(__xludf.DUMMYFUNCTION("""COMPUTED_VALUE"""),16202)</f>
        <v>16202</v>
      </c>
    </row>
  </sheetData>
  <mergeCells count="3">
    <mergeCell ref="M1:P1"/>
    <mergeCell ref="A3:F3"/>
    <mergeCell ref="AB4:AE4"/>
  </mergeCells>
  <conditionalFormatting sqref="A1:A2 A4">
    <cfRule type="notContainsBlanks" dxfId="0" priority="1">
      <formula>LEN(TRIM(A1))&gt;0</formula>
    </cfRule>
  </conditionalFormatting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16">
      <c r="A1" s="49" t="s">
        <v>264</v>
      </c>
      <c r="B1" s="50">
        <f ca="1">TODAY()</f>
        <v>45927</v>
      </c>
      <c r="C1" s="51">
        <f ca="1">DAY(B1)</f>
        <v>27</v>
      </c>
      <c r="D1" s="51">
        <f ca="1" t="shared" ref="D1:D2" si="0">MONTH(B1)</f>
        <v>9</v>
      </c>
      <c r="E1" s="51">
        <f ca="1" t="shared" ref="E1:E2" si="1">YEAR(B1)</f>
        <v>2025</v>
      </c>
      <c r="F1" s="52"/>
      <c r="G1" s="53"/>
      <c r="H1" s="51"/>
      <c r="I1" s="51"/>
      <c r="J1" s="51"/>
      <c r="K1" s="51"/>
      <c r="L1" s="51"/>
      <c r="M1" s="62" t="s">
        <v>265</v>
      </c>
      <c r="N1" s="19"/>
      <c r="O1" s="19"/>
      <c r="P1" s="19"/>
    </row>
    <row r="2" customHeight="1" spans="1:20">
      <c r="A2" s="49" t="s">
        <v>266</v>
      </c>
      <c r="B2" s="50">
        <f ca="1">EDATE(TODAY(),-6)</f>
        <v>45743</v>
      </c>
      <c r="C2" s="51">
        <f ca="1">DAY(B2)</f>
        <v>27</v>
      </c>
      <c r="D2" s="51">
        <f ca="1" t="shared" si="0"/>
        <v>3</v>
      </c>
      <c r="E2" s="51">
        <f ca="1" t="shared" si="1"/>
        <v>2025</v>
      </c>
      <c r="F2" s="52"/>
      <c r="G2" s="53"/>
      <c r="H2" s="51"/>
      <c r="I2" s="51"/>
      <c r="J2" s="51"/>
      <c r="K2" s="51"/>
      <c r="L2" s="51"/>
      <c r="M2" s="63" t="str">
        <f>IFERROR(__xludf.DUMMYFUNCTION("GOOGLEFINANCE(L3, ""close"", WORKDAY(TODAY(), -1), WORKDAY(TODAY(), -1))"),"Date")</f>
        <v>Date</v>
      </c>
      <c r="N2" s="64" t="str">
        <f>IFERROR(__xludf.DUMMYFUNCTION("""COMPUTED_VALUE"""),"Close")</f>
        <v>Close</v>
      </c>
      <c r="O2" s="63" t="str">
        <f>IFERROR(__xludf.DUMMYFUNCTION("GOOGLEFINANCE(L3, ""open"", WORKDAY(TODAY(), -1), WORKDAY(TODAY(), -1))"),"Date")</f>
        <v>Date</v>
      </c>
      <c r="P2" s="64" t="str">
        <f>IFERROR(__xludf.DUMMYFUNCTION("""COMPUTED_VALUE"""),"Open")</f>
        <v>Open</v>
      </c>
      <c r="Q2" s="72" t="str">
        <f>IFERROR(__xludf.DUMMYFUNCTION("GOOGLEFINANCE(L3, ""hIGH"", WORKDAY(TODAY(), -1), WORKDAY(TODAY(), -1))"),"Date")</f>
        <v>Date</v>
      </c>
      <c r="R2" s="48" t="str">
        <f>IFERROR(__xludf.DUMMYFUNCTION("""COMPUTED_VALUE"""),"High")</f>
        <v>High</v>
      </c>
      <c r="S2" s="72" t="str">
        <f>IFERROR(__xludf.DUMMYFUNCTION("GOOGLEFINANCE(L3, ""LOW"", WORKDAY(TODAY(), -1), WORKDAY(TODAY(), -1))"),"Date")</f>
        <v>Date</v>
      </c>
      <c r="T2" s="48" t="str">
        <f>IFERROR(__xludf.DUMMYFUNCTION("""COMPUTED_VALUE"""),"Low")</f>
        <v>Low</v>
      </c>
    </row>
    <row r="3" customHeight="1" spans="1:20">
      <c r="A3" s="54" t="s">
        <v>64</v>
      </c>
      <c r="B3" s="7"/>
      <c r="C3" s="7"/>
      <c r="D3" s="7"/>
      <c r="E3" s="7"/>
      <c r="F3" s="8"/>
      <c r="G3" s="55" t="s">
        <v>268</v>
      </c>
      <c r="H3" s="56">
        <f>IFERROR(__xludf.DUMMYFUNCTION("GOOGLEFINANCE(L3, ""price"")"),1162)</f>
        <v>1162</v>
      </c>
      <c r="I3" s="65" t="s">
        <v>269</v>
      </c>
      <c r="J3" s="56">
        <f>IFERROR(__xludf.DUMMYFUNCTION("GOOGLEFINANCE(L3, ""volume"")"),1011036)</f>
        <v>1011036</v>
      </c>
      <c r="K3" s="66" t="s">
        <v>270</v>
      </c>
      <c r="L3" s="67" t="str">
        <f>Mastersheet!B28</f>
        <v>NSE:NESTLEIND</v>
      </c>
      <c r="M3" s="68">
        <f>IFERROR(__xludf.DUMMYFUNCTION("""COMPUTED_VALUE"""),45926.6458333333)</f>
        <v>45926.6458333333</v>
      </c>
      <c r="N3" s="67">
        <f>IFERROR(__xludf.DUMMYFUNCTION("""COMPUTED_VALUE"""),1162.6)</f>
        <v>1162.6</v>
      </c>
      <c r="O3" s="68">
        <f>IFERROR(__xludf.DUMMYFUNCTION("""COMPUTED_VALUE"""),45926.6458333333)</f>
        <v>45926.6458333333</v>
      </c>
      <c r="P3" s="67">
        <f>IFERROR(__xludf.DUMMYFUNCTION("""COMPUTED_VALUE"""),1170)</f>
        <v>1170</v>
      </c>
      <c r="Q3" s="47">
        <f>IFERROR(__xludf.DUMMYFUNCTION("""COMPUTED_VALUE"""),45926.6458333333)</f>
        <v>45926.6458333333</v>
      </c>
      <c r="R3" s="48">
        <f>IFERROR(__xludf.DUMMYFUNCTION("""COMPUTED_VALUE"""),1179)</f>
        <v>1179</v>
      </c>
      <c r="S3" s="47">
        <f>IFERROR(__xludf.DUMMYFUNCTION("""COMPUTED_VALUE"""),45926.6458333333)</f>
        <v>45926.6458333333</v>
      </c>
      <c r="T3" s="48">
        <f>IFERROR(__xludf.DUMMYFUNCTION("""COMPUTED_VALUE"""),1160.2)</f>
        <v>1160.2</v>
      </c>
    </row>
    <row r="4" customHeight="1" spans="1:31">
      <c r="A4" s="57" t="str">
        <f>IFERROR(__xludf.DUMMYFUNCTION("GOOGLEFINANCE(L3, ""CLOSE"",DATE(E2,D2,C2), DATE(E1,D1,C1), ""DAILY"")"),"Date")</f>
        <v>Date</v>
      </c>
      <c r="B4" s="58" t="str">
        <f>IFERROR(__xludf.DUMMYFUNCTION("""COMPUTED_VALUE"""),"Close")</f>
        <v>Close</v>
      </c>
      <c r="C4" s="58" t="str">
        <f>IFERROR(__xludf.DUMMYFUNCTION("GOOGLEFINANCE(L3, ""open"", DATE(E2,D2,C2), DATE(E1,D1,C1), ""DAILY"")"),"Date")</f>
        <v>Date</v>
      </c>
      <c r="D4" s="58" t="str">
        <f>IFERROR(__xludf.DUMMYFUNCTION("""COMPUTED_VALUE"""),"Open")</f>
        <v>Open</v>
      </c>
      <c r="E4" s="59" t="str">
        <f>IFERROR(__xludf.DUMMYFUNCTION("GOOGLEFINANCE(L3, ""VOLUME"", DATE(E2,D2,C2), DATE(E1,D1,C1), ""DAILY"")"),"Date")</f>
        <v>Date</v>
      </c>
      <c r="F4" s="58" t="str">
        <f>IFERROR(__xludf.DUMMYFUNCTION("""COMPUTED_VALUE"""),"Volume")</f>
        <v>Volume</v>
      </c>
      <c r="G4" s="59" t="str">
        <f>IFERROR(__xludf.DUMMYFUNCTION("GOOGLEFINANCE(L3, ""HIGH"", DATE(E2,D2,C2), DATE(E1,D1,C1), ""DAILY"")"),"Date")</f>
        <v>Date</v>
      </c>
      <c r="H4" s="59" t="str">
        <f>IFERROR(__xludf.DUMMYFUNCTION("""COMPUTED_VALUE"""),"High")</f>
        <v>High</v>
      </c>
      <c r="I4" s="59" t="str">
        <f>IFERROR(__xludf.DUMMYFUNCTION("GOOGLEFINANCE(L3, ""LOW"", DATE(E2,D2,C2), DATE(E1,D1,C1), ""DAILY"")"),"Date")</f>
        <v>Date</v>
      </c>
      <c r="J4" s="69" t="str">
        <f>IFERROR(__xludf.DUMMYFUNCTION("""COMPUTED_VALUE"""),"Low")</f>
        <v>Low</v>
      </c>
      <c r="K4" s="70" t="s">
        <v>271</v>
      </c>
      <c r="L4" s="70" t="s">
        <v>272</v>
      </c>
      <c r="M4" s="70" t="s">
        <v>273</v>
      </c>
      <c r="N4" s="70" t="s">
        <v>274</v>
      </c>
      <c r="O4" s="70" t="s">
        <v>275</v>
      </c>
      <c r="P4" s="70" t="s">
        <v>276</v>
      </c>
      <c r="Q4" s="73" t="s">
        <v>277</v>
      </c>
      <c r="R4" s="73" t="s">
        <v>278</v>
      </c>
      <c r="S4" s="73" t="s">
        <v>279</v>
      </c>
      <c r="T4" s="73" t="s">
        <v>280</v>
      </c>
      <c r="U4" s="73" t="s">
        <v>281</v>
      </c>
      <c r="V4" s="73" t="s">
        <v>282</v>
      </c>
      <c r="W4" s="70" t="s">
        <v>283</v>
      </c>
      <c r="X4" s="74" t="s">
        <v>284</v>
      </c>
      <c r="Y4" s="37" t="s">
        <v>285</v>
      </c>
      <c r="Z4" s="77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60">
        <f>IFERROR(__xludf.DUMMYFUNCTION("""COMPUTED_VALUE"""),45743.6458333333)</f>
        <v>45743.6458333333</v>
      </c>
      <c r="B5" s="61">
        <f>IFERROR(__xludf.DUMMYFUNCTION("""COMPUTED_VALUE"""),1121.03)</f>
        <v>1121.03</v>
      </c>
      <c r="C5" s="60">
        <f>IFERROR(__xludf.DUMMYFUNCTION("""COMPUTED_VALUE"""),45743.6458333333)</f>
        <v>45743.6458333333</v>
      </c>
      <c r="D5" s="61">
        <f>IFERROR(__xludf.DUMMYFUNCTION("""COMPUTED_VALUE"""),1120.1)</f>
        <v>1120.1</v>
      </c>
      <c r="E5" s="60">
        <f>IFERROR(__xludf.DUMMYFUNCTION("""COMPUTED_VALUE"""),45743.6458333333)</f>
        <v>45743.6458333333</v>
      </c>
      <c r="F5" s="61">
        <f>IFERROR(__xludf.DUMMYFUNCTION("""COMPUTED_VALUE"""),865586)</f>
        <v>865586</v>
      </c>
      <c r="G5" s="60">
        <f>IFERROR(__xludf.DUMMYFUNCTION("""COMPUTED_VALUE"""),45743.6458333333)</f>
        <v>45743.6458333333</v>
      </c>
      <c r="H5" s="61">
        <f>IFERROR(__xludf.DUMMYFUNCTION("""COMPUTED_VALUE"""),1134)</f>
        <v>1134</v>
      </c>
      <c r="I5" s="71">
        <f>IFERROR(__xludf.DUMMYFUNCTION("""COMPUTED_VALUE"""),45743.6458333333)</f>
        <v>45743.6458333333</v>
      </c>
      <c r="J5" s="51">
        <f>IFERROR(__xludf.DUMMYFUNCTION("""COMPUTED_VALUE"""),1112.63)</f>
        <v>1112.63</v>
      </c>
      <c r="K5" s="51"/>
      <c r="L5" s="51"/>
      <c r="M5" s="51">
        <f t="array" ref="M5">INDEX(K11:K124,MATCH(SMALL(ABS(K11:K124-H3),1),ABS(K11:K124-H3),0))</f>
        <v>1138.7</v>
      </c>
      <c r="N5" s="51">
        <f t="array" ref="N5">INDEX(K11:K124,MATCH(SMALL(ABS(K11:K124-H3),2),ABS(K11:K124-H3),0))</f>
        <v>1190.3</v>
      </c>
      <c r="O5" s="51">
        <f t="array" ref="O5">INDEX(L11:L124,MATCH(SMALL(ABS(L11:L124-H3),1),ABS(L11:L124-H3),0))</f>
        <v>1162.7</v>
      </c>
      <c r="P5" s="51">
        <f t="array" ref="P5">INDEX(L11:L124,MATCH(SMALL(ABS(L11:L124-H3),2),ABS(L11:L124-H3),0))</f>
        <v>1159.45</v>
      </c>
      <c r="Q5" s="48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S5" s="75">
        <f ca="1">IF(Q5&gt;0,Q5,S5)</f>
        <v>0</v>
      </c>
      <c r="T5" s="48">
        <f ca="1">IF(AND(H3&gt;=Mastersheet!I3*S5,H3&lt;=Mastersheet!J3*S5),1,0)</f>
        <v>0</v>
      </c>
      <c r="U5" s="76">
        <f>(N3+P3)/2</f>
        <v>1166.3</v>
      </c>
      <c r="V5" s="48">
        <f>(N3+P3+R3+T3)/4</f>
        <v>1167.95</v>
      </c>
      <c r="W5" s="48">
        <f>IF(V5&gt;U5,1,0)</f>
        <v>1</v>
      </c>
      <c r="X5" s="48">
        <f>IF(V5&gt;U5,0,1)</f>
        <v>0</v>
      </c>
      <c r="Y5" s="48">
        <f>IF(COUNTIF(Mastersheet!E:E,L3)&gt;0,0,1)</f>
        <v>1</v>
      </c>
      <c r="Z5" s="78">
        <f ca="1">IF(T5*W5*Y5=1,1,0)</f>
        <v>0</v>
      </c>
      <c r="AA5" s="79"/>
      <c r="AB5" s="44" t="s">
        <v>289</v>
      </c>
      <c r="AC5" s="80" t="s">
        <v>290</v>
      </c>
      <c r="AD5" s="81" t="s">
        <v>291</v>
      </c>
      <c r="AE5" s="81" t="s">
        <v>292</v>
      </c>
    </row>
    <row r="6" customHeight="1" spans="1:31">
      <c r="A6" s="47">
        <f>IFERROR(__xludf.DUMMYFUNCTION("""COMPUTED_VALUE"""),45744.6458333333)</f>
        <v>45744.6458333333</v>
      </c>
      <c r="B6" s="48">
        <f>IFERROR(__xludf.DUMMYFUNCTION("""COMPUTED_VALUE"""),1125.38)</f>
        <v>1125.38</v>
      </c>
      <c r="C6" s="47">
        <f>IFERROR(__xludf.DUMMYFUNCTION("""COMPUTED_VALUE"""),45744.6458333333)</f>
        <v>45744.6458333333</v>
      </c>
      <c r="D6" s="48">
        <f>IFERROR(__xludf.DUMMYFUNCTION("""COMPUTED_VALUE"""),1121.53)</f>
        <v>1121.53</v>
      </c>
      <c r="E6" s="47">
        <f>IFERROR(__xludf.DUMMYFUNCTION("""COMPUTED_VALUE"""),45744.6458333333)</f>
        <v>45744.6458333333</v>
      </c>
      <c r="F6" s="48">
        <f>IFERROR(__xludf.DUMMYFUNCTION("""COMPUTED_VALUE"""),716151)</f>
        <v>716151</v>
      </c>
      <c r="G6" s="47">
        <f>IFERROR(__xludf.DUMMYFUNCTION("""COMPUTED_VALUE"""),45744.6458333333)</f>
        <v>45744.6458333333</v>
      </c>
      <c r="H6" s="48">
        <f>IFERROR(__xludf.DUMMYFUNCTION("""COMPUTED_VALUE"""),1143.97)</f>
        <v>1143.97</v>
      </c>
      <c r="I6" s="47">
        <f>IFERROR(__xludf.DUMMYFUNCTION("""COMPUTED_VALUE"""),45744.6458333333)</f>
        <v>45744.6458333333</v>
      </c>
      <c r="J6" s="48">
        <f>IFERROR(__xludf.DUMMYFUNCTION("""COMPUTED_VALUE"""),1121.53)</f>
        <v>1121.53</v>
      </c>
      <c r="AB6" s="48">
        <f>IF(COUNTIF(Mastersheet!E:E,L3)&gt;0,1,0)</f>
        <v>0</v>
      </c>
      <c r="AC6" s="48">
        <f>IF(AND(H3&gt;Mastersheet!L3*Mastersheet!F3,X5),1,0)</f>
        <v>0</v>
      </c>
      <c r="AD6" s="76">
        <f>IF(H3&lt;Mastersheet!M3*Mastersheet!F3,1,0)</f>
        <v>0</v>
      </c>
      <c r="AE6" s="48">
        <f>IF(OR(AC6*AB6=1,AD6*AB6=1),1,0)</f>
        <v>0</v>
      </c>
    </row>
    <row r="7" customHeight="1" spans="1:10">
      <c r="A7" s="47">
        <f>IFERROR(__xludf.DUMMYFUNCTION("""COMPUTED_VALUE"""),45748.6458333333)</f>
        <v>45748.6458333333</v>
      </c>
      <c r="B7" s="48">
        <f>IFERROR(__xludf.DUMMYFUNCTION("""COMPUTED_VALUE"""),1117)</f>
        <v>1117</v>
      </c>
      <c r="C7" s="47">
        <f>IFERROR(__xludf.DUMMYFUNCTION("""COMPUTED_VALUE"""),45748.6458333333)</f>
        <v>45748.6458333333</v>
      </c>
      <c r="D7" s="48">
        <f>IFERROR(__xludf.DUMMYFUNCTION("""COMPUTED_VALUE"""),1130.95)</f>
        <v>1130.95</v>
      </c>
      <c r="E7" s="47">
        <f>IFERROR(__xludf.DUMMYFUNCTION("""COMPUTED_VALUE"""),45748.6458333333)</f>
        <v>45748.6458333333</v>
      </c>
      <c r="F7" s="48">
        <f>IFERROR(__xludf.DUMMYFUNCTION("""COMPUTED_VALUE"""),1020055)</f>
        <v>1020055</v>
      </c>
      <c r="G7" s="47">
        <f>IFERROR(__xludf.DUMMYFUNCTION("""COMPUTED_VALUE"""),45748.6458333333)</f>
        <v>45748.6458333333</v>
      </c>
      <c r="H7" s="48">
        <f>IFERROR(__xludf.DUMMYFUNCTION("""COMPUTED_VALUE"""),1143.93)</f>
        <v>1143.93</v>
      </c>
      <c r="I7" s="47">
        <f>IFERROR(__xludf.DUMMYFUNCTION("""COMPUTED_VALUE"""),45748.6458333333)</f>
        <v>45748.6458333333</v>
      </c>
      <c r="J7" s="48">
        <f>IFERROR(__xludf.DUMMYFUNCTION("""COMPUTED_VALUE"""),1109.05)</f>
        <v>1109.05</v>
      </c>
    </row>
    <row r="8" customHeight="1" spans="1:10">
      <c r="A8" s="47">
        <f>IFERROR(__xludf.DUMMYFUNCTION("""COMPUTED_VALUE"""),45749.6458333333)</f>
        <v>45749.6458333333</v>
      </c>
      <c r="B8" s="48">
        <f>IFERROR(__xludf.DUMMYFUNCTION("""COMPUTED_VALUE"""),1105.35)</f>
        <v>1105.35</v>
      </c>
      <c r="C8" s="47">
        <f>IFERROR(__xludf.DUMMYFUNCTION("""COMPUTED_VALUE"""),45749.6458333333)</f>
        <v>45749.6458333333</v>
      </c>
      <c r="D8" s="48">
        <f>IFERROR(__xludf.DUMMYFUNCTION("""COMPUTED_VALUE"""),1115)</f>
        <v>1115</v>
      </c>
      <c r="E8" s="47">
        <f>IFERROR(__xludf.DUMMYFUNCTION("""COMPUTED_VALUE"""),45749.6458333333)</f>
        <v>45749.6458333333</v>
      </c>
      <c r="F8" s="48">
        <f>IFERROR(__xludf.DUMMYFUNCTION("""COMPUTED_VALUE"""),1300852)</f>
        <v>1300852</v>
      </c>
      <c r="G8" s="47">
        <f>IFERROR(__xludf.DUMMYFUNCTION("""COMPUTED_VALUE"""),45749.6458333333)</f>
        <v>45749.6458333333</v>
      </c>
      <c r="H8" s="48">
        <f>IFERROR(__xludf.DUMMYFUNCTION("""COMPUTED_VALUE"""),1115)</f>
        <v>1115</v>
      </c>
      <c r="I8" s="47">
        <f>IFERROR(__xludf.DUMMYFUNCTION("""COMPUTED_VALUE"""),45749.6458333333)</f>
        <v>45749.6458333333</v>
      </c>
      <c r="J8" s="48">
        <f>IFERROR(__xludf.DUMMYFUNCTION("""COMPUTED_VALUE"""),1074)</f>
        <v>1074</v>
      </c>
    </row>
    <row r="9" customHeight="1" spans="1:10">
      <c r="A9" s="47">
        <f>IFERROR(__xludf.DUMMYFUNCTION("""COMPUTED_VALUE"""),45750.6458333333)</f>
        <v>45750.6458333333</v>
      </c>
      <c r="B9" s="48">
        <f>IFERROR(__xludf.DUMMYFUNCTION("""COMPUTED_VALUE"""),1122.83)</f>
        <v>1122.83</v>
      </c>
      <c r="C9" s="47">
        <f>IFERROR(__xludf.DUMMYFUNCTION("""COMPUTED_VALUE"""),45750.6458333333)</f>
        <v>45750.6458333333</v>
      </c>
      <c r="D9" s="48">
        <f>IFERROR(__xludf.DUMMYFUNCTION("""COMPUTED_VALUE"""),1099.03)</f>
        <v>1099.03</v>
      </c>
      <c r="E9" s="47">
        <f>IFERROR(__xludf.DUMMYFUNCTION("""COMPUTED_VALUE"""),45750.6458333333)</f>
        <v>45750.6458333333</v>
      </c>
      <c r="F9" s="48">
        <f>IFERROR(__xludf.DUMMYFUNCTION("""COMPUTED_VALUE"""),317858)</f>
        <v>317858</v>
      </c>
      <c r="G9" s="47">
        <f>IFERROR(__xludf.DUMMYFUNCTION("""COMPUTED_VALUE"""),45750.6458333333)</f>
        <v>45750.6458333333</v>
      </c>
      <c r="H9" s="48">
        <f>IFERROR(__xludf.DUMMYFUNCTION("""COMPUTED_VALUE"""),1124.53)</f>
        <v>1124.53</v>
      </c>
      <c r="I9" s="47">
        <f>IFERROR(__xludf.DUMMYFUNCTION("""COMPUTED_VALUE"""),45750.6458333333)</f>
        <v>45750.6458333333</v>
      </c>
      <c r="J9" s="48">
        <f>IFERROR(__xludf.DUMMYFUNCTION("""COMPUTED_VALUE"""),1097.5)</f>
        <v>1097.5</v>
      </c>
    </row>
    <row r="10" customHeight="1" spans="1:10">
      <c r="A10" s="47">
        <f>IFERROR(__xludf.DUMMYFUNCTION("""COMPUTED_VALUE"""),45751.6458333333)</f>
        <v>45751.6458333333</v>
      </c>
      <c r="B10" s="48">
        <f>IFERROR(__xludf.DUMMYFUNCTION("""COMPUTED_VALUE"""),1131.08)</f>
        <v>1131.08</v>
      </c>
      <c r="C10" s="47">
        <f>IFERROR(__xludf.DUMMYFUNCTION("""COMPUTED_VALUE"""),45751.6458333333)</f>
        <v>45751.6458333333</v>
      </c>
      <c r="D10" s="48">
        <f>IFERROR(__xludf.DUMMYFUNCTION("""COMPUTED_VALUE"""),1117)</f>
        <v>1117</v>
      </c>
      <c r="E10" s="47">
        <f>IFERROR(__xludf.DUMMYFUNCTION("""COMPUTED_VALUE"""),45751.6458333333)</f>
        <v>45751.6458333333</v>
      </c>
      <c r="F10" s="48">
        <f>IFERROR(__xludf.DUMMYFUNCTION("""COMPUTED_VALUE"""),591735)</f>
        <v>591735</v>
      </c>
      <c r="G10" s="47">
        <f>IFERROR(__xludf.DUMMYFUNCTION("""COMPUTED_VALUE"""),45751.6458333333)</f>
        <v>45751.6458333333</v>
      </c>
      <c r="H10" s="48">
        <f>IFERROR(__xludf.DUMMYFUNCTION("""COMPUTED_VALUE"""),1141.4)</f>
        <v>1141.4</v>
      </c>
      <c r="I10" s="47">
        <f>IFERROR(__xludf.DUMMYFUNCTION("""COMPUTED_VALUE"""),45751.6458333333)</f>
        <v>45751.6458333333</v>
      </c>
      <c r="J10" s="48">
        <f>IFERROR(__xludf.DUMMYFUNCTION("""COMPUTED_VALUE"""),1108.63)</f>
        <v>1108.63</v>
      </c>
    </row>
    <row r="11" customHeight="1" spans="1:12">
      <c r="A11" s="47">
        <f>IFERROR(__xludf.DUMMYFUNCTION("""COMPUTED_VALUE"""),45754.6458333333)</f>
        <v>45754.6458333333</v>
      </c>
      <c r="B11" s="48">
        <f>IFERROR(__xludf.DUMMYFUNCTION("""COMPUTED_VALUE"""),1124.5)</f>
        <v>1124.5</v>
      </c>
      <c r="C11" s="47">
        <f>IFERROR(__xludf.DUMMYFUNCTION("""COMPUTED_VALUE"""),45754.6458333333)</f>
        <v>45754.6458333333</v>
      </c>
      <c r="D11" s="48">
        <f>IFERROR(__xludf.DUMMYFUNCTION("""COMPUTED_VALUE"""),1080)</f>
        <v>1080</v>
      </c>
      <c r="E11" s="47">
        <f>IFERROR(__xludf.DUMMYFUNCTION("""COMPUTED_VALUE"""),45754.6458333333)</f>
        <v>45754.6458333333</v>
      </c>
      <c r="F11" s="48">
        <f>IFERROR(__xludf.DUMMYFUNCTION("""COMPUTED_VALUE"""),737285)</f>
        <v>737285</v>
      </c>
      <c r="G11" s="47">
        <f>IFERROR(__xludf.DUMMYFUNCTION("""COMPUTED_VALUE"""),45754.6458333333)</f>
        <v>45754.6458333333</v>
      </c>
      <c r="H11" s="48">
        <f>IFERROR(__xludf.DUMMYFUNCTION("""COMPUTED_VALUE"""),1128.68)</f>
        <v>1128.68</v>
      </c>
      <c r="I11" s="47">
        <f>IFERROR(__xludf.DUMMYFUNCTION("""COMPUTED_VALUE"""),45754.6458333333)</f>
        <v>45754.6458333333</v>
      </c>
      <c r="J11" s="48">
        <f>IFERROR(__xludf.DUMMYFUNCTION("""COMPUTED_VALUE"""),1080)</f>
        <v>1080</v>
      </c>
      <c r="K11" s="3">
        <f t="shared" ref="K11:K125" si="2">IF(B11=MAX(B5:B17),B11,0)</f>
        <v>0</v>
      </c>
      <c r="L11" s="3">
        <f t="shared" ref="L11:L125" si="3">IF(B11=MIN(B5:B17),B11,0)</f>
        <v>0</v>
      </c>
    </row>
    <row r="12" customHeight="1" spans="1:12">
      <c r="A12" s="47">
        <f>IFERROR(__xludf.DUMMYFUNCTION("""COMPUTED_VALUE"""),45755.6458333333)</f>
        <v>45755.6458333333</v>
      </c>
      <c r="B12" s="48">
        <f>IFERROR(__xludf.DUMMYFUNCTION("""COMPUTED_VALUE"""),1137.7)</f>
        <v>1137.7</v>
      </c>
      <c r="C12" s="47">
        <f>IFERROR(__xludf.DUMMYFUNCTION("""COMPUTED_VALUE"""),45755.6458333333)</f>
        <v>45755.6458333333</v>
      </c>
      <c r="D12" s="48">
        <f>IFERROR(__xludf.DUMMYFUNCTION("""COMPUTED_VALUE"""),1127.5)</f>
        <v>1127.5</v>
      </c>
      <c r="E12" s="47">
        <f>IFERROR(__xludf.DUMMYFUNCTION("""COMPUTED_VALUE"""),45755.6458333333)</f>
        <v>45755.6458333333</v>
      </c>
      <c r="F12" s="48">
        <f>IFERROR(__xludf.DUMMYFUNCTION("""COMPUTED_VALUE"""),873508)</f>
        <v>873508</v>
      </c>
      <c r="G12" s="47">
        <f>IFERROR(__xludf.DUMMYFUNCTION("""COMPUTED_VALUE"""),45755.6458333333)</f>
        <v>45755.6458333333</v>
      </c>
      <c r="H12" s="48">
        <f>IFERROR(__xludf.DUMMYFUNCTION("""COMPUTED_VALUE"""),1141.47)</f>
        <v>1141.47</v>
      </c>
      <c r="I12" s="47">
        <f>IFERROR(__xludf.DUMMYFUNCTION("""COMPUTED_VALUE"""),45755.6458333333)</f>
        <v>45755.6458333333</v>
      </c>
      <c r="J12" s="48">
        <f>IFERROR(__xludf.DUMMYFUNCTION("""COMPUTED_VALUE"""),1115.63)</f>
        <v>1115.63</v>
      </c>
      <c r="K12" s="3">
        <f t="shared" si="2"/>
        <v>0</v>
      </c>
      <c r="L12" s="3">
        <f t="shared" si="3"/>
        <v>0</v>
      </c>
    </row>
    <row r="13" customHeight="1" spans="1:12">
      <c r="A13" s="47">
        <f>IFERROR(__xludf.DUMMYFUNCTION("""COMPUTED_VALUE"""),45756.6458333333)</f>
        <v>45756.6458333333</v>
      </c>
      <c r="B13" s="48">
        <f>IFERROR(__xludf.DUMMYFUNCTION("""COMPUTED_VALUE"""),1172.43)</f>
        <v>1172.43</v>
      </c>
      <c r="C13" s="47">
        <f>IFERROR(__xludf.DUMMYFUNCTION("""COMPUTED_VALUE"""),45756.6458333333)</f>
        <v>45756.6458333333</v>
      </c>
      <c r="D13" s="48">
        <f>IFERROR(__xludf.DUMMYFUNCTION("""COMPUTED_VALUE"""),1141.6)</f>
        <v>1141.6</v>
      </c>
      <c r="E13" s="47">
        <f>IFERROR(__xludf.DUMMYFUNCTION("""COMPUTED_VALUE"""),45756.6458333333)</f>
        <v>45756.6458333333</v>
      </c>
      <c r="F13" s="48">
        <f>IFERROR(__xludf.DUMMYFUNCTION("""COMPUTED_VALUE"""),1853374)</f>
        <v>1853374</v>
      </c>
      <c r="G13" s="47">
        <f>IFERROR(__xludf.DUMMYFUNCTION("""COMPUTED_VALUE"""),45756.6458333333)</f>
        <v>45756.6458333333</v>
      </c>
      <c r="H13" s="48">
        <f>IFERROR(__xludf.DUMMYFUNCTION("""COMPUTED_VALUE"""),1181.3)</f>
        <v>1181.3</v>
      </c>
      <c r="I13" s="47">
        <f>IFERROR(__xludf.DUMMYFUNCTION("""COMPUTED_VALUE"""),45756.6458333333)</f>
        <v>45756.6458333333</v>
      </c>
      <c r="J13" s="48">
        <f>IFERROR(__xludf.DUMMYFUNCTION("""COMPUTED_VALUE"""),1136.1)</f>
        <v>1136.1</v>
      </c>
      <c r="K13" s="3">
        <f t="shared" si="2"/>
        <v>0</v>
      </c>
      <c r="L13" s="3">
        <f t="shared" si="3"/>
        <v>0</v>
      </c>
    </row>
    <row r="14" customHeight="1" spans="1:12">
      <c r="A14" s="47">
        <f>IFERROR(__xludf.DUMMYFUNCTION("""COMPUTED_VALUE"""),45758.6458333333)</f>
        <v>45758.6458333333</v>
      </c>
      <c r="B14" s="48">
        <f>IFERROR(__xludf.DUMMYFUNCTION("""COMPUTED_VALUE"""),1180.7)</f>
        <v>1180.7</v>
      </c>
      <c r="C14" s="47">
        <f>IFERROR(__xludf.DUMMYFUNCTION("""COMPUTED_VALUE"""),45758.6458333333)</f>
        <v>45758.6458333333</v>
      </c>
      <c r="D14" s="48">
        <f>IFERROR(__xludf.DUMMYFUNCTION("""COMPUTED_VALUE"""),1172.85)</f>
        <v>1172.85</v>
      </c>
      <c r="E14" s="47">
        <f>IFERROR(__xludf.DUMMYFUNCTION("""COMPUTED_VALUE"""),45758.6458333333)</f>
        <v>45758.6458333333</v>
      </c>
      <c r="F14" s="48">
        <f>IFERROR(__xludf.DUMMYFUNCTION("""COMPUTED_VALUE"""),1118317)</f>
        <v>1118317</v>
      </c>
      <c r="G14" s="47">
        <f>IFERROR(__xludf.DUMMYFUNCTION("""COMPUTED_VALUE"""),45758.6458333333)</f>
        <v>45758.6458333333</v>
      </c>
      <c r="H14" s="48">
        <f>IFERROR(__xludf.DUMMYFUNCTION("""COMPUTED_VALUE"""),1186)</f>
        <v>1186</v>
      </c>
      <c r="I14" s="47">
        <f>IFERROR(__xludf.DUMMYFUNCTION("""COMPUTED_VALUE"""),45758.6458333333)</f>
        <v>45758.6458333333</v>
      </c>
      <c r="J14" s="48">
        <f>IFERROR(__xludf.DUMMYFUNCTION("""COMPUTED_VALUE"""),1161.03)</f>
        <v>1161.03</v>
      </c>
      <c r="K14" s="3">
        <f t="shared" si="2"/>
        <v>0</v>
      </c>
      <c r="L14" s="3">
        <f t="shared" si="3"/>
        <v>0</v>
      </c>
    </row>
    <row r="15" customHeight="1" spans="1:12">
      <c r="A15" s="47">
        <f>IFERROR(__xludf.DUMMYFUNCTION("""COMPUTED_VALUE"""),45762.6458333333)</f>
        <v>45762.6458333333</v>
      </c>
      <c r="B15" s="48">
        <f>IFERROR(__xludf.DUMMYFUNCTION("""COMPUTED_VALUE"""),1183.95)</f>
        <v>1183.95</v>
      </c>
      <c r="C15" s="47">
        <f>IFERROR(__xludf.DUMMYFUNCTION("""COMPUTED_VALUE"""),45762.6458333333)</f>
        <v>45762.6458333333</v>
      </c>
      <c r="D15" s="48">
        <f>IFERROR(__xludf.DUMMYFUNCTION("""COMPUTED_VALUE"""),1190.7)</f>
        <v>1190.7</v>
      </c>
      <c r="E15" s="47">
        <f>IFERROR(__xludf.DUMMYFUNCTION("""COMPUTED_VALUE"""),45762.6458333333)</f>
        <v>45762.6458333333</v>
      </c>
      <c r="F15" s="48">
        <f>IFERROR(__xludf.DUMMYFUNCTION("""COMPUTED_VALUE"""),780874)</f>
        <v>780874</v>
      </c>
      <c r="G15" s="47">
        <f>IFERROR(__xludf.DUMMYFUNCTION("""COMPUTED_VALUE"""),45762.6458333333)</f>
        <v>45762.6458333333</v>
      </c>
      <c r="H15" s="48">
        <f>IFERROR(__xludf.DUMMYFUNCTION("""COMPUTED_VALUE"""),1190.7)</f>
        <v>1190.7</v>
      </c>
      <c r="I15" s="47">
        <f>IFERROR(__xludf.DUMMYFUNCTION("""COMPUTED_VALUE"""),45762.6458333333)</f>
        <v>45762.6458333333</v>
      </c>
      <c r="J15" s="48">
        <f>IFERROR(__xludf.DUMMYFUNCTION("""COMPUTED_VALUE"""),1172.8)</f>
        <v>1172.8</v>
      </c>
      <c r="K15" s="3">
        <f t="shared" si="2"/>
        <v>0</v>
      </c>
      <c r="L15" s="3">
        <f t="shared" si="3"/>
        <v>0</v>
      </c>
    </row>
    <row r="16" customHeight="1" spans="1:12">
      <c r="A16" s="47">
        <f>IFERROR(__xludf.DUMMYFUNCTION("""COMPUTED_VALUE"""),45763.6458333333)</f>
        <v>45763.6458333333</v>
      </c>
      <c r="B16" s="48">
        <f>IFERROR(__xludf.DUMMYFUNCTION("""COMPUTED_VALUE"""),1191.65)</f>
        <v>1191.65</v>
      </c>
      <c r="C16" s="47">
        <f>IFERROR(__xludf.DUMMYFUNCTION("""COMPUTED_VALUE"""),45763.6458333333)</f>
        <v>45763.6458333333</v>
      </c>
      <c r="D16" s="48">
        <f>IFERROR(__xludf.DUMMYFUNCTION("""COMPUTED_VALUE"""),1173.5)</f>
        <v>1173.5</v>
      </c>
      <c r="E16" s="47">
        <f>IFERROR(__xludf.DUMMYFUNCTION("""COMPUTED_VALUE"""),45763.6458333333)</f>
        <v>45763.6458333333</v>
      </c>
      <c r="F16" s="48">
        <f>IFERROR(__xludf.DUMMYFUNCTION("""COMPUTED_VALUE"""),677212)</f>
        <v>677212</v>
      </c>
      <c r="G16" s="47">
        <f>IFERROR(__xludf.DUMMYFUNCTION("""COMPUTED_VALUE"""),45763.6458333333)</f>
        <v>45763.6458333333</v>
      </c>
      <c r="H16" s="48">
        <f>IFERROR(__xludf.DUMMYFUNCTION("""COMPUTED_VALUE"""),1195.05)</f>
        <v>1195.05</v>
      </c>
      <c r="I16" s="47">
        <f>IFERROR(__xludf.DUMMYFUNCTION("""COMPUTED_VALUE"""),45763.6458333333)</f>
        <v>45763.6458333333</v>
      </c>
      <c r="J16" s="48">
        <f>IFERROR(__xludf.DUMMYFUNCTION("""COMPUTED_VALUE"""),1173.5)</f>
        <v>1173.5</v>
      </c>
      <c r="K16" s="3">
        <f t="shared" si="2"/>
        <v>0</v>
      </c>
      <c r="L16" s="3">
        <f t="shared" si="3"/>
        <v>0</v>
      </c>
    </row>
    <row r="17" customHeight="1" spans="1:12">
      <c r="A17" s="47">
        <f>IFERROR(__xludf.DUMMYFUNCTION("""COMPUTED_VALUE"""),45764.6458333333)</f>
        <v>45764.6458333333</v>
      </c>
      <c r="B17" s="48">
        <f>IFERROR(__xludf.DUMMYFUNCTION("""COMPUTED_VALUE"""),1208.3)</f>
        <v>1208.3</v>
      </c>
      <c r="C17" s="47">
        <f>IFERROR(__xludf.DUMMYFUNCTION("""COMPUTED_VALUE"""),45764.6458333333)</f>
        <v>45764.6458333333</v>
      </c>
      <c r="D17" s="48">
        <f>IFERROR(__xludf.DUMMYFUNCTION("""COMPUTED_VALUE"""),1186)</f>
        <v>1186</v>
      </c>
      <c r="E17" s="47">
        <f>IFERROR(__xludf.DUMMYFUNCTION("""COMPUTED_VALUE"""),45764.6458333333)</f>
        <v>45764.6458333333</v>
      </c>
      <c r="F17" s="48">
        <f>IFERROR(__xludf.DUMMYFUNCTION("""COMPUTED_VALUE"""),907921)</f>
        <v>907921</v>
      </c>
      <c r="G17" s="47">
        <f>IFERROR(__xludf.DUMMYFUNCTION("""COMPUTED_VALUE"""),45764.6458333333)</f>
        <v>45764.6458333333</v>
      </c>
      <c r="H17" s="48">
        <f>IFERROR(__xludf.DUMMYFUNCTION("""COMPUTED_VALUE"""),1211.6)</f>
        <v>1211.6</v>
      </c>
      <c r="I17" s="47">
        <f>IFERROR(__xludf.DUMMYFUNCTION("""COMPUTED_VALUE"""),45764.6458333333)</f>
        <v>45764.6458333333</v>
      </c>
      <c r="J17" s="48">
        <f>IFERROR(__xludf.DUMMYFUNCTION("""COMPUTED_VALUE"""),1179.3)</f>
        <v>1179.3</v>
      </c>
      <c r="K17" s="3">
        <f t="shared" si="2"/>
        <v>0</v>
      </c>
      <c r="L17" s="3">
        <f t="shared" si="3"/>
        <v>0</v>
      </c>
    </row>
    <row r="18" customHeight="1" spans="1:12">
      <c r="A18" s="47">
        <f>IFERROR(__xludf.DUMMYFUNCTION("""COMPUTED_VALUE"""),45768.6458333333)</f>
        <v>45768.6458333333</v>
      </c>
      <c r="B18" s="48">
        <f>IFERROR(__xludf.DUMMYFUNCTION("""COMPUTED_VALUE"""),1199.7)</f>
        <v>1199.7</v>
      </c>
      <c r="C18" s="47">
        <f>IFERROR(__xludf.DUMMYFUNCTION("""COMPUTED_VALUE"""),45768.6458333333)</f>
        <v>45768.6458333333</v>
      </c>
      <c r="D18" s="48">
        <f>IFERROR(__xludf.DUMMYFUNCTION("""COMPUTED_VALUE"""),1200.5)</f>
        <v>1200.5</v>
      </c>
      <c r="E18" s="47">
        <f>IFERROR(__xludf.DUMMYFUNCTION("""COMPUTED_VALUE"""),45768.6458333333)</f>
        <v>45768.6458333333</v>
      </c>
      <c r="F18" s="48">
        <f>IFERROR(__xludf.DUMMYFUNCTION("""COMPUTED_VALUE"""),476565)</f>
        <v>476565</v>
      </c>
      <c r="G18" s="47">
        <f>IFERROR(__xludf.DUMMYFUNCTION("""COMPUTED_VALUE"""),45768.6458333333)</f>
        <v>45768.6458333333</v>
      </c>
      <c r="H18" s="48">
        <f>IFERROR(__xludf.DUMMYFUNCTION("""COMPUTED_VALUE"""),1210.5)</f>
        <v>1210.5</v>
      </c>
      <c r="I18" s="47">
        <f>IFERROR(__xludf.DUMMYFUNCTION("""COMPUTED_VALUE"""),45768.6458333333)</f>
        <v>45768.6458333333</v>
      </c>
      <c r="J18" s="48">
        <f>IFERROR(__xludf.DUMMYFUNCTION("""COMPUTED_VALUE"""),1195.25)</f>
        <v>1195.25</v>
      </c>
      <c r="K18" s="3">
        <f t="shared" si="2"/>
        <v>0</v>
      </c>
      <c r="L18" s="3">
        <f t="shared" si="3"/>
        <v>0</v>
      </c>
    </row>
    <row r="19" customHeight="1" spans="1:12">
      <c r="A19" s="47">
        <f>IFERROR(__xludf.DUMMYFUNCTION("""COMPUTED_VALUE"""),45769.6458333333)</f>
        <v>45769.6458333333</v>
      </c>
      <c r="B19" s="48">
        <f>IFERROR(__xludf.DUMMYFUNCTION("""COMPUTED_VALUE"""),1203.65)</f>
        <v>1203.65</v>
      </c>
      <c r="C19" s="47">
        <f>IFERROR(__xludf.DUMMYFUNCTION("""COMPUTED_VALUE"""),45769.6458333333)</f>
        <v>45769.6458333333</v>
      </c>
      <c r="D19" s="48">
        <f>IFERROR(__xludf.DUMMYFUNCTION("""COMPUTED_VALUE"""),1202.5)</f>
        <v>1202.5</v>
      </c>
      <c r="E19" s="47">
        <f>IFERROR(__xludf.DUMMYFUNCTION("""COMPUTED_VALUE"""),45769.6458333333)</f>
        <v>45769.6458333333</v>
      </c>
      <c r="F19" s="48">
        <f>IFERROR(__xludf.DUMMYFUNCTION("""COMPUTED_VALUE"""),487954)</f>
        <v>487954</v>
      </c>
      <c r="G19" s="47">
        <f>IFERROR(__xludf.DUMMYFUNCTION("""COMPUTED_VALUE"""),45769.6458333333)</f>
        <v>45769.6458333333</v>
      </c>
      <c r="H19" s="48">
        <f>IFERROR(__xludf.DUMMYFUNCTION("""COMPUTED_VALUE"""),1210)</f>
        <v>1210</v>
      </c>
      <c r="I19" s="47">
        <f>IFERROR(__xludf.DUMMYFUNCTION("""COMPUTED_VALUE"""),45769.6458333333)</f>
        <v>45769.6458333333</v>
      </c>
      <c r="J19" s="48">
        <f>IFERROR(__xludf.DUMMYFUNCTION("""COMPUTED_VALUE"""),1195)</f>
        <v>1195</v>
      </c>
      <c r="K19" s="3">
        <f t="shared" si="2"/>
        <v>0</v>
      </c>
      <c r="L19" s="3">
        <f t="shared" si="3"/>
        <v>0</v>
      </c>
    </row>
    <row r="20" customHeight="1" spans="1:12">
      <c r="A20" s="47">
        <f>IFERROR(__xludf.DUMMYFUNCTION("""COMPUTED_VALUE"""),45770.6458333333)</f>
        <v>45770.6458333333</v>
      </c>
      <c r="B20" s="48">
        <f>IFERROR(__xludf.DUMMYFUNCTION("""COMPUTED_VALUE"""),1216.7)</f>
        <v>1216.7</v>
      </c>
      <c r="C20" s="47">
        <f>IFERROR(__xludf.DUMMYFUNCTION("""COMPUTED_VALUE"""),45770.6458333333)</f>
        <v>45770.6458333333</v>
      </c>
      <c r="D20" s="48">
        <f>IFERROR(__xludf.DUMMYFUNCTION("""COMPUTED_VALUE"""),1209.65)</f>
        <v>1209.65</v>
      </c>
      <c r="E20" s="47">
        <f>IFERROR(__xludf.DUMMYFUNCTION("""COMPUTED_VALUE"""),45770.6458333333)</f>
        <v>45770.6458333333</v>
      </c>
      <c r="F20" s="48">
        <f>IFERROR(__xludf.DUMMYFUNCTION("""COMPUTED_VALUE"""),582556)</f>
        <v>582556</v>
      </c>
      <c r="G20" s="47">
        <f>IFERROR(__xludf.DUMMYFUNCTION("""COMPUTED_VALUE"""),45770.6458333333)</f>
        <v>45770.6458333333</v>
      </c>
      <c r="H20" s="48">
        <f>IFERROR(__xludf.DUMMYFUNCTION("""COMPUTED_VALUE"""),1220.95)</f>
        <v>1220.95</v>
      </c>
      <c r="I20" s="47">
        <f>IFERROR(__xludf.DUMMYFUNCTION("""COMPUTED_VALUE"""),45770.6458333333)</f>
        <v>45770.6458333333</v>
      </c>
      <c r="J20" s="48">
        <f>IFERROR(__xludf.DUMMYFUNCTION("""COMPUTED_VALUE"""),1200)</f>
        <v>1200</v>
      </c>
      <c r="K20" s="3">
        <f t="shared" si="2"/>
        <v>1216.7</v>
      </c>
      <c r="L20" s="3">
        <f t="shared" si="3"/>
        <v>0</v>
      </c>
    </row>
    <row r="21" customHeight="1" spans="1:12">
      <c r="A21" s="47">
        <f>IFERROR(__xludf.DUMMYFUNCTION("""COMPUTED_VALUE"""),45771.6458333333)</f>
        <v>45771.6458333333</v>
      </c>
      <c r="B21" s="48">
        <f>IFERROR(__xludf.DUMMYFUNCTION("""COMPUTED_VALUE"""),1216.6)</f>
        <v>1216.6</v>
      </c>
      <c r="C21" s="47">
        <f>IFERROR(__xludf.DUMMYFUNCTION("""COMPUTED_VALUE"""),45771.6458333333)</f>
        <v>45771.6458333333</v>
      </c>
      <c r="D21" s="48">
        <f>IFERROR(__xludf.DUMMYFUNCTION("""COMPUTED_VALUE"""),1217.5)</f>
        <v>1217.5</v>
      </c>
      <c r="E21" s="47">
        <f>IFERROR(__xludf.DUMMYFUNCTION("""COMPUTED_VALUE"""),45771.6458333333)</f>
        <v>45771.6458333333</v>
      </c>
      <c r="F21" s="48">
        <f>IFERROR(__xludf.DUMMYFUNCTION("""COMPUTED_VALUE"""),2337238)</f>
        <v>2337238</v>
      </c>
      <c r="G21" s="47">
        <f>IFERROR(__xludf.DUMMYFUNCTION("""COMPUTED_VALUE"""),45771.6458333333)</f>
        <v>45771.6458333333</v>
      </c>
      <c r="H21" s="48">
        <f>IFERROR(__xludf.DUMMYFUNCTION("""COMPUTED_VALUE"""),1257.5)</f>
        <v>1257.5</v>
      </c>
      <c r="I21" s="47">
        <f>IFERROR(__xludf.DUMMYFUNCTION("""COMPUTED_VALUE"""),45771.6458333333)</f>
        <v>45771.6458333333</v>
      </c>
      <c r="J21" s="48">
        <f>IFERROR(__xludf.DUMMYFUNCTION("""COMPUTED_VALUE"""),1189.5)</f>
        <v>1189.5</v>
      </c>
      <c r="K21" s="3">
        <f t="shared" si="2"/>
        <v>0</v>
      </c>
      <c r="L21" s="3">
        <f t="shared" si="3"/>
        <v>0</v>
      </c>
    </row>
    <row r="22" customHeight="1" spans="1:12">
      <c r="A22" s="47">
        <f>IFERROR(__xludf.DUMMYFUNCTION("""COMPUTED_VALUE"""),45772.6458333333)</f>
        <v>45772.6458333333</v>
      </c>
      <c r="B22" s="48">
        <f>IFERROR(__xludf.DUMMYFUNCTION("""COMPUTED_VALUE"""),1206.75)</f>
        <v>1206.75</v>
      </c>
      <c r="C22" s="47">
        <f>IFERROR(__xludf.DUMMYFUNCTION("""COMPUTED_VALUE"""),45772.6458333333)</f>
        <v>45772.6458333333</v>
      </c>
      <c r="D22" s="48">
        <f>IFERROR(__xludf.DUMMYFUNCTION("""COMPUTED_VALUE"""),1213.45)</f>
        <v>1213.45</v>
      </c>
      <c r="E22" s="47">
        <f>IFERROR(__xludf.DUMMYFUNCTION("""COMPUTED_VALUE"""),45772.6458333333)</f>
        <v>45772.6458333333</v>
      </c>
      <c r="F22" s="48">
        <f>IFERROR(__xludf.DUMMYFUNCTION("""COMPUTED_VALUE"""),1128284)</f>
        <v>1128284</v>
      </c>
      <c r="G22" s="47">
        <f>IFERROR(__xludf.DUMMYFUNCTION("""COMPUTED_VALUE"""),45772.6458333333)</f>
        <v>45772.6458333333</v>
      </c>
      <c r="H22" s="48">
        <f>IFERROR(__xludf.DUMMYFUNCTION("""COMPUTED_VALUE"""),1217.6)</f>
        <v>1217.6</v>
      </c>
      <c r="I22" s="47">
        <f>IFERROR(__xludf.DUMMYFUNCTION("""COMPUTED_VALUE"""),45772.6458333333)</f>
        <v>45772.6458333333</v>
      </c>
      <c r="J22" s="48">
        <f>IFERROR(__xludf.DUMMYFUNCTION("""COMPUTED_VALUE"""),1193.65)</f>
        <v>1193.65</v>
      </c>
      <c r="K22" s="3">
        <f t="shared" si="2"/>
        <v>0</v>
      </c>
      <c r="L22" s="3">
        <f t="shared" si="3"/>
        <v>0</v>
      </c>
    </row>
    <row r="23" customHeight="1" spans="1:12">
      <c r="A23" s="47">
        <f>IFERROR(__xludf.DUMMYFUNCTION("""COMPUTED_VALUE"""),45775.6458333333)</f>
        <v>45775.6458333333</v>
      </c>
      <c r="B23" s="48">
        <f>IFERROR(__xludf.DUMMYFUNCTION("""COMPUTED_VALUE"""),1203)</f>
        <v>1203</v>
      </c>
      <c r="C23" s="47">
        <f>IFERROR(__xludf.DUMMYFUNCTION("""COMPUTED_VALUE"""),45775.6458333333)</f>
        <v>45775.6458333333</v>
      </c>
      <c r="D23" s="48">
        <f>IFERROR(__xludf.DUMMYFUNCTION("""COMPUTED_VALUE"""),1200)</f>
        <v>1200</v>
      </c>
      <c r="E23" s="47">
        <f>IFERROR(__xludf.DUMMYFUNCTION("""COMPUTED_VALUE"""),45775.6458333333)</f>
        <v>45775.6458333333</v>
      </c>
      <c r="F23" s="48">
        <f>IFERROR(__xludf.DUMMYFUNCTION("""COMPUTED_VALUE"""),980526)</f>
        <v>980526</v>
      </c>
      <c r="G23" s="47">
        <f>IFERROR(__xludf.DUMMYFUNCTION("""COMPUTED_VALUE"""),45775.6458333333)</f>
        <v>45775.6458333333</v>
      </c>
      <c r="H23" s="48">
        <f>IFERROR(__xludf.DUMMYFUNCTION("""COMPUTED_VALUE"""),1209.2)</f>
        <v>1209.2</v>
      </c>
      <c r="I23" s="47">
        <f>IFERROR(__xludf.DUMMYFUNCTION("""COMPUTED_VALUE"""),45775.6458333333)</f>
        <v>45775.6458333333</v>
      </c>
      <c r="J23" s="48">
        <f>IFERROR(__xludf.DUMMYFUNCTION("""COMPUTED_VALUE"""),1193)</f>
        <v>1193</v>
      </c>
      <c r="K23" s="3">
        <f t="shared" si="2"/>
        <v>0</v>
      </c>
      <c r="L23" s="3">
        <f t="shared" si="3"/>
        <v>0</v>
      </c>
    </row>
    <row r="24" customHeight="1" spans="1:12">
      <c r="A24" s="47">
        <f>IFERROR(__xludf.DUMMYFUNCTION("""COMPUTED_VALUE"""),45776.6458333333)</f>
        <v>45776.6458333333</v>
      </c>
      <c r="B24" s="48">
        <f>IFERROR(__xludf.DUMMYFUNCTION("""COMPUTED_VALUE"""),1193.75)</f>
        <v>1193.75</v>
      </c>
      <c r="C24" s="47">
        <f>IFERROR(__xludf.DUMMYFUNCTION("""COMPUTED_VALUE"""),45776.6458333333)</f>
        <v>45776.6458333333</v>
      </c>
      <c r="D24" s="48">
        <f>IFERROR(__xludf.DUMMYFUNCTION("""COMPUTED_VALUE"""),1203)</f>
        <v>1203</v>
      </c>
      <c r="E24" s="47">
        <f>IFERROR(__xludf.DUMMYFUNCTION("""COMPUTED_VALUE"""),45776.6458333333)</f>
        <v>45776.6458333333</v>
      </c>
      <c r="F24" s="48">
        <f>IFERROR(__xludf.DUMMYFUNCTION("""COMPUTED_VALUE"""),976060)</f>
        <v>976060</v>
      </c>
      <c r="G24" s="47">
        <f>IFERROR(__xludf.DUMMYFUNCTION("""COMPUTED_VALUE"""),45776.6458333333)</f>
        <v>45776.6458333333</v>
      </c>
      <c r="H24" s="48">
        <f>IFERROR(__xludf.DUMMYFUNCTION("""COMPUTED_VALUE"""),1203)</f>
        <v>1203</v>
      </c>
      <c r="I24" s="47">
        <f>IFERROR(__xludf.DUMMYFUNCTION("""COMPUTED_VALUE"""),45776.6458333333)</f>
        <v>45776.6458333333</v>
      </c>
      <c r="J24" s="48">
        <f>IFERROR(__xludf.DUMMYFUNCTION("""COMPUTED_VALUE"""),1179.6)</f>
        <v>1179.6</v>
      </c>
      <c r="K24" s="3">
        <f t="shared" si="2"/>
        <v>0</v>
      </c>
      <c r="L24" s="3">
        <f t="shared" si="3"/>
        <v>0</v>
      </c>
    </row>
    <row r="25" customHeight="1" spans="1:12">
      <c r="A25" s="47">
        <f>IFERROR(__xludf.DUMMYFUNCTION("""COMPUTED_VALUE"""),45777.6458333333)</f>
        <v>45777.6458333333</v>
      </c>
      <c r="B25" s="48">
        <f>IFERROR(__xludf.DUMMYFUNCTION("""COMPUTED_VALUE"""),1194.1)</f>
        <v>1194.1</v>
      </c>
      <c r="C25" s="47">
        <f>IFERROR(__xludf.DUMMYFUNCTION("""COMPUTED_VALUE"""),45777.6458333333)</f>
        <v>45777.6458333333</v>
      </c>
      <c r="D25" s="48">
        <f>IFERROR(__xludf.DUMMYFUNCTION("""COMPUTED_VALUE"""),1187.5)</f>
        <v>1187.5</v>
      </c>
      <c r="E25" s="47">
        <f>IFERROR(__xludf.DUMMYFUNCTION("""COMPUTED_VALUE"""),45777.6458333333)</f>
        <v>45777.6458333333</v>
      </c>
      <c r="F25" s="48">
        <f>IFERROR(__xludf.DUMMYFUNCTION("""COMPUTED_VALUE"""),1020431)</f>
        <v>1020431</v>
      </c>
      <c r="G25" s="47">
        <f>IFERROR(__xludf.DUMMYFUNCTION("""COMPUTED_VALUE"""),45777.6458333333)</f>
        <v>45777.6458333333</v>
      </c>
      <c r="H25" s="48">
        <f>IFERROR(__xludf.DUMMYFUNCTION("""COMPUTED_VALUE"""),1203.2)</f>
        <v>1203.2</v>
      </c>
      <c r="I25" s="47">
        <f>IFERROR(__xludf.DUMMYFUNCTION("""COMPUTED_VALUE"""),45777.6458333333)</f>
        <v>45777.6458333333</v>
      </c>
      <c r="J25" s="48">
        <f>IFERROR(__xludf.DUMMYFUNCTION("""COMPUTED_VALUE"""),1182.15)</f>
        <v>1182.15</v>
      </c>
      <c r="K25" s="3">
        <f t="shared" si="2"/>
        <v>0</v>
      </c>
      <c r="L25" s="3">
        <f t="shared" si="3"/>
        <v>0</v>
      </c>
    </row>
    <row r="26" customHeight="1" spans="1:12">
      <c r="A26" s="47">
        <f>IFERROR(__xludf.DUMMYFUNCTION("""COMPUTED_VALUE"""),45779.6458333333)</f>
        <v>45779.6458333333</v>
      </c>
      <c r="B26" s="48">
        <f>IFERROR(__xludf.DUMMYFUNCTION("""COMPUTED_VALUE"""),1168.85)</f>
        <v>1168.85</v>
      </c>
      <c r="C26" s="47">
        <f>IFERROR(__xludf.DUMMYFUNCTION("""COMPUTED_VALUE"""),45779.6458333333)</f>
        <v>45779.6458333333</v>
      </c>
      <c r="D26" s="48">
        <f>IFERROR(__xludf.DUMMYFUNCTION("""COMPUTED_VALUE"""),1187.5)</f>
        <v>1187.5</v>
      </c>
      <c r="E26" s="47">
        <f>IFERROR(__xludf.DUMMYFUNCTION("""COMPUTED_VALUE"""),45779.6458333333)</f>
        <v>45779.6458333333</v>
      </c>
      <c r="F26" s="48">
        <f>IFERROR(__xludf.DUMMYFUNCTION("""COMPUTED_VALUE"""),632574)</f>
        <v>632574</v>
      </c>
      <c r="G26" s="47">
        <f>IFERROR(__xludf.DUMMYFUNCTION("""COMPUTED_VALUE"""),45779.6458333333)</f>
        <v>45779.6458333333</v>
      </c>
      <c r="H26" s="48">
        <f>IFERROR(__xludf.DUMMYFUNCTION("""COMPUTED_VALUE"""),1192.4)</f>
        <v>1192.4</v>
      </c>
      <c r="I26" s="47">
        <f>IFERROR(__xludf.DUMMYFUNCTION("""COMPUTED_VALUE"""),45779.6458333333)</f>
        <v>45779.6458333333</v>
      </c>
      <c r="J26" s="48">
        <f>IFERROR(__xludf.DUMMYFUNCTION("""COMPUTED_VALUE"""),1163.5)</f>
        <v>1163.5</v>
      </c>
      <c r="K26" s="3">
        <f t="shared" si="2"/>
        <v>0</v>
      </c>
      <c r="L26" s="3">
        <f t="shared" si="3"/>
        <v>0</v>
      </c>
    </row>
    <row r="27" customHeight="1" spans="1:12">
      <c r="A27" s="47">
        <f>IFERROR(__xludf.DUMMYFUNCTION("""COMPUTED_VALUE"""),45782.6458333333)</f>
        <v>45782.6458333333</v>
      </c>
      <c r="B27" s="48">
        <f>IFERROR(__xludf.DUMMYFUNCTION("""COMPUTED_VALUE"""),1164.1)</f>
        <v>1164.1</v>
      </c>
      <c r="C27" s="47">
        <f>IFERROR(__xludf.DUMMYFUNCTION("""COMPUTED_VALUE"""),45782.6458333333)</f>
        <v>45782.6458333333</v>
      </c>
      <c r="D27" s="48">
        <f>IFERROR(__xludf.DUMMYFUNCTION("""COMPUTED_VALUE"""),1174.45)</f>
        <v>1174.45</v>
      </c>
      <c r="E27" s="47">
        <f>IFERROR(__xludf.DUMMYFUNCTION("""COMPUTED_VALUE"""),45782.6458333333)</f>
        <v>45782.6458333333</v>
      </c>
      <c r="F27" s="48">
        <f>IFERROR(__xludf.DUMMYFUNCTION("""COMPUTED_VALUE"""),913797)</f>
        <v>913797</v>
      </c>
      <c r="G27" s="47">
        <f>IFERROR(__xludf.DUMMYFUNCTION("""COMPUTED_VALUE"""),45782.6458333333)</f>
        <v>45782.6458333333</v>
      </c>
      <c r="H27" s="48">
        <f>IFERROR(__xludf.DUMMYFUNCTION("""COMPUTED_VALUE"""),1176)</f>
        <v>1176</v>
      </c>
      <c r="I27" s="47">
        <f>IFERROR(__xludf.DUMMYFUNCTION("""COMPUTED_VALUE"""),45782.6458333333)</f>
        <v>45782.6458333333</v>
      </c>
      <c r="J27" s="48">
        <f>IFERROR(__xludf.DUMMYFUNCTION("""COMPUTED_VALUE"""),1161.85)</f>
        <v>1161.85</v>
      </c>
      <c r="K27" s="3">
        <f t="shared" si="2"/>
        <v>0</v>
      </c>
      <c r="L27" s="3">
        <f t="shared" si="3"/>
        <v>0</v>
      </c>
    </row>
    <row r="28" customHeight="1" spans="1:12">
      <c r="A28" s="47">
        <f>IFERROR(__xludf.DUMMYFUNCTION("""COMPUTED_VALUE"""),45783.6458333333)</f>
        <v>45783.6458333333</v>
      </c>
      <c r="B28" s="48">
        <f>IFERROR(__xludf.DUMMYFUNCTION("""COMPUTED_VALUE"""),1178.25)</f>
        <v>1178.25</v>
      </c>
      <c r="C28" s="47">
        <f>IFERROR(__xludf.DUMMYFUNCTION("""COMPUTED_VALUE"""),45783.6458333333)</f>
        <v>45783.6458333333</v>
      </c>
      <c r="D28" s="48">
        <f>IFERROR(__xludf.DUMMYFUNCTION("""COMPUTED_VALUE"""),1168.5)</f>
        <v>1168.5</v>
      </c>
      <c r="E28" s="47">
        <f>IFERROR(__xludf.DUMMYFUNCTION("""COMPUTED_VALUE"""),45783.6458333333)</f>
        <v>45783.6458333333</v>
      </c>
      <c r="F28" s="48">
        <f>IFERROR(__xludf.DUMMYFUNCTION("""COMPUTED_VALUE"""),871013)</f>
        <v>871013</v>
      </c>
      <c r="G28" s="47">
        <f>IFERROR(__xludf.DUMMYFUNCTION("""COMPUTED_VALUE"""),45783.6458333333)</f>
        <v>45783.6458333333</v>
      </c>
      <c r="H28" s="48">
        <f>IFERROR(__xludf.DUMMYFUNCTION("""COMPUTED_VALUE"""),1187.1)</f>
        <v>1187.1</v>
      </c>
      <c r="I28" s="47">
        <f>IFERROR(__xludf.DUMMYFUNCTION("""COMPUTED_VALUE"""),45783.6458333333)</f>
        <v>45783.6458333333</v>
      </c>
      <c r="J28" s="48">
        <f>IFERROR(__xludf.DUMMYFUNCTION("""COMPUTED_VALUE"""),1165)</f>
        <v>1165</v>
      </c>
      <c r="K28" s="3">
        <f t="shared" si="2"/>
        <v>0</v>
      </c>
      <c r="L28" s="3">
        <f t="shared" si="3"/>
        <v>0</v>
      </c>
    </row>
    <row r="29" customHeight="1" spans="1:12">
      <c r="A29" s="47">
        <f>IFERROR(__xludf.DUMMYFUNCTION("""COMPUTED_VALUE"""),45784.6458333333)</f>
        <v>45784.6458333333</v>
      </c>
      <c r="B29" s="48">
        <f>IFERROR(__xludf.DUMMYFUNCTION("""COMPUTED_VALUE"""),1169.2)</f>
        <v>1169.2</v>
      </c>
      <c r="C29" s="47">
        <f>IFERROR(__xludf.DUMMYFUNCTION("""COMPUTED_VALUE"""),45784.6458333333)</f>
        <v>45784.6458333333</v>
      </c>
      <c r="D29" s="48">
        <f>IFERROR(__xludf.DUMMYFUNCTION("""COMPUTED_VALUE"""),1165.5)</f>
        <v>1165.5</v>
      </c>
      <c r="E29" s="47">
        <f>IFERROR(__xludf.DUMMYFUNCTION("""COMPUTED_VALUE"""),45784.6458333333)</f>
        <v>45784.6458333333</v>
      </c>
      <c r="F29" s="48">
        <f>IFERROR(__xludf.DUMMYFUNCTION("""COMPUTED_VALUE"""),676652)</f>
        <v>676652</v>
      </c>
      <c r="G29" s="47">
        <f>IFERROR(__xludf.DUMMYFUNCTION("""COMPUTED_VALUE"""),45784.6458333333)</f>
        <v>45784.6458333333</v>
      </c>
      <c r="H29" s="48">
        <f>IFERROR(__xludf.DUMMYFUNCTION("""COMPUTED_VALUE"""),1178)</f>
        <v>1178</v>
      </c>
      <c r="I29" s="47">
        <f>IFERROR(__xludf.DUMMYFUNCTION("""COMPUTED_VALUE"""),45784.6458333333)</f>
        <v>45784.6458333333</v>
      </c>
      <c r="J29" s="48">
        <f>IFERROR(__xludf.DUMMYFUNCTION("""COMPUTED_VALUE"""),1163.65)</f>
        <v>1163.65</v>
      </c>
      <c r="K29" s="3">
        <f t="shared" si="2"/>
        <v>0</v>
      </c>
      <c r="L29" s="3">
        <f t="shared" si="3"/>
        <v>0</v>
      </c>
    </row>
    <row r="30" customHeight="1" spans="1:12">
      <c r="A30" s="47">
        <f>IFERROR(__xludf.DUMMYFUNCTION("""COMPUTED_VALUE"""),45785.6458333333)</f>
        <v>45785.6458333333</v>
      </c>
      <c r="B30" s="48">
        <f>IFERROR(__xludf.DUMMYFUNCTION("""COMPUTED_VALUE"""),1170.35)</f>
        <v>1170.35</v>
      </c>
      <c r="C30" s="47">
        <f>IFERROR(__xludf.DUMMYFUNCTION("""COMPUTED_VALUE"""),45785.6458333333)</f>
        <v>45785.6458333333</v>
      </c>
      <c r="D30" s="48">
        <f>IFERROR(__xludf.DUMMYFUNCTION("""COMPUTED_VALUE"""),1164)</f>
        <v>1164</v>
      </c>
      <c r="E30" s="47">
        <f>IFERROR(__xludf.DUMMYFUNCTION("""COMPUTED_VALUE"""),45785.6458333333)</f>
        <v>45785.6458333333</v>
      </c>
      <c r="F30" s="48">
        <f>IFERROR(__xludf.DUMMYFUNCTION("""COMPUTED_VALUE"""),1346546)</f>
        <v>1346546</v>
      </c>
      <c r="G30" s="47">
        <f>IFERROR(__xludf.DUMMYFUNCTION("""COMPUTED_VALUE"""),45785.6458333333)</f>
        <v>45785.6458333333</v>
      </c>
      <c r="H30" s="48">
        <f>IFERROR(__xludf.DUMMYFUNCTION("""COMPUTED_VALUE"""),1175.05)</f>
        <v>1175.05</v>
      </c>
      <c r="I30" s="47">
        <f>IFERROR(__xludf.DUMMYFUNCTION("""COMPUTED_VALUE"""),45785.6458333333)</f>
        <v>45785.6458333333</v>
      </c>
      <c r="J30" s="48">
        <f>IFERROR(__xludf.DUMMYFUNCTION("""COMPUTED_VALUE"""),1157.55)</f>
        <v>1157.55</v>
      </c>
      <c r="K30" s="3">
        <f t="shared" si="2"/>
        <v>0</v>
      </c>
      <c r="L30" s="3">
        <f t="shared" si="3"/>
        <v>0</v>
      </c>
    </row>
    <row r="31" customHeight="1" spans="1:12">
      <c r="A31" s="47">
        <f>IFERROR(__xludf.DUMMYFUNCTION("""COMPUTED_VALUE"""),45786.6458333333)</f>
        <v>45786.6458333333</v>
      </c>
      <c r="B31" s="48">
        <f>IFERROR(__xludf.DUMMYFUNCTION("""COMPUTED_VALUE"""),1162.7)</f>
        <v>1162.7</v>
      </c>
      <c r="C31" s="47">
        <f>IFERROR(__xludf.DUMMYFUNCTION("""COMPUTED_VALUE"""),45786.6458333333)</f>
        <v>45786.6458333333</v>
      </c>
      <c r="D31" s="48">
        <f>IFERROR(__xludf.DUMMYFUNCTION("""COMPUTED_VALUE"""),1151)</f>
        <v>1151</v>
      </c>
      <c r="E31" s="47">
        <f>IFERROR(__xludf.DUMMYFUNCTION("""COMPUTED_VALUE"""),45786.6458333333)</f>
        <v>45786.6458333333</v>
      </c>
      <c r="F31" s="48">
        <f>IFERROR(__xludf.DUMMYFUNCTION("""COMPUTED_VALUE"""),908229)</f>
        <v>908229</v>
      </c>
      <c r="G31" s="47">
        <f>IFERROR(__xludf.DUMMYFUNCTION("""COMPUTED_VALUE"""),45786.6458333333)</f>
        <v>45786.6458333333</v>
      </c>
      <c r="H31" s="48">
        <f>IFERROR(__xludf.DUMMYFUNCTION("""COMPUTED_VALUE"""),1174.5)</f>
        <v>1174.5</v>
      </c>
      <c r="I31" s="47">
        <f>IFERROR(__xludf.DUMMYFUNCTION("""COMPUTED_VALUE"""),45786.6458333333)</f>
        <v>45786.6458333333</v>
      </c>
      <c r="J31" s="48">
        <f>IFERROR(__xludf.DUMMYFUNCTION("""COMPUTED_VALUE"""),1145.85)</f>
        <v>1145.85</v>
      </c>
      <c r="K31" s="3">
        <f t="shared" si="2"/>
        <v>0</v>
      </c>
      <c r="L31" s="3">
        <f t="shared" si="3"/>
        <v>1162.7</v>
      </c>
    </row>
    <row r="32" customHeight="1" spans="1:12">
      <c r="A32" s="47">
        <f>IFERROR(__xludf.DUMMYFUNCTION("""COMPUTED_VALUE"""),45789.6458333333)</f>
        <v>45789.6458333333</v>
      </c>
      <c r="B32" s="48">
        <f>IFERROR(__xludf.DUMMYFUNCTION("""COMPUTED_VALUE"""),1191.9)</f>
        <v>1191.9</v>
      </c>
      <c r="C32" s="47">
        <f>IFERROR(__xludf.DUMMYFUNCTION("""COMPUTED_VALUE"""),45789.6458333333)</f>
        <v>45789.6458333333</v>
      </c>
      <c r="D32" s="48">
        <f>IFERROR(__xludf.DUMMYFUNCTION("""COMPUTED_VALUE"""),1179.9)</f>
        <v>1179.9</v>
      </c>
      <c r="E32" s="47">
        <f>IFERROR(__xludf.DUMMYFUNCTION("""COMPUTED_VALUE"""),45789.6458333333)</f>
        <v>45789.6458333333</v>
      </c>
      <c r="F32" s="48">
        <f>IFERROR(__xludf.DUMMYFUNCTION("""COMPUTED_VALUE"""),400750)</f>
        <v>400750</v>
      </c>
      <c r="G32" s="47">
        <f>IFERROR(__xludf.DUMMYFUNCTION("""COMPUTED_VALUE"""),45789.6458333333)</f>
        <v>45789.6458333333</v>
      </c>
      <c r="H32" s="48">
        <f>IFERROR(__xludf.DUMMYFUNCTION("""COMPUTED_VALUE"""),1194.5)</f>
        <v>1194.5</v>
      </c>
      <c r="I32" s="47">
        <f>IFERROR(__xludf.DUMMYFUNCTION("""COMPUTED_VALUE"""),45789.6458333333)</f>
        <v>45789.6458333333</v>
      </c>
      <c r="J32" s="48">
        <f>IFERROR(__xludf.DUMMYFUNCTION("""COMPUTED_VALUE"""),1173)</f>
        <v>1173</v>
      </c>
      <c r="K32" s="3">
        <f t="shared" si="2"/>
        <v>0</v>
      </c>
      <c r="L32" s="3">
        <f t="shared" si="3"/>
        <v>0</v>
      </c>
    </row>
    <row r="33" customHeight="1" spans="1:12">
      <c r="A33" s="47">
        <f>IFERROR(__xludf.DUMMYFUNCTION("""COMPUTED_VALUE"""),45790.6458333333)</f>
        <v>45790.6458333333</v>
      </c>
      <c r="B33" s="48">
        <f>IFERROR(__xludf.DUMMYFUNCTION("""COMPUTED_VALUE"""),1185.1)</f>
        <v>1185.1</v>
      </c>
      <c r="C33" s="47">
        <f>IFERROR(__xludf.DUMMYFUNCTION("""COMPUTED_VALUE"""),45790.6458333333)</f>
        <v>45790.6458333333</v>
      </c>
      <c r="D33" s="48">
        <f>IFERROR(__xludf.DUMMYFUNCTION("""COMPUTED_VALUE"""),1190)</f>
        <v>1190</v>
      </c>
      <c r="E33" s="47">
        <f>IFERROR(__xludf.DUMMYFUNCTION("""COMPUTED_VALUE"""),45790.6458333333)</f>
        <v>45790.6458333333</v>
      </c>
      <c r="F33" s="48">
        <f>IFERROR(__xludf.DUMMYFUNCTION("""COMPUTED_VALUE"""),1166776)</f>
        <v>1166776</v>
      </c>
      <c r="G33" s="47">
        <f>IFERROR(__xludf.DUMMYFUNCTION("""COMPUTED_VALUE"""),45790.6458333333)</f>
        <v>45790.6458333333</v>
      </c>
      <c r="H33" s="48">
        <f>IFERROR(__xludf.DUMMYFUNCTION("""COMPUTED_VALUE"""),1194.9)</f>
        <v>1194.9</v>
      </c>
      <c r="I33" s="47">
        <f>IFERROR(__xludf.DUMMYFUNCTION("""COMPUTED_VALUE"""),45790.6458333333)</f>
        <v>45790.6458333333</v>
      </c>
      <c r="J33" s="48">
        <f>IFERROR(__xludf.DUMMYFUNCTION("""COMPUTED_VALUE"""),1171)</f>
        <v>1171</v>
      </c>
      <c r="K33" s="3">
        <f t="shared" si="2"/>
        <v>0</v>
      </c>
      <c r="L33" s="3">
        <f t="shared" si="3"/>
        <v>0</v>
      </c>
    </row>
    <row r="34" customHeight="1" spans="1:12">
      <c r="A34" s="47">
        <f>IFERROR(__xludf.DUMMYFUNCTION("""COMPUTED_VALUE"""),45791.6458333333)</f>
        <v>45791.6458333333</v>
      </c>
      <c r="B34" s="48">
        <f>IFERROR(__xludf.DUMMYFUNCTION("""COMPUTED_VALUE"""),1185.2)</f>
        <v>1185.2</v>
      </c>
      <c r="C34" s="47">
        <f>IFERROR(__xludf.DUMMYFUNCTION("""COMPUTED_VALUE"""),45791.6458333333)</f>
        <v>45791.6458333333</v>
      </c>
      <c r="D34" s="48">
        <f>IFERROR(__xludf.DUMMYFUNCTION("""COMPUTED_VALUE"""),1182.5)</f>
        <v>1182.5</v>
      </c>
      <c r="E34" s="47">
        <f>IFERROR(__xludf.DUMMYFUNCTION("""COMPUTED_VALUE"""),45791.6458333333)</f>
        <v>45791.6458333333</v>
      </c>
      <c r="F34" s="48">
        <f>IFERROR(__xludf.DUMMYFUNCTION("""COMPUTED_VALUE"""),601533)</f>
        <v>601533</v>
      </c>
      <c r="G34" s="47">
        <f>IFERROR(__xludf.DUMMYFUNCTION("""COMPUTED_VALUE"""),45791.6458333333)</f>
        <v>45791.6458333333</v>
      </c>
      <c r="H34" s="48">
        <f>IFERROR(__xludf.DUMMYFUNCTION("""COMPUTED_VALUE"""),1189.6)</f>
        <v>1189.6</v>
      </c>
      <c r="I34" s="47">
        <f>IFERROR(__xludf.DUMMYFUNCTION("""COMPUTED_VALUE"""),45791.6458333333)</f>
        <v>45791.6458333333</v>
      </c>
      <c r="J34" s="48">
        <f>IFERROR(__xludf.DUMMYFUNCTION("""COMPUTED_VALUE"""),1176.65)</f>
        <v>1176.65</v>
      </c>
      <c r="K34" s="3">
        <f t="shared" si="2"/>
        <v>0</v>
      </c>
      <c r="L34" s="3">
        <f t="shared" si="3"/>
        <v>0</v>
      </c>
    </row>
    <row r="35" customHeight="1" spans="1:12">
      <c r="A35" s="47">
        <f>IFERROR(__xludf.DUMMYFUNCTION("""COMPUTED_VALUE"""),45792.6458333333)</f>
        <v>45792.6458333333</v>
      </c>
      <c r="B35" s="48">
        <f>IFERROR(__xludf.DUMMYFUNCTION("""COMPUTED_VALUE"""),1199.05)</f>
        <v>1199.05</v>
      </c>
      <c r="C35" s="47">
        <f>IFERROR(__xludf.DUMMYFUNCTION("""COMPUTED_VALUE"""),45792.6458333333)</f>
        <v>45792.6458333333</v>
      </c>
      <c r="D35" s="48">
        <f>IFERROR(__xludf.DUMMYFUNCTION("""COMPUTED_VALUE"""),1185)</f>
        <v>1185</v>
      </c>
      <c r="E35" s="47">
        <f>IFERROR(__xludf.DUMMYFUNCTION("""COMPUTED_VALUE"""),45792.6458333333)</f>
        <v>45792.6458333333</v>
      </c>
      <c r="F35" s="48">
        <f>IFERROR(__xludf.DUMMYFUNCTION("""COMPUTED_VALUE"""),964112)</f>
        <v>964112</v>
      </c>
      <c r="G35" s="47">
        <f>IFERROR(__xludf.DUMMYFUNCTION("""COMPUTED_VALUE"""),45792.6458333333)</f>
        <v>45792.6458333333</v>
      </c>
      <c r="H35" s="48">
        <f>IFERROR(__xludf.DUMMYFUNCTION("""COMPUTED_VALUE"""),1207.45)</f>
        <v>1207.45</v>
      </c>
      <c r="I35" s="47">
        <f>IFERROR(__xludf.DUMMYFUNCTION("""COMPUTED_VALUE"""),45792.6458333333)</f>
        <v>45792.6458333333</v>
      </c>
      <c r="J35" s="48">
        <f>IFERROR(__xludf.DUMMYFUNCTION("""COMPUTED_VALUE"""),1170.75)</f>
        <v>1170.75</v>
      </c>
      <c r="K35" s="3">
        <f t="shared" si="2"/>
        <v>0</v>
      </c>
      <c r="L35" s="3">
        <f t="shared" si="3"/>
        <v>0</v>
      </c>
    </row>
    <row r="36" customHeight="1" spans="1:12">
      <c r="A36" s="47">
        <f>IFERROR(__xludf.DUMMYFUNCTION("""COMPUTED_VALUE"""),45793.6458333333)</f>
        <v>45793.6458333333</v>
      </c>
      <c r="B36" s="48">
        <f>IFERROR(__xludf.DUMMYFUNCTION("""COMPUTED_VALUE"""),1204.4)</f>
        <v>1204.4</v>
      </c>
      <c r="C36" s="47">
        <f>IFERROR(__xludf.DUMMYFUNCTION("""COMPUTED_VALUE"""),45793.6458333333)</f>
        <v>45793.6458333333</v>
      </c>
      <c r="D36" s="48">
        <f>IFERROR(__xludf.DUMMYFUNCTION("""COMPUTED_VALUE"""),1207.3)</f>
        <v>1207.3</v>
      </c>
      <c r="E36" s="47">
        <f>IFERROR(__xludf.DUMMYFUNCTION("""COMPUTED_VALUE"""),45793.6458333333)</f>
        <v>45793.6458333333</v>
      </c>
      <c r="F36" s="48">
        <f>IFERROR(__xludf.DUMMYFUNCTION("""COMPUTED_VALUE"""),684551)</f>
        <v>684551</v>
      </c>
      <c r="G36" s="47">
        <f>IFERROR(__xludf.DUMMYFUNCTION("""COMPUTED_VALUE"""),45793.6458333333)</f>
        <v>45793.6458333333</v>
      </c>
      <c r="H36" s="48">
        <f>IFERROR(__xludf.DUMMYFUNCTION("""COMPUTED_VALUE"""),1207.3)</f>
        <v>1207.3</v>
      </c>
      <c r="I36" s="47">
        <f>IFERROR(__xludf.DUMMYFUNCTION("""COMPUTED_VALUE"""),45793.6458333333)</f>
        <v>45793.6458333333</v>
      </c>
      <c r="J36" s="48">
        <f>IFERROR(__xludf.DUMMYFUNCTION("""COMPUTED_VALUE"""),1188.35)</f>
        <v>1188.35</v>
      </c>
      <c r="K36" s="3">
        <f t="shared" si="2"/>
        <v>0</v>
      </c>
      <c r="L36" s="3">
        <f t="shared" si="3"/>
        <v>0</v>
      </c>
    </row>
    <row r="37" customHeight="1" spans="1:12">
      <c r="A37" s="47">
        <f>IFERROR(__xludf.DUMMYFUNCTION("""COMPUTED_VALUE"""),45796.6458333333)</f>
        <v>45796.6458333333</v>
      </c>
      <c r="B37" s="48">
        <f>IFERROR(__xludf.DUMMYFUNCTION("""COMPUTED_VALUE"""),1203.9)</f>
        <v>1203.9</v>
      </c>
      <c r="C37" s="47">
        <f>IFERROR(__xludf.DUMMYFUNCTION("""COMPUTED_VALUE"""),45796.6458333333)</f>
        <v>45796.6458333333</v>
      </c>
      <c r="D37" s="48">
        <f>IFERROR(__xludf.DUMMYFUNCTION("""COMPUTED_VALUE"""),1202)</f>
        <v>1202</v>
      </c>
      <c r="E37" s="47">
        <f>IFERROR(__xludf.DUMMYFUNCTION("""COMPUTED_VALUE"""),45796.6458333333)</f>
        <v>45796.6458333333</v>
      </c>
      <c r="F37" s="48">
        <f>IFERROR(__xludf.DUMMYFUNCTION("""COMPUTED_VALUE"""),422931)</f>
        <v>422931</v>
      </c>
      <c r="G37" s="47">
        <f>IFERROR(__xludf.DUMMYFUNCTION("""COMPUTED_VALUE"""),45796.6458333333)</f>
        <v>45796.6458333333</v>
      </c>
      <c r="H37" s="48">
        <f>IFERROR(__xludf.DUMMYFUNCTION("""COMPUTED_VALUE"""),1211.05)</f>
        <v>1211.05</v>
      </c>
      <c r="I37" s="47">
        <f>IFERROR(__xludf.DUMMYFUNCTION("""COMPUTED_VALUE"""),45796.6458333333)</f>
        <v>45796.6458333333</v>
      </c>
      <c r="J37" s="48">
        <f>IFERROR(__xludf.DUMMYFUNCTION("""COMPUTED_VALUE"""),1198.1)</f>
        <v>1198.1</v>
      </c>
      <c r="K37" s="3">
        <f t="shared" si="2"/>
        <v>0</v>
      </c>
      <c r="L37" s="3">
        <f t="shared" si="3"/>
        <v>0</v>
      </c>
    </row>
    <row r="38" customHeight="1" spans="1:12">
      <c r="A38" s="47">
        <f>IFERROR(__xludf.DUMMYFUNCTION("""COMPUTED_VALUE"""),45797.6458333333)</f>
        <v>45797.6458333333</v>
      </c>
      <c r="B38" s="48">
        <f>IFERROR(__xludf.DUMMYFUNCTION("""COMPUTED_VALUE"""),1179.25)</f>
        <v>1179.25</v>
      </c>
      <c r="C38" s="47">
        <f>IFERROR(__xludf.DUMMYFUNCTION("""COMPUTED_VALUE"""),45797.6458333333)</f>
        <v>45797.6458333333</v>
      </c>
      <c r="D38" s="48">
        <f>IFERROR(__xludf.DUMMYFUNCTION("""COMPUTED_VALUE"""),1209.9)</f>
        <v>1209.9</v>
      </c>
      <c r="E38" s="47">
        <f>IFERROR(__xludf.DUMMYFUNCTION("""COMPUTED_VALUE"""),45797.6458333333)</f>
        <v>45797.6458333333</v>
      </c>
      <c r="F38" s="48">
        <f>IFERROR(__xludf.DUMMYFUNCTION("""COMPUTED_VALUE"""),777675)</f>
        <v>777675</v>
      </c>
      <c r="G38" s="47">
        <f>IFERROR(__xludf.DUMMYFUNCTION("""COMPUTED_VALUE"""),45797.6458333333)</f>
        <v>45797.6458333333</v>
      </c>
      <c r="H38" s="48">
        <f>IFERROR(__xludf.DUMMYFUNCTION("""COMPUTED_VALUE"""),1209.9)</f>
        <v>1209.9</v>
      </c>
      <c r="I38" s="47">
        <f>IFERROR(__xludf.DUMMYFUNCTION("""COMPUTED_VALUE"""),45797.6458333333)</f>
        <v>45797.6458333333</v>
      </c>
      <c r="J38" s="48">
        <f>IFERROR(__xludf.DUMMYFUNCTION("""COMPUTED_VALUE"""),1177.15)</f>
        <v>1177.15</v>
      </c>
      <c r="K38" s="3">
        <f t="shared" si="2"/>
        <v>0</v>
      </c>
      <c r="L38" s="3">
        <f t="shared" si="3"/>
        <v>1179.25</v>
      </c>
    </row>
    <row r="39" customHeight="1" spans="1:12">
      <c r="A39" s="47">
        <f>IFERROR(__xludf.DUMMYFUNCTION("""COMPUTED_VALUE"""),45798.6458333333)</f>
        <v>45798.6458333333</v>
      </c>
      <c r="B39" s="48">
        <f>IFERROR(__xludf.DUMMYFUNCTION("""COMPUTED_VALUE"""),1196.3)</f>
        <v>1196.3</v>
      </c>
      <c r="C39" s="47">
        <f>IFERROR(__xludf.DUMMYFUNCTION("""COMPUTED_VALUE"""),45798.6458333333)</f>
        <v>45798.6458333333</v>
      </c>
      <c r="D39" s="48">
        <f>IFERROR(__xludf.DUMMYFUNCTION("""COMPUTED_VALUE"""),1179.25)</f>
        <v>1179.25</v>
      </c>
      <c r="E39" s="47">
        <f>IFERROR(__xludf.DUMMYFUNCTION("""COMPUTED_VALUE"""),45798.6458333333)</f>
        <v>45798.6458333333</v>
      </c>
      <c r="F39" s="48">
        <f>IFERROR(__xludf.DUMMYFUNCTION("""COMPUTED_VALUE"""),675148)</f>
        <v>675148</v>
      </c>
      <c r="G39" s="47">
        <f>IFERROR(__xludf.DUMMYFUNCTION("""COMPUTED_VALUE"""),45798.6458333333)</f>
        <v>45798.6458333333</v>
      </c>
      <c r="H39" s="48">
        <f>IFERROR(__xludf.DUMMYFUNCTION("""COMPUTED_VALUE"""),1199)</f>
        <v>1199</v>
      </c>
      <c r="I39" s="47">
        <f>IFERROR(__xludf.DUMMYFUNCTION("""COMPUTED_VALUE"""),45798.6458333333)</f>
        <v>45798.6458333333</v>
      </c>
      <c r="J39" s="48">
        <f>IFERROR(__xludf.DUMMYFUNCTION("""COMPUTED_VALUE"""),1179.25)</f>
        <v>1179.25</v>
      </c>
      <c r="K39" s="3">
        <f t="shared" si="2"/>
        <v>0</v>
      </c>
      <c r="L39" s="3">
        <f t="shared" si="3"/>
        <v>0</v>
      </c>
    </row>
    <row r="40" customHeight="1" spans="1:12">
      <c r="A40" s="47">
        <f>IFERROR(__xludf.DUMMYFUNCTION("""COMPUTED_VALUE"""),45799.6458333333)</f>
        <v>45799.6458333333</v>
      </c>
      <c r="B40" s="48">
        <f>IFERROR(__xludf.DUMMYFUNCTION("""COMPUTED_VALUE"""),1180.85)</f>
        <v>1180.85</v>
      </c>
      <c r="C40" s="47">
        <f>IFERROR(__xludf.DUMMYFUNCTION("""COMPUTED_VALUE"""),45799.6458333333)</f>
        <v>45799.6458333333</v>
      </c>
      <c r="D40" s="48">
        <f>IFERROR(__xludf.DUMMYFUNCTION("""COMPUTED_VALUE"""),1192.5)</f>
        <v>1192.5</v>
      </c>
      <c r="E40" s="47">
        <f>IFERROR(__xludf.DUMMYFUNCTION("""COMPUTED_VALUE"""),45799.6458333333)</f>
        <v>45799.6458333333</v>
      </c>
      <c r="F40" s="48">
        <f>IFERROR(__xludf.DUMMYFUNCTION("""COMPUTED_VALUE"""),1080806)</f>
        <v>1080806</v>
      </c>
      <c r="G40" s="47">
        <f>IFERROR(__xludf.DUMMYFUNCTION("""COMPUTED_VALUE"""),45799.6458333333)</f>
        <v>45799.6458333333</v>
      </c>
      <c r="H40" s="48">
        <f>IFERROR(__xludf.DUMMYFUNCTION("""COMPUTED_VALUE"""),1192.5)</f>
        <v>1192.5</v>
      </c>
      <c r="I40" s="47">
        <f>IFERROR(__xludf.DUMMYFUNCTION("""COMPUTED_VALUE"""),45799.6458333333)</f>
        <v>45799.6458333333</v>
      </c>
      <c r="J40" s="48">
        <f>IFERROR(__xludf.DUMMYFUNCTION("""COMPUTED_VALUE"""),1170)</f>
        <v>1170</v>
      </c>
      <c r="K40" s="3">
        <f t="shared" si="2"/>
        <v>0</v>
      </c>
      <c r="L40" s="3">
        <f t="shared" si="3"/>
        <v>0</v>
      </c>
    </row>
    <row r="41" customHeight="1" spans="1:12">
      <c r="A41" s="47">
        <f>IFERROR(__xludf.DUMMYFUNCTION("""COMPUTED_VALUE"""),45800.6458333333)</f>
        <v>45800.6458333333</v>
      </c>
      <c r="B41" s="48">
        <f>IFERROR(__xludf.DUMMYFUNCTION("""COMPUTED_VALUE"""),1207.2)</f>
        <v>1207.2</v>
      </c>
      <c r="C41" s="47">
        <f>IFERROR(__xludf.DUMMYFUNCTION("""COMPUTED_VALUE"""),45800.6458333333)</f>
        <v>45800.6458333333</v>
      </c>
      <c r="D41" s="48">
        <f>IFERROR(__xludf.DUMMYFUNCTION("""COMPUTED_VALUE"""),1178)</f>
        <v>1178</v>
      </c>
      <c r="E41" s="47">
        <f>IFERROR(__xludf.DUMMYFUNCTION("""COMPUTED_VALUE"""),45800.6458333333)</f>
        <v>45800.6458333333</v>
      </c>
      <c r="F41" s="48">
        <f>IFERROR(__xludf.DUMMYFUNCTION("""COMPUTED_VALUE"""),577230)</f>
        <v>577230</v>
      </c>
      <c r="G41" s="47">
        <f>IFERROR(__xludf.DUMMYFUNCTION("""COMPUTED_VALUE"""),45800.6458333333)</f>
        <v>45800.6458333333</v>
      </c>
      <c r="H41" s="48">
        <f>IFERROR(__xludf.DUMMYFUNCTION("""COMPUTED_VALUE"""),1212)</f>
        <v>1212</v>
      </c>
      <c r="I41" s="47">
        <f>IFERROR(__xludf.DUMMYFUNCTION("""COMPUTED_VALUE"""),45800.6458333333)</f>
        <v>45800.6458333333</v>
      </c>
      <c r="J41" s="48">
        <f>IFERROR(__xludf.DUMMYFUNCTION("""COMPUTED_VALUE"""),1176.05)</f>
        <v>1176.05</v>
      </c>
      <c r="K41" s="3">
        <f t="shared" si="2"/>
        <v>0</v>
      </c>
      <c r="L41" s="3">
        <f t="shared" si="3"/>
        <v>0</v>
      </c>
    </row>
    <row r="42" customHeight="1" spans="1:12">
      <c r="A42" s="47">
        <f>IFERROR(__xludf.DUMMYFUNCTION("""COMPUTED_VALUE"""),45803.6458333333)</f>
        <v>45803.6458333333</v>
      </c>
      <c r="B42" s="48">
        <f>IFERROR(__xludf.DUMMYFUNCTION("""COMPUTED_VALUE"""),1227)</f>
        <v>1227</v>
      </c>
      <c r="C42" s="47">
        <f>IFERROR(__xludf.DUMMYFUNCTION("""COMPUTED_VALUE"""),45803.6458333333)</f>
        <v>45803.6458333333</v>
      </c>
      <c r="D42" s="48">
        <f>IFERROR(__xludf.DUMMYFUNCTION("""COMPUTED_VALUE"""),1207.2)</f>
        <v>1207.2</v>
      </c>
      <c r="E42" s="47">
        <f>IFERROR(__xludf.DUMMYFUNCTION("""COMPUTED_VALUE"""),45803.6458333333)</f>
        <v>45803.6458333333</v>
      </c>
      <c r="F42" s="48">
        <f>IFERROR(__xludf.DUMMYFUNCTION("""COMPUTED_VALUE"""),624354)</f>
        <v>624354</v>
      </c>
      <c r="G42" s="47">
        <f>IFERROR(__xludf.DUMMYFUNCTION("""COMPUTED_VALUE"""),45803.6458333333)</f>
        <v>45803.6458333333</v>
      </c>
      <c r="H42" s="48">
        <f>IFERROR(__xludf.DUMMYFUNCTION("""COMPUTED_VALUE"""),1232.45)</f>
        <v>1232.45</v>
      </c>
      <c r="I42" s="47">
        <f>IFERROR(__xludf.DUMMYFUNCTION("""COMPUTED_VALUE"""),45803.6458333333)</f>
        <v>45803.6458333333</v>
      </c>
      <c r="J42" s="48">
        <f>IFERROR(__xludf.DUMMYFUNCTION("""COMPUTED_VALUE"""),1202.7)</f>
        <v>1202.7</v>
      </c>
      <c r="K42" s="3">
        <f t="shared" si="2"/>
        <v>0</v>
      </c>
      <c r="L42" s="3">
        <f t="shared" si="3"/>
        <v>0</v>
      </c>
    </row>
    <row r="43" customHeight="1" spans="1:12">
      <c r="A43" s="47">
        <f>IFERROR(__xludf.DUMMYFUNCTION("""COMPUTED_VALUE"""),45804.6458333333)</f>
        <v>45804.6458333333</v>
      </c>
      <c r="B43" s="48">
        <f>IFERROR(__xludf.DUMMYFUNCTION("""COMPUTED_VALUE"""),1230.45)</f>
        <v>1230.45</v>
      </c>
      <c r="C43" s="47">
        <f>IFERROR(__xludf.DUMMYFUNCTION("""COMPUTED_VALUE"""),45804.6458333333)</f>
        <v>45804.6458333333</v>
      </c>
      <c r="D43" s="48">
        <f>IFERROR(__xludf.DUMMYFUNCTION("""COMPUTED_VALUE"""),1225.05)</f>
        <v>1225.05</v>
      </c>
      <c r="E43" s="47">
        <f>IFERROR(__xludf.DUMMYFUNCTION("""COMPUTED_VALUE"""),45804.6458333333)</f>
        <v>45804.6458333333</v>
      </c>
      <c r="F43" s="48">
        <f>IFERROR(__xludf.DUMMYFUNCTION("""COMPUTED_VALUE"""),792049)</f>
        <v>792049</v>
      </c>
      <c r="G43" s="47">
        <f>IFERROR(__xludf.DUMMYFUNCTION("""COMPUTED_VALUE"""),45804.6458333333)</f>
        <v>45804.6458333333</v>
      </c>
      <c r="H43" s="48">
        <f>IFERROR(__xludf.DUMMYFUNCTION("""COMPUTED_VALUE"""),1241)</f>
        <v>1241</v>
      </c>
      <c r="I43" s="47">
        <f>IFERROR(__xludf.DUMMYFUNCTION("""COMPUTED_VALUE"""),45804.6458333333)</f>
        <v>45804.6458333333</v>
      </c>
      <c r="J43" s="48">
        <f>IFERROR(__xludf.DUMMYFUNCTION("""COMPUTED_VALUE"""),1216.1)</f>
        <v>1216.1</v>
      </c>
      <c r="K43" s="3">
        <f t="shared" si="2"/>
        <v>1230.45</v>
      </c>
      <c r="L43" s="3">
        <f t="shared" si="3"/>
        <v>0</v>
      </c>
    </row>
    <row r="44" customHeight="1" spans="1:12">
      <c r="A44" s="47">
        <f>IFERROR(__xludf.DUMMYFUNCTION("""COMPUTED_VALUE"""),45805.6458333333)</f>
        <v>45805.6458333333</v>
      </c>
      <c r="B44" s="48">
        <f>IFERROR(__xludf.DUMMYFUNCTION("""COMPUTED_VALUE"""),1209.5)</f>
        <v>1209.5</v>
      </c>
      <c r="C44" s="47">
        <f>IFERROR(__xludf.DUMMYFUNCTION("""COMPUTED_VALUE"""),45805.6458333333)</f>
        <v>45805.6458333333</v>
      </c>
      <c r="D44" s="48">
        <f>IFERROR(__xludf.DUMMYFUNCTION("""COMPUTED_VALUE"""),1226.05)</f>
        <v>1226.05</v>
      </c>
      <c r="E44" s="47">
        <f>IFERROR(__xludf.DUMMYFUNCTION("""COMPUTED_VALUE"""),45805.6458333333)</f>
        <v>45805.6458333333</v>
      </c>
      <c r="F44" s="48">
        <f>IFERROR(__xludf.DUMMYFUNCTION("""COMPUTED_VALUE"""),723621)</f>
        <v>723621</v>
      </c>
      <c r="G44" s="47">
        <f>IFERROR(__xludf.DUMMYFUNCTION("""COMPUTED_VALUE"""),45805.6458333333)</f>
        <v>45805.6458333333</v>
      </c>
      <c r="H44" s="48">
        <f>IFERROR(__xludf.DUMMYFUNCTION("""COMPUTED_VALUE"""),1228.35)</f>
        <v>1228.35</v>
      </c>
      <c r="I44" s="47">
        <f>IFERROR(__xludf.DUMMYFUNCTION("""COMPUTED_VALUE"""),45805.6458333333)</f>
        <v>45805.6458333333</v>
      </c>
      <c r="J44" s="48">
        <f>IFERROR(__xludf.DUMMYFUNCTION("""COMPUTED_VALUE"""),1208)</f>
        <v>1208</v>
      </c>
      <c r="K44" s="3">
        <f t="shared" si="2"/>
        <v>0</v>
      </c>
      <c r="L44" s="3">
        <f t="shared" si="3"/>
        <v>0</v>
      </c>
    </row>
    <row r="45" customHeight="1" spans="1:12">
      <c r="A45" s="47">
        <f>IFERROR(__xludf.DUMMYFUNCTION("""COMPUTED_VALUE"""),45806.6458333333)</f>
        <v>45806.6458333333</v>
      </c>
      <c r="B45" s="48">
        <f>IFERROR(__xludf.DUMMYFUNCTION("""COMPUTED_VALUE"""),1217.5)</f>
        <v>1217.5</v>
      </c>
      <c r="C45" s="47">
        <f>IFERROR(__xludf.DUMMYFUNCTION("""COMPUTED_VALUE"""),45806.6458333333)</f>
        <v>45806.6458333333</v>
      </c>
      <c r="D45" s="48">
        <f>IFERROR(__xludf.DUMMYFUNCTION("""COMPUTED_VALUE"""),1210.7)</f>
        <v>1210.7</v>
      </c>
      <c r="E45" s="47">
        <f>IFERROR(__xludf.DUMMYFUNCTION("""COMPUTED_VALUE"""),45806.6458333333)</f>
        <v>45806.6458333333</v>
      </c>
      <c r="F45" s="48">
        <f>IFERROR(__xludf.DUMMYFUNCTION("""COMPUTED_VALUE"""),931298)</f>
        <v>931298</v>
      </c>
      <c r="G45" s="47">
        <f>IFERROR(__xludf.DUMMYFUNCTION("""COMPUTED_VALUE"""),45806.6458333333)</f>
        <v>45806.6458333333</v>
      </c>
      <c r="H45" s="48">
        <f>IFERROR(__xludf.DUMMYFUNCTION("""COMPUTED_VALUE"""),1219.9)</f>
        <v>1219.9</v>
      </c>
      <c r="I45" s="47">
        <f>IFERROR(__xludf.DUMMYFUNCTION("""COMPUTED_VALUE"""),45806.6458333333)</f>
        <v>45806.6458333333</v>
      </c>
      <c r="J45" s="48">
        <f>IFERROR(__xludf.DUMMYFUNCTION("""COMPUTED_VALUE"""),1203.25)</f>
        <v>1203.25</v>
      </c>
      <c r="K45" s="3">
        <f t="shared" si="2"/>
        <v>0</v>
      </c>
      <c r="L45" s="3">
        <f t="shared" si="3"/>
        <v>0</v>
      </c>
    </row>
    <row r="46" customHeight="1" spans="1:12">
      <c r="A46" s="47">
        <f>IFERROR(__xludf.DUMMYFUNCTION("""COMPUTED_VALUE"""),45807.6458333333)</f>
        <v>45807.6458333333</v>
      </c>
      <c r="B46" s="48">
        <f>IFERROR(__xludf.DUMMYFUNCTION("""COMPUTED_VALUE"""),1198.1)</f>
        <v>1198.1</v>
      </c>
      <c r="C46" s="47">
        <f>IFERROR(__xludf.DUMMYFUNCTION("""COMPUTED_VALUE"""),45807.6458333333)</f>
        <v>45807.6458333333</v>
      </c>
      <c r="D46" s="48">
        <f>IFERROR(__xludf.DUMMYFUNCTION("""COMPUTED_VALUE"""),1217.5)</f>
        <v>1217.5</v>
      </c>
      <c r="E46" s="47">
        <f>IFERROR(__xludf.DUMMYFUNCTION("""COMPUTED_VALUE"""),45807.6458333333)</f>
        <v>45807.6458333333</v>
      </c>
      <c r="F46" s="48">
        <f>IFERROR(__xludf.DUMMYFUNCTION("""COMPUTED_VALUE"""),1067460)</f>
        <v>1067460</v>
      </c>
      <c r="G46" s="47">
        <f>IFERROR(__xludf.DUMMYFUNCTION("""COMPUTED_VALUE"""),45807.6458333333)</f>
        <v>45807.6458333333</v>
      </c>
      <c r="H46" s="48">
        <f>IFERROR(__xludf.DUMMYFUNCTION("""COMPUTED_VALUE"""),1228.5)</f>
        <v>1228.5</v>
      </c>
      <c r="I46" s="47">
        <f>IFERROR(__xludf.DUMMYFUNCTION("""COMPUTED_VALUE"""),45807.6458333333)</f>
        <v>45807.6458333333</v>
      </c>
      <c r="J46" s="48">
        <f>IFERROR(__xludf.DUMMYFUNCTION("""COMPUTED_VALUE"""),1195.25)</f>
        <v>1195.25</v>
      </c>
      <c r="K46" s="3">
        <f t="shared" si="2"/>
        <v>0</v>
      </c>
      <c r="L46" s="3">
        <f t="shared" si="3"/>
        <v>0</v>
      </c>
    </row>
    <row r="47" customHeight="1" spans="1:12">
      <c r="A47" s="47">
        <f>IFERROR(__xludf.DUMMYFUNCTION("""COMPUTED_VALUE"""),45810.6458333333)</f>
        <v>45810.6458333333</v>
      </c>
      <c r="B47" s="48">
        <f>IFERROR(__xludf.DUMMYFUNCTION("""COMPUTED_VALUE"""),1203.15)</f>
        <v>1203.15</v>
      </c>
      <c r="C47" s="47">
        <f>IFERROR(__xludf.DUMMYFUNCTION("""COMPUTED_VALUE"""),45810.6458333333)</f>
        <v>45810.6458333333</v>
      </c>
      <c r="D47" s="48">
        <f>IFERROR(__xludf.DUMMYFUNCTION("""COMPUTED_VALUE"""),1200)</f>
        <v>1200</v>
      </c>
      <c r="E47" s="47">
        <f>IFERROR(__xludf.DUMMYFUNCTION("""COMPUTED_VALUE"""),45810.6458333333)</f>
        <v>45810.6458333333</v>
      </c>
      <c r="F47" s="48">
        <f>IFERROR(__xludf.DUMMYFUNCTION("""COMPUTED_VALUE"""),1026359)</f>
        <v>1026359</v>
      </c>
      <c r="G47" s="47">
        <f>IFERROR(__xludf.DUMMYFUNCTION("""COMPUTED_VALUE"""),45810.6458333333)</f>
        <v>45810.6458333333</v>
      </c>
      <c r="H47" s="48">
        <f>IFERROR(__xludf.DUMMYFUNCTION("""COMPUTED_VALUE"""),1207.9)</f>
        <v>1207.9</v>
      </c>
      <c r="I47" s="47">
        <f>IFERROR(__xludf.DUMMYFUNCTION("""COMPUTED_VALUE"""),45810.6458333333)</f>
        <v>45810.6458333333</v>
      </c>
      <c r="J47" s="48">
        <f>IFERROR(__xludf.DUMMYFUNCTION("""COMPUTED_VALUE"""),1195.5)</f>
        <v>1195.5</v>
      </c>
      <c r="K47" s="3">
        <f t="shared" si="2"/>
        <v>0</v>
      </c>
      <c r="L47" s="3">
        <f t="shared" si="3"/>
        <v>0</v>
      </c>
    </row>
    <row r="48" customHeight="1" spans="1:12">
      <c r="A48" s="47">
        <f>IFERROR(__xludf.DUMMYFUNCTION("""COMPUTED_VALUE"""),45811.6458333333)</f>
        <v>45811.6458333333</v>
      </c>
      <c r="B48" s="48">
        <f>IFERROR(__xludf.DUMMYFUNCTION("""COMPUTED_VALUE"""),1195.7)</f>
        <v>1195.7</v>
      </c>
      <c r="C48" s="47">
        <f>IFERROR(__xludf.DUMMYFUNCTION("""COMPUTED_VALUE"""),45811.6458333333)</f>
        <v>45811.6458333333</v>
      </c>
      <c r="D48" s="48">
        <f>IFERROR(__xludf.DUMMYFUNCTION("""COMPUTED_VALUE"""),1207.85)</f>
        <v>1207.85</v>
      </c>
      <c r="E48" s="47">
        <f>IFERROR(__xludf.DUMMYFUNCTION("""COMPUTED_VALUE"""),45811.6458333333)</f>
        <v>45811.6458333333</v>
      </c>
      <c r="F48" s="48">
        <f>IFERROR(__xludf.DUMMYFUNCTION("""COMPUTED_VALUE"""),734444)</f>
        <v>734444</v>
      </c>
      <c r="G48" s="47">
        <f>IFERROR(__xludf.DUMMYFUNCTION("""COMPUTED_VALUE"""),45811.6458333333)</f>
        <v>45811.6458333333</v>
      </c>
      <c r="H48" s="48">
        <f>IFERROR(__xludf.DUMMYFUNCTION("""COMPUTED_VALUE"""),1213.2)</f>
        <v>1213.2</v>
      </c>
      <c r="I48" s="47">
        <f>IFERROR(__xludf.DUMMYFUNCTION("""COMPUTED_VALUE"""),45811.6458333333)</f>
        <v>45811.6458333333</v>
      </c>
      <c r="J48" s="48">
        <f>IFERROR(__xludf.DUMMYFUNCTION("""COMPUTED_VALUE"""),1191)</f>
        <v>1191</v>
      </c>
      <c r="K48" s="3">
        <f t="shared" si="2"/>
        <v>0</v>
      </c>
      <c r="L48" s="3">
        <f t="shared" si="3"/>
        <v>1195.7</v>
      </c>
    </row>
    <row r="49" customHeight="1" spans="1:12">
      <c r="A49" s="47">
        <f>IFERROR(__xludf.DUMMYFUNCTION("""COMPUTED_VALUE"""),45812.6458333333)</f>
        <v>45812.6458333333</v>
      </c>
      <c r="B49" s="48">
        <f>IFERROR(__xludf.DUMMYFUNCTION("""COMPUTED_VALUE"""),1198.75)</f>
        <v>1198.75</v>
      </c>
      <c r="C49" s="47">
        <f>IFERROR(__xludf.DUMMYFUNCTION("""COMPUTED_VALUE"""),45812.6458333333)</f>
        <v>45812.6458333333</v>
      </c>
      <c r="D49" s="48">
        <f>IFERROR(__xludf.DUMMYFUNCTION("""COMPUTED_VALUE"""),1194.2)</f>
        <v>1194.2</v>
      </c>
      <c r="E49" s="47">
        <f>IFERROR(__xludf.DUMMYFUNCTION("""COMPUTED_VALUE"""),45812.6458333333)</f>
        <v>45812.6458333333</v>
      </c>
      <c r="F49" s="48">
        <f>IFERROR(__xludf.DUMMYFUNCTION("""COMPUTED_VALUE"""),587041)</f>
        <v>587041</v>
      </c>
      <c r="G49" s="47">
        <f>IFERROR(__xludf.DUMMYFUNCTION("""COMPUTED_VALUE"""),45812.6458333333)</f>
        <v>45812.6458333333</v>
      </c>
      <c r="H49" s="48">
        <f>IFERROR(__xludf.DUMMYFUNCTION("""COMPUTED_VALUE"""),1201.9)</f>
        <v>1201.9</v>
      </c>
      <c r="I49" s="47">
        <f>IFERROR(__xludf.DUMMYFUNCTION("""COMPUTED_VALUE"""),45812.6458333333)</f>
        <v>45812.6458333333</v>
      </c>
      <c r="J49" s="48">
        <f>IFERROR(__xludf.DUMMYFUNCTION("""COMPUTED_VALUE"""),1192.45)</f>
        <v>1192.45</v>
      </c>
      <c r="K49" s="3">
        <f t="shared" si="2"/>
        <v>0</v>
      </c>
      <c r="L49" s="3">
        <f t="shared" si="3"/>
        <v>0</v>
      </c>
    </row>
    <row r="50" customHeight="1" spans="1:12">
      <c r="A50" s="47">
        <f>IFERROR(__xludf.DUMMYFUNCTION("""COMPUTED_VALUE"""),45813.6458333333)</f>
        <v>45813.6458333333</v>
      </c>
      <c r="B50" s="48">
        <f>IFERROR(__xludf.DUMMYFUNCTION("""COMPUTED_VALUE"""),1200.65)</f>
        <v>1200.65</v>
      </c>
      <c r="C50" s="47">
        <f>IFERROR(__xludf.DUMMYFUNCTION("""COMPUTED_VALUE"""),45813.6458333333)</f>
        <v>45813.6458333333</v>
      </c>
      <c r="D50" s="48">
        <f>IFERROR(__xludf.DUMMYFUNCTION("""COMPUTED_VALUE"""),1202.5)</f>
        <v>1202.5</v>
      </c>
      <c r="E50" s="47">
        <f>IFERROR(__xludf.DUMMYFUNCTION("""COMPUTED_VALUE"""),45813.6458333333)</f>
        <v>45813.6458333333</v>
      </c>
      <c r="F50" s="48">
        <f>IFERROR(__xludf.DUMMYFUNCTION("""COMPUTED_VALUE"""),733958)</f>
        <v>733958</v>
      </c>
      <c r="G50" s="47">
        <f>IFERROR(__xludf.DUMMYFUNCTION("""COMPUTED_VALUE"""),45813.6458333333)</f>
        <v>45813.6458333333</v>
      </c>
      <c r="H50" s="48">
        <f>IFERROR(__xludf.DUMMYFUNCTION("""COMPUTED_VALUE"""),1204.5)</f>
        <v>1204.5</v>
      </c>
      <c r="I50" s="47">
        <f>IFERROR(__xludf.DUMMYFUNCTION("""COMPUTED_VALUE"""),45813.6458333333)</f>
        <v>45813.6458333333</v>
      </c>
      <c r="J50" s="48">
        <f>IFERROR(__xludf.DUMMYFUNCTION("""COMPUTED_VALUE"""),1190.25)</f>
        <v>1190.25</v>
      </c>
      <c r="K50" s="3">
        <f t="shared" si="2"/>
        <v>0</v>
      </c>
      <c r="L50" s="3">
        <f t="shared" si="3"/>
        <v>0</v>
      </c>
    </row>
    <row r="51" customHeight="1" spans="1:12">
      <c r="A51" s="47">
        <f>IFERROR(__xludf.DUMMYFUNCTION("""COMPUTED_VALUE"""),45814.6458333333)</f>
        <v>45814.6458333333</v>
      </c>
      <c r="B51" s="48">
        <f>IFERROR(__xludf.DUMMYFUNCTION("""COMPUTED_VALUE"""),1208.6)</f>
        <v>1208.6</v>
      </c>
      <c r="C51" s="47">
        <f>IFERROR(__xludf.DUMMYFUNCTION("""COMPUTED_VALUE"""),45814.6458333333)</f>
        <v>45814.6458333333</v>
      </c>
      <c r="D51" s="48">
        <f>IFERROR(__xludf.DUMMYFUNCTION("""COMPUTED_VALUE"""),1201.95)</f>
        <v>1201.95</v>
      </c>
      <c r="E51" s="47">
        <f>IFERROR(__xludf.DUMMYFUNCTION("""COMPUTED_VALUE"""),45814.6458333333)</f>
        <v>45814.6458333333</v>
      </c>
      <c r="F51" s="48">
        <f>IFERROR(__xludf.DUMMYFUNCTION("""COMPUTED_VALUE"""),502303)</f>
        <v>502303</v>
      </c>
      <c r="G51" s="47">
        <f>IFERROR(__xludf.DUMMYFUNCTION("""COMPUTED_VALUE"""),45814.6458333333)</f>
        <v>45814.6458333333</v>
      </c>
      <c r="H51" s="48">
        <f>IFERROR(__xludf.DUMMYFUNCTION("""COMPUTED_VALUE"""),1211.45)</f>
        <v>1211.45</v>
      </c>
      <c r="I51" s="47">
        <f>IFERROR(__xludf.DUMMYFUNCTION("""COMPUTED_VALUE"""),45814.6458333333)</f>
        <v>45814.6458333333</v>
      </c>
      <c r="J51" s="48">
        <f>IFERROR(__xludf.DUMMYFUNCTION("""COMPUTED_VALUE"""),1195)</f>
        <v>1195</v>
      </c>
      <c r="K51" s="3">
        <f t="shared" si="2"/>
        <v>0</v>
      </c>
      <c r="L51" s="3">
        <f t="shared" si="3"/>
        <v>0</v>
      </c>
    </row>
    <row r="52" customHeight="1" spans="1:12">
      <c r="A52" s="47">
        <f>IFERROR(__xludf.DUMMYFUNCTION("""COMPUTED_VALUE"""),45817.6458333333)</f>
        <v>45817.6458333333</v>
      </c>
      <c r="B52" s="48">
        <f>IFERROR(__xludf.DUMMYFUNCTION("""COMPUTED_VALUE"""),1207.65)</f>
        <v>1207.65</v>
      </c>
      <c r="C52" s="47">
        <f>IFERROR(__xludf.DUMMYFUNCTION("""COMPUTED_VALUE"""),45817.6458333333)</f>
        <v>45817.6458333333</v>
      </c>
      <c r="D52" s="48">
        <f>IFERROR(__xludf.DUMMYFUNCTION("""COMPUTED_VALUE"""),1212.5)</f>
        <v>1212.5</v>
      </c>
      <c r="E52" s="47">
        <f>IFERROR(__xludf.DUMMYFUNCTION("""COMPUTED_VALUE"""),45817.6458333333)</f>
        <v>45817.6458333333</v>
      </c>
      <c r="F52" s="48">
        <f>IFERROR(__xludf.DUMMYFUNCTION("""COMPUTED_VALUE"""),339437)</f>
        <v>339437</v>
      </c>
      <c r="G52" s="47">
        <f>IFERROR(__xludf.DUMMYFUNCTION("""COMPUTED_VALUE"""),45817.6458333333)</f>
        <v>45817.6458333333</v>
      </c>
      <c r="H52" s="48">
        <f>IFERROR(__xludf.DUMMYFUNCTION("""COMPUTED_VALUE"""),1213.65)</f>
        <v>1213.65</v>
      </c>
      <c r="I52" s="47">
        <f>IFERROR(__xludf.DUMMYFUNCTION("""COMPUTED_VALUE"""),45817.6458333333)</f>
        <v>45817.6458333333</v>
      </c>
      <c r="J52" s="48">
        <f>IFERROR(__xludf.DUMMYFUNCTION("""COMPUTED_VALUE"""),1200.5)</f>
        <v>1200.5</v>
      </c>
      <c r="K52" s="3">
        <f t="shared" si="2"/>
        <v>0</v>
      </c>
      <c r="L52" s="3">
        <f t="shared" si="3"/>
        <v>0</v>
      </c>
    </row>
    <row r="53" customHeight="1" spans="1:12">
      <c r="A53" s="47">
        <f>IFERROR(__xludf.DUMMYFUNCTION("""COMPUTED_VALUE"""),45818.6458333333)</f>
        <v>45818.6458333333</v>
      </c>
      <c r="B53" s="48">
        <f>IFERROR(__xludf.DUMMYFUNCTION("""COMPUTED_VALUE"""),1215.7)</f>
        <v>1215.7</v>
      </c>
      <c r="C53" s="47">
        <f>IFERROR(__xludf.DUMMYFUNCTION("""COMPUTED_VALUE"""),45818.6458333333)</f>
        <v>45818.6458333333</v>
      </c>
      <c r="D53" s="48">
        <f>IFERROR(__xludf.DUMMYFUNCTION("""COMPUTED_VALUE"""),1207.65)</f>
        <v>1207.65</v>
      </c>
      <c r="E53" s="47">
        <f>IFERROR(__xludf.DUMMYFUNCTION("""COMPUTED_VALUE"""),45818.6458333333)</f>
        <v>45818.6458333333</v>
      </c>
      <c r="F53" s="48">
        <f>IFERROR(__xludf.DUMMYFUNCTION("""COMPUTED_VALUE"""),675781)</f>
        <v>675781</v>
      </c>
      <c r="G53" s="47">
        <f>IFERROR(__xludf.DUMMYFUNCTION("""COMPUTED_VALUE"""),45818.6458333333)</f>
        <v>45818.6458333333</v>
      </c>
      <c r="H53" s="48">
        <f>IFERROR(__xludf.DUMMYFUNCTION("""COMPUTED_VALUE"""),1219.45)</f>
        <v>1219.45</v>
      </c>
      <c r="I53" s="47">
        <f>IFERROR(__xludf.DUMMYFUNCTION("""COMPUTED_VALUE"""),45818.6458333333)</f>
        <v>45818.6458333333</v>
      </c>
      <c r="J53" s="48">
        <f>IFERROR(__xludf.DUMMYFUNCTION("""COMPUTED_VALUE"""),1204.45)</f>
        <v>1204.45</v>
      </c>
      <c r="K53" s="3">
        <f t="shared" si="2"/>
        <v>1215.7</v>
      </c>
      <c r="L53" s="3">
        <f t="shared" si="3"/>
        <v>0</v>
      </c>
    </row>
    <row r="54" customHeight="1" spans="1:12">
      <c r="A54" s="47">
        <f>IFERROR(__xludf.DUMMYFUNCTION("""COMPUTED_VALUE"""),45819.6458333333)</f>
        <v>45819.6458333333</v>
      </c>
      <c r="B54" s="48">
        <f>IFERROR(__xludf.DUMMYFUNCTION("""COMPUTED_VALUE"""),1209.6)</f>
        <v>1209.6</v>
      </c>
      <c r="C54" s="47">
        <f>IFERROR(__xludf.DUMMYFUNCTION("""COMPUTED_VALUE"""),45819.6458333333)</f>
        <v>45819.6458333333</v>
      </c>
      <c r="D54" s="48">
        <f>IFERROR(__xludf.DUMMYFUNCTION("""COMPUTED_VALUE"""),1221.25)</f>
        <v>1221.25</v>
      </c>
      <c r="E54" s="47">
        <f>IFERROR(__xludf.DUMMYFUNCTION("""COMPUTED_VALUE"""),45819.6458333333)</f>
        <v>45819.6458333333</v>
      </c>
      <c r="F54" s="48">
        <f>IFERROR(__xludf.DUMMYFUNCTION("""COMPUTED_VALUE"""),875687)</f>
        <v>875687</v>
      </c>
      <c r="G54" s="47">
        <f>IFERROR(__xludf.DUMMYFUNCTION("""COMPUTED_VALUE"""),45819.6458333333)</f>
        <v>45819.6458333333</v>
      </c>
      <c r="H54" s="48">
        <f>IFERROR(__xludf.DUMMYFUNCTION("""COMPUTED_VALUE"""),1225)</f>
        <v>1225</v>
      </c>
      <c r="I54" s="47">
        <f>IFERROR(__xludf.DUMMYFUNCTION("""COMPUTED_VALUE"""),45819.6458333333)</f>
        <v>45819.6458333333</v>
      </c>
      <c r="J54" s="48">
        <f>IFERROR(__xludf.DUMMYFUNCTION("""COMPUTED_VALUE"""),1204)</f>
        <v>1204</v>
      </c>
      <c r="K54" s="3">
        <f t="shared" si="2"/>
        <v>0</v>
      </c>
      <c r="L54" s="3">
        <f t="shared" si="3"/>
        <v>0</v>
      </c>
    </row>
    <row r="55" customHeight="1" spans="1:12">
      <c r="A55" s="47">
        <f>IFERROR(__xludf.DUMMYFUNCTION("""COMPUTED_VALUE"""),45820.6458333333)</f>
        <v>45820.6458333333</v>
      </c>
      <c r="B55" s="48">
        <f>IFERROR(__xludf.DUMMYFUNCTION("""COMPUTED_VALUE"""),1192.8)</f>
        <v>1192.8</v>
      </c>
      <c r="C55" s="47">
        <f>IFERROR(__xludf.DUMMYFUNCTION("""COMPUTED_VALUE"""),45820.6458333333)</f>
        <v>45820.6458333333</v>
      </c>
      <c r="D55" s="48">
        <f>IFERROR(__xludf.DUMMYFUNCTION("""COMPUTED_VALUE"""),1213.5)</f>
        <v>1213.5</v>
      </c>
      <c r="E55" s="47">
        <f>IFERROR(__xludf.DUMMYFUNCTION("""COMPUTED_VALUE"""),45820.6458333333)</f>
        <v>45820.6458333333</v>
      </c>
      <c r="F55" s="48">
        <f>IFERROR(__xludf.DUMMYFUNCTION("""COMPUTED_VALUE"""),1358579)</f>
        <v>1358579</v>
      </c>
      <c r="G55" s="47">
        <f>IFERROR(__xludf.DUMMYFUNCTION("""COMPUTED_VALUE"""),45820.6458333333)</f>
        <v>45820.6458333333</v>
      </c>
      <c r="H55" s="48">
        <f>IFERROR(__xludf.DUMMYFUNCTION("""COMPUTED_VALUE"""),1214.05)</f>
        <v>1214.05</v>
      </c>
      <c r="I55" s="47">
        <f>IFERROR(__xludf.DUMMYFUNCTION("""COMPUTED_VALUE"""),45820.6458333333)</f>
        <v>45820.6458333333</v>
      </c>
      <c r="J55" s="48">
        <f>IFERROR(__xludf.DUMMYFUNCTION("""COMPUTED_VALUE"""),1183.15)</f>
        <v>1183.15</v>
      </c>
      <c r="K55" s="3">
        <f t="shared" si="2"/>
        <v>0</v>
      </c>
      <c r="L55" s="3">
        <f t="shared" si="3"/>
        <v>0</v>
      </c>
    </row>
    <row r="56" customHeight="1" spans="1:12">
      <c r="A56" s="47">
        <f>IFERROR(__xludf.DUMMYFUNCTION("""COMPUTED_VALUE"""),45821.6458333333)</f>
        <v>45821.6458333333</v>
      </c>
      <c r="B56" s="48">
        <f>IFERROR(__xludf.DUMMYFUNCTION("""COMPUTED_VALUE"""),1188.4)</f>
        <v>1188.4</v>
      </c>
      <c r="C56" s="47">
        <f>IFERROR(__xludf.DUMMYFUNCTION("""COMPUTED_VALUE"""),45821.6458333333)</f>
        <v>45821.6458333333</v>
      </c>
      <c r="D56" s="48">
        <f>IFERROR(__xludf.DUMMYFUNCTION("""COMPUTED_VALUE"""),1181)</f>
        <v>1181</v>
      </c>
      <c r="E56" s="47">
        <f>IFERROR(__xludf.DUMMYFUNCTION("""COMPUTED_VALUE"""),45821.6458333333)</f>
        <v>45821.6458333333</v>
      </c>
      <c r="F56" s="48">
        <f>IFERROR(__xludf.DUMMYFUNCTION("""COMPUTED_VALUE"""),414878)</f>
        <v>414878</v>
      </c>
      <c r="G56" s="47">
        <f>IFERROR(__xludf.DUMMYFUNCTION("""COMPUTED_VALUE"""),45821.6458333333)</f>
        <v>45821.6458333333</v>
      </c>
      <c r="H56" s="48">
        <f>IFERROR(__xludf.DUMMYFUNCTION("""COMPUTED_VALUE"""),1190)</f>
        <v>1190</v>
      </c>
      <c r="I56" s="47">
        <f>IFERROR(__xludf.DUMMYFUNCTION("""COMPUTED_VALUE"""),45821.6458333333)</f>
        <v>45821.6458333333</v>
      </c>
      <c r="J56" s="48">
        <f>IFERROR(__xludf.DUMMYFUNCTION("""COMPUTED_VALUE"""),1173.4)</f>
        <v>1173.4</v>
      </c>
      <c r="K56" s="3">
        <f t="shared" si="2"/>
        <v>0</v>
      </c>
      <c r="L56" s="3">
        <f t="shared" si="3"/>
        <v>0</v>
      </c>
    </row>
    <row r="57" customHeight="1" spans="1:12">
      <c r="A57" s="47">
        <f>IFERROR(__xludf.DUMMYFUNCTION("""COMPUTED_VALUE"""),45824.6458333333)</f>
        <v>45824.6458333333</v>
      </c>
      <c r="B57" s="48">
        <f>IFERROR(__xludf.DUMMYFUNCTION("""COMPUTED_VALUE"""),1194.9)</f>
        <v>1194.9</v>
      </c>
      <c r="C57" s="47">
        <f>IFERROR(__xludf.DUMMYFUNCTION("""COMPUTED_VALUE"""),45824.6458333333)</f>
        <v>45824.6458333333</v>
      </c>
      <c r="D57" s="48">
        <f>IFERROR(__xludf.DUMMYFUNCTION("""COMPUTED_VALUE"""),1185.05)</f>
        <v>1185.05</v>
      </c>
      <c r="E57" s="47">
        <f>IFERROR(__xludf.DUMMYFUNCTION("""COMPUTED_VALUE"""),45824.6458333333)</f>
        <v>45824.6458333333</v>
      </c>
      <c r="F57" s="48">
        <f>IFERROR(__xludf.DUMMYFUNCTION("""COMPUTED_VALUE"""),266154)</f>
        <v>266154</v>
      </c>
      <c r="G57" s="47">
        <f>IFERROR(__xludf.DUMMYFUNCTION("""COMPUTED_VALUE"""),45824.6458333333)</f>
        <v>45824.6458333333</v>
      </c>
      <c r="H57" s="48">
        <f>IFERROR(__xludf.DUMMYFUNCTION("""COMPUTED_VALUE"""),1197.5)</f>
        <v>1197.5</v>
      </c>
      <c r="I57" s="47">
        <f>IFERROR(__xludf.DUMMYFUNCTION("""COMPUTED_VALUE"""),45824.6458333333)</f>
        <v>45824.6458333333</v>
      </c>
      <c r="J57" s="48">
        <f>IFERROR(__xludf.DUMMYFUNCTION("""COMPUTED_VALUE"""),1182.55)</f>
        <v>1182.55</v>
      </c>
      <c r="K57" s="3">
        <f t="shared" si="2"/>
        <v>0</v>
      </c>
      <c r="L57" s="3">
        <f t="shared" si="3"/>
        <v>0</v>
      </c>
    </row>
    <row r="58" customHeight="1" spans="1:12">
      <c r="A58" s="47">
        <f>IFERROR(__xludf.DUMMYFUNCTION("""COMPUTED_VALUE"""),45825.6458333333)</f>
        <v>45825.6458333333</v>
      </c>
      <c r="B58" s="48">
        <f>IFERROR(__xludf.DUMMYFUNCTION("""COMPUTED_VALUE"""),1181)</f>
        <v>1181</v>
      </c>
      <c r="C58" s="47">
        <f>IFERROR(__xludf.DUMMYFUNCTION("""COMPUTED_VALUE"""),45825.6458333333)</f>
        <v>45825.6458333333</v>
      </c>
      <c r="D58" s="48">
        <f>IFERROR(__xludf.DUMMYFUNCTION("""COMPUTED_VALUE"""),1190.05)</f>
        <v>1190.05</v>
      </c>
      <c r="E58" s="47">
        <f>IFERROR(__xludf.DUMMYFUNCTION("""COMPUTED_VALUE"""),45825.6458333333)</f>
        <v>45825.6458333333</v>
      </c>
      <c r="F58" s="48">
        <f>IFERROR(__xludf.DUMMYFUNCTION("""COMPUTED_VALUE"""),765534)</f>
        <v>765534</v>
      </c>
      <c r="G58" s="47">
        <f>IFERROR(__xludf.DUMMYFUNCTION("""COMPUTED_VALUE"""),45825.6458333333)</f>
        <v>45825.6458333333</v>
      </c>
      <c r="H58" s="48">
        <f>IFERROR(__xludf.DUMMYFUNCTION("""COMPUTED_VALUE"""),1193.45)</f>
        <v>1193.45</v>
      </c>
      <c r="I58" s="47">
        <f>IFERROR(__xludf.DUMMYFUNCTION("""COMPUTED_VALUE"""),45825.6458333333)</f>
        <v>45825.6458333333</v>
      </c>
      <c r="J58" s="48">
        <f>IFERROR(__xludf.DUMMYFUNCTION("""COMPUTED_VALUE"""),1176.5)</f>
        <v>1176.5</v>
      </c>
      <c r="K58" s="3">
        <f t="shared" si="2"/>
        <v>0</v>
      </c>
      <c r="L58" s="3">
        <f t="shared" si="3"/>
        <v>0</v>
      </c>
    </row>
    <row r="59" customHeight="1" spans="1:12">
      <c r="A59" s="47">
        <f>IFERROR(__xludf.DUMMYFUNCTION("""COMPUTED_VALUE"""),45826.6458333333)</f>
        <v>45826.6458333333</v>
      </c>
      <c r="B59" s="48">
        <f>IFERROR(__xludf.DUMMYFUNCTION("""COMPUTED_VALUE"""),1170.4)</f>
        <v>1170.4</v>
      </c>
      <c r="C59" s="47">
        <f>IFERROR(__xludf.DUMMYFUNCTION("""COMPUTED_VALUE"""),45826.6458333333)</f>
        <v>45826.6458333333</v>
      </c>
      <c r="D59" s="48">
        <f>IFERROR(__xludf.DUMMYFUNCTION("""COMPUTED_VALUE"""),1181.95)</f>
        <v>1181.95</v>
      </c>
      <c r="E59" s="47">
        <f>IFERROR(__xludf.DUMMYFUNCTION("""COMPUTED_VALUE"""),45826.6458333333)</f>
        <v>45826.6458333333</v>
      </c>
      <c r="F59" s="48">
        <f>IFERROR(__xludf.DUMMYFUNCTION("""COMPUTED_VALUE"""),654277)</f>
        <v>654277</v>
      </c>
      <c r="G59" s="47">
        <f>IFERROR(__xludf.DUMMYFUNCTION("""COMPUTED_VALUE"""),45826.6458333333)</f>
        <v>45826.6458333333</v>
      </c>
      <c r="H59" s="48">
        <f>IFERROR(__xludf.DUMMYFUNCTION("""COMPUTED_VALUE"""),1182.05)</f>
        <v>1182.05</v>
      </c>
      <c r="I59" s="47">
        <f>IFERROR(__xludf.DUMMYFUNCTION("""COMPUTED_VALUE"""),45826.6458333333)</f>
        <v>45826.6458333333</v>
      </c>
      <c r="J59" s="48">
        <f>IFERROR(__xludf.DUMMYFUNCTION("""COMPUTED_VALUE"""),1162.7)</f>
        <v>1162.7</v>
      </c>
      <c r="K59" s="3">
        <f t="shared" si="2"/>
        <v>0</v>
      </c>
      <c r="L59" s="3">
        <f t="shared" si="3"/>
        <v>0</v>
      </c>
    </row>
    <row r="60" customHeight="1" spans="1:12">
      <c r="A60" s="47">
        <f>IFERROR(__xludf.DUMMYFUNCTION("""COMPUTED_VALUE"""),45827.6458333333)</f>
        <v>45827.6458333333</v>
      </c>
      <c r="B60" s="48">
        <f>IFERROR(__xludf.DUMMYFUNCTION("""COMPUTED_VALUE"""),1159.45)</f>
        <v>1159.45</v>
      </c>
      <c r="C60" s="47">
        <f>IFERROR(__xludf.DUMMYFUNCTION("""COMPUTED_VALUE"""),45827.6458333333)</f>
        <v>45827.6458333333</v>
      </c>
      <c r="D60" s="48">
        <f>IFERROR(__xludf.DUMMYFUNCTION("""COMPUTED_VALUE"""),1170.4)</f>
        <v>1170.4</v>
      </c>
      <c r="E60" s="47">
        <f>IFERROR(__xludf.DUMMYFUNCTION("""COMPUTED_VALUE"""),45827.6458333333)</f>
        <v>45827.6458333333</v>
      </c>
      <c r="F60" s="48">
        <f>IFERROR(__xludf.DUMMYFUNCTION("""COMPUTED_VALUE"""),737387)</f>
        <v>737387</v>
      </c>
      <c r="G60" s="47">
        <f>IFERROR(__xludf.DUMMYFUNCTION("""COMPUTED_VALUE"""),45827.6458333333)</f>
        <v>45827.6458333333</v>
      </c>
      <c r="H60" s="48">
        <f>IFERROR(__xludf.DUMMYFUNCTION("""COMPUTED_VALUE"""),1170.4)</f>
        <v>1170.4</v>
      </c>
      <c r="I60" s="47">
        <f>IFERROR(__xludf.DUMMYFUNCTION("""COMPUTED_VALUE"""),45827.6458333333)</f>
        <v>45827.6458333333</v>
      </c>
      <c r="J60" s="48">
        <f>IFERROR(__xludf.DUMMYFUNCTION("""COMPUTED_VALUE"""),1155)</f>
        <v>1155</v>
      </c>
      <c r="K60" s="3">
        <f t="shared" si="2"/>
        <v>0</v>
      </c>
      <c r="L60" s="3">
        <f t="shared" si="3"/>
        <v>1159.45</v>
      </c>
    </row>
    <row r="61" customHeight="1" spans="1:12">
      <c r="A61" s="47">
        <f>IFERROR(__xludf.DUMMYFUNCTION("""COMPUTED_VALUE"""),45828.6458333333)</f>
        <v>45828.6458333333</v>
      </c>
      <c r="B61" s="48">
        <f>IFERROR(__xludf.DUMMYFUNCTION("""COMPUTED_VALUE"""),1180.2)</f>
        <v>1180.2</v>
      </c>
      <c r="C61" s="47">
        <f>IFERROR(__xludf.DUMMYFUNCTION("""COMPUTED_VALUE"""),45828.6458333333)</f>
        <v>45828.6458333333</v>
      </c>
      <c r="D61" s="48">
        <f>IFERROR(__xludf.DUMMYFUNCTION("""COMPUTED_VALUE"""),1169.05)</f>
        <v>1169.05</v>
      </c>
      <c r="E61" s="47">
        <f>IFERROR(__xludf.DUMMYFUNCTION("""COMPUTED_VALUE"""),45828.6458333333)</f>
        <v>45828.6458333333</v>
      </c>
      <c r="F61" s="48">
        <f>IFERROR(__xludf.DUMMYFUNCTION("""COMPUTED_VALUE"""),11470597)</f>
        <v>11470597</v>
      </c>
      <c r="G61" s="47">
        <f>IFERROR(__xludf.DUMMYFUNCTION("""COMPUTED_VALUE"""),45828.6458333333)</f>
        <v>45828.6458333333</v>
      </c>
      <c r="H61" s="48">
        <f>IFERROR(__xludf.DUMMYFUNCTION("""COMPUTED_VALUE"""),1199)</f>
        <v>1199</v>
      </c>
      <c r="I61" s="47">
        <f>IFERROR(__xludf.DUMMYFUNCTION("""COMPUTED_VALUE"""),45828.6458333333)</f>
        <v>45828.6458333333</v>
      </c>
      <c r="J61" s="48">
        <f>IFERROR(__xludf.DUMMYFUNCTION("""COMPUTED_VALUE"""),1159.45)</f>
        <v>1159.45</v>
      </c>
      <c r="K61" s="3">
        <f t="shared" si="2"/>
        <v>0</v>
      </c>
      <c r="L61" s="3">
        <f t="shared" si="3"/>
        <v>0</v>
      </c>
    </row>
    <row r="62" customHeight="1" spans="1:12">
      <c r="A62" s="47">
        <f>IFERROR(__xludf.DUMMYFUNCTION("""COMPUTED_VALUE"""),45831.6458333333)</f>
        <v>45831.6458333333</v>
      </c>
      <c r="B62" s="48">
        <f>IFERROR(__xludf.DUMMYFUNCTION("""COMPUTED_VALUE"""),1179.55)</f>
        <v>1179.55</v>
      </c>
      <c r="C62" s="47">
        <f>IFERROR(__xludf.DUMMYFUNCTION("""COMPUTED_VALUE"""),45831.6458333333)</f>
        <v>45831.6458333333</v>
      </c>
      <c r="D62" s="48">
        <f>IFERROR(__xludf.DUMMYFUNCTION("""COMPUTED_VALUE"""),1186.5)</f>
        <v>1186.5</v>
      </c>
      <c r="E62" s="47">
        <f>IFERROR(__xludf.DUMMYFUNCTION("""COMPUTED_VALUE"""),45831.6458333333)</f>
        <v>45831.6458333333</v>
      </c>
      <c r="F62" s="48">
        <f>IFERROR(__xludf.DUMMYFUNCTION("""COMPUTED_VALUE"""),648872)</f>
        <v>648872</v>
      </c>
      <c r="G62" s="47">
        <f>IFERROR(__xludf.DUMMYFUNCTION("""COMPUTED_VALUE"""),45831.6458333333)</f>
        <v>45831.6458333333</v>
      </c>
      <c r="H62" s="48">
        <f>IFERROR(__xludf.DUMMYFUNCTION("""COMPUTED_VALUE"""),1199.45)</f>
        <v>1199.45</v>
      </c>
      <c r="I62" s="47">
        <f>IFERROR(__xludf.DUMMYFUNCTION("""COMPUTED_VALUE"""),45831.6458333333)</f>
        <v>45831.6458333333</v>
      </c>
      <c r="J62" s="48">
        <f>IFERROR(__xludf.DUMMYFUNCTION("""COMPUTED_VALUE"""),1175.45)</f>
        <v>1175.45</v>
      </c>
      <c r="K62" s="3">
        <f t="shared" si="2"/>
        <v>0</v>
      </c>
      <c r="L62" s="3">
        <f t="shared" si="3"/>
        <v>0</v>
      </c>
    </row>
    <row r="63" customHeight="1" spans="1:12">
      <c r="A63" s="47">
        <f>IFERROR(__xludf.DUMMYFUNCTION("""COMPUTED_VALUE"""),45832.6458333333)</f>
        <v>45832.6458333333</v>
      </c>
      <c r="B63" s="48">
        <f>IFERROR(__xludf.DUMMYFUNCTION("""COMPUTED_VALUE"""),1182.9)</f>
        <v>1182.9</v>
      </c>
      <c r="C63" s="47">
        <f>IFERROR(__xludf.DUMMYFUNCTION("""COMPUTED_VALUE"""),45832.6458333333)</f>
        <v>45832.6458333333</v>
      </c>
      <c r="D63" s="48">
        <f>IFERROR(__xludf.DUMMYFUNCTION("""COMPUTED_VALUE"""),1187.5)</f>
        <v>1187.5</v>
      </c>
      <c r="E63" s="47">
        <f>IFERROR(__xludf.DUMMYFUNCTION("""COMPUTED_VALUE"""),45832.6458333333)</f>
        <v>45832.6458333333</v>
      </c>
      <c r="F63" s="48">
        <f>IFERROR(__xludf.DUMMYFUNCTION("""COMPUTED_VALUE"""),550430)</f>
        <v>550430</v>
      </c>
      <c r="G63" s="47">
        <f>IFERROR(__xludf.DUMMYFUNCTION("""COMPUTED_VALUE"""),45832.6458333333)</f>
        <v>45832.6458333333</v>
      </c>
      <c r="H63" s="48">
        <f>IFERROR(__xludf.DUMMYFUNCTION("""COMPUTED_VALUE"""),1191.8)</f>
        <v>1191.8</v>
      </c>
      <c r="I63" s="47">
        <f>IFERROR(__xludf.DUMMYFUNCTION("""COMPUTED_VALUE"""),45832.6458333333)</f>
        <v>45832.6458333333</v>
      </c>
      <c r="J63" s="48">
        <f>IFERROR(__xludf.DUMMYFUNCTION("""COMPUTED_VALUE"""),1178.85)</f>
        <v>1178.85</v>
      </c>
      <c r="K63" s="3">
        <f t="shared" si="2"/>
        <v>0</v>
      </c>
      <c r="L63" s="3">
        <f t="shared" si="3"/>
        <v>0</v>
      </c>
    </row>
    <row r="64" customHeight="1" spans="1:12">
      <c r="A64" s="47">
        <f>IFERROR(__xludf.DUMMYFUNCTION("""COMPUTED_VALUE"""),45833.6458333333)</f>
        <v>45833.6458333333</v>
      </c>
      <c r="B64" s="48">
        <f>IFERROR(__xludf.DUMMYFUNCTION("""COMPUTED_VALUE"""),1202.2)</f>
        <v>1202.2</v>
      </c>
      <c r="C64" s="47">
        <f>IFERROR(__xludf.DUMMYFUNCTION("""COMPUTED_VALUE"""),45833.6458333333)</f>
        <v>45833.6458333333</v>
      </c>
      <c r="D64" s="48">
        <f>IFERROR(__xludf.DUMMYFUNCTION("""COMPUTED_VALUE"""),1186)</f>
        <v>1186</v>
      </c>
      <c r="E64" s="47">
        <f>IFERROR(__xludf.DUMMYFUNCTION("""COMPUTED_VALUE"""),45833.6458333333)</f>
        <v>45833.6458333333</v>
      </c>
      <c r="F64" s="48">
        <f>IFERROR(__xludf.DUMMYFUNCTION("""COMPUTED_VALUE"""),1150144)</f>
        <v>1150144</v>
      </c>
      <c r="G64" s="47">
        <f>IFERROR(__xludf.DUMMYFUNCTION("""COMPUTED_VALUE"""),45833.6458333333)</f>
        <v>45833.6458333333</v>
      </c>
      <c r="H64" s="48">
        <f>IFERROR(__xludf.DUMMYFUNCTION("""COMPUTED_VALUE"""),1214.45)</f>
        <v>1214.45</v>
      </c>
      <c r="I64" s="47">
        <f>IFERROR(__xludf.DUMMYFUNCTION("""COMPUTED_VALUE"""),45833.6458333333)</f>
        <v>45833.6458333333</v>
      </c>
      <c r="J64" s="48">
        <f>IFERROR(__xludf.DUMMYFUNCTION("""COMPUTED_VALUE"""),1186)</f>
        <v>1186</v>
      </c>
      <c r="K64" s="3">
        <f t="shared" si="2"/>
        <v>0</v>
      </c>
      <c r="L64" s="3">
        <f t="shared" si="3"/>
        <v>0</v>
      </c>
    </row>
    <row r="65" customHeight="1" spans="1:12">
      <c r="A65" s="47">
        <f>IFERROR(__xludf.DUMMYFUNCTION("""COMPUTED_VALUE"""),45834.6458333333)</f>
        <v>45834.6458333333</v>
      </c>
      <c r="B65" s="48">
        <f>IFERROR(__xludf.DUMMYFUNCTION("""COMPUTED_VALUE"""),1215.7)</f>
        <v>1215.7</v>
      </c>
      <c r="C65" s="47">
        <f>IFERROR(__xludf.DUMMYFUNCTION("""COMPUTED_VALUE"""),45834.6458333333)</f>
        <v>45834.6458333333</v>
      </c>
      <c r="D65" s="48">
        <f>IFERROR(__xludf.DUMMYFUNCTION("""COMPUTED_VALUE"""),1210)</f>
        <v>1210</v>
      </c>
      <c r="E65" s="47">
        <f>IFERROR(__xludf.DUMMYFUNCTION("""COMPUTED_VALUE"""),45834.6458333333)</f>
        <v>45834.6458333333</v>
      </c>
      <c r="F65" s="48">
        <f>IFERROR(__xludf.DUMMYFUNCTION("""COMPUTED_VALUE"""),1557549)</f>
        <v>1557549</v>
      </c>
      <c r="G65" s="47">
        <f>IFERROR(__xludf.DUMMYFUNCTION("""COMPUTED_VALUE"""),45834.6458333333)</f>
        <v>45834.6458333333</v>
      </c>
      <c r="H65" s="48">
        <f>IFERROR(__xludf.DUMMYFUNCTION("""COMPUTED_VALUE"""),1221.8)</f>
        <v>1221.8</v>
      </c>
      <c r="I65" s="47">
        <f>IFERROR(__xludf.DUMMYFUNCTION("""COMPUTED_VALUE"""),45834.6458333333)</f>
        <v>45834.6458333333</v>
      </c>
      <c r="J65" s="48">
        <f>IFERROR(__xludf.DUMMYFUNCTION("""COMPUTED_VALUE"""),1201.6)</f>
        <v>1201.6</v>
      </c>
      <c r="K65" s="3">
        <f t="shared" si="2"/>
        <v>0</v>
      </c>
      <c r="L65" s="3">
        <f t="shared" si="3"/>
        <v>0</v>
      </c>
    </row>
    <row r="66" customHeight="1" spans="1:12">
      <c r="A66" s="47">
        <f>IFERROR(__xludf.DUMMYFUNCTION("""COMPUTED_VALUE"""),45835.6458333333)</f>
        <v>45835.6458333333</v>
      </c>
      <c r="B66" s="48">
        <f>IFERROR(__xludf.DUMMYFUNCTION("""COMPUTED_VALUE"""),1229.35)</f>
        <v>1229.35</v>
      </c>
      <c r="C66" s="47">
        <f>IFERROR(__xludf.DUMMYFUNCTION("""COMPUTED_VALUE"""),45835.6458333333)</f>
        <v>45835.6458333333</v>
      </c>
      <c r="D66" s="48">
        <f>IFERROR(__xludf.DUMMYFUNCTION("""COMPUTED_VALUE"""),1224.5)</f>
        <v>1224.5</v>
      </c>
      <c r="E66" s="47">
        <f>IFERROR(__xludf.DUMMYFUNCTION("""COMPUTED_VALUE"""),45835.6458333333)</f>
        <v>45835.6458333333</v>
      </c>
      <c r="F66" s="48">
        <f>IFERROR(__xludf.DUMMYFUNCTION("""COMPUTED_VALUE"""),1187836)</f>
        <v>1187836</v>
      </c>
      <c r="G66" s="47">
        <f>IFERROR(__xludf.DUMMYFUNCTION("""COMPUTED_VALUE"""),45835.6458333333)</f>
        <v>45835.6458333333</v>
      </c>
      <c r="H66" s="48">
        <f>IFERROR(__xludf.DUMMYFUNCTION("""COMPUTED_VALUE"""),1231.85)</f>
        <v>1231.85</v>
      </c>
      <c r="I66" s="47">
        <f>IFERROR(__xludf.DUMMYFUNCTION("""COMPUTED_VALUE"""),45835.6458333333)</f>
        <v>45835.6458333333</v>
      </c>
      <c r="J66" s="48">
        <f>IFERROR(__xludf.DUMMYFUNCTION("""COMPUTED_VALUE"""),1213.05)</f>
        <v>1213.05</v>
      </c>
      <c r="K66" s="3">
        <f t="shared" si="2"/>
        <v>0</v>
      </c>
      <c r="L66" s="3">
        <f t="shared" si="3"/>
        <v>0</v>
      </c>
    </row>
    <row r="67" customHeight="1" spans="1:12">
      <c r="A67" s="47">
        <f>IFERROR(__xludf.DUMMYFUNCTION("""COMPUTED_VALUE"""),45838.6458333333)</f>
        <v>45838.6458333333</v>
      </c>
      <c r="B67" s="48">
        <f>IFERROR(__xludf.DUMMYFUNCTION("""COMPUTED_VALUE"""),1232.65)</f>
        <v>1232.65</v>
      </c>
      <c r="C67" s="47">
        <f>IFERROR(__xludf.DUMMYFUNCTION("""COMPUTED_VALUE"""),45838.6458333333)</f>
        <v>45838.6458333333</v>
      </c>
      <c r="D67" s="48">
        <f>IFERROR(__xludf.DUMMYFUNCTION("""COMPUTED_VALUE"""),1234)</f>
        <v>1234</v>
      </c>
      <c r="E67" s="47">
        <f>IFERROR(__xludf.DUMMYFUNCTION("""COMPUTED_VALUE"""),45838.6458333333)</f>
        <v>45838.6458333333</v>
      </c>
      <c r="F67" s="48">
        <f>IFERROR(__xludf.DUMMYFUNCTION("""COMPUTED_VALUE"""),829005)</f>
        <v>829005</v>
      </c>
      <c r="G67" s="47">
        <f>IFERROR(__xludf.DUMMYFUNCTION("""COMPUTED_VALUE"""),45838.6458333333)</f>
        <v>45838.6458333333</v>
      </c>
      <c r="H67" s="48">
        <f>IFERROR(__xludf.DUMMYFUNCTION("""COMPUTED_VALUE"""),1237.8)</f>
        <v>1237.8</v>
      </c>
      <c r="I67" s="47">
        <f>IFERROR(__xludf.DUMMYFUNCTION("""COMPUTED_VALUE"""),45838.6458333333)</f>
        <v>45838.6458333333</v>
      </c>
      <c r="J67" s="48">
        <f>IFERROR(__xludf.DUMMYFUNCTION("""COMPUTED_VALUE"""),1221.5)</f>
        <v>1221.5</v>
      </c>
      <c r="K67" s="3">
        <f t="shared" si="2"/>
        <v>1232.65</v>
      </c>
      <c r="L67" s="3">
        <f t="shared" si="3"/>
        <v>0</v>
      </c>
    </row>
    <row r="68" customHeight="1" spans="1:12">
      <c r="A68" s="47">
        <f>IFERROR(__xludf.DUMMYFUNCTION("""COMPUTED_VALUE"""),45839.6458333333)</f>
        <v>45839.6458333333</v>
      </c>
      <c r="B68" s="48">
        <f>IFERROR(__xludf.DUMMYFUNCTION("""COMPUTED_VALUE"""),1205.05)</f>
        <v>1205.05</v>
      </c>
      <c r="C68" s="47">
        <f>IFERROR(__xludf.DUMMYFUNCTION("""COMPUTED_VALUE"""),45839.6458333333)</f>
        <v>45839.6458333333</v>
      </c>
      <c r="D68" s="48">
        <f>IFERROR(__xludf.DUMMYFUNCTION("""COMPUTED_VALUE"""),1235)</f>
        <v>1235</v>
      </c>
      <c r="E68" s="47">
        <f>IFERROR(__xludf.DUMMYFUNCTION("""COMPUTED_VALUE"""),45839.6458333333)</f>
        <v>45839.6458333333</v>
      </c>
      <c r="F68" s="48">
        <f>IFERROR(__xludf.DUMMYFUNCTION("""COMPUTED_VALUE"""),538610)</f>
        <v>538610</v>
      </c>
      <c r="G68" s="47">
        <f>IFERROR(__xludf.DUMMYFUNCTION("""COMPUTED_VALUE"""),45839.6458333333)</f>
        <v>45839.6458333333</v>
      </c>
      <c r="H68" s="48">
        <f>IFERROR(__xludf.DUMMYFUNCTION("""COMPUTED_VALUE"""),1235.7)</f>
        <v>1235.7</v>
      </c>
      <c r="I68" s="47">
        <f>IFERROR(__xludf.DUMMYFUNCTION("""COMPUTED_VALUE"""),45839.6458333333)</f>
        <v>45839.6458333333</v>
      </c>
      <c r="J68" s="48">
        <f>IFERROR(__xludf.DUMMYFUNCTION("""COMPUTED_VALUE"""),1202.6)</f>
        <v>1202.6</v>
      </c>
      <c r="K68" s="3">
        <f t="shared" si="2"/>
        <v>0</v>
      </c>
      <c r="L68" s="3">
        <f t="shared" si="3"/>
        <v>0</v>
      </c>
    </row>
    <row r="69" customHeight="1" spans="1:12">
      <c r="A69" s="47">
        <f>IFERROR(__xludf.DUMMYFUNCTION("""COMPUTED_VALUE"""),45840.6458333333)</f>
        <v>45840.6458333333</v>
      </c>
      <c r="B69" s="48">
        <f>IFERROR(__xludf.DUMMYFUNCTION("""COMPUTED_VALUE"""),1194)</f>
        <v>1194</v>
      </c>
      <c r="C69" s="47">
        <f>IFERROR(__xludf.DUMMYFUNCTION("""COMPUTED_VALUE"""),45840.6458333333)</f>
        <v>45840.6458333333</v>
      </c>
      <c r="D69" s="48">
        <f>IFERROR(__xludf.DUMMYFUNCTION("""COMPUTED_VALUE"""),1205.25)</f>
        <v>1205.25</v>
      </c>
      <c r="E69" s="47">
        <f>IFERROR(__xludf.DUMMYFUNCTION("""COMPUTED_VALUE"""),45840.6458333333)</f>
        <v>45840.6458333333</v>
      </c>
      <c r="F69" s="48">
        <f>IFERROR(__xludf.DUMMYFUNCTION("""COMPUTED_VALUE"""),737526)</f>
        <v>737526</v>
      </c>
      <c r="G69" s="47">
        <f>IFERROR(__xludf.DUMMYFUNCTION("""COMPUTED_VALUE"""),45840.6458333333)</f>
        <v>45840.6458333333</v>
      </c>
      <c r="H69" s="48">
        <f>IFERROR(__xludf.DUMMYFUNCTION("""COMPUTED_VALUE"""),1206.95)</f>
        <v>1206.95</v>
      </c>
      <c r="I69" s="47">
        <f>IFERROR(__xludf.DUMMYFUNCTION("""COMPUTED_VALUE"""),45840.6458333333)</f>
        <v>45840.6458333333</v>
      </c>
      <c r="J69" s="48">
        <f>IFERROR(__xludf.DUMMYFUNCTION("""COMPUTED_VALUE"""),1190)</f>
        <v>1190</v>
      </c>
      <c r="K69" s="3">
        <f t="shared" si="2"/>
        <v>0</v>
      </c>
      <c r="L69" s="3">
        <f t="shared" si="3"/>
        <v>0</v>
      </c>
    </row>
    <row r="70" customHeight="1" spans="1:12">
      <c r="A70" s="47">
        <f>IFERROR(__xludf.DUMMYFUNCTION("""COMPUTED_VALUE"""),45841.6458333333)</f>
        <v>45841.6458333333</v>
      </c>
      <c r="B70" s="48">
        <f>IFERROR(__xludf.DUMMYFUNCTION("""COMPUTED_VALUE"""),1194.2)</f>
        <v>1194.2</v>
      </c>
      <c r="C70" s="47">
        <f>IFERROR(__xludf.DUMMYFUNCTION("""COMPUTED_VALUE"""),45841.6458333333)</f>
        <v>45841.6458333333</v>
      </c>
      <c r="D70" s="48">
        <f>IFERROR(__xludf.DUMMYFUNCTION("""COMPUTED_VALUE"""),1199.95)</f>
        <v>1199.95</v>
      </c>
      <c r="E70" s="47">
        <f>IFERROR(__xludf.DUMMYFUNCTION("""COMPUTED_VALUE"""),45841.6458333333)</f>
        <v>45841.6458333333</v>
      </c>
      <c r="F70" s="48">
        <f>IFERROR(__xludf.DUMMYFUNCTION("""COMPUTED_VALUE"""),631819)</f>
        <v>631819</v>
      </c>
      <c r="G70" s="47">
        <f>IFERROR(__xludf.DUMMYFUNCTION("""COMPUTED_VALUE"""),45841.6458333333)</f>
        <v>45841.6458333333</v>
      </c>
      <c r="H70" s="48">
        <f>IFERROR(__xludf.DUMMYFUNCTION("""COMPUTED_VALUE"""),1204.55)</f>
        <v>1204.55</v>
      </c>
      <c r="I70" s="47">
        <f>IFERROR(__xludf.DUMMYFUNCTION("""COMPUTED_VALUE"""),45841.6458333333)</f>
        <v>45841.6458333333</v>
      </c>
      <c r="J70" s="48">
        <f>IFERROR(__xludf.DUMMYFUNCTION("""COMPUTED_VALUE"""),1192.5)</f>
        <v>1192.5</v>
      </c>
      <c r="K70" s="3">
        <f t="shared" si="2"/>
        <v>0</v>
      </c>
      <c r="L70" s="3">
        <f t="shared" si="3"/>
        <v>0</v>
      </c>
    </row>
    <row r="71" customHeight="1" spans="1:12">
      <c r="A71" s="47">
        <f>IFERROR(__xludf.DUMMYFUNCTION("""COMPUTED_VALUE"""),45842.6458333333)</f>
        <v>45842.6458333333</v>
      </c>
      <c r="B71" s="48">
        <f>IFERROR(__xludf.DUMMYFUNCTION("""COMPUTED_VALUE"""),1196.4)</f>
        <v>1196.4</v>
      </c>
      <c r="C71" s="47">
        <f>IFERROR(__xludf.DUMMYFUNCTION("""COMPUTED_VALUE"""),45842.6458333333)</f>
        <v>45842.6458333333</v>
      </c>
      <c r="D71" s="48">
        <f>IFERROR(__xludf.DUMMYFUNCTION("""COMPUTED_VALUE"""),1192.45)</f>
        <v>1192.45</v>
      </c>
      <c r="E71" s="47">
        <f>IFERROR(__xludf.DUMMYFUNCTION("""COMPUTED_VALUE"""),45842.6458333333)</f>
        <v>45842.6458333333</v>
      </c>
      <c r="F71" s="48">
        <f>IFERROR(__xludf.DUMMYFUNCTION("""COMPUTED_VALUE"""),395057)</f>
        <v>395057</v>
      </c>
      <c r="G71" s="47">
        <f>IFERROR(__xludf.DUMMYFUNCTION("""COMPUTED_VALUE"""),45842.6458333333)</f>
        <v>45842.6458333333</v>
      </c>
      <c r="H71" s="48">
        <f>IFERROR(__xludf.DUMMYFUNCTION("""COMPUTED_VALUE"""),1198.5)</f>
        <v>1198.5</v>
      </c>
      <c r="I71" s="47">
        <f>IFERROR(__xludf.DUMMYFUNCTION("""COMPUTED_VALUE"""),45842.6458333333)</f>
        <v>45842.6458333333</v>
      </c>
      <c r="J71" s="48">
        <f>IFERROR(__xludf.DUMMYFUNCTION("""COMPUTED_VALUE"""),1183.55)</f>
        <v>1183.55</v>
      </c>
      <c r="K71" s="3">
        <f t="shared" si="2"/>
        <v>0</v>
      </c>
      <c r="L71" s="3">
        <f t="shared" si="3"/>
        <v>0</v>
      </c>
    </row>
    <row r="72" customHeight="1" spans="1:12">
      <c r="A72" s="47">
        <f>IFERROR(__xludf.DUMMYFUNCTION("""COMPUTED_VALUE"""),45845.6458333333)</f>
        <v>45845.6458333333</v>
      </c>
      <c r="B72" s="48">
        <f>IFERROR(__xludf.DUMMYFUNCTION("""COMPUTED_VALUE"""),1211.05)</f>
        <v>1211.05</v>
      </c>
      <c r="C72" s="47">
        <f>IFERROR(__xludf.DUMMYFUNCTION("""COMPUTED_VALUE"""),45845.6458333333)</f>
        <v>45845.6458333333</v>
      </c>
      <c r="D72" s="48">
        <f>IFERROR(__xludf.DUMMYFUNCTION("""COMPUTED_VALUE"""),1199.7)</f>
        <v>1199.7</v>
      </c>
      <c r="E72" s="47">
        <f>IFERROR(__xludf.DUMMYFUNCTION("""COMPUTED_VALUE"""),45845.6458333333)</f>
        <v>45845.6458333333</v>
      </c>
      <c r="F72" s="48">
        <f>IFERROR(__xludf.DUMMYFUNCTION("""COMPUTED_VALUE"""),434207)</f>
        <v>434207</v>
      </c>
      <c r="G72" s="47">
        <f>IFERROR(__xludf.DUMMYFUNCTION("""COMPUTED_VALUE"""),45845.6458333333)</f>
        <v>45845.6458333333</v>
      </c>
      <c r="H72" s="48">
        <f>IFERROR(__xludf.DUMMYFUNCTION("""COMPUTED_VALUE"""),1213)</f>
        <v>1213</v>
      </c>
      <c r="I72" s="47">
        <f>IFERROR(__xludf.DUMMYFUNCTION("""COMPUTED_VALUE"""),45845.6458333333)</f>
        <v>45845.6458333333</v>
      </c>
      <c r="J72" s="48">
        <f>IFERROR(__xludf.DUMMYFUNCTION("""COMPUTED_VALUE"""),1194)</f>
        <v>1194</v>
      </c>
      <c r="K72" s="3">
        <f t="shared" si="2"/>
        <v>0</v>
      </c>
      <c r="L72" s="3">
        <f t="shared" si="3"/>
        <v>0</v>
      </c>
    </row>
    <row r="73" customHeight="1" spans="1:12">
      <c r="A73" s="47">
        <f>IFERROR(__xludf.DUMMYFUNCTION("""COMPUTED_VALUE"""),45846.6458333333)</f>
        <v>45846.6458333333</v>
      </c>
      <c r="B73" s="48">
        <f>IFERROR(__xludf.DUMMYFUNCTION("""COMPUTED_VALUE"""),1208.95)</f>
        <v>1208.95</v>
      </c>
      <c r="C73" s="47">
        <f>IFERROR(__xludf.DUMMYFUNCTION("""COMPUTED_VALUE"""),45846.6458333333)</f>
        <v>45846.6458333333</v>
      </c>
      <c r="D73" s="48">
        <f>IFERROR(__xludf.DUMMYFUNCTION("""COMPUTED_VALUE"""),1211.05)</f>
        <v>1211.05</v>
      </c>
      <c r="E73" s="47">
        <f>IFERROR(__xludf.DUMMYFUNCTION("""COMPUTED_VALUE"""),45846.6458333333)</f>
        <v>45846.6458333333</v>
      </c>
      <c r="F73" s="48">
        <f>IFERROR(__xludf.DUMMYFUNCTION("""COMPUTED_VALUE"""),355788)</f>
        <v>355788</v>
      </c>
      <c r="G73" s="47">
        <f>IFERROR(__xludf.DUMMYFUNCTION("""COMPUTED_VALUE"""),45846.6458333333)</f>
        <v>45846.6458333333</v>
      </c>
      <c r="H73" s="48">
        <f>IFERROR(__xludf.DUMMYFUNCTION("""COMPUTED_VALUE"""),1217.85)</f>
        <v>1217.85</v>
      </c>
      <c r="I73" s="47">
        <f>IFERROR(__xludf.DUMMYFUNCTION("""COMPUTED_VALUE"""),45846.6458333333)</f>
        <v>45846.6458333333</v>
      </c>
      <c r="J73" s="48">
        <f>IFERROR(__xludf.DUMMYFUNCTION("""COMPUTED_VALUE"""),1203.5)</f>
        <v>1203.5</v>
      </c>
      <c r="K73" s="3">
        <f t="shared" si="2"/>
        <v>0</v>
      </c>
      <c r="L73" s="3">
        <f t="shared" si="3"/>
        <v>0</v>
      </c>
    </row>
    <row r="74" customHeight="1" spans="1:12">
      <c r="A74" s="47">
        <f>IFERROR(__xludf.DUMMYFUNCTION("""COMPUTED_VALUE"""),45847.6458333333)</f>
        <v>45847.6458333333</v>
      </c>
      <c r="B74" s="48">
        <f>IFERROR(__xludf.DUMMYFUNCTION("""COMPUTED_VALUE"""),1213.9)</f>
        <v>1213.9</v>
      </c>
      <c r="C74" s="47">
        <f>IFERROR(__xludf.DUMMYFUNCTION("""COMPUTED_VALUE"""),45847.6458333333)</f>
        <v>45847.6458333333</v>
      </c>
      <c r="D74" s="48">
        <f>IFERROR(__xludf.DUMMYFUNCTION("""COMPUTED_VALUE"""),1210)</f>
        <v>1210</v>
      </c>
      <c r="E74" s="47">
        <f>IFERROR(__xludf.DUMMYFUNCTION("""COMPUTED_VALUE"""),45847.6458333333)</f>
        <v>45847.6458333333</v>
      </c>
      <c r="F74" s="48">
        <f>IFERROR(__xludf.DUMMYFUNCTION("""COMPUTED_VALUE"""),395180)</f>
        <v>395180</v>
      </c>
      <c r="G74" s="47">
        <f>IFERROR(__xludf.DUMMYFUNCTION("""COMPUTED_VALUE"""),45847.6458333333)</f>
        <v>45847.6458333333</v>
      </c>
      <c r="H74" s="48">
        <f>IFERROR(__xludf.DUMMYFUNCTION("""COMPUTED_VALUE"""),1218.25)</f>
        <v>1218.25</v>
      </c>
      <c r="I74" s="47">
        <f>IFERROR(__xludf.DUMMYFUNCTION("""COMPUTED_VALUE"""),45847.6458333333)</f>
        <v>45847.6458333333</v>
      </c>
      <c r="J74" s="48">
        <f>IFERROR(__xludf.DUMMYFUNCTION("""COMPUTED_VALUE"""),1207.25)</f>
        <v>1207.25</v>
      </c>
      <c r="K74" s="3">
        <f t="shared" si="2"/>
        <v>0</v>
      </c>
      <c r="L74" s="3">
        <f t="shared" si="3"/>
        <v>0</v>
      </c>
    </row>
    <row r="75" customHeight="1" spans="1:12">
      <c r="A75" s="47">
        <f>IFERROR(__xludf.DUMMYFUNCTION("""COMPUTED_VALUE"""),45848.6458333333)</f>
        <v>45848.6458333333</v>
      </c>
      <c r="B75" s="48">
        <f>IFERROR(__xludf.DUMMYFUNCTION("""COMPUTED_VALUE"""),1200.7)</f>
        <v>1200.7</v>
      </c>
      <c r="C75" s="47">
        <f>IFERROR(__xludf.DUMMYFUNCTION("""COMPUTED_VALUE"""),45848.6458333333)</f>
        <v>45848.6458333333</v>
      </c>
      <c r="D75" s="48">
        <f>IFERROR(__xludf.DUMMYFUNCTION("""COMPUTED_VALUE"""),1212.5)</f>
        <v>1212.5</v>
      </c>
      <c r="E75" s="47">
        <f>IFERROR(__xludf.DUMMYFUNCTION("""COMPUTED_VALUE"""),45848.6458333333)</f>
        <v>45848.6458333333</v>
      </c>
      <c r="F75" s="48">
        <f>IFERROR(__xludf.DUMMYFUNCTION("""COMPUTED_VALUE"""),284925)</f>
        <v>284925</v>
      </c>
      <c r="G75" s="47">
        <f>IFERROR(__xludf.DUMMYFUNCTION("""COMPUTED_VALUE"""),45848.6458333333)</f>
        <v>45848.6458333333</v>
      </c>
      <c r="H75" s="48">
        <f>IFERROR(__xludf.DUMMYFUNCTION("""COMPUTED_VALUE"""),1218.45)</f>
        <v>1218.45</v>
      </c>
      <c r="I75" s="47">
        <f>IFERROR(__xludf.DUMMYFUNCTION("""COMPUTED_VALUE"""),45848.6458333333)</f>
        <v>45848.6458333333</v>
      </c>
      <c r="J75" s="48">
        <f>IFERROR(__xludf.DUMMYFUNCTION("""COMPUTED_VALUE"""),1198.8)</f>
        <v>1198.8</v>
      </c>
      <c r="K75" s="3">
        <f t="shared" si="2"/>
        <v>0</v>
      </c>
      <c r="L75" s="3">
        <f t="shared" si="3"/>
        <v>0</v>
      </c>
    </row>
    <row r="76" customHeight="1" spans="1:12">
      <c r="A76" s="47">
        <f>IFERROR(__xludf.DUMMYFUNCTION("""COMPUTED_VALUE"""),45849.6458333333)</f>
        <v>45849.6458333333</v>
      </c>
      <c r="B76" s="48">
        <f>IFERROR(__xludf.DUMMYFUNCTION("""COMPUTED_VALUE"""),1201.75)</f>
        <v>1201.75</v>
      </c>
      <c r="C76" s="47">
        <f>IFERROR(__xludf.DUMMYFUNCTION("""COMPUTED_VALUE"""),45849.6458333333)</f>
        <v>45849.6458333333</v>
      </c>
      <c r="D76" s="48">
        <f>IFERROR(__xludf.DUMMYFUNCTION("""COMPUTED_VALUE"""),1202)</f>
        <v>1202</v>
      </c>
      <c r="E76" s="47">
        <f>IFERROR(__xludf.DUMMYFUNCTION("""COMPUTED_VALUE"""),45849.6458333333)</f>
        <v>45849.6458333333</v>
      </c>
      <c r="F76" s="48">
        <f>IFERROR(__xludf.DUMMYFUNCTION("""COMPUTED_VALUE"""),370532)</f>
        <v>370532</v>
      </c>
      <c r="G76" s="47">
        <f>IFERROR(__xludf.DUMMYFUNCTION("""COMPUTED_VALUE"""),45849.6458333333)</f>
        <v>45849.6458333333</v>
      </c>
      <c r="H76" s="48">
        <f>IFERROR(__xludf.DUMMYFUNCTION("""COMPUTED_VALUE"""),1214.35)</f>
        <v>1214.35</v>
      </c>
      <c r="I76" s="47">
        <f>IFERROR(__xludf.DUMMYFUNCTION("""COMPUTED_VALUE"""),45849.6458333333)</f>
        <v>45849.6458333333</v>
      </c>
      <c r="J76" s="48">
        <f>IFERROR(__xludf.DUMMYFUNCTION("""COMPUTED_VALUE"""),1198.55)</f>
        <v>1198.55</v>
      </c>
      <c r="K76" s="3">
        <f t="shared" si="2"/>
        <v>0</v>
      </c>
      <c r="L76" s="3">
        <f t="shared" si="3"/>
        <v>0</v>
      </c>
    </row>
    <row r="77" customHeight="1" spans="1:12">
      <c r="A77" s="47">
        <f>IFERROR(__xludf.DUMMYFUNCTION("""COMPUTED_VALUE"""),45852.6458333333)</f>
        <v>45852.6458333333</v>
      </c>
      <c r="B77" s="48">
        <f>IFERROR(__xludf.DUMMYFUNCTION("""COMPUTED_VALUE"""),1196.45)</f>
        <v>1196.45</v>
      </c>
      <c r="C77" s="47">
        <f>IFERROR(__xludf.DUMMYFUNCTION("""COMPUTED_VALUE"""),45852.6458333333)</f>
        <v>45852.6458333333</v>
      </c>
      <c r="D77" s="48">
        <f>IFERROR(__xludf.DUMMYFUNCTION("""COMPUTED_VALUE"""),1202.65)</f>
        <v>1202.65</v>
      </c>
      <c r="E77" s="47">
        <f>IFERROR(__xludf.DUMMYFUNCTION("""COMPUTED_VALUE"""),45852.6458333333)</f>
        <v>45852.6458333333</v>
      </c>
      <c r="F77" s="48">
        <f>IFERROR(__xludf.DUMMYFUNCTION("""COMPUTED_VALUE"""),471457)</f>
        <v>471457</v>
      </c>
      <c r="G77" s="47">
        <f>IFERROR(__xludf.DUMMYFUNCTION("""COMPUTED_VALUE"""),45852.6458333333)</f>
        <v>45852.6458333333</v>
      </c>
      <c r="H77" s="48">
        <f>IFERROR(__xludf.DUMMYFUNCTION("""COMPUTED_VALUE"""),1207.35)</f>
        <v>1207.35</v>
      </c>
      <c r="I77" s="47">
        <f>IFERROR(__xludf.DUMMYFUNCTION("""COMPUTED_VALUE"""),45852.6458333333)</f>
        <v>45852.6458333333</v>
      </c>
      <c r="J77" s="48">
        <f>IFERROR(__xludf.DUMMYFUNCTION("""COMPUTED_VALUE"""),1188.5)</f>
        <v>1188.5</v>
      </c>
      <c r="K77" s="3">
        <f t="shared" si="2"/>
        <v>0</v>
      </c>
      <c r="L77" s="3">
        <f t="shared" si="3"/>
        <v>0</v>
      </c>
    </row>
    <row r="78" customHeight="1" spans="1:12">
      <c r="A78" s="47">
        <f>IFERROR(__xludf.DUMMYFUNCTION("""COMPUTED_VALUE"""),45853.6458333333)</f>
        <v>45853.6458333333</v>
      </c>
      <c r="B78" s="48">
        <f>IFERROR(__xludf.DUMMYFUNCTION("""COMPUTED_VALUE"""),1208.15)</f>
        <v>1208.15</v>
      </c>
      <c r="C78" s="47">
        <f>IFERROR(__xludf.DUMMYFUNCTION("""COMPUTED_VALUE"""),45853.6458333333)</f>
        <v>45853.6458333333</v>
      </c>
      <c r="D78" s="48">
        <f>IFERROR(__xludf.DUMMYFUNCTION("""COMPUTED_VALUE"""),1196.45)</f>
        <v>1196.45</v>
      </c>
      <c r="E78" s="47">
        <f>IFERROR(__xludf.DUMMYFUNCTION("""COMPUTED_VALUE"""),45853.6458333333)</f>
        <v>45853.6458333333</v>
      </c>
      <c r="F78" s="48">
        <f>IFERROR(__xludf.DUMMYFUNCTION("""COMPUTED_VALUE"""),532304)</f>
        <v>532304</v>
      </c>
      <c r="G78" s="47">
        <f>IFERROR(__xludf.DUMMYFUNCTION("""COMPUTED_VALUE"""),45853.6458333333)</f>
        <v>45853.6458333333</v>
      </c>
      <c r="H78" s="48">
        <f>IFERROR(__xludf.DUMMYFUNCTION("""COMPUTED_VALUE"""),1210)</f>
        <v>1210</v>
      </c>
      <c r="I78" s="47">
        <f>IFERROR(__xludf.DUMMYFUNCTION("""COMPUTED_VALUE"""),45853.6458333333)</f>
        <v>45853.6458333333</v>
      </c>
      <c r="J78" s="48">
        <f>IFERROR(__xludf.DUMMYFUNCTION("""COMPUTED_VALUE"""),1190.05)</f>
        <v>1190.05</v>
      </c>
      <c r="K78" s="3">
        <f t="shared" si="2"/>
        <v>0</v>
      </c>
      <c r="L78" s="3">
        <f t="shared" si="3"/>
        <v>0</v>
      </c>
    </row>
    <row r="79" customHeight="1" spans="1:12">
      <c r="A79" s="47">
        <f>IFERROR(__xludf.DUMMYFUNCTION("""COMPUTED_VALUE"""),45854.6458333333)</f>
        <v>45854.6458333333</v>
      </c>
      <c r="B79" s="48">
        <f>IFERROR(__xludf.DUMMYFUNCTION("""COMPUTED_VALUE"""),1230)</f>
        <v>1230</v>
      </c>
      <c r="C79" s="47">
        <f>IFERROR(__xludf.DUMMYFUNCTION("""COMPUTED_VALUE"""),45854.6458333333)</f>
        <v>45854.6458333333</v>
      </c>
      <c r="D79" s="48">
        <f>IFERROR(__xludf.DUMMYFUNCTION("""COMPUTED_VALUE"""),1208)</f>
        <v>1208</v>
      </c>
      <c r="E79" s="47">
        <f>IFERROR(__xludf.DUMMYFUNCTION("""COMPUTED_VALUE"""),45854.6458333333)</f>
        <v>45854.6458333333</v>
      </c>
      <c r="F79" s="48">
        <f>IFERROR(__xludf.DUMMYFUNCTION("""COMPUTED_VALUE"""),1405315)</f>
        <v>1405315</v>
      </c>
      <c r="G79" s="47">
        <f>IFERROR(__xludf.DUMMYFUNCTION("""COMPUTED_VALUE"""),45854.6458333333)</f>
        <v>45854.6458333333</v>
      </c>
      <c r="H79" s="48">
        <f>IFERROR(__xludf.DUMMYFUNCTION("""COMPUTED_VALUE"""),1245)</f>
        <v>1245</v>
      </c>
      <c r="I79" s="47">
        <f>IFERROR(__xludf.DUMMYFUNCTION("""COMPUTED_VALUE"""),45854.6458333333)</f>
        <v>45854.6458333333</v>
      </c>
      <c r="J79" s="48">
        <f>IFERROR(__xludf.DUMMYFUNCTION("""COMPUTED_VALUE"""),1203.7)</f>
        <v>1203.7</v>
      </c>
      <c r="K79" s="3">
        <f t="shared" si="2"/>
        <v>0</v>
      </c>
      <c r="L79" s="3">
        <f t="shared" si="3"/>
        <v>0</v>
      </c>
    </row>
    <row r="80" customHeight="1" spans="1:12">
      <c r="A80" s="47">
        <f>IFERROR(__xludf.DUMMYFUNCTION("""COMPUTED_VALUE"""),45855.6458333333)</f>
        <v>45855.6458333333</v>
      </c>
      <c r="B80" s="48">
        <f>IFERROR(__xludf.DUMMYFUNCTION("""COMPUTED_VALUE"""),1224.55)</f>
        <v>1224.55</v>
      </c>
      <c r="C80" s="47">
        <f>IFERROR(__xludf.DUMMYFUNCTION("""COMPUTED_VALUE"""),45855.6458333333)</f>
        <v>45855.6458333333</v>
      </c>
      <c r="D80" s="48">
        <f>IFERROR(__xludf.DUMMYFUNCTION("""COMPUTED_VALUE"""),1229)</f>
        <v>1229</v>
      </c>
      <c r="E80" s="47">
        <f>IFERROR(__xludf.DUMMYFUNCTION("""COMPUTED_VALUE"""),45855.6458333333)</f>
        <v>45855.6458333333</v>
      </c>
      <c r="F80" s="48">
        <f>IFERROR(__xludf.DUMMYFUNCTION("""COMPUTED_VALUE"""),273354)</f>
        <v>273354</v>
      </c>
      <c r="G80" s="47">
        <f>IFERROR(__xludf.DUMMYFUNCTION("""COMPUTED_VALUE"""),45855.6458333333)</f>
        <v>45855.6458333333</v>
      </c>
      <c r="H80" s="48">
        <f>IFERROR(__xludf.DUMMYFUNCTION("""COMPUTED_VALUE"""),1235)</f>
        <v>1235</v>
      </c>
      <c r="I80" s="47">
        <f>IFERROR(__xludf.DUMMYFUNCTION("""COMPUTED_VALUE"""),45855.6458333333)</f>
        <v>45855.6458333333</v>
      </c>
      <c r="J80" s="48">
        <f>IFERROR(__xludf.DUMMYFUNCTION("""COMPUTED_VALUE"""),1223.05)</f>
        <v>1223.05</v>
      </c>
      <c r="K80" s="3">
        <f t="shared" si="2"/>
        <v>0</v>
      </c>
      <c r="L80" s="3">
        <f t="shared" si="3"/>
        <v>0</v>
      </c>
    </row>
    <row r="81" customHeight="1" spans="1:12">
      <c r="A81" s="47">
        <f>IFERROR(__xludf.DUMMYFUNCTION("""COMPUTED_VALUE"""),45856.6458333333)</f>
        <v>45856.6458333333</v>
      </c>
      <c r="B81" s="48">
        <f>IFERROR(__xludf.DUMMYFUNCTION("""COMPUTED_VALUE"""),1236.1)</f>
        <v>1236.1</v>
      </c>
      <c r="C81" s="47">
        <f>IFERROR(__xludf.DUMMYFUNCTION("""COMPUTED_VALUE"""),45856.6458333333)</f>
        <v>45856.6458333333</v>
      </c>
      <c r="D81" s="48">
        <f>IFERROR(__xludf.DUMMYFUNCTION("""COMPUTED_VALUE"""),1229.5)</f>
        <v>1229.5</v>
      </c>
      <c r="E81" s="47">
        <f>IFERROR(__xludf.DUMMYFUNCTION("""COMPUTED_VALUE"""),45856.6458333333)</f>
        <v>45856.6458333333</v>
      </c>
      <c r="F81" s="48">
        <f>IFERROR(__xludf.DUMMYFUNCTION("""COMPUTED_VALUE"""),449826)</f>
        <v>449826</v>
      </c>
      <c r="G81" s="47">
        <f>IFERROR(__xludf.DUMMYFUNCTION("""COMPUTED_VALUE"""),45856.6458333333)</f>
        <v>45856.6458333333</v>
      </c>
      <c r="H81" s="48">
        <f>IFERROR(__xludf.DUMMYFUNCTION("""COMPUTED_VALUE"""),1238.45)</f>
        <v>1238.45</v>
      </c>
      <c r="I81" s="47">
        <f>IFERROR(__xludf.DUMMYFUNCTION("""COMPUTED_VALUE"""),45856.6458333333)</f>
        <v>45856.6458333333</v>
      </c>
      <c r="J81" s="48">
        <f>IFERROR(__xludf.DUMMYFUNCTION("""COMPUTED_VALUE"""),1215.5)</f>
        <v>1215.5</v>
      </c>
      <c r="K81" s="3">
        <f t="shared" si="2"/>
        <v>0</v>
      </c>
      <c r="L81" s="3">
        <f t="shared" si="3"/>
        <v>0</v>
      </c>
    </row>
    <row r="82" customHeight="1" spans="1:12">
      <c r="A82" s="47">
        <f>IFERROR(__xludf.DUMMYFUNCTION("""COMPUTED_VALUE"""),45859.6458333333)</f>
        <v>45859.6458333333</v>
      </c>
      <c r="B82" s="48">
        <f>IFERROR(__xludf.DUMMYFUNCTION("""COMPUTED_VALUE"""),1236.3)</f>
        <v>1236.3</v>
      </c>
      <c r="C82" s="47">
        <f>IFERROR(__xludf.DUMMYFUNCTION("""COMPUTED_VALUE"""),45859.6458333333)</f>
        <v>45859.6458333333</v>
      </c>
      <c r="D82" s="48">
        <f>IFERROR(__xludf.DUMMYFUNCTION("""COMPUTED_VALUE"""),1236.45)</f>
        <v>1236.45</v>
      </c>
      <c r="E82" s="47">
        <f>IFERROR(__xludf.DUMMYFUNCTION("""COMPUTED_VALUE"""),45859.6458333333)</f>
        <v>45859.6458333333</v>
      </c>
      <c r="F82" s="48">
        <f>IFERROR(__xludf.DUMMYFUNCTION("""COMPUTED_VALUE"""),478987)</f>
        <v>478987</v>
      </c>
      <c r="G82" s="47">
        <f>IFERROR(__xludf.DUMMYFUNCTION("""COMPUTED_VALUE"""),45859.6458333333)</f>
        <v>45859.6458333333</v>
      </c>
      <c r="H82" s="48">
        <f>IFERROR(__xludf.DUMMYFUNCTION("""COMPUTED_VALUE"""),1239.2)</f>
        <v>1239.2</v>
      </c>
      <c r="I82" s="47">
        <f>IFERROR(__xludf.DUMMYFUNCTION("""COMPUTED_VALUE"""),45859.6458333333)</f>
        <v>45859.6458333333</v>
      </c>
      <c r="J82" s="48">
        <f>IFERROR(__xludf.DUMMYFUNCTION("""COMPUTED_VALUE"""),1222.5)</f>
        <v>1222.5</v>
      </c>
      <c r="K82" s="3">
        <f t="shared" si="2"/>
        <v>1236.3</v>
      </c>
      <c r="L82" s="3">
        <f t="shared" si="3"/>
        <v>0</v>
      </c>
    </row>
    <row r="83" customHeight="1" spans="1:12">
      <c r="A83" s="47">
        <f>IFERROR(__xludf.DUMMYFUNCTION("""COMPUTED_VALUE"""),45860.6458333333)</f>
        <v>45860.6458333333</v>
      </c>
      <c r="B83" s="48">
        <f>IFERROR(__xludf.DUMMYFUNCTION("""COMPUTED_VALUE"""),1221.75)</f>
        <v>1221.75</v>
      </c>
      <c r="C83" s="47">
        <f>IFERROR(__xludf.DUMMYFUNCTION("""COMPUTED_VALUE"""),45860.6458333333)</f>
        <v>45860.6458333333</v>
      </c>
      <c r="D83" s="48">
        <f>IFERROR(__xludf.DUMMYFUNCTION("""COMPUTED_VALUE"""),1236.4)</f>
        <v>1236.4</v>
      </c>
      <c r="E83" s="47">
        <f>IFERROR(__xludf.DUMMYFUNCTION("""COMPUTED_VALUE"""),45860.6458333333)</f>
        <v>45860.6458333333</v>
      </c>
      <c r="F83" s="48">
        <f>IFERROR(__xludf.DUMMYFUNCTION("""COMPUTED_VALUE"""),387274)</f>
        <v>387274</v>
      </c>
      <c r="G83" s="47">
        <f>IFERROR(__xludf.DUMMYFUNCTION("""COMPUTED_VALUE"""),45860.6458333333)</f>
        <v>45860.6458333333</v>
      </c>
      <c r="H83" s="48">
        <f>IFERROR(__xludf.DUMMYFUNCTION("""COMPUTED_VALUE"""),1238.75)</f>
        <v>1238.75</v>
      </c>
      <c r="I83" s="47">
        <f>IFERROR(__xludf.DUMMYFUNCTION("""COMPUTED_VALUE"""),45860.6458333333)</f>
        <v>45860.6458333333</v>
      </c>
      <c r="J83" s="48">
        <f>IFERROR(__xludf.DUMMYFUNCTION("""COMPUTED_VALUE"""),1219)</f>
        <v>1219</v>
      </c>
      <c r="K83" s="3">
        <f t="shared" si="2"/>
        <v>0</v>
      </c>
      <c r="L83" s="3">
        <f t="shared" si="3"/>
        <v>0</v>
      </c>
    </row>
    <row r="84" customHeight="1" spans="1:12">
      <c r="A84" s="47">
        <f>IFERROR(__xludf.DUMMYFUNCTION("""COMPUTED_VALUE"""),45861.6458333333)</f>
        <v>45861.6458333333</v>
      </c>
      <c r="B84" s="48">
        <f>IFERROR(__xludf.DUMMYFUNCTION("""COMPUTED_VALUE"""),1226.25)</f>
        <v>1226.25</v>
      </c>
      <c r="C84" s="47">
        <f>IFERROR(__xludf.DUMMYFUNCTION("""COMPUTED_VALUE"""),45861.6458333333)</f>
        <v>45861.6458333333</v>
      </c>
      <c r="D84" s="48">
        <f>IFERROR(__xludf.DUMMYFUNCTION("""COMPUTED_VALUE"""),1230)</f>
        <v>1230</v>
      </c>
      <c r="E84" s="47">
        <f>IFERROR(__xludf.DUMMYFUNCTION("""COMPUTED_VALUE"""),45861.6458333333)</f>
        <v>45861.6458333333</v>
      </c>
      <c r="F84" s="48">
        <f>IFERROR(__xludf.DUMMYFUNCTION("""COMPUTED_VALUE"""),360114)</f>
        <v>360114</v>
      </c>
      <c r="G84" s="47">
        <f>IFERROR(__xludf.DUMMYFUNCTION("""COMPUTED_VALUE"""),45861.6458333333)</f>
        <v>45861.6458333333</v>
      </c>
      <c r="H84" s="48">
        <f>IFERROR(__xludf.DUMMYFUNCTION("""COMPUTED_VALUE"""),1234.5)</f>
        <v>1234.5</v>
      </c>
      <c r="I84" s="47">
        <f>IFERROR(__xludf.DUMMYFUNCTION("""COMPUTED_VALUE"""),45861.6458333333)</f>
        <v>45861.6458333333</v>
      </c>
      <c r="J84" s="48">
        <f>IFERROR(__xludf.DUMMYFUNCTION("""COMPUTED_VALUE"""),1216.8)</f>
        <v>1216.8</v>
      </c>
      <c r="K84" s="3">
        <f t="shared" si="2"/>
        <v>0</v>
      </c>
      <c r="L84" s="3">
        <f t="shared" si="3"/>
        <v>0</v>
      </c>
    </row>
    <row r="85" customHeight="1" spans="1:12">
      <c r="A85" s="47">
        <f>IFERROR(__xludf.DUMMYFUNCTION("""COMPUTED_VALUE"""),45862.6458333333)</f>
        <v>45862.6458333333</v>
      </c>
      <c r="B85" s="48">
        <f>IFERROR(__xludf.DUMMYFUNCTION("""COMPUTED_VALUE"""),1161.05)</f>
        <v>1161.05</v>
      </c>
      <c r="C85" s="47">
        <f>IFERROR(__xludf.DUMMYFUNCTION("""COMPUTED_VALUE"""),45862.6458333333)</f>
        <v>45862.6458333333</v>
      </c>
      <c r="D85" s="48">
        <f>IFERROR(__xludf.DUMMYFUNCTION("""COMPUTED_VALUE"""),1226.4)</f>
        <v>1226.4</v>
      </c>
      <c r="E85" s="47">
        <f>IFERROR(__xludf.DUMMYFUNCTION("""COMPUTED_VALUE"""),45862.6458333333)</f>
        <v>45862.6458333333</v>
      </c>
      <c r="F85" s="48">
        <f>IFERROR(__xludf.DUMMYFUNCTION("""COMPUTED_VALUE"""),2686006)</f>
        <v>2686006</v>
      </c>
      <c r="G85" s="47">
        <f>IFERROR(__xludf.DUMMYFUNCTION("""COMPUTED_VALUE"""),45862.6458333333)</f>
        <v>45862.6458333333</v>
      </c>
      <c r="H85" s="48">
        <f>IFERROR(__xludf.DUMMYFUNCTION("""COMPUTED_VALUE"""),1237.5)</f>
        <v>1237.5</v>
      </c>
      <c r="I85" s="47">
        <f>IFERROR(__xludf.DUMMYFUNCTION("""COMPUTED_VALUE"""),45862.6458333333)</f>
        <v>45862.6458333333</v>
      </c>
      <c r="J85" s="48">
        <f>IFERROR(__xludf.DUMMYFUNCTION("""COMPUTED_VALUE"""),1155)</f>
        <v>1155</v>
      </c>
      <c r="K85" s="3">
        <f t="shared" si="2"/>
        <v>0</v>
      </c>
      <c r="L85" s="3">
        <f t="shared" si="3"/>
        <v>0</v>
      </c>
    </row>
    <row r="86" customHeight="1" spans="1:12">
      <c r="A86" s="47">
        <f>IFERROR(__xludf.DUMMYFUNCTION("""COMPUTED_VALUE"""),45863.6458333333)</f>
        <v>45863.6458333333</v>
      </c>
      <c r="B86" s="48">
        <f>IFERROR(__xludf.DUMMYFUNCTION("""COMPUTED_VALUE"""),1137.3)</f>
        <v>1137.3</v>
      </c>
      <c r="C86" s="47">
        <f>IFERROR(__xludf.DUMMYFUNCTION("""COMPUTED_VALUE"""),45863.6458333333)</f>
        <v>45863.6458333333</v>
      </c>
      <c r="D86" s="48">
        <f>IFERROR(__xludf.DUMMYFUNCTION("""COMPUTED_VALUE"""),1157.45)</f>
        <v>1157.45</v>
      </c>
      <c r="E86" s="47">
        <f>IFERROR(__xludf.DUMMYFUNCTION("""COMPUTED_VALUE"""),45863.6458333333)</f>
        <v>45863.6458333333</v>
      </c>
      <c r="F86" s="48">
        <f>IFERROR(__xludf.DUMMYFUNCTION("""COMPUTED_VALUE"""),1589357)</f>
        <v>1589357</v>
      </c>
      <c r="G86" s="47">
        <f>IFERROR(__xludf.DUMMYFUNCTION("""COMPUTED_VALUE"""),45863.6458333333)</f>
        <v>45863.6458333333</v>
      </c>
      <c r="H86" s="48">
        <f>IFERROR(__xludf.DUMMYFUNCTION("""COMPUTED_VALUE"""),1157.45)</f>
        <v>1157.45</v>
      </c>
      <c r="I86" s="47">
        <f>IFERROR(__xludf.DUMMYFUNCTION("""COMPUTED_VALUE"""),45863.6458333333)</f>
        <v>45863.6458333333</v>
      </c>
      <c r="J86" s="48">
        <f>IFERROR(__xludf.DUMMYFUNCTION("""COMPUTED_VALUE"""),1133)</f>
        <v>1133</v>
      </c>
      <c r="K86" s="3">
        <f t="shared" si="2"/>
        <v>0</v>
      </c>
      <c r="L86" s="3">
        <f t="shared" si="3"/>
        <v>0</v>
      </c>
    </row>
    <row r="87" customHeight="1" spans="1:12">
      <c r="A87" s="47">
        <f>IFERROR(__xludf.DUMMYFUNCTION("""COMPUTED_VALUE"""),45866.6458333333)</f>
        <v>45866.6458333333</v>
      </c>
      <c r="B87" s="48">
        <f>IFERROR(__xludf.DUMMYFUNCTION("""COMPUTED_VALUE"""),1114.65)</f>
        <v>1114.65</v>
      </c>
      <c r="C87" s="47">
        <f>IFERROR(__xludf.DUMMYFUNCTION("""COMPUTED_VALUE"""),45866.6458333333)</f>
        <v>45866.6458333333</v>
      </c>
      <c r="D87" s="48">
        <f>IFERROR(__xludf.DUMMYFUNCTION("""COMPUTED_VALUE"""),1137.35)</f>
        <v>1137.35</v>
      </c>
      <c r="E87" s="47">
        <f>IFERROR(__xludf.DUMMYFUNCTION("""COMPUTED_VALUE"""),45866.6458333333)</f>
        <v>45866.6458333333</v>
      </c>
      <c r="F87" s="48">
        <f>IFERROR(__xludf.DUMMYFUNCTION("""COMPUTED_VALUE"""),939969)</f>
        <v>939969</v>
      </c>
      <c r="G87" s="47">
        <f>IFERROR(__xludf.DUMMYFUNCTION("""COMPUTED_VALUE"""),45866.6458333333)</f>
        <v>45866.6458333333</v>
      </c>
      <c r="H87" s="48">
        <f>IFERROR(__xludf.DUMMYFUNCTION("""COMPUTED_VALUE"""),1149.95)</f>
        <v>1149.95</v>
      </c>
      <c r="I87" s="47">
        <f>IFERROR(__xludf.DUMMYFUNCTION("""COMPUTED_VALUE"""),45866.6458333333)</f>
        <v>45866.6458333333</v>
      </c>
      <c r="J87" s="48">
        <f>IFERROR(__xludf.DUMMYFUNCTION("""COMPUTED_VALUE"""),1111.05)</f>
        <v>1111.05</v>
      </c>
      <c r="K87" s="3">
        <f t="shared" si="2"/>
        <v>0</v>
      </c>
      <c r="L87" s="3">
        <f t="shared" si="3"/>
        <v>0</v>
      </c>
    </row>
    <row r="88" customHeight="1" spans="1:12">
      <c r="A88" s="47">
        <f>IFERROR(__xludf.DUMMYFUNCTION("""COMPUTED_VALUE"""),45867.6458333333)</f>
        <v>45867.6458333333</v>
      </c>
      <c r="B88" s="48">
        <f>IFERROR(__xludf.DUMMYFUNCTION("""COMPUTED_VALUE"""),1111.85)</f>
        <v>1111.85</v>
      </c>
      <c r="C88" s="47">
        <f>IFERROR(__xludf.DUMMYFUNCTION("""COMPUTED_VALUE"""),45867.6458333333)</f>
        <v>45867.6458333333</v>
      </c>
      <c r="D88" s="48">
        <f>IFERROR(__xludf.DUMMYFUNCTION("""COMPUTED_VALUE"""),1115)</f>
        <v>1115</v>
      </c>
      <c r="E88" s="47">
        <f>IFERROR(__xludf.DUMMYFUNCTION("""COMPUTED_VALUE"""),45867.6458333333)</f>
        <v>45867.6458333333</v>
      </c>
      <c r="F88" s="48">
        <f>IFERROR(__xludf.DUMMYFUNCTION("""COMPUTED_VALUE"""),900961)</f>
        <v>900961</v>
      </c>
      <c r="G88" s="47">
        <f>IFERROR(__xludf.DUMMYFUNCTION("""COMPUTED_VALUE"""),45867.6458333333)</f>
        <v>45867.6458333333</v>
      </c>
      <c r="H88" s="48">
        <f>IFERROR(__xludf.DUMMYFUNCTION("""COMPUTED_VALUE"""),1129.05)</f>
        <v>1129.05</v>
      </c>
      <c r="I88" s="47">
        <f>IFERROR(__xludf.DUMMYFUNCTION("""COMPUTED_VALUE"""),45867.6458333333)</f>
        <v>45867.6458333333</v>
      </c>
      <c r="J88" s="48">
        <f>IFERROR(__xludf.DUMMYFUNCTION("""COMPUTED_VALUE"""),1109.95)</f>
        <v>1109.95</v>
      </c>
      <c r="K88" s="3">
        <f t="shared" si="2"/>
        <v>0</v>
      </c>
      <c r="L88" s="3">
        <f t="shared" si="3"/>
        <v>1111.85</v>
      </c>
    </row>
    <row r="89" customHeight="1" spans="1:12">
      <c r="A89" s="47">
        <f>IFERROR(__xludf.DUMMYFUNCTION("""COMPUTED_VALUE"""),45868.6458333333)</f>
        <v>45868.6458333333</v>
      </c>
      <c r="B89" s="48">
        <f>IFERROR(__xludf.DUMMYFUNCTION("""COMPUTED_VALUE"""),1115.75)</f>
        <v>1115.75</v>
      </c>
      <c r="C89" s="47">
        <f>IFERROR(__xludf.DUMMYFUNCTION("""COMPUTED_VALUE"""),45868.6458333333)</f>
        <v>45868.6458333333</v>
      </c>
      <c r="D89" s="48">
        <f>IFERROR(__xludf.DUMMYFUNCTION("""COMPUTED_VALUE"""),1115)</f>
        <v>1115</v>
      </c>
      <c r="E89" s="47">
        <f>IFERROR(__xludf.DUMMYFUNCTION("""COMPUTED_VALUE"""),45868.6458333333)</f>
        <v>45868.6458333333</v>
      </c>
      <c r="F89" s="48">
        <f>IFERROR(__xludf.DUMMYFUNCTION("""COMPUTED_VALUE"""),464849)</f>
        <v>464849</v>
      </c>
      <c r="G89" s="47">
        <f>IFERROR(__xludf.DUMMYFUNCTION("""COMPUTED_VALUE"""),45868.6458333333)</f>
        <v>45868.6458333333</v>
      </c>
      <c r="H89" s="48">
        <f>IFERROR(__xludf.DUMMYFUNCTION("""COMPUTED_VALUE"""),1119.75)</f>
        <v>1119.75</v>
      </c>
      <c r="I89" s="47">
        <f>IFERROR(__xludf.DUMMYFUNCTION("""COMPUTED_VALUE"""),45868.6458333333)</f>
        <v>45868.6458333333</v>
      </c>
      <c r="J89" s="48">
        <f>IFERROR(__xludf.DUMMYFUNCTION("""COMPUTED_VALUE"""),1110.85)</f>
        <v>1110.85</v>
      </c>
      <c r="K89" s="3">
        <f t="shared" si="2"/>
        <v>0</v>
      </c>
      <c r="L89" s="3">
        <f t="shared" si="3"/>
        <v>0</v>
      </c>
    </row>
    <row r="90" customHeight="1" spans="1:12">
      <c r="A90" s="47">
        <f>IFERROR(__xludf.DUMMYFUNCTION("""COMPUTED_VALUE"""),45869.6458333333)</f>
        <v>45869.6458333333</v>
      </c>
      <c r="B90" s="48">
        <f>IFERROR(__xludf.DUMMYFUNCTION("""COMPUTED_VALUE"""),1123.85)</f>
        <v>1123.85</v>
      </c>
      <c r="C90" s="47">
        <f>IFERROR(__xludf.DUMMYFUNCTION("""COMPUTED_VALUE"""),45869.6458333333)</f>
        <v>45869.6458333333</v>
      </c>
      <c r="D90" s="48">
        <f>IFERROR(__xludf.DUMMYFUNCTION("""COMPUTED_VALUE"""),1112.5)</f>
        <v>1112.5</v>
      </c>
      <c r="E90" s="47">
        <f>IFERROR(__xludf.DUMMYFUNCTION("""COMPUTED_VALUE"""),45869.6458333333)</f>
        <v>45869.6458333333</v>
      </c>
      <c r="F90" s="48">
        <f>IFERROR(__xludf.DUMMYFUNCTION("""COMPUTED_VALUE"""),673109)</f>
        <v>673109</v>
      </c>
      <c r="G90" s="47">
        <f>IFERROR(__xludf.DUMMYFUNCTION("""COMPUTED_VALUE"""),45869.6458333333)</f>
        <v>45869.6458333333</v>
      </c>
      <c r="H90" s="48">
        <f>IFERROR(__xludf.DUMMYFUNCTION("""COMPUTED_VALUE"""),1132.95)</f>
        <v>1132.95</v>
      </c>
      <c r="I90" s="47">
        <f>IFERROR(__xludf.DUMMYFUNCTION("""COMPUTED_VALUE"""),45869.6458333333)</f>
        <v>45869.6458333333</v>
      </c>
      <c r="J90" s="48">
        <f>IFERROR(__xludf.DUMMYFUNCTION("""COMPUTED_VALUE"""),1110.5)</f>
        <v>1110.5</v>
      </c>
      <c r="K90" s="3">
        <f t="shared" si="2"/>
        <v>0</v>
      </c>
      <c r="L90" s="3">
        <f t="shared" si="3"/>
        <v>0</v>
      </c>
    </row>
    <row r="91" customHeight="1" spans="1:12">
      <c r="A91" s="47">
        <f>IFERROR(__xludf.DUMMYFUNCTION("""COMPUTED_VALUE"""),45870.6458333333)</f>
        <v>45870.6458333333</v>
      </c>
      <c r="B91" s="48">
        <f>IFERROR(__xludf.DUMMYFUNCTION("""COMPUTED_VALUE"""),1138.25)</f>
        <v>1138.25</v>
      </c>
      <c r="C91" s="47">
        <f>IFERROR(__xludf.DUMMYFUNCTION("""COMPUTED_VALUE"""),45870.6458333333)</f>
        <v>45870.6458333333</v>
      </c>
      <c r="D91" s="48">
        <f>IFERROR(__xludf.DUMMYFUNCTION("""COMPUTED_VALUE"""),1123.85)</f>
        <v>1123.85</v>
      </c>
      <c r="E91" s="47">
        <f>IFERROR(__xludf.DUMMYFUNCTION("""COMPUTED_VALUE"""),45870.6458333333)</f>
        <v>45870.6458333333</v>
      </c>
      <c r="F91" s="48">
        <f>IFERROR(__xludf.DUMMYFUNCTION("""COMPUTED_VALUE"""),705012)</f>
        <v>705012</v>
      </c>
      <c r="G91" s="47">
        <f>IFERROR(__xludf.DUMMYFUNCTION("""COMPUTED_VALUE"""),45870.6458333333)</f>
        <v>45870.6458333333</v>
      </c>
      <c r="H91" s="48">
        <f>IFERROR(__xludf.DUMMYFUNCTION("""COMPUTED_VALUE"""),1143.85)</f>
        <v>1143.85</v>
      </c>
      <c r="I91" s="47">
        <f>IFERROR(__xludf.DUMMYFUNCTION("""COMPUTED_VALUE"""),45870.6458333333)</f>
        <v>45870.6458333333</v>
      </c>
      <c r="J91" s="48">
        <f>IFERROR(__xludf.DUMMYFUNCTION("""COMPUTED_VALUE"""),1121.55)</f>
        <v>1121.55</v>
      </c>
      <c r="K91" s="3">
        <f t="shared" si="2"/>
        <v>0</v>
      </c>
      <c r="L91" s="3">
        <f t="shared" si="3"/>
        <v>0</v>
      </c>
    </row>
    <row r="92" customHeight="1" spans="1:12">
      <c r="A92" s="47">
        <f>IFERROR(__xludf.DUMMYFUNCTION("""COMPUTED_VALUE"""),45873.6458333333)</f>
        <v>45873.6458333333</v>
      </c>
      <c r="B92" s="48">
        <f>IFERROR(__xludf.DUMMYFUNCTION("""COMPUTED_VALUE"""),1138.7)</f>
        <v>1138.7</v>
      </c>
      <c r="C92" s="47">
        <f>IFERROR(__xludf.DUMMYFUNCTION("""COMPUTED_VALUE"""),45873.6458333333)</f>
        <v>45873.6458333333</v>
      </c>
      <c r="D92" s="48">
        <f>IFERROR(__xludf.DUMMYFUNCTION("""COMPUTED_VALUE"""),1143)</f>
        <v>1143</v>
      </c>
      <c r="E92" s="47">
        <f>IFERROR(__xludf.DUMMYFUNCTION("""COMPUTED_VALUE"""),45873.6458333333)</f>
        <v>45873.6458333333</v>
      </c>
      <c r="F92" s="48">
        <f>IFERROR(__xludf.DUMMYFUNCTION("""COMPUTED_VALUE"""),406397)</f>
        <v>406397</v>
      </c>
      <c r="G92" s="47">
        <f>IFERROR(__xludf.DUMMYFUNCTION("""COMPUTED_VALUE"""),45873.6458333333)</f>
        <v>45873.6458333333</v>
      </c>
      <c r="H92" s="48">
        <f>IFERROR(__xludf.DUMMYFUNCTION("""COMPUTED_VALUE"""),1143.3)</f>
        <v>1143.3</v>
      </c>
      <c r="I92" s="47">
        <f>IFERROR(__xludf.DUMMYFUNCTION("""COMPUTED_VALUE"""),45873.6458333333)</f>
        <v>45873.6458333333</v>
      </c>
      <c r="J92" s="48">
        <f>IFERROR(__xludf.DUMMYFUNCTION("""COMPUTED_VALUE"""),1129)</f>
        <v>1129</v>
      </c>
      <c r="K92" s="3">
        <f t="shared" si="2"/>
        <v>1138.7</v>
      </c>
      <c r="L92" s="3">
        <f t="shared" si="3"/>
        <v>0</v>
      </c>
    </row>
    <row r="93" customHeight="1" spans="1:12">
      <c r="A93" s="47">
        <f>IFERROR(__xludf.DUMMYFUNCTION("""COMPUTED_VALUE"""),45874.6458333333)</f>
        <v>45874.6458333333</v>
      </c>
      <c r="B93" s="48">
        <f>IFERROR(__xludf.DUMMYFUNCTION("""COMPUTED_VALUE"""),1133.65)</f>
        <v>1133.65</v>
      </c>
      <c r="C93" s="47">
        <f>IFERROR(__xludf.DUMMYFUNCTION("""COMPUTED_VALUE"""),45874.6458333333)</f>
        <v>45874.6458333333</v>
      </c>
      <c r="D93" s="48">
        <f>IFERROR(__xludf.DUMMYFUNCTION("""COMPUTED_VALUE"""),1139.85)</f>
        <v>1139.85</v>
      </c>
      <c r="E93" s="47">
        <f>IFERROR(__xludf.DUMMYFUNCTION("""COMPUTED_VALUE"""),45874.6458333333)</f>
        <v>45874.6458333333</v>
      </c>
      <c r="F93" s="48">
        <f>IFERROR(__xludf.DUMMYFUNCTION("""COMPUTED_VALUE"""),567967)</f>
        <v>567967</v>
      </c>
      <c r="G93" s="47">
        <f>IFERROR(__xludf.DUMMYFUNCTION("""COMPUTED_VALUE"""),45874.6458333333)</f>
        <v>45874.6458333333</v>
      </c>
      <c r="H93" s="48">
        <f>IFERROR(__xludf.DUMMYFUNCTION("""COMPUTED_VALUE"""),1141.2)</f>
        <v>1141.2</v>
      </c>
      <c r="I93" s="47">
        <f>IFERROR(__xludf.DUMMYFUNCTION("""COMPUTED_VALUE"""),45874.6458333333)</f>
        <v>45874.6458333333</v>
      </c>
      <c r="J93" s="48">
        <f>IFERROR(__xludf.DUMMYFUNCTION("""COMPUTED_VALUE"""),1125.05)</f>
        <v>1125.05</v>
      </c>
      <c r="K93" s="3">
        <f t="shared" si="2"/>
        <v>0</v>
      </c>
      <c r="L93" s="3">
        <f t="shared" si="3"/>
        <v>0</v>
      </c>
    </row>
    <row r="94" customHeight="1" spans="1:12">
      <c r="A94" s="47">
        <f>IFERROR(__xludf.DUMMYFUNCTION("""COMPUTED_VALUE"""),45875.6458333333)</f>
        <v>45875.6458333333</v>
      </c>
      <c r="B94" s="48">
        <f>IFERROR(__xludf.DUMMYFUNCTION("""COMPUTED_VALUE"""),1116.65)</f>
        <v>1116.65</v>
      </c>
      <c r="C94" s="47">
        <f>IFERROR(__xludf.DUMMYFUNCTION("""COMPUTED_VALUE"""),45875.6458333333)</f>
        <v>45875.6458333333</v>
      </c>
      <c r="D94" s="48">
        <f>IFERROR(__xludf.DUMMYFUNCTION("""COMPUTED_VALUE"""),1135)</f>
        <v>1135</v>
      </c>
      <c r="E94" s="47">
        <f>IFERROR(__xludf.DUMMYFUNCTION("""COMPUTED_VALUE"""),45875.6458333333)</f>
        <v>45875.6458333333</v>
      </c>
      <c r="F94" s="48">
        <f>IFERROR(__xludf.DUMMYFUNCTION("""COMPUTED_VALUE"""),563772)</f>
        <v>563772</v>
      </c>
      <c r="G94" s="47">
        <f>IFERROR(__xludf.DUMMYFUNCTION("""COMPUTED_VALUE"""),45875.6458333333)</f>
        <v>45875.6458333333</v>
      </c>
      <c r="H94" s="48">
        <f>IFERROR(__xludf.DUMMYFUNCTION("""COMPUTED_VALUE"""),1136.2)</f>
        <v>1136.2</v>
      </c>
      <c r="I94" s="47">
        <f>IFERROR(__xludf.DUMMYFUNCTION("""COMPUTED_VALUE"""),45875.6458333333)</f>
        <v>45875.6458333333</v>
      </c>
      <c r="J94" s="48">
        <f>IFERROR(__xludf.DUMMYFUNCTION("""COMPUTED_VALUE"""),1113.05)</f>
        <v>1113.05</v>
      </c>
      <c r="K94" s="3">
        <f t="shared" si="2"/>
        <v>0</v>
      </c>
      <c r="L94" s="3">
        <f t="shared" si="3"/>
        <v>0</v>
      </c>
    </row>
    <row r="95" customHeight="1" spans="1:12">
      <c r="A95" s="47">
        <f>IFERROR(__xludf.DUMMYFUNCTION("""COMPUTED_VALUE"""),45876.6458333333)</f>
        <v>45876.6458333333</v>
      </c>
      <c r="B95" s="48">
        <f>IFERROR(__xludf.DUMMYFUNCTION("""COMPUTED_VALUE"""),1117.3)</f>
        <v>1117.3</v>
      </c>
      <c r="C95" s="47">
        <f>IFERROR(__xludf.DUMMYFUNCTION("""COMPUTED_VALUE"""),45876.6458333333)</f>
        <v>45876.6458333333</v>
      </c>
      <c r="D95" s="48">
        <f>IFERROR(__xludf.DUMMYFUNCTION("""COMPUTED_VALUE"""),1118)</f>
        <v>1118</v>
      </c>
      <c r="E95" s="47">
        <f>IFERROR(__xludf.DUMMYFUNCTION("""COMPUTED_VALUE"""),45876.6458333333)</f>
        <v>45876.6458333333</v>
      </c>
      <c r="F95" s="48">
        <f>IFERROR(__xludf.DUMMYFUNCTION("""COMPUTED_VALUE"""),507115)</f>
        <v>507115</v>
      </c>
      <c r="G95" s="47">
        <f>IFERROR(__xludf.DUMMYFUNCTION("""COMPUTED_VALUE"""),45876.6458333333)</f>
        <v>45876.6458333333</v>
      </c>
      <c r="H95" s="48">
        <f>IFERROR(__xludf.DUMMYFUNCTION("""COMPUTED_VALUE"""),1123.2)</f>
        <v>1123.2</v>
      </c>
      <c r="I95" s="47">
        <f>IFERROR(__xludf.DUMMYFUNCTION("""COMPUTED_VALUE"""),45876.6458333333)</f>
        <v>45876.6458333333</v>
      </c>
      <c r="J95" s="48">
        <f>IFERROR(__xludf.DUMMYFUNCTION("""COMPUTED_VALUE"""),1107.5)</f>
        <v>1107.5</v>
      </c>
      <c r="K95" s="3">
        <f t="shared" si="2"/>
        <v>0</v>
      </c>
      <c r="L95" s="3">
        <f t="shared" si="3"/>
        <v>0</v>
      </c>
    </row>
    <row r="96" customHeight="1" spans="1:12">
      <c r="A96" s="47">
        <f>IFERROR(__xludf.DUMMYFUNCTION("""COMPUTED_VALUE"""),45877.6458333333)</f>
        <v>45877.6458333333</v>
      </c>
      <c r="B96" s="48">
        <f>IFERROR(__xludf.DUMMYFUNCTION("""COMPUTED_VALUE"""),1096.5)</f>
        <v>1096.5</v>
      </c>
      <c r="C96" s="47">
        <f>IFERROR(__xludf.DUMMYFUNCTION("""COMPUTED_VALUE"""),45877.6458333333)</f>
        <v>45877.6458333333</v>
      </c>
      <c r="D96" s="48">
        <f>IFERROR(__xludf.DUMMYFUNCTION("""COMPUTED_VALUE"""),1122)</f>
        <v>1122</v>
      </c>
      <c r="E96" s="47">
        <f>IFERROR(__xludf.DUMMYFUNCTION("""COMPUTED_VALUE"""),45877.6458333333)</f>
        <v>45877.6458333333</v>
      </c>
      <c r="F96" s="48">
        <f>IFERROR(__xludf.DUMMYFUNCTION("""COMPUTED_VALUE"""),1242852)</f>
        <v>1242852</v>
      </c>
      <c r="G96" s="47">
        <f>IFERROR(__xludf.DUMMYFUNCTION("""COMPUTED_VALUE"""),45877.6458333333)</f>
        <v>45877.6458333333</v>
      </c>
      <c r="H96" s="48">
        <f>IFERROR(__xludf.DUMMYFUNCTION("""COMPUTED_VALUE"""),1126.4)</f>
        <v>1126.4</v>
      </c>
      <c r="I96" s="47">
        <f>IFERROR(__xludf.DUMMYFUNCTION("""COMPUTED_VALUE"""),45877.6458333333)</f>
        <v>45877.6458333333</v>
      </c>
      <c r="J96" s="48">
        <f>IFERROR(__xludf.DUMMYFUNCTION("""COMPUTED_VALUE"""),1093.4)</f>
        <v>1093.4</v>
      </c>
      <c r="K96" s="3">
        <f t="shared" si="2"/>
        <v>0</v>
      </c>
      <c r="L96" s="3">
        <f t="shared" si="3"/>
        <v>0</v>
      </c>
    </row>
    <row r="97" customHeight="1" spans="1:12">
      <c r="A97" s="47">
        <f>IFERROR(__xludf.DUMMYFUNCTION("""COMPUTED_VALUE"""),45880.6458333333)</f>
        <v>45880.6458333333</v>
      </c>
      <c r="B97" s="48">
        <f>IFERROR(__xludf.DUMMYFUNCTION("""COMPUTED_VALUE"""),1105)</f>
        <v>1105</v>
      </c>
      <c r="C97" s="47">
        <f>IFERROR(__xludf.DUMMYFUNCTION("""COMPUTED_VALUE"""),45880.6458333333)</f>
        <v>45880.6458333333</v>
      </c>
      <c r="D97" s="48">
        <f>IFERROR(__xludf.DUMMYFUNCTION("""COMPUTED_VALUE"""),1097)</f>
        <v>1097</v>
      </c>
      <c r="E97" s="47">
        <f>IFERROR(__xludf.DUMMYFUNCTION("""COMPUTED_VALUE"""),45880.6458333333)</f>
        <v>45880.6458333333</v>
      </c>
      <c r="F97" s="48">
        <f>IFERROR(__xludf.DUMMYFUNCTION("""COMPUTED_VALUE"""),1038967)</f>
        <v>1038967</v>
      </c>
      <c r="G97" s="47">
        <f>IFERROR(__xludf.DUMMYFUNCTION("""COMPUTED_VALUE"""),45880.6458333333)</f>
        <v>45880.6458333333</v>
      </c>
      <c r="H97" s="48">
        <f>IFERROR(__xludf.DUMMYFUNCTION("""COMPUTED_VALUE"""),1108.9)</f>
        <v>1108.9</v>
      </c>
      <c r="I97" s="47">
        <f>IFERROR(__xludf.DUMMYFUNCTION("""COMPUTED_VALUE"""),45880.6458333333)</f>
        <v>45880.6458333333</v>
      </c>
      <c r="J97" s="48">
        <f>IFERROR(__xludf.DUMMYFUNCTION("""COMPUTED_VALUE"""),1087)</f>
        <v>1087</v>
      </c>
      <c r="K97" s="3">
        <f t="shared" si="2"/>
        <v>0</v>
      </c>
      <c r="L97" s="3">
        <f t="shared" si="3"/>
        <v>0</v>
      </c>
    </row>
    <row r="98" customHeight="1" spans="1:12">
      <c r="A98" s="47">
        <f>IFERROR(__xludf.DUMMYFUNCTION("""COMPUTED_VALUE"""),45881.6458333333)</f>
        <v>45881.6458333333</v>
      </c>
      <c r="B98" s="48">
        <f>IFERROR(__xludf.DUMMYFUNCTION("""COMPUTED_VALUE"""),1091.1)</f>
        <v>1091.1</v>
      </c>
      <c r="C98" s="47">
        <f>IFERROR(__xludf.DUMMYFUNCTION("""COMPUTED_VALUE"""),45881.6458333333)</f>
        <v>45881.6458333333</v>
      </c>
      <c r="D98" s="48">
        <f>IFERROR(__xludf.DUMMYFUNCTION("""COMPUTED_VALUE"""),1108)</f>
        <v>1108</v>
      </c>
      <c r="E98" s="47">
        <f>IFERROR(__xludf.DUMMYFUNCTION("""COMPUTED_VALUE"""),45881.6458333333)</f>
        <v>45881.6458333333</v>
      </c>
      <c r="F98" s="48">
        <f>IFERROR(__xludf.DUMMYFUNCTION("""COMPUTED_VALUE"""),758197)</f>
        <v>758197</v>
      </c>
      <c r="G98" s="47">
        <f>IFERROR(__xludf.DUMMYFUNCTION("""COMPUTED_VALUE"""),45881.6458333333)</f>
        <v>45881.6458333333</v>
      </c>
      <c r="H98" s="48">
        <f>IFERROR(__xludf.DUMMYFUNCTION("""COMPUTED_VALUE"""),1109.6)</f>
        <v>1109.6</v>
      </c>
      <c r="I98" s="47">
        <f>IFERROR(__xludf.DUMMYFUNCTION("""COMPUTED_VALUE"""),45881.6458333333)</f>
        <v>45881.6458333333</v>
      </c>
      <c r="J98" s="48">
        <f>IFERROR(__xludf.DUMMYFUNCTION("""COMPUTED_VALUE"""),1089)</f>
        <v>1089</v>
      </c>
      <c r="K98" s="3">
        <f t="shared" si="2"/>
        <v>0</v>
      </c>
      <c r="L98" s="3">
        <f t="shared" si="3"/>
        <v>0</v>
      </c>
    </row>
    <row r="99" customHeight="1" spans="1:12">
      <c r="A99" s="47">
        <f>IFERROR(__xludf.DUMMYFUNCTION("""COMPUTED_VALUE"""),45882.6458333333)</f>
        <v>45882.6458333333</v>
      </c>
      <c r="B99" s="48">
        <f>IFERROR(__xludf.DUMMYFUNCTION("""COMPUTED_VALUE"""),1096.9)</f>
        <v>1096.9</v>
      </c>
      <c r="C99" s="47">
        <f>IFERROR(__xludf.DUMMYFUNCTION("""COMPUTED_VALUE"""),45882.6458333333)</f>
        <v>45882.6458333333</v>
      </c>
      <c r="D99" s="48">
        <f>IFERROR(__xludf.DUMMYFUNCTION("""COMPUTED_VALUE"""),1091.1)</f>
        <v>1091.1</v>
      </c>
      <c r="E99" s="47">
        <f>IFERROR(__xludf.DUMMYFUNCTION("""COMPUTED_VALUE"""),45882.6458333333)</f>
        <v>45882.6458333333</v>
      </c>
      <c r="F99" s="48">
        <f>IFERROR(__xludf.DUMMYFUNCTION("""COMPUTED_VALUE"""),813725)</f>
        <v>813725</v>
      </c>
      <c r="G99" s="47">
        <f>IFERROR(__xludf.DUMMYFUNCTION("""COMPUTED_VALUE"""),45882.6458333333)</f>
        <v>45882.6458333333</v>
      </c>
      <c r="H99" s="48">
        <f>IFERROR(__xludf.DUMMYFUNCTION("""COMPUTED_VALUE"""),1100.8)</f>
        <v>1100.8</v>
      </c>
      <c r="I99" s="47">
        <f>IFERROR(__xludf.DUMMYFUNCTION("""COMPUTED_VALUE"""),45882.6458333333)</f>
        <v>45882.6458333333</v>
      </c>
      <c r="J99" s="48">
        <f>IFERROR(__xludf.DUMMYFUNCTION("""COMPUTED_VALUE"""),1086.6)</f>
        <v>1086.6</v>
      </c>
      <c r="K99" s="3">
        <f t="shared" si="2"/>
        <v>0</v>
      </c>
      <c r="L99" s="3">
        <f t="shared" si="3"/>
        <v>0</v>
      </c>
    </row>
    <row r="100" customHeight="1" spans="1:12">
      <c r="A100" s="47">
        <f>IFERROR(__xludf.DUMMYFUNCTION("""COMPUTED_VALUE"""),45883.6458333333)</f>
        <v>45883.6458333333</v>
      </c>
      <c r="B100" s="48">
        <f>IFERROR(__xludf.DUMMYFUNCTION("""COMPUTED_VALUE"""),1089.4)</f>
        <v>1089.4</v>
      </c>
      <c r="C100" s="47">
        <f>IFERROR(__xludf.DUMMYFUNCTION("""COMPUTED_VALUE"""),45883.6458333333)</f>
        <v>45883.6458333333</v>
      </c>
      <c r="D100" s="48">
        <f>IFERROR(__xludf.DUMMYFUNCTION("""COMPUTED_VALUE"""),1099.9)</f>
        <v>1099.9</v>
      </c>
      <c r="E100" s="47">
        <f>IFERROR(__xludf.DUMMYFUNCTION("""COMPUTED_VALUE"""),45883.6458333333)</f>
        <v>45883.6458333333</v>
      </c>
      <c r="F100" s="48">
        <f>IFERROR(__xludf.DUMMYFUNCTION("""COMPUTED_VALUE"""),941698)</f>
        <v>941698</v>
      </c>
      <c r="G100" s="47">
        <f>IFERROR(__xludf.DUMMYFUNCTION("""COMPUTED_VALUE"""),45883.6458333333)</f>
        <v>45883.6458333333</v>
      </c>
      <c r="H100" s="48">
        <f>IFERROR(__xludf.DUMMYFUNCTION("""COMPUTED_VALUE"""),1103)</f>
        <v>1103</v>
      </c>
      <c r="I100" s="47">
        <f>IFERROR(__xludf.DUMMYFUNCTION("""COMPUTED_VALUE"""),45883.6458333333)</f>
        <v>45883.6458333333</v>
      </c>
      <c r="J100" s="48">
        <f>IFERROR(__xludf.DUMMYFUNCTION("""COMPUTED_VALUE"""),1084.7)</f>
        <v>1084.7</v>
      </c>
      <c r="K100" s="3">
        <f t="shared" si="2"/>
        <v>0</v>
      </c>
      <c r="L100" s="3">
        <f t="shared" si="3"/>
        <v>1089.4</v>
      </c>
    </row>
    <row r="101" customHeight="1" spans="1:12">
      <c r="A101" s="47">
        <f>IFERROR(__xludf.DUMMYFUNCTION("""COMPUTED_VALUE"""),45887.6458333333)</f>
        <v>45887.6458333333</v>
      </c>
      <c r="B101" s="48">
        <f>IFERROR(__xludf.DUMMYFUNCTION("""COMPUTED_VALUE"""),1144.1)</f>
        <v>1144.1</v>
      </c>
      <c r="C101" s="47">
        <f>IFERROR(__xludf.DUMMYFUNCTION("""COMPUTED_VALUE"""),45887.6458333333)</f>
        <v>45887.6458333333</v>
      </c>
      <c r="D101" s="48">
        <f>IFERROR(__xludf.DUMMYFUNCTION("""COMPUTED_VALUE"""),1120.5)</f>
        <v>1120.5</v>
      </c>
      <c r="E101" s="47">
        <f>IFERROR(__xludf.DUMMYFUNCTION("""COMPUTED_VALUE"""),45887.6458333333)</f>
        <v>45887.6458333333</v>
      </c>
      <c r="F101" s="48">
        <f>IFERROR(__xludf.DUMMYFUNCTION("""COMPUTED_VALUE"""),3478231)</f>
        <v>3478231</v>
      </c>
      <c r="G101" s="47">
        <f>IFERROR(__xludf.DUMMYFUNCTION("""COMPUTED_VALUE"""),45887.6458333333)</f>
        <v>45887.6458333333</v>
      </c>
      <c r="H101" s="48">
        <f>IFERROR(__xludf.DUMMYFUNCTION("""COMPUTED_VALUE"""),1169.9)</f>
        <v>1169.9</v>
      </c>
      <c r="I101" s="47">
        <f>IFERROR(__xludf.DUMMYFUNCTION("""COMPUTED_VALUE"""),45887.6458333333)</f>
        <v>45887.6458333333</v>
      </c>
      <c r="J101" s="48">
        <f>IFERROR(__xludf.DUMMYFUNCTION("""COMPUTED_VALUE"""),1120.5)</f>
        <v>1120.5</v>
      </c>
      <c r="K101" s="3">
        <f t="shared" si="2"/>
        <v>0</v>
      </c>
      <c r="L101" s="3">
        <f t="shared" si="3"/>
        <v>0</v>
      </c>
    </row>
    <row r="102" customHeight="1" spans="1:12">
      <c r="A102" s="47">
        <f>IFERROR(__xludf.DUMMYFUNCTION("""COMPUTED_VALUE"""),45888.6458333333)</f>
        <v>45888.6458333333</v>
      </c>
      <c r="B102" s="48">
        <f>IFERROR(__xludf.DUMMYFUNCTION("""COMPUTED_VALUE"""),1161.4)</f>
        <v>1161.4</v>
      </c>
      <c r="C102" s="47">
        <f>IFERROR(__xludf.DUMMYFUNCTION("""COMPUTED_VALUE"""),45888.6458333333)</f>
        <v>45888.6458333333</v>
      </c>
      <c r="D102" s="48">
        <f>IFERROR(__xludf.DUMMYFUNCTION("""COMPUTED_VALUE"""),1149.6)</f>
        <v>1149.6</v>
      </c>
      <c r="E102" s="47">
        <f>IFERROR(__xludf.DUMMYFUNCTION("""COMPUTED_VALUE"""),45888.6458333333)</f>
        <v>45888.6458333333</v>
      </c>
      <c r="F102" s="48">
        <f>IFERROR(__xludf.DUMMYFUNCTION("""COMPUTED_VALUE"""),1851158)</f>
        <v>1851158</v>
      </c>
      <c r="G102" s="47">
        <f>IFERROR(__xludf.DUMMYFUNCTION("""COMPUTED_VALUE"""),45888.6458333333)</f>
        <v>45888.6458333333</v>
      </c>
      <c r="H102" s="48">
        <f>IFERROR(__xludf.DUMMYFUNCTION("""COMPUTED_VALUE"""),1168)</f>
        <v>1168</v>
      </c>
      <c r="I102" s="47">
        <f>IFERROR(__xludf.DUMMYFUNCTION("""COMPUTED_VALUE"""),45888.6458333333)</f>
        <v>45888.6458333333</v>
      </c>
      <c r="J102" s="48">
        <f>IFERROR(__xludf.DUMMYFUNCTION("""COMPUTED_VALUE"""),1130.2)</f>
        <v>1130.2</v>
      </c>
      <c r="K102" s="3">
        <f t="shared" si="2"/>
        <v>0</v>
      </c>
      <c r="L102" s="3">
        <f t="shared" si="3"/>
        <v>0</v>
      </c>
    </row>
    <row r="103" customHeight="1" spans="1:12">
      <c r="A103" s="47">
        <f>IFERROR(__xludf.DUMMYFUNCTION("""COMPUTED_VALUE"""),45889.6458333333)</f>
        <v>45889.6458333333</v>
      </c>
      <c r="B103" s="48">
        <f>IFERROR(__xludf.DUMMYFUNCTION("""COMPUTED_VALUE"""),1190.3)</f>
        <v>1190.3</v>
      </c>
      <c r="C103" s="47">
        <f>IFERROR(__xludf.DUMMYFUNCTION("""COMPUTED_VALUE"""),45889.6458333333)</f>
        <v>45889.6458333333</v>
      </c>
      <c r="D103" s="48">
        <f>IFERROR(__xludf.DUMMYFUNCTION("""COMPUTED_VALUE"""),1165)</f>
        <v>1165</v>
      </c>
      <c r="E103" s="47">
        <f>IFERROR(__xludf.DUMMYFUNCTION("""COMPUTED_VALUE"""),45889.6458333333)</f>
        <v>45889.6458333333</v>
      </c>
      <c r="F103" s="48">
        <f>IFERROR(__xludf.DUMMYFUNCTION("""COMPUTED_VALUE"""),1652532)</f>
        <v>1652532</v>
      </c>
      <c r="G103" s="47">
        <f>IFERROR(__xludf.DUMMYFUNCTION("""COMPUTED_VALUE"""),45889.6458333333)</f>
        <v>45889.6458333333</v>
      </c>
      <c r="H103" s="48">
        <f>IFERROR(__xludf.DUMMYFUNCTION("""COMPUTED_VALUE"""),1192.8)</f>
        <v>1192.8</v>
      </c>
      <c r="I103" s="47">
        <f>IFERROR(__xludf.DUMMYFUNCTION("""COMPUTED_VALUE"""),45889.6458333333)</f>
        <v>45889.6458333333</v>
      </c>
      <c r="J103" s="48">
        <f>IFERROR(__xludf.DUMMYFUNCTION("""COMPUTED_VALUE"""),1156.7)</f>
        <v>1156.7</v>
      </c>
      <c r="K103" s="3">
        <f t="shared" si="2"/>
        <v>1190.3</v>
      </c>
      <c r="L103" s="3">
        <f t="shared" si="3"/>
        <v>0</v>
      </c>
    </row>
    <row r="104" customHeight="1" spans="1:12">
      <c r="A104" s="47">
        <f>IFERROR(__xludf.DUMMYFUNCTION("""COMPUTED_VALUE"""),45890.6458333333)</f>
        <v>45890.6458333333</v>
      </c>
      <c r="B104" s="48">
        <f>IFERROR(__xludf.DUMMYFUNCTION("""COMPUTED_VALUE"""),1179.4)</f>
        <v>1179.4</v>
      </c>
      <c r="C104" s="47">
        <f>IFERROR(__xludf.DUMMYFUNCTION("""COMPUTED_VALUE"""),45890.6458333333)</f>
        <v>45890.6458333333</v>
      </c>
      <c r="D104" s="48">
        <f>IFERROR(__xludf.DUMMYFUNCTION("""COMPUTED_VALUE"""),1190)</f>
        <v>1190</v>
      </c>
      <c r="E104" s="47">
        <f>IFERROR(__xludf.DUMMYFUNCTION("""COMPUTED_VALUE"""),45890.6458333333)</f>
        <v>45890.6458333333</v>
      </c>
      <c r="F104" s="48">
        <f>IFERROR(__xludf.DUMMYFUNCTION("""COMPUTED_VALUE"""),991563)</f>
        <v>991563</v>
      </c>
      <c r="G104" s="47">
        <f>IFERROR(__xludf.DUMMYFUNCTION("""COMPUTED_VALUE"""),45890.6458333333)</f>
        <v>45890.6458333333</v>
      </c>
      <c r="H104" s="48">
        <f>IFERROR(__xludf.DUMMYFUNCTION("""COMPUTED_VALUE"""),1190.3)</f>
        <v>1190.3</v>
      </c>
      <c r="I104" s="47">
        <f>IFERROR(__xludf.DUMMYFUNCTION("""COMPUTED_VALUE"""),45890.6458333333)</f>
        <v>45890.6458333333</v>
      </c>
      <c r="J104" s="48">
        <f>IFERROR(__xludf.DUMMYFUNCTION("""COMPUTED_VALUE"""),1168.8)</f>
        <v>1168.8</v>
      </c>
      <c r="K104" s="3">
        <f t="shared" si="2"/>
        <v>0</v>
      </c>
      <c r="L104" s="3">
        <f t="shared" si="3"/>
        <v>0</v>
      </c>
    </row>
    <row r="105" customHeight="1" spans="1:12">
      <c r="A105" s="47">
        <f>IFERROR(__xludf.DUMMYFUNCTION("""COMPUTED_VALUE"""),45891.6458333333)</f>
        <v>45891.6458333333</v>
      </c>
      <c r="B105" s="48">
        <f>IFERROR(__xludf.DUMMYFUNCTION("""COMPUTED_VALUE"""),1162.9)</f>
        <v>1162.9</v>
      </c>
      <c r="C105" s="47">
        <f>IFERROR(__xludf.DUMMYFUNCTION("""COMPUTED_VALUE"""),45891.6458333333)</f>
        <v>45891.6458333333</v>
      </c>
      <c r="D105" s="48">
        <f>IFERROR(__xludf.DUMMYFUNCTION("""COMPUTED_VALUE"""),1175)</f>
        <v>1175</v>
      </c>
      <c r="E105" s="47">
        <f>IFERROR(__xludf.DUMMYFUNCTION("""COMPUTED_VALUE"""),45891.6458333333)</f>
        <v>45891.6458333333</v>
      </c>
      <c r="F105" s="48">
        <f>IFERROR(__xludf.DUMMYFUNCTION("""COMPUTED_VALUE"""),921658)</f>
        <v>921658</v>
      </c>
      <c r="G105" s="47">
        <f>IFERROR(__xludf.DUMMYFUNCTION("""COMPUTED_VALUE"""),45891.6458333333)</f>
        <v>45891.6458333333</v>
      </c>
      <c r="H105" s="48">
        <f>IFERROR(__xludf.DUMMYFUNCTION("""COMPUTED_VALUE"""),1191)</f>
        <v>1191</v>
      </c>
      <c r="I105" s="47">
        <f>IFERROR(__xludf.DUMMYFUNCTION("""COMPUTED_VALUE"""),45891.6458333333)</f>
        <v>45891.6458333333</v>
      </c>
      <c r="J105" s="48">
        <f>IFERROR(__xludf.DUMMYFUNCTION("""COMPUTED_VALUE"""),1158)</f>
        <v>1158</v>
      </c>
      <c r="K105" s="3">
        <f t="shared" si="2"/>
        <v>0</v>
      </c>
      <c r="L105" s="3">
        <f t="shared" si="3"/>
        <v>0</v>
      </c>
    </row>
    <row r="106" customHeight="1" spans="1:12">
      <c r="A106" s="47">
        <f>IFERROR(__xludf.DUMMYFUNCTION("""COMPUTED_VALUE"""),45894.6458333333)</f>
        <v>45894.6458333333</v>
      </c>
      <c r="B106" s="48">
        <f>IFERROR(__xludf.DUMMYFUNCTION("""COMPUTED_VALUE"""),1153)</f>
        <v>1153</v>
      </c>
      <c r="C106" s="47">
        <f>IFERROR(__xludf.DUMMYFUNCTION("""COMPUTED_VALUE"""),45894.6458333333)</f>
        <v>45894.6458333333</v>
      </c>
      <c r="D106" s="48">
        <f>IFERROR(__xludf.DUMMYFUNCTION("""COMPUTED_VALUE"""),1162.9)</f>
        <v>1162.9</v>
      </c>
      <c r="E106" s="47">
        <f>IFERROR(__xludf.DUMMYFUNCTION("""COMPUTED_VALUE"""),45894.6458333333)</f>
        <v>45894.6458333333</v>
      </c>
      <c r="F106" s="48">
        <f>IFERROR(__xludf.DUMMYFUNCTION("""COMPUTED_VALUE"""),931358)</f>
        <v>931358</v>
      </c>
      <c r="G106" s="47">
        <f>IFERROR(__xludf.DUMMYFUNCTION("""COMPUTED_VALUE"""),45894.6458333333)</f>
        <v>45894.6458333333</v>
      </c>
      <c r="H106" s="48">
        <f>IFERROR(__xludf.DUMMYFUNCTION("""COMPUTED_VALUE"""),1166.8)</f>
        <v>1166.8</v>
      </c>
      <c r="I106" s="47">
        <f>IFERROR(__xludf.DUMMYFUNCTION("""COMPUTED_VALUE"""),45894.6458333333)</f>
        <v>45894.6458333333</v>
      </c>
      <c r="J106" s="48">
        <f>IFERROR(__xludf.DUMMYFUNCTION("""COMPUTED_VALUE"""),1148.8)</f>
        <v>1148.8</v>
      </c>
      <c r="K106" s="3">
        <f t="shared" si="2"/>
        <v>0</v>
      </c>
      <c r="L106" s="3">
        <f t="shared" si="3"/>
        <v>0</v>
      </c>
    </row>
    <row r="107" customHeight="1" spans="1:12">
      <c r="A107" s="47">
        <f>IFERROR(__xludf.DUMMYFUNCTION("""COMPUTED_VALUE"""),45895.6458333333)</f>
        <v>45895.6458333333</v>
      </c>
      <c r="B107" s="48">
        <f>IFERROR(__xludf.DUMMYFUNCTION("""COMPUTED_VALUE"""),1162.2)</f>
        <v>1162.2</v>
      </c>
      <c r="C107" s="47">
        <f>IFERROR(__xludf.DUMMYFUNCTION("""COMPUTED_VALUE"""),45895.6458333333)</f>
        <v>45895.6458333333</v>
      </c>
      <c r="D107" s="48">
        <f>IFERROR(__xludf.DUMMYFUNCTION("""COMPUTED_VALUE"""),1149)</f>
        <v>1149</v>
      </c>
      <c r="E107" s="47">
        <f>IFERROR(__xludf.DUMMYFUNCTION("""COMPUTED_VALUE"""),45895.6458333333)</f>
        <v>45895.6458333333</v>
      </c>
      <c r="F107" s="48">
        <f>IFERROR(__xludf.DUMMYFUNCTION("""COMPUTED_VALUE"""),3619892)</f>
        <v>3619892</v>
      </c>
      <c r="G107" s="47">
        <f>IFERROR(__xludf.DUMMYFUNCTION("""COMPUTED_VALUE"""),45895.6458333333)</f>
        <v>45895.6458333333</v>
      </c>
      <c r="H107" s="48">
        <f>IFERROR(__xludf.DUMMYFUNCTION("""COMPUTED_VALUE"""),1179)</f>
        <v>1179</v>
      </c>
      <c r="I107" s="47">
        <f>IFERROR(__xludf.DUMMYFUNCTION("""COMPUTED_VALUE"""),45895.6458333333)</f>
        <v>45895.6458333333</v>
      </c>
      <c r="J107" s="48">
        <f>IFERROR(__xludf.DUMMYFUNCTION("""COMPUTED_VALUE"""),1149)</f>
        <v>1149</v>
      </c>
      <c r="K107" s="3">
        <f t="shared" si="2"/>
        <v>0</v>
      </c>
      <c r="L107" s="3">
        <f t="shared" si="3"/>
        <v>0</v>
      </c>
    </row>
    <row r="108" customHeight="1" spans="1:12">
      <c r="A108" s="47">
        <f>IFERROR(__xludf.DUMMYFUNCTION("""COMPUTED_VALUE"""),45897.6458333333)</f>
        <v>45897.6458333333</v>
      </c>
      <c r="B108" s="48">
        <f>IFERROR(__xludf.DUMMYFUNCTION("""COMPUTED_VALUE"""),1162.4)</f>
        <v>1162.4</v>
      </c>
      <c r="C108" s="47">
        <f>IFERROR(__xludf.DUMMYFUNCTION("""COMPUTED_VALUE"""),45897.6458333333)</f>
        <v>45897.6458333333</v>
      </c>
      <c r="D108" s="48">
        <f>IFERROR(__xludf.DUMMYFUNCTION("""COMPUTED_VALUE"""),1165.6)</f>
        <v>1165.6</v>
      </c>
      <c r="E108" s="47">
        <f>IFERROR(__xludf.DUMMYFUNCTION("""COMPUTED_VALUE"""),45897.6458333333)</f>
        <v>45897.6458333333</v>
      </c>
      <c r="F108" s="48">
        <f>IFERROR(__xludf.DUMMYFUNCTION("""COMPUTED_VALUE"""),1065888)</f>
        <v>1065888</v>
      </c>
      <c r="G108" s="47">
        <f>IFERROR(__xludf.DUMMYFUNCTION("""COMPUTED_VALUE"""),45897.6458333333)</f>
        <v>45897.6458333333</v>
      </c>
      <c r="H108" s="48">
        <f>IFERROR(__xludf.DUMMYFUNCTION("""COMPUTED_VALUE"""),1168.2)</f>
        <v>1168.2</v>
      </c>
      <c r="I108" s="47">
        <f>IFERROR(__xludf.DUMMYFUNCTION("""COMPUTED_VALUE"""),45897.6458333333)</f>
        <v>45897.6458333333</v>
      </c>
      <c r="J108" s="48">
        <f>IFERROR(__xludf.DUMMYFUNCTION("""COMPUTED_VALUE"""),1155)</f>
        <v>1155</v>
      </c>
      <c r="K108" s="3">
        <f t="shared" si="2"/>
        <v>0</v>
      </c>
      <c r="L108" s="3">
        <f t="shared" si="3"/>
        <v>0</v>
      </c>
    </row>
    <row r="109" customHeight="1" spans="1:12">
      <c r="A109" s="47">
        <f>IFERROR(__xludf.DUMMYFUNCTION("""COMPUTED_VALUE"""),45898.6458333333)</f>
        <v>45898.6458333333</v>
      </c>
      <c r="B109" s="48">
        <f>IFERROR(__xludf.DUMMYFUNCTION("""COMPUTED_VALUE"""),1156.2)</f>
        <v>1156.2</v>
      </c>
      <c r="C109" s="47">
        <f>IFERROR(__xludf.DUMMYFUNCTION("""COMPUTED_VALUE"""),45898.6458333333)</f>
        <v>45898.6458333333</v>
      </c>
      <c r="D109" s="48">
        <f>IFERROR(__xludf.DUMMYFUNCTION("""COMPUTED_VALUE"""),1160.3)</f>
        <v>1160.3</v>
      </c>
      <c r="E109" s="47">
        <f>IFERROR(__xludf.DUMMYFUNCTION("""COMPUTED_VALUE"""),45898.6458333333)</f>
        <v>45898.6458333333</v>
      </c>
      <c r="F109" s="48">
        <f>IFERROR(__xludf.DUMMYFUNCTION("""COMPUTED_VALUE"""),1593255)</f>
        <v>1593255</v>
      </c>
      <c r="G109" s="47">
        <f>IFERROR(__xludf.DUMMYFUNCTION("""COMPUTED_VALUE"""),45898.6458333333)</f>
        <v>45898.6458333333</v>
      </c>
      <c r="H109" s="48">
        <f>IFERROR(__xludf.DUMMYFUNCTION("""COMPUTED_VALUE"""),1184.4)</f>
        <v>1184.4</v>
      </c>
      <c r="I109" s="47">
        <f>IFERROR(__xludf.DUMMYFUNCTION("""COMPUTED_VALUE"""),45898.6458333333)</f>
        <v>45898.6458333333</v>
      </c>
      <c r="J109" s="48">
        <f>IFERROR(__xludf.DUMMYFUNCTION("""COMPUTED_VALUE"""),1150)</f>
        <v>1150</v>
      </c>
      <c r="K109" s="3">
        <f t="shared" si="2"/>
        <v>0</v>
      </c>
      <c r="L109" s="3">
        <f t="shared" si="3"/>
        <v>0</v>
      </c>
    </row>
    <row r="110" customHeight="1" spans="1:12">
      <c r="A110" s="47">
        <f>IFERROR(__xludf.DUMMYFUNCTION("""COMPUTED_VALUE"""),45901.6458333333)</f>
        <v>45901.6458333333</v>
      </c>
      <c r="B110" s="48">
        <f>IFERROR(__xludf.DUMMYFUNCTION("""COMPUTED_VALUE"""),1174.4)</f>
        <v>1174.4</v>
      </c>
      <c r="C110" s="47">
        <f>IFERROR(__xludf.DUMMYFUNCTION("""COMPUTED_VALUE"""),45901.6458333333)</f>
        <v>45901.6458333333</v>
      </c>
      <c r="D110" s="48">
        <f>IFERROR(__xludf.DUMMYFUNCTION("""COMPUTED_VALUE"""),1157.9)</f>
        <v>1157.9</v>
      </c>
      <c r="E110" s="47">
        <f>IFERROR(__xludf.DUMMYFUNCTION("""COMPUTED_VALUE"""),45901.6458333333)</f>
        <v>45901.6458333333</v>
      </c>
      <c r="F110" s="48">
        <f>IFERROR(__xludf.DUMMYFUNCTION("""COMPUTED_VALUE"""),643866)</f>
        <v>643866</v>
      </c>
      <c r="G110" s="47">
        <f>IFERROR(__xludf.DUMMYFUNCTION("""COMPUTED_VALUE"""),45901.6458333333)</f>
        <v>45901.6458333333</v>
      </c>
      <c r="H110" s="48">
        <f>IFERROR(__xludf.DUMMYFUNCTION("""COMPUTED_VALUE"""),1176)</f>
        <v>1176</v>
      </c>
      <c r="I110" s="47">
        <f>IFERROR(__xludf.DUMMYFUNCTION("""COMPUTED_VALUE"""),45901.6458333333)</f>
        <v>45901.6458333333</v>
      </c>
      <c r="J110" s="48">
        <f>IFERROR(__xludf.DUMMYFUNCTION("""COMPUTED_VALUE"""),1156.2)</f>
        <v>1156.2</v>
      </c>
      <c r="K110" s="3">
        <f t="shared" si="2"/>
        <v>0</v>
      </c>
      <c r="L110" s="3">
        <f t="shared" si="3"/>
        <v>0</v>
      </c>
    </row>
    <row r="111" customHeight="1" spans="1:12">
      <c r="A111" s="47">
        <f>IFERROR(__xludf.DUMMYFUNCTION("""COMPUTED_VALUE"""),45902.6458333333)</f>
        <v>45902.6458333333</v>
      </c>
      <c r="B111" s="48">
        <f>IFERROR(__xludf.DUMMYFUNCTION("""COMPUTED_VALUE"""),1200.9)</f>
        <v>1200.9</v>
      </c>
      <c r="C111" s="47">
        <f>IFERROR(__xludf.DUMMYFUNCTION("""COMPUTED_VALUE"""),45902.6458333333)</f>
        <v>45902.6458333333</v>
      </c>
      <c r="D111" s="48">
        <f>IFERROR(__xludf.DUMMYFUNCTION("""COMPUTED_VALUE"""),1174.4)</f>
        <v>1174.4</v>
      </c>
      <c r="E111" s="47">
        <f>IFERROR(__xludf.DUMMYFUNCTION("""COMPUTED_VALUE"""),45902.6458333333)</f>
        <v>45902.6458333333</v>
      </c>
      <c r="F111" s="48">
        <f>IFERROR(__xludf.DUMMYFUNCTION("""COMPUTED_VALUE"""),1773623)</f>
        <v>1773623</v>
      </c>
      <c r="G111" s="47">
        <f>IFERROR(__xludf.DUMMYFUNCTION("""COMPUTED_VALUE"""),45902.6458333333)</f>
        <v>45902.6458333333</v>
      </c>
      <c r="H111" s="48">
        <f>IFERROR(__xludf.DUMMYFUNCTION("""COMPUTED_VALUE"""),1202.5)</f>
        <v>1202.5</v>
      </c>
      <c r="I111" s="47">
        <f>IFERROR(__xludf.DUMMYFUNCTION("""COMPUTED_VALUE"""),45902.6458333333)</f>
        <v>45902.6458333333</v>
      </c>
      <c r="J111" s="48">
        <f>IFERROR(__xludf.DUMMYFUNCTION("""COMPUTED_VALUE"""),1172.4)</f>
        <v>1172.4</v>
      </c>
      <c r="K111" s="3">
        <f t="shared" si="2"/>
        <v>0</v>
      </c>
      <c r="L111" s="3">
        <f t="shared" si="3"/>
        <v>0</v>
      </c>
    </row>
    <row r="112" customHeight="1" spans="1:12">
      <c r="A112" s="47">
        <f>IFERROR(__xludf.DUMMYFUNCTION("""COMPUTED_VALUE"""),45903.6458333333)</f>
        <v>45903.6458333333</v>
      </c>
      <c r="B112" s="48">
        <f>IFERROR(__xludf.DUMMYFUNCTION("""COMPUTED_VALUE"""),1194.8)</f>
        <v>1194.8</v>
      </c>
      <c r="C112" s="47">
        <f>IFERROR(__xludf.DUMMYFUNCTION("""COMPUTED_VALUE"""),45903.6458333333)</f>
        <v>45903.6458333333</v>
      </c>
      <c r="D112" s="48">
        <f>IFERROR(__xludf.DUMMYFUNCTION("""COMPUTED_VALUE"""),1206.5)</f>
        <v>1206.5</v>
      </c>
      <c r="E112" s="47">
        <f>IFERROR(__xludf.DUMMYFUNCTION("""COMPUTED_VALUE"""),45903.6458333333)</f>
        <v>45903.6458333333</v>
      </c>
      <c r="F112" s="48">
        <f>IFERROR(__xludf.DUMMYFUNCTION("""COMPUTED_VALUE"""),827824)</f>
        <v>827824</v>
      </c>
      <c r="G112" s="47">
        <f>IFERROR(__xludf.DUMMYFUNCTION("""COMPUTED_VALUE"""),45903.6458333333)</f>
        <v>45903.6458333333</v>
      </c>
      <c r="H112" s="48">
        <f>IFERROR(__xludf.DUMMYFUNCTION("""COMPUTED_VALUE"""),1206.5)</f>
        <v>1206.5</v>
      </c>
      <c r="I112" s="47">
        <f>IFERROR(__xludf.DUMMYFUNCTION("""COMPUTED_VALUE"""),45903.6458333333)</f>
        <v>45903.6458333333</v>
      </c>
      <c r="J112" s="48">
        <f>IFERROR(__xludf.DUMMYFUNCTION("""COMPUTED_VALUE"""),1191.3)</f>
        <v>1191.3</v>
      </c>
      <c r="K112" s="3">
        <f t="shared" si="2"/>
        <v>0</v>
      </c>
      <c r="L112" s="3">
        <f t="shared" si="3"/>
        <v>0</v>
      </c>
    </row>
    <row r="113" customHeight="1" spans="1:12">
      <c r="A113" s="47">
        <f>IFERROR(__xludf.DUMMYFUNCTION("""COMPUTED_VALUE"""),45904.6458333333)</f>
        <v>45904.6458333333</v>
      </c>
      <c r="B113" s="48">
        <f>IFERROR(__xludf.DUMMYFUNCTION("""COMPUTED_VALUE"""),1212.6)</f>
        <v>1212.6</v>
      </c>
      <c r="C113" s="47">
        <f>IFERROR(__xludf.DUMMYFUNCTION("""COMPUTED_VALUE"""),45904.6458333333)</f>
        <v>45904.6458333333</v>
      </c>
      <c r="D113" s="48">
        <f>IFERROR(__xludf.DUMMYFUNCTION("""COMPUTED_VALUE"""),1230)</f>
        <v>1230</v>
      </c>
      <c r="E113" s="47">
        <f>IFERROR(__xludf.DUMMYFUNCTION("""COMPUTED_VALUE"""),45904.6458333333)</f>
        <v>45904.6458333333</v>
      </c>
      <c r="F113" s="48">
        <f>IFERROR(__xludf.DUMMYFUNCTION("""COMPUTED_VALUE"""),3346196)</f>
        <v>3346196</v>
      </c>
      <c r="G113" s="47">
        <f>IFERROR(__xludf.DUMMYFUNCTION("""COMPUTED_VALUE"""),45904.6458333333)</f>
        <v>45904.6458333333</v>
      </c>
      <c r="H113" s="48">
        <f>IFERROR(__xludf.DUMMYFUNCTION("""COMPUTED_VALUE"""),1238.2)</f>
        <v>1238.2</v>
      </c>
      <c r="I113" s="47">
        <f>IFERROR(__xludf.DUMMYFUNCTION("""COMPUTED_VALUE"""),45904.6458333333)</f>
        <v>45904.6458333333</v>
      </c>
      <c r="J113" s="48">
        <f>IFERROR(__xludf.DUMMYFUNCTION("""COMPUTED_VALUE"""),1208)</f>
        <v>1208</v>
      </c>
      <c r="K113" s="3">
        <f t="shared" si="2"/>
        <v>0</v>
      </c>
      <c r="L113" s="3">
        <f t="shared" si="3"/>
        <v>0</v>
      </c>
    </row>
    <row r="114" customHeight="1" spans="1:12">
      <c r="A114" s="47">
        <f>IFERROR(__xludf.DUMMYFUNCTION("""COMPUTED_VALUE"""),45905.6458333333)</f>
        <v>45905.6458333333</v>
      </c>
      <c r="B114" s="48">
        <f>IFERROR(__xludf.DUMMYFUNCTION("""COMPUTED_VALUE"""),1208.5)</f>
        <v>1208.5</v>
      </c>
      <c r="C114" s="47">
        <f>IFERROR(__xludf.DUMMYFUNCTION("""COMPUTED_VALUE"""),45905.6458333333)</f>
        <v>45905.6458333333</v>
      </c>
      <c r="D114" s="48">
        <f>IFERROR(__xludf.DUMMYFUNCTION("""COMPUTED_VALUE"""),1212)</f>
        <v>1212</v>
      </c>
      <c r="E114" s="47">
        <f>IFERROR(__xludf.DUMMYFUNCTION("""COMPUTED_VALUE"""),45905.6458333333)</f>
        <v>45905.6458333333</v>
      </c>
      <c r="F114" s="48">
        <f>IFERROR(__xludf.DUMMYFUNCTION("""COMPUTED_VALUE"""),1434458)</f>
        <v>1434458</v>
      </c>
      <c r="G114" s="47">
        <f>IFERROR(__xludf.DUMMYFUNCTION("""COMPUTED_VALUE"""),45905.6458333333)</f>
        <v>45905.6458333333</v>
      </c>
      <c r="H114" s="48">
        <f>IFERROR(__xludf.DUMMYFUNCTION("""COMPUTED_VALUE"""),1216.4)</f>
        <v>1216.4</v>
      </c>
      <c r="I114" s="47">
        <f>IFERROR(__xludf.DUMMYFUNCTION("""COMPUTED_VALUE"""),45905.6458333333)</f>
        <v>45905.6458333333</v>
      </c>
      <c r="J114" s="48">
        <f>IFERROR(__xludf.DUMMYFUNCTION("""COMPUTED_VALUE"""),1191)</f>
        <v>1191</v>
      </c>
      <c r="K114" s="3">
        <f t="shared" si="2"/>
        <v>0</v>
      </c>
      <c r="L114" s="3">
        <f t="shared" si="3"/>
        <v>0</v>
      </c>
    </row>
    <row r="115" customHeight="1" spans="1:12">
      <c r="A115" s="47">
        <f>IFERROR(__xludf.DUMMYFUNCTION("""COMPUTED_VALUE"""),45908.6458333333)</f>
        <v>45908.6458333333</v>
      </c>
      <c r="B115" s="48">
        <f>IFERROR(__xludf.DUMMYFUNCTION("""COMPUTED_VALUE"""),1187.7)</f>
        <v>1187.7</v>
      </c>
      <c r="C115" s="47">
        <f>IFERROR(__xludf.DUMMYFUNCTION("""COMPUTED_VALUE"""),45908.6458333333)</f>
        <v>45908.6458333333</v>
      </c>
      <c r="D115" s="48">
        <f>IFERROR(__xludf.DUMMYFUNCTION("""COMPUTED_VALUE"""),1208.5)</f>
        <v>1208.5</v>
      </c>
      <c r="E115" s="47">
        <f>IFERROR(__xludf.DUMMYFUNCTION("""COMPUTED_VALUE"""),45908.6458333333)</f>
        <v>45908.6458333333</v>
      </c>
      <c r="F115" s="48">
        <f>IFERROR(__xludf.DUMMYFUNCTION("""COMPUTED_VALUE"""),1112974)</f>
        <v>1112974</v>
      </c>
      <c r="G115" s="47">
        <f>IFERROR(__xludf.DUMMYFUNCTION("""COMPUTED_VALUE"""),45908.6458333333)</f>
        <v>45908.6458333333</v>
      </c>
      <c r="H115" s="48">
        <f>IFERROR(__xludf.DUMMYFUNCTION("""COMPUTED_VALUE"""),1211)</f>
        <v>1211</v>
      </c>
      <c r="I115" s="47">
        <f>IFERROR(__xludf.DUMMYFUNCTION("""COMPUTED_VALUE"""),45908.6458333333)</f>
        <v>45908.6458333333</v>
      </c>
      <c r="J115" s="48">
        <f>IFERROR(__xludf.DUMMYFUNCTION("""COMPUTED_VALUE"""),1185.2)</f>
        <v>1185.2</v>
      </c>
      <c r="K115" s="3">
        <f t="shared" si="2"/>
        <v>0</v>
      </c>
      <c r="L115" s="3">
        <f t="shared" si="3"/>
        <v>0</v>
      </c>
    </row>
    <row r="116" customHeight="1" spans="1:12">
      <c r="A116" s="47">
        <f>IFERROR(__xludf.DUMMYFUNCTION("""COMPUTED_VALUE"""),45909.6458333333)</f>
        <v>45909.6458333333</v>
      </c>
      <c r="B116" s="48">
        <f>IFERROR(__xludf.DUMMYFUNCTION("""COMPUTED_VALUE"""),1202.2)</f>
        <v>1202.2</v>
      </c>
      <c r="C116" s="47">
        <f>IFERROR(__xludf.DUMMYFUNCTION("""COMPUTED_VALUE"""),45909.6458333333)</f>
        <v>45909.6458333333</v>
      </c>
      <c r="D116" s="48">
        <f>IFERROR(__xludf.DUMMYFUNCTION("""COMPUTED_VALUE"""),1195.2)</f>
        <v>1195.2</v>
      </c>
      <c r="E116" s="47">
        <f>IFERROR(__xludf.DUMMYFUNCTION("""COMPUTED_VALUE"""),45909.6458333333)</f>
        <v>45909.6458333333</v>
      </c>
      <c r="F116" s="48">
        <f>IFERROR(__xludf.DUMMYFUNCTION("""COMPUTED_VALUE"""),1295618)</f>
        <v>1295618</v>
      </c>
      <c r="G116" s="47">
        <f>IFERROR(__xludf.DUMMYFUNCTION("""COMPUTED_VALUE"""),45909.6458333333)</f>
        <v>45909.6458333333</v>
      </c>
      <c r="H116" s="48">
        <f>IFERROR(__xludf.DUMMYFUNCTION("""COMPUTED_VALUE"""),1204)</f>
        <v>1204</v>
      </c>
      <c r="I116" s="47">
        <f>IFERROR(__xludf.DUMMYFUNCTION("""COMPUTED_VALUE"""),45909.6458333333)</f>
        <v>45909.6458333333</v>
      </c>
      <c r="J116" s="48">
        <f>IFERROR(__xludf.DUMMYFUNCTION("""COMPUTED_VALUE"""),1187.9)</f>
        <v>1187.9</v>
      </c>
      <c r="K116" s="3">
        <f t="shared" si="2"/>
        <v>0</v>
      </c>
      <c r="L116" s="3">
        <f t="shared" si="3"/>
        <v>0</v>
      </c>
    </row>
    <row r="117" customHeight="1" spans="1:12">
      <c r="A117" s="47">
        <f>IFERROR(__xludf.DUMMYFUNCTION("""COMPUTED_VALUE"""),45910.6458333333)</f>
        <v>45910.6458333333</v>
      </c>
      <c r="B117" s="48">
        <f>IFERROR(__xludf.DUMMYFUNCTION("""COMPUTED_VALUE"""),1217.5)</f>
        <v>1217.5</v>
      </c>
      <c r="C117" s="47">
        <f>IFERROR(__xludf.DUMMYFUNCTION("""COMPUTED_VALUE"""),45910.6458333333)</f>
        <v>45910.6458333333</v>
      </c>
      <c r="D117" s="48">
        <f>IFERROR(__xludf.DUMMYFUNCTION("""COMPUTED_VALUE"""),1208.2)</f>
        <v>1208.2</v>
      </c>
      <c r="E117" s="47">
        <f>IFERROR(__xludf.DUMMYFUNCTION("""COMPUTED_VALUE"""),45910.6458333333)</f>
        <v>45910.6458333333</v>
      </c>
      <c r="F117" s="48">
        <f>IFERROR(__xludf.DUMMYFUNCTION("""COMPUTED_VALUE"""),1015673)</f>
        <v>1015673</v>
      </c>
      <c r="G117" s="47">
        <f>IFERROR(__xludf.DUMMYFUNCTION("""COMPUTED_VALUE"""),45910.6458333333)</f>
        <v>45910.6458333333</v>
      </c>
      <c r="H117" s="48">
        <f>IFERROR(__xludf.DUMMYFUNCTION("""COMPUTED_VALUE"""),1219.2)</f>
        <v>1219.2</v>
      </c>
      <c r="I117" s="47">
        <f>IFERROR(__xludf.DUMMYFUNCTION("""COMPUTED_VALUE"""),45910.6458333333)</f>
        <v>45910.6458333333</v>
      </c>
      <c r="J117" s="48">
        <f>IFERROR(__xludf.DUMMYFUNCTION("""COMPUTED_VALUE"""),1201.7)</f>
        <v>1201.7</v>
      </c>
      <c r="K117" s="3">
        <f t="shared" si="2"/>
        <v>0</v>
      </c>
      <c r="L117" s="3">
        <f t="shared" si="3"/>
        <v>0</v>
      </c>
    </row>
    <row r="118" customHeight="1" spans="1:12">
      <c r="A118" s="47">
        <f>IFERROR(__xludf.DUMMYFUNCTION("""COMPUTED_VALUE"""),45911.6458333333)</f>
        <v>45911.6458333333</v>
      </c>
      <c r="B118" s="48">
        <f>IFERROR(__xludf.DUMMYFUNCTION("""COMPUTED_VALUE"""),1220.8)</f>
        <v>1220.8</v>
      </c>
      <c r="C118" s="47">
        <f>IFERROR(__xludf.DUMMYFUNCTION("""COMPUTED_VALUE"""),45911.6458333333)</f>
        <v>45911.6458333333</v>
      </c>
      <c r="D118" s="48">
        <f>IFERROR(__xludf.DUMMYFUNCTION("""COMPUTED_VALUE"""),1212.1)</f>
        <v>1212.1</v>
      </c>
      <c r="E118" s="47">
        <f>IFERROR(__xludf.DUMMYFUNCTION("""COMPUTED_VALUE"""),45911.6458333333)</f>
        <v>45911.6458333333</v>
      </c>
      <c r="F118" s="48">
        <f>IFERROR(__xludf.DUMMYFUNCTION("""COMPUTED_VALUE"""),783400)</f>
        <v>783400</v>
      </c>
      <c r="G118" s="47">
        <f>IFERROR(__xludf.DUMMYFUNCTION("""COMPUTED_VALUE"""),45911.6458333333)</f>
        <v>45911.6458333333</v>
      </c>
      <c r="H118" s="48">
        <f>IFERROR(__xludf.DUMMYFUNCTION("""COMPUTED_VALUE"""),1224.9)</f>
        <v>1224.9</v>
      </c>
      <c r="I118" s="47">
        <f>IFERROR(__xludf.DUMMYFUNCTION("""COMPUTED_VALUE"""),45911.6458333333)</f>
        <v>45911.6458333333</v>
      </c>
      <c r="J118" s="48">
        <f>IFERROR(__xludf.DUMMYFUNCTION("""COMPUTED_VALUE"""),1212.1)</f>
        <v>1212.1</v>
      </c>
      <c r="K118" s="3">
        <f t="shared" si="2"/>
        <v>1220.8</v>
      </c>
      <c r="L118" s="3">
        <f t="shared" si="3"/>
        <v>0</v>
      </c>
    </row>
    <row r="119" customHeight="1" spans="1:12">
      <c r="A119" s="47">
        <f>IFERROR(__xludf.DUMMYFUNCTION("""COMPUTED_VALUE"""),45912.6458333333)</f>
        <v>45912.6458333333</v>
      </c>
      <c r="B119" s="48">
        <f>IFERROR(__xludf.DUMMYFUNCTION("""COMPUTED_VALUE"""),1217.6)</f>
        <v>1217.6</v>
      </c>
      <c r="C119" s="47">
        <f>IFERROR(__xludf.DUMMYFUNCTION("""COMPUTED_VALUE"""),45912.6458333333)</f>
        <v>45912.6458333333</v>
      </c>
      <c r="D119" s="48">
        <f>IFERROR(__xludf.DUMMYFUNCTION("""COMPUTED_VALUE"""),1220.2)</f>
        <v>1220.2</v>
      </c>
      <c r="E119" s="47">
        <f>IFERROR(__xludf.DUMMYFUNCTION("""COMPUTED_VALUE"""),45912.6458333333)</f>
        <v>45912.6458333333</v>
      </c>
      <c r="F119" s="48">
        <f>IFERROR(__xludf.DUMMYFUNCTION("""COMPUTED_VALUE"""),632659)</f>
        <v>632659</v>
      </c>
      <c r="G119" s="47">
        <f>IFERROR(__xludf.DUMMYFUNCTION("""COMPUTED_VALUE"""),45912.6458333333)</f>
        <v>45912.6458333333</v>
      </c>
      <c r="H119" s="48">
        <f>IFERROR(__xludf.DUMMYFUNCTION("""COMPUTED_VALUE"""),1223)</f>
        <v>1223</v>
      </c>
      <c r="I119" s="47">
        <f>IFERROR(__xludf.DUMMYFUNCTION("""COMPUTED_VALUE"""),45912.6458333333)</f>
        <v>45912.6458333333</v>
      </c>
      <c r="J119" s="48">
        <f>IFERROR(__xludf.DUMMYFUNCTION("""COMPUTED_VALUE"""),1209.5)</f>
        <v>1209.5</v>
      </c>
      <c r="K119" s="3">
        <f t="shared" si="2"/>
        <v>0</v>
      </c>
      <c r="L119" s="3">
        <f t="shared" si="3"/>
        <v>0</v>
      </c>
    </row>
    <row r="120" customHeight="1" spans="1:12">
      <c r="A120" s="47">
        <f>IFERROR(__xludf.DUMMYFUNCTION("""COMPUTED_VALUE"""),45915.6458333333)</f>
        <v>45915.6458333333</v>
      </c>
      <c r="B120" s="48">
        <f>IFERROR(__xludf.DUMMYFUNCTION("""COMPUTED_VALUE"""),1212.5)</f>
        <v>1212.5</v>
      </c>
      <c r="C120" s="47">
        <f>IFERROR(__xludf.DUMMYFUNCTION("""COMPUTED_VALUE"""),45915.6458333333)</f>
        <v>45915.6458333333</v>
      </c>
      <c r="D120" s="48">
        <f>IFERROR(__xludf.DUMMYFUNCTION("""COMPUTED_VALUE"""),1212.2)</f>
        <v>1212.2</v>
      </c>
      <c r="E120" s="47">
        <f>IFERROR(__xludf.DUMMYFUNCTION("""COMPUTED_VALUE"""),45915.6458333333)</f>
        <v>45915.6458333333</v>
      </c>
      <c r="F120" s="48">
        <f>IFERROR(__xludf.DUMMYFUNCTION("""COMPUTED_VALUE"""),523120)</f>
        <v>523120</v>
      </c>
      <c r="G120" s="47">
        <f>IFERROR(__xludf.DUMMYFUNCTION("""COMPUTED_VALUE"""),45915.6458333333)</f>
        <v>45915.6458333333</v>
      </c>
      <c r="H120" s="48">
        <f>IFERROR(__xludf.DUMMYFUNCTION("""COMPUTED_VALUE"""),1220)</f>
        <v>1220</v>
      </c>
      <c r="I120" s="47">
        <f>IFERROR(__xludf.DUMMYFUNCTION("""COMPUTED_VALUE"""),45915.6458333333)</f>
        <v>45915.6458333333</v>
      </c>
      <c r="J120" s="48">
        <f>IFERROR(__xludf.DUMMYFUNCTION("""COMPUTED_VALUE"""),1209.6)</f>
        <v>1209.6</v>
      </c>
      <c r="K120" s="3">
        <f t="shared" si="2"/>
        <v>0</v>
      </c>
      <c r="L120" s="3">
        <f t="shared" si="3"/>
        <v>0</v>
      </c>
    </row>
    <row r="121" customHeight="1" spans="1:12">
      <c r="A121" s="47">
        <f>IFERROR(__xludf.DUMMYFUNCTION("""COMPUTED_VALUE"""),45916.6458333333)</f>
        <v>45916.6458333333</v>
      </c>
      <c r="B121" s="48">
        <f>IFERROR(__xludf.DUMMYFUNCTION("""COMPUTED_VALUE"""),1204.2)</f>
        <v>1204.2</v>
      </c>
      <c r="C121" s="47">
        <f>IFERROR(__xludf.DUMMYFUNCTION("""COMPUTED_VALUE"""),45916.6458333333)</f>
        <v>45916.6458333333</v>
      </c>
      <c r="D121" s="48">
        <f>IFERROR(__xludf.DUMMYFUNCTION("""COMPUTED_VALUE"""),1212)</f>
        <v>1212</v>
      </c>
      <c r="E121" s="47">
        <f>IFERROR(__xludf.DUMMYFUNCTION("""COMPUTED_VALUE"""),45916.6458333333)</f>
        <v>45916.6458333333</v>
      </c>
      <c r="F121" s="48">
        <f>IFERROR(__xludf.DUMMYFUNCTION("""COMPUTED_VALUE"""),1137133)</f>
        <v>1137133</v>
      </c>
      <c r="G121" s="47">
        <f>IFERROR(__xludf.DUMMYFUNCTION("""COMPUTED_VALUE"""),45916.6458333333)</f>
        <v>45916.6458333333</v>
      </c>
      <c r="H121" s="48">
        <f>IFERROR(__xludf.DUMMYFUNCTION("""COMPUTED_VALUE"""),1215)</f>
        <v>1215</v>
      </c>
      <c r="I121" s="47">
        <f>IFERROR(__xludf.DUMMYFUNCTION("""COMPUTED_VALUE"""),45916.6458333333)</f>
        <v>45916.6458333333</v>
      </c>
      <c r="J121" s="48">
        <f>IFERROR(__xludf.DUMMYFUNCTION("""COMPUTED_VALUE"""),1201.2)</f>
        <v>1201.2</v>
      </c>
      <c r="K121" s="3">
        <f t="shared" si="2"/>
        <v>0</v>
      </c>
      <c r="L121" s="3">
        <f t="shared" si="3"/>
        <v>0</v>
      </c>
    </row>
    <row r="122" customHeight="1" spans="1:12">
      <c r="A122" s="47">
        <f>IFERROR(__xludf.DUMMYFUNCTION("""COMPUTED_VALUE"""),45917.6458333333)</f>
        <v>45917.6458333333</v>
      </c>
      <c r="B122" s="48">
        <f>IFERROR(__xludf.DUMMYFUNCTION("""COMPUTED_VALUE"""),1204.3)</f>
        <v>1204.3</v>
      </c>
      <c r="C122" s="47">
        <f>IFERROR(__xludf.DUMMYFUNCTION("""COMPUTED_VALUE"""),45917.6458333333)</f>
        <v>45917.6458333333</v>
      </c>
      <c r="D122" s="48">
        <f>IFERROR(__xludf.DUMMYFUNCTION("""COMPUTED_VALUE"""),1207)</f>
        <v>1207</v>
      </c>
      <c r="E122" s="47">
        <f>IFERROR(__xludf.DUMMYFUNCTION("""COMPUTED_VALUE"""),45917.6458333333)</f>
        <v>45917.6458333333</v>
      </c>
      <c r="F122" s="48">
        <f>IFERROR(__xludf.DUMMYFUNCTION("""COMPUTED_VALUE"""),1005661)</f>
        <v>1005661</v>
      </c>
      <c r="G122" s="47">
        <f>IFERROR(__xludf.DUMMYFUNCTION("""COMPUTED_VALUE"""),45917.6458333333)</f>
        <v>45917.6458333333</v>
      </c>
      <c r="H122" s="48">
        <f>IFERROR(__xludf.DUMMYFUNCTION("""COMPUTED_VALUE"""),1212.6)</f>
        <v>1212.6</v>
      </c>
      <c r="I122" s="47">
        <f>IFERROR(__xludf.DUMMYFUNCTION("""COMPUTED_VALUE"""),45917.6458333333)</f>
        <v>45917.6458333333</v>
      </c>
      <c r="J122" s="48">
        <f>IFERROR(__xludf.DUMMYFUNCTION("""COMPUTED_VALUE"""),1195.6)</f>
        <v>1195.6</v>
      </c>
      <c r="K122" s="3">
        <f t="shared" si="2"/>
        <v>0</v>
      </c>
      <c r="L122" s="3">
        <f t="shared" si="3"/>
        <v>0</v>
      </c>
    </row>
    <row r="123" customHeight="1" spans="1:12">
      <c r="A123" s="47">
        <f>IFERROR(__xludf.DUMMYFUNCTION("""COMPUTED_VALUE"""),45918.6458333333)</f>
        <v>45918.6458333333</v>
      </c>
      <c r="B123" s="48">
        <f>IFERROR(__xludf.DUMMYFUNCTION("""COMPUTED_VALUE"""),1209.1)</f>
        <v>1209.1</v>
      </c>
      <c r="C123" s="47">
        <f>IFERROR(__xludf.DUMMYFUNCTION("""COMPUTED_VALUE"""),45918.6458333333)</f>
        <v>45918.6458333333</v>
      </c>
      <c r="D123" s="48">
        <f>IFERROR(__xludf.DUMMYFUNCTION("""COMPUTED_VALUE"""),1205.1)</f>
        <v>1205.1</v>
      </c>
      <c r="E123" s="47">
        <f>IFERROR(__xludf.DUMMYFUNCTION("""COMPUTED_VALUE"""),45918.6458333333)</f>
        <v>45918.6458333333</v>
      </c>
      <c r="F123" s="48">
        <f>IFERROR(__xludf.DUMMYFUNCTION("""COMPUTED_VALUE"""),1345158)</f>
        <v>1345158</v>
      </c>
      <c r="G123" s="47">
        <f>IFERROR(__xludf.DUMMYFUNCTION("""COMPUTED_VALUE"""),45918.6458333333)</f>
        <v>45918.6458333333</v>
      </c>
      <c r="H123" s="48">
        <f>IFERROR(__xludf.DUMMYFUNCTION("""COMPUTED_VALUE"""),1213.3)</f>
        <v>1213.3</v>
      </c>
      <c r="I123" s="47">
        <f>IFERROR(__xludf.DUMMYFUNCTION("""COMPUTED_VALUE"""),45918.6458333333)</f>
        <v>45918.6458333333</v>
      </c>
      <c r="J123" s="48">
        <f>IFERROR(__xludf.DUMMYFUNCTION("""COMPUTED_VALUE"""),1200)</f>
        <v>1200</v>
      </c>
      <c r="K123" s="3">
        <f t="shared" si="2"/>
        <v>0</v>
      </c>
      <c r="L123" s="3">
        <f t="shared" si="3"/>
        <v>0</v>
      </c>
    </row>
    <row r="124" customHeight="1" spans="1:12">
      <c r="A124" s="47">
        <f>IFERROR(__xludf.DUMMYFUNCTION("""COMPUTED_VALUE"""),45919.6458333333)</f>
        <v>45919.6458333333</v>
      </c>
      <c r="B124" s="48">
        <f>IFERROR(__xludf.DUMMYFUNCTION("""COMPUTED_VALUE"""),1194.5)</f>
        <v>1194.5</v>
      </c>
      <c r="C124" s="47">
        <f>IFERROR(__xludf.DUMMYFUNCTION("""COMPUTED_VALUE"""),45919.6458333333)</f>
        <v>45919.6458333333</v>
      </c>
      <c r="D124" s="48">
        <f>IFERROR(__xludf.DUMMYFUNCTION("""COMPUTED_VALUE"""),1212)</f>
        <v>1212</v>
      </c>
      <c r="E124" s="47">
        <f>IFERROR(__xludf.DUMMYFUNCTION("""COMPUTED_VALUE"""),45919.6458333333)</f>
        <v>45919.6458333333</v>
      </c>
      <c r="F124" s="48">
        <f>IFERROR(__xludf.DUMMYFUNCTION("""COMPUTED_VALUE"""),2395784)</f>
        <v>2395784</v>
      </c>
      <c r="G124" s="47">
        <f>IFERROR(__xludf.DUMMYFUNCTION("""COMPUTED_VALUE"""),45919.6458333333)</f>
        <v>45919.6458333333</v>
      </c>
      <c r="H124" s="48">
        <f>IFERROR(__xludf.DUMMYFUNCTION("""COMPUTED_VALUE"""),1212)</f>
        <v>1212</v>
      </c>
      <c r="I124" s="47">
        <f>IFERROR(__xludf.DUMMYFUNCTION("""COMPUTED_VALUE"""),45919.6458333333)</f>
        <v>45919.6458333333</v>
      </c>
      <c r="J124" s="48">
        <f>IFERROR(__xludf.DUMMYFUNCTION("""COMPUTED_VALUE"""),1191)</f>
        <v>1191</v>
      </c>
      <c r="K124" s="3">
        <f t="shared" si="2"/>
        <v>0</v>
      </c>
      <c r="L124" s="3">
        <f t="shared" si="3"/>
        <v>0</v>
      </c>
    </row>
    <row r="125" customHeight="1" spans="1:12">
      <c r="A125" s="47">
        <f>IFERROR(__xludf.DUMMYFUNCTION("""COMPUTED_VALUE"""),45922.6458333333)</f>
        <v>45922.6458333333</v>
      </c>
      <c r="B125" s="48">
        <f>IFERROR(__xludf.DUMMYFUNCTION("""COMPUTED_VALUE"""),1188.3)</f>
        <v>1188.3</v>
      </c>
      <c r="C125" s="47">
        <f>IFERROR(__xludf.DUMMYFUNCTION("""COMPUTED_VALUE"""),45922.6458333333)</f>
        <v>45922.6458333333</v>
      </c>
      <c r="D125" s="48">
        <f>IFERROR(__xludf.DUMMYFUNCTION("""COMPUTED_VALUE"""),1198.9)</f>
        <v>1198.9</v>
      </c>
      <c r="E125" s="47">
        <f>IFERROR(__xludf.DUMMYFUNCTION("""COMPUTED_VALUE"""),45922.6458333333)</f>
        <v>45922.6458333333</v>
      </c>
      <c r="F125" s="48">
        <f>IFERROR(__xludf.DUMMYFUNCTION("""COMPUTED_VALUE"""),1107323)</f>
        <v>1107323</v>
      </c>
      <c r="G125" s="47">
        <f>IFERROR(__xludf.DUMMYFUNCTION("""COMPUTED_VALUE"""),45922.6458333333)</f>
        <v>45922.6458333333</v>
      </c>
      <c r="H125" s="48">
        <f>IFERROR(__xludf.DUMMYFUNCTION("""COMPUTED_VALUE"""),1201.2)</f>
        <v>1201.2</v>
      </c>
      <c r="I125" s="47">
        <f>IFERROR(__xludf.DUMMYFUNCTION("""COMPUTED_VALUE"""),45922.6458333333)</f>
        <v>45922.6458333333</v>
      </c>
      <c r="J125" s="48">
        <f>IFERROR(__xludf.DUMMYFUNCTION("""COMPUTED_VALUE"""),1184)</f>
        <v>1184</v>
      </c>
      <c r="K125" s="3">
        <f t="shared" si="2"/>
        <v>0</v>
      </c>
      <c r="L125" s="3">
        <f t="shared" si="3"/>
        <v>0</v>
      </c>
    </row>
    <row r="126" customHeight="1" spans="1:10">
      <c r="A126" s="47">
        <f>IFERROR(__xludf.DUMMYFUNCTION("""COMPUTED_VALUE"""),45923.6458333333)</f>
        <v>45923.6458333333</v>
      </c>
      <c r="B126" s="48">
        <f>IFERROR(__xludf.DUMMYFUNCTION("""COMPUTED_VALUE"""),1168.4)</f>
        <v>1168.4</v>
      </c>
      <c r="C126" s="47">
        <f>IFERROR(__xludf.DUMMYFUNCTION("""COMPUTED_VALUE"""),45923.6458333333)</f>
        <v>45923.6458333333</v>
      </c>
      <c r="D126" s="48">
        <f>IFERROR(__xludf.DUMMYFUNCTION("""COMPUTED_VALUE"""),1189.8)</f>
        <v>1189.8</v>
      </c>
      <c r="E126" s="47">
        <f>IFERROR(__xludf.DUMMYFUNCTION("""COMPUTED_VALUE"""),45923.6458333333)</f>
        <v>45923.6458333333</v>
      </c>
      <c r="F126" s="48">
        <f>IFERROR(__xludf.DUMMYFUNCTION("""COMPUTED_VALUE"""),2114020)</f>
        <v>2114020</v>
      </c>
      <c r="G126" s="47">
        <f>IFERROR(__xludf.DUMMYFUNCTION("""COMPUTED_VALUE"""),45923.6458333333)</f>
        <v>45923.6458333333</v>
      </c>
      <c r="H126" s="48">
        <f>IFERROR(__xludf.DUMMYFUNCTION("""COMPUTED_VALUE"""),1194.5)</f>
        <v>1194.5</v>
      </c>
      <c r="I126" s="47">
        <f>IFERROR(__xludf.DUMMYFUNCTION("""COMPUTED_VALUE"""),45923.6458333333)</f>
        <v>45923.6458333333</v>
      </c>
      <c r="J126" s="48">
        <f>IFERROR(__xludf.DUMMYFUNCTION("""COMPUTED_VALUE"""),1165)</f>
        <v>1165</v>
      </c>
    </row>
    <row r="127" customHeight="1" spans="1:10">
      <c r="A127" s="47">
        <f>IFERROR(__xludf.DUMMYFUNCTION("""COMPUTED_VALUE"""),45924.6458333333)</f>
        <v>45924.6458333333</v>
      </c>
      <c r="B127" s="48">
        <f>IFERROR(__xludf.DUMMYFUNCTION("""COMPUTED_VALUE"""),1178.6)</f>
        <v>1178.6</v>
      </c>
      <c r="C127" s="47">
        <f>IFERROR(__xludf.DUMMYFUNCTION("""COMPUTED_VALUE"""),45924.6458333333)</f>
        <v>45924.6458333333</v>
      </c>
      <c r="D127" s="48">
        <f>IFERROR(__xludf.DUMMYFUNCTION("""COMPUTED_VALUE"""),1167.9)</f>
        <v>1167.9</v>
      </c>
      <c r="E127" s="47">
        <f>IFERROR(__xludf.DUMMYFUNCTION("""COMPUTED_VALUE"""),45924.6458333333)</f>
        <v>45924.6458333333</v>
      </c>
      <c r="F127" s="48">
        <f>IFERROR(__xludf.DUMMYFUNCTION("""COMPUTED_VALUE"""),1395188)</f>
        <v>1395188</v>
      </c>
      <c r="G127" s="47">
        <f>IFERROR(__xludf.DUMMYFUNCTION("""COMPUTED_VALUE"""),45924.6458333333)</f>
        <v>45924.6458333333</v>
      </c>
      <c r="H127" s="48">
        <f>IFERROR(__xludf.DUMMYFUNCTION("""COMPUTED_VALUE"""),1185.2)</f>
        <v>1185.2</v>
      </c>
      <c r="I127" s="47">
        <f>IFERROR(__xludf.DUMMYFUNCTION("""COMPUTED_VALUE"""),45924.6458333333)</f>
        <v>45924.6458333333</v>
      </c>
      <c r="J127" s="48">
        <f>IFERROR(__xludf.DUMMYFUNCTION("""COMPUTED_VALUE"""),1161.4)</f>
        <v>1161.4</v>
      </c>
    </row>
    <row r="128" customHeight="1" spans="1:10">
      <c r="A128" s="47">
        <f>IFERROR(__xludf.DUMMYFUNCTION("""COMPUTED_VALUE"""),45925.6458333333)</f>
        <v>45925.6458333333</v>
      </c>
      <c r="B128" s="48">
        <f>IFERROR(__xludf.DUMMYFUNCTION("""COMPUTED_VALUE"""),1173.5)</f>
        <v>1173.5</v>
      </c>
      <c r="C128" s="47">
        <f>IFERROR(__xludf.DUMMYFUNCTION("""COMPUTED_VALUE"""),45925.6458333333)</f>
        <v>45925.6458333333</v>
      </c>
      <c r="D128" s="48">
        <f>IFERROR(__xludf.DUMMYFUNCTION("""COMPUTED_VALUE"""),1184.5)</f>
        <v>1184.5</v>
      </c>
      <c r="E128" s="47">
        <f>IFERROR(__xludf.DUMMYFUNCTION("""COMPUTED_VALUE"""),45925.6458333333)</f>
        <v>45925.6458333333</v>
      </c>
      <c r="F128" s="48">
        <f>IFERROR(__xludf.DUMMYFUNCTION("""COMPUTED_VALUE"""),1273981)</f>
        <v>1273981</v>
      </c>
      <c r="G128" s="47">
        <f>IFERROR(__xludf.DUMMYFUNCTION("""COMPUTED_VALUE"""),45925.6458333333)</f>
        <v>45925.6458333333</v>
      </c>
      <c r="H128" s="48">
        <f>IFERROR(__xludf.DUMMYFUNCTION("""COMPUTED_VALUE"""),1192.4)</f>
        <v>1192.4</v>
      </c>
      <c r="I128" s="47">
        <f>IFERROR(__xludf.DUMMYFUNCTION("""COMPUTED_VALUE"""),45925.6458333333)</f>
        <v>45925.6458333333</v>
      </c>
      <c r="J128" s="48">
        <f>IFERROR(__xludf.DUMMYFUNCTION("""COMPUTED_VALUE"""),1171.6)</f>
        <v>1171.6</v>
      </c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IFERROR(__xludf.DUMMYFUNCTION("""COMPUTED_VALUE"""),1162.6)</f>
        <v>1162.6</v>
      </c>
      <c r="C129" s="47">
        <f>IFERROR(__xludf.DUMMYFUNCTION("""COMPUTED_VALUE"""),45926.6458333333)</f>
        <v>45926.6458333333</v>
      </c>
      <c r="D129" s="48">
        <f>IFERROR(__xludf.DUMMYFUNCTION("""COMPUTED_VALUE"""),1170)</f>
        <v>1170</v>
      </c>
      <c r="E129" s="47">
        <f>IFERROR(__xludf.DUMMYFUNCTION("""COMPUTED_VALUE"""),45926.6458333333)</f>
        <v>45926.6458333333</v>
      </c>
      <c r="F129" s="48">
        <f>IFERROR(__xludf.DUMMYFUNCTION("""COMPUTED_VALUE"""),1011036)</f>
        <v>1011036</v>
      </c>
      <c r="G129" s="47">
        <f>IFERROR(__xludf.DUMMYFUNCTION("""COMPUTED_VALUE"""),45926.6458333333)</f>
        <v>45926.6458333333</v>
      </c>
      <c r="H129" s="48">
        <f>IFERROR(__xludf.DUMMYFUNCTION("""COMPUTED_VALUE"""),1179)</f>
        <v>1179</v>
      </c>
      <c r="I129" s="47">
        <f>IFERROR(__xludf.DUMMYFUNCTION("""COMPUTED_VALUE"""),45926.6458333333)</f>
        <v>45926.6458333333</v>
      </c>
      <c r="J129" s="48">
        <f>IFERROR(__xludf.DUMMYFUNCTION("""COMPUTED_VALUE"""),1160.2)</f>
        <v>1160.2</v>
      </c>
    </row>
  </sheetData>
  <mergeCells count="3">
    <mergeCell ref="M1:P1"/>
    <mergeCell ref="A3:F3"/>
    <mergeCell ref="AB4:AE4"/>
  </mergeCells>
  <conditionalFormatting sqref="A1:A2 A4">
    <cfRule type="notContainsBlanks" dxfId="0" priority="1">
      <formula>LEN(TRIM(A1))&gt;0</formula>
    </cfRule>
  </conditionalFormatting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16">
      <c r="A1" s="49" t="s">
        <v>264</v>
      </c>
      <c r="B1" s="50">
        <f ca="1">TODAY()</f>
        <v>45927</v>
      </c>
      <c r="C1" s="51">
        <f ca="1">DAY(B1)</f>
        <v>27</v>
      </c>
      <c r="D1" s="51">
        <f ca="1" t="shared" ref="D1:D2" si="0">MONTH(B1)</f>
        <v>9</v>
      </c>
      <c r="E1" s="51">
        <f ca="1" t="shared" ref="E1:E2" si="1">YEAR(B1)</f>
        <v>2025</v>
      </c>
      <c r="F1" s="52"/>
      <c r="G1" s="53"/>
      <c r="H1" s="51"/>
      <c r="I1" s="51"/>
      <c r="J1" s="51"/>
      <c r="K1" s="51"/>
      <c r="L1" s="51"/>
      <c r="M1" s="62" t="s">
        <v>265</v>
      </c>
      <c r="N1" s="19"/>
      <c r="O1" s="19"/>
      <c r="P1" s="19"/>
    </row>
    <row r="2" customHeight="1" spans="1:20">
      <c r="A2" s="49" t="s">
        <v>266</v>
      </c>
      <c r="B2" s="50">
        <f ca="1">EDATE(TODAY(),-6)</f>
        <v>45743</v>
      </c>
      <c r="C2" s="51">
        <f ca="1">DAY(B2)</f>
        <v>27</v>
      </c>
      <c r="D2" s="51">
        <f ca="1" t="shared" si="0"/>
        <v>3</v>
      </c>
      <c r="E2" s="51">
        <f ca="1" t="shared" si="1"/>
        <v>2025</v>
      </c>
      <c r="F2" s="52"/>
      <c r="G2" s="53"/>
      <c r="H2" s="51"/>
      <c r="I2" s="51"/>
      <c r="J2" s="51"/>
      <c r="K2" s="51"/>
      <c r="L2" s="51"/>
      <c r="M2" s="63" t="str">
        <f>IFERROR(__xludf.DUMMYFUNCTION("GOOGLEFINANCE(L3, ""close"", WORKDAY(TODAY(), -1), WORKDAY(TODAY(), -1))"),"Date")</f>
        <v>Date</v>
      </c>
      <c r="N2" s="64" t="str">
        <f>IFERROR(__xludf.DUMMYFUNCTION("""COMPUTED_VALUE"""),"Close")</f>
        <v>Close</v>
      </c>
      <c r="O2" s="63" t="str">
        <f>IFERROR(__xludf.DUMMYFUNCTION("GOOGLEFINANCE(L3, ""open"", WORKDAY(TODAY(), -1), WORKDAY(TODAY(), -1))"),"Date")</f>
        <v>Date</v>
      </c>
      <c r="P2" s="64" t="str">
        <f>IFERROR(__xludf.DUMMYFUNCTION("""COMPUTED_VALUE"""),"Open")</f>
        <v>Open</v>
      </c>
      <c r="Q2" s="72" t="str">
        <f>IFERROR(__xludf.DUMMYFUNCTION("GOOGLEFINANCE(L3, ""hIGH"", WORKDAY(TODAY(), -1), WORKDAY(TODAY(), -1))"),"Date")</f>
        <v>Date</v>
      </c>
      <c r="R2" s="48" t="str">
        <f>IFERROR(__xludf.DUMMYFUNCTION("""COMPUTED_VALUE"""),"High")</f>
        <v>High</v>
      </c>
      <c r="S2" s="72" t="str">
        <f>IFERROR(__xludf.DUMMYFUNCTION("GOOGLEFINANCE(L3, ""LOW"", WORKDAY(TODAY(), -1), WORKDAY(TODAY(), -1))"),"Date")</f>
        <v>Date</v>
      </c>
      <c r="T2" s="48" t="str">
        <f>IFERROR(__xludf.DUMMYFUNCTION("""COMPUTED_VALUE"""),"Low")</f>
        <v>Low</v>
      </c>
    </row>
    <row r="3" customHeight="1" spans="1:20">
      <c r="A3" s="54" t="s">
        <v>66</v>
      </c>
      <c r="B3" s="7"/>
      <c r="C3" s="7"/>
      <c r="D3" s="7"/>
      <c r="E3" s="7"/>
      <c r="F3" s="8"/>
      <c r="G3" s="55" t="s">
        <v>268</v>
      </c>
      <c r="H3" s="56">
        <f>IFERROR(__xludf.DUMMYFUNCTION("GOOGLEFINANCE(L3, ""price"")"),338.2)</f>
        <v>338.2</v>
      </c>
      <c r="I3" s="65" t="s">
        <v>269</v>
      </c>
      <c r="J3" s="56">
        <f>IFERROR(__xludf.DUMMYFUNCTION("GOOGLEFINANCE(L3, ""volume"")"),6337702)</f>
        <v>6337702</v>
      </c>
      <c r="K3" s="66" t="s">
        <v>270</v>
      </c>
      <c r="L3" s="67" t="str">
        <f>Mastersheet!B29</f>
        <v>NSE:NTPC</v>
      </c>
      <c r="M3" s="68">
        <f>IFERROR(__xludf.DUMMYFUNCTION("""COMPUTED_VALUE"""),45926.6458333333)</f>
        <v>45926.6458333333</v>
      </c>
      <c r="N3" s="67">
        <f>IFERROR(__xludf.DUMMYFUNCTION("""COMPUTED_VALUE"""),337.9)</f>
        <v>337.9</v>
      </c>
      <c r="O3" s="68">
        <f>IFERROR(__xludf.DUMMYFUNCTION("""COMPUTED_VALUE"""),45926.6458333333)</f>
        <v>45926.6458333333</v>
      </c>
      <c r="P3" s="67">
        <f>IFERROR(__xludf.DUMMYFUNCTION("""COMPUTED_VALUE"""),340.5)</f>
        <v>340.5</v>
      </c>
      <c r="Q3" s="47">
        <f>IFERROR(__xludf.DUMMYFUNCTION("""COMPUTED_VALUE"""),45926.6458333333)</f>
        <v>45926.6458333333</v>
      </c>
      <c r="R3" s="48">
        <f>IFERROR(__xludf.DUMMYFUNCTION("""COMPUTED_VALUE"""),340.75)</f>
        <v>340.75</v>
      </c>
      <c r="S3" s="47">
        <f>IFERROR(__xludf.DUMMYFUNCTION("""COMPUTED_VALUE"""),45926.6458333333)</f>
        <v>45926.6458333333</v>
      </c>
      <c r="T3" s="48">
        <f>IFERROR(__xludf.DUMMYFUNCTION("""COMPUTED_VALUE"""),336.45)</f>
        <v>336.45</v>
      </c>
    </row>
    <row r="4" customHeight="1" spans="1:31">
      <c r="A4" s="57" t="str">
        <f>IFERROR(__xludf.DUMMYFUNCTION("GOOGLEFINANCE(L3, ""CLOSE"",DATE(E2,D2,C2), DATE(E1,D1,C1), ""DAILY"")"),"Date")</f>
        <v>Date</v>
      </c>
      <c r="B4" s="58" t="str">
        <f>IFERROR(__xludf.DUMMYFUNCTION("""COMPUTED_VALUE"""),"Close")</f>
        <v>Close</v>
      </c>
      <c r="C4" s="58" t="str">
        <f>IFERROR(__xludf.DUMMYFUNCTION("GOOGLEFINANCE(L3, ""open"", DATE(E2,D2,C2), DATE(E1,D1,C1), ""DAILY"")"),"Date")</f>
        <v>Date</v>
      </c>
      <c r="D4" s="58" t="str">
        <f>IFERROR(__xludf.DUMMYFUNCTION("""COMPUTED_VALUE"""),"Open")</f>
        <v>Open</v>
      </c>
      <c r="E4" s="59" t="str">
        <f>IFERROR(__xludf.DUMMYFUNCTION("GOOGLEFINANCE(L3, ""VOLUME"", DATE(E2,D2,C2), DATE(E1,D1,C1), ""DAILY"")"),"Date")</f>
        <v>Date</v>
      </c>
      <c r="F4" s="58" t="str">
        <f>IFERROR(__xludf.DUMMYFUNCTION("""COMPUTED_VALUE"""),"Volume")</f>
        <v>Volume</v>
      </c>
      <c r="G4" s="59" t="str">
        <f>IFERROR(__xludf.DUMMYFUNCTION("GOOGLEFINANCE(L3, ""HIGH"", DATE(E2,D2,C2), DATE(E1,D1,C1), ""DAILY"")"),"Date")</f>
        <v>Date</v>
      </c>
      <c r="H4" s="59" t="str">
        <f>IFERROR(__xludf.DUMMYFUNCTION("""COMPUTED_VALUE"""),"High")</f>
        <v>High</v>
      </c>
      <c r="I4" s="59" t="str">
        <f>IFERROR(__xludf.DUMMYFUNCTION("GOOGLEFINANCE(L3, ""LOW"", DATE(E2,D2,C2), DATE(E1,D1,C1), ""DAILY"")"),"Date")</f>
        <v>Date</v>
      </c>
      <c r="J4" s="69" t="str">
        <f>IFERROR(__xludf.DUMMYFUNCTION("""COMPUTED_VALUE"""),"Low")</f>
        <v>Low</v>
      </c>
      <c r="K4" s="70" t="s">
        <v>271</v>
      </c>
      <c r="L4" s="70" t="s">
        <v>272</v>
      </c>
      <c r="M4" s="70" t="s">
        <v>273</v>
      </c>
      <c r="N4" s="70" t="s">
        <v>274</v>
      </c>
      <c r="O4" s="70" t="s">
        <v>275</v>
      </c>
      <c r="P4" s="70" t="s">
        <v>276</v>
      </c>
      <c r="Q4" s="73" t="s">
        <v>277</v>
      </c>
      <c r="R4" s="73" t="s">
        <v>278</v>
      </c>
      <c r="S4" s="73" t="s">
        <v>279</v>
      </c>
      <c r="T4" s="73" t="s">
        <v>280</v>
      </c>
      <c r="U4" s="73" t="s">
        <v>281</v>
      </c>
      <c r="V4" s="73" t="s">
        <v>282</v>
      </c>
      <c r="W4" s="70" t="s">
        <v>283</v>
      </c>
      <c r="X4" s="74" t="s">
        <v>284</v>
      </c>
      <c r="Y4" s="37" t="s">
        <v>285</v>
      </c>
      <c r="Z4" s="77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60">
        <f>IFERROR(__xludf.DUMMYFUNCTION("""COMPUTED_VALUE"""),45743.6458333333)</f>
        <v>45743.6458333333</v>
      </c>
      <c r="B5" s="61">
        <f>IFERROR(__xludf.DUMMYFUNCTION("""COMPUTED_VALUE"""),360.65)</f>
        <v>360.65</v>
      </c>
      <c r="C5" s="60">
        <f>IFERROR(__xludf.DUMMYFUNCTION("""COMPUTED_VALUE"""),45743.6458333333)</f>
        <v>45743.6458333333</v>
      </c>
      <c r="D5" s="61">
        <f>IFERROR(__xludf.DUMMYFUNCTION("""COMPUTED_VALUE"""),353.9)</f>
        <v>353.9</v>
      </c>
      <c r="E5" s="60">
        <f>IFERROR(__xludf.DUMMYFUNCTION("""COMPUTED_VALUE"""),45743.6458333333)</f>
        <v>45743.6458333333</v>
      </c>
      <c r="F5" s="61">
        <f>IFERROR(__xludf.DUMMYFUNCTION("""COMPUTED_VALUE"""),37930538)</f>
        <v>37930538</v>
      </c>
      <c r="G5" s="60">
        <f>IFERROR(__xludf.DUMMYFUNCTION("""COMPUTED_VALUE"""),45743.6458333333)</f>
        <v>45743.6458333333</v>
      </c>
      <c r="H5" s="61">
        <f>IFERROR(__xludf.DUMMYFUNCTION("""COMPUTED_VALUE"""),364.45)</f>
        <v>364.45</v>
      </c>
      <c r="I5" s="71">
        <f>IFERROR(__xludf.DUMMYFUNCTION("""COMPUTED_VALUE"""),45743.6458333333)</f>
        <v>45743.6458333333</v>
      </c>
      <c r="J5" s="51">
        <f>IFERROR(__xludf.DUMMYFUNCTION("""COMPUTED_VALUE"""),351)</f>
        <v>351</v>
      </c>
      <c r="K5" s="51"/>
      <c r="L5" s="51"/>
      <c r="M5" s="51">
        <f t="array" ref="M5">INDEX(K11:K124,MATCH(SMALL(ABS(K11:K124-H3),1),ABS(K11:K124-H3),0))</f>
        <v>338.3</v>
      </c>
      <c r="N5" s="51">
        <f t="array" ref="N5">INDEX(K11:K124,MATCH(SMALL(ABS(K11:K124-H3),2),ABS(K11:K124-H3),0))</f>
        <v>339.2</v>
      </c>
      <c r="O5" s="51">
        <f t="array" ref="O5">INDEX(L11:L124,MATCH(SMALL(ABS(L11:L124-H3),1),ABS(L11:L124-H3),0))</f>
        <v>334.75</v>
      </c>
      <c r="P5" s="51">
        <f t="array" ref="P5">INDEX(L11:L124,MATCH(SMALL(ABS(L11:L124-H3),2),ABS(L11:L124-H3),0))</f>
        <v>329.95</v>
      </c>
      <c r="Q5" s="48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S5" s="75">
        <f ca="1">IF(Q5&gt;0,Q5,S5)</f>
        <v>334.75</v>
      </c>
      <c r="T5" s="48">
        <f ca="1">IF(AND(H3&gt;=Mastersheet!I3*S5,H3&lt;=Mastersheet!J3*S5),1,0)</f>
        <v>0</v>
      </c>
      <c r="U5" s="76">
        <f>(N3+P3)/2</f>
        <v>339.2</v>
      </c>
      <c r="V5" s="48">
        <f>(N3+P3+R3+T3)/4</f>
        <v>338.9</v>
      </c>
      <c r="W5" s="48">
        <f>IF(V5&gt;U5,1,0)</f>
        <v>0</v>
      </c>
      <c r="X5" s="48">
        <f>IF(V5&gt;U5,0,1)</f>
        <v>1</v>
      </c>
      <c r="Y5" s="48">
        <f>IF(COUNTIF(Mastersheet!E:E,L3)&gt;0,0,1)</f>
        <v>1</v>
      </c>
      <c r="Z5" s="78">
        <f ca="1">IF(T5*W5*Y5=1,1,0)</f>
        <v>0</v>
      </c>
      <c r="AA5" s="79"/>
      <c r="AB5" s="44" t="s">
        <v>289</v>
      </c>
      <c r="AC5" s="80" t="s">
        <v>290</v>
      </c>
      <c r="AD5" s="81" t="s">
        <v>291</v>
      </c>
      <c r="AE5" s="81" t="s">
        <v>292</v>
      </c>
    </row>
    <row r="6" customHeight="1" spans="1:31">
      <c r="A6" s="47">
        <f>IFERROR(__xludf.DUMMYFUNCTION("""COMPUTED_VALUE"""),45744.6458333333)</f>
        <v>45744.6458333333</v>
      </c>
      <c r="B6" s="48">
        <f>IFERROR(__xludf.DUMMYFUNCTION("""COMPUTED_VALUE"""),357.6)</f>
        <v>357.6</v>
      </c>
      <c r="C6" s="47">
        <f>IFERROR(__xludf.DUMMYFUNCTION("""COMPUTED_VALUE"""),45744.6458333333)</f>
        <v>45744.6458333333</v>
      </c>
      <c r="D6" s="48">
        <f>IFERROR(__xludf.DUMMYFUNCTION("""COMPUTED_VALUE"""),362)</f>
        <v>362</v>
      </c>
      <c r="E6" s="47">
        <f>IFERROR(__xludf.DUMMYFUNCTION("""COMPUTED_VALUE"""),45744.6458333333)</f>
        <v>45744.6458333333</v>
      </c>
      <c r="F6" s="48">
        <f>IFERROR(__xludf.DUMMYFUNCTION("""COMPUTED_VALUE"""),11327077)</f>
        <v>11327077</v>
      </c>
      <c r="G6" s="47">
        <f>IFERROR(__xludf.DUMMYFUNCTION("""COMPUTED_VALUE"""),45744.6458333333)</f>
        <v>45744.6458333333</v>
      </c>
      <c r="H6" s="48">
        <f>IFERROR(__xludf.DUMMYFUNCTION("""COMPUTED_VALUE"""),364.3)</f>
        <v>364.3</v>
      </c>
      <c r="I6" s="47">
        <f>IFERROR(__xludf.DUMMYFUNCTION("""COMPUTED_VALUE"""),45744.6458333333)</f>
        <v>45744.6458333333</v>
      </c>
      <c r="J6" s="48">
        <f>IFERROR(__xludf.DUMMYFUNCTION("""COMPUTED_VALUE"""),356.45)</f>
        <v>356.45</v>
      </c>
      <c r="AB6" s="48">
        <f>IF(COUNTIF(Mastersheet!E:E,L3)&gt;0,1,0)</f>
        <v>0</v>
      </c>
      <c r="AC6" s="48">
        <f>IF(AND(H3&gt;Mastersheet!L3*Mastersheet!F3,X5),1,0)</f>
        <v>1</v>
      </c>
      <c r="AD6" s="76">
        <f>IF(H3&lt;Mastersheet!M3*Mastersheet!F3,1,0)</f>
        <v>0</v>
      </c>
      <c r="AE6" s="48">
        <f>IF(OR(AC6*AB6=1,AD6*AB6=1),1,0)</f>
        <v>0</v>
      </c>
    </row>
    <row r="7" customHeight="1" spans="1:10">
      <c r="A7" s="47">
        <f>IFERROR(__xludf.DUMMYFUNCTION("""COMPUTED_VALUE"""),45748.6458333333)</f>
        <v>45748.6458333333</v>
      </c>
      <c r="B7" s="48">
        <f>IFERROR(__xludf.DUMMYFUNCTION("""COMPUTED_VALUE"""),352.15)</f>
        <v>352.15</v>
      </c>
      <c r="C7" s="47">
        <f>IFERROR(__xludf.DUMMYFUNCTION("""COMPUTED_VALUE"""),45748.6458333333)</f>
        <v>45748.6458333333</v>
      </c>
      <c r="D7" s="48">
        <f>IFERROR(__xludf.DUMMYFUNCTION("""COMPUTED_VALUE"""),352.35)</f>
        <v>352.35</v>
      </c>
      <c r="E7" s="47">
        <f>IFERROR(__xludf.DUMMYFUNCTION("""COMPUTED_VALUE"""),45748.6458333333)</f>
        <v>45748.6458333333</v>
      </c>
      <c r="F7" s="48">
        <f>IFERROR(__xludf.DUMMYFUNCTION("""COMPUTED_VALUE"""),18736320)</f>
        <v>18736320</v>
      </c>
      <c r="G7" s="47">
        <f>IFERROR(__xludf.DUMMYFUNCTION("""COMPUTED_VALUE"""),45748.6458333333)</f>
        <v>45748.6458333333</v>
      </c>
      <c r="H7" s="48">
        <f>IFERROR(__xludf.DUMMYFUNCTION("""COMPUTED_VALUE"""),362.9)</f>
        <v>362.9</v>
      </c>
      <c r="I7" s="47">
        <f>IFERROR(__xludf.DUMMYFUNCTION("""COMPUTED_VALUE"""),45748.6458333333)</f>
        <v>45748.6458333333</v>
      </c>
      <c r="J7" s="48">
        <f>IFERROR(__xludf.DUMMYFUNCTION("""COMPUTED_VALUE"""),350.85)</f>
        <v>350.85</v>
      </c>
    </row>
    <row r="8" customHeight="1" spans="1:10">
      <c r="A8" s="47">
        <f>IFERROR(__xludf.DUMMYFUNCTION("""COMPUTED_VALUE"""),45749.6458333333)</f>
        <v>45749.6458333333</v>
      </c>
      <c r="B8" s="48">
        <f>IFERROR(__xludf.DUMMYFUNCTION("""COMPUTED_VALUE"""),351.75)</f>
        <v>351.75</v>
      </c>
      <c r="C8" s="47">
        <f>IFERROR(__xludf.DUMMYFUNCTION("""COMPUTED_VALUE"""),45749.6458333333)</f>
        <v>45749.6458333333</v>
      </c>
      <c r="D8" s="48">
        <f>IFERROR(__xludf.DUMMYFUNCTION("""COMPUTED_VALUE"""),352.15)</f>
        <v>352.15</v>
      </c>
      <c r="E8" s="47">
        <f>IFERROR(__xludf.DUMMYFUNCTION("""COMPUTED_VALUE"""),45749.6458333333)</f>
        <v>45749.6458333333</v>
      </c>
      <c r="F8" s="48">
        <f>IFERROR(__xludf.DUMMYFUNCTION("""COMPUTED_VALUE"""),13593404)</f>
        <v>13593404</v>
      </c>
      <c r="G8" s="47">
        <f>IFERROR(__xludf.DUMMYFUNCTION("""COMPUTED_VALUE"""),45749.6458333333)</f>
        <v>45749.6458333333</v>
      </c>
      <c r="H8" s="48">
        <f>IFERROR(__xludf.DUMMYFUNCTION("""COMPUTED_VALUE"""),353.45)</f>
        <v>353.45</v>
      </c>
      <c r="I8" s="47">
        <f>IFERROR(__xludf.DUMMYFUNCTION("""COMPUTED_VALUE"""),45749.6458333333)</f>
        <v>45749.6458333333</v>
      </c>
      <c r="J8" s="48">
        <f>IFERROR(__xludf.DUMMYFUNCTION("""COMPUTED_VALUE"""),347.05)</f>
        <v>347.05</v>
      </c>
    </row>
    <row r="9" customHeight="1" spans="1:10">
      <c r="A9" s="47">
        <f>IFERROR(__xludf.DUMMYFUNCTION("""COMPUTED_VALUE"""),45750.6458333333)</f>
        <v>45750.6458333333</v>
      </c>
      <c r="B9" s="48">
        <f>IFERROR(__xludf.DUMMYFUNCTION("""COMPUTED_VALUE"""),358.9)</f>
        <v>358.9</v>
      </c>
      <c r="C9" s="47">
        <f>IFERROR(__xludf.DUMMYFUNCTION("""COMPUTED_VALUE"""),45750.6458333333)</f>
        <v>45750.6458333333</v>
      </c>
      <c r="D9" s="48">
        <f>IFERROR(__xludf.DUMMYFUNCTION("""COMPUTED_VALUE"""),351.75)</f>
        <v>351.75</v>
      </c>
      <c r="E9" s="47">
        <f>IFERROR(__xludf.DUMMYFUNCTION("""COMPUTED_VALUE"""),45750.6458333333)</f>
        <v>45750.6458333333</v>
      </c>
      <c r="F9" s="48">
        <f>IFERROR(__xludf.DUMMYFUNCTION("""COMPUTED_VALUE"""),10317410)</f>
        <v>10317410</v>
      </c>
      <c r="G9" s="47">
        <f>IFERROR(__xludf.DUMMYFUNCTION("""COMPUTED_VALUE"""),45750.6458333333)</f>
        <v>45750.6458333333</v>
      </c>
      <c r="H9" s="48">
        <f>IFERROR(__xludf.DUMMYFUNCTION("""COMPUTED_VALUE"""),361.35)</f>
        <v>361.35</v>
      </c>
      <c r="I9" s="47">
        <f>IFERROR(__xludf.DUMMYFUNCTION("""COMPUTED_VALUE"""),45750.6458333333)</f>
        <v>45750.6458333333</v>
      </c>
      <c r="J9" s="48">
        <f>IFERROR(__xludf.DUMMYFUNCTION("""COMPUTED_VALUE"""),351.75)</f>
        <v>351.75</v>
      </c>
    </row>
    <row r="10" customHeight="1" spans="1:10">
      <c r="A10" s="47">
        <f>IFERROR(__xludf.DUMMYFUNCTION("""COMPUTED_VALUE"""),45751.6458333333)</f>
        <v>45751.6458333333</v>
      </c>
      <c r="B10" s="48">
        <f>IFERROR(__xludf.DUMMYFUNCTION("""COMPUTED_VALUE"""),350.4)</f>
        <v>350.4</v>
      </c>
      <c r="C10" s="47">
        <f>IFERROR(__xludf.DUMMYFUNCTION("""COMPUTED_VALUE"""),45751.6458333333)</f>
        <v>45751.6458333333</v>
      </c>
      <c r="D10" s="48">
        <f>IFERROR(__xludf.DUMMYFUNCTION("""COMPUTED_VALUE"""),358.85)</f>
        <v>358.85</v>
      </c>
      <c r="E10" s="47">
        <f>IFERROR(__xludf.DUMMYFUNCTION("""COMPUTED_VALUE"""),45751.6458333333)</f>
        <v>45751.6458333333</v>
      </c>
      <c r="F10" s="48">
        <f>IFERROR(__xludf.DUMMYFUNCTION("""COMPUTED_VALUE"""),10872963)</f>
        <v>10872963</v>
      </c>
      <c r="G10" s="47">
        <f>IFERROR(__xludf.DUMMYFUNCTION("""COMPUTED_VALUE"""),45751.6458333333)</f>
        <v>45751.6458333333</v>
      </c>
      <c r="H10" s="48">
        <f>IFERROR(__xludf.DUMMYFUNCTION("""COMPUTED_VALUE"""),358.85)</f>
        <v>358.85</v>
      </c>
      <c r="I10" s="47">
        <f>IFERROR(__xludf.DUMMYFUNCTION("""COMPUTED_VALUE"""),45751.6458333333)</f>
        <v>45751.6458333333</v>
      </c>
      <c r="J10" s="48">
        <f>IFERROR(__xludf.DUMMYFUNCTION("""COMPUTED_VALUE"""),348.55)</f>
        <v>348.55</v>
      </c>
    </row>
    <row r="11" customHeight="1" spans="1:12">
      <c r="A11" s="47">
        <f>IFERROR(__xludf.DUMMYFUNCTION("""COMPUTED_VALUE"""),45754.6458333333)</f>
        <v>45754.6458333333</v>
      </c>
      <c r="B11" s="48">
        <f>IFERROR(__xludf.DUMMYFUNCTION("""COMPUTED_VALUE"""),349.8)</f>
        <v>349.8</v>
      </c>
      <c r="C11" s="47">
        <f>IFERROR(__xludf.DUMMYFUNCTION("""COMPUTED_VALUE"""),45754.6458333333)</f>
        <v>45754.6458333333</v>
      </c>
      <c r="D11" s="48">
        <f>IFERROR(__xludf.DUMMYFUNCTION("""COMPUTED_VALUE"""),328)</f>
        <v>328</v>
      </c>
      <c r="E11" s="47">
        <f>IFERROR(__xludf.DUMMYFUNCTION("""COMPUTED_VALUE"""),45754.6458333333)</f>
        <v>45754.6458333333</v>
      </c>
      <c r="F11" s="48">
        <f>IFERROR(__xludf.DUMMYFUNCTION("""COMPUTED_VALUE"""),18025165)</f>
        <v>18025165</v>
      </c>
      <c r="G11" s="47">
        <f>IFERROR(__xludf.DUMMYFUNCTION("""COMPUTED_VALUE"""),45754.6458333333)</f>
        <v>45754.6458333333</v>
      </c>
      <c r="H11" s="48">
        <f>IFERROR(__xludf.DUMMYFUNCTION("""COMPUTED_VALUE"""),351.4)</f>
        <v>351.4</v>
      </c>
      <c r="I11" s="47">
        <f>IFERROR(__xludf.DUMMYFUNCTION("""COMPUTED_VALUE"""),45754.6458333333)</f>
        <v>45754.6458333333</v>
      </c>
      <c r="J11" s="48">
        <f>IFERROR(__xludf.DUMMYFUNCTION("""COMPUTED_VALUE"""),324)</f>
        <v>324</v>
      </c>
      <c r="K11" s="3">
        <f t="shared" ref="K11:K125" si="2">IF(B11=MAX(B5:B17),B11,0)</f>
        <v>0</v>
      </c>
      <c r="L11" s="3">
        <f t="shared" ref="L11:L125" si="3">IF(B11=MIN(B5:B17),B11,0)</f>
        <v>0</v>
      </c>
    </row>
    <row r="12" customHeight="1" spans="1:12">
      <c r="A12" s="47">
        <f>IFERROR(__xludf.DUMMYFUNCTION("""COMPUTED_VALUE"""),45755.6458333333)</f>
        <v>45755.6458333333</v>
      </c>
      <c r="B12" s="48">
        <f>IFERROR(__xludf.DUMMYFUNCTION("""COMPUTED_VALUE"""),352.95)</f>
        <v>352.95</v>
      </c>
      <c r="C12" s="47">
        <f>IFERROR(__xludf.DUMMYFUNCTION("""COMPUTED_VALUE"""),45755.6458333333)</f>
        <v>45755.6458333333</v>
      </c>
      <c r="D12" s="48">
        <f>IFERROR(__xludf.DUMMYFUNCTION("""COMPUTED_VALUE"""),356.85)</f>
        <v>356.85</v>
      </c>
      <c r="E12" s="47">
        <f>IFERROR(__xludf.DUMMYFUNCTION("""COMPUTED_VALUE"""),45755.6458333333)</f>
        <v>45755.6458333333</v>
      </c>
      <c r="F12" s="48">
        <f>IFERROR(__xludf.DUMMYFUNCTION("""COMPUTED_VALUE"""),17506712)</f>
        <v>17506712</v>
      </c>
      <c r="G12" s="47">
        <f>IFERROR(__xludf.DUMMYFUNCTION("""COMPUTED_VALUE"""),45755.6458333333)</f>
        <v>45755.6458333333</v>
      </c>
      <c r="H12" s="48">
        <f>IFERROR(__xludf.DUMMYFUNCTION("""COMPUTED_VALUE"""),358.25)</f>
        <v>358.25</v>
      </c>
      <c r="I12" s="47">
        <f>IFERROR(__xludf.DUMMYFUNCTION("""COMPUTED_VALUE"""),45755.6458333333)</f>
        <v>45755.6458333333</v>
      </c>
      <c r="J12" s="48">
        <f>IFERROR(__xludf.DUMMYFUNCTION("""COMPUTED_VALUE"""),350)</f>
        <v>350</v>
      </c>
      <c r="K12" s="3">
        <f t="shared" si="2"/>
        <v>0</v>
      </c>
      <c r="L12" s="3">
        <f t="shared" si="3"/>
        <v>0</v>
      </c>
    </row>
    <row r="13" customHeight="1" spans="1:12">
      <c r="A13" s="47">
        <f>IFERROR(__xludf.DUMMYFUNCTION("""COMPUTED_VALUE"""),45756.6458333333)</f>
        <v>45756.6458333333</v>
      </c>
      <c r="B13" s="48">
        <f>IFERROR(__xludf.DUMMYFUNCTION("""COMPUTED_VALUE"""),349.35)</f>
        <v>349.35</v>
      </c>
      <c r="C13" s="47">
        <f>IFERROR(__xludf.DUMMYFUNCTION("""COMPUTED_VALUE"""),45756.6458333333)</f>
        <v>45756.6458333333</v>
      </c>
      <c r="D13" s="48">
        <f>IFERROR(__xludf.DUMMYFUNCTION("""COMPUTED_VALUE"""),354)</f>
        <v>354</v>
      </c>
      <c r="E13" s="47">
        <f>IFERROR(__xludf.DUMMYFUNCTION("""COMPUTED_VALUE"""),45756.6458333333)</f>
        <v>45756.6458333333</v>
      </c>
      <c r="F13" s="48">
        <f>IFERROR(__xludf.DUMMYFUNCTION("""COMPUTED_VALUE"""),7462119)</f>
        <v>7462119</v>
      </c>
      <c r="G13" s="47">
        <f>IFERROR(__xludf.DUMMYFUNCTION("""COMPUTED_VALUE"""),45756.6458333333)</f>
        <v>45756.6458333333</v>
      </c>
      <c r="H13" s="48">
        <f>IFERROR(__xludf.DUMMYFUNCTION("""COMPUTED_VALUE"""),354.8)</f>
        <v>354.8</v>
      </c>
      <c r="I13" s="47">
        <f>IFERROR(__xludf.DUMMYFUNCTION("""COMPUTED_VALUE"""),45756.6458333333)</f>
        <v>45756.6458333333</v>
      </c>
      <c r="J13" s="48">
        <f>IFERROR(__xludf.DUMMYFUNCTION("""COMPUTED_VALUE"""),348.2)</f>
        <v>348.2</v>
      </c>
      <c r="K13" s="3">
        <f t="shared" si="2"/>
        <v>0</v>
      </c>
      <c r="L13" s="3">
        <f t="shared" si="3"/>
        <v>349.35</v>
      </c>
    </row>
    <row r="14" customHeight="1" spans="1:12">
      <c r="A14" s="47">
        <f>IFERROR(__xludf.DUMMYFUNCTION("""COMPUTED_VALUE"""),45758.6458333333)</f>
        <v>45758.6458333333</v>
      </c>
      <c r="B14" s="48">
        <f>IFERROR(__xludf.DUMMYFUNCTION("""COMPUTED_VALUE"""),360.1)</f>
        <v>360.1</v>
      </c>
      <c r="C14" s="47">
        <f>IFERROR(__xludf.DUMMYFUNCTION("""COMPUTED_VALUE"""),45758.6458333333)</f>
        <v>45758.6458333333</v>
      </c>
      <c r="D14" s="48">
        <f>IFERROR(__xludf.DUMMYFUNCTION("""COMPUTED_VALUE"""),351)</f>
        <v>351</v>
      </c>
      <c r="E14" s="47">
        <f>IFERROR(__xludf.DUMMYFUNCTION("""COMPUTED_VALUE"""),45758.6458333333)</f>
        <v>45758.6458333333</v>
      </c>
      <c r="F14" s="48">
        <f>IFERROR(__xludf.DUMMYFUNCTION("""COMPUTED_VALUE"""),11246077)</f>
        <v>11246077</v>
      </c>
      <c r="G14" s="47">
        <f>IFERROR(__xludf.DUMMYFUNCTION("""COMPUTED_VALUE"""),45758.6458333333)</f>
        <v>45758.6458333333</v>
      </c>
      <c r="H14" s="48">
        <f>IFERROR(__xludf.DUMMYFUNCTION("""COMPUTED_VALUE"""),361.5)</f>
        <v>361.5</v>
      </c>
      <c r="I14" s="47">
        <f>IFERROR(__xludf.DUMMYFUNCTION("""COMPUTED_VALUE"""),45758.6458333333)</f>
        <v>45758.6458333333</v>
      </c>
      <c r="J14" s="48">
        <f>IFERROR(__xludf.DUMMYFUNCTION("""COMPUTED_VALUE"""),351)</f>
        <v>351</v>
      </c>
      <c r="K14" s="3">
        <f t="shared" si="2"/>
        <v>0</v>
      </c>
      <c r="L14" s="3">
        <f t="shared" si="3"/>
        <v>0</v>
      </c>
    </row>
    <row r="15" customHeight="1" spans="1:12">
      <c r="A15" s="47">
        <f>IFERROR(__xludf.DUMMYFUNCTION("""COMPUTED_VALUE"""),45762.6458333333)</f>
        <v>45762.6458333333</v>
      </c>
      <c r="B15" s="48">
        <f>IFERROR(__xludf.DUMMYFUNCTION("""COMPUTED_VALUE"""),362.5)</f>
        <v>362.5</v>
      </c>
      <c r="C15" s="47">
        <f>IFERROR(__xludf.DUMMYFUNCTION("""COMPUTED_VALUE"""),45762.6458333333)</f>
        <v>45762.6458333333</v>
      </c>
      <c r="D15" s="48">
        <f>IFERROR(__xludf.DUMMYFUNCTION("""COMPUTED_VALUE"""),367)</f>
        <v>367</v>
      </c>
      <c r="E15" s="47">
        <f>IFERROR(__xludf.DUMMYFUNCTION("""COMPUTED_VALUE"""),45762.6458333333)</f>
        <v>45762.6458333333</v>
      </c>
      <c r="F15" s="48">
        <f>IFERROR(__xludf.DUMMYFUNCTION("""COMPUTED_VALUE"""),17497327)</f>
        <v>17497327</v>
      </c>
      <c r="G15" s="47">
        <f>IFERROR(__xludf.DUMMYFUNCTION("""COMPUTED_VALUE"""),45762.6458333333)</f>
        <v>45762.6458333333</v>
      </c>
      <c r="H15" s="48">
        <f>IFERROR(__xludf.DUMMYFUNCTION("""COMPUTED_VALUE"""),368.45)</f>
        <v>368.45</v>
      </c>
      <c r="I15" s="47">
        <f>IFERROR(__xludf.DUMMYFUNCTION("""COMPUTED_VALUE"""),45762.6458333333)</f>
        <v>45762.6458333333</v>
      </c>
      <c r="J15" s="48">
        <f>IFERROR(__xludf.DUMMYFUNCTION("""COMPUTED_VALUE"""),361.55)</f>
        <v>361.55</v>
      </c>
      <c r="K15" s="3">
        <f t="shared" si="2"/>
        <v>0</v>
      </c>
      <c r="L15" s="3">
        <f t="shared" si="3"/>
        <v>0</v>
      </c>
    </row>
    <row r="16" customHeight="1" spans="1:12">
      <c r="A16" s="47">
        <f>IFERROR(__xludf.DUMMYFUNCTION("""COMPUTED_VALUE"""),45763.6458333333)</f>
        <v>45763.6458333333</v>
      </c>
      <c r="B16" s="48">
        <f>IFERROR(__xludf.DUMMYFUNCTION("""COMPUTED_VALUE"""),359.3)</f>
        <v>359.3</v>
      </c>
      <c r="C16" s="47">
        <f>IFERROR(__xludf.DUMMYFUNCTION("""COMPUTED_VALUE"""),45763.6458333333)</f>
        <v>45763.6458333333</v>
      </c>
      <c r="D16" s="48">
        <f>IFERROR(__xludf.DUMMYFUNCTION("""COMPUTED_VALUE"""),362.5)</f>
        <v>362.5</v>
      </c>
      <c r="E16" s="47">
        <f>IFERROR(__xludf.DUMMYFUNCTION("""COMPUTED_VALUE"""),45763.6458333333)</f>
        <v>45763.6458333333</v>
      </c>
      <c r="F16" s="48">
        <f>IFERROR(__xludf.DUMMYFUNCTION("""COMPUTED_VALUE"""),11541484)</f>
        <v>11541484</v>
      </c>
      <c r="G16" s="47">
        <f>IFERROR(__xludf.DUMMYFUNCTION("""COMPUTED_VALUE"""),45763.6458333333)</f>
        <v>45763.6458333333</v>
      </c>
      <c r="H16" s="48">
        <f>IFERROR(__xludf.DUMMYFUNCTION("""COMPUTED_VALUE"""),363)</f>
        <v>363</v>
      </c>
      <c r="I16" s="47">
        <f>IFERROR(__xludf.DUMMYFUNCTION("""COMPUTED_VALUE"""),45763.6458333333)</f>
        <v>45763.6458333333</v>
      </c>
      <c r="J16" s="48">
        <f>IFERROR(__xludf.DUMMYFUNCTION("""COMPUTED_VALUE"""),357.9)</f>
        <v>357.9</v>
      </c>
      <c r="K16" s="3">
        <f t="shared" si="2"/>
        <v>0</v>
      </c>
      <c r="L16" s="3">
        <f t="shared" si="3"/>
        <v>0</v>
      </c>
    </row>
    <row r="17" customHeight="1" spans="1:12">
      <c r="A17" s="47">
        <f>IFERROR(__xludf.DUMMYFUNCTION("""COMPUTED_VALUE"""),45764.6458333333)</f>
        <v>45764.6458333333</v>
      </c>
      <c r="B17" s="48">
        <f>IFERROR(__xludf.DUMMYFUNCTION("""COMPUTED_VALUE"""),364)</f>
        <v>364</v>
      </c>
      <c r="C17" s="47">
        <f>IFERROR(__xludf.DUMMYFUNCTION("""COMPUTED_VALUE"""),45764.6458333333)</f>
        <v>45764.6458333333</v>
      </c>
      <c r="D17" s="48">
        <f>IFERROR(__xludf.DUMMYFUNCTION("""COMPUTED_VALUE"""),359.25)</f>
        <v>359.25</v>
      </c>
      <c r="E17" s="47">
        <f>IFERROR(__xludf.DUMMYFUNCTION("""COMPUTED_VALUE"""),45764.6458333333)</f>
        <v>45764.6458333333</v>
      </c>
      <c r="F17" s="48">
        <f>IFERROR(__xludf.DUMMYFUNCTION("""COMPUTED_VALUE"""),12288196)</f>
        <v>12288196</v>
      </c>
      <c r="G17" s="47">
        <f>IFERROR(__xludf.DUMMYFUNCTION("""COMPUTED_VALUE"""),45764.6458333333)</f>
        <v>45764.6458333333</v>
      </c>
      <c r="H17" s="48">
        <f>IFERROR(__xludf.DUMMYFUNCTION("""COMPUTED_VALUE"""),365.45)</f>
        <v>365.45</v>
      </c>
      <c r="I17" s="47">
        <f>IFERROR(__xludf.DUMMYFUNCTION("""COMPUTED_VALUE"""),45764.6458333333)</f>
        <v>45764.6458333333</v>
      </c>
      <c r="J17" s="48">
        <f>IFERROR(__xludf.DUMMYFUNCTION("""COMPUTED_VALUE"""),357.25)</f>
        <v>357.25</v>
      </c>
      <c r="K17" s="3">
        <f t="shared" si="2"/>
        <v>0</v>
      </c>
      <c r="L17" s="3">
        <f t="shared" si="3"/>
        <v>0</v>
      </c>
    </row>
    <row r="18" customHeight="1" spans="1:12">
      <c r="A18" s="47">
        <f>IFERROR(__xludf.DUMMYFUNCTION("""COMPUTED_VALUE"""),45768.6458333333)</f>
        <v>45768.6458333333</v>
      </c>
      <c r="B18" s="48">
        <f>IFERROR(__xludf.DUMMYFUNCTION("""COMPUTED_VALUE"""),364.55)</f>
        <v>364.55</v>
      </c>
      <c r="C18" s="47">
        <f>IFERROR(__xludf.DUMMYFUNCTION("""COMPUTED_VALUE"""),45768.6458333333)</f>
        <v>45768.6458333333</v>
      </c>
      <c r="D18" s="48">
        <f>IFERROR(__xludf.DUMMYFUNCTION("""COMPUTED_VALUE"""),365.8)</f>
        <v>365.8</v>
      </c>
      <c r="E18" s="47">
        <f>IFERROR(__xludf.DUMMYFUNCTION("""COMPUTED_VALUE"""),45768.6458333333)</f>
        <v>45768.6458333333</v>
      </c>
      <c r="F18" s="48">
        <f>IFERROR(__xludf.DUMMYFUNCTION("""COMPUTED_VALUE"""),7375594)</f>
        <v>7375594</v>
      </c>
      <c r="G18" s="47">
        <f>IFERROR(__xludf.DUMMYFUNCTION("""COMPUTED_VALUE"""),45768.6458333333)</f>
        <v>45768.6458333333</v>
      </c>
      <c r="H18" s="48">
        <f>IFERROR(__xludf.DUMMYFUNCTION("""COMPUTED_VALUE"""),368.2)</f>
        <v>368.2</v>
      </c>
      <c r="I18" s="47">
        <f>IFERROR(__xludf.DUMMYFUNCTION("""COMPUTED_VALUE"""),45768.6458333333)</f>
        <v>45768.6458333333</v>
      </c>
      <c r="J18" s="48">
        <f>IFERROR(__xludf.DUMMYFUNCTION("""COMPUTED_VALUE"""),361.8)</f>
        <v>361.8</v>
      </c>
      <c r="K18" s="3">
        <f t="shared" si="2"/>
        <v>364.55</v>
      </c>
      <c r="L18" s="3">
        <f t="shared" si="3"/>
        <v>0</v>
      </c>
    </row>
    <row r="19" customHeight="1" spans="1:12">
      <c r="A19" s="47">
        <f>IFERROR(__xludf.DUMMYFUNCTION("""COMPUTED_VALUE"""),45769.6458333333)</f>
        <v>45769.6458333333</v>
      </c>
      <c r="B19" s="48">
        <f>IFERROR(__xludf.DUMMYFUNCTION("""COMPUTED_VALUE"""),360.25)</f>
        <v>360.25</v>
      </c>
      <c r="C19" s="47">
        <f>IFERROR(__xludf.DUMMYFUNCTION("""COMPUTED_VALUE"""),45769.6458333333)</f>
        <v>45769.6458333333</v>
      </c>
      <c r="D19" s="48">
        <f>IFERROR(__xludf.DUMMYFUNCTION("""COMPUTED_VALUE"""),367.05)</f>
        <v>367.05</v>
      </c>
      <c r="E19" s="47">
        <f>IFERROR(__xludf.DUMMYFUNCTION("""COMPUTED_VALUE"""),45769.6458333333)</f>
        <v>45769.6458333333</v>
      </c>
      <c r="F19" s="48">
        <f>IFERROR(__xludf.DUMMYFUNCTION("""COMPUTED_VALUE"""),12077119)</f>
        <v>12077119</v>
      </c>
      <c r="G19" s="47">
        <f>IFERROR(__xludf.DUMMYFUNCTION("""COMPUTED_VALUE"""),45769.6458333333)</f>
        <v>45769.6458333333</v>
      </c>
      <c r="H19" s="48">
        <f>IFERROR(__xludf.DUMMYFUNCTION("""COMPUTED_VALUE"""),367.05)</f>
        <v>367.05</v>
      </c>
      <c r="I19" s="47">
        <f>IFERROR(__xludf.DUMMYFUNCTION("""COMPUTED_VALUE"""),45769.6458333333)</f>
        <v>45769.6458333333</v>
      </c>
      <c r="J19" s="48">
        <f>IFERROR(__xludf.DUMMYFUNCTION("""COMPUTED_VALUE"""),359.7)</f>
        <v>359.7</v>
      </c>
      <c r="K19" s="3">
        <f t="shared" si="2"/>
        <v>0</v>
      </c>
      <c r="L19" s="3">
        <f t="shared" si="3"/>
        <v>0</v>
      </c>
    </row>
    <row r="20" customHeight="1" spans="1:12">
      <c r="A20" s="47">
        <f>IFERROR(__xludf.DUMMYFUNCTION("""COMPUTED_VALUE"""),45770.6458333333)</f>
        <v>45770.6458333333</v>
      </c>
      <c r="B20" s="48">
        <f>IFERROR(__xludf.DUMMYFUNCTION("""COMPUTED_VALUE"""),363.8)</f>
        <v>363.8</v>
      </c>
      <c r="C20" s="47">
        <f>IFERROR(__xludf.DUMMYFUNCTION("""COMPUTED_VALUE"""),45770.6458333333)</f>
        <v>45770.6458333333</v>
      </c>
      <c r="D20" s="48">
        <f>IFERROR(__xludf.DUMMYFUNCTION("""COMPUTED_VALUE"""),362.95)</f>
        <v>362.95</v>
      </c>
      <c r="E20" s="47">
        <f>IFERROR(__xludf.DUMMYFUNCTION("""COMPUTED_VALUE"""),45770.6458333333)</f>
        <v>45770.6458333333</v>
      </c>
      <c r="F20" s="48">
        <f>IFERROR(__xludf.DUMMYFUNCTION("""COMPUTED_VALUE"""),9719205)</f>
        <v>9719205</v>
      </c>
      <c r="G20" s="47">
        <f>IFERROR(__xludf.DUMMYFUNCTION("""COMPUTED_VALUE"""),45770.6458333333)</f>
        <v>45770.6458333333</v>
      </c>
      <c r="H20" s="48">
        <f>IFERROR(__xludf.DUMMYFUNCTION("""COMPUTED_VALUE"""),364.25)</f>
        <v>364.25</v>
      </c>
      <c r="I20" s="47">
        <f>IFERROR(__xludf.DUMMYFUNCTION("""COMPUTED_VALUE"""),45770.6458333333)</f>
        <v>45770.6458333333</v>
      </c>
      <c r="J20" s="48">
        <f>IFERROR(__xludf.DUMMYFUNCTION("""COMPUTED_VALUE"""),357.9)</f>
        <v>357.9</v>
      </c>
      <c r="K20" s="3">
        <f t="shared" si="2"/>
        <v>0</v>
      </c>
      <c r="L20" s="3">
        <f t="shared" si="3"/>
        <v>0</v>
      </c>
    </row>
    <row r="21" customHeight="1" spans="1:12">
      <c r="A21" s="47">
        <f>IFERROR(__xludf.DUMMYFUNCTION("""COMPUTED_VALUE"""),45771.6458333333)</f>
        <v>45771.6458333333</v>
      </c>
      <c r="B21" s="48">
        <f>IFERROR(__xludf.DUMMYFUNCTION("""COMPUTED_VALUE"""),363.2)</f>
        <v>363.2</v>
      </c>
      <c r="C21" s="47">
        <f>IFERROR(__xludf.DUMMYFUNCTION("""COMPUTED_VALUE"""),45771.6458333333)</f>
        <v>45771.6458333333</v>
      </c>
      <c r="D21" s="48">
        <f>IFERROR(__xludf.DUMMYFUNCTION("""COMPUTED_VALUE"""),363.75)</f>
        <v>363.75</v>
      </c>
      <c r="E21" s="47">
        <f>IFERROR(__xludf.DUMMYFUNCTION("""COMPUTED_VALUE"""),45771.6458333333)</f>
        <v>45771.6458333333</v>
      </c>
      <c r="F21" s="48">
        <f>IFERROR(__xludf.DUMMYFUNCTION("""COMPUTED_VALUE"""),7491123)</f>
        <v>7491123</v>
      </c>
      <c r="G21" s="47">
        <f>IFERROR(__xludf.DUMMYFUNCTION("""COMPUTED_VALUE"""),45771.6458333333)</f>
        <v>45771.6458333333</v>
      </c>
      <c r="H21" s="48">
        <f>IFERROR(__xludf.DUMMYFUNCTION("""COMPUTED_VALUE"""),366.45)</f>
        <v>366.45</v>
      </c>
      <c r="I21" s="47">
        <f>IFERROR(__xludf.DUMMYFUNCTION("""COMPUTED_VALUE"""),45771.6458333333)</f>
        <v>45771.6458333333</v>
      </c>
      <c r="J21" s="48">
        <f>IFERROR(__xludf.DUMMYFUNCTION("""COMPUTED_VALUE"""),361.6)</f>
        <v>361.6</v>
      </c>
      <c r="K21" s="3">
        <f t="shared" si="2"/>
        <v>0</v>
      </c>
      <c r="L21" s="3">
        <f t="shared" si="3"/>
        <v>0</v>
      </c>
    </row>
    <row r="22" customHeight="1" spans="1:12">
      <c r="A22" s="47">
        <f>IFERROR(__xludf.DUMMYFUNCTION("""COMPUTED_VALUE"""),45772.6458333333)</f>
        <v>45772.6458333333</v>
      </c>
      <c r="B22" s="48">
        <f>IFERROR(__xludf.DUMMYFUNCTION("""COMPUTED_VALUE"""),356.45)</f>
        <v>356.45</v>
      </c>
      <c r="C22" s="47">
        <f>IFERROR(__xludf.DUMMYFUNCTION("""COMPUTED_VALUE"""),45772.6458333333)</f>
        <v>45772.6458333333</v>
      </c>
      <c r="D22" s="48">
        <f>IFERROR(__xludf.DUMMYFUNCTION("""COMPUTED_VALUE"""),363.2)</f>
        <v>363.2</v>
      </c>
      <c r="E22" s="47">
        <f>IFERROR(__xludf.DUMMYFUNCTION("""COMPUTED_VALUE"""),45772.6458333333)</f>
        <v>45772.6458333333</v>
      </c>
      <c r="F22" s="48">
        <f>IFERROR(__xludf.DUMMYFUNCTION("""COMPUTED_VALUE"""),9785640)</f>
        <v>9785640</v>
      </c>
      <c r="G22" s="47">
        <f>IFERROR(__xludf.DUMMYFUNCTION("""COMPUTED_VALUE"""),45772.6458333333)</f>
        <v>45772.6458333333</v>
      </c>
      <c r="H22" s="48">
        <f>IFERROR(__xludf.DUMMYFUNCTION("""COMPUTED_VALUE"""),365.8)</f>
        <v>365.8</v>
      </c>
      <c r="I22" s="47">
        <f>IFERROR(__xludf.DUMMYFUNCTION("""COMPUTED_VALUE"""),45772.6458333333)</f>
        <v>45772.6458333333</v>
      </c>
      <c r="J22" s="48">
        <f>IFERROR(__xludf.DUMMYFUNCTION("""COMPUTED_VALUE"""),351.1)</f>
        <v>351.1</v>
      </c>
      <c r="K22" s="3">
        <f t="shared" si="2"/>
        <v>0</v>
      </c>
      <c r="L22" s="3">
        <f t="shared" si="3"/>
        <v>0</v>
      </c>
    </row>
    <row r="23" customHeight="1" spans="1:12">
      <c r="A23" s="47">
        <f>IFERROR(__xludf.DUMMYFUNCTION("""COMPUTED_VALUE"""),45775.6458333333)</f>
        <v>45775.6458333333</v>
      </c>
      <c r="B23" s="48">
        <f>IFERROR(__xludf.DUMMYFUNCTION("""COMPUTED_VALUE"""),361.5)</f>
        <v>361.5</v>
      </c>
      <c r="C23" s="47">
        <f>IFERROR(__xludf.DUMMYFUNCTION("""COMPUTED_VALUE"""),45775.6458333333)</f>
        <v>45775.6458333333</v>
      </c>
      <c r="D23" s="48">
        <f>IFERROR(__xludf.DUMMYFUNCTION("""COMPUTED_VALUE"""),353.7)</f>
        <v>353.7</v>
      </c>
      <c r="E23" s="47">
        <f>IFERROR(__xludf.DUMMYFUNCTION("""COMPUTED_VALUE"""),45775.6458333333)</f>
        <v>45775.6458333333</v>
      </c>
      <c r="F23" s="48">
        <f>IFERROR(__xludf.DUMMYFUNCTION("""COMPUTED_VALUE"""),5315840)</f>
        <v>5315840</v>
      </c>
      <c r="G23" s="47">
        <f>IFERROR(__xludf.DUMMYFUNCTION("""COMPUTED_VALUE"""),45775.6458333333)</f>
        <v>45775.6458333333</v>
      </c>
      <c r="H23" s="48">
        <f>IFERROR(__xludf.DUMMYFUNCTION("""COMPUTED_VALUE"""),362.9)</f>
        <v>362.9</v>
      </c>
      <c r="I23" s="47">
        <f>IFERROR(__xludf.DUMMYFUNCTION("""COMPUTED_VALUE"""),45775.6458333333)</f>
        <v>45775.6458333333</v>
      </c>
      <c r="J23" s="48">
        <f>IFERROR(__xludf.DUMMYFUNCTION("""COMPUTED_VALUE"""),353.7)</f>
        <v>353.7</v>
      </c>
      <c r="K23" s="3">
        <f t="shared" si="2"/>
        <v>0</v>
      </c>
      <c r="L23" s="3">
        <f t="shared" si="3"/>
        <v>0</v>
      </c>
    </row>
    <row r="24" customHeight="1" spans="1:12">
      <c r="A24" s="47">
        <f>IFERROR(__xludf.DUMMYFUNCTION("""COMPUTED_VALUE"""),45776.6458333333)</f>
        <v>45776.6458333333</v>
      </c>
      <c r="B24" s="48">
        <f>IFERROR(__xludf.DUMMYFUNCTION("""COMPUTED_VALUE"""),356.95)</f>
        <v>356.95</v>
      </c>
      <c r="C24" s="47">
        <f>IFERROR(__xludf.DUMMYFUNCTION("""COMPUTED_VALUE"""),45776.6458333333)</f>
        <v>45776.6458333333</v>
      </c>
      <c r="D24" s="48">
        <f>IFERROR(__xludf.DUMMYFUNCTION("""COMPUTED_VALUE"""),364)</f>
        <v>364</v>
      </c>
      <c r="E24" s="47">
        <f>IFERROR(__xludf.DUMMYFUNCTION("""COMPUTED_VALUE"""),45776.6458333333)</f>
        <v>45776.6458333333</v>
      </c>
      <c r="F24" s="48">
        <f>IFERROR(__xludf.DUMMYFUNCTION("""COMPUTED_VALUE"""),9472828)</f>
        <v>9472828</v>
      </c>
      <c r="G24" s="47">
        <f>IFERROR(__xludf.DUMMYFUNCTION("""COMPUTED_VALUE"""),45776.6458333333)</f>
        <v>45776.6458333333</v>
      </c>
      <c r="H24" s="48">
        <f>IFERROR(__xludf.DUMMYFUNCTION("""COMPUTED_VALUE"""),364.35)</f>
        <v>364.35</v>
      </c>
      <c r="I24" s="47">
        <f>IFERROR(__xludf.DUMMYFUNCTION("""COMPUTED_VALUE"""),45776.6458333333)</f>
        <v>45776.6458333333</v>
      </c>
      <c r="J24" s="48">
        <f>IFERROR(__xludf.DUMMYFUNCTION("""COMPUTED_VALUE"""),354.1)</f>
        <v>354.1</v>
      </c>
      <c r="K24" s="3">
        <f t="shared" si="2"/>
        <v>0</v>
      </c>
      <c r="L24" s="3">
        <f t="shared" si="3"/>
        <v>0</v>
      </c>
    </row>
    <row r="25" customHeight="1" spans="1:12">
      <c r="A25" s="47">
        <f>IFERROR(__xludf.DUMMYFUNCTION("""COMPUTED_VALUE"""),45777.6458333333)</f>
        <v>45777.6458333333</v>
      </c>
      <c r="B25" s="48">
        <f>IFERROR(__xludf.DUMMYFUNCTION("""COMPUTED_VALUE"""),354.55)</f>
        <v>354.55</v>
      </c>
      <c r="C25" s="47">
        <f>IFERROR(__xludf.DUMMYFUNCTION("""COMPUTED_VALUE"""),45777.6458333333)</f>
        <v>45777.6458333333</v>
      </c>
      <c r="D25" s="48">
        <f>IFERROR(__xludf.DUMMYFUNCTION("""COMPUTED_VALUE"""),357)</f>
        <v>357</v>
      </c>
      <c r="E25" s="47">
        <f>IFERROR(__xludf.DUMMYFUNCTION("""COMPUTED_VALUE"""),45777.6458333333)</f>
        <v>45777.6458333333</v>
      </c>
      <c r="F25" s="48">
        <f>IFERROR(__xludf.DUMMYFUNCTION("""COMPUTED_VALUE"""),16739088)</f>
        <v>16739088</v>
      </c>
      <c r="G25" s="47">
        <f>IFERROR(__xludf.DUMMYFUNCTION("""COMPUTED_VALUE"""),45777.6458333333)</f>
        <v>45777.6458333333</v>
      </c>
      <c r="H25" s="48">
        <f>IFERROR(__xludf.DUMMYFUNCTION("""COMPUTED_VALUE"""),361)</f>
        <v>361</v>
      </c>
      <c r="I25" s="47">
        <f>IFERROR(__xludf.DUMMYFUNCTION("""COMPUTED_VALUE"""),45777.6458333333)</f>
        <v>45777.6458333333</v>
      </c>
      <c r="J25" s="48">
        <f>IFERROR(__xludf.DUMMYFUNCTION("""COMPUTED_VALUE"""),352)</f>
        <v>352</v>
      </c>
      <c r="K25" s="3">
        <f t="shared" si="2"/>
        <v>0</v>
      </c>
      <c r="L25" s="3">
        <f t="shared" si="3"/>
        <v>0</v>
      </c>
    </row>
    <row r="26" customHeight="1" spans="1:12">
      <c r="A26" s="47">
        <f>IFERROR(__xludf.DUMMYFUNCTION("""COMPUTED_VALUE"""),45779.6458333333)</f>
        <v>45779.6458333333</v>
      </c>
      <c r="B26" s="48">
        <f>IFERROR(__xludf.DUMMYFUNCTION("""COMPUTED_VALUE"""),348.45)</f>
        <v>348.45</v>
      </c>
      <c r="C26" s="47">
        <f>IFERROR(__xludf.DUMMYFUNCTION("""COMPUTED_VALUE"""),45779.6458333333)</f>
        <v>45779.6458333333</v>
      </c>
      <c r="D26" s="48">
        <f>IFERROR(__xludf.DUMMYFUNCTION("""COMPUTED_VALUE"""),354.55)</f>
        <v>354.55</v>
      </c>
      <c r="E26" s="47">
        <f>IFERROR(__xludf.DUMMYFUNCTION("""COMPUTED_VALUE"""),45779.6458333333)</f>
        <v>45779.6458333333</v>
      </c>
      <c r="F26" s="48">
        <f>IFERROR(__xludf.DUMMYFUNCTION("""COMPUTED_VALUE"""),8221620)</f>
        <v>8221620</v>
      </c>
      <c r="G26" s="47">
        <f>IFERROR(__xludf.DUMMYFUNCTION("""COMPUTED_VALUE"""),45779.6458333333)</f>
        <v>45779.6458333333</v>
      </c>
      <c r="H26" s="48">
        <f>IFERROR(__xludf.DUMMYFUNCTION("""COMPUTED_VALUE"""),358)</f>
        <v>358</v>
      </c>
      <c r="I26" s="47">
        <f>IFERROR(__xludf.DUMMYFUNCTION("""COMPUTED_VALUE"""),45779.6458333333)</f>
        <v>45779.6458333333</v>
      </c>
      <c r="J26" s="48">
        <f>IFERROR(__xludf.DUMMYFUNCTION("""COMPUTED_VALUE"""),347.6)</f>
        <v>347.6</v>
      </c>
      <c r="K26" s="3">
        <f t="shared" si="2"/>
        <v>0</v>
      </c>
      <c r="L26" s="3">
        <f t="shared" si="3"/>
        <v>0</v>
      </c>
    </row>
    <row r="27" customHeight="1" spans="1:12">
      <c r="A27" s="47">
        <f>IFERROR(__xludf.DUMMYFUNCTION("""COMPUTED_VALUE"""),45782.6458333333)</f>
        <v>45782.6458333333</v>
      </c>
      <c r="B27" s="48">
        <f>IFERROR(__xludf.DUMMYFUNCTION("""COMPUTED_VALUE"""),348.6)</f>
        <v>348.6</v>
      </c>
      <c r="C27" s="47">
        <f>IFERROR(__xludf.DUMMYFUNCTION("""COMPUTED_VALUE"""),45782.6458333333)</f>
        <v>45782.6458333333</v>
      </c>
      <c r="D27" s="48">
        <f>IFERROR(__xludf.DUMMYFUNCTION("""COMPUTED_VALUE"""),351)</f>
        <v>351</v>
      </c>
      <c r="E27" s="47">
        <f>IFERROR(__xludf.DUMMYFUNCTION("""COMPUTED_VALUE"""),45782.6458333333)</f>
        <v>45782.6458333333</v>
      </c>
      <c r="F27" s="48">
        <f>IFERROR(__xludf.DUMMYFUNCTION("""COMPUTED_VALUE"""),9492646)</f>
        <v>9492646</v>
      </c>
      <c r="G27" s="47">
        <f>IFERROR(__xludf.DUMMYFUNCTION("""COMPUTED_VALUE"""),45782.6458333333)</f>
        <v>45782.6458333333</v>
      </c>
      <c r="H27" s="48">
        <f>IFERROR(__xludf.DUMMYFUNCTION("""COMPUTED_VALUE"""),352)</f>
        <v>352</v>
      </c>
      <c r="I27" s="47">
        <f>IFERROR(__xludf.DUMMYFUNCTION("""COMPUTED_VALUE"""),45782.6458333333)</f>
        <v>45782.6458333333</v>
      </c>
      <c r="J27" s="48">
        <f>IFERROR(__xludf.DUMMYFUNCTION("""COMPUTED_VALUE"""),345.55)</f>
        <v>345.55</v>
      </c>
      <c r="K27" s="3">
        <f t="shared" si="2"/>
        <v>0</v>
      </c>
      <c r="L27" s="3">
        <f t="shared" si="3"/>
        <v>0</v>
      </c>
    </row>
    <row r="28" customHeight="1" spans="1:12">
      <c r="A28" s="47">
        <f>IFERROR(__xludf.DUMMYFUNCTION("""COMPUTED_VALUE"""),45783.6458333333)</f>
        <v>45783.6458333333</v>
      </c>
      <c r="B28" s="48">
        <f>IFERROR(__xludf.DUMMYFUNCTION("""COMPUTED_VALUE"""),341.8)</f>
        <v>341.8</v>
      </c>
      <c r="C28" s="47">
        <f>IFERROR(__xludf.DUMMYFUNCTION("""COMPUTED_VALUE"""),45783.6458333333)</f>
        <v>45783.6458333333</v>
      </c>
      <c r="D28" s="48">
        <f>IFERROR(__xludf.DUMMYFUNCTION("""COMPUTED_VALUE"""),349)</f>
        <v>349</v>
      </c>
      <c r="E28" s="47">
        <f>IFERROR(__xludf.DUMMYFUNCTION("""COMPUTED_VALUE"""),45783.6458333333)</f>
        <v>45783.6458333333</v>
      </c>
      <c r="F28" s="48">
        <f>IFERROR(__xludf.DUMMYFUNCTION("""COMPUTED_VALUE"""),8904223)</f>
        <v>8904223</v>
      </c>
      <c r="G28" s="47">
        <f>IFERROR(__xludf.DUMMYFUNCTION("""COMPUTED_VALUE"""),45783.6458333333)</f>
        <v>45783.6458333333</v>
      </c>
      <c r="H28" s="48">
        <f>IFERROR(__xludf.DUMMYFUNCTION("""COMPUTED_VALUE"""),349.5)</f>
        <v>349.5</v>
      </c>
      <c r="I28" s="47">
        <f>IFERROR(__xludf.DUMMYFUNCTION("""COMPUTED_VALUE"""),45783.6458333333)</f>
        <v>45783.6458333333</v>
      </c>
      <c r="J28" s="48">
        <f>IFERROR(__xludf.DUMMYFUNCTION("""COMPUTED_VALUE"""),340)</f>
        <v>340</v>
      </c>
      <c r="K28" s="3">
        <f t="shared" si="2"/>
        <v>0</v>
      </c>
      <c r="L28" s="3">
        <f t="shared" si="3"/>
        <v>0</v>
      </c>
    </row>
    <row r="29" customHeight="1" spans="1:12">
      <c r="A29" s="47">
        <f>IFERROR(__xludf.DUMMYFUNCTION("""COMPUTED_VALUE"""),45784.6458333333)</f>
        <v>45784.6458333333</v>
      </c>
      <c r="B29" s="48">
        <f>IFERROR(__xludf.DUMMYFUNCTION("""COMPUTED_VALUE"""),342.05)</f>
        <v>342.05</v>
      </c>
      <c r="C29" s="47">
        <f>IFERROR(__xludf.DUMMYFUNCTION("""COMPUTED_VALUE"""),45784.6458333333)</f>
        <v>45784.6458333333</v>
      </c>
      <c r="D29" s="48">
        <f>IFERROR(__xludf.DUMMYFUNCTION("""COMPUTED_VALUE"""),338)</f>
        <v>338</v>
      </c>
      <c r="E29" s="47">
        <f>IFERROR(__xludf.DUMMYFUNCTION("""COMPUTED_VALUE"""),45784.6458333333)</f>
        <v>45784.6458333333</v>
      </c>
      <c r="F29" s="48">
        <f>IFERROR(__xludf.DUMMYFUNCTION("""COMPUTED_VALUE"""),8465490)</f>
        <v>8465490</v>
      </c>
      <c r="G29" s="47">
        <f>IFERROR(__xludf.DUMMYFUNCTION("""COMPUTED_VALUE"""),45784.6458333333)</f>
        <v>45784.6458333333</v>
      </c>
      <c r="H29" s="48">
        <f>IFERROR(__xludf.DUMMYFUNCTION("""COMPUTED_VALUE"""),343.7)</f>
        <v>343.7</v>
      </c>
      <c r="I29" s="47">
        <f>IFERROR(__xludf.DUMMYFUNCTION("""COMPUTED_VALUE"""),45784.6458333333)</f>
        <v>45784.6458333333</v>
      </c>
      <c r="J29" s="48">
        <f>IFERROR(__xludf.DUMMYFUNCTION("""COMPUTED_VALUE"""),337)</f>
        <v>337</v>
      </c>
      <c r="K29" s="3">
        <f t="shared" si="2"/>
        <v>0</v>
      </c>
      <c r="L29" s="3">
        <f t="shared" si="3"/>
        <v>0</v>
      </c>
    </row>
    <row r="30" customHeight="1" spans="1:12">
      <c r="A30" s="47">
        <f>IFERROR(__xludf.DUMMYFUNCTION("""COMPUTED_VALUE"""),45785.6458333333)</f>
        <v>45785.6458333333</v>
      </c>
      <c r="B30" s="48">
        <f>IFERROR(__xludf.DUMMYFUNCTION("""COMPUTED_VALUE"""),340)</f>
        <v>340</v>
      </c>
      <c r="C30" s="47">
        <f>IFERROR(__xludf.DUMMYFUNCTION("""COMPUTED_VALUE"""),45785.6458333333)</f>
        <v>45785.6458333333</v>
      </c>
      <c r="D30" s="48">
        <f>IFERROR(__xludf.DUMMYFUNCTION("""COMPUTED_VALUE"""),341.05)</f>
        <v>341.05</v>
      </c>
      <c r="E30" s="47">
        <f>IFERROR(__xludf.DUMMYFUNCTION("""COMPUTED_VALUE"""),45785.6458333333)</f>
        <v>45785.6458333333</v>
      </c>
      <c r="F30" s="48">
        <f>IFERROR(__xludf.DUMMYFUNCTION("""COMPUTED_VALUE"""),14286109)</f>
        <v>14286109</v>
      </c>
      <c r="G30" s="47">
        <f>IFERROR(__xludf.DUMMYFUNCTION("""COMPUTED_VALUE"""),45785.6458333333)</f>
        <v>45785.6458333333</v>
      </c>
      <c r="H30" s="48">
        <f>IFERROR(__xludf.DUMMYFUNCTION("""COMPUTED_VALUE"""),343.1)</f>
        <v>343.1</v>
      </c>
      <c r="I30" s="47">
        <f>IFERROR(__xludf.DUMMYFUNCTION("""COMPUTED_VALUE"""),45785.6458333333)</f>
        <v>45785.6458333333</v>
      </c>
      <c r="J30" s="48">
        <f>IFERROR(__xludf.DUMMYFUNCTION("""COMPUTED_VALUE"""),338.4)</f>
        <v>338.4</v>
      </c>
      <c r="K30" s="3">
        <f t="shared" si="2"/>
        <v>0</v>
      </c>
      <c r="L30" s="3">
        <f t="shared" si="3"/>
        <v>0</v>
      </c>
    </row>
    <row r="31" customHeight="1" spans="1:12">
      <c r="A31" s="47">
        <f>IFERROR(__xludf.DUMMYFUNCTION("""COMPUTED_VALUE"""),45786.6458333333)</f>
        <v>45786.6458333333</v>
      </c>
      <c r="B31" s="48">
        <f>IFERROR(__xludf.DUMMYFUNCTION("""COMPUTED_VALUE"""),334.75)</f>
        <v>334.75</v>
      </c>
      <c r="C31" s="47">
        <f>IFERROR(__xludf.DUMMYFUNCTION("""COMPUTED_VALUE"""),45786.6458333333)</f>
        <v>45786.6458333333</v>
      </c>
      <c r="D31" s="48">
        <f>IFERROR(__xludf.DUMMYFUNCTION("""COMPUTED_VALUE"""),334.2)</f>
        <v>334.2</v>
      </c>
      <c r="E31" s="47">
        <f>IFERROR(__xludf.DUMMYFUNCTION("""COMPUTED_VALUE"""),45786.6458333333)</f>
        <v>45786.6458333333</v>
      </c>
      <c r="F31" s="48">
        <f>IFERROR(__xludf.DUMMYFUNCTION("""COMPUTED_VALUE"""),11322011)</f>
        <v>11322011</v>
      </c>
      <c r="G31" s="47">
        <f>IFERROR(__xludf.DUMMYFUNCTION("""COMPUTED_VALUE"""),45786.6458333333)</f>
        <v>45786.6458333333</v>
      </c>
      <c r="H31" s="48">
        <f>IFERROR(__xludf.DUMMYFUNCTION("""COMPUTED_VALUE"""),338.75)</f>
        <v>338.75</v>
      </c>
      <c r="I31" s="47">
        <f>IFERROR(__xludf.DUMMYFUNCTION("""COMPUTED_VALUE"""),45786.6458333333)</f>
        <v>45786.6458333333</v>
      </c>
      <c r="J31" s="48">
        <f>IFERROR(__xludf.DUMMYFUNCTION("""COMPUTED_VALUE"""),330.6)</f>
        <v>330.6</v>
      </c>
      <c r="K31" s="3">
        <f t="shared" si="2"/>
        <v>0</v>
      </c>
      <c r="L31" s="3">
        <f t="shared" si="3"/>
        <v>334.75</v>
      </c>
    </row>
    <row r="32" customHeight="1" spans="1:12">
      <c r="A32" s="47">
        <f>IFERROR(__xludf.DUMMYFUNCTION("""COMPUTED_VALUE"""),45789.6458333333)</f>
        <v>45789.6458333333</v>
      </c>
      <c r="B32" s="48">
        <f>IFERROR(__xludf.DUMMYFUNCTION("""COMPUTED_VALUE"""),348.55)</f>
        <v>348.55</v>
      </c>
      <c r="C32" s="47">
        <f>IFERROR(__xludf.DUMMYFUNCTION("""COMPUTED_VALUE"""),45789.6458333333)</f>
        <v>45789.6458333333</v>
      </c>
      <c r="D32" s="48">
        <f>IFERROR(__xludf.DUMMYFUNCTION("""COMPUTED_VALUE"""),340.4)</f>
        <v>340.4</v>
      </c>
      <c r="E32" s="47">
        <f>IFERROR(__xludf.DUMMYFUNCTION("""COMPUTED_VALUE"""),45789.6458333333)</f>
        <v>45789.6458333333</v>
      </c>
      <c r="F32" s="48">
        <f>IFERROR(__xludf.DUMMYFUNCTION("""COMPUTED_VALUE"""),7978210)</f>
        <v>7978210</v>
      </c>
      <c r="G32" s="47">
        <f>IFERROR(__xludf.DUMMYFUNCTION("""COMPUTED_VALUE"""),45789.6458333333)</f>
        <v>45789.6458333333</v>
      </c>
      <c r="H32" s="48">
        <f>IFERROR(__xludf.DUMMYFUNCTION("""COMPUTED_VALUE"""),349.2)</f>
        <v>349.2</v>
      </c>
      <c r="I32" s="47">
        <f>IFERROR(__xludf.DUMMYFUNCTION("""COMPUTED_VALUE"""),45789.6458333333)</f>
        <v>45789.6458333333</v>
      </c>
      <c r="J32" s="48">
        <f>IFERROR(__xludf.DUMMYFUNCTION("""COMPUTED_VALUE"""),338.1)</f>
        <v>338.1</v>
      </c>
      <c r="K32" s="3">
        <f t="shared" si="2"/>
        <v>0</v>
      </c>
      <c r="L32" s="3">
        <f t="shared" si="3"/>
        <v>0</v>
      </c>
    </row>
    <row r="33" customHeight="1" spans="1:12">
      <c r="A33" s="47">
        <f>IFERROR(__xludf.DUMMYFUNCTION("""COMPUTED_VALUE"""),45790.6458333333)</f>
        <v>45790.6458333333</v>
      </c>
      <c r="B33" s="48">
        <f>IFERROR(__xludf.DUMMYFUNCTION("""COMPUTED_VALUE"""),341.5)</f>
        <v>341.5</v>
      </c>
      <c r="C33" s="47">
        <f>IFERROR(__xludf.DUMMYFUNCTION("""COMPUTED_VALUE"""),45790.6458333333)</f>
        <v>45790.6458333333</v>
      </c>
      <c r="D33" s="48">
        <f>IFERROR(__xludf.DUMMYFUNCTION("""COMPUTED_VALUE"""),348.6)</f>
        <v>348.6</v>
      </c>
      <c r="E33" s="47">
        <f>IFERROR(__xludf.DUMMYFUNCTION("""COMPUTED_VALUE"""),45790.6458333333)</f>
        <v>45790.6458333333</v>
      </c>
      <c r="F33" s="48">
        <f>IFERROR(__xludf.DUMMYFUNCTION("""COMPUTED_VALUE"""),14738980)</f>
        <v>14738980</v>
      </c>
      <c r="G33" s="47">
        <f>IFERROR(__xludf.DUMMYFUNCTION("""COMPUTED_VALUE"""),45790.6458333333)</f>
        <v>45790.6458333333</v>
      </c>
      <c r="H33" s="48">
        <f>IFERROR(__xludf.DUMMYFUNCTION("""COMPUTED_VALUE"""),349.8)</f>
        <v>349.8</v>
      </c>
      <c r="I33" s="47">
        <f>IFERROR(__xludf.DUMMYFUNCTION("""COMPUTED_VALUE"""),45790.6458333333)</f>
        <v>45790.6458333333</v>
      </c>
      <c r="J33" s="48">
        <f>IFERROR(__xludf.DUMMYFUNCTION("""COMPUTED_VALUE"""),340.5)</f>
        <v>340.5</v>
      </c>
      <c r="K33" s="3">
        <f t="shared" si="2"/>
        <v>0</v>
      </c>
      <c r="L33" s="3">
        <f t="shared" si="3"/>
        <v>0</v>
      </c>
    </row>
    <row r="34" customHeight="1" spans="1:12">
      <c r="A34" s="47">
        <f>IFERROR(__xludf.DUMMYFUNCTION("""COMPUTED_VALUE"""),45791.6458333333)</f>
        <v>45791.6458333333</v>
      </c>
      <c r="B34" s="48">
        <f>IFERROR(__xludf.DUMMYFUNCTION("""COMPUTED_VALUE"""),338.55)</f>
        <v>338.55</v>
      </c>
      <c r="C34" s="47">
        <f>IFERROR(__xludf.DUMMYFUNCTION("""COMPUTED_VALUE"""),45791.6458333333)</f>
        <v>45791.6458333333</v>
      </c>
      <c r="D34" s="48">
        <f>IFERROR(__xludf.DUMMYFUNCTION("""COMPUTED_VALUE"""),342.45)</f>
        <v>342.45</v>
      </c>
      <c r="E34" s="47">
        <f>IFERROR(__xludf.DUMMYFUNCTION("""COMPUTED_VALUE"""),45791.6458333333)</f>
        <v>45791.6458333333</v>
      </c>
      <c r="F34" s="48">
        <f>IFERROR(__xludf.DUMMYFUNCTION("""COMPUTED_VALUE"""),22485535)</f>
        <v>22485535</v>
      </c>
      <c r="G34" s="47">
        <f>IFERROR(__xludf.DUMMYFUNCTION("""COMPUTED_VALUE"""),45791.6458333333)</f>
        <v>45791.6458333333</v>
      </c>
      <c r="H34" s="48">
        <f>IFERROR(__xludf.DUMMYFUNCTION("""COMPUTED_VALUE"""),343.85)</f>
        <v>343.85</v>
      </c>
      <c r="I34" s="47">
        <f>IFERROR(__xludf.DUMMYFUNCTION("""COMPUTED_VALUE"""),45791.6458333333)</f>
        <v>45791.6458333333</v>
      </c>
      <c r="J34" s="48">
        <f>IFERROR(__xludf.DUMMYFUNCTION("""COMPUTED_VALUE"""),337.75)</f>
        <v>337.75</v>
      </c>
      <c r="K34" s="3">
        <f t="shared" si="2"/>
        <v>0</v>
      </c>
      <c r="L34" s="3">
        <f t="shared" si="3"/>
        <v>0</v>
      </c>
    </row>
    <row r="35" customHeight="1" spans="1:12">
      <c r="A35" s="47">
        <f>IFERROR(__xludf.DUMMYFUNCTION("""COMPUTED_VALUE"""),45792.6458333333)</f>
        <v>45792.6458333333</v>
      </c>
      <c r="B35" s="48">
        <f>IFERROR(__xludf.DUMMYFUNCTION("""COMPUTED_VALUE"""),341.95)</f>
        <v>341.95</v>
      </c>
      <c r="C35" s="47">
        <f>IFERROR(__xludf.DUMMYFUNCTION("""COMPUTED_VALUE"""),45792.6458333333)</f>
        <v>45792.6458333333</v>
      </c>
      <c r="D35" s="48">
        <f>IFERROR(__xludf.DUMMYFUNCTION("""COMPUTED_VALUE"""),339.5)</f>
        <v>339.5</v>
      </c>
      <c r="E35" s="47">
        <f>IFERROR(__xludf.DUMMYFUNCTION("""COMPUTED_VALUE"""),45792.6458333333)</f>
        <v>45792.6458333333</v>
      </c>
      <c r="F35" s="48">
        <f>IFERROR(__xludf.DUMMYFUNCTION("""COMPUTED_VALUE"""),43307763)</f>
        <v>43307763</v>
      </c>
      <c r="G35" s="47">
        <f>IFERROR(__xludf.DUMMYFUNCTION("""COMPUTED_VALUE"""),45792.6458333333)</f>
        <v>45792.6458333333</v>
      </c>
      <c r="H35" s="48">
        <f>IFERROR(__xludf.DUMMYFUNCTION("""COMPUTED_VALUE"""),343.75)</f>
        <v>343.75</v>
      </c>
      <c r="I35" s="47">
        <f>IFERROR(__xludf.DUMMYFUNCTION("""COMPUTED_VALUE"""),45792.6458333333)</f>
        <v>45792.6458333333</v>
      </c>
      <c r="J35" s="48">
        <f>IFERROR(__xludf.DUMMYFUNCTION("""COMPUTED_VALUE"""),332.65)</f>
        <v>332.65</v>
      </c>
      <c r="K35" s="3">
        <f t="shared" si="2"/>
        <v>0</v>
      </c>
      <c r="L35" s="3">
        <f t="shared" si="3"/>
        <v>0</v>
      </c>
    </row>
    <row r="36" customHeight="1" spans="1:12">
      <c r="A36" s="47">
        <f>IFERROR(__xludf.DUMMYFUNCTION("""COMPUTED_VALUE"""),45793.6458333333)</f>
        <v>45793.6458333333</v>
      </c>
      <c r="B36" s="48">
        <f>IFERROR(__xludf.DUMMYFUNCTION("""COMPUTED_VALUE"""),343.1)</f>
        <v>343.1</v>
      </c>
      <c r="C36" s="47">
        <f>IFERROR(__xludf.DUMMYFUNCTION("""COMPUTED_VALUE"""),45793.6458333333)</f>
        <v>45793.6458333333</v>
      </c>
      <c r="D36" s="48">
        <f>IFERROR(__xludf.DUMMYFUNCTION("""COMPUTED_VALUE"""),343)</f>
        <v>343</v>
      </c>
      <c r="E36" s="47">
        <f>IFERROR(__xludf.DUMMYFUNCTION("""COMPUTED_VALUE"""),45793.6458333333)</f>
        <v>45793.6458333333</v>
      </c>
      <c r="F36" s="48">
        <f>IFERROR(__xludf.DUMMYFUNCTION("""COMPUTED_VALUE"""),6920351)</f>
        <v>6920351</v>
      </c>
      <c r="G36" s="47">
        <f>IFERROR(__xludf.DUMMYFUNCTION("""COMPUTED_VALUE"""),45793.6458333333)</f>
        <v>45793.6458333333</v>
      </c>
      <c r="H36" s="48">
        <f>IFERROR(__xludf.DUMMYFUNCTION("""COMPUTED_VALUE"""),347.6)</f>
        <v>347.6</v>
      </c>
      <c r="I36" s="47">
        <f>IFERROR(__xludf.DUMMYFUNCTION("""COMPUTED_VALUE"""),45793.6458333333)</f>
        <v>45793.6458333333</v>
      </c>
      <c r="J36" s="48">
        <f>IFERROR(__xludf.DUMMYFUNCTION("""COMPUTED_VALUE"""),342)</f>
        <v>342</v>
      </c>
      <c r="K36" s="3">
        <f t="shared" si="2"/>
        <v>0</v>
      </c>
      <c r="L36" s="3">
        <f t="shared" si="3"/>
        <v>0</v>
      </c>
    </row>
    <row r="37" customHeight="1" spans="1:12">
      <c r="A37" s="47">
        <f>IFERROR(__xludf.DUMMYFUNCTION("""COMPUTED_VALUE"""),45796.6458333333)</f>
        <v>45796.6458333333</v>
      </c>
      <c r="B37" s="48">
        <f>IFERROR(__xludf.DUMMYFUNCTION("""COMPUTED_VALUE"""),345.15)</f>
        <v>345.15</v>
      </c>
      <c r="C37" s="47">
        <f>IFERROR(__xludf.DUMMYFUNCTION("""COMPUTED_VALUE"""),45796.6458333333)</f>
        <v>45796.6458333333</v>
      </c>
      <c r="D37" s="48">
        <f>IFERROR(__xludf.DUMMYFUNCTION("""COMPUTED_VALUE"""),343.1)</f>
        <v>343.1</v>
      </c>
      <c r="E37" s="47">
        <f>IFERROR(__xludf.DUMMYFUNCTION("""COMPUTED_VALUE"""),45796.6458333333)</f>
        <v>45796.6458333333</v>
      </c>
      <c r="F37" s="48">
        <f>IFERROR(__xludf.DUMMYFUNCTION("""COMPUTED_VALUE"""),6218209)</f>
        <v>6218209</v>
      </c>
      <c r="G37" s="47">
        <f>IFERROR(__xludf.DUMMYFUNCTION("""COMPUTED_VALUE"""),45796.6458333333)</f>
        <v>45796.6458333333</v>
      </c>
      <c r="H37" s="48">
        <f>IFERROR(__xludf.DUMMYFUNCTION("""COMPUTED_VALUE"""),347.7)</f>
        <v>347.7</v>
      </c>
      <c r="I37" s="47">
        <f>IFERROR(__xludf.DUMMYFUNCTION("""COMPUTED_VALUE"""),45796.6458333333)</f>
        <v>45796.6458333333</v>
      </c>
      <c r="J37" s="48">
        <f>IFERROR(__xludf.DUMMYFUNCTION("""COMPUTED_VALUE"""),342.4)</f>
        <v>342.4</v>
      </c>
      <c r="K37" s="3">
        <f t="shared" si="2"/>
        <v>0</v>
      </c>
      <c r="L37" s="3">
        <f t="shared" si="3"/>
        <v>0</v>
      </c>
    </row>
    <row r="38" customHeight="1" spans="1:12">
      <c r="A38" s="47">
        <f>IFERROR(__xludf.DUMMYFUNCTION("""COMPUTED_VALUE"""),45797.6458333333)</f>
        <v>45797.6458333333</v>
      </c>
      <c r="B38" s="48">
        <f>IFERROR(__xludf.DUMMYFUNCTION("""COMPUTED_VALUE"""),342.6)</f>
        <v>342.6</v>
      </c>
      <c r="C38" s="47">
        <f>IFERROR(__xludf.DUMMYFUNCTION("""COMPUTED_VALUE"""),45797.6458333333)</f>
        <v>45797.6458333333</v>
      </c>
      <c r="D38" s="48">
        <f>IFERROR(__xludf.DUMMYFUNCTION("""COMPUTED_VALUE"""),346.9)</f>
        <v>346.9</v>
      </c>
      <c r="E38" s="47">
        <f>IFERROR(__xludf.DUMMYFUNCTION("""COMPUTED_VALUE"""),45797.6458333333)</f>
        <v>45797.6458333333</v>
      </c>
      <c r="F38" s="48">
        <f>IFERROR(__xludf.DUMMYFUNCTION("""COMPUTED_VALUE"""),9986143)</f>
        <v>9986143</v>
      </c>
      <c r="G38" s="47">
        <f>IFERROR(__xludf.DUMMYFUNCTION("""COMPUTED_VALUE"""),45797.6458333333)</f>
        <v>45797.6458333333</v>
      </c>
      <c r="H38" s="48">
        <f>IFERROR(__xludf.DUMMYFUNCTION("""COMPUTED_VALUE"""),349.7)</f>
        <v>349.7</v>
      </c>
      <c r="I38" s="47">
        <f>IFERROR(__xludf.DUMMYFUNCTION("""COMPUTED_VALUE"""),45797.6458333333)</f>
        <v>45797.6458333333</v>
      </c>
      <c r="J38" s="48">
        <f>IFERROR(__xludf.DUMMYFUNCTION("""COMPUTED_VALUE"""),341.55)</f>
        <v>341.55</v>
      </c>
      <c r="K38" s="3">
        <f t="shared" si="2"/>
        <v>0</v>
      </c>
      <c r="L38" s="3">
        <f t="shared" si="3"/>
        <v>0</v>
      </c>
    </row>
    <row r="39" customHeight="1" spans="1:12">
      <c r="A39" s="47">
        <f>IFERROR(__xludf.DUMMYFUNCTION("""COMPUTED_VALUE"""),45798.6458333333)</f>
        <v>45798.6458333333</v>
      </c>
      <c r="B39" s="48">
        <f>IFERROR(__xludf.DUMMYFUNCTION("""COMPUTED_VALUE"""),346.15)</f>
        <v>346.15</v>
      </c>
      <c r="C39" s="47">
        <f>IFERROR(__xludf.DUMMYFUNCTION("""COMPUTED_VALUE"""),45798.6458333333)</f>
        <v>45798.6458333333</v>
      </c>
      <c r="D39" s="48">
        <f>IFERROR(__xludf.DUMMYFUNCTION("""COMPUTED_VALUE"""),342.55)</f>
        <v>342.55</v>
      </c>
      <c r="E39" s="47">
        <f>IFERROR(__xludf.DUMMYFUNCTION("""COMPUTED_VALUE"""),45798.6458333333)</f>
        <v>45798.6458333333</v>
      </c>
      <c r="F39" s="48">
        <f>IFERROR(__xludf.DUMMYFUNCTION("""COMPUTED_VALUE"""),5930972)</f>
        <v>5930972</v>
      </c>
      <c r="G39" s="47">
        <f>IFERROR(__xludf.DUMMYFUNCTION("""COMPUTED_VALUE"""),45798.6458333333)</f>
        <v>45798.6458333333</v>
      </c>
      <c r="H39" s="48">
        <f>IFERROR(__xludf.DUMMYFUNCTION("""COMPUTED_VALUE"""),347.4)</f>
        <v>347.4</v>
      </c>
      <c r="I39" s="47">
        <f>IFERROR(__xludf.DUMMYFUNCTION("""COMPUTED_VALUE"""),45798.6458333333)</f>
        <v>45798.6458333333</v>
      </c>
      <c r="J39" s="48">
        <f>IFERROR(__xludf.DUMMYFUNCTION("""COMPUTED_VALUE"""),339.85)</f>
        <v>339.85</v>
      </c>
      <c r="K39" s="3">
        <f t="shared" si="2"/>
        <v>346.15</v>
      </c>
      <c r="L39" s="3">
        <f t="shared" si="3"/>
        <v>0</v>
      </c>
    </row>
    <row r="40" customHeight="1" spans="1:12">
      <c r="A40" s="47">
        <f>IFERROR(__xludf.DUMMYFUNCTION("""COMPUTED_VALUE"""),45799.6458333333)</f>
        <v>45799.6458333333</v>
      </c>
      <c r="B40" s="48">
        <f>IFERROR(__xludf.DUMMYFUNCTION("""COMPUTED_VALUE"""),341.4)</f>
        <v>341.4</v>
      </c>
      <c r="C40" s="47">
        <f>IFERROR(__xludf.DUMMYFUNCTION("""COMPUTED_VALUE"""),45799.6458333333)</f>
        <v>45799.6458333333</v>
      </c>
      <c r="D40" s="48">
        <f>IFERROR(__xludf.DUMMYFUNCTION("""COMPUTED_VALUE"""),346.15)</f>
        <v>346.15</v>
      </c>
      <c r="E40" s="47">
        <f>IFERROR(__xludf.DUMMYFUNCTION("""COMPUTED_VALUE"""),45799.6458333333)</f>
        <v>45799.6458333333</v>
      </c>
      <c r="F40" s="48">
        <f>IFERROR(__xludf.DUMMYFUNCTION("""COMPUTED_VALUE"""),8717514)</f>
        <v>8717514</v>
      </c>
      <c r="G40" s="47">
        <f>IFERROR(__xludf.DUMMYFUNCTION("""COMPUTED_VALUE"""),45799.6458333333)</f>
        <v>45799.6458333333</v>
      </c>
      <c r="H40" s="48">
        <f>IFERROR(__xludf.DUMMYFUNCTION("""COMPUTED_VALUE"""),347)</f>
        <v>347</v>
      </c>
      <c r="I40" s="47">
        <f>IFERROR(__xludf.DUMMYFUNCTION("""COMPUTED_VALUE"""),45799.6458333333)</f>
        <v>45799.6458333333</v>
      </c>
      <c r="J40" s="48">
        <f>IFERROR(__xludf.DUMMYFUNCTION("""COMPUTED_VALUE"""),338.25)</f>
        <v>338.25</v>
      </c>
      <c r="K40" s="3">
        <f t="shared" si="2"/>
        <v>0</v>
      </c>
      <c r="L40" s="3">
        <f t="shared" si="3"/>
        <v>0</v>
      </c>
    </row>
    <row r="41" customHeight="1" spans="1:12">
      <c r="A41" s="47">
        <f>IFERROR(__xludf.DUMMYFUNCTION("""COMPUTED_VALUE"""),45800.6458333333)</f>
        <v>45800.6458333333</v>
      </c>
      <c r="B41" s="48">
        <f>IFERROR(__xludf.DUMMYFUNCTION("""COMPUTED_VALUE"""),344.6)</f>
        <v>344.6</v>
      </c>
      <c r="C41" s="47">
        <f>IFERROR(__xludf.DUMMYFUNCTION("""COMPUTED_VALUE"""),45800.6458333333)</f>
        <v>45800.6458333333</v>
      </c>
      <c r="D41" s="48">
        <f>IFERROR(__xludf.DUMMYFUNCTION("""COMPUTED_VALUE"""),342)</f>
        <v>342</v>
      </c>
      <c r="E41" s="47">
        <f>IFERROR(__xludf.DUMMYFUNCTION("""COMPUTED_VALUE"""),45800.6458333333)</f>
        <v>45800.6458333333</v>
      </c>
      <c r="F41" s="48">
        <f>IFERROR(__xludf.DUMMYFUNCTION("""COMPUTED_VALUE"""),4045937)</f>
        <v>4045937</v>
      </c>
      <c r="G41" s="47">
        <f>IFERROR(__xludf.DUMMYFUNCTION("""COMPUTED_VALUE"""),45800.6458333333)</f>
        <v>45800.6458333333</v>
      </c>
      <c r="H41" s="48">
        <f>IFERROR(__xludf.DUMMYFUNCTION("""COMPUTED_VALUE"""),344.95)</f>
        <v>344.95</v>
      </c>
      <c r="I41" s="47">
        <f>IFERROR(__xludf.DUMMYFUNCTION("""COMPUTED_VALUE"""),45800.6458333333)</f>
        <v>45800.6458333333</v>
      </c>
      <c r="J41" s="48">
        <f>IFERROR(__xludf.DUMMYFUNCTION("""COMPUTED_VALUE"""),340.15)</f>
        <v>340.15</v>
      </c>
      <c r="K41" s="3">
        <f t="shared" si="2"/>
        <v>0</v>
      </c>
      <c r="L41" s="3">
        <f t="shared" si="3"/>
        <v>0</v>
      </c>
    </row>
    <row r="42" customHeight="1" spans="1:12">
      <c r="A42" s="47">
        <f>IFERROR(__xludf.DUMMYFUNCTION("""COMPUTED_VALUE"""),45803.6458333333)</f>
        <v>45803.6458333333</v>
      </c>
      <c r="B42" s="48">
        <f>IFERROR(__xludf.DUMMYFUNCTION("""COMPUTED_VALUE"""),343.5)</f>
        <v>343.5</v>
      </c>
      <c r="C42" s="47">
        <f>IFERROR(__xludf.DUMMYFUNCTION("""COMPUTED_VALUE"""),45803.6458333333)</f>
        <v>45803.6458333333</v>
      </c>
      <c r="D42" s="48">
        <f>IFERROR(__xludf.DUMMYFUNCTION("""COMPUTED_VALUE"""),351)</f>
        <v>351</v>
      </c>
      <c r="E42" s="47">
        <f>IFERROR(__xludf.DUMMYFUNCTION("""COMPUTED_VALUE"""),45803.6458333333)</f>
        <v>45803.6458333333</v>
      </c>
      <c r="F42" s="48">
        <f>IFERROR(__xludf.DUMMYFUNCTION("""COMPUTED_VALUE"""),16655082)</f>
        <v>16655082</v>
      </c>
      <c r="G42" s="47">
        <f>IFERROR(__xludf.DUMMYFUNCTION("""COMPUTED_VALUE"""),45803.6458333333)</f>
        <v>45803.6458333333</v>
      </c>
      <c r="H42" s="48">
        <f>IFERROR(__xludf.DUMMYFUNCTION("""COMPUTED_VALUE"""),351.2)</f>
        <v>351.2</v>
      </c>
      <c r="I42" s="47">
        <f>IFERROR(__xludf.DUMMYFUNCTION("""COMPUTED_VALUE"""),45803.6458333333)</f>
        <v>45803.6458333333</v>
      </c>
      <c r="J42" s="48">
        <f>IFERROR(__xludf.DUMMYFUNCTION("""COMPUTED_VALUE"""),342.55)</f>
        <v>342.55</v>
      </c>
      <c r="K42" s="3">
        <f t="shared" si="2"/>
        <v>0</v>
      </c>
      <c r="L42" s="3">
        <f t="shared" si="3"/>
        <v>0</v>
      </c>
    </row>
    <row r="43" customHeight="1" spans="1:12">
      <c r="A43" s="47">
        <f>IFERROR(__xludf.DUMMYFUNCTION("""COMPUTED_VALUE"""),45804.6458333333)</f>
        <v>45804.6458333333</v>
      </c>
      <c r="B43" s="48">
        <f>IFERROR(__xludf.DUMMYFUNCTION("""COMPUTED_VALUE"""),338.55)</f>
        <v>338.55</v>
      </c>
      <c r="C43" s="47">
        <f>IFERROR(__xludf.DUMMYFUNCTION("""COMPUTED_VALUE"""),45804.6458333333)</f>
        <v>45804.6458333333</v>
      </c>
      <c r="D43" s="48">
        <f>IFERROR(__xludf.DUMMYFUNCTION("""COMPUTED_VALUE"""),344)</f>
        <v>344</v>
      </c>
      <c r="E43" s="47">
        <f>IFERROR(__xludf.DUMMYFUNCTION("""COMPUTED_VALUE"""),45804.6458333333)</f>
        <v>45804.6458333333</v>
      </c>
      <c r="F43" s="48">
        <f>IFERROR(__xludf.DUMMYFUNCTION("""COMPUTED_VALUE"""),24937330)</f>
        <v>24937330</v>
      </c>
      <c r="G43" s="47">
        <f>IFERROR(__xludf.DUMMYFUNCTION("""COMPUTED_VALUE"""),45804.6458333333)</f>
        <v>45804.6458333333</v>
      </c>
      <c r="H43" s="48">
        <f>IFERROR(__xludf.DUMMYFUNCTION("""COMPUTED_VALUE"""),344.5)</f>
        <v>344.5</v>
      </c>
      <c r="I43" s="47">
        <f>IFERROR(__xludf.DUMMYFUNCTION("""COMPUTED_VALUE"""),45804.6458333333)</f>
        <v>45804.6458333333</v>
      </c>
      <c r="J43" s="48">
        <f>IFERROR(__xludf.DUMMYFUNCTION("""COMPUTED_VALUE"""),336.8)</f>
        <v>336.8</v>
      </c>
      <c r="K43" s="3">
        <f t="shared" si="2"/>
        <v>0</v>
      </c>
      <c r="L43" s="3">
        <f t="shared" si="3"/>
        <v>0</v>
      </c>
    </row>
    <row r="44" customHeight="1" spans="1:12">
      <c r="A44" s="47">
        <f>IFERROR(__xludf.DUMMYFUNCTION("""COMPUTED_VALUE"""),45805.6458333333)</f>
        <v>45805.6458333333</v>
      </c>
      <c r="B44" s="48">
        <f>IFERROR(__xludf.DUMMYFUNCTION("""COMPUTED_VALUE"""),340.05)</f>
        <v>340.05</v>
      </c>
      <c r="C44" s="47">
        <f>IFERROR(__xludf.DUMMYFUNCTION("""COMPUTED_VALUE"""),45805.6458333333)</f>
        <v>45805.6458333333</v>
      </c>
      <c r="D44" s="48">
        <f>IFERROR(__xludf.DUMMYFUNCTION("""COMPUTED_VALUE"""),338.6)</f>
        <v>338.6</v>
      </c>
      <c r="E44" s="47">
        <f>IFERROR(__xludf.DUMMYFUNCTION("""COMPUTED_VALUE"""),45805.6458333333)</f>
        <v>45805.6458333333</v>
      </c>
      <c r="F44" s="48">
        <f>IFERROR(__xludf.DUMMYFUNCTION("""COMPUTED_VALUE"""),10985957)</f>
        <v>10985957</v>
      </c>
      <c r="G44" s="47">
        <f>IFERROR(__xludf.DUMMYFUNCTION("""COMPUTED_VALUE"""),45805.6458333333)</f>
        <v>45805.6458333333</v>
      </c>
      <c r="H44" s="48">
        <f>IFERROR(__xludf.DUMMYFUNCTION("""COMPUTED_VALUE"""),340.7)</f>
        <v>340.7</v>
      </c>
      <c r="I44" s="47">
        <f>IFERROR(__xludf.DUMMYFUNCTION("""COMPUTED_VALUE"""),45805.6458333333)</f>
        <v>45805.6458333333</v>
      </c>
      <c r="J44" s="48">
        <f>IFERROR(__xludf.DUMMYFUNCTION("""COMPUTED_VALUE"""),337.1)</f>
        <v>337.1</v>
      </c>
      <c r="K44" s="3">
        <f t="shared" si="2"/>
        <v>0</v>
      </c>
      <c r="L44" s="3">
        <f t="shared" si="3"/>
        <v>0</v>
      </c>
    </row>
    <row r="45" customHeight="1" spans="1:12">
      <c r="A45" s="47">
        <f>IFERROR(__xludf.DUMMYFUNCTION("""COMPUTED_VALUE"""),45806.6458333333)</f>
        <v>45806.6458333333</v>
      </c>
      <c r="B45" s="48">
        <f>IFERROR(__xludf.DUMMYFUNCTION("""COMPUTED_VALUE"""),339.35)</f>
        <v>339.35</v>
      </c>
      <c r="C45" s="47">
        <f>IFERROR(__xludf.DUMMYFUNCTION("""COMPUTED_VALUE"""),45806.6458333333)</f>
        <v>45806.6458333333</v>
      </c>
      <c r="D45" s="48">
        <f>IFERROR(__xludf.DUMMYFUNCTION("""COMPUTED_VALUE"""),341)</f>
        <v>341</v>
      </c>
      <c r="E45" s="47">
        <f>IFERROR(__xludf.DUMMYFUNCTION("""COMPUTED_VALUE"""),45806.6458333333)</f>
        <v>45806.6458333333</v>
      </c>
      <c r="F45" s="48">
        <f>IFERROR(__xludf.DUMMYFUNCTION("""COMPUTED_VALUE"""),15884093)</f>
        <v>15884093</v>
      </c>
      <c r="G45" s="47">
        <f>IFERROR(__xludf.DUMMYFUNCTION("""COMPUTED_VALUE"""),45806.6458333333)</f>
        <v>45806.6458333333</v>
      </c>
      <c r="H45" s="48">
        <f>IFERROR(__xludf.DUMMYFUNCTION("""COMPUTED_VALUE"""),342.25)</f>
        <v>342.25</v>
      </c>
      <c r="I45" s="47">
        <f>IFERROR(__xludf.DUMMYFUNCTION("""COMPUTED_VALUE"""),45806.6458333333)</f>
        <v>45806.6458333333</v>
      </c>
      <c r="J45" s="48">
        <f>IFERROR(__xludf.DUMMYFUNCTION("""COMPUTED_VALUE"""),338.05)</f>
        <v>338.05</v>
      </c>
      <c r="K45" s="3">
        <f t="shared" si="2"/>
        <v>0</v>
      </c>
      <c r="L45" s="3">
        <f t="shared" si="3"/>
        <v>0</v>
      </c>
    </row>
    <row r="46" customHeight="1" spans="1:12">
      <c r="A46" s="47">
        <f>IFERROR(__xludf.DUMMYFUNCTION("""COMPUTED_VALUE"""),45807.6458333333)</f>
        <v>45807.6458333333</v>
      </c>
      <c r="B46" s="48">
        <f>IFERROR(__xludf.DUMMYFUNCTION("""COMPUTED_VALUE"""),333.9)</f>
        <v>333.9</v>
      </c>
      <c r="C46" s="47">
        <f>IFERROR(__xludf.DUMMYFUNCTION("""COMPUTED_VALUE"""),45807.6458333333)</f>
        <v>45807.6458333333</v>
      </c>
      <c r="D46" s="48">
        <f>IFERROR(__xludf.DUMMYFUNCTION("""COMPUTED_VALUE"""),337.5)</f>
        <v>337.5</v>
      </c>
      <c r="E46" s="47">
        <f>IFERROR(__xludf.DUMMYFUNCTION("""COMPUTED_VALUE"""),45807.6458333333)</f>
        <v>45807.6458333333</v>
      </c>
      <c r="F46" s="48">
        <f>IFERROR(__xludf.DUMMYFUNCTION("""COMPUTED_VALUE"""),19143010)</f>
        <v>19143010</v>
      </c>
      <c r="G46" s="47">
        <f>IFERROR(__xludf.DUMMYFUNCTION("""COMPUTED_VALUE"""),45807.6458333333)</f>
        <v>45807.6458333333</v>
      </c>
      <c r="H46" s="48">
        <f>IFERROR(__xludf.DUMMYFUNCTION("""COMPUTED_VALUE"""),340.75)</f>
        <v>340.75</v>
      </c>
      <c r="I46" s="47">
        <f>IFERROR(__xludf.DUMMYFUNCTION("""COMPUTED_VALUE"""),45807.6458333333)</f>
        <v>45807.6458333333</v>
      </c>
      <c r="J46" s="48">
        <f>IFERROR(__xludf.DUMMYFUNCTION("""COMPUTED_VALUE"""),332.85)</f>
        <v>332.85</v>
      </c>
      <c r="K46" s="3">
        <f t="shared" si="2"/>
        <v>0</v>
      </c>
      <c r="L46" s="3">
        <f t="shared" si="3"/>
        <v>0</v>
      </c>
    </row>
    <row r="47" customHeight="1" spans="1:12">
      <c r="A47" s="47">
        <f>IFERROR(__xludf.DUMMYFUNCTION("""COMPUTED_VALUE"""),45810.6458333333)</f>
        <v>45810.6458333333</v>
      </c>
      <c r="B47" s="48">
        <f>IFERROR(__xludf.DUMMYFUNCTION("""COMPUTED_VALUE"""),332.55)</f>
        <v>332.55</v>
      </c>
      <c r="C47" s="47">
        <f>IFERROR(__xludf.DUMMYFUNCTION("""COMPUTED_VALUE"""),45810.6458333333)</f>
        <v>45810.6458333333</v>
      </c>
      <c r="D47" s="48">
        <f>IFERROR(__xludf.DUMMYFUNCTION("""COMPUTED_VALUE"""),333.9)</f>
        <v>333.9</v>
      </c>
      <c r="E47" s="47">
        <f>IFERROR(__xludf.DUMMYFUNCTION("""COMPUTED_VALUE"""),45810.6458333333)</f>
        <v>45810.6458333333</v>
      </c>
      <c r="F47" s="48">
        <f>IFERROR(__xludf.DUMMYFUNCTION("""COMPUTED_VALUE"""),29479727)</f>
        <v>29479727</v>
      </c>
      <c r="G47" s="47">
        <f>IFERROR(__xludf.DUMMYFUNCTION("""COMPUTED_VALUE"""),45810.6458333333)</f>
        <v>45810.6458333333</v>
      </c>
      <c r="H47" s="48">
        <f>IFERROR(__xludf.DUMMYFUNCTION("""COMPUTED_VALUE"""),334.8)</f>
        <v>334.8</v>
      </c>
      <c r="I47" s="47">
        <f>IFERROR(__xludf.DUMMYFUNCTION("""COMPUTED_VALUE"""),45810.6458333333)</f>
        <v>45810.6458333333</v>
      </c>
      <c r="J47" s="48">
        <f>IFERROR(__xludf.DUMMYFUNCTION("""COMPUTED_VALUE"""),330.3)</f>
        <v>330.3</v>
      </c>
      <c r="K47" s="3">
        <f t="shared" si="2"/>
        <v>0</v>
      </c>
      <c r="L47" s="3">
        <f t="shared" si="3"/>
        <v>0</v>
      </c>
    </row>
    <row r="48" customHeight="1" spans="1:12">
      <c r="A48" s="47">
        <f>IFERROR(__xludf.DUMMYFUNCTION("""COMPUTED_VALUE"""),45811.6458333333)</f>
        <v>45811.6458333333</v>
      </c>
      <c r="B48" s="48">
        <f>IFERROR(__xludf.DUMMYFUNCTION("""COMPUTED_VALUE"""),328.25)</f>
        <v>328.25</v>
      </c>
      <c r="C48" s="47">
        <f>IFERROR(__xludf.DUMMYFUNCTION("""COMPUTED_VALUE"""),45811.6458333333)</f>
        <v>45811.6458333333</v>
      </c>
      <c r="D48" s="48">
        <f>IFERROR(__xludf.DUMMYFUNCTION("""COMPUTED_VALUE"""),333)</f>
        <v>333</v>
      </c>
      <c r="E48" s="47">
        <f>IFERROR(__xludf.DUMMYFUNCTION("""COMPUTED_VALUE"""),45811.6458333333)</f>
        <v>45811.6458333333</v>
      </c>
      <c r="F48" s="48">
        <f>IFERROR(__xludf.DUMMYFUNCTION("""COMPUTED_VALUE"""),14081719)</f>
        <v>14081719</v>
      </c>
      <c r="G48" s="47">
        <f>IFERROR(__xludf.DUMMYFUNCTION("""COMPUTED_VALUE"""),45811.6458333333)</f>
        <v>45811.6458333333</v>
      </c>
      <c r="H48" s="48">
        <f>IFERROR(__xludf.DUMMYFUNCTION("""COMPUTED_VALUE"""),334.75)</f>
        <v>334.75</v>
      </c>
      <c r="I48" s="47">
        <f>IFERROR(__xludf.DUMMYFUNCTION("""COMPUTED_VALUE"""),45811.6458333333)</f>
        <v>45811.6458333333</v>
      </c>
      <c r="J48" s="48">
        <f>IFERROR(__xludf.DUMMYFUNCTION("""COMPUTED_VALUE"""),327)</f>
        <v>327</v>
      </c>
      <c r="K48" s="3">
        <f t="shared" si="2"/>
        <v>0</v>
      </c>
      <c r="L48" s="3">
        <f t="shared" si="3"/>
        <v>328.25</v>
      </c>
    </row>
    <row r="49" customHeight="1" spans="1:12">
      <c r="A49" s="47">
        <f>IFERROR(__xludf.DUMMYFUNCTION("""COMPUTED_VALUE"""),45812.6458333333)</f>
        <v>45812.6458333333</v>
      </c>
      <c r="B49" s="48">
        <f>IFERROR(__xludf.DUMMYFUNCTION("""COMPUTED_VALUE"""),329.25)</f>
        <v>329.25</v>
      </c>
      <c r="C49" s="47">
        <f>IFERROR(__xludf.DUMMYFUNCTION("""COMPUTED_VALUE"""),45812.6458333333)</f>
        <v>45812.6458333333</v>
      </c>
      <c r="D49" s="48">
        <f>IFERROR(__xludf.DUMMYFUNCTION("""COMPUTED_VALUE"""),329)</f>
        <v>329</v>
      </c>
      <c r="E49" s="47">
        <f>IFERROR(__xludf.DUMMYFUNCTION("""COMPUTED_VALUE"""),45812.6458333333)</f>
        <v>45812.6458333333</v>
      </c>
      <c r="F49" s="48">
        <f>IFERROR(__xludf.DUMMYFUNCTION("""COMPUTED_VALUE"""),15654279)</f>
        <v>15654279</v>
      </c>
      <c r="G49" s="47">
        <f>IFERROR(__xludf.DUMMYFUNCTION("""COMPUTED_VALUE"""),45812.6458333333)</f>
        <v>45812.6458333333</v>
      </c>
      <c r="H49" s="48">
        <f>IFERROR(__xludf.DUMMYFUNCTION("""COMPUTED_VALUE"""),329.95)</f>
        <v>329.95</v>
      </c>
      <c r="I49" s="47">
        <f>IFERROR(__xludf.DUMMYFUNCTION("""COMPUTED_VALUE"""),45812.6458333333)</f>
        <v>45812.6458333333</v>
      </c>
      <c r="J49" s="48">
        <f>IFERROR(__xludf.DUMMYFUNCTION("""COMPUTED_VALUE"""),324.85)</f>
        <v>324.85</v>
      </c>
      <c r="K49" s="3">
        <f t="shared" si="2"/>
        <v>0</v>
      </c>
      <c r="L49" s="3">
        <f t="shared" si="3"/>
        <v>0</v>
      </c>
    </row>
    <row r="50" customHeight="1" spans="1:12">
      <c r="A50" s="47">
        <f>IFERROR(__xludf.DUMMYFUNCTION("""COMPUTED_VALUE"""),45813.6458333333)</f>
        <v>45813.6458333333</v>
      </c>
      <c r="B50" s="48">
        <f>IFERROR(__xludf.DUMMYFUNCTION("""COMPUTED_VALUE"""),328.65)</f>
        <v>328.65</v>
      </c>
      <c r="C50" s="47">
        <f>IFERROR(__xludf.DUMMYFUNCTION("""COMPUTED_VALUE"""),45813.6458333333)</f>
        <v>45813.6458333333</v>
      </c>
      <c r="D50" s="48">
        <f>IFERROR(__xludf.DUMMYFUNCTION("""COMPUTED_VALUE"""),329.2)</f>
        <v>329.2</v>
      </c>
      <c r="E50" s="47">
        <f>IFERROR(__xludf.DUMMYFUNCTION("""COMPUTED_VALUE"""),45813.6458333333)</f>
        <v>45813.6458333333</v>
      </c>
      <c r="F50" s="48">
        <f>IFERROR(__xludf.DUMMYFUNCTION("""COMPUTED_VALUE"""),16270360)</f>
        <v>16270360</v>
      </c>
      <c r="G50" s="47">
        <f>IFERROR(__xludf.DUMMYFUNCTION("""COMPUTED_VALUE"""),45813.6458333333)</f>
        <v>45813.6458333333</v>
      </c>
      <c r="H50" s="48">
        <f>IFERROR(__xludf.DUMMYFUNCTION("""COMPUTED_VALUE"""),331.6)</f>
        <v>331.6</v>
      </c>
      <c r="I50" s="47">
        <f>IFERROR(__xludf.DUMMYFUNCTION("""COMPUTED_VALUE"""),45813.6458333333)</f>
        <v>45813.6458333333</v>
      </c>
      <c r="J50" s="48">
        <f>IFERROR(__xludf.DUMMYFUNCTION("""COMPUTED_VALUE"""),327.6)</f>
        <v>327.6</v>
      </c>
      <c r="K50" s="3">
        <f t="shared" si="2"/>
        <v>0</v>
      </c>
      <c r="L50" s="3">
        <f t="shared" si="3"/>
        <v>0</v>
      </c>
    </row>
    <row r="51" customHeight="1" spans="1:12">
      <c r="A51" s="47">
        <f>IFERROR(__xludf.DUMMYFUNCTION("""COMPUTED_VALUE"""),45814.6458333333)</f>
        <v>45814.6458333333</v>
      </c>
      <c r="B51" s="48">
        <f>IFERROR(__xludf.DUMMYFUNCTION("""COMPUTED_VALUE"""),332.85)</f>
        <v>332.85</v>
      </c>
      <c r="C51" s="47">
        <f>IFERROR(__xludf.DUMMYFUNCTION("""COMPUTED_VALUE"""),45814.6458333333)</f>
        <v>45814.6458333333</v>
      </c>
      <c r="D51" s="48">
        <f>IFERROR(__xludf.DUMMYFUNCTION("""COMPUTED_VALUE"""),329.65)</f>
        <v>329.65</v>
      </c>
      <c r="E51" s="47">
        <f>IFERROR(__xludf.DUMMYFUNCTION("""COMPUTED_VALUE"""),45814.6458333333)</f>
        <v>45814.6458333333</v>
      </c>
      <c r="F51" s="48">
        <f>IFERROR(__xludf.DUMMYFUNCTION("""COMPUTED_VALUE"""),11402511)</f>
        <v>11402511</v>
      </c>
      <c r="G51" s="47">
        <f>IFERROR(__xludf.DUMMYFUNCTION("""COMPUTED_VALUE"""),45814.6458333333)</f>
        <v>45814.6458333333</v>
      </c>
      <c r="H51" s="48">
        <f>IFERROR(__xludf.DUMMYFUNCTION("""COMPUTED_VALUE"""),333.5)</f>
        <v>333.5</v>
      </c>
      <c r="I51" s="47">
        <f>IFERROR(__xludf.DUMMYFUNCTION("""COMPUTED_VALUE"""),45814.6458333333)</f>
        <v>45814.6458333333</v>
      </c>
      <c r="J51" s="48">
        <f>IFERROR(__xludf.DUMMYFUNCTION("""COMPUTED_VALUE"""),329.05)</f>
        <v>329.05</v>
      </c>
      <c r="K51" s="3">
        <f t="shared" si="2"/>
        <v>0</v>
      </c>
      <c r="L51" s="3">
        <f t="shared" si="3"/>
        <v>0</v>
      </c>
    </row>
    <row r="52" customHeight="1" spans="1:12">
      <c r="A52" s="47">
        <f>IFERROR(__xludf.DUMMYFUNCTION("""COMPUTED_VALUE"""),45817.6458333333)</f>
        <v>45817.6458333333</v>
      </c>
      <c r="B52" s="48">
        <f>IFERROR(__xludf.DUMMYFUNCTION("""COMPUTED_VALUE"""),337.1)</f>
        <v>337.1</v>
      </c>
      <c r="C52" s="47">
        <f>IFERROR(__xludf.DUMMYFUNCTION("""COMPUTED_VALUE"""),45817.6458333333)</f>
        <v>45817.6458333333</v>
      </c>
      <c r="D52" s="48">
        <f>IFERROR(__xludf.DUMMYFUNCTION("""COMPUTED_VALUE"""),333.9)</f>
        <v>333.9</v>
      </c>
      <c r="E52" s="47">
        <f>IFERROR(__xludf.DUMMYFUNCTION("""COMPUTED_VALUE"""),45817.6458333333)</f>
        <v>45817.6458333333</v>
      </c>
      <c r="F52" s="48">
        <f>IFERROR(__xludf.DUMMYFUNCTION("""COMPUTED_VALUE"""),19416373)</f>
        <v>19416373</v>
      </c>
      <c r="G52" s="47">
        <f>IFERROR(__xludf.DUMMYFUNCTION("""COMPUTED_VALUE"""),45817.6458333333)</f>
        <v>45817.6458333333</v>
      </c>
      <c r="H52" s="48">
        <f>IFERROR(__xludf.DUMMYFUNCTION("""COMPUTED_VALUE"""),337.55)</f>
        <v>337.55</v>
      </c>
      <c r="I52" s="47">
        <f>IFERROR(__xludf.DUMMYFUNCTION("""COMPUTED_VALUE"""),45817.6458333333)</f>
        <v>45817.6458333333</v>
      </c>
      <c r="J52" s="48">
        <f>IFERROR(__xludf.DUMMYFUNCTION("""COMPUTED_VALUE"""),332.75)</f>
        <v>332.75</v>
      </c>
      <c r="K52" s="3">
        <f t="shared" si="2"/>
        <v>0</v>
      </c>
      <c r="L52" s="3">
        <f t="shared" si="3"/>
        <v>0</v>
      </c>
    </row>
    <row r="53" customHeight="1" spans="1:12">
      <c r="A53" s="47">
        <f>IFERROR(__xludf.DUMMYFUNCTION("""COMPUTED_VALUE"""),45818.6458333333)</f>
        <v>45818.6458333333</v>
      </c>
      <c r="B53" s="48">
        <f>IFERROR(__xludf.DUMMYFUNCTION("""COMPUTED_VALUE"""),339.2)</f>
        <v>339.2</v>
      </c>
      <c r="C53" s="47">
        <f>IFERROR(__xludf.DUMMYFUNCTION("""COMPUTED_VALUE"""),45818.6458333333)</f>
        <v>45818.6458333333</v>
      </c>
      <c r="D53" s="48">
        <f>IFERROR(__xludf.DUMMYFUNCTION("""COMPUTED_VALUE"""),338.8)</f>
        <v>338.8</v>
      </c>
      <c r="E53" s="47">
        <f>IFERROR(__xludf.DUMMYFUNCTION("""COMPUTED_VALUE"""),45818.6458333333)</f>
        <v>45818.6458333333</v>
      </c>
      <c r="F53" s="48">
        <f>IFERROR(__xludf.DUMMYFUNCTION("""COMPUTED_VALUE"""),12061248)</f>
        <v>12061248</v>
      </c>
      <c r="G53" s="47">
        <f>IFERROR(__xludf.DUMMYFUNCTION("""COMPUTED_VALUE"""),45818.6458333333)</f>
        <v>45818.6458333333</v>
      </c>
      <c r="H53" s="48">
        <f>IFERROR(__xludf.DUMMYFUNCTION("""COMPUTED_VALUE"""),340.9)</f>
        <v>340.9</v>
      </c>
      <c r="I53" s="47">
        <f>IFERROR(__xludf.DUMMYFUNCTION("""COMPUTED_VALUE"""),45818.6458333333)</f>
        <v>45818.6458333333</v>
      </c>
      <c r="J53" s="48">
        <f>IFERROR(__xludf.DUMMYFUNCTION("""COMPUTED_VALUE"""),336.8)</f>
        <v>336.8</v>
      </c>
      <c r="K53" s="3">
        <f t="shared" si="2"/>
        <v>339.2</v>
      </c>
      <c r="L53" s="3">
        <f t="shared" si="3"/>
        <v>0</v>
      </c>
    </row>
    <row r="54" customHeight="1" spans="1:12">
      <c r="A54" s="47">
        <f>IFERROR(__xludf.DUMMYFUNCTION("""COMPUTED_VALUE"""),45819.6458333333)</f>
        <v>45819.6458333333</v>
      </c>
      <c r="B54" s="48">
        <f>IFERROR(__xludf.DUMMYFUNCTION("""COMPUTED_VALUE"""),338.1)</f>
        <v>338.1</v>
      </c>
      <c r="C54" s="47">
        <f>IFERROR(__xludf.DUMMYFUNCTION("""COMPUTED_VALUE"""),45819.6458333333)</f>
        <v>45819.6458333333</v>
      </c>
      <c r="D54" s="48">
        <f>IFERROR(__xludf.DUMMYFUNCTION("""COMPUTED_VALUE"""),341)</f>
        <v>341</v>
      </c>
      <c r="E54" s="47">
        <f>IFERROR(__xludf.DUMMYFUNCTION("""COMPUTED_VALUE"""),45819.6458333333)</f>
        <v>45819.6458333333</v>
      </c>
      <c r="F54" s="48">
        <f>IFERROR(__xludf.DUMMYFUNCTION("""COMPUTED_VALUE"""),10807496)</f>
        <v>10807496</v>
      </c>
      <c r="G54" s="47">
        <f>IFERROR(__xludf.DUMMYFUNCTION("""COMPUTED_VALUE"""),45819.6458333333)</f>
        <v>45819.6458333333</v>
      </c>
      <c r="H54" s="48">
        <f>IFERROR(__xludf.DUMMYFUNCTION("""COMPUTED_VALUE"""),342.6)</f>
        <v>342.6</v>
      </c>
      <c r="I54" s="47">
        <f>IFERROR(__xludf.DUMMYFUNCTION("""COMPUTED_VALUE"""),45819.6458333333)</f>
        <v>45819.6458333333</v>
      </c>
      <c r="J54" s="48">
        <f>IFERROR(__xludf.DUMMYFUNCTION("""COMPUTED_VALUE"""),337.45)</f>
        <v>337.45</v>
      </c>
      <c r="K54" s="3">
        <f t="shared" si="2"/>
        <v>0</v>
      </c>
      <c r="L54" s="3">
        <f t="shared" si="3"/>
        <v>0</v>
      </c>
    </row>
    <row r="55" customHeight="1" spans="1:12">
      <c r="A55" s="47">
        <f>IFERROR(__xludf.DUMMYFUNCTION("""COMPUTED_VALUE"""),45820.6458333333)</f>
        <v>45820.6458333333</v>
      </c>
      <c r="B55" s="48">
        <f>IFERROR(__xludf.DUMMYFUNCTION("""COMPUTED_VALUE"""),333.7)</f>
        <v>333.7</v>
      </c>
      <c r="C55" s="47">
        <f>IFERROR(__xludf.DUMMYFUNCTION("""COMPUTED_VALUE"""),45820.6458333333)</f>
        <v>45820.6458333333</v>
      </c>
      <c r="D55" s="48">
        <f>IFERROR(__xludf.DUMMYFUNCTION("""COMPUTED_VALUE"""),338.15)</f>
        <v>338.15</v>
      </c>
      <c r="E55" s="47">
        <f>IFERROR(__xludf.DUMMYFUNCTION("""COMPUTED_VALUE"""),45820.6458333333)</f>
        <v>45820.6458333333</v>
      </c>
      <c r="F55" s="48">
        <f>IFERROR(__xludf.DUMMYFUNCTION("""COMPUTED_VALUE"""),11881618)</f>
        <v>11881618</v>
      </c>
      <c r="G55" s="47">
        <f>IFERROR(__xludf.DUMMYFUNCTION("""COMPUTED_VALUE"""),45820.6458333333)</f>
        <v>45820.6458333333</v>
      </c>
      <c r="H55" s="48">
        <f>IFERROR(__xludf.DUMMYFUNCTION("""COMPUTED_VALUE"""),341.65)</f>
        <v>341.65</v>
      </c>
      <c r="I55" s="47">
        <f>IFERROR(__xludf.DUMMYFUNCTION("""COMPUTED_VALUE"""),45820.6458333333)</f>
        <v>45820.6458333333</v>
      </c>
      <c r="J55" s="48">
        <f>IFERROR(__xludf.DUMMYFUNCTION("""COMPUTED_VALUE"""),332.65)</f>
        <v>332.65</v>
      </c>
      <c r="K55" s="3">
        <f t="shared" si="2"/>
        <v>0</v>
      </c>
      <c r="L55" s="3">
        <f t="shared" si="3"/>
        <v>0</v>
      </c>
    </row>
    <row r="56" customHeight="1" spans="1:12">
      <c r="A56" s="47">
        <f>IFERROR(__xludf.DUMMYFUNCTION("""COMPUTED_VALUE"""),45821.6458333333)</f>
        <v>45821.6458333333</v>
      </c>
      <c r="B56" s="48">
        <f>IFERROR(__xludf.DUMMYFUNCTION("""COMPUTED_VALUE"""),331.95)</f>
        <v>331.95</v>
      </c>
      <c r="C56" s="47">
        <f>IFERROR(__xludf.DUMMYFUNCTION("""COMPUTED_VALUE"""),45821.6458333333)</f>
        <v>45821.6458333333</v>
      </c>
      <c r="D56" s="48">
        <f>IFERROR(__xludf.DUMMYFUNCTION("""COMPUTED_VALUE"""),326.8)</f>
        <v>326.8</v>
      </c>
      <c r="E56" s="47">
        <f>IFERROR(__xludf.DUMMYFUNCTION("""COMPUTED_VALUE"""),45821.6458333333)</f>
        <v>45821.6458333333</v>
      </c>
      <c r="F56" s="48">
        <f>IFERROR(__xludf.DUMMYFUNCTION("""COMPUTED_VALUE"""),11711773)</f>
        <v>11711773</v>
      </c>
      <c r="G56" s="47">
        <f>IFERROR(__xludf.DUMMYFUNCTION("""COMPUTED_VALUE"""),45821.6458333333)</f>
        <v>45821.6458333333</v>
      </c>
      <c r="H56" s="48">
        <f>IFERROR(__xludf.DUMMYFUNCTION("""COMPUTED_VALUE"""),332.9)</f>
        <v>332.9</v>
      </c>
      <c r="I56" s="47">
        <f>IFERROR(__xludf.DUMMYFUNCTION("""COMPUTED_VALUE"""),45821.6458333333)</f>
        <v>45821.6458333333</v>
      </c>
      <c r="J56" s="48">
        <f>IFERROR(__xludf.DUMMYFUNCTION("""COMPUTED_VALUE"""),326.6)</f>
        <v>326.6</v>
      </c>
      <c r="K56" s="3">
        <f t="shared" si="2"/>
        <v>0</v>
      </c>
      <c r="L56" s="3">
        <f t="shared" si="3"/>
        <v>0</v>
      </c>
    </row>
    <row r="57" customHeight="1" spans="1:12">
      <c r="A57" s="47">
        <f>IFERROR(__xludf.DUMMYFUNCTION("""COMPUTED_VALUE"""),45824.6458333333)</f>
        <v>45824.6458333333</v>
      </c>
      <c r="B57" s="48">
        <f>IFERROR(__xludf.DUMMYFUNCTION("""COMPUTED_VALUE"""),333.7)</f>
        <v>333.7</v>
      </c>
      <c r="C57" s="47">
        <f>IFERROR(__xludf.DUMMYFUNCTION("""COMPUTED_VALUE"""),45824.6458333333)</f>
        <v>45824.6458333333</v>
      </c>
      <c r="D57" s="48">
        <f>IFERROR(__xludf.DUMMYFUNCTION("""COMPUTED_VALUE"""),332)</f>
        <v>332</v>
      </c>
      <c r="E57" s="47">
        <f>IFERROR(__xludf.DUMMYFUNCTION("""COMPUTED_VALUE"""),45824.6458333333)</f>
        <v>45824.6458333333</v>
      </c>
      <c r="F57" s="48">
        <f>IFERROR(__xludf.DUMMYFUNCTION("""COMPUTED_VALUE"""),8065112)</f>
        <v>8065112</v>
      </c>
      <c r="G57" s="47">
        <f>IFERROR(__xludf.DUMMYFUNCTION("""COMPUTED_VALUE"""),45824.6458333333)</f>
        <v>45824.6458333333</v>
      </c>
      <c r="H57" s="48">
        <f>IFERROR(__xludf.DUMMYFUNCTION("""COMPUTED_VALUE"""),334.65)</f>
        <v>334.65</v>
      </c>
      <c r="I57" s="47">
        <f>IFERROR(__xludf.DUMMYFUNCTION("""COMPUTED_VALUE"""),45824.6458333333)</f>
        <v>45824.6458333333</v>
      </c>
      <c r="J57" s="48">
        <f>IFERROR(__xludf.DUMMYFUNCTION("""COMPUTED_VALUE"""),330.6)</f>
        <v>330.6</v>
      </c>
      <c r="K57" s="3">
        <f t="shared" si="2"/>
        <v>0</v>
      </c>
      <c r="L57" s="3">
        <f t="shared" si="3"/>
        <v>0</v>
      </c>
    </row>
    <row r="58" customHeight="1" spans="1:12">
      <c r="A58" s="47">
        <f>IFERROR(__xludf.DUMMYFUNCTION("""COMPUTED_VALUE"""),45825.6458333333)</f>
        <v>45825.6458333333</v>
      </c>
      <c r="B58" s="48">
        <f>IFERROR(__xludf.DUMMYFUNCTION("""COMPUTED_VALUE"""),335.2)</f>
        <v>335.2</v>
      </c>
      <c r="C58" s="47">
        <f>IFERROR(__xludf.DUMMYFUNCTION("""COMPUTED_VALUE"""),45825.6458333333)</f>
        <v>45825.6458333333</v>
      </c>
      <c r="D58" s="48">
        <f>IFERROR(__xludf.DUMMYFUNCTION("""COMPUTED_VALUE"""),334)</f>
        <v>334</v>
      </c>
      <c r="E58" s="47">
        <f>IFERROR(__xludf.DUMMYFUNCTION("""COMPUTED_VALUE"""),45825.6458333333)</f>
        <v>45825.6458333333</v>
      </c>
      <c r="F58" s="48">
        <f>IFERROR(__xludf.DUMMYFUNCTION("""COMPUTED_VALUE"""),6796992)</f>
        <v>6796992</v>
      </c>
      <c r="G58" s="47">
        <f>IFERROR(__xludf.DUMMYFUNCTION("""COMPUTED_VALUE"""),45825.6458333333)</f>
        <v>45825.6458333333</v>
      </c>
      <c r="H58" s="48">
        <f>IFERROR(__xludf.DUMMYFUNCTION("""COMPUTED_VALUE"""),336.9)</f>
        <v>336.9</v>
      </c>
      <c r="I58" s="47">
        <f>IFERROR(__xludf.DUMMYFUNCTION("""COMPUTED_VALUE"""),45825.6458333333)</f>
        <v>45825.6458333333</v>
      </c>
      <c r="J58" s="48">
        <f>IFERROR(__xludf.DUMMYFUNCTION("""COMPUTED_VALUE"""),333.1)</f>
        <v>333.1</v>
      </c>
      <c r="K58" s="3">
        <f t="shared" si="2"/>
        <v>0</v>
      </c>
      <c r="L58" s="3">
        <f t="shared" si="3"/>
        <v>0</v>
      </c>
    </row>
    <row r="59" customHeight="1" spans="1:12">
      <c r="A59" s="47">
        <f>IFERROR(__xludf.DUMMYFUNCTION("""COMPUTED_VALUE"""),45826.6458333333)</f>
        <v>45826.6458333333</v>
      </c>
      <c r="B59" s="48">
        <f>IFERROR(__xludf.DUMMYFUNCTION("""COMPUTED_VALUE"""),332.4)</f>
        <v>332.4</v>
      </c>
      <c r="C59" s="47">
        <f>IFERROR(__xludf.DUMMYFUNCTION("""COMPUTED_VALUE"""),45826.6458333333)</f>
        <v>45826.6458333333</v>
      </c>
      <c r="D59" s="48">
        <f>IFERROR(__xludf.DUMMYFUNCTION("""COMPUTED_VALUE"""),335.2)</f>
        <v>335.2</v>
      </c>
      <c r="E59" s="47">
        <f>IFERROR(__xludf.DUMMYFUNCTION("""COMPUTED_VALUE"""),45826.6458333333)</f>
        <v>45826.6458333333</v>
      </c>
      <c r="F59" s="48">
        <f>IFERROR(__xludf.DUMMYFUNCTION("""COMPUTED_VALUE"""),17835507)</f>
        <v>17835507</v>
      </c>
      <c r="G59" s="47">
        <f>IFERROR(__xludf.DUMMYFUNCTION("""COMPUTED_VALUE"""),45826.6458333333)</f>
        <v>45826.6458333333</v>
      </c>
      <c r="H59" s="48">
        <f>IFERROR(__xludf.DUMMYFUNCTION("""COMPUTED_VALUE"""),335.9)</f>
        <v>335.9</v>
      </c>
      <c r="I59" s="47">
        <f>IFERROR(__xludf.DUMMYFUNCTION("""COMPUTED_VALUE"""),45826.6458333333)</f>
        <v>45826.6458333333</v>
      </c>
      <c r="J59" s="48">
        <f>IFERROR(__xludf.DUMMYFUNCTION("""COMPUTED_VALUE"""),330.75)</f>
        <v>330.75</v>
      </c>
      <c r="K59" s="3">
        <f t="shared" si="2"/>
        <v>0</v>
      </c>
      <c r="L59" s="3">
        <f t="shared" si="3"/>
        <v>0</v>
      </c>
    </row>
    <row r="60" customHeight="1" spans="1:12">
      <c r="A60" s="47">
        <f>IFERROR(__xludf.DUMMYFUNCTION("""COMPUTED_VALUE"""),45827.6458333333)</f>
        <v>45827.6458333333</v>
      </c>
      <c r="B60" s="48">
        <f>IFERROR(__xludf.DUMMYFUNCTION("""COMPUTED_VALUE"""),330.05)</f>
        <v>330.05</v>
      </c>
      <c r="C60" s="47">
        <f>IFERROR(__xludf.DUMMYFUNCTION("""COMPUTED_VALUE"""),45827.6458333333)</f>
        <v>45827.6458333333</v>
      </c>
      <c r="D60" s="48">
        <f>IFERROR(__xludf.DUMMYFUNCTION("""COMPUTED_VALUE"""),332.4)</f>
        <v>332.4</v>
      </c>
      <c r="E60" s="47">
        <f>IFERROR(__xludf.DUMMYFUNCTION("""COMPUTED_VALUE"""),45827.6458333333)</f>
        <v>45827.6458333333</v>
      </c>
      <c r="F60" s="48">
        <f>IFERROR(__xludf.DUMMYFUNCTION("""COMPUTED_VALUE"""),11610604)</f>
        <v>11610604</v>
      </c>
      <c r="G60" s="47">
        <f>IFERROR(__xludf.DUMMYFUNCTION("""COMPUTED_VALUE"""),45827.6458333333)</f>
        <v>45827.6458333333</v>
      </c>
      <c r="H60" s="48">
        <f>IFERROR(__xludf.DUMMYFUNCTION("""COMPUTED_VALUE"""),333.15)</f>
        <v>333.15</v>
      </c>
      <c r="I60" s="47">
        <f>IFERROR(__xludf.DUMMYFUNCTION("""COMPUTED_VALUE"""),45827.6458333333)</f>
        <v>45827.6458333333</v>
      </c>
      <c r="J60" s="48">
        <f>IFERROR(__xludf.DUMMYFUNCTION("""COMPUTED_VALUE"""),328.55)</f>
        <v>328.55</v>
      </c>
      <c r="K60" s="3">
        <f t="shared" si="2"/>
        <v>0</v>
      </c>
      <c r="L60" s="3">
        <f t="shared" si="3"/>
        <v>0</v>
      </c>
    </row>
    <row r="61" customHeight="1" spans="1:12">
      <c r="A61" s="47">
        <f>IFERROR(__xludf.DUMMYFUNCTION("""COMPUTED_VALUE"""),45828.6458333333)</f>
        <v>45828.6458333333</v>
      </c>
      <c r="B61" s="48">
        <f>IFERROR(__xludf.DUMMYFUNCTION("""COMPUTED_VALUE"""),335.2)</f>
        <v>335.2</v>
      </c>
      <c r="C61" s="47">
        <f>IFERROR(__xludf.DUMMYFUNCTION("""COMPUTED_VALUE"""),45828.6458333333)</f>
        <v>45828.6458333333</v>
      </c>
      <c r="D61" s="48">
        <f>IFERROR(__xludf.DUMMYFUNCTION("""COMPUTED_VALUE"""),330)</f>
        <v>330</v>
      </c>
      <c r="E61" s="47">
        <f>IFERROR(__xludf.DUMMYFUNCTION("""COMPUTED_VALUE"""),45828.6458333333)</f>
        <v>45828.6458333333</v>
      </c>
      <c r="F61" s="48">
        <f>IFERROR(__xludf.DUMMYFUNCTION("""COMPUTED_VALUE"""),16592862)</f>
        <v>16592862</v>
      </c>
      <c r="G61" s="47">
        <f>IFERROR(__xludf.DUMMYFUNCTION("""COMPUTED_VALUE"""),45828.6458333333)</f>
        <v>45828.6458333333</v>
      </c>
      <c r="H61" s="48">
        <f>IFERROR(__xludf.DUMMYFUNCTION("""COMPUTED_VALUE"""),336)</f>
        <v>336</v>
      </c>
      <c r="I61" s="47">
        <f>IFERROR(__xludf.DUMMYFUNCTION("""COMPUTED_VALUE"""),45828.6458333333)</f>
        <v>45828.6458333333</v>
      </c>
      <c r="J61" s="48">
        <f>IFERROR(__xludf.DUMMYFUNCTION("""COMPUTED_VALUE"""),329.7)</f>
        <v>329.7</v>
      </c>
      <c r="K61" s="3">
        <f t="shared" si="2"/>
        <v>0</v>
      </c>
      <c r="L61" s="3">
        <f t="shared" si="3"/>
        <v>0</v>
      </c>
    </row>
    <row r="62" customHeight="1" spans="1:12">
      <c r="A62" s="47">
        <f>IFERROR(__xludf.DUMMYFUNCTION("""COMPUTED_VALUE"""),45831.6458333333)</f>
        <v>45831.6458333333</v>
      </c>
      <c r="B62" s="48">
        <f>IFERROR(__xludf.DUMMYFUNCTION("""COMPUTED_VALUE"""),332.6)</f>
        <v>332.6</v>
      </c>
      <c r="C62" s="47">
        <f>IFERROR(__xludf.DUMMYFUNCTION("""COMPUTED_VALUE"""),45831.6458333333)</f>
        <v>45831.6458333333</v>
      </c>
      <c r="D62" s="48">
        <f>IFERROR(__xludf.DUMMYFUNCTION("""COMPUTED_VALUE"""),333.7)</f>
        <v>333.7</v>
      </c>
      <c r="E62" s="47">
        <f>IFERROR(__xludf.DUMMYFUNCTION("""COMPUTED_VALUE"""),45831.6458333333)</f>
        <v>45831.6458333333</v>
      </c>
      <c r="F62" s="48">
        <f>IFERROR(__xludf.DUMMYFUNCTION("""COMPUTED_VALUE"""),8277787)</f>
        <v>8277787</v>
      </c>
      <c r="G62" s="47">
        <f>IFERROR(__xludf.DUMMYFUNCTION("""COMPUTED_VALUE"""),45831.6458333333)</f>
        <v>45831.6458333333</v>
      </c>
      <c r="H62" s="48">
        <f>IFERROR(__xludf.DUMMYFUNCTION("""COMPUTED_VALUE"""),335.7)</f>
        <v>335.7</v>
      </c>
      <c r="I62" s="47">
        <f>IFERROR(__xludf.DUMMYFUNCTION("""COMPUTED_VALUE"""),45831.6458333333)</f>
        <v>45831.6458333333</v>
      </c>
      <c r="J62" s="48">
        <f>IFERROR(__xludf.DUMMYFUNCTION("""COMPUTED_VALUE"""),330.35)</f>
        <v>330.35</v>
      </c>
      <c r="K62" s="3">
        <f t="shared" si="2"/>
        <v>0</v>
      </c>
      <c r="L62" s="3">
        <f t="shared" si="3"/>
        <v>0</v>
      </c>
    </row>
    <row r="63" customHeight="1" spans="1:12">
      <c r="A63" s="47">
        <f>IFERROR(__xludf.DUMMYFUNCTION("""COMPUTED_VALUE"""),45832.6458333333)</f>
        <v>45832.6458333333</v>
      </c>
      <c r="B63" s="48">
        <f>IFERROR(__xludf.DUMMYFUNCTION("""COMPUTED_VALUE"""),329.95)</f>
        <v>329.95</v>
      </c>
      <c r="C63" s="47">
        <f>IFERROR(__xludf.DUMMYFUNCTION("""COMPUTED_VALUE"""),45832.6458333333)</f>
        <v>45832.6458333333</v>
      </c>
      <c r="D63" s="48">
        <f>IFERROR(__xludf.DUMMYFUNCTION("""COMPUTED_VALUE"""),331)</f>
        <v>331</v>
      </c>
      <c r="E63" s="47">
        <f>IFERROR(__xludf.DUMMYFUNCTION("""COMPUTED_VALUE"""),45832.6458333333)</f>
        <v>45832.6458333333</v>
      </c>
      <c r="F63" s="48">
        <f>IFERROR(__xludf.DUMMYFUNCTION("""COMPUTED_VALUE"""),100814893)</f>
        <v>100814893</v>
      </c>
      <c r="G63" s="47">
        <f>IFERROR(__xludf.DUMMYFUNCTION("""COMPUTED_VALUE"""),45832.6458333333)</f>
        <v>45832.6458333333</v>
      </c>
      <c r="H63" s="48">
        <f>IFERROR(__xludf.DUMMYFUNCTION("""COMPUTED_VALUE"""),331.7)</f>
        <v>331.7</v>
      </c>
      <c r="I63" s="47">
        <f>IFERROR(__xludf.DUMMYFUNCTION("""COMPUTED_VALUE"""),45832.6458333333)</f>
        <v>45832.6458333333</v>
      </c>
      <c r="J63" s="48">
        <f>IFERROR(__xludf.DUMMYFUNCTION("""COMPUTED_VALUE"""),321.35)</f>
        <v>321.35</v>
      </c>
      <c r="K63" s="3">
        <f t="shared" si="2"/>
        <v>0</v>
      </c>
      <c r="L63" s="3">
        <f t="shared" si="3"/>
        <v>329.95</v>
      </c>
    </row>
    <row r="64" customHeight="1" spans="1:12">
      <c r="A64" s="47">
        <f>IFERROR(__xludf.DUMMYFUNCTION("""COMPUTED_VALUE"""),45833.6458333333)</f>
        <v>45833.6458333333</v>
      </c>
      <c r="B64" s="48">
        <f>IFERROR(__xludf.DUMMYFUNCTION("""COMPUTED_VALUE"""),330.85)</f>
        <v>330.85</v>
      </c>
      <c r="C64" s="47">
        <f>IFERROR(__xludf.DUMMYFUNCTION("""COMPUTED_VALUE"""),45833.6458333333)</f>
        <v>45833.6458333333</v>
      </c>
      <c r="D64" s="48">
        <f>IFERROR(__xludf.DUMMYFUNCTION("""COMPUTED_VALUE"""),331.5)</f>
        <v>331.5</v>
      </c>
      <c r="E64" s="47">
        <f>IFERROR(__xludf.DUMMYFUNCTION("""COMPUTED_VALUE"""),45833.6458333333)</f>
        <v>45833.6458333333</v>
      </c>
      <c r="F64" s="48">
        <f>IFERROR(__xludf.DUMMYFUNCTION("""COMPUTED_VALUE"""),17963666)</f>
        <v>17963666</v>
      </c>
      <c r="G64" s="47">
        <f>IFERROR(__xludf.DUMMYFUNCTION("""COMPUTED_VALUE"""),45833.6458333333)</f>
        <v>45833.6458333333</v>
      </c>
      <c r="H64" s="48">
        <f>IFERROR(__xludf.DUMMYFUNCTION("""COMPUTED_VALUE"""),333.7)</f>
        <v>333.7</v>
      </c>
      <c r="I64" s="47">
        <f>IFERROR(__xludf.DUMMYFUNCTION("""COMPUTED_VALUE"""),45833.6458333333)</f>
        <v>45833.6458333333</v>
      </c>
      <c r="J64" s="48">
        <f>IFERROR(__xludf.DUMMYFUNCTION("""COMPUTED_VALUE"""),329.4)</f>
        <v>329.4</v>
      </c>
      <c r="K64" s="3">
        <f t="shared" si="2"/>
        <v>0</v>
      </c>
      <c r="L64" s="3">
        <f t="shared" si="3"/>
        <v>0</v>
      </c>
    </row>
    <row r="65" customHeight="1" spans="1:12">
      <c r="A65" s="47">
        <f>IFERROR(__xludf.DUMMYFUNCTION("""COMPUTED_VALUE"""),45834.6458333333)</f>
        <v>45834.6458333333</v>
      </c>
      <c r="B65" s="48">
        <f>IFERROR(__xludf.DUMMYFUNCTION("""COMPUTED_VALUE"""),337.15)</f>
        <v>337.15</v>
      </c>
      <c r="C65" s="47">
        <f>IFERROR(__xludf.DUMMYFUNCTION("""COMPUTED_VALUE"""),45834.6458333333)</f>
        <v>45834.6458333333</v>
      </c>
      <c r="D65" s="48">
        <f>IFERROR(__xludf.DUMMYFUNCTION("""COMPUTED_VALUE"""),332.4)</f>
        <v>332.4</v>
      </c>
      <c r="E65" s="47">
        <f>IFERROR(__xludf.DUMMYFUNCTION("""COMPUTED_VALUE"""),45834.6458333333)</f>
        <v>45834.6458333333</v>
      </c>
      <c r="F65" s="48">
        <f>IFERROR(__xludf.DUMMYFUNCTION("""COMPUTED_VALUE"""),13754087)</f>
        <v>13754087</v>
      </c>
      <c r="G65" s="47">
        <f>IFERROR(__xludf.DUMMYFUNCTION("""COMPUTED_VALUE"""),45834.6458333333)</f>
        <v>45834.6458333333</v>
      </c>
      <c r="H65" s="48">
        <f>IFERROR(__xludf.DUMMYFUNCTION("""COMPUTED_VALUE"""),337.8)</f>
        <v>337.8</v>
      </c>
      <c r="I65" s="47">
        <f>IFERROR(__xludf.DUMMYFUNCTION("""COMPUTED_VALUE"""),45834.6458333333)</f>
        <v>45834.6458333333</v>
      </c>
      <c r="J65" s="48">
        <f>IFERROR(__xludf.DUMMYFUNCTION("""COMPUTED_VALUE"""),331.3)</f>
        <v>331.3</v>
      </c>
      <c r="K65" s="3">
        <f t="shared" si="2"/>
        <v>0</v>
      </c>
      <c r="L65" s="3">
        <f t="shared" si="3"/>
        <v>0</v>
      </c>
    </row>
    <row r="66" customHeight="1" spans="1:12">
      <c r="A66" s="47">
        <f>IFERROR(__xludf.DUMMYFUNCTION("""COMPUTED_VALUE"""),45835.6458333333)</f>
        <v>45835.6458333333</v>
      </c>
      <c r="B66" s="48">
        <f>IFERROR(__xludf.DUMMYFUNCTION("""COMPUTED_VALUE"""),338.3)</f>
        <v>338.3</v>
      </c>
      <c r="C66" s="47">
        <f>IFERROR(__xludf.DUMMYFUNCTION("""COMPUTED_VALUE"""),45835.6458333333)</f>
        <v>45835.6458333333</v>
      </c>
      <c r="D66" s="48">
        <f>IFERROR(__xludf.DUMMYFUNCTION("""COMPUTED_VALUE"""),338.95)</f>
        <v>338.95</v>
      </c>
      <c r="E66" s="47">
        <f>IFERROR(__xludf.DUMMYFUNCTION("""COMPUTED_VALUE"""),45835.6458333333)</f>
        <v>45835.6458333333</v>
      </c>
      <c r="F66" s="48">
        <f>IFERROR(__xludf.DUMMYFUNCTION("""COMPUTED_VALUE"""),50845169)</f>
        <v>50845169</v>
      </c>
      <c r="G66" s="47">
        <f>IFERROR(__xludf.DUMMYFUNCTION("""COMPUTED_VALUE"""),45835.6458333333)</f>
        <v>45835.6458333333</v>
      </c>
      <c r="H66" s="48">
        <f>IFERROR(__xludf.DUMMYFUNCTION("""COMPUTED_VALUE"""),341.3)</f>
        <v>341.3</v>
      </c>
      <c r="I66" s="47">
        <f>IFERROR(__xludf.DUMMYFUNCTION("""COMPUTED_VALUE"""),45835.6458333333)</f>
        <v>45835.6458333333</v>
      </c>
      <c r="J66" s="48">
        <f>IFERROR(__xludf.DUMMYFUNCTION("""COMPUTED_VALUE"""),334.45)</f>
        <v>334.45</v>
      </c>
      <c r="K66" s="3">
        <f t="shared" si="2"/>
        <v>338.3</v>
      </c>
      <c r="L66" s="3">
        <f t="shared" si="3"/>
        <v>0</v>
      </c>
    </row>
    <row r="67" customHeight="1" spans="1:12">
      <c r="A67" s="47">
        <f>IFERROR(__xludf.DUMMYFUNCTION("""COMPUTED_VALUE"""),45838.6458333333)</f>
        <v>45838.6458333333</v>
      </c>
      <c r="B67" s="48">
        <f>IFERROR(__xludf.DUMMYFUNCTION("""COMPUTED_VALUE"""),334.9)</f>
        <v>334.9</v>
      </c>
      <c r="C67" s="47">
        <f>IFERROR(__xludf.DUMMYFUNCTION("""COMPUTED_VALUE"""),45838.6458333333)</f>
        <v>45838.6458333333</v>
      </c>
      <c r="D67" s="48">
        <f>IFERROR(__xludf.DUMMYFUNCTION("""COMPUTED_VALUE"""),335.75)</f>
        <v>335.75</v>
      </c>
      <c r="E67" s="47">
        <f>IFERROR(__xludf.DUMMYFUNCTION("""COMPUTED_VALUE"""),45838.6458333333)</f>
        <v>45838.6458333333</v>
      </c>
      <c r="F67" s="48">
        <f>IFERROR(__xludf.DUMMYFUNCTION("""COMPUTED_VALUE"""),11858890)</f>
        <v>11858890</v>
      </c>
      <c r="G67" s="47">
        <f>IFERROR(__xludf.DUMMYFUNCTION("""COMPUTED_VALUE"""),45838.6458333333)</f>
        <v>45838.6458333333</v>
      </c>
      <c r="H67" s="48">
        <f>IFERROR(__xludf.DUMMYFUNCTION("""COMPUTED_VALUE"""),337.25)</f>
        <v>337.25</v>
      </c>
      <c r="I67" s="47">
        <f>IFERROR(__xludf.DUMMYFUNCTION("""COMPUTED_VALUE"""),45838.6458333333)</f>
        <v>45838.6458333333</v>
      </c>
      <c r="J67" s="48">
        <f>IFERROR(__xludf.DUMMYFUNCTION("""COMPUTED_VALUE"""),333.65)</f>
        <v>333.65</v>
      </c>
      <c r="K67" s="3">
        <f t="shared" si="2"/>
        <v>0</v>
      </c>
      <c r="L67" s="3">
        <f t="shared" si="3"/>
        <v>0</v>
      </c>
    </row>
    <row r="68" customHeight="1" spans="1:12">
      <c r="A68" s="47">
        <f>IFERROR(__xludf.DUMMYFUNCTION("""COMPUTED_VALUE"""),45839.6458333333)</f>
        <v>45839.6458333333</v>
      </c>
      <c r="B68" s="48">
        <f>IFERROR(__xludf.DUMMYFUNCTION("""COMPUTED_VALUE"""),332.6)</f>
        <v>332.6</v>
      </c>
      <c r="C68" s="47">
        <f>IFERROR(__xludf.DUMMYFUNCTION("""COMPUTED_VALUE"""),45839.6458333333)</f>
        <v>45839.6458333333</v>
      </c>
      <c r="D68" s="48">
        <f>IFERROR(__xludf.DUMMYFUNCTION("""COMPUTED_VALUE"""),335.25)</f>
        <v>335.25</v>
      </c>
      <c r="E68" s="47">
        <f>IFERROR(__xludf.DUMMYFUNCTION("""COMPUTED_VALUE"""),45839.6458333333)</f>
        <v>45839.6458333333</v>
      </c>
      <c r="F68" s="48">
        <f>IFERROR(__xludf.DUMMYFUNCTION("""COMPUTED_VALUE"""),8903292)</f>
        <v>8903292</v>
      </c>
      <c r="G68" s="47">
        <f>IFERROR(__xludf.DUMMYFUNCTION("""COMPUTED_VALUE"""),45839.6458333333)</f>
        <v>45839.6458333333</v>
      </c>
      <c r="H68" s="48">
        <f>IFERROR(__xludf.DUMMYFUNCTION("""COMPUTED_VALUE"""),335.25)</f>
        <v>335.25</v>
      </c>
      <c r="I68" s="47">
        <f>IFERROR(__xludf.DUMMYFUNCTION("""COMPUTED_VALUE"""),45839.6458333333)</f>
        <v>45839.6458333333</v>
      </c>
      <c r="J68" s="48">
        <f>IFERROR(__xludf.DUMMYFUNCTION("""COMPUTED_VALUE"""),332.15)</f>
        <v>332.15</v>
      </c>
      <c r="K68" s="3">
        <f t="shared" si="2"/>
        <v>0</v>
      </c>
      <c r="L68" s="3">
        <f t="shared" si="3"/>
        <v>0</v>
      </c>
    </row>
    <row r="69" customHeight="1" spans="1:12">
      <c r="A69" s="47">
        <f>IFERROR(__xludf.DUMMYFUNCTION("""COMPUTED_VALUE"""),45840.6458333333)</f>
        <v>45840.6458333333</v>
      </c>
      <c r="B69" s="48">
        <f>IFERROR(__xludf.DUMMYFUNCTION("""COMPUTED_VALUE"""),333.75)</f>
        <v>333.75</v>
      </c>
      <c r="C69" s="47">
        <f>IFERROR(__xludf.DUMMYFUNCTION("""COMPUTED_VALUE"""),45840.6458333333)</f>
        <v>45840.6458333333</v>
      </c>
      <c r="D69" s="48">
        <f>IFERROR(__xludf.DUMMYFUNCTION("""COMPUTED_VALUE"""),332.65)</f>
        <v>332.65</v>
      </c>
      <c r="E69" s="47">
        <f>IFERROR(__xludf.DUMMYFUNCTION("""COMPUTED_VALUE"""),45840.6458333333)</f>
        <v>45840.6458333333</v>
      </c>
      <c r="F69" s="48">
        <f>IFERROR(__xludf.DUMMYFUNCTION("""COMPUTED_VALUE"""),11326880)</f>
        <v>11326880</v>
      </c>
      <c r="G69" s="47">
        <f>IFERROR(__xludf.DUMMYFUNCTION("""COMPUTED_VALUE"""),45840.6458333333)</f>
        <v>45840.6458333333</v>
      </c>
      <c r="H69" s="48">
        <f>IFERROR(__xludf.DUMMYFUNCTION("""COMPUTED_VALUE"""),335.65)</f>
        <v>335.65</v>
      </c>
      <c r="I69" s="47">
        <f>IFERROR(__xludf.DUMMYFUNCTION("""COMPUTED_VALUE"""),45840.6458333333)</f>
        <v>45840.6458333333</v>
      </c>
      <c r="J69" s="48">
        <f>IFERROR(__xludf.DUMMYFUNCTION("""COMPUTED_VALUE"""),331.3)</f>
        <v>331.3</v>
      </c>
      <c r="K69" s="3">
        <f t="shared" si="2"/>
        <v>0</v>
      </c>
      <c r="L69" s="3">
        <f t="shared" si="3"/>
        <v>0</v>
      </c>
    </row>
    <row r="70" customHeight="1" spans="1:12">
      <c r="A70" s="47">
        <f>IFERROR(__xludf.DUMMYFUNCTION("""COMPUTED_VALUE"""),45841.6458333333)</f>
        <v>45841.6458333333</v>
      </c>
      <c r="B70" s="48">
        <f>IFERROR(__xludf.DUMMYFUNCTION("""COMPUTED_VALUE"""),334.6)</f>
        <v>334.6</v>
      </c>
      <c r="C70" s="47">
        <f>IFERROR(__xludf.DUMMYFUNCTION("""COMPUTED_VALUE"""),45841.6458333333)</f>
        <v>45841.6458333333</v>
      </c>
      <c r="D70" s="48">
        <f>IFERROR(__xludf.DUMMYFUNCTION("""COMPUTED_VALUE"""),334.6)</f>
        <v>334.6</v>
      </c>
      <c r="E70" s="47">
        <f>IFERROR(__xludf.DUMMYFUNCTION("""COMPUTED_VALUE"""),45841.6458333333)</f>
        <v>45841.6458333333</v>
      </c>
      <c r="F70" s="48">
        <f>IFERROR(__xludf.DUMMYFUNCTION("""COMPUTED_VALUE"""),15786429)</f>
        <v>15786429</v>
      </c>
      <c r="G70" s="47">
        <f>IFERROR(__xludf.DUMMYFUNCTION("""COMPUTED_VALUE"""),45841.6458333333)</f>
        <v>45841.6458333333</v>
      </c>
      <c r="H70" s="48">
        <f>IFERROR(__xludf.DUMMYFUNCTION("""COMPUTED_VALUE"""),336.35)</f>
        <v>336.35</v>
      </c>
      <c r="I70" s="47">
        <f>IFERROR(__xludf.DUMMYFUNCTION("""COMPUTED_VALUE"""),45841.6458333333)</f>
        <v>45841.6458333333</v>
      </c>
      <c r="J70" s="48">
        <f>IFERROR(__xludf.DUMMYFUNCTION("""COMPUTED_VALUE"""),331)</f>
        <v>331</v>
      </c>
      <c r="K70" s="3">
        <f t="shared" si="2"/>
        <v>0</v>
      </c>
      <c r="L70" s="3">
        <f t="shared" si="3"/>
        <v>0</v>
      </c>
    </row>
    <row r="71" customHeight="1" spans="1:12">
      <c r="A71" s="47">
        <f>IFERROR(__xludf.DUMMYFUNCTION("""COMPUTED_VALUE"""),45842.6458333333)</f>
        <v>45842.6458333333</v>
      </c>
      <c r="B71" s="48">
        <f>IFERROR(__xludf.DUMMYFUNCTION("""COMPUTED_VALUE"""),335.5)</f>
        <v>335.5</v>
      </c>
      <c r="C71" s="47">
        <f>IFERROR(__xludf.DUMMYFUNCTION("""COMPUTED_VALUE"""),45842.6458333333)</f>
        <v>45842.6458333333</v>
      </c>
      <c r="D71" s="48">
        <f>IFERROR(__xludf.DUMMYFUNCTION("""COMPUTED_VALUE"""),335.7)</f>
        <v>335.7</v>
      </c>
      <c r="E71" s="47">
        <f>IFERROR(__xludf.DUMMYFUNCTION("""COMPUTED_VALUE"""),45842.6458333333)</f>
        <v>45842.6458333333</v>
      </c>
      <c r="F71" s="48">
        <f>IFERROR(__xludf.DUMMYFUNCTION("""COMPUTED_VALUE"""),5899185)</f>
        <v>5899185</v>
      </c>
      <c r="G71" s="47">
        <f>IFERROR(__xludf.DUMMYFUNCTION("""COMPUTED_VALUE"""),45842.6458333333)</f>
        <v>45842.6458333333</v>
      </c>
      <c r="H71" s="48">
        <f>IFERROR(__xludf.DUMMYFUNCTION("""COMPUTED_VALUE"""),336)</f>
        <v>336</v>
      </c>
      <c r="I71" s="47">
        <f>IFERROR(__xludf.DUMMYFUNCTION("""COMPUTED_VALUE"""),45842.6458333333)</f>
        <v>45842.6458333333</v>
      </c>
      <c r="J71" s="48">
        <f>IFERROR(__xludf.DUMMYFUNCTION("""COMPUTED_VALUE"""),332.25)</f>
        <v>332.25</v>
      </c>
      <c r="K71" s="3">
        <f t="shared" si="2"/>
        <v>0</v>
      </c>
      <c r="L71" s="3">
        <f t="shared" si="3"/>
        <v>0</v>
      </c>
    </row>
    <row r="72" customHeight="1" spans="1:12">
      <c r="A72" s="47">
        <f>IFERROR(__xludf.DUMMYFUNCTION("""COMPUTED_VALUE"""),45845.6458333333)</f>
        <v>45845.6458333333</v>
      </c>
      <c r="B72" s="48">
        <f>IFERROR(__xludf.DUMMYFUNCTION("""COMPUTED_VALUE"""),337.45)</f>
        <v>337.45</v>
      </c>
      <c r="C72" s="47">
        <f>IFERROR(__xludf.DUMMYFUNCTION("""COMPUTED_VALUE"""),45845.6458333333)</f>
        <v>45845.6458333333</v>
      </c>
      <c r="D72" s="48">
        <f>IFERROR(__xludf.DUMMYFUNCTION("""COMPUTED_VALUE"""),335.5)</f>
        <v>335.5</v>
      </c>
      <c r="E72" s="47">
        <f>IFERROR(__xludf.DUMMYFUNCTION("""COMPUTED_VALUE"""),45845.6458333333)</f>
        <v>45845.6458333333</v>
      </c>
      <c r="F72" s="48">
        <f>IFERROR(__xludf.DUMMYFUNCTION("""COMPUTED_VALUE"""),9454556)</f>
        <v>9454556</v>
      </c>
      <c r="G72" s="47">
        <f>IFERROR(__xludf.DUMMYFUNCTION("""COMPUTED_VALUE"""),45845.6458333333)</f>
        <v>45845.6458333333</v>
      </c>
      <c r="H72" s="48">
        <f>IFERROR(__xludf.DUMMYFUNCTION("""COMPUTED_VALUE"""),339)</f>
        <v>339</v>
      </c>
      <c r="I72" s="47">
        <f>IFERROR(__xludf.DUMMYFUNCTION("""COMPUTED_VALUE"""),45845.6458333333)</f>
        <v>45845.6458333333</v>
      </c>
      <c r="J72" s="48">
        <f>IFERROR(__xludf.DUMMYFUNCTION("""COMPUTED_VALUE"""),333.75)</f>
        <v>333.75</v>
      </c>
      <c r="K72" s="3">
        <f t="shared" si="2"/>
        <v>0</v>
      </c>
      <c r="L72" s="3">
        <f t="shared" si="3"/>
        <v>0</v>
      </c>
    </row>
    <row r="73" customHeight="1" spans="1:12">
      <c r="A73" s="47">
        <f>IFERROR(__xludf.DUMMYFUNCTION("""COMPUTED_VALUE"""),45846.6458333333)</f>
        <v>45846.6458333333</v>
      </c>
      <c r="B73" s="48">
        <f>IFERROR(__xludf.DUMMYFUNCTION("""COMPUTED_VALUE"""),343.2)</f>
        <v>343.2</v>
      </c>
      <c r="C73" s="47">
        <f>IFERROR(__xludf.DUMMYFUNCTION("""COMPUTED_VALUE"""),45846.6458333333)</f>
        <v>45846.6458333333</v>
      </c>
      <c r="D73" s="48">
        <f>IFERROR(__xludf.DUMMYFUNCTION("""COMPUTED_VALUE"""),338.2)</f>
        <v>338.2</v>
      </c>
      <c r="E73" s="47">
        <f>IFERROR(__xludf.DUMMYFUNCTION("""COMPUTED_VALUE"""),45846.6458333333)</f>
        <v>45846.6458333333</v>
      </c>
      <c r="F73" s="48">
        <f>IFERROR(__xludf.DUMMYFUNCTION("""COMPUTED_VALUE"""),12092302)</f>
        <v>12092302</v>
      </c>
      <c r="G73" s="47">
        <f>IFERROR(__xludf.DUMMYFUNCTION("""COMPUTED_VALUE"""),45846.6458333333)</f>
        <v>45846.6458333333</v>
      </c>
      <c r="H73" s="48">
        <f>IFERROR(__xludf.DUMMYFUNCTION("""COMPUTED_VALUE"""),343.9)</f>
        <v>343.9</v>
      </c>
      <c r="I73" s="47">
        <f>IFERROR(__xludf.DUMMYFUNCTION("""COMPUTED_VALUE"""),45846.6458333333)</f>
        <v>45846.6458333333</v>
      </c>
      <c r="J73" s="48">
        <f>IFERROR(__xludf.DUMMYFUNCTION("""COMPUTED_VALUE"""),337)</f>
        <v>337</v>
      </c>
      <c r="K73" s="3">
        <f t="shared" si="2"/>
        <v>0</v>
      </c>
      <c r="L73" s="3">
        <f t="shared" si="3"/>
        <v>0</v>
      </c>
    </row>
    <row r="74" customHeight="1" spans="1:12">
      <c r="A74" s="47">
        <f>IFERROR(__xludf.DUMMYFUNCTION("""COMPUTED_VALUE"""),45847.6458333333)</f>
        <v>45847.6458333333</v>
      </c>
      <c r="B74" s="48">
        <f>IFERROR(__xludf.DUMMYFUNCTION("""COMPUTED_VALUE"""),344)</f>
        <v>344</v>
      </c>
      <c r="C74" s="47">
        <f>IFERROR(__xludf.DUMMYFUNCTION("""COMPUTED_VALUE"""),45847.6458333333)</f>
        <v>45847.6458333333</v>
      </c>
      <c r="D74" s="48">
        <f>IFERROR(__xludf.DUMMYFUNCTION("""COMPUTED_VALUE"""),343.25)</f>
        <v>343.25</v>
      </c>
      <c r="E74" s="47">
        <f>IFERROR(__xludf.DUMMYFUNCTION("""COMPUTED_VALUE"""),45847.6458333333)</f>
        <v>45847.6458333333</v>
      </c>
      <c r="F74" s="48">
        <f>IFERROR(__xludf.DUMMYFUNCTION("""COMPUTED_VALUE"""),9079872)</f>
        <v>9079872</v>
      </c>
      <c r="G74" s="47">
        <f>IFERROR(__xludf.DUMMYFUNCTION("""COMPUTED_VALUE"""),45847.6458333333)</f>
        <v>45847.6458333333</v>
      </c>
      <c r="H74" s="48">
        <f>IFERROR(__xludf.DUMMYFUNCTION("""COMPUTED_VALUE"""),345.6)</f>
        <v>345.6</v>
      </c>
      <c r="I74" s="47">
        <f>IFERROR(__xludf.DUMMYFUNCTION("""COMPUTED_VALUE"""),45847.6458333333)</f>
        <v>45847.6458333333</v>
      </c>
      <c r="J74" s="48">
        <f>IFERROR(__xludf.DUMMYFUNCTION("""COMPUTED_VALUE"""),342.8)</f>
        <v>342.8</v>
      </c>
      <c r="K74" s="3">
        <f t="shared" si="2"/>
        <v>344</v>
      </c>
      <c r="L74" s="3">
        <f t="shared" si="3"/>
        <v>0</v>
      </c>
    </row>
    <row r="75" customHeight="1" spans="1:12">
      <c r="A75" s="47">
        <f>IFERROR(__xludf.DUMMYFUNCTION("""COMPUTED_VALUE"""),45848.6458333333)</f>
        <v>45848.6458333333</v>
      </c>
      <c r="B75" s="48">
        <f>IFERROR(__xludf.DUMMYFUNCTION("""COMPUTED_VALUE"""),341.45)</f>
        <v>341.45</v>
      </c>
      <c r="C75" s="47">
        <f>IFERROR(__xludf.DUMMYFUNCTION("""COMPUTED_VALUE"""),45848.6458333333)</f>
        <v>45848.6458333333</v>
      </c>
      <c r="D75" s="48">
        <f>IFERROR(__xludf.DUMMYFUNCTION("""COMPUTED_VALUE"""),344)</f>
        <v>344</v>
      </c>
      <c r="E75" s="47">
        <f>IFERROR(__xludf.DUMMYFUNCTION("""COMPUTED_VALUE"""),45848.6458333333)</f>
        <v>45848.6458333333</v>
      </c>
      <c r="F75" s="48">
        <f>IFERROR(__xludf.DUMMYFUNCTION("""COMPUTED_VALUE"""),6426072)</f>
        <v>6426072</v>
      </c>
      <c r="G75" s="47">
        <f>IFERROR(__xludf.DUMMYFUNCTION("""COMPUTED_VALUE"""),45848.6458333333)</f>
        <v>45848.6458333333</v>
      </c>
      <c r="H75" s="48">
        <f>IFERROR(__xludf.DUMMYFUNCTION("""COMPUTED_VALUE"""),345)</f>
        <v>345</v>
      </c>
      <c r="I75" s="47">
        <f>IFERROR(__xludf.DUMMYFUNCTION("""COMPUTED_VALUE"""),45848.6458333333)</f>
        <v>45848.6458333333</v>
      </c>
      <c r="J75" s="48">
        <f>IFERROR(__xludf.DUMMYFUNCTION("""COMPUTED_VALUE"""),341.2)</f>
        <v>341.2</v>
      </c>
      <c r="K75" s="3">
        <f t="shared" si="2"/>
        <v>0</v>
      </c>
      <c r="L75" s="3">
        <f t="shared" si="3"/>
        <v>0</v>
      </c>
    </row>
    <row r="76" customHeight="1" spans="1:12">
      <c r="A76" s="47">
        <f>IFERROR(__xludf.DUMMYFUNCTION("""COMPUTED_VALUE"""),45849.6458333333)</f>
        <v>45849.6458333333</v>
      </c>
      <c r="B76" s="48">
        <f>IFERROR(__xludf.DUMMYFUNCTION("""COMPUTED_VALUE"""),342.7)</f>
        <v>342.7</v>
      </c>
      <c r="C76" s="47">
        <f>IFERROR(__xludf.DUMMYFUNCTION("""COMPUTED_VALUE"""),45849.6458333333)</f>
        <v>45849.6458333333</v>
      </c>
      <c r="D76" s="48">
        <f>IFERROR(__xludf.DUMMYFUNCTION("""COMPUTED_VALUE"""),340.5)</f>
        <v>340.5</v>
      </c>
      <c r="E76" s="47">
        <f>IFERROR(__xludf.DUMMYFUNCTION("""COMPUTED_VALUE"""),45849.6458333333)</f>
        <v>45849.6458333333</v>
      </c>
      <c r="F76" s="48">
        <f>IFERROR(__xludf.DUMMYFUNCTION("""COMPUTED_VALUE"""),17234194)</f>
        <v>17234194</v>
      </c>
      <c r="G76" s="47">
        <f>IFERROR(__xludf.DUMMYFUNCTION("""COMPUTED_VALUE"""),45849.6458333333)</f>
        <v>45849.6458333333</v>
      </c>
      <c r="H76" s="48">
        <f>IFERROR(__xludf.DUMMYFUNCTION("""COMPUTED_VALUE"""),344)</f>
        <v>344</v>
      </c>
      <c r="I76" s="47">
        <f>IFERROR(__xludf.DUMMYFUNCTION("""COMPUTED_VALUE"""),45849.6458333333)</f>
        <v>45849.6458333333</v>
      </c>
      <c r="J76" s="48">
        <f>IFERROR(__xludf.DUMMYFUNCTION("""COMPUTED_VALUE"""),339.5)</f>
        <v>339.5</v>
      </c>
      <c r="K76" s="3">
        <f t="shared" si="2"/>
        <v>0</v>
      </c>
      <c r="L76" s="3">
        <f t="shared" si="3"/>
        <v>0</v>
      </c>
    </row>
    <row r="77" customHeight="1" spans="1:12">
      <c r="A77" s="47">
        <f>IFERROR(__xludf.DUMMYFUNCTION("""COMPUTED_VALUE"""),45852.6458333333)</f>
        <v>45852.6458333333</v>
      </c>
      <c r="B77" s="48">
        <f>IFERROR(__xludf.DUMMYFUNCTION("""COMPUTED_VALUE"""),342.1)</f>
        <v>342.1</v>
      </c>
      <c r="C77" s="47">
        <f>IFERROR(__xludf.DUMMYFUNCTION("""COMPUTED_VALUE"""),45852.6458333333)</f>
        <v>45852.6458333333</v>
      </c>
      <c r="D77" s="48">
        <f>IFERROR(__xludf.DUMMYFUNCTION("""COMPUTED_VALUE"""),343.05)</f>
        <v>343.05</v>
      </c>
      <c r="E77" s="47">
        <f>IFERROR(__xludf.DUMMYFUNCTION("""COMPUTED_VALUE"""),45852.6458333333)</f>
        <v>45852.6458333333</v>
      </c>
      <c r="F77" s="48">
        <f>IFERROR(__xludf.DUMMYFUNCTION("""COMPUTED_VALUE"""),11516965)</f>
        <v>11516965</v>
      </c>
      <c r="G77" s="47">
        <f>IFERROR(__xludf.DUMMYFUNCTION("""COMPUTED_VALUE"""),45852.6458333333)</f>
        <v>45852.6458333333</v>
      </c>
      <c r="H77" s="48">
        <f>IFERROR(__xludf.DUMMYFUNCTION("""COMPUTED_VALUE"""),345)</f>
        <v>345</v>
      </c>
      <c r="I77" s="47">
        <f>IFERROR(__xludf.DUMMYFUNCTION("""COMPUTED_VALUE"""),45852.6458333333)</f>
        <v>45852.6458333333</v>
      </c>
      <c r="J77" s="48">
        <f>IFERROR(__xludf.DUMMYFUNCTION("""COMPUTED_VALUE"""),339.95)</f>
        <v>339.95</v>
      </c>
      <c r="K77" s="3">
        <f t="shared" si="2"/>
        <v>0</v>
      </c>
      <c r="L77" s="3">
        <f t="shared" si="3"/>
        <v>0</v>
      </c>
    </row>
    <row r="78" customHeight="1" spans="1:12">
      <c r="A78" s="47">
        <f>IFERROR(__xludf.DUMMYFUNCTION("""COMPUTED_VALUE"""),45853.6458333333)</f>
        <v>45853.6458333333</v>
      </c>
      <c r="B78" s="48">
        <f>IFERROR(__xludf.DUMMYFUNCTION("""COMPUTED_VALUE"""),342)</f>
        <v>342</v>
      </c>
      <c r="C78" s="47">
        <f>IFERROR(__xludf.DUMMYFUNCTION("""COMPUTED_VALUE"""),45853.6458333333)</f>
        <v>45853.6458333333</v>
      </c>
      <c r="D78" s="48">
        <f>IFERROR(__xludf.DUMMYFUNCTION("""COMPUTED_VALUE"""),343.15)</f>
        <v>343.15</v>
      </c>
      <c r="E78" s="47">
        <f>IFERROR(__xludf.DUMMYFUNCTION("""COMPUTED_VALUE"""),45853.6458333333)</f>
        <v>45853.6458333333</v>
      </c>
      <c r="F78" s="48">
        <f>IFERROR(__xludf.DUMMYFUNCTION("""COMPUTED_VALUE"""),8450777)</f>
        <v>8450777</v>
      </c>
      <c r="G78" s="47">
        <f>IFERROR(__xludf.DUMMYFUNCTION("""COMPUTED_VALUE"""),45853.6458333333)</f>
        <v>45853.6458333333</v>
      </c>
      <c r="H78" s="48">
        <f>IFERROR(__xludf.DUMMYFUNCTION("""COMPUTED_VALUE"""),344.1)</f>
        <v>344.1</v>
      </c>
      <c r="I78" s="47">
        <f>IFERROR(__xludf.DUMMYFUNCTION("""COMPUTED_VALUE"""),45853.6458333333)</f>
        <v>45853.6458333333</v>
      </c>
      <c r="J78" s="48">
        <f>IFERROR(__xludf.DUMMYFUNCTION("""COMPUTED_VALUE"""),340.95)</f>
        <v>340.95</v>
      </c>
      <c r="K78" s="3">
        <f t="shared" si="2"/>
        <v>0</v>
      </c>
      <c r="L78" s="3">
        <f t="shared" si="3"/>
        <v>0</v>
      </c>
    </row>
    <row r="79" customHeight="1" spans="1:12">
      <c r="A79" s="47">
        <f>IFERROR(__xludf.DUMMYFUNCTION("""COMPUTED_VALUE"""),45854.6458333333)</f>
        <v>45854.6458333333</v>
      </c>
      <c r="B79" s="48">
        <f>IFERROR(__xludf.DUMMYFUNCTION("""COMPUTED_VALUE"""),342.45)</f>
        <v>342.45</v>
      </c>
      <c r="C79" s="47">
        <f>IFERROR(__xludf.DUMMYFUNCTION("""COMPUTED_VALUE"""),45854.6458333333)</f>
        <v>45854.6458333333</v>
      </c>
      <c r="D79" s="48">
        <f>IFERROR(__xludf.DUMMYFUNCTION("""COMPUTED_VALUE"""),342)</f>
        <v>342</v>
      </c>
      <c r="E79" s="47">
        <f>IFERROR(__xludf.DUMMYFUNCTION("""COMPUTED_VALUE"""),45854.6458333333)</f>
        <v>45854.6458333333</v>
      </c>
      <c r="F79" s="48">
        <f>IFERROR(__xludf.DUMMYFUNCTION("""COMPUTED_VALUE"""),6001484)</f>
        <v>6001484</v>
      </c>
      <c r="G79" s="47">
        <f>IFERROR(__xludf.DUMMYFUNCTION("""COMPUTED_VALUE"""),45854.6458333333)</f>
        <v>45854.6458333333</v>
      </c>
      <c r="H79" s="48">
        <f>IFERROR(__xludf.DUMMYFUNCTION("""COMPUTED_VALUE"""),343.8)</f>
        <v>343.8</v>
      </c>
      <c r="I79" s="47">
        <f>IFERROR(__xludf.DUMMYFUNCTION("""COMPUTED_VALUE"""),45854.6458333333)</f>
        <v>45854.6458333333</v>
      </c>
      <c r="J79" s="48">
        <f>IFERROR(__xludf.DUMMYFUNCTION("""COMPUTED_VALUE"""),340.8)</f>
        <v>340.8</v>
      </c>
      <c r="K79" s="3">
        <f t="shared" si="2"/>
        <v>0</v>
      </c>
      <c r="L79" s="3">
        <f t="shared" si="3"/>
        <v>0</v>
      </c>
    </row>
    <row r="80" customHeight="1" spans="1:12">
      <c r="A80" s="47">
        <f>IFERROR(__xludf.DUMMYFUNCTION("""COMPUTED_VALUE"""),45855.6458333333)</f>
        <v>45855.6458333333</v>
      </c>
      <c r="B80" s="48">
        <f>IFERROR(__xludf.DUMMYFUNCTION("""COMPUTED_VALUE"""),342.65)</f>
        <v>342.65</v>
      </c>
      <c r="C80" s="47">
        <f>IFERROR(__xludf.DUMMYFUNCTION("""COMPUTED_VALUE"""),45855.6458333333)</f>
        <v>45855.6458333333</v>
      </c>
      <c r="D80" s="48">
        <f>IFERROR(__xludf.DUMMYFUNCTION("""COMPUTED_VALUE"""),344.2)</f>
        <v>344.2</v>
      </c>
      <c r="E80" s="47">
        <f>IFERROR(__xludf.DUMMYFUNCTION("""COMPUTED_VALUE"""),45855.6458333333)</f>
        <v>45855.6458333333</v>
      </c>
      <c r="F80" s="48">
        <f>IFERROR(__xludf.DUMMYFUNCTION("""COMPUTED_VALUE"""),7562006)</f>
        <v>7562006</v>
      </c>
      <c r="G80" s="47">
        <f>IFERROR(__xludf.DUMMYFUNCTION("""COMPUTED_VALUE"""),45855.6458333333)</f>
        <v>45855.6458333333</v>
      </c>
      <c r="H80" s="48">
        <f>IFERROR(__xludf.DUMMYFUNCTION("""COMPUTED_VALUE"""),344.5)</f>
        <v>344.5</v>
      </c>
      <c r="I80" s="47">
        <f>IFERROR(__xludf.DUMMYFUNCTION("""COMPUTED_VALUE"""),45855.6458333333)</f>
        <v>45855.6458333333</v>
      </c>
      <c r="J80" s="48">
        <f>IFERROR(__xludf.DUMMYFUNCTION("""COMPUTED_VALUE"""),342)</f>
        <v>342</v>
      </c>
      <c r="K80" s="3">
        <f t="shared" si="2"/>
        <v>0</v>
      </c>
      <c r="L80" s="3">
        <f t="shared" si="3"/>
        <v>0</v>
      </c>
    </row>
    <row r="81" customHeight="1" spans="1:12">
      <c r="A81" s="47">
        <f>IFERROR(__xludf.DUMMYFUNCTION("""COMPUTED_VALUE"""),45856.6458333333)</f>
        <v>45856.6458333333</v>
      </c>
      <c r="B81" s="48">
        <f>IFERROR(__xludf.DUMMYFUNCTION("""COMPUTED_VALUE"""),342.1)</f>
        <v>342.1</v>
      </c>
      <c r="C81" s="47">
        <f>IFERROR(__xludf.DUMMYFUNCTION("""COMPUTED_VALUE"""),45856.6458333333)</f>
        <v>45856.6458333333</v>
      </c>
      <c r="D81" s="48">
        <f>IFERROR(__xludf.DUMMYFUNCTION("""COMPUTED_VALUE"""),343)</f>
        <v>343</v>
      </c>
      <c r="E81" s="47">
        <f>IFERROR(__xludf.DUMMYFUNCTION("""COMPUTED_VALUE"""),45856.6458333333)</f>
        <v>45856.6458333333</v>
      </c>
      <c r="F81" s="48">
        <f>IFERROR(__xludf.DUMMYFUNCTION("""COMPUTED_VALUE"""),6370338)</f>
        <v>6370338</v>
      </c>
      <c r="G81" s="47">
        <f>IFERROR(__xludf.DUMMYFUNCTION("""COMPUTED_VALUE"""),45856.6458333333)</f>
        <v>45856.6458333333</v>
      </c>
      <c r="H81" s="48">
        <f>IFERROR(__xludf.DUMMYFUNCTION("""COMPUTED_VALUE"""),343.9)</f>
        <v>343.9</v>
      </c>
      <c r="I81" s="47">
        <f>IFERROR(__xludf.DUMMYFUNCTION("""COMPUTED_VALUE"""),45856.6458333333)</f>
        <v>45856.6458333333</v>
      </c>
      <c r="J81" s="48">
        <f>IFERROR(__xludf.DUMMYFUNCTION("""COMPUTED_VALUE"""),340.65)</f>
        <v>340.65</v>
      </c>
      <c r="K81" s="3">
        <f t="shared" si="2"/>
        <v>0</v>
      </c>
      <c r="L81" s="3">
        <f t="shared" si="3"/>
        <v>0</v>
      </c>
    </row>
    <row r="82" customHeight="1" spans="1:12">
      <c r="A82" s="47">
        <f>IFERROR(__xludf.DUMMYFUNCTION("""COMPUTED_VALUE"""),45859.6458333333)</f>
        <v>45859.6458333333</v>
      </c>
      <c r="B82" s="48">
        <f>IFERROR(__xludf.DUMMYFUNCTION("""COMPUTED_VALUE"""),341.55)</f>
        <v>341.55</v>
      </c>
      <c r="C82" s="47">
        <f>IFERROR(__xludf.DUMMYFUNCTION("""COMPUTED_VALUE"""),45859.6458333333)</f>
        <v>45859.6458333333</v>
      </c>
      <c r="D82" s="48">
        <f>IFERROR(__xludf.DUMMYFUNCTION("""COMPUTED_VALUE"""),342.1)</f>
        <v>342.1</v>
      </c>
      <c r="E82" s="47">
        <f>IFERROR(__xludf.DUMMYFUNCTION("""COMPUTED_VALUE"""),45859.6458333333)</f>
        <v>45859.6458333333</v>
      </c>
      <c r="F82" s="48">
        <f>IFERROR(__xludf.DUMMYFUNCTION("""COMPUTED_VALUE"""),4463318)</f>
        <v>4463318</v>
      </c>
      <c r="G82" s="47">
        <f>IFERROR(__xludf.DUMMYFUNCTION("""COMPUTED_VALUE"""),45859.6458333333)</f>
        <v>45859.6458333333</v>
      </c>
      <c r="H82" s="48">
        <f>IFERROR(__xludf.DUMMYFUNCTION("""COMPUTED_VALUE"""),342.8)</f>
        <v>342.8</v>
      </c>
      <c r="I82" s="47">
        <f>IFERROR(__xludf.DUMMYFUNCTION("""COMPUTED_VALUE"""),45859.6458333333)</f>
        <v>45859.6458333333</v>
      </c>
      <c r="J82" s="48">
        <f>IFERROR(__xludf.DUMMYFUNCTION("""COMPUTED_VALUE"""),339.3)</f>
        <v>339.3</v>
      </c>
      <c r="K82" s="3">
        <f t="shared" si="2"/>
        <v>0</v>
      </c>
      <c r="L82" s="3">
        <f t="shared" si="3"/>
        <v>0</v>
      </c>
    </row>
    <row r="83" customHeight="1" spans="1:12">
      <c r="A83" s="47">
        <f>IFERROR(__xludf.DUMMYFUNCTION("""COMPUTED_VALUE"""),45860.6458333333)</f>
        <v>45860.6458333333</v>
      </c>
      <c r="B83" s="48">
        <f>IFERROR(__xludf.DUMMYFUNCTION("""COMPUTED_VALUE"""),340.85)</f>
        <v>340.85</v>
      </c>
      <c r="C83" s="47">
        <f>IFERROR(__xludf.DUMMYFUNCTION("""COMPUTED_VALUE"""),45860.6458333333)</f>
        <v>45860.6458333333</v>
      </c>
      <c r="D83" s="48">
        <f>IFERROR(__xludf.DUMMYFUNCTION("""COMPUTED_VALUE"""),341.55)</f>
        <v>341.55</v>
      </c>
      <c r="E83" s="47">
        <f>IFERROR(__xludf.DUMMYFUNCTION("""COMPUTED_VALUE"""),45860.6458333333)</f>
        <v>45860.6458333333</v>
      </c>
      <c r="F83" s="48">
        <f>IFERROR(__xludf.DUMMYFUNCTION("""COMPUTED_VALUE"""),4728372)</f>
        <v>4728372</v>
      </c>
      <c r="G83" s="47">
        <f>IFERROR(__xludf.DUMMYFUNCTION("""COMPUTED_VALUE"""),45860.6458333333)</f>
        <v>45860.6458333333</v>
      </c>
      <c r="H83" s="48">
        <f>IFERROR(__xludf.DUMMYFUNCTION("""COMPUTED_VALUE"""),342.6)</f>
        <v>342.6</v>
      </c>
      <c r="I83" s="47">
        <f>IFERROR(__xludf.DUMMYFUNCTION("""COMPUTED_VALUE"""),45860.6458333333)</f>
        <v>45860.6458333333</v>
      </c>
      <c r="J83" s="48">
        <f>IFERROR(__xludf.DUMMYFUNCTION("""COMPUTED_VALUE"""),340.05)</f>
        <v>340.05</v>
      </c>
      <c r="K83" s="3">
        <f t="shared" si="2"/>
        <v>0</v>
      </c>
      <c r="L83" s="3">
        <f t="shared" si="3"/>
        <v>0</v>
      </c>
    </row>
    <row r="84" customHeight="1" spans="1:12">
      <c r="A84" s="47">
        <f>IFERROR(__xludf.DUMMYFUNCTION("""COMPUTED_VALUE"""),45861.6458333333)</f>
        <v>45861.6458333333</v>
      </c>
      <c r="B84" s="48">
        <f>IFERROR(__xludf.DUMMYFUNCTION("""COMPUTED_VALUE"""),343.05)</f>
        <v>343.05</v>
      </c>
      <c r="C84" s="47">
        <f>IFERROR(__xludf.DUMMYFUNCTION("""COMPUTED_VALUE"""),45861.6458333333)</f>
        <v>45861.6458333333</v>
      </c>
      <c r="D84" s="48">
        <f>IFERROR(__xludf.DUMMYFUNCTION("""COMPUTED_VALUE"""),341.8)</f>
        <v>341.8</v>
      </c>
      <c r="E84" s="47">
        <f>IFERROR(__xludf.DUMMYFUNCTION("""COMPUTED_VALUE"""),45861.6458333333)</f>
        <v>45861.6458333333</v>
      </c>
      <c r="F84" s="48">
        <f>IFERROR(__xludf.DUMMYFUNCTION("""COMPUTED_VALUE"""),5058422)</f>
        <v>5058422</v>
      </c>
      <c r="G84" s="47">
        <f>IFERROR(__xludf.DUMMYFUNCTION("""COMPUTED_VALUE"""),45861.6458333333)</f>
        <v>45861.6458333333</v>
      </c>
      <c r="H84" s="48">
        <f>IFERROR(__xludf.DUMMYFUNCTION("""COMPUTED_VALUE"""),344)</f>
        <v>344</v>
      </c>
      <c r="I84" s="47">
        <f>IFERROR(__xludf.DUMMYFUNCTION("""COMPUTED_VALUE"""),45861.6458333333)</f>
        <v>45861.6458333333</v>
      </c>
      <c r="J84" s="48">
        <f>IFERROR(__xludf.DUMMYFUNCTION("""COMPUTED_VALUE"""),340.95)</f>
        <v>340.95</v>
      </c>
      <c r="K84" s="3">
        <f t="shared" si="2"/>
        <v>343.05</v>
      </c>
      <c r="L84" s="3">
        <f t="shared" si="3"/>
        <v>0</v>
      </c>
    </row>
    <row r="85" customHeight="1" spans="1:12">
      <c r="A85" s="47">
        <f>IFERROR(__xludf.DUMMYFUNCTION("""COMPUTED_VALUE"""),45862.6458333333)</f>
        <v>45862.6458333333</v>
      </c>
      <c r="B85" s="48">
        <f>IFERROR(__xludf.DUMMYFUNCTION("""COMPUTED_VALUE"""),338.9)</f>
        <v>338.9</v>
      </c>
      <c r="C85" s="47">
        <f>IFERROR(__xludf.DUMMYFUNCTION("""COMPUTED_VALUE"""),45862.6458333333)</f>
        <v>45862.6458333333</v>
      </c>
      <c r="D85" s="48">
        <f>IFERROR(__xludf.DUMMYFUNCTION("""COMPUTED_VALUE"""),343.6)</f>
        <v>343.6</v>
      </c>
      <c r="E85" s="47">
        <f>IFERROR(__xludf.DUMMYFUNCTION("""COMPUTED_VALUE"""),45862.6458333333)</f>
        <v>45862.6458333333</v>
      </c>
      <c r="F85" s="48">
        <f>IFERROR(__xludf.DUMMYFUNCTION("""COMPUTED_VALUE"""),9098453)</f>
        <v>9098453</v>
      </c>
      <c r="G85" s="47">
        <f>IFERROR(__xludf.DUMMYFUNCTION("""COMPUTED_VALUE"""),45862.6458333333)</f>
        <v>45862.6458333333</v>
      </c>
      <c r="H85" s="48">
        <f>IFERROR(__xludf.DUMMYFUNCTION("""COMPUTED_VALUE"""),343.6)</f>
        <v>343.6</v>
      </c>
      <c r="I85" s="47">
        <f>IFERROR(__xludf.DUMMYFUNCTION("""COMPUTED_VALUE"""),45862.6458333333)</f>
        <v>45862.6458333333</v>
      </c>
      <c r="J85" s="48">
        <f>IFERROR(__xludf.DUMMYFUNCTION("""COMPUTED_VALUE"""),336.5)</f>
        <v>336.5</v>
      </c>
      <c r="K85" s="3">
        <f t="shared" si="2"/>
        <v>0</v>
      </c>
      <c r="L85" s="3">
        <f t="shared" si="3"/>
        <v>0</v>
      </c>
    </row>
    <row r="86" customHeight="1" spans="1:12">
      <c r="A86" s="47">
        <f>IFERROR(__xludf.DUMMYFUNCTION("""COMPUTED_VALUE"""),45863.6458333333)</f>
        <v>45863.6458333333</v>
      </c>
      <c r="B86" s="48">
        <f>IFERROR(__xludf.DUMMYFUNCTION("""COMPUTED_VALUE"""),333.2)</f>
        <v>333.2</v>
      </c>
      <c r="C86" s="47">
        <f>IFERROR(__xludf.DUMMYFUNCTION("""COMPUTED_VALUE"""),45863.6458333333)</f>
        <v>45863.6458333333</v>
      </c>
      <c r="D86" s="48">
        <f>IFERROR(__xludf.DUMMYFUNCTION("""COMPUTED_VALUE"""),338.9)</f>
        <v>338.9</v>
      </c>
      <c r="E86" s="47">
        <f>IFERROR(__xludf.DUMMYFUNCTION("""COMPUTED_VALUE"""),45863.6458333333)</f>
        <v>45863.6458333333</v>
      </c>
      <c r="F86" s="48">
        <f>IFERROR(__xludf.DUMMYFUNCTION("""COMPUTED_VALUE"""),7790739)</f>
        <v>7790739</v>
      </c>
      <c r="G86" s="47">
        <f>IFERROR(__xludf.DUMMYFUNCTION("""COMPUTED_VALUE"""),45863.6458333333)</f>
        <v>45863.6458333333</v>
      </c>
      <c r="H86" s="48">
        <f>IFERROR(__xludf.DUMMYFUNCTION("""COMPUTED_VALUE"""),339.9)</f>
        <v>339.9</v>
      </c>
      <c r="I86" s="47">
        <f>IFERROR(__xludf.DUMMYFUNCTION("""COMPUTED_VALUE"""),45863.6458333333)</f>
        <v>45863.6458333333</v>
      </c>
      <c r="J86" s="48">
        <f>IFERROR(__xludf.DUMMYFUNCTION("""COMPUTED_VALUE"""),332.55)</f>
        <v>332.55</v>
      </c>
      <c r="K86" s="3">
        <f t="shared" si="2"/>
        <v>0</v>
      </c>
      <c r="L86" s="3">
        <f t="shared" si="3"/>
        <v>0</v>
      </c>
    </row>
    <row r="87" customHeight="1" spans="1:12">
      <c r="A87" s="47">
        <f>IFERROR(__xludf.DUMMYFUNCTION("""COMPUTED_VALUE"""),45866.6458333333)</f>
        <v>45866.6458333333</v>
      </c>
      <c r="B87" s="48">
        <f>IFERROR(__xludf.DUMMYFUNCTION("""COMPUTED_VALUE"""),332.95)</f>
        <v>332.95</v>
      </c>
      <c r="C87" s="47">
        <f>IFERROR(__xludf.DUMMYFUNCTION("""COMPUTED_VALUE"""),45866.6458333333)</f>
        <v>45866.6458333333</v>
      </c>
      <c r="D87" s="48">
        <f>IFERROR(__xludf.DUMMYFUNCTION("""COMPUTED_VALUE"""),333.45)</f>
        <v>333.45</v>
      </c>
      <c r="E87" s="47">
        <f>IFERROR(__xludf.DUMMYFUNCTION("""COMPUTED_VALUE"""),45866.6458333333)</f>
        <v>45866.6458333333</v>
      </c>
      <c r="F87" s="48">
        <f>IFERROR(__xludf.DUMMYFUNCTION("""COMPUTED_VALUE"""),4605823)</f>
        <v>4605823</v>
      </c>
      <c r="G87" s="47">
        <f>IFERROR(__xludf.DUMMYFUNCTION("""COMPUTED_VALUE"""),45866.6458333333)</f>
        <v>45866.6458333333</v>
      </c>
      <c r="H87" s="48">
        <f>IFERROR(__xludf.DUMMYFUNCTION("""COMPUTED_VALUE"""),336.6)</f>
        <v>336.6</v>
      </c>
      <c r="I87" s="47">
        <f>IFERROR(__xludf.DUMMYFUNCTION("""COMPUTED_VALUE"""),45866.6458333333)</f>
        <v>45866.6458333333</v>
      </c>
      <c r="J87" s="48">
        <f>IFERROR(__xludf.DUMMYFUNCTION("""COMPUTED_VALUE"""),330.35)</f>
        <v>330.35</v>
      </c>
      <c r="K87" s="3">
        <f t="shared" si="2"/>
        <v>0</v>
      </c>
      <c r="L87" s="3">
        <f t="shared" si="3"/>
        <v>0</v>
      </c>
    </row>
    <row r="88" customHeight="1" spans="1:12">
      <c r="A88" s="47">
        <f>IFERROR(__xludf.DUMMYFUNCTION("""COMPUTED_VALUE"""),45867.6458333333)</f>
        <v>45867.6458333333</v>
      </c>
      <c r="B88" s="48">
        <f>IFERROR(__xludf.DUMMYFUNCTION("""COMPUTED_VALUE"""),334.6)</f>
        <v>334.6</v>
      </c>
      <c r="C88" s="47">
        <f>IFERROR(__xludf.DUMMYFUNCTION("""COMPUTED_VALUE"""),45867.6458333333)</f>
        <v>45867.6458333333</v>
      </c>
      <c r="D88" s="48">
        <f>IFERROR(__xludf.DUMMYFUNCTION("""COMPUTED_VALUE"""),332)</f>
        <v>332</v>
      </c>
      <c r="E88" s="47">
        <f>IFERROR(__xludf.DUMMYFUNCTION("""COMPUTED_VALUE"""),45867.6458333333)</f>
        <v>45867.6458333333</v>
      </c>
      <c r="F88" s="48">
        <f>IFERROR(__xludf.DUMMYFUNCTION("""COMPUTED_VALUE"""),7551356)</f>
        <v>7551356</v>
      </c>
      <c r="G88" s="47">
        <f>IFERROR(__xludf.DUMMYFUNCTION("""COMPUTED_VALUE"""),45867.6458333333)</f>
        <v>45867.6458333333</v>
      </c>
      <c r="H88" s="48">
        <f>IFERROR(__xludf.DUMMYFUNCTION("""COMPUTED_VALUE"""),335.5)</f>
        <v>335.5</v>
      </c>
      <c r="I88" s="47">
        <f>IFERROR(__xludf.DUMMYFUNCTION("""COMPUTED_VALUE"""),45867.6458333333)</f>
        <v>45867.6458333333</v>
      </c>
      <c r="J88" s="48">
        <f>IFERROR(__xludf.DUMMYFUNCTION("""COMPUTED_VALUE"""),328.5)</f>
        <v>328.5</v>
      </c>
      <c r="K88" s="3">
        <f t="shared" si="2"/>
        <v>0</v>
      </c>
      <c r="L88" s="3">
        <f t="shared" si="3"/>
        <v>0</v>
      </c>
    </row>
    <row r="89" customHeight="1" spans="1:12">
      <c r="A89" s="47">
        <f>IFERROR(__xludf.DUMMYFUNCTION("""COMPUTED_VALUE"""),45868.6458333333)</f>
        <v>45868.6458333333</v>
      </c>
      <c r="B89" s="48">
        <f>IFERROR(__xludf.DUMMYFUNCTION("""COMPUTED_VALUE"""),338.8)</f>
        <v>338.8</v>
      </c>
      <c r="C89" s="47">
        <f>IFERROR(__xludf.DUMMYFUNCTION("""COMPUTED_VALUE"""),45868.6458333333)</f>
        <v>45868.6458333333</v>
      </c>
      <c r="D89" s="48">
        <f>IFERROR(__xludf.DUMMYFUNCTION("""COMPUTED_VALUE"""),335)</f>
        <v>335</v>
      </c>
      <c r="E89" s="47">
        <f>IFERROR(__xludf.DUMMYFUNCTION("""COMPUTED_VALUE"""),45868.6458333333)</f>
        <v>45868.6458333333</v>
      </c>
      <c r="F89" s="48">
        <f>IFERROR(__xludf.DUMMYFUNCTION("""COMPUTED_VALUE"""),12537358)</f>
        <v>12537358</v>
      </c>
      <c r="G89" s="47">
        <f>IFERROR(__xludf.DUMMYFUNCTION("""COMPUTED_VALUE"""),45868.6458333333)</f>
        <v>45868.6458333333</v>
      </c>
      <c r="H89" s="48">
        <f>IFERROR(__xludf.DUMMYFUNCTION("""COMPUTED_VALUE"""),342.3)</f>
        <v>342.3</v>
      </c>
      <c r="I89" s="47">
        <f>IFERROR(__xludf.DUMMYFUNCTION("""COMPUTED_VALUE"""),45868.6458333333)</f>
        <v>45868.6458333333</v>
      </c>
      <c r="J89" s="48">
        <f>IFERROR(__xludf.DUMMYFUNCTION("""COMPUTED_VALUE"""),332.5)</f>
        <v>332.5</v>
      </c>
      <c r="K89" s="3">
        <f t="shared" si="2"/>
        <v>0</v>
      </c>
      <c r="L89" s="3">
        <f t="shared" si="3"/>
        <v>0</v>
      </c>
    </row>
    <row r="90" customHeight="1" spans="1:12">
      <c r="A90" s="47">
        <f>IFERROR(__xludf.DUMMYFUNCTION("""COMPUTED_VALUE"""),45869.6458333333)</f>
        <v>45869.6458333333</v>
      </c>
      <c r="B90" s="48">
        <f>IFERROR(__xludf.DUMMYFUNCTION("""COMPUTED_VALUE"""),334.25)</f>
        <v>334.25</v>
      </c>
      <c r="C90" s="47">
        <f>IFERROR(__xludf.DUMMYFUNCTION("""COMPUTED_VALUE"""),45869.6458333333)</f>
        <v>45869.6458333333</v>
      </c>
      <c r="D90" s="48">
        <f>IFERROR(__xludf.DUMMYFUNCTION("""COMPUTED_VALUE"""),336.05)</f>
        <v>336.05</v>
      </c>
      <c r="E90" s="47">
        <f>IFERROR(__xludf.DUMMYFUNCTION("""COMPUTED_VALUE"""),45869.6458333333)</f>
        <v>45869.6458333333</v>
      </c>
      <c r="F90" s="48">
        <f>IFERROR(__xludf.DUMMYFUNCTION("""COMPUTED_VALUE"""),8935384)</f>
        <v>8935384</v>
      </c>
      <c r="G90" s="47">
        <f>IFERROR(__xludf.DUMMYFUNCTION("""COMPUTED_VALUE"""),45869.6458333333)</f>
        <v>45869.6458333333</v>
      </c>
      <c r="H90" s="48">
        <f>IFERROR(__xludf.DUMMYFUNCTION("""COMPUTED_VALUE"""),340.1)</f>
        <v>340.1</v>
      </c>
      <c r="I90" s="47">
        <f>IFERROR(__xludf.DUMMYFUNCTION("""COMPUTED_VALUE"""),45869.6458333333)</f>
        <v>45869.6458333333</v>
      </c>
      <c r="J90" s="48">
        <f>IFERROR(__xludf.DUMMYFUNCTION("""COMPUTED_VALUE"""),333)</f>
        <v>333</v>
      </c>
      <c r="K90" s="3">
        <f t="shared" si="2"/>
        <v>0</v>
      </c>
      <c r="L90" s="3">
        <f t="shared" si="3"/>
        <v>0</v>
      </c>
    </row>
    <row r="91" customHeight="1" spans="1:12">
      <c r="A91" s="47">
        <f>IFERROR(__xludf.DUMMYFUNCTION("""COMPUTED_VALUE"""),45870.6458333333)</f>
        <v>45870.6458333333</v>
      </c>
      <c r="B91" s="48">
        <f>IFERROR(__xludf.DUMMYFUNCTION("""COMPUTED_VALUE"""),330.9)</f>
        <v>330.9</v>
      </c>
      <c r="C91" s="47">
        <f>IFERROR(__xludf.DUMMYFUNCTION("""COMPUTED_VALUE"""),45870.6458333333)</f>
        <v>45870.6458333333</v>
      </c>
      <c r="D91" s="48">
        <f>IFERROR(__xludf.DUMMYFUNCTION("""COMPUTED_VALUE"""),333)</f>
        <v>333</v>
      </c>
      <c r="E91" s="47">
        <f>IFERROR(__xludf.DUMMYFUNCTION("""COMPUTED_VALUE"""),45870.6458333333)</f>
        <v>45870.6458333333</v>
      </c>
      <c r="F91" s="48">
        <f>IFERROR(__xludf.DUMMYFUNCTION("""COMPUTED_VALUE"""),7107542)</f>
        <v>7107542</v>
      </c>
      <c r="G91" s="47">
        <f>IFERROR(__xludf.DUMMYFUNCTION("""COMPUTED_VALUE"""),45870.6458333333)</f>
        <v>45870.6458333333</v>
      </c>
      <c r="H91" s="48">
        <f>IFERROR(__xludf.DUMMYFUNCTION("""COMPUTED_VALUE"""),334.75)</f>
        <v>334.75</v>
      </c>
      <c r="I91" s="47">
        <f>IFERROR(__xludf.DUMMYFUNCTION("""COMPUTED_VALUE"""),45870.6458333333)</f>
        <v>45870.6458333333</v>
      </c>
      <c r="J91" s="48">
        <f>IFERROR(__xludf.DUMMYFUNCTION("""COMPUTED_VALUE"""),330.2)</f>
        <v>330.2</v>
      </c>
      <c r="K91" s="3">
        <f t="shared" si="2"/>
        <v>0</v>
      </c>
      <c r="L91" s="3">
        <f t="shared" si="3"/>
        <v>0</v>
      </c>
    </row>
    <row r="92" customHeight="1" spans="1:12">
      <c r="A92" s="47">
        <f>IFERROR(__xludf.DUMMYFUNCTION("""COMPUTED_VALUE"""),45873.6458333333)</f>
        <v>45873.6458333333</v>
      </c>
      <c r="B92" s="48">
        <f>IFERROR(__xludf.DUMMYFUNCTION("""COMPUTED_VALUE"""),332)</f>
        <v>332</v>
      </c>
      <c r="C92" s="47">
        <f>IFERROR(__xludf.DUMMYFUNCTION("""COMPUTED_VALUE"""),45873.6458333333)</f>
        <v>45873.6458333333</v>
      </c>
      <c r="D92" s="48">
        <f>IFERROR(__xludf.DUMMYFUNCTION("""COMPUTED_VALUE"""),330.9)</f>
        <v>330.9</v>
      </c>
      <c r="E92" s="47">
        <f>IFERROR(__xludf.DUMMYFUNCTION("""COMPUTED_VALUE"""),45873.6458333333)</f>
        <v>45873.6458333333</v>
      </c>
      <c r="F92" s="48">
        <f>IFERROR(__xludf.DUMMYFUNCTION("""COMPUTED_VALUE"""),8193399)</f>
        <v>8193399</v>
      </c>
      <c r="G92" s="47">
        <f>IFERROR(__xludf.DUMMYFUNCTION("""COMPUTED_VALUE"""),45873.6458333333)</f>
        <v>45873.6458333333</v>
      </c>
      <c r="H92" s="48">
        <f>IFERROR(__xludf.DUMMYFUNCTION("""COMPUTED_VALUE"""),333.3)</f>
        <v>333.3</v>
      </c>
      <c r="I92" s="47">
        <f>IFERROR(__xludf.DUMMYFUNCTION("""COMPUTED_VALUE"""),45873.6458333333)</f>
        <v>45873.6458333333</v>
      </c>
      <c r="J92" s="48">
        <f>IFERROR(__xludf.DUMMYFUNCTION("""COMPUTED_VALUE"""),327.2)</f>
        <v>327.2</v>
      </c>
      <c r="K92" s="3">
        <f t="shared" si="2"/>
        <v>0</v>
      </c>
      <c r="L92" s="3">
        <f t="shared" si="3"/>
        <v>0</v>
      </c>
    </row>
    <row r="93" customHeight="1" spans="1:12">
      <c r="A93" s="47">
        <f>IFERROR(__xludf.DUMMYFUNCTION("""COMPUTED_VALUE"""),45874.6458333333)</f>
        <v>45874.6458333333</v>
      </c>
      <c r="B93" s="48">
        <f>IFERROR(__xludf.DUMMYFUNCTION("""COMPUTED_VALUE"""),333.6)</f>
        <v>333.6</v>
      </c>
      <c r="C93" s="47">
        <f>IFERROR(__xludf.DUMMYFUNCTION("""COMPUTED_VALUE"""),45874.6458333333)</f>
        <v>45874.6458333333</v>
      </c>
      <c r="D93" s="48">
        <f>IFERROR(__xludf.DUMMYFUNCTION("""COMPUTED_VALUE"""),332.45)</f>
        <v>332.45</v>
      </c>
      <c r="E93" s="47">
        <f>IFERROR(__xludf.DUMMYFUNCTION("""COMPUTED_VALUE"""),45874.6458333333)</f>
        <v>45874.6458333333</v>
      </c>
      <c r="F93" s="48">
        <f>IFERROR(__xludf.DUMMYFUNCTION("""COMPUTED_VALUE"""),9855535)</f>
        <v>9855535</v>
      </c>
      <c r="G93" s="47">
        <f>IFERROR(__xludf.DUMMYFUNCTION("""COMPUTED_VALUE"""),45874.6458333333)</f>
        <v>45874.6458333333</v>
      </c>
      <c r="H93" s="48">
        <f>IFERROR(__xludf.DUMMYFUNCTION("""COMPUTED_VALUE"""),334.35)</f>
        <v>334.35</v>
      </c>
      <c r="I93" s="47">
        <f>IFERROR(__xludf.DUMMYFUNCTION("""COMPUTED_VALUE"""),45874.6458333333)</f>
        <v>45874.6458333333</v>
      </c>
      <c r="J93" s="48">
        <f>IFERROR(__xludf.DUMMYFUNCTION("""COMPUTED_VALUE"""),331.3)</f>
        <v>331.3</v>
      </c>
      <c r="K93" s="3">
        <f t="shared" si="2"/>
        <v>0</v>
      </c>
      <c r="L93" s="3">
        <f t="shared" si="3"/>
        <v>0</v>
      </c>
    </row>
    <row r="94" customHeight="1" spans="1:12">
      <c r="A94" s="47">
        <f>IFERROR(__xludf.DUMMYFUNCTION("""COMPUTED_VALUE"""),45875.6458333333)</f>
        <v>45875.6458333333</v>
      </c>
      <c r="B94" s="48">
        <f>IFERROR(__xludf.DUMMYFUNCTION("""COMPUTED_VALUE"""),332.1)</f>
        <v>332.1</v>
      </c>
      <c r="C94" s="47">
        <f>IFERROR(__xludf.DUMMYFUNCTION("""COMPUTED_VALUE"""),45875.6458333333)</f>
        <v>45875.6458333333</v>
      </c>
      <c r="D94" s="48">
        <f>IFERROR(__xludf.DUMMYFUNCTION("""COMPUTED_VALUE"""),333.6)</f>
        <v>333.6</v>
      </c>
      <c r="E94" s="47">
        <f>IFERROR(__xludf.DUMMYFUNCTION("""COMPUTED_VALUE"""),45875.6458333333)</f>
        <v>45875.6458333333</v>
      </c>
      <c r="F94" s="48">
        <f>IFERROR(__xludf.DUMMYFUNCTION("""COMPUTED_VALUE"""),13872826)</f>
        <v>13872826</v>
      </c>
      <c r="G94" s="47">
        <f>IFERROR(__xludf.DUMMYFUNCTION("""COMPUTED_VALUE"""),45875.6458333333)</f>
        <v>45875.6458333333</v>
      </c>
      <c r="H94" s="48">
        <f>IFERROR(__xludf.DUMMYFUNCTION("""COMPUTED_VALUE"""),335.4)</f>
        <v>335.4</v>
      </c>
      <c r="I94" s="47">
        <f>IFERROR(__xludf.DUMMYFUNCTION("""COMPUTED_VALUE"""),45875.6458333333)</f>
        <v>45875.6458333333</v>
      </c>
      <c r="J94" s="48">
        <f>IFERROR(__xludf.DUMMYFUNCTION("""COMPUTED_VALUE"""),331.6)</f>
        <v>331.6</v>
      </c>
      <c r="K94" s="3">
        <f t="shared" si="2"/>
        <v>0</v>
      </c>
      <c r="L94" s="3">
        <f t="shared" si="3"/>
        <v>0</v>
      </c>
    </row>
    <row r="95" customHeight="1" spans="1:12">
      <c r="A95" s="47">
        <f>IFERROR(__xludf.DUMMYFUNCTION("""COMPUTED_VALUE"""),45876.6458333333)</f>
        <v>45876.6458333333</v>
      </c>
      <c r="B95" s="48">
        <f>IFERROR(__xludf.DUMMYFUNCTION("""COMPUTED_VALUE"""),329.75)</f>
        <v>329.75</v>
      </c>
      <c r="C95" s="47">
        <f>IFERROR(__xludf.DUMMYFUNCTION("""COMPUTED_VALUE"""),45876.6458333333)</f>
        <v>45876.6458333333</v>
      </c>
      <c r="D95" s="48">
        <f>IFERROR(__xludf.DUMMYFUNCTION("""COMPUTED_VALUE"""),332.1)</f>
        <v>332.1</v>
      </c>
      <c r="E95" s="47">
        <f>IFERROR(__xludf.DUMMYFUNCTION("""COMPUTED_VALUE"""),45876.6458333333)</f>
        <v>45876.6458333333</v>
      </c>
      <c r="F95" s="48">
        <f>IFERROR(__xludf.DUMMYFUNCTION("""COMPUTED_VALUE"""),8731389)</f>
        <v>8731389</v>
      </c>
      <c r="G95" s="47">
        <f>IFERROR(__xludf.DUMMYFUNCTION("""COMPUTED_VALUE"""),45876.6458333333)</f>
        <v>45876.6458333333</v>
      </c>
      <c r="H95" s="48">
        <f>IFERROR(__xludf.DUMMYFUNCTION("""COMPUTED_VALUE"""),332.45)</f>
        <v>332.45</v>
      </c>
      <c r="I95" s="47">
        <f>IFERROR(__xludf.DUMMYFUNCTION("""COMPUTED_VALUE"""),45876.6458333333)</f>
        <v>45876.6458333333</v>
      </c>
      <c r="J95" s="48">
        <f>IFERROR(__xludf.DUMMYFUNCTION("""COMPUTED_VALUE"""),328.65)</f>
        <v>328.65</v>
      </c>
      <c r="K95" s="3">
        <f t="shared" si="2"/>
        <v>0</v>
      </c>
      <c r="L95" s="3">
        <f t="shared" si="3"/>
        <v>329.75</v>
      </c>
    </row>
    <row r="96" customHeight="1" spans="1:12">
      <c r="A96" s="47">
        <f>IFERROR(__xludf.DUMMYFUNCTION("""COMPUTED_VALUE"""),45877.6458333333)</f>
        <v>45877.6458333333</v>
      </c>
      <c r="B96" s="48">
        <f>IFERROR(__xludf.DUMMYFUNCTION("""COMPUTED_VALUE"""),334.75)</f>
        <v>334.75</v>
      </c>
      <c r="C96" s="47">
        <f>IFERROR(__xludf.DUMMYFUNCTION("""COMPUTED_VALUE"""),45877.6458333333)</f>
        <v>45877.6458333333</v>
      </c>
      <c r="D96" s="48">
        <f>IFERROR(__xludf.DUMMYFUNCTION("""COMPUTED_VALUE"""),330)</f>
        <v>330</v>
      </c>
      <c r="E96" s="47">
        <f>IFERROR(__xludf.DUMMYFUNCTION("""COMPUTED_VALUE"""),45877.6458333333)</f>
        <v>45877.6458333333</v>
      </c>
      <c r="F96" s="48">
        <f>IFERROR(__xludf.DUMMYFUNCTION("""COMPUTED_VALUE"""),11247218)</f>
        <v>11247218</v>
      </c>
      <c r="G96" s="47">
        <f>IFERROR(__xludf.DUMMYFUNCTION("""COMPUTED_VALUE"""),45877.6458333333)</f>
        <v>45877.6458333333</v>
      </c>
      <c r="H96" s="48">
        <f>IFERROR(__xludf.DUMMYFUNCTION("""COMPUTED_VALUE"""),337.5)</f>
        <v>337.5</v>
      </c>
      <c r="I96" s="47">
        <f>IFERROR(__xludf.DUMMYFUNCTION("""COMPUTED_VALUE"""),45877.6458333333)</f>
        <v>45877.6458333333</v>
      </c>
      <c r="J96" s="48">
        <f>IFERROR(__xludf.DUMMYFUNCTION("""COMPUTED_VALUE"""),329.65)</f>
        <v>329.65</v>
      </c>
      <c r="K96" s="3">
        <f t="shared" si="2"/>
        <v>0</v>
      </c>
      <c r="L96" s="3">
        <f t="shared" si="3"/>
        <v>0</v>
      </c>
    </row>
    <row r="97" customHeight="1" spans="1:12">
      <c r="A97" s="47">
        <f>IFERROR(__xludf.DUMMYFUNCTION("""COMPUTED_VALUE"""),45880.6458333333)</f>
        <v>45880.6458333333</v>
      </c>
      <c r="B97" s="48">
        <f>IFERROR(__xludf.DUMMYFUNCTION("""COMPUTED_VALUE"""),336.15)</f>
        <v>336.15</v>
      </c>
      <c r="C97" s="47">
        <f>IFERROR(__xludf.DUMMYFUNCTION("""COMPUTED_VALUE"""),45880.6458333333)</f>
        <v>45880.6458333333</v>
      </c>
      <c r="D97" s="48">
        <f>IFERROR(__xludf.DUMMYFUNCTION("""COMPUTED_VALUE"""),335)</f>
        <v>335</v>
      </c>
      <c r="E97" s="47">
        <f>IFERROR(__xludf.DUMMYFUNCTION("""COMPUTED_VALUE"""),45880.6458333333)</f>
        <v>45880.6458333333</v>
      </c>
      <c r="F97" s="48">
        <f>IFERROR(__xludf.DUMMYFUNCTION("""COMPUTED_VALUE"""),11993280)</f>
        <v>11993280</v>
      </c>
      <c r="G97" s="47">
        <f>IFERROR(__xludf.DUMMYFUNCTION("""COMPUTED_VALUE"""),45880.6458333333)</f>
        <v>45880.6458333333</v>
      </c>
      <c r="H97" s="48">
        <f>IFERROR(__xludf.DUMMYFUNCTION("""COMPUTED_VALUE"""),339.1)</f>
        <v>339.1</v>
      </c>
      <c r="I97" s="47">
        <f>IFERROR(__xludf.DUMMYFUNCTION("""COMPUTED_VALUE"""),45880.6458333333)</f>
        <v>45880.6458333333</v>
      </c>
      <c r="J97" s="48">
        <f>IFERROR(__xludf.DUMMYFUNCTION("""COMPUTED_VALUE"""),333.95)</f>
        <v>333.95</v>
      </c>
      <c r="K97" s="3">
        <f t="shared" si="2"/>
        <v>0</v>
      </c>
      <c r="L97" s="3">
        <f t="shared" si="3"/>
        <v>0</v>
      </c>
    </row>
    <row r="98" customHeight="1" spans="1:12">
      <c r="A98" s="47">
        <f>IFERROR(__xludf.DUMMYFUNCTION("""COMPUTED_VALUE"""),45881.6458333333)</f>
        <v>45881.6458333333</v>
      </c>
      <c r="B98" s="48">
        <f>IFERROR(__xludf.DUMMYFUNCTION("""COMPUTED_VALUE"""),340.1)</f>
        <v>340.1</v>
      </c>
      <c r="C98" s="47">
        <f>IFERROR(__xludf.DUMMYFUNCTION("""COMPUTED_VALUE"""),45881.6458333333)</f>
        <v>45881.6458333333</v>
      </c>
      <c r="D98" s="48">
        <f>IFERROR(__xludf.DUMMYFUNCTION("""COMPUTED_VALUE"""),336.25)</f>
        <v>336.25</v>
      </c>
      <c r="E98" s="47">
        <f>IFERROR(__xludf.DUMMYFUNCTION("""COMPUTED_VALUE"""),45881.6458333333)</f>
        <v>45881.6458333333</v>
      </c>
      <c r="F98" s="48">
        <f>IFERROR(__xludf.DUMMYFUNCTION("""COMPUTED_VALUE"""),7221182)</f>
        <v>7221182</v>
      </c>
      <c r="G98" s="47">
        <f>IFERROR(__xludf.DUMMYFUNCTION("""COMPUTED_VALUE"""),45881.6458333333)</f>
        <v>45881.6458333333</v>
      </c>
      <c r="H98" s="48">
        <f>IFERROR(__xludf.DUMMYFUNCTION("""COMPUTED_VALUE"""),341.85)</f>
        <v>341.85</v>
      </c>
      <c r="I98" s="47">
        <f>IFERROR(__xludf.DUMMYFUNCTION("""COMPUTED_VALUE"""),45881.6458333333)</f>
        <v>45881.6458333333</v>
      </c>
      <c r="J98" s="48">
        <f>IFERROR(__xludf.DUMMYFUNCTION("""COMPUTED_VALUE"""),335.75)</f>
        <v>335.75</v>
      </c>
      <c r="K98" s="3">
        <f t="shared" si="2"/>
        <v>0</v>
      </c>
      <c r="L98" s="3">
        <f t="shared" si="3"/>
        <v>0</v>
      </c>
    </row>
    <row r="99" customHeight="1" spans="1:12">
      <c r="A99" s="47">
        <f>IFERROR(__xludf.DUMMYFUNCTION("""COMPUTED_VALUE"""),45882.6458333333)</f>
        <v>45882.6458333333</v>
      </c>
      <c r="B99" s="48">
        <f>IFERROR(__xludf.DUMMYFUNCTION("""COMPUTED_VALUE"""),339.95)</f>
        <v>339.95</v>
      </c>
      <c r="C99" s="47">
        <f>IFERROR(__xludf.DUMMYFUNCTION("""COMPUTED_VALUE"""),45882.6458333333)</f>
        <v>45882.6458333333</v>
      </c>
      <c r="D99" s="48">
        <f>IFERROR(__xludf.DUMMYFUNCTION("""COMPUTED_VALUE"""),340.3)</f>
        <v>340.3</v>
      </c>
      <c r="E99" s="47">
        <f>IFERROR(__xludf.DUMMYFUNCTION("""COMPUTED_VALUE"""),45882.6458333333)</f>
        <v>45882.6458333333</v>
      </c>
      <c r="F99" s="48">
        <f>IFERROR(__xludf.DUMMYFUNCTION("""COMPUTED_VALUE"""),5417151)</f>
        <v>5417151</v>
      </c>
      <c r="G99" s="47">
        <f>IFERROR(__xludf.DUMMYFUNCTION("""COMPUTED_VALUE"""),45882.6458333333)</f>
        <v>45882.6458333333</v>
      </c>
      <c r="H99" s="48">
        <f>IFERROR(__xludf.DUMMYFUNCTION("""COMPUTED_VALUE"""),343)</f>
        <v>343</v>
      </c>
      <c r="I99" s="47">
        <f>IFERROR(__xludf.DUMMYFUNCTION("""COMPUTED_VALUE"""),45882.6458333333)</f>
        <v>45882.6458333333</v>
      </c>
      <c r="J99" s="48">
        <f>IFERROR(__xludf.DUMMYFUNCTION("""COMPUTED_VALUE"""),339.15)</f>
        <v>339.15</v>
      </c>
      <c r="K99" s="3">
        <f t="shared" si="2"/>
        <v>0</v>
      </c>
      <c r="L99" s="3">
        <f t="shared" si="3"/>
        <v>0</v>
      </c>
    </row>
    <row r="100" customHeight="1" spans="1:12">
      <c r="A100" s="47">
        <f>IFERROR(__xludf.DUMMYFUNCTION("""COMPUTED_VALUE"""),45883.6458333333)</f>
        <v>45883.6458333333</v>
      </c>
      <c r="B100" s="48">
        <f>IFERROR(__xludf.DUMMYFUNCTION("""COMPUTED_VALUE"""),339.35)</f>
        <v>339.35</v>
      </c>
      <c r="C100" s="47">
        <f>IFERROR(__xludf.DUMMYFUNCTION("""COMPUTED_VALUE"""),45883.6458333333)</f>
        <v>45883.6458333333</v>
      </c>
      <c r="D100" s="48">
        <f>IFERROR(__xludf.DUMMYFUNCTION("""COMPUTED_VALUE"""),339.95)</f>
        <v>339.95</v>
      </c>
      <c r="E100" s="47">
        <f>IFERROR(__xludf.DUMMYFUNCTION("""COMPUTED_VALUE"""),45883.6458333333)</f>
        <v>45883.6458333333</v>
      </c>
      <c r="F100" s="48">
        <f>IFERROR(__xludf.DUMMYFUNCTION("""COMPUTED_VALUE"""),5689423)</f>
        <v>5689423</v>
      </c>
      <c r="G100" s="47">
        <f>IFERROR(__xludf.DUMMYFUNCTION("""COMPUTED_VALUE"""),45883.6458333333)</f>
        <v>45883.6458333333</v>
      </c>
      <c r="H100" s="48">
        <f>IFERROR(__xludf.DUMMYFUNCTION("""COMPUTED_VALUE"""),340.45)</f>
        <v>340.45</v>
      </c>
      <c r="I100" s="47">
        <f>IFERROR(__xludf.DUMMYFUNCTION("""COMPUTED_VALUE"""),45883.6458333333)</f>
        <v>45883.6458333333</v>
      </c>
      <c r="J100" s="48">
        <f>IFERROR(__xludf.DUMMYFUNCTION("""COMPUTED_VALUE"""),336.3)</f>
        <v>336.3</v>
      </c>
      <c r="K100" s="3">
        <f t="shared" si="2"/>
        <v>0</v>
      </c>
      <c r="L100" s="3">
        <f t="shared" si="3"/>
        <v>0</v>
      </c>
    </row>
    <row r="101" customHeight="1" spans="1:12">
      <c r="A101" s="47">
        <f>IFERROR(__xludf.DUMMYFUNCTION("""COMPUTED_VALUE"""),45887.6458333333)</f>
        <v>45887.6458333333</v>
      </c>
      <c r="B101" s="48">
        <f>IFERROR(__xludf.DUMMYFUNCTION("""COMPUTED_VALUE"""),336.05)</f>
        <v>336.05</v>
      </c>
      <c r="C101" s="47">
        <f>IFERROR(__xludf.DUMMYFUNCTION("""COMPUTED_VALUE"""),45887.6458333333)</f>
        <v>45887.6458333333</v>
      </c>
      <c r="D101" s="48">
        <f>IFERROR(__xludf.DUMMYFUNCTION("""COMPUTED_VALUE"""),341.45)</f>
        <v>341.45</v>
      </c>
      <c r="E101" s="47">
        <f>IFERROR(__xludf.DUMMYFUNCTION("""COMPUTED_VALUE"""),45887.6458333333)</f>
        <v>45887.6458333333</v>
      </c>
      <c r="F101" s="48">
        <f>IFERROR(__xludf.DUMMYFUNCTION("""COMPUTED_VALUE"""),6511340)</f>
        <v>6511340</v>
      </c>
      <c r="G101" s="47">
        <f>IFERROR(__xludf.DUMMYFUNCTION("""COMPUTED_VALUE"""),45887.6458333333)</f>
        <v>45887.6458333333</v>
      </c>
      <c r="H101" s="48">
        <f>IFERROR(__xludf.DUMMYFUNCTION("""COMPUTED_VALUE"""),341.8)</f>
        <v>341.8</v>
      </c>
      <c r="I101" s="47">
        <f>IFERROR(__xludf.DUMMYFUNCTION("""COMPUTED_VALUE"""),45887.6458333333)</f>
        <v>45887.6458333333</v>
      </c>
      <c r="J101" s="48">
        <f>IFERROR(__xludf.DUMMYFUNCTION("""COMPUTED_VALUE"""),335.45)</f>
        <v>335.45</v>
      </c>
      <c r="K101" s="3">
        <f t="shared" si="2"/>
        <v>0</v>
      </c>
      <c r="L101" s="3">
        <f t="shared" si="3"/>
        <v>0</v>
      </c>
    </row>
    <row r="102" customHeight="1" spans="1:12">
      <c r="A102" s="47">
        <f>IFERROR(__xludf.DUMMYFUNCTION("""COMPUTED_VALUE"""),45888.6458333333)</f>
        <v>45888.6458333333</v>
      </c>
      <c r="B102" s="48">
        <f>IFERROR(__xludf.DUMMYFUNCTION("""COMPUTED_VALUE"""),335.05)</f>
        <v>335.05</v>
      </c>
      <c r="C102" s="47">
        <f>IFERROR(__xludf.DUMMYFUNCTION("""COMPUTED_VALUE"""),45888.6458333333)</f>
        <v>45888.6458333333</v>
      </c>
      <c r="D102" s="48">
        <f>IFERROR(__xludf.DUMMYFUNCTION("""COMPUTED_VALUE"""),338.9)</f>
        <v>338.9</v>
      </c>
      <c r="E102" s="47">
        <f>IFERROR(__xludf.DUMMYFUNCTION("""COMPUTED_VALUE"""),45888.6458333333)</f>
        <v>45888.6458333333</v>
      </c>
      <c r="F102" s="48">
        <f>IFERROR(__xludf.DUMMYFUNCTION("""COMPUTED_VALUE"""),10316115)</f>
        <v>10316115</v>
      </c>
      <c r="G102" s="47">
        <f>IFERROR(__xludf.DUMMYFUNCTION("""COMPUTED_VALUE"""),45888.6458333333)</f>
        <v>45888.6458333333</v>
      </c>
      <c r="H102" s="48">
        <f>IFERROR(__xludf.DUMMYFUNCTION("""COMPUTED_VALUE"""),340.65)</f>
        <v>340.65</v>
      </c>
      <c r="I102" s="47">
        <f>IFERROR(__xludf.DUMMYFUNCTION("""COMPUTED_VALUE"""),45888.6458333333)</f>
        <v>45888.6458333333</v>
      </c>
      <c r="J102" s="48">
        <f>IFERROR(__xludf.DUMMYFUNCTION("""COMPUTED_VALUE"""),334.15)</f>
        <v>334.15</v>
      </c>
      <c r="K102" s="3">
        <f t="shared" si="2"/>
        <v>0</v>
      </c>
      <c r="L102" s="3">
        <f t="shared" si="3"/>
        <v>0</v>
      </c>
    </row>
    <row r="103" customHeight="1" spans="1:12">
      <c r="A103" s="47">
        <f>IFERROR(__xludf.DUMMYFUNCTION("""COMPUTED_VALUE"""),45889.6458333333)</f>
        <v>45889.6458333333</v>
      </c>
      <c r="B103" s="48">
        <f>IFERROR(__xludf.DUMMYFUNCTION("""COMPUTED_VALUE"""),342)</f>
        <v>342</v>
      </c>
      <c r="C103" s="47">
        <f>IFERROR(__xludf.DUMMYFUNCTION("""COMPUTED_VALUE"""),45889.6458333333)</f>
        <v>45889.6458333333</v>
      </c>
      <c r="D103" s="48">
        <f>IFERROR(__xludf.DUMMYFUNCTION("""COMPUTED_VALUE"""),337.8)</f>
        <v>337.8</v>
      </c>
      <c r="E103" s="47">
        <f>IFERROR(__xludf.DUMMYFUNCTION("""COMPUTED_VALUE"""),45889.6458333333)</f>
        <v>45889.6458333333</v>
      </c>
      <c r="F103" s="48">
        <f>IFERROR(__xludf.DUMMYFUNCTION("""COMPUTED_VALUE"""),10824544)</f>
        <v>10824544</v>
      </c>
      <c r="G103" s="47">
        <f>IFERROR(__xludf.DUMMYFUNCTION("""COMPUTED_VALUE"""),45889.6458333333)</f>
        <v>45889.6458333333</v>
      </c>
      <c r="H103" s="48">
        <f>IFERROR(__xludf.DUMMYFUNCTION("""COMPUTED_VALUE"""),343.4)</f>
        <v>343.4</v>
      </c>
      <c r="I103" s="47">
        <f>IFERROR(__xludf.DUMMYFUNCTION("""COMPUTED_VALUE"""),45889.6458333333)</f>
        <v>45889.6458333333</v>
      </c>
      <c r="J103" s="48">
        <f>IFERROR(__xludf.DUMMYFUNCTION("""COMPUTED_VALUE"""),336.5)</f>
        <v>336.5</v>
      </c>
      <c r="K103" s="3">
        <f t="shared" si="2"/>
        <v>342</v>
      </c>
      <c r="L103" s="3">
        <f t="shared" si="3"/>
        <v>0</v>
      </c>
    </row>
    <row r="104" customHeight="1" spans="1:12">
      <c r="A104" s="47">
        <f>IFERROR(__xludf.DUMMYFUNCTION("""COMPUTED_VALUE"""),45890.6458333333)</f>
        <v>45890.6458333333</v>
      </c>
      <c r="B104" s="48">
        <f>IFERROR(__xludf.DUMMYFUNCTION("""COMPUTED_VALUE"""),338.8)</f>
        <v>338.8</v>
      </c>
      <c r="C104" s="47">
        <f>IFERROR(__xludf.DUMMYFUNCTION("""COMPUTED_VALUE"""),45890.6458333333)</f>
        <v>45890.6458333333</v>
      </c>
      <c r="D104" s="48">
        <f>IFERROR(__xludf.DUMMYFUNCTION("""COMPUTED_VALUE"""),342.35)</f>
        <v>342.35</v>
      </c>
      <c r="E104" s="47">
        <f>IFERROR(__xludf.DUMMYFUNCTION("""COMPUTED_VALUE"""),45890.6458333333)</f>
        <v>45890.6458333333</v>
      </c>
      <c r="F104" s="48">
        <f>IFERROR(__xludf.DUMMYFUNCTION("""COMPUTED_VALUE"""),11135121)</f>
        <v>11135121</v>
      </c>
      <c r="G104" s="47">
        <f>IFERROR(__xludf.DUMMYFUNCTION("""COMPUTED_VALUE"""),45890.6458333333)</f>
        <v>45890.6458333333</v>
      </c>
      <c r="H104" s="48">
        <f>IFERROR(__xludf.DUMMYFUNCTION("""COMPUTED_VALUE"""),344.35)</f>
        <v>344.35</v>
      </c>
      <c r="I104" s="47">
        <f>IFERROR(__xludf.DUMMYFUNCTION("""COMPUTED_VALUE"""),45890.6458333333)</f>
        <v>45890.6458333333</v>
      </c>
      <c r="J104" s="48">
        <f>IFERROR(__xludf.DUMMYFUNCTION("""COMPUTED_VALUE"""),336.9)</f>
        <v>336.9</v>
      </c>
      <c r="K104" s="3">
        <f t="shared" si="2"/>
        <v>0</v>
      </c>
      <c r="L104" s="3">
        <f t="shared" si="3"/>
        <v>0</v>
      </c>
    </row>
    <row r="105" customHeight="1" spans="1:12">
      <c r="A105" s="47">
        <f>IFERROR(__xludf.DUMMYFUNCTION("""COMPUTED_VALUE"""),45891.6458333333)</f>
        <v>45891.6458333333</v>
      </c>
      <c r="B105" s="48">
        <f>IFERROR(__xludf.DUMMYFUNCTION("""COMPUTED_VALUE"""),337)</f>
        <v>337</v>
      </c>
      <c r="C105" s="47">
        <f>IFERROR(__xludf.DUMMYFUNCTION("""COMPUTED_VALUE"""),45891.6458333333)</f>
        <v>45891.6458333333</v>
      </c>
      <c r="D105" s="48">
        <f>IFERROR(__xludf.DUMMYFUNCTION("""COMPUTED_VALUE"""),338.5)</f>
        <v>338.5</v>
      </c>
      <c r="E105" s="47">
        <f>IFERROR(__xludf.DUMMYFUNCTION("""COMPUTED_VALUE"""),45891.6458333333)</f>
        <v>45891.6458333333</v>
      </c>
      <c r="F105" s="48">
        <f>IFERROR(__xludf.DUMMYFUNCTION("""COMPUTED_VALUE"""),8534844)</f>
        <v>8534844</v>
      </c>
      <c r="G105" s="47">
        <f>IFERROR(__xludf.DUMMYFUNCTION("""COMPUTED_VALUE"""),45891.6458333333)</f>
        <v>45891.6458333333</v>
      </c>
      <c r="H105" s="48">
        <f>IFERROR(__xludf.DUMMYFUNCTION("""COMPUTED_VALUE"""),338.9)</f>
        <v>338.9</v>
      </c>
      <c r="I105" s="47">
        <f>IFERROR(__xludf.DUMMYFUNCTION("""COMPUTED_VALUE"""),45891.6458333333)</f>
        <v>45891.6458333333</v>
      </c>
      <c r="J105" s="48">
        <f>IFERROR(__xludf.DUMMYFUNCTION("""COMPUTED_VALUE"""),335.5)</f>
        <v>335.5</v>
      </c>
      <c r="K105" s="3">
        <f t="shared" si="2"/>
        <v>0</v>
      </c>
      <c r="L105" s="3">
        <f t="shared" si="3"/>
        <v>0</v>
      </c>
    </row>
    <row r="106" customHeight="1" spans="1:12">
      <c r="A106" s="47">
        <f>IFERROR(__xludf.DUMMYFUNCTION("""COMPUTED_VALUE"""),45894.6458333333)</f>
        <v>45894.6458333333</v>
      </c>
      <c r="B106" s="48">
        <f>IFERROR(__xludf.DUMMYFUNCTION("""COMPUTED_VALUE"""),337.85)</f>
        <v>337.85</v>
      </c>
      <c r="C106" s="47">
        <f>IFERROR(__xludf.DUMMYFUNCTION("""COMPUTED_VALUE"""),45894.6458333333)</f>
        <v>45894.6458333333</v>
      </c>
      <c r="D106" s="48">
        <f>IFERROR(__xludf.DUMMYFUNCTION("""COMPUTED_VALUE"""),337.05)</f>
        <v>337.05</v>
      </c>
      <c r="E106" s="47">
        <f>IFERROR(__xludf.DUMMYFUNCTION("""COMPUTED_VALUE"""),45894.6458333333)</f>
        <v>45894.6458333333</v>
      </c>
      <c r="F106" s="48">
        <f>IFERROR(__xludf.DUMMYFUNCTION("""COMPUTED_VALUE"""),7142387)</f>
        <v>7142387</v>
      </c>
      <c r="G106" s="47">
        <f>IFERROR(__xludf.DUMMYFUNCTION("""COMPUTED_VALUE"""),45894.6458333333)</f>
        <v>45894.6458333333</v>
      </c>
      <c r="H106" s="48">
        <f>IFERROR(__xludf.DUMMYFUNCTION("""COMPUTED_VALUE"""),341.4)</f>
        <v>341.4</v>
      </c>
      <c r="I106" s="47">
        <f>IFERROR(__xludf.DUMMYFUNCTION("""COMPUTED_VALUE"""),45894.6458333333)</f>
        <v>45894.6458333333</v>
      </c>
      <c r="J106" s="48">
        <f>IFERROR(__xludf.DUMMYFUNCTION("""COMPUTED_VALUE"""),337.05)</f>
        <v>337.05</v>
      </c>
      <c r="K106" s="3">
        <f t="shared" si="2"/>
        <v>0</v>
      </c>
      <c r="L106" s="3">
        <f t="shared" si="3"/>
        <v>0</v>
      </c>
    </row>
    <row r="107" customHeight="1" spans="1:12">
      <c r="A107" s="47">
        <f>IFERROR(__xludf.DUMMYFUNCTION("""COMPUTED_VALUE"""),45895.6458333333)</f>
        <v>45895.6458333333</v>
      </c>
      <c r="B107" s="48">
        <f>IFERROR(__xludf.DUMMYFUNCTION("""COMPUTED_VALUE"""),333.2)</f>
        <v>333.2</v>
      </c>
      <c r="C107" s="47">
        <f>IFERROR(__xludf.DUMMYFUNCTION("""COMPUTED_VALUE"""),45895.6458333333)</f>
        <v>45895.6458333333</v>
      </c>
      <c r="D107" s="48">
        <f>IFERROR(__xludf.DUMMYFUNCTION("""COMPUTED_VALUE"""),336.15)</f>
        <v>336.15</v>
      </c>
      <c r="E107" s="47">
        <f>IFERROR(__xludf.DUMMYFUNCTION("""COMPUTED_VALUE"""),45895.6458333333)</f>
        <v>45895.6458333333</v>
      </c>
      <c r="F107" s="48">
        <f>IFERROR(__xludf.DUMMYFUNCTION("""COMPUTED_VALUE"""),13113388)</f>
        <v>13113388</v>
      </c>
      <c r="G107" s="47">
        <f>IFERROR(__xludf.DUMMYFUNCTION("""COMPUTED_VALUE"""),45895.6458333333)</f>
        <v>45895.6458333333</v>
      </c>
      <c r="H107" s="48">
        <f>IFERROR(__xludf.DUMMYFUNCTION("""COMPUTED_VALUE"""),337.4)</f>
        <v>337.4</v>
      </c>
      <c r="I107" s="47">
        <f>IFERROR(__xludf.DUMMYFUNCTION("""COMPUTED_VALUE"""),45895.6458333333)</f>
        <v>45895.6458333333</v>
      </c>
      <c r="J107" s="48">
        <f>IFERROR(__xludf.DUMMYFUNCTION("""COMPUTED_VALUE"""),331.75)</f>
        <v>331.75</v>
      </c>
      <c r="K107" s="3">
        <f t="shared" si="2"/>
        <v>0</v>
      </c>
      <c r="L107" s="3">
        <f t="shared" si="3"/>
        <v>0</v>
      </c>
    </row>
    <row r="108" customHeight="1" spans="1:12">
      <c r="A108" s="47">
        <f>IFERROR(__xludf.DUMMYFUNCTION("""COMPUTED_VALUE"""),45897.6458333333)</f>
        <v>45897.6458333333</v>
      </c>
      <c r="B108" s="48">
        <f>IFERROR(__xludf.DUMMYFUNCTION("""COMPUTED_VALUE"""),330.8)</f>
        <v>330.8</v>
      </c>
      <c r="C108" s="47">
        <f>IFERROR(__xludf.DUMMYFUNCTION("""COMPUTED_VALUE"""),45897.6458333333)</f>
        <v>45897.6458333333</v>
      </c>
      <c r="D108" s="48">
        <f>IFERROR(__xludf.DUMMYFUNCTION("""COMPUTED_VALUE"""),331.25)</f>
        <v>331.25</v>
      </c>
      <c r="E108" s="47">
        <f>IFERROR(__xludf.DUMMYFUNCTION("""COMPUTED_VALUE"""),45897.6458333333)</f>
        <v>45897.6458333333</v>
      </c>
      <c r="F108" s="48">
        <f>IFERROR(__xludf.DUMMYFUNCTION("""COMPUTED_VALUE"""),10486948)</f>
        <v>10486948</v>
      </c>
      <c r="G108" s="47">
        <f>IFERROR(__xludf.DUMMYFUNCTION("""COMPUTED_VALUE"""),45897.6458333333)</f>
        <v>45897.6458333333</v>
      </c>
      <c r="H108" s="48">
        <f>IFERROR(__xludf.DUMMYFUNCTION("""COMPUTED_VALUE"""),332.9)</f>
        <v>332.9</v>
      </c>
      <c r="I108" s="47">
        <f>IFERROR(__xludf.DUMMYFUNCTION("""COMPUTED_VALUE"""),45897.6458333333)</f>
        <v>45897.6458333333</v>
      </c>
      <c r="J108" s="48">
        <f>IFERROR(__xludf.DUMMYFUNCTION("""COMPUTED_VALUE"""),328.7)</f>
        <v>328.7</v>
      </c>
      <c r="K108" s="3">
        <f t="shared" si="2"/>
        <v>0</v>
      </c>
      <c r="L108" s="3">
        <f t="shared" si="3"/>
        <v>0</v>
      </c>
    </row>
    <row r="109" customHeight="1" spans="1:12">
      <c r="A109" s="47">
        <f>IFERROR(__xludf.DUMMYFUNCTION("""COMPUTED_VALUE"""),45898.6458333333)</f>
        <v>45898.6458333333</v>
      </c>
      <c r="B109" s="48">
        <f>IFERROR(__xludf.DUMMYFUNCTION("""COMPUTED_VALUE"""),327.55)</f>
        <v>327.55</v>
      </c>
      <c r="C109" s="47">
        <f>IFERROR(__xludf.DUMMYFUNCTION("""COMPUTED_VALUE"""),45898.6458333333)</f>
        <v>45898.6458333333</v>
      </c>
      <c r="D109" s="48">
        <f>IFERROR(__xludf.DUMMYFUNCTION("""COMPUTED_VALUE"""),331)</f>
        <v>331</v>
      </c>
      <c r="E109" s="47">
        <f>IFERROR(__xludf.DUMMYFUNCTION("""COMPUTED_VALUE"""),45898.6458333333)</f>
        <v>45898.6458333333</v>
      </c>
      <c r="F109" s="48">
        <f>IFERROR(__xludf.DUMMYFUNCTION("""COMPUTED_VALUE"""),11813425)</f>
        <v>11813425</v>
      </c>
      <c r="G109" s="47">
        <f>IFERROR(__xludf.DUMMYFUNCTION("""COMPUTED_VALUE"""),45898.6458333333)</f>
        <v>45898.6458333333</v>
      </c>
      <c r="H109" s="48">
        <f>IFERROR(__xludf.DUMMYFUNCTION("""COMPUTED_VALUE"""),331.5)</f>
        <v>331.5</v>
      </c>
      <c r="I109" s="47">
        <f>IFERROR(__xludf.DUMMYFUNCTION("""COMPUTED_VALUE"""),45898.6458333333)</f>
        <v>45898.6458333333</v>
      </c>
      <c r="J109" s="48">
        <f>IFERROR(__xludf.DUMMYFUNCTION("""COMPUTED_VALUE"""),327)</f>
        <v>327</v>
      </c>
      <c r="K109" s="3">
        <f t="shared" si="2"/>
        <v>0</v>
      </c>
      <c r="L109" s="3">
        <f t="shared" si="3"/>
        <v>0</v>
      </c>
    </row>
    <row r="110" customHeight="1" spans="1:12">
      <c r="A110" s="47">
        <f>IFERROR(__xludf.DUMMYFUNCTION("""COMPUTED_VALUE"""),45901.6458333333)</f>
        <v>45901.6458333333</v>
      </c>
      <c r="B110" s="48">
        <f>IFERROR(__xludf.DUMMYFUNCTION("""COMPUTED_VALUE"""),330.7)</f>
        <v>330.7</v>
      </c>
      <c r="C110" s="47">
        <f>IFERROR(__xludf.DUMMYFUNCTION("""COMPUTED_VALUE"""),45901.6458333333)</f>
        <v>45901.6458333333</v>
      </c>
      <c r="D110" s="48">
        <f>IFERROR(__xludf.DUMMYFUNCTION("""COMPUTED_VALUE"""),328)</f>
        <v>328</v>
      </c>
      <c r="E110" s="47">
        <f>IFERROR(__xludf.DUMMYFUNCTION("""COMPUTED_VALUE"""),45901.6458333333)</f>
        <v>45901.6458333333</v>
      </c>
      <c r="F110" s="48">
        <f>IFERROR(__xludf.DUMMYFUNCTION("""COMPUTED_VALUE"""),6897558)</f>
        <v>6897558</v>
      </c>
      <c r="G110" s="47">
        <f>IFERROR(__xludf.DUMMYFUNCTION("""COMPUTED_VALUE"""),45901.6458333333)</f>
        <v>45901.6458333333</v>
      </c>
      <c r="H110" s="48">
        <f>IFERROR(__xludf.DUMMYFUNCTION("""COMPUTED_VALUE"""),331.6)</f>
        <v>331.6</v>
      </c>
      <c r="I110" s="47">
        <f>IFERROR(__xludf.DUMMYFUNCTION("""COMPUTED_VALUE"""),45901.6458333333)</f>
        <v>45901.6458333333</v>
      </c>
      <c r="J110" s="48">
        <f>IFERROR(__xludf.DUMMYFUNCTION("""COMPUTED_VALUE"""),328)</f>
        <v>328</v>
      </c>
      <c r="K110" s="3">
        <f t="shared" si="2"/>
        <v>0</v>
      </c>
      <c r="L110" s="3">
        <f t="shared" si="3"/>
        <v>0</v>
      </c>
    </row>
    <row r="111" customHeight="1" spans="1:12">
      <c r="A111" s="47">
        <f>IFERROR(__xludf.DUMMYFUNCTION("""COMPUTED_VALUE"""),45902.6458333333)</f>
        <v>45902.6458333333</v>
      </c>
      <c r="B111" s="48">
        <f>IFERROR(__xludf.DUMMYFUNCTION("""COMPUTED_VALUE"""),336.3)</f>
        <v>336.3</v>
      </c>
      <c r="C111" s="47">
        <f>IFERROR(__xludf.DUMMYFUNCTION("""COMPUTED_VALUE"""),45902.6458333333)</f>
        <v>45902.6458333333</v>
      </c>
      <c r="D111" s="48">
        <f>IFERROR(__xludf.DUMMYFUNCTION("""COMPUTED_VALUE"""),331.1)</f>
        <v>331.1</v>
      </c>
      <c r="E111" s="47">
        <f>IFERROR(__xludf.DUMMYFUNCTION("""COMPUTED_VALUE"""),45902.6458333333)</f>
        <v>45902.6458333333</v>
      </c>
      <c r="F111" s="48">
        <f>IFERROR(__xludf.DUMMYFUNCTION("""COMPUTED_VALUE"""),9224639)</f>
        <v>9224639</v>
      </c>
      <c r="G111" s="47">
        <f>IFERROR(__xludf.DUMMYFUNCTION("""COMPUTED_VALUE"""),45902.6458333333)</f>
        <v>45902.6458333333</v>
      </c>
      <c r="H111" s="48">
        <f>IFERROR(__xludf.DUMMYFUNCTION("""COMPUTED_VALUE"""),338.25)</f>
        <v>338.25</v>
      </c>
      <c r="I111" s="47">
        <f>IFERROR(__xludf.DUMMYFUNCTION("""COMPUTED_VALUE"""),45902.6458333333)</f>
        <v>45902.6458333333</v>
      </c>
      <c r="J111" s="48">
        <f>IFERROR(__xludf.DUMMYFUNCTION("""COMPUTED_VALUE"""),331.1)</f>
        <v>331.1</v>
      </c>
      <c r="K111" s="3">
        <f t="shared" si="2"/>
        <v>0</v>
      </c>
      <c r="L111" s="3">
        <f t="shared" si="3"/>
        <v>0</v>
      </c>
    </row>
    <row r="112" customHeight="1" spans="1:12">
      <c r="A112" s="47">
        <f>IFERROR(__xludf.DUMMYFUNCTION("""COMPUTED_VALUE"""),45903.6458333333)</f>
        <v>45903.6458333333</v>
      </c>
      <c r="B112" s="48">
        <f>IFERROR(__xludf.DUMMYFUNCTION("""COMPUTED_VALUE"""),334.25)</f>
        <v>334.25</v>
      </c>
      <c r="C112" s="47">
        <f>IFERROR(__xludf.DUMMYFUNCTION("""COMPUTED_VALUE"""),45903.6458333333)</f>
        <v>45903.6458333333</v>
      </c>
      <c r="D112" s="48">
        <f>IFERROR(__xludf.DUMMYFUNCTION("""COMPUTED_VALUE"""),336.5)</f>
        <v>336.5</v>
      </c>
      <c r="E112" s="47">
        <f>IFERROR(__xludf.DUMMYFUNCTION("""COMPUTED_VALUE"""),45903.6458333333)</f>
        <v>45903.6458333333</v>
      </c>
      <c r="F112" s="48">
        <f>IFERROR(__xludf.DUMMYFUNCTION("""COMPUTED_VALUE"""),10778333)</f>
        <v>10778333</v>
      </c>
      <c r="G112" s="47">
        <f>IFERROR(__xludf.DUMMYFUNCTION("""COMPUTED_VALUE"""),45903.6458333333)</f>
        <v>45903.6458333333</v>
      </c>
      <c r="H112" s="48">
        <f>IFERROR(__xludf.DUMMYFUNCTION("""COMPUTED_VALUE"""),338)</f>
        <v>338</v>
      </c>
      <c r="I112" s="47">
        <f>IFERROR(__xludf.DUMMYFUNCTION("""COMPUTED_VALUE"""),45903.6458333333)</f>
        <v>45903.6458333333</v>
      </c>
      <c r="J112" s="48">
        <f>IFERROR(__xludf.DUMMYFUNCTION("""COMPUTED_VALUE"""),333.5)</f>
        <v>333.5</v>
      </c>
      <c r="K112" s="3">
        <f t="shared" si="2"/>
        <v>0</v>
      </c>
      <c r="L112" s="3">
        <f t="shared" si="3"/>
        <v>0</v>
      </c>
    </row>
    <row r="113" customHeight="1" spans="1:12">
      <c r="A113" s="47">
        <f>IFERROR(__xludf.DUMMYFUNCTION("""COMPUTED_VALUE"""),45904.6458333333)</f>
        <v>45904.6458333333</v>
      </c>
      <c r="B113" s="48">
        <f>IFERROR(__xludf.DUMMYFUNCTION("""COMPUTED_VALUE"""),330.05)</f>
        <v>330.05</v>
      </c>
      <c r="C113" s="47">
        <f>IFERROR(__xludf.DUMMYFUNCTION("""COMPUTED_VALUE"""),45904.6458333333)</f>
        <v>45904.6458333333</v>
      </c>
      <c r="D113" s="48">
        <f>IFERROR(__xludf.DUMMYFUNCTION("""COMPUTED_VALUE"""),333.5)</f>
        <v>333.5</v>
      </c>
      <c r="E113" s="47">
        <f>IFERROR(__xludf.DUMMYFUNCTION("""COMPUTED_VALUE"""),45904.6458333333)</f>
        <v>45904.6458333333</v>
      </c>
      <c r="F113" s="48">
        <f>IFERROR(__xludf.DUMMYFUNCTION("""COMPUTED_VALUE"""),7934237)</f>
        <v>7934237</v>
      </c>
      <c r="G113" s="47">
        <f>IFERROR(__xludf.DUMMYFUNCTION("""COMPUTED_VALUE"""),45904.6458333333)</f>
        <v>45904.6458333333</v>
      </c>
      <c r="H113" s="48">
        <f>IFERROR(__xludf.DUMMYFUNCTION("""COMPUTED_VALUE"""),334.9)</f>
        <v>334.9</v>
      </c>
      <c r="I113" s="47">
        <f>IFERROR(__xludf.DUMMYFUNCTION("""COMPUTED_VALUE"""),45904.6458333333)</f>
        <v>45904.6458333333</v>
      </c>
      <c r="J113" s="48">
        <f>IFERROR(__xludf.DUMMYFUNCTION("""COMPUTED_VALUE"""),329.3)</f>
        <v>329.3</v>
      </c>
      <c r="K113" s="3">
        <f t="shared" si="2"/>
        <v>0</v>
      </c>
      <c r="L113" s="3">
        <f t="shared" si="3"/>
        <v>0</v>
      </c>
    </row>
    <row r="114" customHeight="1" spans="1:12">
      <c r="A114" s="47">
        <f>IFERROR(__xludf.DUMMYFUNCTION("""COMPUTED_VALUE"""),45905.6458333333)</f>
        <v>45905.6458333333</v>
      </c>
      <c r="B114" s="48">
        <f>IFERROR(__xludf.DUMMYFUNCTION("""COMPUTED_VALUE"""),328.7)</f>
        <v>328.7</v>
      </c>
      <c r="C114" s="47">
        <f>IFERROR(__xludf.DUMMYFUNCTION("""COMPUTED_VALUE"""),45905.6458333333)</f>
        <v>45905.6458333333</v>
      </c>
      <c r="D114" s="48">
        <f>IFERROR(__xludf.DUMMYFUNCTION("""COMPUTED_VALUE"""),330.05)</f>
        <v>330.05</v>
      </c>
      <c r="E114" s="47">
        <f>IFERROR(__xludf.DUMMYFUNCTION("""COMPUTED_VALUE"""),45905.6458333333)</f>
        <v>45905.6458333333</v>
      </c>
      <c r="F114" s="48">
        <f>IFERROR(__xludf.DUMMYFUNCTION("""COMPUTED_VALUE"""),5678244)</f>
        <v>5678244</v>
      </c>
      <c r="G114" s="47">
        <f>IFERROR(__xludf.DUMMYFUNCTION("""COMPUTED_VALUE"""),45905.6458333333)</f>
        <v>45905.6458333333</v>
      </c>
      <c r="H114" s="48">
        <f>IFERROR(__xludf.DUMMYFUNCTION("""COMPUTED_VALUE"""),331.8)</f>
        <v>331.8</v>
      </c>
      <c r="I114" s="47">
        <f>IFERROR(__xludf.DUMMYFUNCTION("""COMPUTED_VALUE"""),45905.6458333333)</f>
        <v>45905.6458333333</v>
      </c>
      <c r="J114" s="48">
        <f>IFERROR(__xludf.DUMMYFUNCTION("""COMPUTED_VALUE"""),325.95)</f>
        <v>325.95</v>
      </c>
      <c r="K114" s="3">
        <f t="shared" si="2"/>
        <v>0</v>
      </c>
      <c r="L114" s="3">
        <f t="shared" si="3"/>
        <v>0</v>
      </c>
    </row>
    <row r="115" customHeight="1" spans="1:12">
      <c r="A115" s="47">
        <f>IFERROR(__xludf.DUMMYFUNCTION("""COMPUTED_VALUE"""),45908.6458333333)</f>
        <v>45908.6458333333</v>
      </c>
      <c r="B115" s="48">
        <f>IFERROR(__xludf.DUMMYFUNCTION("""COMPUTED_VALUE"""),326.7)</f>
        <v>326.7</v>
      </c>
      <c r="C115" s="47">
        <f>IFERROR(__xludf.DUMMYFUNCTION("""COMPUTED_VALUE"""),45908.6458333333)</f>
        <v>45908.6458333333</v>
      </c>
      <c r="D115" s="48">
        <f>IFERROR(__xludf.DUMMYFUNCTION("""COMPUTED_VALUE"""),328.75)</f>
        <v>328.75</v>
      </c>
      <c r="E115" s="47">
        <f>IFERROR(__xludf.DUMMYFUNCTION("""COMPUTED_VALUE"""),45908.6458333333)</f>
        <v>45908.6458333333</v>
      </c>
      <c r="F115" s="48">
        <f>IFERROR(__xludf.DUMMYFUNCTION("""COMPUTED_VALUE"""),5239184)</f>
        <v>5239184</v>
      </c>
      <c r="G115" s="47">
        <f>IFERROR(__xludf.DUMMYFUNCTION("""COMPUTED_VALUE"""),45908.6458333333)</f>
        <v>45908.6458333333</v>
      </c>
      <c r="H115" s="48">
        <f>IFERROR(__xludf.DUMMYFUNCTION("""COMPUTED_VALUE"""),330.95)</f>
        <v>330.95</v>
      </c>
      <c r="I115" s="47">
        <f>IFERROR(__xludf.DUMMYFUNCTION("""COMPUTED_VALUE"""),45908.6458333333)</f>
        <v>45908.6458333333</v>
      </c>
      <c r="J115" s="48">
        <f>IFERROR(__xludf.DUMMYFUNCTION("""COMPUTED_VALUE"""),326.35)</f>
        <v>326.35</v>
      </c>
      <c r="K115" s="3">
        <f t="shared" si="2"/>
        <v>0</v>
      </c>
      <c r="L115" s="3">
        <f t="shared" si="3"/>
        <v>0</v>
      </c>
    </row>
    <row r="116" customHeight="1" spans="1:12">
      <c r="A116" s="47">
        <f>IFERROR(__xludf.DUMMYFUNCTION("""COMPUTED_VALUE"""),45909.6458333333)</f>
        <v>45909.6458333333</v>
      </c>
      <c r="B116" s="48">
        <f>IFERROR(__xludf.DUMMYFUNCTION("""COMPUTED_VALUE"""),324.1)</f>
        <v>324.1</v>
      </c>
      <c r="C116" s="47">
        <f>IFERROR(__xludf.DUMMYFUNCTION("""COMPUTED_VALUE"""),45909.6458333333)</f>
        <v>45909.6458333333</v>
      </c>
      <c r="D116" s="48">
        <f>IFERROR(__xludf.DUMMYFUNCTION("""COMPUTED_VALUE"""),327.6)</f>
        <v>327.6</v>
      </c>
      <c r="E116" s="47">
        <f>IFERROR(__xludf.DUMMYFUNCTION("""COMPUTED_VALUE"""),45909.6458333333)</f>
        <v>45909.6458333333</v>
      </c>
      <c r="F116" s="48">
        <f>IFERROR(__xludf.DUMMYFUNCTION("""COMPUTED_VALUE"""),9735495)</f>
        <v>9735495</v>
      </c>
      <c r="G116" s="47">
        <f>IFERROR(__xludf.DUMMYFUNCTION("""COMPUTED_VALUE"""),45909.6458333333)</f>
        <v>45909.6458333333</v>
      </c>
      <c r="H116" s="48">
        <f>IFERROR(__xludf.DUMMYFUNCTION("""COMPUTED_VALUE"""),328.15)</f>
        <v>328.15</v>
      </c>
      <c r="I116" s="47">
        <f>IFERROR(__xludf.DUMMYFUNCTION("""COMPUTED_VALUE"""),45909.6458333333)</f>
        <v>45909.6458333333</v>
      </c>
      <c r="J116" s="48">
        <f>IFERROR(__xludf.DUMMYFUNCTION("""COMPUTED_VALUE"""),323.65)</f>
        <v>323.65</v>
      </c>
      <c r="K116" s="3">
        <f t="shared" si="2"/>
        <v>0</v>
      </c>
      <c r="L116" s="3">
        <f t="shared" si="3"/>
        <v>324.1</v>
      </c>
    </row>
    <row r="117" customHeight="1" spans="1:12">
      <c r="A117" s="47">
        <f>IFERROR(__xludf.DUMMYFUNCTION("""COMPUTED_VALUE"""),45910.6458333333)</f>
        <v>45910.6458333333</v>
      </c>
      <c r="B117" s="48">
        <f>IFERROR(__xludf.DUMMYFUNCTION("""COMPUTED_VALUE"""),325.65)</f>
        <v>325.65</v>
      </c>
      <c r="C117" s="47">
        <f>IFERROR(__xludf.DUMMYFUNCTION("""COMPUTED_VALUE"""),45910.6458333333)</f>
        <v>45910.6458333333</v>
      </c>
      <c r="D117" s="48">
        <f>IFERROR(__xludf.DUMMYFUNCTION("""COMPUTED_VALUE"""),325.5)</f>
        <v>325.5</v>
      </c>
      <c r="E117" s="47">
        <f>IFERROR(__xludf.DUMMYFUNCTION("""COMPUTED_VALUE"""),45910.6458333333)</f>
        <v>45910.6458333333</v>
      </c>
      <c r="F117" s="48">
        <f>IFERROR(__xludf.DUMMYFUNCTION("""COMPUTED_VALUE"""),6509477)</f>
        <v>6509477</v>
      </c>
      <c r="G117" s="47">
        <f>IFERROR(__xludf.DUMMYFUNCTION("""COMPUTED_VALUE"""),45910.6458333333)</f>
        <v>45910.6458333333</v>
      </c>
      <c r="H117" s="48">
        <f>IFERROR(__xludf.DUMMYFUNCTION("""COMPUTED_VALUE"""),328.05)</f>
        <v>328.05</v>
      </c>
      <c r="I117" s="47">
        <f>IFERROR(__xludf.DUMMYFUNCTION("""COMPUTED_VALUE"""),45910.6458333333)</f>
        <v>45910.6458333333</v>
      </c>
      <c r="J117" s="48">
        <f>IFERROR(__xludf.DUMMYFUNCTION("""COMPUTED_VALUE"""),325.15)</f>
        <v>325.15</v>
      </c>
      <c r="K117" s="3">
        <f t="shared" si="2"/>
        <v>0</v>
      </c>
      <c r="L117" s="3">
        <f t="shared" si="3"/>
        <v>0</v>
      </c>
    </row>
    <row r="118" customHeight="1" spans="1:12">
      <c r="A118" s="47">
        <f>IFERROR(__xludf.DUMMYFUNCTION("""COMPUTED_VALUE"""),45911.6458333333)</f>
        <v>45911.6458333333</v>
      </c>
      <c r="B118" s="48">
        <f>IFERROR(__xludf.DUMMYFUNCTION("""COMPUTED_VALUE"""),331.05)</f>
        <v>331.05</v>
      </c>
      <c r="C118" s="47">
        <f>IFERROR(__xludf.DUMMYFUNCTION("""COMPUTED_VALUE"""),45911.6458333333)</f>
        <v>45911.6458333333</v>
      </c>
      <c r="D118" s="48">
        <f>IFERROR(__xludf.DUMMYFUNCTION("""COMPUTED_VALUE"""),326.45)</f>
        <v>326.45</v>
      </c>
      <c r="E118" s="47">
        <f>IFERROR(__xludf.DUMMYFUNCTION("""COMPUTED_VALUE"""),45911.6458333333)</f>
        <v>45911.6458333333</v>
      </c>
      <c r="F118" s="48">
        <f>IFERROR(__xludf.DUMMYFUNCTION("""COMPUTED_VALUE"""),10309925)</f>
        <v>10309925</v>
      </c>
      <c r="G118" s="47">
        <f>IFERROR(__xludf.DUMMYFUNCTION("""COMPUTED_VALUE"""),45911.6458333333)</f>
        <v>45911.6458333333</v>
      </c>
      <c r="H118" s="48">
        <f>IFERROR(__xludf.DUMMYFUNCTION("""COMPUTED_VALUE"""),333.5)</f>
        <v>333.5</v>
      </c>
      <c r="I118" s="47">
        <f>IFERROR(__xludf.DUMMYFUNCTION("""COMPUTED_VALUE"""),45911.6458333333)</f>
        <v>45911.6458333333</v>
      </c>
      <c r="J118" s="48">
        <f>IFERROR(__xludf.DUMMYFUNCTION("""COMPUTED_VALUE"""),326)</f>
        <v>326</v>
      </c>
      <c r="K118" s="3">
        <f t="shared" si="2"/>
        <v>0</v>
      </c>
      <c r="L118" s="3">
        <f t="shared" si="3"/>
        <v>0</v>
      </c>
    </row>
    <row r="119" customHeight="1" spans="1:12">
      <c r="A119" s="47">
        <f>IFERROR(__xludf.DUMMYFUNCTION("""COMPUTED_VALUE"""),45912.6458333333)</f>
        <v>45912.6458333333</v>
      </c>
      <c r="B119" s="48">
        <f>IFERROR(__xludf.DUMMYFUNCTION("""COMPUTED_VALUE"""),331.7)</f>
        <v>331.7</v>
      </c>
      <c r="C119" s="47">
        <f>IFERROR(__xludf.DUMMYFUNCTION("""COMPUTED_VALUE"""),45912.6458333333)</f>
        <v>45912.6458333333</v>
      </c>
      <c r="D119" s="48">
        <f>IFERROR(__xludf.DUMMYFUNCTION("""COMPUTED_VALUE"""),332)</f>
        <v>332</v>
      </c>
      <c r="E119" s="47">
        <f>IFERROR(__xludf.DUMMYFUNCTION("""COMPUTED_VALUE"""),45912.6458333333)</f>
        <v>45912.6458333333</v>
      </c>
      <c r="F119" s="48">
        <f>IFERROR(__xludf.DUMMYFUNCTION("""COMPUTED_VALUE"""),5257048)</f>
        <v>5257048</v>
      </c>
      <c r="G119" s="47">
        <f>IFERROR(__xludf.DUMMYFUNCTION("""COMPUTED_VALUE"""),45912.6458333333)</f>
        <v>45912.6458333333</v>
      </c>
      <c r="H119" s="48">
        <f>IFERROR(__xludf.DUMMYFUNCTION("""COMPUTED_VALUE"""),333.5)</f>
        <v>333.5</v>
      </c>
      <c r="I119" s="47">
        <f>IFERROR(__xludf.DUMMYFUNCTION("""COMPUTED_VALUE"""),45912.6458333333)</f>
        <v>45912.6458333333</v>
      </c>
      <c r="J119" s="48">
        <f>IFERROR(__xludf.DUMMYFUNCTION("""COMPUTED_VALUE"""),328.4)</f>
        <v>328.4</v>
      </c>
      <c r="K119" s="3">
        <f t="shared" si="2"/>
        <v>0</v>
      </c>
      <c r="L119" s="3">
        <f t="shared" si="3"/>
        <v>0</v>
      </c>
    </row>
    <row r="120" customHeight="1" spans="1:12">
      <c r="A120" s="47">
        <f>IFERROR(__xludf.DUMMYFUNCTION("""COMPUTED_VALUE"""),45915.6458333333)</f>
        <v>45915.6458333333</v>
      </c>
      <c r="B120" s="48">
        <f>IFERROR(__xludf.DUMMYFUNCTION("""COMPUTED_VALUE"""),331.1)</f>
        <v>331.1</v>
      </c>
      <c r="C120" s="47">
        <f>IFERROR(__xludf.DUMMYFUNCTION("""COMPUTED_VALUE"""),45915.6458333333)</f>
        <v>45915.6458333333</v>
      </c>
      <c r="D120" s="48">
        <f>IFERROR(__xludf.DUMMYFUNCTION("""COMPUTED_VALUE"""),331)</f>
        <v>331</v>
      </c>
      <c r="E120" s="47">
        <f>IFERROR(__xludf.DUMMYFUNCTION("""COMPUTED_VALUE"""),45915.6458333333)</f>
        <v>45915.6458333333</v>
      </c>
      <c r="F120" s="48">
        <f>IFERROR(__xludf.DUMMYFUNCTION("""COMPUTED_VALUE"""),6566824)</f>
        <v>6566824</v>
      </c>
      <c r="G120" s="47">
        <f>IFERROR(__xludf.DUMMYFUNCTION("""COMPUTED_VALUE"""),45915.6458333333)</f>
        <v>45915.6458333333</v>
      </c>
      <c r="H120" s="48">
        <f>IFERROR(__xludf.DUMMYFUNCTION("""COMPUTED_VALUE"""),333.8)</f>
        <v>333.8</v>
      </c>
      <c r="I120" s="47">
        <f>IFERROR(__xludf.DUMMYFUNCTION("""COMPUTED_VALUE"""),45915.6458333333)</f>
        <v>45915.6458333333</v>
      </c>
      <c r="J120" s="48">
        <f>IFERROR(__xludf.DUMMYFUNCTION("""COMPUTED_VALUE"""),330.65)</f>
        <v>330.65</v>
      </c>
      <c r="K120" s="3">
        <f t="shared" si="2"/>
        <v>0</v>
      </c>
      <c r="L120" s="3">
        <f t="shared" si="3"/>
        <v>0</v>
      </c>
    </row>
    <row r="121" customHeight="1" spans="1:12">
      <c r="A121" s="47">
        <f>IFERROR(__xludf.DUMMYFUNCTION("""COMPUTED_VALUE"""),45916.6458333333)</f>
        <v>45916.6458333333</v>
      </c>
      <c r="B121" s="48">
        <f>IFERROR(__xludf.DUMMYFUNCTION("""COMPUTED_VALUE"""),335.05)</f>
        <v>335.05</v>
      </c>
      <c r="C121" s="47">
        <f>IFERROR(__xludf.DUMMYFUNCTION("""COMPUTED_VALUE"""),45916.6458333333)</f>
        <v>45916.6458333333</v>
      </c>
      <c r="D121" s="48">
        <f>IFERROR(__xludf.DUMMYFUNCTION("""COMPUTED_VALUE"""),331.2)</f>
        <v>331.2</v>
      </c>
      <c r="E121" s="47">
        <f>IFERROR(__xludf.DUMMYFUNCTION("""COMPUTED_VALUE"""),45916.6458333333)</f>
        <v>45916.6458333333</v>
      </c>
      <c r="F121" s="48">
        <f>IFERROR(__xludf.DUMMYFUNCTION("""COMPUTED_VALUE"""),8784889)</f>
        <v>8784889</v>
      </c>
      <c r="G121" s="47">
        <f>IFERROR(__xludf.DUMMYFUNCTION("""COMPUTED_VALUE"""),45916.6458333333)</f>
        <v>45916.6458333333</v>
      </c>
      <c r="H121" s="48">
        <f>IFERROR(__xludf.DUMMYFUNCTION("""COMPUTED_VALUE"""),335.8)</f>
        <v>335.8</v>
      </c>
      <c r="I121" s="47">
        <f>IFERROR(__xludf.DUMMYFUNCTION("""COMPUTED_VALUE"""),45916.6458333333)</f>
        <v>45916.6458333333</v>
      </c>
      <c r="J121" s="48">
        <f>IFERROR(__xludf.DUMMYFUNCTION("""COMPUTED_VALUE"""),331.2)</f>
        <v>331.2</v>
      </c>
      <c r="K121" s="3">
        <f t="shared" si="2"/>
        <v>0</v>
      </c>
      <c r="L121" s="3">
        <f t="shared" si="3"/>
        <v>0</v>
      </c>
    </row>
    <row r="122" customHeight="1" spans="1:12">
      <c r="A122" s="47">
        <f>IFERROR(__xludf.DUMMYFUNCTION("""COMPUTED_VALUE"""),45917.6458333333)</f>
        <v>45917.6458333333</v>
      </c>
      <c r="B122" s="48">
        <f>IFERROR(__xludf.DUMMYFUNCTION("""COMPUTED_VALUE"""),336.4)</f>
        <v>336.4</v>
      </c>
      <c r="C122" s="47">
        <f>IFERROR(__xludf.DUMMYFUNCTION("""COMPUTED_VALUE"""),45917.6458333333)</f>
        <v>45917.6458333333</v>
      </c>
      <c r="D122" s="48">
        <f>IFERROR(__xludf.DUMMYFUNCTION("""COMPUTED_VALUE"""),335.5)</f>
        <v>335.5</v>
      </c>
      <c r="E122" s="47">
        <f>IFERROR(__xludf.DUMMYFUNCTION("""COMPUTED_VALUE"""),45917.6458333333)</f>
        <v>45917.6458333333</v>
      </c>
      <c r="F122" s="48">
        <f>IFERROR(__xludf.DUMMYFUNCTION("""COMPUTED_VALUE"""),7936518)</f>
        <v>7936518</v>
      </c>
      <c r="G122" s="47">
        <f>IFERROR(__xludf.DUMMYFUNCTION("""COMPUTED_VALUE"""),45917.6458333333)</f>
        <v>45917.6458333333</v>
      </c>
      <c r="H122" s="48">
        <f>IFERROR(__xludf.DUMMYFUNCTION("""COMPUTED_VALUE"""),337.45)</f>
        <v>337.45</v>
      </c>
      <c r="I122" s="47">
        <f>IFERROR(__xludf.DUMMYFUNCTION("""COMPUTED_VALUE"""),45917.6458333333)</f>
        <v>45917.6458333333</v>
      </c>
      <c r="J122" s="48">
        <f>IFERROR(__xludf.DUMMYFUNCTION("""COMPUTED_VALUE"""),334.55)</f>
        <v>334.55</v>
      </c>
      <c r="K122" s="3">
        <f t="shared" si="2"/>
        <v>0</v>
      </c>
      <c r="L122" s="3">
        <f t="shared" si="3"/>
        <v>0</v>
      </c>
    </row>
    <row r="123" customHeight="1" spans="1:12">
      <c r="A123" s="47">
        <f>IFERROR(__xludf.DUMMYFUNCTION("""COMPUTED_VALUE"""),45918.6458333333)</f>
        <v>45918.6458333333</v>
      </c>
      <c r="B123" s="48">
        <f>IFERROR(__xludf.DUMMYFUNCTION("""COMPUTED_VALUE"""),336.95)</f>
        <v>336.95</v>
      </c>
      <c r="C123" s="47">
        <f>IFERROR(__xludf.DUMMYFUNCTION("""COMPUTED_VALUE"""),45918.6458333333)</f>
        <v>45918.6458333333</v>
      </c>
      <c r="D123" s="48">
        <f>IFERROR(__xludf.DUMMYFUNCTION("""COMPUTED_VALUE"""),337)</f>
        <v>337</v>
      </c>
      <c r="E123" s="47">
        <f>IFERROR(__xludf.DUMMYFUNCTION("""COMPUTED_VALUE"""),45918.6458333333)</f>
        <v>45918.6458333333</v>
      </c>
      <c r="F123" s="48">
        <f>IFERROR(__xludf.DUMMYFUNCTION("""COMPUTED_VALUE"""),6497322)</f>
        <v>6497322</v>
      </c>
      <c r="G123" s="47">
        <f>IFERROR(__xludf.DUMMYFUNCTION("""COMPUTED_VALUE"""),45918.6458333333)</f>
        <v>45918.6458333333</v>
      </c>
      <c r="H123" s="48">
        <f>IFERROR(__xludf.DUMMYFUNCTION("""COMPUTED_VALUE"""),337.6)</f>
        <v>337.6</v>
      </c>
      <c r="I123" s="47">
        <f>IFERROR(__xludf.DUMMYFUNCTION("""COMPUTED_VALUE"""),45918.6458333333)</f>
        <v>45918.6458333333</v>
      </c>
      <c r="J123" s="48">
        <f>IFERROR(__xludf.DUMMYFUNCTION("""COMPUTED_VALUE"""),334.1)</f>
        <v>334.1</v>
      </c>
      <c r="K123" s="3">
        <f t="shared" si="2"/>
        <v>0</v>
      </c>
      <c r="L123" s="3">
        <f t="shared" si="3"/>
        <v>0</v>
      </c>
    </row>
    <row r="124" customHeight="1" spans="1:12">
      <c r="A124" s="47">
        <f>IFERROR(__xludf.DUMMYFUNCTION("""COMPUTED_VALUE"""),45919.6458333333)</f>
        <v>45919.6458333333</v>
      </c>
      <c r="B124" s="48">
        <f>IFERROR(__xludf.DUMMYFUNCTION("""COMPUTED_VALUE"""),338.65)</f>
        <v>338.65</v>
      </c>
      <c r="C124" s="47">
        <f>IFERROR(__xludf.DUMMYFUNCTION("""COMPUTED_VALUE"""),45919.6458333333)</f>
        <v>45919.6458333333</v>
      </c>
      <c r="D124" s="48">
        <f>IFERROR(__xludf.DUMMYFUNCTION("""COMPUTED_VALUE"""),336.95)</f>
        <v>336.95</v>
      </c>
      <c r="E124" s="47">
        <f>IFERROR(__xludf.DUMMYFUNCTION("""COMPUTED_VALUE"""),45919.6458333333)</f>
        <v>45919.6458333333</v>
      </c>
      <c r="F124" s="48">
        <f>IFERROR(__xludf.DUMMYFUNCTION("""COMPUTED_VALUE"""),10646331)</f>
        <v>10646331</v>
      </c>
      <c r="G124" s="47">
        <f>IFERROR(__xludf.DUMMYFUNCTION("""COMPUTED_VALUE"""),45919.6458333333)</f>
        <v>45919.6458333333</v>
      </c>
      <c r="H124" s="48">
        <f>IFERROR(__xludf.DUMMYFUNCTION("""COMPUTED_VALUE"""),339.5)</f>
        <v>339.5</v>
      </c>
      <c r="I124" s="47">
        <f>IFERROR(__xludf.DUMMYFUNCTION("""COMPUTED_VALUE"""),45919.6458333333)</f>
        <v>45919.6458333333</v>
      </c>
      <c r="J124" s="48">
        <f>IFERROR(__xludf.DUMMYFUNCTION("""COMPUTED_VALUE"""),336.45)</f>
        <v>336.45</v>
      </c>
      <c r="K124" s="3">
        <f t="shared" si="2"/>
        <v>0</v>
      </c>
      <c r="L124" s="3">
        <f t="shared" si="3"/>
        <v>0</v>
      </c>
    </row>
    <row r="125" customHeight="1" spans="1:12">
      <c r="A125" s="47">
        <f>IFERROR(__xludf.DUMMYFUNCTION("""COMPUTED_VALUE"""),45922.6458333333)</f>
        <v>45922.6458333333</v>
      </c>
      <c r="B125" s="48">
        <f>IFERROR(__xludf.DUMMYFUNCTION("""COMPUTED_VALUE"""),339.2)</f>
        <v>339.2</v>
      </c>
      <c r="C125" s="47">
        <f>IFERROR(__xludf.DUMMYFUNCTION("""COMPUTED_VALUE"""),45922.6458333333)</f>
        <v>45922.6458333333</v>
      </c>
      <c r="D125" s="48">
        <f>IFERROR(__xludf.DUMMYFUNCTION("""COMPUTED_VALUE"""),339.15)</f>
        <v>339.15</v>
      </c>
      <c r="E125" s="47">
        <f>IFERROR(__xludf.DUMMYFUNCTION("""COMPUTED_VALUE"""),45922.6458333333)</f>
        <v>45922.6458333333</v>
      </c>
      <c r="F125" s="48">
        <f>IFERROR(__xludf.DUMMYFUNCTION("""COMPUTED_VALUE"""),6966213)</f>
        <v>6966213</v>
      </c>
      <c r="G125" s="47">
        <f>IFERROR(__xludf.DUMMYFUNCTION("""COMPUTED_VALUE"""),45922.6458333333)</f>
        <v>45922.6458333333</v>
      </c>
      <c r="H125" s="48">
        <f>IFERROR(__xludf.DUMMYFUNCTION("""COMPUTED_VALUE"""),340.35)</f>
        <v>340.35</v>
      </c>
      <c r="I125" s="47">
        <f>IFERROR(__xludf.DUMMYFUNCTION("""COMPUTED_VALUE"""),45922.6458333333)</f>
        <v>45922.6458333333</v>
      </c>
      <c r="J125" s="48">
        <f>IFERROR(__xludf.DUMMYFUNCTION("""COMPUTED_VALUE"""),336.85)</f>
        <v>336.85</v>
      </c>
      <c r="K125" s="3">
        <f t="shared" si="2"/>
        <v>0</v>
      </c>
      <c r="L125" s="3">
        <f t="shared" si="3"/>
        <v>0</v>
      </c>
    </row>
    <row r="126" customHeight="1" spans="1:10">
      <c r="A126" s="47">
        <f>IFERROR(__xludf.DUMMYFUNCTION("""COMPUTED_VALUE"""),45923.6458333333)</f>
        <v>45923.6458333333</v>
      </c>
      <c r="B126" s="48">
        <f>IFERROR(__xludf.DUMMYFUNCTION("""COMPUTED_VALUE"""),343)</f>
        <v>343</v>
      </c>
      <c r="C126" s="47">
        <f>IFERROR(__xludf.DUMMYFUNCTION("""COMPUTED_VALUE"""),45923.6458333333)</f>
        <v>45923.6458333333</v>
      </c>
      <c r="D126" s="48">
        <f>IFERROR(__xludf.DUMMYFUNCTION("""COMPUTED_VALUE"""),339.45)</f>
        <v>339.45</v>
      </c>
      <c r="E126" s="47">
        <f>IFERROR(__xludf.DUMMYFUNCTION("""COMPUTED_VALUE"""),45923.6458333333)</f>
        <v>45923.6458333333</v>
      </c>
      <c r="F126" s="48">
        <f>IFERROR(__xludf.DUMMYFUNCTION("""COMPUTED_VALUE"""),10738268)</f>
        <v>10738268</v>
      </c>
      <c r="G126" s="47">
        <f>IFERROR(__xludf.DUMMYFUNCTION("""COMPUTED_VALUE"""),45923.6458333333)</f>
        <v>45923.6458333333</v>
      </c>
      <c r="H126" s="48">
        <f>IFERROR(__xludf.DUMMYFUNCTION("""COMPUTED_VALUE"""),344.1)</f>
        <v>344.1</v>
      </c>
      <c r="I126" s="47">
        <f>IFERROR(__xludf.DUMMYFUNCTION("""COMPUTED_VALUE"""),45923.6458333333)</f>
        <v>45923.6458333333</v>
      </c>
      <c r="J126" s="48">
        <f>IFERROR(__xludf.DUMMYFUNCTION("""COMPUTED_VALUE"""),338.1)</f>
        <v>338.1</v>
      </c>
    </row>
    <row r="127" customHeight="1" spans="1:10">
      <c r="A127" s="47">
        <f>IFERROR(__xludf.DUMMYFUNCTION("""COMPUTED_VALUE"""),45924.6458333333)</f>
        <v>45924.6458333333</v>
      </c>
      <c r="B127" s="48">
        <f>IFERROR(__xludf.DUMMYFUNCTION("""COMPUTED_VALUE"""),347.6)</f>
        <v>347.6</v>
      </c>
      <c r="C127" s="47">
        <f>IFERROR(__xludf.DUMMYFUNCTION("""COMPUTED_VALUE"""),45924.6458333333)</f>
        <v>45924.6458333333</v>
      </c>
      <c r="D127" s="48">
        <f>IFERROR(__xludf.DUMMYFUNCTION("""COMPUTED_VALUE"""),343.3)</f>
        <v>343.3</v>
      </c>
      <c r="E127" s="47">
        <f>IFERROR(__xludf.DUMMYFUNCTION("""COMPUTED_VALUE"""),45924.6458333333)</f>
        <v>45924.6458333333</v>
      </c>
      <c r="F127" s="48">
        <f>IFERROR(__xludf.DUMMYFUNCTION("""COMPUTED_VALUE"""),14653575)</f>
        <v>14653575</v>
      </c>
      <c r="G127" s="47">
        <f>IFERROR(__xludf.DUMMYFUNCTION("""COMPUTED_VALUE"""),45924.6458333333)</f>
        <v>45924.6458333333</v>
      </c>
      <c r="H127" s="48">
        <f>IFERROR(__xludf.DUMMYFUNCTION("""COMPUTED_VALUE"""),350.4)</f>
        <v>350.4</v>
      </c>
      <c r="I127" s="47">
        <f>IFERROR(__xludf.DUMMYFUNCTION("""COMPUTED_VALUE"""),45924.6458333333)</f>
        <v>45924.6458333333</v>
      </c>
      <c r="J127" s="48">
        <f>IFERROR(__xludf.DUMMYFUNCTION("""COMPUTED_VALUE"""),342.25)</f>
        <v>342.25</v>
      </c>
    </row>
    <row r="128" customHeight="1" spans="1:10">
      <c r="A128" s="47">
        <f>IFERROR(__xludf.DUMMYFUNCTION("""COMPUTED_VALUE"""),45925.6458333333)</f>
        <v>45925.6458333333</v>
      </c>
      <c r="B128" s="48">
        <f>IFERROR(__xludf.DUMMYFUNCTION("""COMPUTED_VALUE"""),340.5)</f>
        <v>340.5</v>
      </c>
      <c r="C128" s="47">
        <f>IFERROR(__xludf.DUMMYFUNCTION("""COMPUTED_VALUE"""),45925.6458333333)</f>
        <v>45925.6458333333</v>
      </c>
      <c r="D128" s="48">
        <f>IFERROR(__xludf.DUMMYFUNCTION("""COMPUTED_VALUE"""),349.3)</f>
        <v>349.3</v>
      </c>
      <c r="E128" s="47">
        <f>IFERROR(__xludf.DUMMYFUNCTION("""COMPUTED_VALUE"""),45925.6458333333)</f>
        <v>45925.6458333333</v>
      </c>
      <c r="F128" s="48">
        <f>IFERROR(__xludf.DUMMYFUNCTION("""COMPUTED_VALUE"""),13228081)</f>
        <v>13228081</v>
      </c>
      <c r="G128" s="47">
        <f>IFERROR(__xludf.DUMMYFUNCTION("""COMPUTED_VALUE"""),45925.6458333333)</f>
        <v>45925.6458333333</v>
      </c>
      <c r="H128" s="48">
        <f>IFERROR(__xludf.DUMMYFUNCTION("""COMPUTED_VALUE"""),350.8)</f>
        <v>350.8</v>
      </c>
      <c r="I128" s="47">
        <f>IFERROR(__xludf.DUMMYFUNCTION("""COMPUTED_VALUE"""),45925.6458333333)</f>
        <v>45925.6458333333</v>
      </c>
      <c r="J128" s="48">
        <f>IFERROR(__xludf.DUMMYFUNCTION("""COMPUTED_VALUE"""),340)</f>
        <v>340</v>
      </c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IFERROR(__xludf.DUMMYFUNCTION("""COMPUTED_VALUE"""),337.9)</f>
        <v>337.9</v>
      </c>
      <c r="C129" s="47">
        <f>IFERROR(__xludf.DUMMYFUNCTION("""COMPUTED_VALUE"""),45926.6458333333)</f>
        <v>45926.6458333333</v>
      </c>
      <c r="D129" s="48">
        <f>IFERROR(__xludf.DUMMYFUNCTION("""COMPUTED_VALUE"""),340.5)</f>
        <v>340.5</v>
      </c>
      <c r="E129" s="47">
        <f>IFERROR(__xludf.DUMMYFUNCTION("""COMPUTED_VALUE"""),45926.6458333333)</f>
        <v>45926.6458333333</v>
      </c>
      <c r="F129" s="48">
        <f>IFERROR(__xludf.DUMMYFUNCTION("""COMPUTED_VALUE"""),6337702)</f>
        <v>6337702</v>
      </c>
      <c r="G129" s="47">
        <f>IFERROR(__xludf.DUMMYFUNCTION("""COMPUTED_VALUE"""),45926.6458333333)</f>
        <v>45926.6458333333</v>
      </c>
      <c r="H129" s="48">
        <f>IFERROR(__xludf.DUMMYFUNCTION("""COMPUTED_VALUE"""),340.75)</f>
        <v>340.75</v>
      </c>
      <c r="I129" s="47">
        <f>IFERROR(__xludf.DUMMYFUNCTION("""COMPUTED_VALUE"""),45926.6458333333)</f>
        <v>45926.6458333333</v>
      </c>
      <c r="J129" s="48">
        <f>IFERROR(__xludf.DUMMYFUNCTION("""COMPUTED_VALUE"""),336.45)</f>
        <v>336.45</v>
      </c>
    </row>
  </sheetData>
  <mergeCells count="3">
    <mergeCell ref="M1:P1"/>
    <mergeCell ref="A3:F3"/>
    <mergeCell ref="AB4:AE4"/>
  </mergeCells>
  <conditionalFormatting sqref="A1:A2 A4">
    <cfRule type="notContainsBlanks" dxfId="0" priority="1">
      <formula>LEN(TRIM(A1))&gt;0</formula>
    </cfRule>
  </conditionalFormatting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16">
      <c r="A1" s="49" t="s">
        <v>264</v>
      </c>
      <c r="B1" s="50">
        <f ca="1">TODAY()</f>
        <v>45927</v>
      </c>
      <c r="C1" s="51">
        <f ca="1">DAY(B1)</f>
        <v>27</v>
      </c>
      <c r="D1" s="51">
        <f ca="1" t="shared" ref="D1:D2" si="0">MONTH(B1)</f>
        <v>9</v>
      </c>
      <c r="E1" s="51">
        <f ca="1" t="shared" ref="E1:E2" si="1">YEAR(B1)</f>
        <v>2025</v>
      </c>
      <c r="F1" s="52"/>
      <c r="G1" s="53"/>
      <c r="H1" s="51"/>
      <c r="I1" s="51"/>
      <c r="J1" s="51"/>
      <c r="K1" s="51"/>
      <c r="L1" s="51"/>
      <c r="M1" s="62" t="s">
        <v>265</v>
      </c>
      <c r="N1" s="19"/>
      <c r="O1" s="19"/>
      <c r="P1" s="19"/>
    </row>
    <row r="2" customHeight="1" spans="1:20">
      <c r="A2" s="49" t="s">
        <v>266</v>
      </c>
      <c r="B2" s="50">
        <f ca="1">EDATE(TODAY(),-6)</f>
        <v>45743</v>
      </c>
      <c r="C2" s="51">
        <f ca="1">DAY(B2)</f>
        <v>27</v>
      </c>
      <c r="D2" s="51">
        <f ca="1" t="shared" si="0"/>
        <v>3</v>
      </c>
      <c r="E2" s="51">
        <f ca="1" t="shared" si="1"/>
        <v>2025</v>
      </c>
      <c r="F2" s="52"/>
      <c r="G2" s="53"/>
      <c r="H2" s="51"/>
      <c r="I2" s="51"/>
      <c r="J2" s="51"/>
      <c r="K2" s="51"/>
      <c r="L2" s="51"/>
      <c r="M2" s="63" t="str">
        <f>IFERROR(__xludf.DUMMYFUNCTION("GOOGLEFINANCE(L3, ""close"", WORKDAY(TODAY(), -1), WORKDAY(TODAY(), -1))"),"Date")</f>
        <v>Date</v>
      </c>
      <c r="N2" s="64" t="str">
        <f>IFERROR(__xludf.DUMMYFUNCTION("""COMPUTED_VALUE"""),"Close")</f>
        <v>Close</v>
      </c>
      <c r="O2" s="63" t="str">
        <f>IFERROR(__xludf.DUMMYFUNCTION("GOOGLEFINANCE(L3, ""open"", WORKDAY(TODAY(), -1), WORKDAY(TODAY(), -1))"),"Date")</f>
        <v>Date</v>
      </c>
      <c r="P2" s="64" t="str">
        <f>IFERROR(__xludf.DUMMYFUNCTION("""COMPUTED_VALUE"""),"Open")</f>
        <v>Open</v>
      </c>
      <c r="Q2" s="72" t="str">
        <f>IFERROR(__xludf.DUMMYFUNCTION("GOOGLEFINANCE(L3, ""hIGH"", WORKDAY(TODAY(), -1), WORKDAY(TODAY(), -1))"),"Date")</f>
        <v>Date</v>
      </c>
      <c r="R2" s="48" t="str">
        <f>IFERROR(__xludf.DUMMYFUNCTION("""COMPUTED_VALUE"""),"High")</f>
        <v>High</v>
      </c>
      <c r="S2" s="72" t="str">
        <f>IFERROR(__xludf.DUMMYFUNCTION("GOOGLEFINANCE(L3, ""LOW"", WORKDAY(TODAY(), -1), WORKDAY(TODAY(), -1))"),"Date")</f>
        <v>Date</v>
      </c>
      <c r="T2" s="48" t="str">
        <f>IFERROR(__xludf.DUMMYFUNCTION("""COMPUTED_VALUE"""),"Low")</f>
        <v>Low</v>
      </c>
    </row>
    <row r="3" customHeight="1" spans="1:20">
      <c r="A3" s="54" t="s">
        <v>68</v>
      </c>
      <c r="B3" s="7"/>
      <c r="C3" s="7"/>
      <c r="D3" s="7"/>
      <c r="E3" s="7"/>
      <c r="F3" s="8"/>
      <c r="G3" s="55" t="s">
        <v>268</v>
      </c>
      <c r="H3" s="56">
        <f>IFERROR(__xludf.DUMMYFUNCTION("GOOGLEFINANCE(L3, ""price"")"),238.15)</f>
        <v>238.15</v>
      </c>
      <c r="I3" s="65" t="s">
        <v>269</v>
      </c>
      <c r="J3" s="56">
        <f>IFERROR(__xludf.DUMMYFUNCTION("GOOGLEFINANCE(L3, ""volume"")"),6349466)</f>
        <v>6349466</v>
      </c>
      <c r="K3" s="66" t="s">
        <v>270</v>
      </c>
      <c r="L3" s="67" t="str">
        <f>Mastersheet!B30</f>
        <v>NSE:ONGC</v>
      </c>
      <c r="M3" s="68">
        <f>IFERROR(__xludf.DUMMYFUNCTION("""COMPUTED_VALUE"""),45926.6458333333)</f>
        <v>45926.6458333333</v>
      </c>
      <c r="N3" s="67">
        <f>IFERROR(__xludf.DUMMYFUNCTION("""COMPUTED_VALUE"""),238.02)</f>
        <v>238.02</v>
      </c>
      <c r="O3" s="68">
        <f>IFERROR(__xludf.DUMMYFUNCTION("""COMPUTED_VALUE"""),45926.6458333333)</f>
        <v>45926.6458333333</v>
      </c>
      <c r="P3" s="67">
        <f>IFERROR(__xludf.DUMMYFUNCTION("""COMPUTED_VALUE"""),240)</f>
        <v>240</v>
      </c>
      <c r="Q3" s="47">
        <f>IFERROR(__xludf.DUMMYFUNCTION("""COMPUTED_VALUE"""),45926.6458333333)</f>
        <v>45926.6458333333</v>
      </c>
      <c r="R3" s="48">
        <f>IFERROR(__xludf.DUMMYFUNCTION("""COMPUTED_VALUE"""),240.26)</f>
        <v>240.26</v>
      </c>
      <c r="S3" s="47">
        <f>IFERROR(__xludf.DUMMYFUNCTION("""COMPUTED_VALUE"""),45926.6458333333)</f>
        <v>45926.6458333333</v>
      </c>
      <c r="T3" s="48">
        <f>IFERROR(__xludf.DUMMYFUNCTION("""COMPUTED_VALUE"""),236.84)</f>
        <v>236.84</v>
      </c>
    </row>
    <row r="4" customHeight="1" spans="1:31">
      <c r="A4" s="57" t="str">
        <f>IFERROR(__xludf.DUMMYFUNCTION("GOOGLEFINANCE(L3, ""CLOSE"",DATE(E2,D2,C2), DATE(E1,D1,C1), ""DAILY"")"),"Date")</f>
        <v>Date</v>
      </c>
      <c r="B4" s="58" t="str">
        <f>IFERROR(__xludf.DUMMYFUNCTION("""COMPUTED_VALUE"""),"Close")</f>
        <v>Close</v>
      </c>
      <c r="C4" s="58" t="str">
        <f>IFERROR(__xludf.DUMMYFUNCTION("GOOGLEFINANCE(L3, ""open"", DATE(E2,D2,C2), DATE(E1,D1,C1), ""DAILY"")"),"Date")</f>
        <v>Date</v>
      </c>
      <c r="D4" s="58" t="str">
        <f>IFERROR(__xludf.DUMMYFUNCTION("""COMPUTED_VALUE"""),"Open")</f>
        <v>Open</v>
      </c>
      <c r="E4" s="59" t="str">
        <f>IFERROR(__xludf.DUMMYFUNCTION("GOOGLEFINANCE(L3, ""VOLUME"", DATE(E2,D2,C2), DATE(E1,D1,C1), ""DAILY"")"),"Date")</f>
        <v>Date</v>
      </c>
      <c r="F4" s="58" t="str">
        <f>IFERROR(__xludf.DUMMYFUNCTION("""COMPUTED_VALUE"""),"Volume")</f>
        <v>Volume</v>
      </c>
      <c r="G4" s="59" t="str">
        <f>IFERROR(__xludf.DUMMYFUNCTION("GOOGLEFINANCE(L3, ""HIGH"", DATE(E2,D2,C2), DATE(E1,D1,C1), ""DAILY"")"),"Date")</f>
        <v>Date</v>
      </c>
      <c r="H4" s="59" t="str">
        <f>IFERROR(__xludf.DUMMYFUNCTION("""COMPUTED_VALUE"""),"High")</f>
        <v>High</v>
      </c>
      <c r="I4" s="59" t="str">
        <f>IFERROR(__xludf.DUMMYFUNCTION("GOOGLEFINANCE(L3, ""LOW"", DATE(E2,D2,C2), DATE(E1,D1,C1), ""DAILY"")"),"Date")</f>
        <v>Date</v>
      </c>
      <c r="J4" s="69" t="str">
        <f>IFERROR(__xludf.DUMMYFUNCTION("""COMPUTED_VALUE"""),"Low")</f>
        <v>Low</v>
      </c>
      <c r="K4" s="70" t="s">
        <v>271</v>
      </c>
      <c r="L4" s="70" t="s">
        <v>272</v>
      </c>
      <c r="M4" s="70" t="s">
        <v>273</v>
      </c>
      <c r="N4" s="70" t="s">
        <v>274</v>
      </c>
      <c r="O4" s="70" t="s">
        <v>275</v>
      </c>
      <c r="P4" s="70" t="s">
        <v>276</v>
      </c>
      <c r="Q4" s="73" t="s">
        <v>277</v>
      </c>
      <c r="R4" s="73" t="s">
        <v>278</v>
      </c>
      <c r="S4" s="73" t="s">
        <v>279</v>
      </c>
      <c r="T4" s="73" t="s">
        <v>280</v>
      </c>
      <c r="U4" s="73" t="s">
        <v>281</v>
      </c>
      <c r="V4" s="73" t="s">
        <v>282</v>
      </c>
      <c r="W4" s="70" t="s">
        <v>283</v>
      </c>
      <c r="X4" s="74" t="s">
        <v>284</v>
      </c>
      <c r="Y4" s="37" t="s">
        <v>285</v>
      </c>
      <c r="Z4" s="77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60">
        <f>IFERROR(__xludf.DUMMYFUNCTION("""COMPUTED_VALUE"""),45743.6458333333)</f>
        <v>45743.6458333333</v>
      </c>
      <c r="B5" s="61">
        <f>IFERROR(__xludf.DUMMYFUNCTION("""COMPUTED_VALUE"""),242.17)</f>
        <v>242.17</v>
      </c>
      <c r="C5" s="60">
        <f>IFERROR(__xludf.DUMMYFUNCTION("""COMPUTED_VALUE"""),45743.6458333333)</f>
        <v>45743.6458333333</v>
      </c>
      <c r="D5" s="61">
        <f>IFERROR(__xludf.DUMMYFUNCTION("""COMPUTED_VALUE"""),238.87)</f>
        <v>238.87</v>
      </c>
      <c r="E5" s="60">
        <f>IFERROR(__xludf.DUMMYFUNCTION("""COMPUTED_VALUE"""),45743.6458333333)</f>
        <v>45743.6458333333</v>
      </c>
      <c r="F5" s="61">
        <f>IFERROR(__xludf.DUMMYFUNCTION("""COMPUTED_VALUE"""),9935664)</f>
        <v>9935664</v>
      </c>
      <c r="G5" s="60">
        <f>IFERROR(__xludf.DUMMYFUNCTION("""COMPUTED_VALUE"""),45743.6458333333)</f>
        <v>45743.6458333333</v>
      </c>
      <c r="H5" s="61">
        <f>IFERROR(__xludf.DUMMYFUNCTION("""COMPUTED_VALUE"""),243.4)</f>
        <v>243.4</v>
      </c>
      <c r="I5" s="71">
        <f>IFERROR(__xludf.DUMMYFUNCTION("""COMPUTED_VALUE"""),45743.6458333333)</f>
        <v>45743.6458333333</v>
      </c>
      <c r="J5" s="51">
        <f>IFERROR(__xludf.DUMMYFUNCTION("""COMPUTED_VALUE"""),238.65)</f>
        <v>238.65</v>
      </c>
      <c r="K5" s="51"/>
      <c r="L5" s="51"/>
      <c r="M5" s="51">
        <f t="array" ref="M5">INDEX(K11:K124,MATCH(SMALL(ABS(K11:K124-H3),1),ABS(K11:K124-H3),0))</f>
        <v>238.67</v>
      </c>
      <c r="N5" s="51">
        <f t="array" ref="N5">INDEX(K11:K124,MATCH(SMALL(ABS(K11:K124-H3),2),ABS(K11:K124-H3),0))</f>
        <v>239.49</v>
      </c>
      <c r="O5" s="51">
        <f t="array" ref="O5">INDEX(L11:L124,MATCH(SMALL(ABS(L11:L124-H3),1),ABS(L11:L124-H3),0))</f>
        <v>237.27</v>
      </c>
      <c r="P5" s="51">
        <f t="array" ref="P5">INDEX(L11:L124,MATCH(SMALL(ABS(L11:L124-H3),2),ABS(L11:L124-H3),0))</f>
        <v>241.07</v>
      </c>
      <c r="Q5" s="48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S5" s="75">
        <f ca="1">IF(Q5&gt;0,Q5,S5)</f>
        <v>233.44</v>
      </c>
      <c r="T5" s="48">
        <f ca="1">IF(AND(H3&gt;=Mastersheet!I3*S5,H3&lt;=Mastersheet!J3*S5),1,0)</f>
        <v>0</v>
      </c>
      <c r="U5" s="76">
        <f>(N3+P3)/2</f>
        <v>239.01</v>
      </c>
      <c r="V5" s="48">
        <f>(N3+P3+R3+T3)/4</f>
        <v>238.78</v>
      </c>
      <c r="W5" s="48">
        <f>IF(V5&gt;U5,1,0)</f>
        <v>0</v>
      </c>
      <c r="X5" s="48">
        <f>IF(V5&gt;U5,0,1)</f>
        <v>1</v>
      </c>
      <c r="Y5" s="48">
        <f>IF(COUNTIF(Mastersheet!E:E,L3)&gt;0,0,1)</f>
        <v>1</v>
      </c>
      <c r="Z5" s="78">
        <f ca="1">IF(T5*W5*Y5=1,1,0)</f>
        <v>0</v>
      </c>
      <c r="AA5" s="79"/>
      <c r="AB5" s="44" t="s">
        <v>289</v>
      </c>
      <c r="AC5" s="80" t="s">
        <v>290</v>
      </c>
      <c r="AD5" s="81" t="s">
        <v>291</v>
      </c>
      <c r="AE5" s="81" t="s">
        <v>292</v>
      </c>
    </row>
    <row r="6" customHeight="1" spans="1:31">
      <c r="A6" s="47">
        <f>IFERROR(__xludf.DUMMYFUNCTION("""COMPUTED_VALUE"""),45744.6458333333)</f>
        <v>45744.6458333333</v>
      </c>
      <c r="B6" s="48">
        <f>IFERROR(__xludf.DUMMYFUNCTION("""COMPUTED_VALUE"""),246.38)</f>
        <v>246.38</v>
      </c>
      <c r="C6" s="47">
        <f>IFERROR(__xludf.DUMMYFUNCTION("""COMPUTED_VALUE"""),45744.6458333333)</f>
        <v>45744.6458333333</v>
      </c>
      <c r="D6" s="48">
        <f>IFERROR(__xludf.DUMMYFUNCTION("""COMPUTED_VALUE"""),243.44)</f>
        <v>243.44</v>
      </c>
      <c r="E6" s="47">
        <f>IFERROR(__xludf.DUMMYFUNCTION("""COMPUTED_VALUE"""),45744.6458333333)</f>
        <v>45744.6458333333</v>
      </c>
      <c r="F6" s="48">
        <f>IFERROR(__xludf.DUMMYFUNCTION("""COMPUTED_VALUE"""),32905564)</f>
        <v>32905564</v>
      </c>
      <c r="G6" s="47">
        <f>IFERROR(__xludf.DUMMYFUNCTION("""COMPUTED_VALUE"""),45744.6458333333)</f>
        <v>45744.6458333333</v>
      </c>
      <c r="H6" s="48">
        <f>IFERROR(__xludf.DUMMYFUNCTION("""COMPUTED_VALUE"""),254.9)</f>
        <v>254.9</v>
      </c>
      <c r="I6" s="47">
        <f>IFERROR(__xludf.DUMMYFUNCTION("""COMPUTED_VALUE"""),45744.6458333333)</f>
        <v>45744.6458333333</v>
      </c>
      <c r="J6" s="48">
        <f>IFERROR(__xludf.DUMMYFUNCTION("""COMPUTED_VALUE"""),243.26)</f>
        <v>243.26</v>
      </c>
      <c r="AB6" s="48">
        <f>IF(COUNTIF(Mastersheet!E:E,L3)&gt;0,1,0)</f>
        <v>0</v>
      </c>
      <c r="AC6" s="48">
        <f>IF(AND(H3&gt;Mastersheet!L3*Mastersheet!F3,X5),1,0)</f>
        <v>1</v>
      </c>
      <c r="AD6" s="76">
        <f>IF(H3&lt;Mastersheet!M3*Mastersheet!F3,1,0)</f>
        <v>0</v>
      </c>
      <c r="AE6" s="48">
        <f>IF(OR(AC6*AB6=1,AD6*AB6=1),1,0)</f>
        <v>0</v>
      </c>
    </row>
    <row r="7" customHeight="1" spans="1:10">
      <c r="A7" s="47">
        <f>IFERROR(__xludf.DUMMYFUNCTION("""COMPUTED_VALUE"""),45748.6458333333)</f>
        <v>45748.6458333333</v>
      </c>
      <c r="B7" s="48">
        <f>IFERROR(__xludf.DUMMYFUNCTION("""COMPUTED_VALUE"""),248.07)</f>
        <v>248.07</v>
      </c>
      <c r="C7" s="47">
        <f>IFERROR(__xludf.DUMMYFUNCTION("""COMPUTED_VALUE"""),45748.6458333333)</f>
        <v>45748.6458333333</v>
      </c>
      <c r="D7" s="48">
        <f>IFERROR(__xludf.DUMMYFUNCTION("""COMPUTED_VALUE"""),247)</f>
        <v>247</v>
      </c>
      <c r="E7" s="47">
        <f>IFERROR(__xludf.DUMMYFUNCTION("""COMPUTED_VALUE"""),45748.6458333333)</f>
        <v>45748.6458333333</v>
      </c>
      <c r="F7" s="48">
        <f>IFERROR(__xludf.DUMMYFUNCTION("""COMPUTED_VALUE"""),11258957)</f>
        <v>11258957</v>
      </c>
      <c r="G7" s="47">
        <f>IFERROR(__xludf.DUMMYFUNCTION("""COMPUTED_VALUE"""),45748.6458333333)</f>
        <v>45748.6458333333</v>
      </c>
      <c r="H7" s="48">
        <f>IFERROR(__xludf.DUMMYFUNCTION("""COMPUTED_VALUE"""),252.2)</f>
        <v>252.2</v>
      </c>
      <c r="I7" s="47">
        <f>IFERROR(__xludf.DUMMYFUNCTION("""COMPUTED_VALUE"""),45748.6458333333)</f>
        <v>45748.6458333333</v>
      </c>
      <c r="J7" s="48">
        <f>IFERROR(__xludf.DUMMYFUNCTION("""COMPUTED_VALUE"""),246.7)</f>
        <v>246.7</v>
      </c>
    </row>
    <row r="8" customHeight="1" spans="1:10">
      <c r="A8" s="47">
        <f>IFERROR(__xludf.DUMMYFUNCTION("""COMPUTED_VALUE"""),45749.6458333333)</f>
        <v>45749.6458333333</v>
      </c>
      <c r="B8" s="48">
        <f>IFERROR(__xludf.DUMMYFUNCTION("""COMPUTED_VALUE"""),250.64)</f>
        <v>250.64</v>
      </c>
      <c r="C8" s="47">
        <f>IFERROR(__xludf.DUMMYFUNCTION("""COMPUTED_VALUE"""),45749.6458333333)</f>
        <v>45749.6458333333</v>
      </c>
      <c r="D8" s="48">
        <f>IFERROR(__xludf.DUMMYFUNCTION("""COMPUTED_VALUE"""),250.05)</f>
        <v>250.05</v>
      </c>
      <c r="E8" s="47">
        <f>IFERROR(__xludf.DUMMYFUNCTION("""COMPUTED_VALUE"""),45749.6458333333)</f>
        <v>45749.6458333333</v>
      </c>
      <c r="F8" s="48">
        <f>IFERROR(__xludf.DUMMYFUNCTION("""COMPUTED_VALUE"""),15337906)</f>
        <v>15337906</v>
      </c>
      <c r="G8" s="47">
        <f>IFERROR(__xludf.DUMMYFUNCTION("""COMPUTED_VALUE"""),45749.6458333333)</f>
        <v>45749.6458333333</v>
      </c>
      <c r="H8" s="48">
        <f>IFERROR(__xludf.DUMMYFUNCTION("""COMPUTED_VALUE"""),251.5)</f>
        <v>251.5</v>
      </c>
      <c r="I8" s="47">
        <f>IFERROR(__xludf.DUMMYFUNCTION("""COMPUTED_VALUE"""),45749.6458333333)</f>
        <v>45749.6458333333</v>
      </c>
      <c r="J8" s="48">
        <f>IFERROR(__xludf.DUMMYFUNCTION("""COMPUTED_VALUE"""),248)</f>
        <v>248</v>
      </c>
    </row>
    <row r="9" customHeight="1" spans="1:10">
      <c r="A9" s="47">
        <f>IFERROR(__xludf.DUMMYFUNCTION("""COMPUTED_VALUE"""),45750.6458333333)</f>
        <v>45750.6458333333</v>
      </c>
      <c r="B9" s="48">
        <f>IFERROR(__xludf.DUMMYFUNCTION("""COMPUTED_VALUE"""),243.31)</f>
        <v>243.31</v>
      </c>
      <c r="C9" s="47">
        <f>IFERROR(__xludf.DUMMYFUNCTION("""COMPUTED_VALUE"""),45750.6458333333)</f>
        <v>45750.6458333333</v>
      </c>
      <c r="D9" s="48">
        <f>IFERROR(__xludf.DUMMYFUNCTION("""COMPUTED_VALUE"""),248)</f>
        <v>248</v>
      </c>
      <c r="E9" s="47">
        <f>IFERROR(__xludf.DUMMYFUNCTION("""COMPUTED_VALUE"""),45750.6458333333)</f>
        <v>45750.6458333333</v>
      </c>
      <c r="F9" s="48">
        <f>IFERROR(__xludf.DUMMYFUNCTION("""COMPUTED_VALUE"""),11141370)</f>
        <v>11141370</v>
      </c>
      <c r="G9" s="47">
        <f>IFERROR(__xludf.DUMMYFUNCTION("""COMPUTED_VALUE"""),45750.6458333333)</f>
        <v>45750.6458333333</v>
      </c>
      <c r="H9" s="48">
        <f>IFERROR(__xludf.DUMMYFUNCTION("""COMPUTED_VALUE"""),249.62)</f>
        <v>249.62</v>
      </c>
      <c r="I9" s="47">
        <f>IFERROR(__xludf.DUMMYFUNCTION("""COMPUTED_VALUE"""),45750.6458333333)</f>
        <v>45750.6458333333</v>
      </c>
      <c r="J9" s="48">
        <f>IFERROR(__xludf.DUMMYFUNCTION("""COMPUTED_VALUE"""),242.51)</f>
        <v>242.51</v>
      </c>
    </row>
    <row r="10" customHeight="1" spans="1:10">
      <c r="A10" s="47">
        <f>IFERROR(__xludf.DUMMYFUNCTION("""COMPUTED_VALUE"""),45751.6458333333)</f>
        <v>45751.6458333333</v>
      </c>
      <c r="B10" s="48">
        <f>IFERROR(__xludf.DUMMYFUNCTION("""COMPUTED_VALUE"""),226.01)</f>
        <v>226.01</v>
      </c>
      <c r="C10" s="47">
        <f>IFERROR(__xludf.DUMMYFUNCTION("""COMPUTED_VALUE"""),45751.6458333333)</f>
        <v>45751.6458333333</v>
      </c>
      <c r="D10" s="48">
        <f>IFERROR(__xludf.DUMMYFUNCTION("""COMPUTED_VALUE"""),240.56)</f>
        <v>240.56</v>
      </c>
      <c r="E10" s="47">
        <f>IFERROR(__xludf.DUMMYFUNCTION("""COMPUTED_VALUE"""),45751.6458333333)</f>
        <v>45751.6458333333</v>
      </c>
      <c r="F10" s="48">
        <f>IFERROR(__xludf.DUMMYFUNCTION("""COMPUTED_VALUE"""),38336194)</f>
        <v>38336194</v>
      </c>
      <c r="G10" s="47">
        <f>IFERROR(__xludf.DUMMYFUNCTION("""COMPUTED_VALUE"""),45751.6458333333)</f>
        <v>45751.6458333333</v>
      </c>
      <c r="H10" s="48">
        <f>IFERROR(__xludf.DUMMYFUNCTION("""COMPUTED_VALUE"""),241.21)</f>
        <v>241.21</v>
      </c>
      <c r="I10" s="47">
        <f>IFERROR(__xludf.DUMMYFUNCTION("""COMPUTED_VALUE"""),45751.6458333333)</f>
        <v>45751.6458333333</v>
      </c>
      <c r="J10" s="48">
        <f>IFERROR(__xludf.DUMMYFUNCTION("""COMPUTED_VALUE"""),224.2)</f>
        <v>224.2</v>
      </c>
    </row>
    <row r="11" customHeight="1" spans="1:12">
      <c r="A11" s="47">
        <f>IFERROR(__xludf.DUMMYFUNCTION("""COMPUTED_VALUE"""),45754.6458333333)</f>
        <v>45754.6458333333</v>
      </c>
      <c r="B11" s="48">
        <f>IFERROR(__xludf.DUMMYFUNCTION("""COMPUTED_VALUE"""),219.84)</f>
        <v>219.84</v>
      </c>
      <c r="C11" s="47">
        <f>IFERROR(__xludf.DUMMYFUNCTION("""COMPUTED_VALUE"""),45754.6458333333)</f>
        <v>45754.6458333333</v>
      </c>
      <c r="D11" s="48">
        <f>IFERROR(__xludf.DUMMYFUNCTION("""COMPUTED_VALUE"""),208)</f>
        <v>208</v>
      </c>
      <c r="E11" s="47">
        <f>IFERROR(__xludf.DUMMYFUNCTION("""COMPUTED_VALUE"""),45754.6458333333)</f>
        <v>45754.6458333333</v>
      </c>
      <c r="F11" s="48">
        <f>IFERROR(__xludf.DUMMYFUNCTION("""COMPUTED_VALUE"""),27024128)</f>
        <v>27024128</v>
      </c>
      <c r="G11" s="47">
        <f>IFERROR(__xludf.DUMMYFUNCTION("""COMPUTED_VALUE"""),45754.6458333333)</f>
        <v>45754.6458333333</v>
      </c>
      <c r="H11" s="48">
        <f>IFERROR(__xludf.DUMMYFUNCTION("""COMPUTED_VALUE"""),220.8)</f>
        <v>220.8</v>
      </c>
      <c r="I11" s="47">
        <f>IFERROR(__xludf.DUMMYFUNCTION("""COMPUTED_VALUE"""),45754.6458333333)</f>
        <v>45754.6458333333</v>
      </c>
      <c r="J11" s="48">
        <f>IFERROR(__xludf.DUMMYFUNCTION("""COMPUTED_VALUE"""),205)</f>
        <v>205</v>
      </c>
      <c r="K11" s="3">
        <f t="shared" ref="K11:K125" si="2">IF(B11=MAX(B5:B17),B11,0)</f>
        <v>0</v>
      </c>
      <c r="L11" s="3">
        <f t="shared" ref="L11:L125" si="3">IF(B11=MIN(B5:B17),B11,0)</f>
        <v>219.84</v>
      </c>
    </row>
    <row r="12" customHeight="1" spans="1:12">
      <c r="A12" s="47">
        <f>IFERROR(__xludf.DUMMYFUNCTION("""COMPUTED_VALUE"""),45755.6458333333)</f>
        <v>45755.6458333333</v>
      </c>
      <c r="B12" s="48">
        <f>IFERROR(__xludf.DUMMYFUNCTION("""COMPUTED_VALUE"""),226.66)</f>
        <v>226.66</v>
      </c>
      <c r="C12" s="47">
        <f>IFERROR(__xludf.DUMMYFUNCTION("""COMPUTED_VALUE"""),45755.6458333333)</f>
        <v>45755.6458333333</v>
      </c>
      <c r="D12" s="48">
        <f>IFERROR(__xludf.DUMMYFUNCTION("""COMPUTED_VALUE"""),223)</f>
        <v>223</v>
      </c>
      <c r="E12" s="47">
        <f>IFERROR(__xludf.DUMMYFUNCTION("""COMPUTED_VALUE"""),45755.6458333333)</f>
        <v>45755.6458333333</v>
      </c>
      <c r="F12" s="48">
        <f>IFERROR(__xludf.DUMMYFUNCTION("""COMPUTED_VALUE"""),11309092)</f>
        <v>11309092</v>
      </c>
      <c r="G12" s="47">
        <f>IFERROR(__xludf.DUMMYFUNCTION("""COMPUTED_VALUE"""),45755.6458333333)</f>
        <v>45755.6458333333</v>
      </c>
      <c r="H12" s="48">
        <f>IFERROR(__xludf.DUMMYFUNCTION("""COMPUTED_VALUE"""),227.24)</f>
        <v>227.24</v>
      </c>
      <c r="I12" s="47">
        <f>IFERROR(__xludf.DUMMYFUNCTION("""COMPUTED_VALUE"""),45755.6458333333)</f>
        <v>45755.6458333333</v>
      </c>
      <c r="J12" s="48">
        <f>IFERROR(__xludf.DUMMYFUNCTION("""COMPUTED_VALUE"""),219.18)</f>
        <v>219.18</v>
      </c>
      <c r="K12" s="3">
        <f t="shared" si="2"/>
        <v>0</v>
      </c>
      <c r="L12" s="3">
        <f t="shared" si="3"/>
        <v>0</v>
      </c>
    </row>
    <row r="13" customHeight="1" spans="1:12">
      <c r="A13" s="47">
        <f>IFERROR(__xludf.DUMMYFUNCTION("""COMPUTED_VALUE"""),45756.6458333333)</f>
        <v>45756.6458333333</v>
      </c>
      <c r="B13" s="48">
        <f>IFERROR(__xludf.DUMMYFUNCTION("""COMPUTED_VALUE"""),221.94)</f>
        <v>221.94</v>
      </c>
      <c r="C13" s="47">
        <f>IFERROR(__xludf.DUMMYFUNCTION("""COMPUTED_VALUE"""),45756.6458333333)</f>
        <v>45756.6458333333</v>
      </c>
      <c r="D13" s="48">
        <f>IFERROR(__xludf.DUMMYFUNCTION("""COMPUTED_VALUE"""),222)</f>
        <v>222</v>
      </c>
      <c r="E13" s="47">
        <f>IFERROR(__xludf.DUMMYFUNCTION("""COMPUTED_VALUE"""),45756.6458333333)</f>
        <v>45756.6458333333</v>
      </c>
      <c r="F13" s="48">
        <f>IFERROR(__xludf.DUMMYFUNCTION("""COMPUTED_VALUE"""),16889575)</f>
        <v>16889575</v>
      </c>
      <c r="G13" s="47">
        <f>IFERROR(__xludf.DUMMYFUNCTION("""COMPUTED_VALUE"""),45756.6458333333)</f>
        <v>45756.6458333333</v>
      </c>
      <c r="H13" s="48">
        <f>IFERROR(__xludf.DUMMYFUNCTION("""COMPUTED_VALUE"""),224.06)</f>
        <v>224.06</v>
      </c>
      <c r="I13" s="47">
        <f>IFERROR(__xludf.DUMMYFUNCTION("""COMPUTED_VALUE"""),45756.6458333333)</f>
        <v>45756.6458333333</v>
      </c>
      <c r="J13" s="48">
        <f>IFERROR(__xludf.DUMMYFUNCTION("""COMPUTED_VALUE"""),220.26)</f>
        <v>220.26</v>
      </c>
      <c r="K13" s="3">
        <f t="shared" si="2"/>
        <v>0</v>
      </c>
      <c r="L13" s="3">
        <f t="shared" si="3"/>
        <v>0</v>
      </c>
    </row>
    <row r="14" customHeight="1" spans="1:12">
      <c r="A14" s="47">
        <f>IFERROR(__xludf.DUMMYFUNCTION("""COMPUTED_VALUE"""),45758.6458333333)</f>
        <v>45758.6458333333</v>
      </c>
      <c r="B14" s="48">
        <f>IFERROR(__xludf.DUMMYFUNCTION("""COMPUTED_VALUE"""),230.37)</f>
        <v>230.37</v>
      </c>
      <c r="C14" s="47">
        <f>IFERROR(__xludf.DUMMYFUNCTION("""COMPUTED_VALUE"""),45758.6458333333)</f>
        <v>45758.6458333333</v>
      </c>
      <c r="D14" s="48">
        <f>IFERROR(__xludf.DUMMYFUNCTION("""COMPUTED_VALUE"""),228.3)</f>
        <v>228.3</v>
      </c>
      <c r="E14" s="47">
        <f>IFERROR(__xludf.DUMMYFUNCTION("""COMPUTED_VALUE"""),45758.6458333333)</f>
        <v>45758.6458333333</v>
      </c>
      <c r="F14" s="48">
        <f>IFERROR(__xludf.DUMMYFUNCTION("""COMPUTED_VALUE"""),13886447)</f>
        <v>13886447</v>
      </c>
      <c r="G14" s="47">
        <f>IFERROR(__xludf.DUMMYFUNCTION("""COMPUTED_VALUE"""),45758.6458333333)</f>
        <v>45758.6458333333</v>
      </c>
      <c r="H14" s="48">
        <f>IFERROR(__xludf.DUMMYFUNCTION("""COMPUTED_VALUE"""),231.4)</f>
        <v>231.4</v>
      </c>
      <c r="I14" s="47">
        <f>IFERROR(__xludf.DUMMYFUNCTION("""COMPUTED_VALUE"""),45758.6458333333)</f>
        <v>45758.6458333333</v>
      </c>
      <c r="J14" s="48">
        <f>IFERROR(__xludf.DUMMYFUNCTION("""COMPUTED_VALUE"""),225.25)</f>
        <v>225.25</v>
      </c>
      <c r="K14" s="3">
        <f t="shared" si="2"/>
        <v>0</v>
      </c>
      <c r="L14" s="3">
        <f t="shared" si="3"/>
        <v>0</v>
      </c>
    </row>
    <row r="15" customHeight="1" spans="1:12">
      <c r="A15" s="47">
        <f>IFERROR(__xludf.DUMMYFUNCTION("""COMPUTED_VALUE"""),45762.6458333333)</f>
        <v>45762.6458333333</v>
      </c>
      <c r="B15" s="48">
        <f>IFERROR(__xludf.DUMMYFUNCTION("""COMPUTED_VALUE"""),232.69)</f>
        <v>232.69</v>
      </c>
      <c r="C15" s="47">
        <f>IFERROR(__xludf.DUMMYFUNCTION("""COMPUTED_VALUE"""),45762.6458333333)</f>
        <v>45762.6458333333</v>
      </c>
      <c r="D15" s="48">
        <f>IFERROR(__xludf.DUMMYFUNCTION("""COMPUTED_VALUE"""),234)</f>
        <v>234</v>
      </c>
      <c r="E15" s="47">
        <f>IFERROR(__xludf.DUMMYFUNCTION("""COMPUTED_VALUE"""),45762.6458333333)</f>
        <v>45762.6458333333</v>
      </c>
      <c r="F15" s="48">
        <f>IFERROR(__xludf.DUMMYFUNCTION("""COMPUTED_VALUE"""),12102239)</f>
        <v>12102239</v>
      </c>
      <c r="G15" s="47">
        <f>IFERROR(__xludf.DUMMYFUNCTION("""COMPUTED_VALUE"""),45762.6458333333)</f>
        <v>45762.6458333333</v>
      </c>
      <c r="H15" s="48">
        <f>IFERROR(__xludf.DUMMYFUNCTION("""COMPUTED_VALUE"""),234)</f>
        <v>234</v>
      </c>
      <c r="I15" s="47">
        <f>IFERROR(__xludf.DUMMYFUNCTION("""COMPUTED_VALUE"""),45762.6458333333)</f>
        <v>45762.6458333333</v>
      </c>
      <c r="J15" s="48">
        <f>IFERROR(__xludf.DUMMYFUNCTION("""COMPUTED_VALUE"""),230.1)</f>
        <v>230.1</v>
      </c>
      <c r="K15" s="3">
        <f t="shared" si="2"/>
        <v>0</v>
      </c>
      <c r="L15" s="3">
        <f t="shared" si="3"/>
        <v>0</v>
      </c>
    </row>
    <row r="16" customHeight="1" spans="1:12">
      <c r="A16" s="47">
        <f>IFERROR(__xludf.DUMMYFUNCTION("""COMPUTED_VALUE"""),45763.6458333333)</f>
        <v>45763.6458333333</v>
      </c>
      <c r="B16" s="48">
        <f>IFERROR(__xludf.DUMMYFUNCTION("""COMPUTED_VALUE"""),241.22)</f>
        <v>241.22</v>
      </c>
      <c r="C16" s="47">
        <f>IFERROR(__xludf.DUMMYFUNCTION("""COMPUTED_VALUE"""),45763.6458333333)</f>
        <v>45763.6458333333</v>
      </c>
      <c r="D16" s="48">
        <f>IFERROR(__xludf.DUMMYFUNCTION("""COMPUTED_VALUE"""),232.69)</f>
        <v>232.69</v>
      </c>
      <c r="E16" s="47">
        <f>IFERROR(__xludf.DUMMYFUNCTION("""COMPUTED_VALUE"""),45763.6458333333)</f>
        <v>45763.6458333333</v>
      </c>
      <c r="F16" s="48">
        <f>IFERROR(__xludf.DUMMYFUNCTION("""COMPUTED_VALUE"""),18748952)</f>
        <v>18748952</v>
      </c>
      <c r="G16" s="47">
        <f>IFERROR(__xludf.DUMMYFUNCTION("""COMPUTED_VALUE"""),45763.6458333333)</f>
        <v>45763.6458333333</v>
      </c>
      <c r="H16" s="48">
        <f>IFERROR(__xludf.DUMMYFUNCTION("""COMPUTED_VALUE"""),242)</f>
        <v>242</v>
      </c>
      <c r="I16" s="47">
        <f>IFERROR(__xludf.DUMMYFUNCTION("""COMPUTED_VALUE"""),45763.6458333333)</f>
        <v>45763.6458333333</v>
      </c>
      <c r="J16" s="48">
        <f>IFERROR(__xludf.DUMMYFUNCTION("""COMPUTED_VALUE"""),231.72)</f>
        <v>231.72</v>
      </c>
      <c r="K16" s="3">
        <f t="shared" si="2"/>
        <v>0</v>
      </c>
      <c r="L16" s="3">
        <f t="shared" si="3"/>
        <v>0</v>
      </c>
    </row>
    <row r="17" customHeight="1" spans="1:12">
      <c r="A17" s="47">
        <f>IFERROR(__xludf.DUMMYFUNCTION("""COMPUTED_VALUE"""),45764.6458333333)</f>
        <v>45764.6458333333</v>
      </c>
      <c r="B17" s="48">
        <f>IFERROR(__xludf.DUMMYFUNCTION("""COMPUTED_VALUE"""),243.49)</f>
        <v>243.49</v>
      </c>
      <c r="C17" s="47">
        <f>IFERROR(__xludf.DUMMYFUNCTION("""COMPUTED_VALUE"""),45764.6458333333)</f>
        <v>45764.6458333333</v>
      </c>
      <c r="D17" s="48">
        <f>IFERROR(__xludf.DUMMYFUNCTION("""COMPUTED_VALUE"""),241)</f>
        <v>241</v>
      </c>
      <c r="E17" s="47">
        <f>IFERROR(__xludf.DUMMYFUNCTION("""COMPUTED_VALUE"""),45764.6458333333)</f>
        <v>45764.6458333333</v>
      </c>
      <c r="F17" s="48">
        <f>IFERROR(__xludf.DUMMYFUNCTION("""COMPUTED_VALUE"""),12891813)</f>
        <v>12891813</v>
      </c>
      <c r="G17" s="47">
        <f>IFERROR(__xludf.DUMMYFUNCTION("""COMPUTED_VALUE"""),45764.6458333333)</f>
        <v>45764.6458333333</v>
      </c>
      <c r="H17" s="48">
        <f>IFERROR(__xludf.DUMMYFUNCTION("""COMPUTED_VALUE"""),244.61)</f>
        <v>244.61</v>
      </c>
      <c r="I17" s="47">
        <f>IFERROR(__xludf.DUMMYFUNCTION("""COMPUTED_VALUE"""),45764.6458333333)</f>
        <v>45764.6458333333</v>
      </c>
      <c r="J17" s="48">
        <f>IFERROR(__xludf.DUMMYFUNCTION("""COMPUTED_VALUE"""),239.26)</f>
        <v>239.26</v>
      </c>
      <c r="K17" s="3">
        <f t="shared" si="2"/>
        <v>0</v>
      </c>
      <c r="L17" s="3">
        <f t="shared" si="3"/>
        <v>0</v>
      </c>
    </row>
    <row r="18" customHeight="1" spans="1:12">
      <c r="A18" s="47">
        <f>IFERROR(__xludf.DUMMYFUNCTION("""COMPUTED_VALUE"""),45768.6458333333)</f>
        <v>45768.6458333333</v>
      </c>
      <c r="B18" s="48">
        <f>IFERROR(__xludf.DUMMYFUNCTION("""COMPUTED_VALUE"""),249.78)</f>
        <v>249.78</v>
      </c>
      <c r="C18" s="47">
        <f>IFERROR(__xludf.DUMMYFUNCTION("""COMPUTED_VALUE"""),45768.6458333333)</f>
        <v>45768.6458333333</v>
      </c>
      <c r="D18" s="48">
        <f>IFERROR(__xludf.DUMMYFUNCTION("""COMPUTED_VALUE"""),244.01)</f>
        <v>244.01</v>
      </c>
      <c r="E18" s="47">
        <f>IFERROR(__xludf.DUMMYFUNCTION("""COMPUTED_VALUE"""),45768.6458333333)</f>
        <v>45768.6458333333</v>
      </c>
      <c r="F18" s="48">
        <f>IFERROR(__xludf.DUMMYFUNCTION("""COMPUTED_VALUE"""),11698653)</f>
        <v>11698653</v>
      </c>
      <c r="G18" s="47">
        <f>IFERROR(__xludf.DUMMYFUNCTION("""COMPUTED_VALUE"""),45768.6458333333)</f>
        <v>45768.6458333333</v>
      </c>
      <c r="H18" s="48">
        <f>IFERROR(__xludf.DUMMYFUNCTION("""COMPUTED_VALUE"""),250.55)</f>
        <v>250.55</v>
      </c>
      <c r="I18" s="47">
        <f>IFERROR(__xludf.DUMMYFUNCTION("""COMPUTED_VALUE"""),45768.6458333333)</f>
        <v>45768.6458333333</v>
      </c>
      <c r="J18" s="48">
        <f>IFERROR(__xludf.DUMMYFUNCTION("""COMPUTED_VALUE"""),241.75)</f>
        <v>241.75</v>
      </c>
      <c r="K18" s="3">
        <f t="shared" si="2"/>
        <v>0</v>
      </c>
      <c r="L18" s="3">
        <f t="shared" si="3"/>
        <v>0</v>
      </c>
    </row>
    <row r="19" customHeight="1" spans="1:12">
      <c r="A19" s="47">
        <f>IFERROR(__xludf.DUMMYFUNCTION("""COMPUTED_VALUE"""),45769.6458333333)</f>
        <v>45769.6458333333</v>
      </c>
      <c r="B19" s="48">
        <f>IFERROR(__xludf.DUMMYFUNCTION("""COMPUTED_VALUE"""),247.78)</f>
        <v>247.78</v>
      </c>
      <c r="C19" s="47">
        <f>IFERROR(__xludf.DUMMYFUNCTION("""COMPUTED_VALUE"""),45769.6458333333)</f>
        <v>45769.6458333333</v>
      </c>
      <c r="D19" s="48">
        <f>IFERROR(__xludf.DUMMYFUNCTION("""COMPUTED_VALUE"""),248.97)</f>
        <v>248.97</v>
      </c>
      <c r="E19" s="47">
        <f>IFERROR(__xludf.DUMMYFUNCTION("""COMPUTED_VALUE"""),45769.6458333333)</f>
        <v>45769.6458333333</v>
      </c>
      <c r="F19" s="48">
        <f>IFERROR(__xludf.DUMMYFUNCTION("""COMPUTED_VALUE"""),9896443)</f>
        <v>9896443</v>
      </c>
      <c r="G19" s="47">
        <f>IFERROR(__xludf.DUMMYFUNCTION("""COMPUTED_VALUE"""),45769.6458333333)</f>
        <v>45769.6458333333</v>
      </c>
      <c r="H19" s="48">
        <f>IFERROR(__xludf.DUMMYFUNCTION("""COMPUTED_VALUE"""),250.6)</f>
        <v>250.6</v>
      </c>
      <c r="I19" s="47">
        <f>IFERROR(__xludf.DUMMYFUNCTION("""COMPUTED_VALUE"""),45769.6458333333)</f>
        <v>45769.6458333333</v>
      </c>
      <c r="J19" s="48">
        <f>IFERROR(__xludf.DUMMYFUNCTION("""COMPUTED_VALUE"""),247.26)</f>
        <v>247.26</v>
      </c>
      <c r="K19" s="3">
        <f t="shared" si="2"/>
        <v>0</v>
      </c>
      <c r="L19" s="3">
        <f t="shared" si="3"/>
        <v>0</v>
      </c>
    </row>
    <row r="20" customHeight="1" spans="1:12">
      <c r="A20" s="47">
        <f>IFERROR(__xludf.DUMMYFUNCTION("""COMPUTED_VALUE"""),45770.6458333333)</f>
        <v>45770.6458333333</v>
      </c>
      <c r="B20" s="48">
        <f>IFERROR(__xludf.DUMMYFUNCTION("""COMPUTED_VALUE"""),252.17)</f>
        <v>252.17</v>
      </c>
      <c r="C20" s="47">
        <f>IFERROR(__xludf.DUMMYFUNCTION("""COMPUTED_VALUE"""),45770.6458333333)</f>
        <v>45770.6458333333</v>
      </c>
      <c r="D20" s="48">
        <f>IFERROR(__xludf.DUMMYFUNCTION("""COMPUTED_VALUE"""),248.74)</f>
        <v>248.74</v>
      </c>
      <c r="E20" s="47">
        <f>IFERROR(__xludf.DUMMYFUNCTION("""COMPUTED_VALUE"""),45770.6458333333)</f>
        <v>45770.6458333333</v>
      </c>
      <c r="F20" s="48">
        <f>IFERROR(__xludf.DUMMYFUNCTION("""COMPUTED_VALUE"""),16555874)</f>
        <v>16555874</v>
      </c>
      <c r="G20" s="47">
        <f>IFERROR(__xludf.DUMMYFUNCTION("""COMPUTED_VALUE"""),45770.6458333333)</f>
        <v>45770.6458333333</v>
      </c>
      <c r="H20" s="48">
        <f>IFERROR(__xludf.DUMMYFUNCTION("""COMPUTED_VALUE"""),252.75)</f>
        <v>252.75</v>
      </c>
      <c r="I20" s="47">
        <f>IFERROR(__xludf.DUMMYFUNCTION("""COMPUTED_VALUE"""),45770.6458333333)</f>
        <v>45770.6458333333</v>
      </c>
      <c r="J20" s="48">
        <f>IFERROR(__xludf.DUMMYFUNCTION("""COMPUTED_VALUE"""),244.92)</f>
        <v>244.92</v>
      </c>
      <c r="K20" s="3">
        <f t="shared" si="2"/>
        <v>252.17</v>
      </c>
      <c r="L20" s="3">
        <f t="shared" si="3"/>
        <v>0</v>
      </c>
    </row>
    <row r="21" customHeight="1" spans="1:12">
      <c r="A21" s="47">
        <f>IFERROR(__xludf.DUMMYFUNCTION("""COMPUTED_VALUE"""),45771.6458333333)</f>
        <v>45771.6458333333</v>
      </c>
      <c r="B21" s="48">
        <f>IFERROR(__xludf.DUMMYFUNCTION("""COMPUTED_VALUE"""),249.37)</f>
        <v>249.37</v>
      </c>
      <c r="C21" s="47">
        <f>IFERROR(__xludf.DUMMYFUNCTION("""COMPUTED_VALUE"""),45771.6458333333)</f>
        <v>45771.6458333333</v>
      </c>
      <c r="D21" s="48">
        <f>IFERROR(__xludf.DUMMYFUNCTION("""COMPUTED_VALUE"""),250)</f>
        <v>250</v>
      </c>
      <c r="E21" s="47">
        <f>IFERROR(__xludf.DUMMYFUNCTION("""COMPUTED_VALUE"""),45771.6458333333)</f>
        <v>45771.6458333333</v>
      </c>
      <c r="F21" s="48">
        <f>IFERROR(__xludf.DUMMYFUNCTION("""COMPUTED_VALUE"""),6538518)</f>
        <v>6538518</v>
      </c>
      <c r="G21" s="47">
        <f>IFERROR(__xludf.DUMMYFUNCTION("""COMPUTED_VALUE"""),45771.6458333333)</f>
        <v>45771.6458333333</v>
      </c>
      <c r="H21" s="48">
        <f>IFERROR(__xludf.DUMMYFUNCTION("""COMPUTED_VALUE"""),251.37)</f>
        <v>251.37</v>
      </c>
      <c r="I21" s="47">
        <f>IFERROR(__xludf.DUMMYFUNCTION("""COMPUTED_VALUE"""),45771.6458333333)</f>
        <v>45771.6458333333</v>
      </c>
      <c r="J21" s="48">
        <f>IFERROR(__xludf.DUMMYFUNCTION("""COMPUTED_VALUE"""),248)</f>
        <v>248</v>
      </c>
      <c r="K21" s="3">
        <f t="shared" si="2"/>
        <v>0</v>
      </c>
      <c r="L21" s="3">
        <f t="shared" si="3"/>
        <v>0</v>
      </c>
    </row>
    <row r="22" customHeight="1" spans="1:12">
      <c r="A22" s="47">
        <f>IFERROR(__xludf.DUMMYFUNCTION("""COMPUTED_VALUE"""),45772.6458333333)</f>
        <v>45772.6458333333</v>
      </c>
      <c r="B22" s="48">
        <f>IFERROR(__xludf.DUMMYFUNCTION("""COMPUTED_VALUE"""),246.33)</f>
        <v>246.33</v>
      </c>
      <c r="C22" s="47">
        <f>IFERROR(__xludf.DUMMYFUNCTION("""COMPUTED_VALUE"""),45772.6458333333)</f>
        <v>45772.6458333333</v>
      </c>
      <c r="D22" s="48">
        <f>IFERROR(__xludf.DUMMYFUNCTION("""COMPUTED_VALUE"""),249)</f>
        <v>249</v>
      </c>
      <c r="E22" s="47">
        <f>IFERROR(__xludf.DUMMYFUNCTION("""COMPUTED_VALUE"""),45772.6458333333)</f>
        <v>45772.6458333333</v>
      </c>
      <c r="F22" s="48">
        <f>IFERROR(__xludf.DUMMYFUNCTION("""COMPUTED_VALUE"""),15616265)</f>
        <v>15616265</v>
      </c>
      <c r="G22" s="47">
        <f>IFERROR(__xludf.DUMMYFUNCTION("""COMPUTED_VALUE"""),45772.6458333333)</f>
        <v>45772.6458333333</v>
      </c>
      <c r="H22" s="48">
        <f>IFERROR(__xludf.DUMMYFUNCTION("""COMPUTED_VALUE"""),250.68)</f>
        <v>250.68</v>
      </c>
      <c r="I22" s="47">
        <f>IFERROR(__xludf.DUMMYFUNCTION("""COMPUTED_VALUE"""),45772.6458333333)</f>
        <v>45772.6458333333</v>
      </c>
      <c r="J22" s="48">
        <f>IFERROR(__xludf.DUMMYFUNCTION("""COMPUTED_VALUE"""),244.4)</f>
        <v>244.4</v>
      </c>
      <c r="K22" s="3">
        <f t="shared" si="2"/>
        <v>0</v>
      </c>
      <c r="L22" s="3">
        <f t="shared" si="3"/>
        <v>0</v>
      </c>
    </row>
    <row r="23" customHeight="1" spans="1:12">
      <c r="A23" s="47">
        <f>IFERROR(__xludf.DUMMYFUNCTION("""COMPUTED_VALUE"""),45775.6458333333)</f>
        <v>45775.6458333333</v>
      </c>
      <c r="B23" s="48">
        <f>IFERROR(__xludf.DUMMYFUNCTION("""COMPUTED_VALUE"""),250.6)</f>
        <v>250.6</v>
      </c>
      <c r="C23" s="47">
        <f>IFERROR(__xludf.DUMMYFUNCTION("""COMPUTED_VALUE"""),45775.6458333333)</f>
        <v>45775.6458333333</v>
      </c>
      <c r="D23" s="48">
        <f>IFERROR(__xludf.DUMMYFUNCTION("""COMPUTED_VALUE"""),246)</f>
        <v>246</v>
      </c>
      <c r="E23" s="47">
        <f>IFERROR(__xludf.DUMMYFUNCTION("""COMPUTED_VALUE"""),45775.6458333333)</f>
        <v>45775.6458333333</v>
      </c>
      <c r="F23" s="48">
        <f>IFERROR(__xludf.DUMMYFUNCTION("""COMPUTED_VALUE"""),7669983)</f>
        <v>7669983</v>
      </c>
      <c r="G23" s="47">
        <f>IFERROR(__xludf.DUMMYFUNCTION("""COMPUTED_VALUE"""),45775.6458333333)</f>
        <v>45775.6458333333</v>
      </c>
      <c r="H23" s="48">
        <f>IFERROR(__xludf.DUMMYFUNCTION("""COMPUTED_VALUE"""),251.95)</f>
        <v>251.95</v>
      </c>
      <c r="I23" s="47">
        <f>IFERROR(__xludf.DUMMYFUNCTION("""COMPUTED_VALUE"""),45775.6458333333)</f>
        <v>45775.6458333333</v>
      </c>
      <c r="J23" s="48">
        <f>IFERROR(__xludf.DUMMYFUNCTION("""COMPUTED_VALUE"""),244.38)</f>
        <v>244.38</v>
      </c>
      <c r="K23" s="3">
        <f t="shared" si="2"/>
        <v>0</v>
      </c>
      <c r="L23" s="3">
        <f t="shared" si="3"/>
        <v>0</v>
      </c>
    </row>
    <row r="24" customHeight="1" spans="1:12">
      <c r="A24" s="47">
        <f>IFERROR(__xludf.DUMMYFUNCTION("""COMPUTED_VALUE"""),45776.6458333333)</f>
        <v>45776.6458333333</v>
      </c>
      <c r="B24" s="48">
        <f>IFERROR(__xludf.DUMMYFUNCTION("""COMPUTED_VALUE"""),245.68)</f>
        <v>245.68</v>
      </c>
      <c r="C24" s="47">
        <f>IFERROR(__xludf.DUMMYFUNCTION("""COMPUTED_VALUE"""),45776.6458333333)</f>
        <v>45776.6458333333</v>
      </c>
      <c r="D24" s="48">
        <f>IFERROR(__xludf.DUMMYFUNCTION("""COMPUTED_VALUE"""),251.24)</f>
        <v>251.24</v>
      </c>
      <c r="E24" s="47">
        <f>IFERROR(__xludf.DUMMYFUNCTION("""COMPUTED_VALUE"""),45776.6458333333)</f>
        <v>45776.6458333333</v>
      </c>
      <c r="F24" s="48">
        <f>IFERROR(__xludf.DUMMYFUNCTION("""COMPUTED_VALUE"""),8030552)</f>
        <v>8030552</v>
      </c>
      <c r="G24" s="47">
        <f>IFERROR(__xludf.DUMMYFUNCTION("""COMPUTED_VALUE"""),45776.6458333333)</f>
        <v>45776.6458333333</v>
      </c>
      <c r="H24" s="48">
        <f>IFERROR(__xludf.DUMMYFUNCTION("""COMPUTED_VALUE"""),252.1)</f>
        <v>252.1</v>
      </c>
      <c r="I24" s="47">
        <f>IFERROR(__xludf.DUMMYFUNCTION("""COMPUTED_VALUE"""),45776.6458333333)</f>
        <v>45776.6458333333</v>
      </c>
      <c r="J24" s="48">
        <f>IFERROR(__xludf.DUMMYFUNCTION("""COMPUTED_VALUE"""),245.1)</f>
        <v>245.1</v>
      </c>
      <c r="K24" s="3">
        <f t="shared" si="2"/>
        <v>0</v>
      </c>
      <c r="L24" s="3">
        <f t="shared" si="3"/>
        <v>0</v>
      </c>
    </row>
    <row r="25" customHeight="1" spans="1:12">
      <c r="A25" s="47">
        <f>IFERROR(__xludf.DUMMYFUNCTION("""COMPUTED_VALUE"""),45777.6458333333)</f>
        <v>45777.6458333333</v>
      </c>
      <c r="B25" s="48">
        <f>IFERROR(__xludf.DUMMYFUNCTION("""COMPUTED_VALUE"""),244.45)</f>
        <v>244.45</v>
      </c>
      <c r="C25" s="47">
        <f>IFERROR(__xludf.DUMMYFUNCTION("""COMPUTED_VALUE"""),45777.6458333333)</f>
        <v>45777.6458333333</v>
      </c>
      <c r="D25" s="48">
        <f>IFERROR(__xludf.DUMMYFUNCTION("""COMPUTED_VALUE"""),245.5)</f>
        <v>245.5</v>
      </c>
      <c r="E25" s="47">
        <f>IFERROR(__xludf.DUMMYFUNCTION("""COMPUTED_VALUE"""),45777.6458333333)</f>
        <v>45777.6458333333</v>
      </c>
      <c r="F25" s="48">
        <f>IFERROR(__xludf.DUMMYFUNCTION("""COMPUTED_VALUE"""),9822483)</f>
        <v>9822483</v>
      </c>
      <c r="G25" s="47">
        <f>IFERROR(__xludf.DUMMYFUNCTION("""COMPUTED_VALUE"""),45777.6458333333)</f>
        <v>45777.6458333333</v>
      </c>
      <c r="H25" s="48">
        <f>IFERROR(__xludf.DUMMYFUNCTION("""COMPUTED_VALUE"""),247.44)</f>
        <v>247.44</v>
      </c>
      <c r="I25" s="47">
        <f>IFERROR(__xludf.DUMMYFUNCTION("""COMPUTED_VALUE"""),45777.6458333333)</f>
        <v>45777.6458333333</v>
      </c>
      <c r="J25" s="48">
        <f>IFERROR(__xludf.DUMMYFUNCTION("""COMPUTED_VALUE"""),242.22)</f>
        <v>242.22</v>
      </c>
      <c r="K25" s="3">
        <f t="shared" si="2"/>
        <v>0</v>
      </c>
      <c r="L25" s="3">
        <f t="shared" si="3"/>
        <v>0</v>
      </c>
    </row>
    <row r="26" customHeight="1" spans="1:12">
      <c r="A26" s="47">
        <f>IFERROR(__xludf.DUMMYFUNCTION("""COMPUTED_VALUE"""),45779.6458333333)</f>
        <v>45779.6458333333</v>
      </c>
      <c r="B26" s="48">
        <f>IFERROR(__xludf.DUMMYFUNCTION("""COMPUTED_VALUE"""),243.42)</f>
        <v>243.42</v>
      </c>
      <c r="C26" s="47">
        <f>IFERROR(__xludf.DUMMYFUNCTION("""COMPUTED_VALUE"""),45779.6458333333)</f>
        <v>45779.6458333333</v>
      </c>
      <c r="D26" s="48">
        <f>IFERROR(__xludf.DUMMYFUNCTION("""COMPUTED_VALUE"""),241)</f>
        <v>241</v>
      </c>
      <c r="E26" s="47">
        <f>IFERROR(__xludf.DUMMYFUNCTION("""COMPUTED_VALUE"""),45779.6458333333)</f>
        <v>45779.6458333333</v>
      </c>
      <c r="F26" s="48">
        <f>IFERROR(__xludf.DUMMYFUNCTION("""COMPUTED_VALUE"""),10203190)</f>
        <v>10203190</v>
      </c>
      <c r="G26" s="47">
        <f>IFERROR(__xludf.DUMMYFUNCTION("""COMPUTED_VALUE"""),45779.6458333333)</f>
        <v>45779.6458333333</v>
      </c>
      <c r="H26" s="48">
        <f>IFERROR(__xludf.DUMMYFUNCTION("""COMPUTED_VALUE"""),246.27)</f>
        <v>246.27</v>
      </c>
      <c r="I26" s="47">
        <f>IFERROR(__xludf.DUMMYFUNCTION("""COMPUTED_VALUE"""),45779.6458333333)</f>
        <v>45779.6458333333</v>
      </c>
      <c r="J26" s="48">
        <f>IFERROR(__xludf.DUMMYFUNCTION("""COMPUTED_VALUE"""),239)</f>
        <v>239</v>
      </c>
      <c r="K26" s="3">
        <f t="shared" si="2"/>
        <v>0</v>
      </c>
      <c r="L26" s="3">
        <f t="shared" si="3"/>
        <v>0</v>
      </c>
    </row>
    <row r="27" customHeight="1" spans="1:12">
      <c r="A27" s="47">
        <f>IFERROR(__xludf.DUMMYFUNCTION("""COMPUTED_VALUE"""),45782.6458333333)</f>
        <v>45782.6458333333</v>
      </c>
      <c r="B27" s="48">
        <f>IFERROR(__xludf.DUMMYFUNCTION("""COMPUTED_VALUE"""),239.2)</f>
        <v>239.2</v>
      </c>
      <c r="C27" s="47">
        <f>IFERROR(__xludf.DUMMYFUNCTION("""COMPUTED_VALUE"""),45782.6458333333)</f>
        <v>45782.6458333333</v>
      </c>
      <c r="D27" s="48">
        <f>IFERROR(__xludf.DUMMYFUNCTION("""COMPUTED_VALUE"""),240)</f>
        <v>240</v>
      </c>
      <c r="E27" s="47">
        <f>IFERROR(__xludf.DUMMYFUNCTION("""COMPUTED_VALUE"""),45782.6458333333)</f>
        <v>45782.6458333333</v>
      </c>
      <c r="F27" s="48">
        <f>IFERROR(__xludf.DUMMYFUNCTION("""COMPUTED_VALUE"""),20086323)</f>
        <v>20086323</v>
      </c>
      <c r="G27" s="47">
        <f>IFERROR(__xludf.DUMMYFUNCTION("""COMPUTED_VALUE"""),45782.6458333333)</f>
        <v>45782.6458333333</v>
      </c>
      <c r="H27" s="48">
        <f>IFERROR(__xludf.DUMMYFUNCTION("""COMPUTED_VALUE"""),241.15)</f>
        <v>241.15</v>
      </c>
      <c r="I27" s="47">
        <f>IFERROR(__xludf.DUMMYFUNCTION("""COMPUTED_VALUE"""),45782.6458333333)</f>
        <v>45782.6458333333</v>
      </c>
      <c r="J27" s="48">
        <f>IFERROR(__xludf.DUMMYFUNCTION("""COMPUTED_VALUE"""),234.5)</f>
        <v>234.5</v>
      </c>
      <c r="K27" s="3">
        <f t="shared" si="2"/>
        <v>0</v>
      </c>
      <c r="L27" s="3">
        <f t="shared" si="3"/>
        <v>0</v>
      </c>
    </row>
    <row r="28" customHeight="1" spans="1:12">
      <c r="A28" s="47">
        <f>IFERROR(__xludf.DUMMYFUNCTION("""COMPUTED_VALUE"""),45783.6458333333)</f>
        <v>45783.6458333333</v>
      </c>
      <c r="B28" s="48">
        <f>IFERROR(__xludf.DUMMYFUNCTION("""COMPUTED_VALUE"""),237)</f>
        <v>237</v>
      </c>
      <c r="C28" s="47">
        <f>IFERROR(__xludf.DUMMYFUNCTION("""COMPUTED_VALUE"""),45783.6458333333)</f>
        <v>45783.6458333333</v>
      </c>
      <c r="D28" s="48">
        <f>IFERROR(__xludf.DUMMYFUNCTION("""COMPUTED_VALUE"""),241.13)</f>
        <v>241.13</v>
      </c>
      <c r="E28" s="47">
        <f>IFERROR(__xludf.DUMMYFUNCTION("""COMPUTED_VALUE"""),45783.6458333333)</f>
        <v>45783.6458333333</v>
      </c>
      <c r="F28" s="48">
        <f>IFERROR(__xludf.DUMMYFUNCTION("""COMPUTED_VALUE"""),11350559)</f>
        <v>11350559</v>
      </c>
      <c r="G28" s="47">
        <f>IFERROR(__xludf.DUMMYFUNCTION("""COMPUTED_VALUE"""),45783.6458333333)</f>
        <v>45783.6458333333</v>
      </c>
      <c r="H28" s="48">
        <f>IFERROR(__xludf.DUMMYFUNCTION("""COMPUTED_VALUE"""),242.99)</f>
        <v>242.99</v>
      </c>
      <c r="I28" s="47">
        <f>IFERROR(__xludf.DUMMYFUNCTION("""COMPUTED_VALUE"""),45783.6458333333)</f>
        <v>45783.6458333333</v>
      </c>
      <c r="J28" s="48">
        <f>IFERROR(__xludf.DUMMYFUNCTION("""COMPUTED_VALUE"""),236)</f>
        <v>236</v>
      </c>
      <c r="K28" s="3">
        <f t="shared" si="2"/>
        <v>0</v>
      </c>
      <c r="L28" s="3">
        <f t="shared" si="3"/>
        <v>0</v>
      </c>
    </row>
    <row r="29" customHeight="1" spans="1:12">
      <c r="A29" s="47">
        <f>IFERROR(__xludf.DUMMYFUNCTION("""COMPUTED_VALUE"""),45784.6458333333)</f>
        <v>45784.6458333333</v>
      </c>
      <c r="B29" s="48">
        <f>IFERROR(__xludf.DUMMYFUNCTION("""COMPUTED_VALUE"""),238.67)</f>
        <v>238.67</v>
      </c>
      <c r="C29" s="47">
        <f>IFERROR(__xludf.DUMMYFUNCTION("""COMPUTED_VALUE"""),45784.6458333333)</f>
        <v>45784.6458333333</v>
      </c>
      <c r="D29" s="48">
        <f>IFERROR(__xludf.DUMMYFUNCTION("""COMPUTED_VALUE"""),232.3)</f>
        <v>232.3</v>
      </c>
      <c r="E29" s="47">
        <f>IFERROR(__xludf.DUMMYFUNCTION("""COMPUTED_VALUE"""),45784.6458333333)</f>
        <v>45784.6458333333</v>
      </c>
      <c r="F29" s="48">
        <f>IFERROR(__xludf.DUMMYFUNCTION("""COMPUTED_VALUE"""),16689539)</f>
        <v>16689539</v>
      </c>
      <c r="G29" s="47">
        <f>IFERROR(__xludf.DUMMYFUNCTION("""COMPUTED_VALUE"""),45784.6458333333)</f>
        <v>45784.6458333333</v>
      </c>
      <c r="H29" s="48">
        <f>IFERROR(__xludf.DUMMYFUNCTION("""COMPUTED_VALUE"""),240.09)</f>
        <v>240.09</v>
      </c>
      <c r="I29" s="47">
        <f>IFERROR(__xludf.DUMMYFUNCTION("""COMPUTED_VALUE"""),45784.6458333333)</f>
        <v>45784.6458333333</v>
      </c>
      <c r="J29" s="48">
        <f>IFERROR(__xludf.DUMMYFUNCTION("""COMPUTED_VALUE"""),232.07)</f>
        <v>232.07</v>
      </c>
      <c r="K29" s="3">
        <f t="shared" si="2"/>
        <v>0</v>
      </c>
      <c r="L29" s="3">
        <f t="shared" si="3"/>
        <v>0</v>
      </c>
    </row>
    <row r="30" customHeight="1" spans="1:12">
      <c r="A30" s="47">
        <f>IFERROR(__xludf.DUMMYFUNCTION("""COMPUTED_VALUE"""),45785.6458333333)</f>
        <v>45785.6458333333</v>
      </c>
      <c r="B30" s="48">
        <f>IFERROR(__xludf.DUMMYFUNCTION("""COMPUTED_VALUE"""),233.22)</f>
        <v>233.22</v>
      </c>
      <c r="C30" s="47">
        <f>IFERROR(__xludf.DUMMYFUNCTION("""COMPUTED_VALUE"""),45785.6458333333)</f>
        <v>45785.6458333333</v>
      </c>
      <c r="D30" s="48">
        <f>IFERROR(__xludf.DUMMYFUNCTION("""COMPUTED_VALUE"""),237.66)</f>
        <v>237.66</v>
      </c>
      <c r="E30" s="47">
        <f>IFERROR(__xludf.DUMMYFUNCTION("""COMPUTED_VALUE"""),45785.6458333333)</f>
        <v>45785.6458333333</v>
      </c>
      <c r="F30" s="48">
        <f>IFERROR(__xludf.DUMMYFUNCTION("""COMPUTED_VALUE"""),15026122)</f>
        <v>15026122</v>
      </c>
      <c r="G30" s="47">
        <f>IFERROR(__xludf.DUMMYFUNCTION("""COMPUTED_VALUE"""),45785.6458333333)</f>
        <v>45785.6458333333</v>
      </c>
      <c r="H30" s="48">
        <f>IFERROR(__xludf.DUMMYFUNCTION("""COMPUTED_VALUE"""),239.34)</f>
        <v>239.34</v>
      </c>
      <c r="I30" s="47">
        <f>IFERROR(__xludf.DUMMYFUNCTION("""COMPUTED_VALUE"""),45785.6458333333)</f>
        <v>45785.6458333333</v>
      </c>
      <c r="J30" s="48">
        <f>IFERROR(__xludf.DUMMYFUNCTION("""COMPUTED_VALUE"""),231.4)</f>
        <v>231.4</v>
      </c>
      <c r="K30" s="3">
        <f t="shared" si="2"/>
        <v>0</v>
      </c>
      <c r="L30" s="3">
        <f t="shared" si="3"/>
        <v>233.22</v>
      </c>
    </row>
    <row r="31" customHeight="1" spans="1:12">
      <c r="A31" s="47">
        <f>IFERROR(__xludf.DUMMYFUNCTION("""COMPUTED_VALUE"""),45786.6458333333)</f>
        <v>45786.6458333333</v>
      </c>
      <c r="B31" s="48">
        <f>IFERROR(__xludf.DUMMYFUNCTION("""COMPUTED_VALUE"""),234.96)</f>
        <v>234.96</v>
      </c>
      <c r="C31" s="47">
        <f>IFERROR(__xludf.DUMMYFUNCTION("""COMPUTED_VALUE"""),45786.6458333333)</f>
        <v>45786.6458333333</v>
      </c>
      <c r="D31" s="48">
        <f>IFERROR(__xludf.DUMMYFUNCTION("""COMPUTED_VALUE"""),229.1)</f>
        <v>229.1</v>
      </c>
      <c r="E31" s="47">
        <f>IFERROR(__xludf.DUMMYFUNCTION("""COMPUTED_VALUE"""),45786.6458333333)</f>
        <v>45786.6458333333</v>
      </c>
      <c r="F31" s="48">
        <f>IFERROR(__xludf.DUMMYFUNCTION("""COMPUTED_VALUE"""),11184507)</f>
        <v>11184507</v>
      </c>
      <c r="G31" s="47">
        <f>IFERROR(__xludf.DUMMYFUNCTION("""COMPUTED_VALUE"""),45786.6458333333)</f>
        <v>45786.6458333333</v>
      </c>
      <c r="H31" s="48">
        <f>IFERROR(__xludf.DUMMYFUNCTION("""COMPUTED_VALUE"""),235.3)</f>
        <v>235.3</v>
      </c>
      <c r="I31" s="47">
        <f>IFERROR(__xludf.DUMMYFUNCTION("""COMPUTED_VALUE"""),45786.6458333333)</f>
        <v>45786.6458333333</v>
      </c>
      <c r="J31" s="48">
        <f>IFERROR(__xludf.DUMMYFUNCTION("""COMPUTED_VALUE"""),228.45)</f>
        <v>228.45</v>
      </c>
      <c r="K31" s="3">
        <f t="shared" si="2"/>
        <v>0</v>
      </c>
      <c r="L31" s="3">
        <f t="shared" si="3"/>
        <v>0</v>
      </c>
    </row>
    <row r="32" customHeight="1" spans="1:12">
      <c r="A32" s="47">
        <f>IFERROR(__xludf.DUMMYFUNCTION("""COMPUTED_VALUE"""),45789.6458333333)</f>
        <v>45789.6458333333</v>
      </c>
      <c r="B32" s="48">
        <f>IFERROR(__xludf.DUMMYFUNCTION("""COMPUTED_VALUE"""),244.02)</f>
        <v>244.02</v>
      </c>
      <c r="C32" s="47">
        <f>IFERROR(__xludf.DUMMYFUNCTION("""COMPUTED_VALUE"""),45789.6458333333)</f>
        <v>45789.6458333333</v>
      </c>
      <c r="D32" s="48">
        <f>IFERROR(__xludf.DUMMYFUNCTION("""COMPUTED_VALUE"""),239)</f>
        <v>239</v>
      </c>
      <c r="E32" s="47">
        <f>IFERROR(__xludf.DUMMYFUNCTION("""COMPUTED_VALUE"""),45789.6458333333)</f>
        <v>45789.6458333333</v>
      </c>
      <c r="F32" s="48">
        <f>IFERROR(__xludf.DUMMYFUNCTION("""COMPUTED_VALUE"""),11374237)</f>
        <v>11374237</v>
      </c>
      <c r="G32" s="47">
        <f>IFERROR(__xludf.DUMMYFUNCTION("""COMPUTED_VALUE"""),45789.6458333333)</f>
        <v>45789.6458333333</v>
      </c>
      <c r="H32" s="48">
        <f>IFERROR(__xludf.DUMMYFUNCTION("""COMPUTED_VALUE"""),244.6)</f>
        <v>244.6</v>
      </c>
      <c r="I32" s="47">
        <f>IFERROR(__xludf.DUMMYFUNCTION("""COMPUTED_VALUE"""),45789.6458333333)</f>
        <v>45789.6458333333</v>
      </c>
      <c r="J32" s="48">
        <f>IFERROR(__xludf.DUMMYFUNCTION("""COMPUTED_VALUE"""),238.11)</f>
        <v>238.11</v>
      </c>
      <c r="K32" s="3">
        <f t="shared" si="2"/>
        <v>0</v>
      </c>
      <c r="L32" s="3">
        <f t="shared" si="3"/>
        <v>0</v>
      </c>
    </row>
    <row r="33" customHeight="1" spans="1:12">
      <c r="A33" s="47">
        <f>IFERROR(__xludf.DUMMYFUNCTION("""COMPUTED_VALUE"""),45790.6458333333)</f>
        <v>45790.6458333333</v>
      </c>
      <c r="B33" s="48">
        <f>IFERROR(__xludf.DUMMYFUNCTION("""COMPUTED_VALUE"""),241.16)</f>
        <v>241.16</v>
      </c>
      <c r="C33" s="47">
        <f>IFERROR(__xludf.DUMMYFUNCTION("""COMPUTED_VALUE"""),45790.6458333333)</f>
        <v>45790.6458333333</v>
      </c>
      <c r="D33" s="48">
        <f>IFERROR(__xludf.DUMMYFUNCTION("""COMPUTED_VALUE"""),244.15)</f>
        <v>244.15</v>
      </c>
      <c r="E33" s="47">
        <f>IFERROR(__xludf.DUMMYFUNCTION("""COMPUTED_VALUE"""),45790.6458333333)</f>
        <v>45790.6458333333</v>
      </c>
      <c r="F33" s="48">
        <f>IFERROR(__xludf.DUMMYFUNCTION("""COMPUTED_VALUE"""),9336026)</f>
        <v>9336026</v>
      </c>
      <c r="G33" s="47">
        <f>IFERROR(__xludf.DUMMYFUNCTION("""COMPUTED_VALUE"""),45790.6458333333)</f>
        <v>45790.6458333333</v>
      </c>
      <c r="H33" s="48">
        <f>IFERROR(__xludf.DUMMYFUNCTION("""COMPUTED_VALUE"""),245.29)</f>
        <v>245.29</v>
      </c>
      <c r="I33" s="47">
        <f>IFERROR(__xludf.DUMMYFUNCTION("""COMPUTED_VALUE"""),45790.6458333333)</f>
        <v>45790.6458333333</v>
      </c>
      <c r="J33" s="48">
        <f>IFERROR(__xludf.DUMMYFUNCTION("""COMPUTED_VALUE"""),240.29)</f>
        <v>240.29</v>
      </c>
      <c r="K33" s="3">
        <f t="shared" si="2"/>
        <v>0</v>
      </c>
      <c r="L33" s="3">
        <f t="shared" si="3"/>
        <v>0</v>
      </c>
    </row>
    <row r="34" customHeight="1" spans="1:12">
      <c r="A34" s="47">
        <f>IFERROR(__xludf.DUMMYFUNCTION("""COMPUTED_VALUE"""),45791.6458333333)</f>
        <v>45791.6458333333</v>
      </c>
      <c r="B34" s="48">
        <f>IFERROR(__xludf.DUMMYFUNCTION("""COMPUTED_VALUE"""),246.01)</f>
        <v>246.01</v>
      </c>
      <c r="C34" s="47">
        <f>IFERROR(__xludf.DUMMYFUNCTION("""COMPUTED_VALUE"""),45791.6458333333)</f>
        <v>45791.6458333333</v>
      </c>
      <c r="D34" s="48">
        <f>IFERROR(__xludf.DUMMYFUNCTION("""COMPUTED_VALUE"""),241.16)</f>
        <v>241.16</v>
      </c>
      <c r="E34" s="47">
        <f>IFERROR(__xludf.DUMMYFUNCTION("""COMPUTED_VALUE"""),45791.6458333333)</f>
        <v>45791.6458333333</v>
      </c>
      <c r="F34" s="48">
        <f>IFERROR(__xludf.DUMMYFUNCTION("""COMPUTED_VALUE"""),8234859)</f>
        <v>8234859</v>
      </c>
      <c r="G34" s="47">
        <f>IFERROR(__xludf.DUMMYFUNCTION("""COMPUTED_VALUE"""),45791.6458333333)</f>
        <v>45791.6458333333</v>
      </c>
      <c r="H34" s="48">
        <f>IFERROR(__xludf.DUMMYFUNCTION("""COMPUTED_VALUE"""),246.9)</f>
        <v>246.9</v>
      </c>
      <c r="I34" s="47">
        <f>IFERROR(__xludf.DUMMYFUNCTION("""COMPUTED_VALUE"""),45791.6458333333)</f>
        <v>45791.6458333333</v>
      </c>
      <c r="J34" s="48">
        <f>IFERROR(__xludf.DUMMYFUNCTION("""COMPUTED_VALUE"""),241.16)</f>
        <v>241.16</v>
      </c>
      <c r="K34" s="3">
        <f t="shared" si="2"/>
        <v>0</v>
      </c>
      <c r="L34" s="3">
        <f t="shared" si="3"/>
        <v>0</v>
      </c>
    </row>
    <row r="35" customHeight="1" spans="1:12">
      <c r="A35" s="47">
        <f>IFERROR(__xludf.DUMMYFUNCTION("""COMPUTED_VALUE"""),45792.6458333333)</f>
        <v>45792.6458333333</v>
      </c>
      <c r="B35" s="48">
        <f>IFERROR(__xludf.DUMMYFUNCTION("""COMPUTED_VALUE"""),247.61)</f>
        <v>247.61</v>
      </c>
      <c r="C35" s="47">
        <f>IFERROR(__xludf.DUMMYFUNCTION("""COMPUTED_VALUE"""),45792.6458333333)</f>
        <v>45792.6458333333</v>
      </c>
      <c r="D35" s="48">
        <f>IFERROR(__xludf.DUMMYFUNCTION("""COMPUTED_VALUE"""),244.95)</f>
        <v>244.95</v>
      </c>
      <c r="E35" s="47">
        <f>IFERROR(__xludf.DUMMYFUNCTION("""COMPUTED_VALUE"""),45792.6458333333)</f>
        <v>45792.6458333333</v>
      </c>
      <c r="F35" s="48">
        <f>IFERROR(__xludf.DUMMYFUNCTION("""COMPUTED_VALUE"""),16812750)</f>
        <v>16812750</v>
      </c>
      <c r="G35" s="47">
        <f>IFERROR(__xludf.DUMMYFUNCTION("""COMPUTED_VALUE"""),45792.6458333333)</f>
        <v>45792.6458333333</v>
      </c>
      <c r="H35" s="48">
        <f>IFERROR(__xludf.DUMMYFUNCTION("""COMPUTED_VALUE"""),248.92)</f>
        <v>248.92</v>
      </c>
      <c r="I35" s="47">
        <f>IFERROR(__xludf.DUMMYFUNCTION("""COMPUTED_VALUE"""),45792.6458333333)</f>
        <v>45792.6458333333</v>
      </c>
      <c r="J35" s="48">
        <f>IFERROR(__xludf.DUMMYFUNCTION("""COMPUTED_VALUE"""),242.3)</f>
        <v>242.3</v>
      </c>
      <c r="K35" s="3">
        <f t="shared" si="2"/>
        <v>0</v>
      </c>
      <c r="L35" s="3">
        <f t="shared" si="3"/>
        <v>0</v>
      </c>
    </row>
    <row r="36" customHeight="1" spans="1:12">
      <c r="A36" s="47">
        <f>IFERROR(__xludf.DUMMYFUNCTION("""COMPUTED_VALUE"""),45793.6458333333)</f>
        <v>45793.6458333333</v>
      </c>
      <c r="B36" s="48">
        <f>IFERROR(__xludf.DUMMYFUNCTION("""COMPUTED_VALUE"""),247.27)</f>
        <v>247.27</v>
      </c>
      <c r="C36" s="47">
        <f>IFERROR(__xludf.DUMMYFUNCTION("""COMPUTED_VALUE"""),45793.6458333333)</f>
        <v>45793.6458333333</v>
      </c>
      <c r="D36" s="48">
        <f>IFERROR(__xludf.DUMMYFUNCTION("""COMPUTED_VALUE"""),247.06)</f>
        <v>247.06</v>
      </c>
      <c r="E36" s="47">
        <f>IFERROR(__xludf.DUMMYFUNCTION("""COMPUTED_VALUE"""),45793.6458333333)</f>
        <v>45793.6458333333</v>
      </c>
      <c r="F36" s="48">
        <f>IFERROR(__xludf.DUMMYFUNCTION("""COMPUTED_VALUE"""),8030229)</f>
        <v>8030229</v>
      </c>
      <c r="G36" s="47">
        <f>IFERROR(__xludf.DUMMYFUNCTION("""COMPUTED_VALUE"""),45793.6458333333)</f>
        <v>45793.6458333333</v>
      </c>
      <c r="H36" s="48">
        <f>IFERROR(__xludf.DUMMYFUNCTION("""COMPUTED_VALUE"""),249.39)</f>
        <v>249.39</v>
      </c>
      <c r="I36" s="47">
        <f>IFERROR(__xludf.DUMMYFUNCTION("""COMPUTED_VALUE"""),45793.6458333333)</f>
        <v>45793.6458333333</v>
      </c>
      <c r="J36" s="48">
        <f>IFERROR(__xludf.DUMMYFUNCTION("""COMPUTED_VALUE"""),246.2)</f>
        <v>246.2</v>
      </c>
      <c r="K36" s="3">
        <f t="shared" si="2"/>
        <v>0</v>
      </c>
      <c r="L36" s="3">
        <f t="shared" si="3"/>
        <v>0</v>
      </c>
    </row>
    <row r="37" customHeight="1" spans="1:12">
      <c r="A37" s="47">
        <f>IFERROR(__xludf.DUMMYFUNCTION("""COMPUTED_VALUE"""),45796.6458333333)</f>
        <v>45796.6458333333</v>
      </c>
      <c r="B37" s="48">
        <f>IFERROR(__xludf.DUMMYFUNCTION("""COMPUTED_VALUE"""),246.58)</f>
        <v>246.58</v>
      </c>
      <c r="C37" s="47">
        <f>IFERROR(__xludf.DUMMYFUNCTION("""COMPUTED_VALUE"""),45796.6458333333)</f>
        <v>45796.6458333333</v>
      </c>
      <c r="D37" s="48">
        <f>IFERROR(__xludf.DUMMYFUNCTION("""COMPUTED_VALUE"""),248)</f>
        <v>248</v>
      </c>
      <c r="E37" s="47">
        <f>IFERROR(__xludf.DUMMYFUNCTION("""COMPUTED_VALUE"""),45796.6458333333)</f>
        <v>45796.6458333333</v>
      </c>
      <c r="F37" s="48">
        <f>IFERROR(__xludf.DUMMYFUNCTION("""COMPUTED_VALUE"""),8043270)</f>
        <v>8043270</v>
      </c>
      <c r="G37" s="47">
        <f>IFERROR(__xludf.DUMMYFUNCTION("""COMPUTED_VALUE"""),45796.6458333333)</f>
        <v>45796.6458333333</v>
      </c>
      <c r="H37" s="48">
        <f>IFERROR(__xludf.DUMMYFUNCTION("""COMPUTED_VALUE"""),249.45)</f>
        <v>249.45</v>
      </c>
      <c r="I37" s="47">
        <f>IFERROR(__xludf.DUMMYFUNCTION("""COMPUTED_VALUE"""),45796.6458333333)</f>
        <v>45796.6458333333</v>
      </c>
      <c r="J37" s="48">
        <f>IFERROR(__xludf.DUMMYFUNCTION("""COMPUTED_VALUE"""),244.91)</f>
        <v>244.91</v>
      </c>
      <c r="K37" s="3">
        <f t="shared" si="2"/>
        <v>0</v>
      </c>
      <c r="L37" s="3">
        <f t="shared" si="3"/>
        <v>0</v>
      </c>
    </row>
    <row r="38" customHeight="1" spans="1:12">
      <c r="A38" s="47">
        <f>IFERROR(__xludf.DUMMYFUNCTION("""COMPUTED_VALUE"""),45797.6458333333)</f>
        <v>45797.6458333333</v>
      </c>
      <c r="B38" s="48">
        <f>IFERROR(__xludf.DUMMYFUNCTION("""COMPUTED_VALUE"""),249.26)</f>
        <v>249.26</v>
      </c>
      <c r="C38" s="47">
        <f>IFERROR(__xludf.DUMMYFUNCTION("""COMPUTED_VALUE"""),45797.6458333333)</f>
        <v>45797.6458333333</v>
      </c>
      <c r="D38" s="48">
        <f>IFERROR(__xludf.DUMMYFUNCTION("""COMPUTED_VALUE"""),246.79)</f>
        <v>246.79</v>
      </c>
      <c r="E38" s="47">
        <f>IFERROR(__xludf.DUMMYFUNCTION("""COMPUTED_VALUE"""),45797.6458333333)</f>
        <v>45797.6458333333</v>
      </c>
      <c r="F38" s="48">
        <f>IFERROR(__xludf.DUMMYFUNCTION("""COMPUTED_VALUE"""),13183059)</f>
        <v>13183059</v>
      </c>
      <c r="G38" s="47">
        <f>IFERROR(__xludf.DUMMYFUNCTION("""COMPUTED_VALUE"""),45797.6458333333)</f>
        <v>45797.6458333333</v>
      </c>
      <c r="H38" s="48">
        <f>IFERROR(__xludf.DUMMYFUNCTION("""COMPUTED_VALUE"""),252.7)</f>
        <v>252.7</v>
      </c>
      <c r="I38" s="47">
        <f>IFERROR(__xludf.DUMMYFUNCTION("""COMPUTED_VALUE"""),45797.6458333333)</f>
        <v>45797.6458333333</v>
      </c>
      <c r="J38" s="48">
        <f>IFERROR(__xludf.DUMMYFUNCTION("""COMPUTED_VALUE"""),246.79)</f>
        <v>246.79</v>
      </c>
      <c r="K38" s="3">
        <f t="shared" si="2"/>
        <v>249.26</v>
      </c>
      <c r="L38" s="3">
        <f t="shared" si="3"/>
        <v>0</v>
      </c>
    </row>
    <row r="39" customHeight="1" spans="1:12">
      <c r="A39" s="47">
        <f>IFERROR(__xludf.DUMMYFUNCTION("""COMPUTED_VALUE"""),45798.6458333333)</f>
        <v>45798.6458333333</v>
      </c>
      <c r="B39" s="48">
        <f>IFERROR(__xludf.DUMMYFUNCTION("""COMPUTED_VALUE"""),248.68)</f>
        <v>248.68</v>
      </c>
      <c r="C39" s="47">
        <f>IFERROR(__xludf.DUMMYFUNCTION("""COMPUTED_VALUE"""),45798.6458333333)</f>
        <v>45798.6458333333</v>
      </c>
      <c r="D39" s="48">
        <f>IFERROR(__xludf.DUMMYFUNCTION("""COMPUTED_VALUE"""),251.5)</f>
        <v>251.5</v>
      </c>
      <c r="E39" s="47">
        <f>IFERROR(__xludf.DUMMYFUNCTION("""COMPUTED_VALUE"""),45798.6458333333)</f>
        <v>45798.6458333333</v>
      </c>
      <c r="F39" s="48">
        <f>IFERROR(__xludf.DUMMYFUNCTION("""COMPUTED_VALUE"""),7158307)</f>
        <v>7158307</v>
      </c>
      <c r="G39" s="47">
        <f>IFERROR(__xludf.DUMMYFUNCTION("""COMPUTED_VALUE"""),45798.6458333333)</f>
        <v>45798.6458333333</v>
      </c>
      <c r="H39" s="48">
        <f>IFERROR(__xludf.DUMMYFUNCTION("""COMPUTED_VALUE"""),251.95)</f>
        <v>251.95</v>
      </c>
      <c r="I39" s="47">
        <f>IFERROR(__xludf.DUMMYFUNCTION("""COMPUTED_VALUE"""),45798.6458333333)</f>
        <v>45798.6458333333</v>
      </c>
      <c r="J39" s="48">
        <f>IFERROR(__xludf.DUMMYFUNCTION("""COMPUTED_VALUE"""),247.76)</f>
        <v>247.76</v>
      </c>
      <c r="K39" s="3">
        <f t="shared" si="2"/>
        <v>0</v>
      </c>
      <c r="L39" s="3">
        <f t="shared" si="3"/>
        <v>0</v>
      </c>
    </row>
    <row r="40" customHeight="1" spans="1:12">
      <c r="A40" s="47">
        <f>IFERROR(__xludf.DUMMYFUNCTION("""COMPUTED_VALUE"""),45799.6458333333)</f>
        <v>45799.6458333333</v>
      </c>
      <c r="B40" s="48">
        <f>IFERROR(__xludf.DUMMYFUNCTION("""COMPUTED_VALUE"""),241.67)</f>
        <v>241.67</v>
      </c>
      <c r="C40" s="47">
        <f>IFERROR(__xludf.DUMMYFUNCTION("""COMPUTED_VALUE"""),45799.6458333333)</f>
        <v>45799.6458333333</v>
      </c>
      <c r="D40" s="48">
        <f>IFERROR(__xludf.DUMMYFUNCTION("""COMPUTED_VALUE"""),248.68)</f>
        <v>248.68</v>
      </c>
      <c r="E40" s="47">
        <f>IFERROR(__xludf.DUMMYFUNCTION("""COMPUTED_VALUE"""),45799.6458333333)</f>
        <v>45799.6458333333</v>
      </c>
      <c r="F40" s="48">
        <f>IFERROR(__xludf.DUMMYFUNCTION("""COMPUTED_VALUE"""),18502235)</f>
        <v>18502235</v>
      </c>
      <c r="G40" s="47">
        <f>IFERROR(__xludf.DUMMYFUNCTION("""COMPUTED_VALUE"""),45799.6458333333)</f>
        <v>45799.6458333333</v>
      </c>
      <c r="H40" s="48">
        <f>IFERROR(__xludf.DUMMYFUNCTION("""COMPUTED_VALUE"""),250.48)</f>
        <v>250.48</v>
      </c>
      <c r="I40" s="47">
        <f>IFERROR(__xludf.DUMMYFUNCTION("""COMPUTED_VALUE"""),45799.6458333333)</f>
        <v>45799.6458333333</v>
      </c>
      <c r="J40" s="48">
        <f>IFERROR(__xludf.DUMMYFUNCTION("""COMPUTED_VALUE"""),239.61)</f>
        <v>239.61</v>
      </c>
      <c r="K40" s="3">
        <f t="shared" si="2"/>
        <v>0</v>
      </c>
      <c r="L40" s="3">
        <f t="shared" si="3"/>
        <v>0</v>
      </c>
    </row>
    <row r="41" customHeight="1" spans="1:12">
      <c r="A41" s="47">
        <f>IFERROR(__xludf.DUMMYFUNCTION("""COMPUTED_VALUE"""),45800.6458333333)</f>
        <v>45800.6458333333</v>
      </c>
      <c r="B41" s="48">
        <f>IFERROR(__xludf.DUMMYFUNCTION("""COMPUTED_VALUE"""),244.24)</f>
        <v>244.24</v>
      </c>
      <c r="C41" s="47">
        <f>IFERROR(__xludf.DUMMYFUNCTION("""COMPUTED_VALUE"""),45800.6458333333)</f>
        <v>45800.6458333333</v>
      </c>
      <c r="D41" s="48">
        <f>IFERROR(__xludf.DUMMYFUNCTION("""COMPUTED_VALUE"""),242.5)</f>
        <v>242.5</v>
      </c>
      <c r="E41" s="47">
        <f>IFERROR(__xludf.DUMMYFUNCTION("""COMPUTED_VALUE"""),45800.6458333333)</f>
        <v>45800.6458333333</v>
      </c>
      <c r="F41" s="48">
        <f>IFERROR(__xludf.DUMMYFUNCTION("""COMPUTED_VALUE"""),8725218)</f>
        <v>8725218</v>
      </c>
      <c r="G41" s="47">
        <f>IFERROR(__xludf.DUMMYFUNCTION("""COMPUTED_VALUE"""),45800.6458333333)</f>
        <v>45800.6458333333</v>
      </c>
      <c r="H41" s="48">
        <f>IFERROR(__xludf.DUMMYFUNCTION("""COMPUTED_VALUE"""),244.68)</f>
        <v>244.68</v>
      </c>
      <c r="I41" s="47">
        <f>IFERROR(__xludf.DUMMYFUNCTION("""COMPUTED_VALUE"""),45800.6458333333)</f>
        <v>45800.6458333333</v>
      </c>
      <c r="J41" s="48">
        <f>IFERROR(__xludf.DUMMYFUNCTION("""COMPUTED_VALUE"""),240.15)</f>
        <v>240.15</v>
      </c>
      <c r="K41" s="3">
        <f t="shared" si="2"/>
        <v>0</v>
      </c>
      <c r="L41" s="3">
        <f t="shared" si="3"/>
        <v>0</v>
      </c>
    </row>
    <row r="42" customHeight="1" spans="1:12">
      <c r="A42" s="47">
        <f>IFERROR(__xludf.DUMMYFUNCTION("""COMPUTED_VALUE"""),45803.6458333333)</f>
        <v>45803.6458333333</v>
      </c>
      <c r="B42" s="48">
        <f>IFERROR(__xludf.DUMMYFUNCTION("""COMPUTED_VALUE"""),245.94)</f>
        <v>245.94</v>
      </c>
      <c r="C42" s="47">
        <f>IFERROR(__xludf.DUMMYFUNCTION("""COMPUTED_VALUE"""),45803.6458333333)</f>
        <v>45803.6458333333</v>
      </c>
      <c r="D42" s="48">
        <f>IFERROR(__xludf.DUMMYFUNCTION("""COMPUTED_VALUE"""),245.3)</f>
        <v>245.3</v>
      </c>
      <c r="E42" s="47">
        <f>IFERROR(__xludf.DUMMYFUNCTION("""COMPUTED_VALUE"""),45803.6458333333)</f>
        <v>45803.6458333333</v>
      </c>
      <c r="F42" s="48">
        <f>IFERROR(__xludf.DUMMYFUNCTION("""COMPUTED_VALUE"""),7159571)</f>
        <v>7159571</v>
      </c>
      <c r="G42" s="47">
        <f>IFERROR(__xludf.DUMMYFUNCTION("""COMPUTED_VALUE"""),45803.6458333333)</f>
        <v>45803.6458333333</v>
      </c>
      <c r="H42" s="48">
        <f>IFERROR(__xludf.DUMMYFUNCTION("""COMPUTED_VALUE"""),247.13)</f>
        <v>247.13</v>
      </c>
      <c r="I42" s="47">
        <f>IFERROR(__xludf.DUMMYFUNCTION("""COMPUTED_VALUE"""),45803.6458333333)</f>
        <v>45803.6458333333</v>
      </c>
      <c r="J42" s="48">
        <f>IFERROR(__xludf.DUMMYFUNCTION("""COMPUTED_VALUE"""),244.81)</f>
        <v>244.81</v>
      </c>
      <c r="K42" s="3">
        <f t="shared" si="2"/>
        <v>0</v>
      </c>
      <c r="L42" s="3">
        <f t="shared" si="3"/>
        <v>0</v>
      </c>
    </row>
    <row r="43" customHeight="1" spans="1:12">
      <c r="A43" s="47">
        <f>IFERROR(__xludf.DUMMYFUNCTION("""COMPUTED_VALUE"""),45804.6458333333)</f>
        <v>45804.6458333333</v>
      </c>
      <c r="B43" s="48">
        <f>IFERROR(__xludf.DUMMYFUNCTION("""COMPUTED_VALUE"""),244.54)</f>
        <v>244.54</v>
      </c>
      <c r="C43" s="47">
        <f>IFERROR(__xludf.DUMMYFUNCTION("""COMPUTED_VALUE"""),45804.6458333333)</f>
        <v>45804.6458333333</v>
      </c>
      <c r="D43" s="48">
        <f>IFERROR(__xludf.DUMMYFUNCTION("""COMPUTED_VALUE"""),246.85)</f>
        <v>246.85</v>
      </c>
      <c r="E43" s="47">
        <f>IFERROR(__xludf.DUMMYFUNCTION("""COMPUTED_VALUE"""),45804.6458333333)</f>
        <v>45804.6458333333</v>
      </c>
      <c r="F43" s="48">
        <f>IFERROR(__xludf.DUMMYFUNCTION("""COMPUTED_VALUE"""),9712093)</f>
        <v>9712093</v>
      </c>
      <c r="G43" s="47">
        <f>IFERROR(__xludf.DUMMYFUNCTION("""COMPUTED_VALUE"""),45804.6458333333)</f>
        <v>45804.6458333333</v>
      </c>
      <c r="H43" s="48">
        <f>IFERROR(__xludf.DUMMYFUNCTION("""COMPUTED_VALUE"""),246.85)</f>
        <v>246.85</v>
      </c>
      <c r="I43" s="47">
        <f>IFERROR(__xludf.DUMMYFUNCTION("""COMPUTED_VALUE"""),45804.6458333333)</f>
        <v>45804.6458333333</v>
      </c>
      <c r="J43" s="48">
        <f>IFERROR(__xludf.DUMMYFUNCTION("""COMPUTED_VALUE"""),242.92)</f>
        <v>242.92</v>
      </c>
      <c r="K43" s="3">
        <f t="shared" si="2"/>
        <v>0</v>
      </c>
      <c r="L43" s="3">
        <f t="shared" si="3"/>
        <v>0</v>
      </c>
    </row>
    <row r="44" customHeight="1" spans="1:12">
      <c r="A44" s="47">
        <f>IFERROR(__xludf.DUMMYFUNCTION("""COMPUTED_VALUE"""),45805.6458333333)</f>
        <v>45805.6458333333</v>
      </c>
      <c r="B44" s="48">
        <f>IFERROR(__xludf.DUMMYFUNCTION("""COMPUTED_VALUE"""),242.67)</f>
        <v>242.67</v>
      </c>
      <c r="C44" s="47">
        <f>IFERROR(__xludf.DUMMYFUNCTION("""COMPUTED_VALUE"""),45805.6458333333)</f>
        <v>45805.6458333333</v>
      </c>
      <c r="D44" s="48">
        <f>IFERROR(__xludf.DUMMYFUNCTION("""COMPUTED_VALUE"""),244.64)</f>
        <v>244.64</v>
      </c>
      <c r="E44" s="47">
        <f>IFERROR(__xludf.DUMMYFUNCTION("""COMPUTED_VALUE"""),45805.6458333333)</f>
        <v>45805.6458333333</v>
      </c>
      <c r="F44" s="48">
        <f>IFERROR(__xludf.DUMMYFUNCTION("""COMPUTED_VALUE"""),7385958)</f>
        <v>7385958</v>
      </c>
      <c r="G44" s="47">
        <f>IFERROR(__xludf.DUMMYFUNCTION("""COMPUTED_VALUE"""),45805.6458333333)</f>
        <v>45805.6458333333</v>
      </c>
      <c r="H44" s="48">
        <f>IFERROR(__xludf.DUMMYFUNCTION("""COMPUTED_VALUE"""),245.34)</f>
        <v>245.34</v>
      </c>
      <c r="I44" s="47">
        <f>IFERROR(__xludf.DUMMYFUNCTION("""COMPUTED_VALUE"""),45805.6458333333)</f>
        <v>45805.6458333333</v>
      </c>
      <c r="J44" s="48">
        <f>IFERROR(__xludf.DUMMYFUNCTION("""COMPUTED_VALUE"""),241.3)</f>
        <v>241.3</v>
      </c>
      <c r="K44" s="3">
        <f t="shared" si="2"/>
        <v>0</v>
      </c>
      <c r="L44" s="3">
        <f t="shared" si="3"/>
        <v>0</v>
      </c>
    </row>
    <row r="45" customHeight="1" spans="1:12">
      <c r="A45" s="47">
        <f>IFERROR(__xludf.DUMMYFUNCTION("""COMPUTED_VALUE"""),45806.6458333333)</f>
        <v>45806.6458333333</v>
      </c>
      <c r="B45" s="48">
        <f>IFERROR(__xludf.DUMMYFUNCTION("""COMPUTED_VALUE"""),243.04)</f>
        <v>243.04</v>
      </c>
      <c r="C45" s="47">
        <f>IFERROR(__xludf.DUMMYFUNCTION("""COMPUTED_VALUE"""),45806.6458333333)</f>
        <v>45806.6458333333</v>
      </c>
      <c r="D45" s="48">
        <f>IFERROR(__xludf.DUMMYFUNCTION("""COMPUTED_VALUE"""),243.6)</f>
        <v>243.6</v>
      </c>
      <c r="E45" s="47">
        <f>IFERROR(__xludf.DUMMYFUNCTION("""COMPUTED_VALUE"""),45806.6458333333)</f>
        <v>45806.6458333333</v>
      </c>
      <c r="F45" s="48">
        <f>IFERROR(__xludf.DUMMYFUNCTION("""COMPUTED_VALUE"""),12938112)</f>
        <v>12938112</v>
      </c>
      <c r="G45" s="47">
        <f>IFERROR(__xludf.DUMMYFUNCTION("""COMPUTED_VALUE"""),45806.6458333333)</f>
        <v>45806.6458333333</v>
      </c>
      <c r="H45" s="48">
        <f>IFERROR(__xludf.DUMMYFUNCTION("""COMPUTED_VALUE"""),244.6)</f>
        <v>244.6</v>
      </c>
      <c r="I45" s="47">
        <f>IFERROR(__xludf.DUMMYFUNCTION("""COMPUTED_VALUE"""),45806.6458333333)</f>
        <v>45806.6458333333</v>
      </c>
      <c r="J45" s="48">
        <f>IFERROR(__xludf.DUMMYFUNCTION("""COMPUTED_VALUE"""),241.35)</f>
        <v>241.35</v>
      </c>
      <c r="K45" s="3">
        <f t="shared" si="2"/>
        <v>0</v>
      </c>
      <c r="L45" s="3">
        <f t="shared" si="3"/>
        <v>0</v>
      </c>
    </row>
    <row r="46" customHeight="1" spans="1:12">
      <c r="A46" s="47">
        <f>IFERROR(__xludf.DUMMYFUNCTION("""COMPUTED_VALUE"""),45807.6458333333)</f>
        <v>45807.6458333333</v>
      </c>
      <c r="B46" s="48">
        <f>IFERROR(__xludf.DUMMYFUNCTION("""COMPUTED_VALUE"""),239.4)</f>
        <v>239.4</v>
      </c>
      <c r="C46" s="47">
        <f>IFERROR(__xludf.DUMMYFUNCTION("""COMPUTED_VALUE"""),45807.6458333333)</f>
        <v>45807.6458333333</v>
      </c>
      <c r="D46" s="48">
        <f>IFERROR(__xludf.DUMMYFUNCTION("""COMPUTED_VALUE"""),243.04)</f>
        <v>243.04</v>
      </c>
      <c r="E46" s="47">
        <f>IFERROR(__xludf.DUMMYFUNCTION("""COMPUTED_VALUE"""),45807.6458333333)</f>
        <v>45807.6458333333</v>
      </c>
      <c r="F46" s="48">
        <f>IFERROR(__xludf.DUMMYFUNCTION("""COMPUTED_VALUE"""),10108840)</f>
        <v>10108840</v>
      </c>
      <c r="G46" s="47">
        <f>IFERROR(__xludf.DUMMYFUNCTION("""COMPUTED_VALUE"""),45807.6458333333)</f>
        <v>45807.6458333333</v>
      </c>
      <c r="H46" s="48">
        <f>IFERROR(__xludf.DUMMYFUNCTION("""COMPUTED_VALUE"""),245.19)</f>
        <v>245.19</v>
      </c>
      <c r="I46" s="47">
        <f>IFERROR(__xludf.DUMMYFUNCTION("""COMPUTED_VALUE"""),45807.6458333333)</f>
        <v>45807.6458333333</v>
      </c>
      <c r="J46" s="48">
        <f>IFERROR(__xludf.DUMMYFUNCTION("""COMPUTED_VALUE"""),238.89)</f>
        <v>238.89</v>
      </c>
      <c r="K46" s="3">
        <f t="shared" si="2"/>
        <v>0</v>
      </c>
      <c r="L46" s="3">
        <f t="shared" si="3"/>
        <v>0</v>
      </c>
    </row>
    <row r="47" customHeight="1" spans="1:12">
      <c r="A47" s="47">
        <f>IFERROR(__xludf.DUMMYFUNCTION("""COMPUTED_VALUE"""),45810.6458333333)</f>
        <v>45810.6458333333</v>
      </c>
      <c r="B47" s="48">
        <f>IFERROR(__xludf.DUMMYFUNCTION("""COMPUTED_VALUE"""),238.31)</f>
        <v>238.31</v>
      </c>
      <c r="C47" s="47">
        <f>IFERROR(__xludf.DUMMYFUNCTION("""COMPUTED_VALUE"""),45810.6458333333)</f>
        <v>45810.6458333333</v>
      </c>
      <c r="D47" s="48">
        <f>IFERROR(__xludf.DUMMYFUNCTION("""COMPUTED_VALUE"""),239)</f>
        <v>239</v>
      </c>
      <c r="E47" s="47">
        <f>IFERROR(__xludf.DUMMYFUNCTION("""COMPUTED_VALUE"""),45810.6458333333)</f>
        <v>45810.6458333333</v>
      </c>
      <c r="F47" s="48">
        <f>IFERROR(__xludf.DUMMYFUNCTION("""COMPUTED_VALUE"""),6278145)</f>
        <v>6278145</v>
      </c>
      <c r="G47" s="47">
        <f>IFERROR(__xludf.DUMMYFUNCTION("""COMPUTED_VALUE"""),45810.6458333333)</f>
        <v>45810.6458333333</v>
      </c>
      <c r="H47" s="48">
        <f>IFERROR(__xludf.DUMMYFUNCTION("""COMPUTED_VALUE"""),240.09)</f>
        <v>240.09</v>
      </c>
      <c r="I47" s="47">
        <f>IFERROR(__xludf.DUMMYFUNCTION("""COMPUTED_VALUE"""),45810.6458333333)</f>
        <v>45810.6458333333</v>
      </c>
      <c r="J47" s="48">
        <f>IFERROR(__xludf.DUMMYFUNCTION("""COMPUTED_VALUE"""),237.66)</f>
        <v>237.66</v>
      </c>
      <c r="K47" s="3">
        <f t="shared" si="2"/>
        <v>0</v>
      </c>
      <c r="L47" s="3">
        <f t="shared" si="3"/>
        <v>0</v>
      </c>
    </row>
    <row r="48" customHeight="1" spans="1:12">
      <c r="A48" s="47">
        <f>IFERROR(__xludf.DUMMYFUNCTION("""COMPUTED_VALUE"""),45811.6458333333)</f>
        <v>45811.6458333333</v>
      </c>
      <c r="B48" s="48">
        <f>IFERROR(__xludf.DUMMYFUNCTION("""COMPUTED_VALUE"""),237.27)</f>
        <v>237.27</v>
      </c>
      <c r="C48" s="47">
        <f>IFERROR(__xludf.DUMMYFUNCTION("""COMPUTED_VALUE"""),45811.6458333333)</f>
        <v>45811.6458333333</v>
      </c>
      <c r="D48" s="48">
        <f>IFERROR(__xludf.DUMMYFUNCTION("""COMPUTED_VALUE"""),240.5)</f>
        <v>240.5</v>
      </c>
      <c r="E48" s="47">
        <f>IFERROR(__xludf.DUMMYFUNCTION("""COMPUTED_VALUE"""),45811.6458333333)</f>
        <v>45811.6458333333</v>
      </c>
      <c r="F48" s="48">
        <f>IFERROR(__xludf.DUMMYFUNCTION("""COMPUTED_VALUE"""),9515918)</f>
        <v>9515918</v>
      </c>
      <c r="G48" s="47">
        <f>IFERROR(__xludf.DUMMYFUNCTION("""COMPUTED_VALUE"""),45811.6458333333)</f>
        <v>45811.6458333333</v>
      </c>
      <c r="H48" s="48">
        <f>IFERROR(__xludf.DUMMYFUNCTION("""COMPUTED_VALUE"""),241.05)</f>
        <v>241.05</v>
      </c>
      <c r="I48" s="47">
        <f>IFERROR(__xludf.DUMMYFUNCTION("""COMPUTED_VALUE"""),45811.6458333333)</f>
        <v>45811.6458333333</v>
      </c>
      <c r="J48" s="48">
        <f>IFERROR(__xludf.DUMMYFUNCTION("""COMPUTED_VALUE"""),236.6)</f>
        <v>236.6</v>
      </c>
      <c r="K48" s="3">
        <f t="shared" si="2"/>
        <v>0</v>
      </c>
      <c r="L48" s="3">
        <f t="shared" si="3"/>
        <v>237.27</v>
      </c>
    </row>
    <row r="49" customHeight="1" spans="1:12">
      <c r="A49" s="47">
        <f>IFERROR(__xludf.DUMMYFUNCTION("""COMPUTED_VALUE"""),45812.6458333333)</f>
        <v>45812.6458333333</v>
      </c>
      <c r="B49" s="48">
        <f>IFERROR(__xludf.DUMMYFUNCTION("""COMPUTED_VALUE"""),238.05)</f>
        <v>238.05</v>
      </c>
      <c r="C49" s="47">
        <f>IFERROR(__xludf.DUMMYFUNCTION("""COMPUTED_VALUE"""),45812.6458333333)</f>
        <v>45812.6458333333</v>
      </c>
      <c r="D49" s="48">
        <f>IFERROR(__xludf.DUMMYFUNCTION("""COMPUTED_VALUE"""),238)</f>
        <v>238</v>
      </c>
      <c r="E49" s="47">
        <f>IFERROR(__xludf.DUMMYFUNCTION("""COMPUTED_VALUE"""),45812.6458333333)</f>
        <v>45812.6458333333</v>
      </c>
      <c r="F49" s="48">
        <f>IFERROR(__xludf.DUMMYFUNCTION("""COMPUTED_VALUE"""),6733580)</f>
        <v>6733580</v>
      </c>
      <c r="G49" s="47">
        <f>IFERROR(__xludf.DUMMYFUNCTION("""COMPUTED_VALUE"""),45812.6458333333)</f>
        <v>45812.6458333333</v>
      </c>
      <c r="H49" s="48">
        <f>IFERROR(__xludf.DUMMYFUNCTION("""COMPUTED_VALUE"""),238.5)</f>
        <v>238.5</v>
      </c>
      <c r="I49" s="47">
        <f>IFERROR(__xludf.DUMMYFUNCTION("""COMPUTED_VALUE"""),45812.6458333333)</f>
        <v>45812.6458333333</v>
      </c>
      <c r="J49" s="48">
        <f>IFERROR(__xludf.DUMMYFUNCTION("""COMPUTED_VALUE"""),235.5)</f>
        <v>235.5</v>
      </c>
      <c r="K49" s="3">
        <f t="shared" si="2"/>
        <v>0</v>
      </c>
      <c r="L49" s="3">
        <f t="shared" si="3"/>
        <v>0</v>
      </c>
    </row>
    <row r="50" customHeight="1" spans="1:12">
      <c r="A50" s="47">
        <f>IFERROR(__xludf.DUMMYFUNCTION("""COMPUTED_VALUE"""),45813.6458333333)</f>
        <v>45813.6458333333</v>
      </c>
      <c r="B50" s="48">
        <f>IFERROR(__xludf.DUMMYFUNCTION("""COMPUTED_VALUE"""),237.77)</f>
        <v>237.77</v>
      </c>
      <c r="C50" s="47">
        <f>IFERROR(__xludf.DUMMYFUNCTION("""COMPUTED_VALUE"""),45813.6458333333)</f>
        <v>45813.6458333333</v>
      </c>
      <c r="D50" s="48">
        <f>IFERROR(__xludf.DUMMYFUNCTION("""COMPUTED_VALUE"""),238.05)</f>
        <v>238.05</v>
      </c>
      <c r="E50" s="47">
        <f>IFERROR(__xludf.DUMMYFUNCTION("""COMPUTED_VALUE"""),45813.6458333333)</f>
        <v>45813.6458333333</v>
      </c>
      <c r="F50" s="48">
        <f>IFERROR(__xludf.DUMMYFUNCTION("""COMPUTED_VALUE"""),8941808)</f>
        <v>8941808</v>
      </c>
      <c r="G50" s="47">
        <f>IFERROR(__xludf.DUMMYFUNCTION("""COMPUTED_VALUE"""),45813.6458333333)</f>
        <v>45813.6458333333</v>
      </c>
      <c r="H50" s="48">
        <f>IFERROR(__xludf.DUMMYFUNCTION("""COMPUTED_VALUE"""),239.62)</f>
        <v>239.62</v>
      </c>
      <c r="I50" s="47">
        <f>IFERROR(__xludf.DUMMYFUNCTION("""COMPUTED_VALUE"""),45813.6458333333)</f>
        <v>45813.6458333333</v>
      </c>
      <c r="J50" s="48">
        <f>IFERROR(__xludf.DUMMYFUNCTION("""COMPUTED_VALUE"""),236.22)</f>
        <v>236.22</v>
      </c>
      <c r="K50" s="3">
        <f t="shared" si="2"/>
        <v>0</v>
      </c>
      <c r="L50" s="3">
        <f t="shared" si="3"/>
        <v>0</v>
      </c>
    </row>
    <row r="51" customHeight="1" spans="1:12">
      <c r="A51" s="47">
        <f>IFERROR(__xludf.DUMMYFUNCTION("""COMPUTED_VALUE"""),45814.6458333333)</f>
        <v>45814.6458333333</v>
      </c>
      <c r="B51" s="48">
        <f>IFERROR(__xludf.DUMMYFUNCTION("""COMPUTED_VALUE"""),240.06)</f>
        <v>240.06</v>
      </c>
      <c r="C51" s="47">
        <f>IFERROR(__xludf.DUMMYFUNCTION("""COMPUTED_VALUE"""),45814.6458333333)</f>
        <v>45814.6458333333</v>
      </c>
      <c r="D51" s="48">
        <f>IFERROR(__xludf.DUMMYFUNCTION("""COMPUTED_VALUE"""),237.79)</f>
        <v>237.79</v>
      </c>
      <c r="E51" s="47">
        <f>IFERROR(__xludf.DUMMYFUNCTION("""COMPUTED_VALUE"""),45814.6458333333)</f>
        <v>45814.6458333333</v>
      </c>
      <c r="F51" s="48">
        <f>IFERROR(__xludf.DUMMYFUNCTION("""COMPUTED_VALUE"""),5985346)</f>
        <v>5985346</v>
      </c>
      <c r="G51" s="47">
        <f>IFERROR(__xludf.DUMMYFUNCTION("""COMPUTED_VALUE"""),45814.6458333333)</f>
        <v>45814.6458333333</v>
      </c>
      <c r="H51" s="48">
        <f>IFERROR(__xludf.DUMMYFUNCTION("""COMPUTED_VALUE"""),240.47)</f>
        <v>240.47</v>
      </c>
      <c r="I51" s="47">
        <f>IFERROR(__xludf.DUMMYFUNCTION("""COMPUTED_VALUE"""),45814.6458333333)</f>
        <v>45814.6458333333</v>
      </c>
      <c r="J51" s="48">
        <f>IFERROR(__xludf.DUMMYFUNCTION("""COMPUTED_VALUE"""),237.51)</f>
        <v>237.51</v>
      </c>
      <c r="K51" s="3">
        <f t="shared" si="2"/>
        <v>0</v>
      </c>
      <c r="L51" s="3">
        <f t="shared" si="3"/>
        <v>0</v>
      </c>
    </row>
    <row r="52" customHeight="1" spans="1:12">
      <c r="A52" s="47">
        <f>IFERROR(__xludf.DUMMYFUNCTION("""COMPUTED_VALUE"""),45817.6458333333)</f>
        <v>45817.6458333333</v>
      </c>
      <c r="B52" s="48">
        <f>IFERROR(__xludf.DUMMYFUNCTION("""COMPUTED_VALUE"""),242.8)</f>
        <v>242.8</v>
      </c>
      <c r="C52" s="47">
        <f>IFERROR(__xludf.DUMMYFUNCTION("""COMPUTED_VALUE"""),45817.6458333333)</f>
        <v>45817.6458333333</v>
      </c>
      <c r="D52" s="48">
        <f>IFERROR(__xludf.DUMMYFUNCTION("""COMPUTED_VALUE"""),241.78)</f>
        <v>241.78</v>
      </c>
      <c r="E52" s="47">
        <f>IFERROR(__xludf.DUMMYFUNCTION("""COMPUTED_VALUE"""),45817.6458333333)</f>
        <v>45817.6458333333</v>
      </c>
      <c r="F52" s="48">
        <f>IFERROR(__xludf.DUMMYFUNCTION("""COMPUTED_VALUE"""),7719525)</f>
        <v>7719525</v>
      </c>
      <c r="G52" s="47">
        <f>IFERROR(__xludf.DUMMYFUNCTION("""COMPUTED_VALUE"""),45817.6458333333)</f>
        <v>45817.6458333333</v>
      </c>
      <c r="H52" s="48">
        <f>IFERROR(__xludf.DUMMYFUNCTION("""COMPUTED_VALUE"""),244.12)</f>
        <v>244.12</v>
      </c>
      <c r="I52" s="47">
        <f>IFERROR(__xludf.DUMMYFUNCTION("""COMPUTED_VALUE"""),45817.6458333333)</f>
        <v>45817.6458333333</v>
      </c>
      <c r="J52" s="48">
        <f>IFERROR(__xludf.DUMMYFUNCTION("""COMPUTED_VALUE"""),240.5)</f>
        <v>240.5</v>
      </c>
      <c r="K52" s="3">
        <f t="shared" si="2"/>
        <v>0</v>
      </c>
      <c r="L52" s="3">
        <f t="shared" si="3"/>
        <v>0</v>
      </c>
    </row>
    <row r="53" customHeight="1" spans="1:12">
      <c r="A53" s="47">
        <f>IFERROR(__xludf.DUMMYFUNCTION("""COMPUTED_VALUE"""),45818.6458333333)</f>
        <v>45818.6458333333</v>
      </c>
      <c r="B53" s="48">
        <f>IFERROR(__xludf.DUMMYFUNCTION("""COMPUTED_VALUE"""),244.68)</f>
        <v>244.68</v>
      </c>
      <c r="C53" s="47">
        <f>IFERROR(__xludf.DUMMYFUNCTION("""COMPUTED_VALUE"""),45818.6458333333)</f>
        <v>45818.6458333333</v>
      </c>
      <c r="D53" s="48">
        <f>IFERROR(__xludf.DUMMYFUNCTION("""COMPUTED_VALUE"""),244.25)</f>
        <v>244.25</v>
      </c>
      <c r="E53" s="47">
        <f>IFERROR(__xludf.DUMMYFUNCTION("""COMPUTED_VALUE"""),45818.6458333333)</f>
        <v>45818.6458333333</v>
      </c>
      <c r="F53" s="48">
        <f>IFERROR(__xludf.DUMMYFUNCTION("""COMPUTED_VALUE"""),7659657)</f>
        <v>7659657</v>
      </c>
      <c r="G53" s="47">
        <f>IFERROR(__xludf.DUMMYFUNCTION("""COMPUTED_VALUE"""),45818.6458333333)</f>
        <v>45818.6458333333</v>
      </c>
      <c r="H53" s="48">
        <f>IFERROR(__xludf.DUMMYFUNCTION("""COMPUTED_VALUE"""),245)</f>
        <v>245</v>
      </c>
      <c r="I53" s="47">
        <f>IFERROR(__xludf.DUMMYFUNCTION("""COMPUTED_VALUE"""),45818.6458333333)</f>
        <v>45818.6458333333</v>
      </c>
      <c r="J53" s="48">
        <f>IFERROR(__xludf.DUMMYFUNCTION("""COMPUTED_VALUE"""),242.59)</f>
        <v>242.59</v>
      </c>
      <c r="K53" s="3">
        <f t="shared" si="2"/>
        <v>0</v>
      </c>
      <c r="L53" s="3">
        <f t="shared" si="3"/>
        <v>0</v>
      </c>
    </row>
    <row r="54" customHeight="1" spans="1:12">
      <c r="A54" s="47">
        <f>IFERROR(__xludf.DUMMYFUNCTION("""COMPUTED_VALUE"""),45819.6458333333)</f>
        <v>45819.6458333333</v>
      </c>
      <c r="B54" s="48">
        <f>IFERROR(__xludf.DUMMYFUNCTION("""COMPUTED_VALUE"""),247.32)</f>
        <v>247.32</v>
      </c>
      <c r="C54" s="47">
        <f>IFERROR(__xludf.DUMMYFUNCTION("""COMPUTED_VALUE"""),45819.6458333333)</f>
        <v>45819.6458333333</v>
      </c>
      <c r="D54" s="48">
        <f>IFERROR(__xludf.DUMMYFUNCTION("""COMPUTED_VALUE"""),244.5)</f>
        <v>244.5</v>
      </c>
      <c r="E54" s="47">
        <f>IFERROR(__xludf.DUMMYFUNCTION("""COMPUTED_VALUE"""),45819.6458333333)</f>
        <v>45819.6458333333</v>
      </c>
      <c r="F54" s="48">
        <f>IFERROR(__xludf.DUMMYFUNCTION("""COMPUTED_VALUE"""),20842417)</f>
        <v>20842417</v>
      </c>
      <c r="G54" s="47">
        <f>IFERROR(__xludf.DUMMYFUNCTION("""COMPUTED_VALUE"""),45819.6458333333)</f>
        <v>45819.6458333333</v>
      </c>
      <c r="H54" s="48">
        <f>IFERROR(__xludf.DUMMYFUNCTION("""COMPUTED_VALUE"""),250.4)</f>
        <v>250.4</v>
      </c>
      <c r="I54" s="47">
        <f>IFERROR(__xludf.DUMMYFUNCTION("""COMPUTED_VALUE"""),45819.6458333333)</f>
        <v>45819.6458333333</v>
      </c>
      <c r="J54" s="48">
        <f>IFERROR(__xludf.DUMMYFUNCTION("""COMPUTED_VALUE"""),243.55)</f>
        <v>243.55</v>
      </c>
      <c r="K54" s="3">
        <f t="shared" si="2"/>
        <v>0</v>
      </c>
      <c r="L54" s="3">
        <f t="shared" si="3"/>
        <v>0</v>
      </c>
    </row>
    <row r="55" customHeight="1" spans="1:12">
      <c r="A55" s="47">
        <f>IFERROR(__xludf.DUMMYFUNCTION("""COMPUTED_VALUE"""),45820.6458333333)</f>
        <v>45820.6458333333</v>
      </c>
      <c r="B55" s="48">
        <f>IFERROR(__xludf.DUMMYFUNCTION("""COMPUTED_VALUE"""),247.88)</f>
        <v>247.88</v>
      </c>
      <c r="C55" s="47">
        <f>IFERROR(__xludf.DUMMYFUNCTION("""COMPUTED_VALUE"""),45820.6458333333)</f>
        <v>45820.6458333333</v>
      </c>
      <c r="D55" s="48">
        <f>IFERROR(__xludf.DUMMYFUNCTION("""COMPUTED_VALUE"""),251.5)</f>
        <v>251.5</v>
      </c>
      <c r="E55" s="47">
        <f>IFERROR(__xludf.DUMMYFUNCTION("""COMPUTED_VALUE"""),45820.6458333333)</f>
        <v>45820.6458333333</v>
      </c>
      <c r="F55" s="48">
        <f>IFERROR(__xludf.DUMMYFUNCTION("""COMPUTED_VALUE"""),35613271)</f>
        <v>35613271</v>
      </c>
      <c r="G55" s="47">
        <f>IFERROR(__xludf.DUMMYFUNCTION("""COMPUTED_VALUE"""),45820.6458333333)</f>
        <v>45820.6458333333</v>
      </c>
      <c r="H55" s="48">
        <f>IFERROR(__xludf.DUMMYFUNCTION("""COMPUTED_VALUE"""),255.2)</f>
        <v>255.2</v>
      </c>
      <c r="I55" s="47">
        <f>IFERROR(__xludf.DUMMYFUNCTION("""COMPUTED_VALUE"""),45820.6458333333)</f>
        <v>45820.6458333333</v>
      </c>
      <c r="J55" s="48">
        <f>IFERROR(__xludf.DUMMYFUNCTION("""COMPUTED_VALUE"""),246.75)</f>
        <v>246.75</v>
      </c>
      <c r="K55" s="3">
        <f t="shared" si="2"/>
        <v>0</v>
      </c>
      <c r="L55" s="3">
        <f t="shared" si="3"/>
        <v>0</v>
      </c>
    </row>
    <row r="56" customHeight="1" spans="1:12">
      <c r="A56" s="47">
        <f>IFERROR(__xludf.DUMMYFUNCTION("""COMPUTED_VALUE"""),45821.6458333333)</f>
        <v>45821.6458333333</v>
      </c>
      <c r="B56" s="48">
        <f>IFERROR(__xludf.DUMMYFUNCTION("""COMPUTED_VALUE"""),251.51)</f>
        <v>251.51</v>
      </c>
      <c r="C56" s="47">
        <f>IFERROR(__xludf.DUMMYFUNCTION("""COMPUTED_VALUE"""),45821.6458333333)</f>
        <v>45821.6458333333</v>
      </c>
      <c r="D56" s="48">
        <f>IFERROR(__xludf.DUMMYFUNCTION("""COMPUTED_VALUE"""),255.55)</f>
        <v>255.55</v>
      </c>
      <c r="E56" s="47">
        <f>IFERROR(__xludf.DUMMYFUNCTION("""COMPUTED_VALUE"""),45821.6458333333)</f>
        <v>45821.6458333333</v>
      </c>
      <c r="F56" s="48">
        <f>IFERROR(__xludf.DUMMYFUNCTION("""COMPUTED_VALUE"""),39320377)</f>
        <v>39320377</v>
      </c>
      <c r="G56" s="47">
        <f>IFERROR(__xludf.DUMMYFUNCTION("""COMPUTED_VALUE"""),45821.6458333333)</f>
        <v>45821.6458333333</v>
      </c>
      <c r="H56" s="48">
        <f>IFERROR(__xludf.DUMMYFUNCTION("""COMPUTED_VALUE"""),255.95)</f>
        <v>255.95</v>
      </c>
      <c r="I56" s="47">
        <f>IFERROR(__xludf.DUMMYFUNCTION("""COMPUTED_VALUE"""),45821.6458333333)</f>
        <v>45821.6458333333</v>
      </c>
      <c r="J56" s="48">
        <f>IFERROR(__xludf.DUMMYFUNCTION("""COMPUTED_VALUE"""),249.12)</f>
        <v>249.12</v>
      </c>
      <c r="K56" s="3">
        <f t="shared" si="2"/>
        <v>0</v>
      </c>
      <c r="L56" s="3">
        <f t="shared" si="3"/>
        <v>0</v>
      </c>
    </row>
    <row r="57" customHeight="1" spans="1:12">
      <c r="A57" s="47">
        <f>IFERROR(__xludf.DUMMYFUNCTION("""COMPUTED_VALUE"""),45824.6458333333)</f>
        <v>45824.6458333333</v>
      </c>
      <c r="B57" s="48">
        <f>IFERROR(__xludf.DUMMYFUNCTION("""COMPUTED_VALUE"""),256.79)</f>
        <v>256.79</v>
      </c>
      <c r="C57" s="47">
        <f>IFERROR(__xludf.DUMMYFUNCTION("""COMPUTED_VALUE"""),45824.6458333333)</f>
        <v>45824.6458333333</v>
      </c>
      <c r="D57" s="48">
        <f>IFERROR(__xludf.DUMMYFUNCTION("""COMPUTED_VALUE"""),253.99)</f>
        <v>253.99</v>
      </c>
      <c r="E57" s="47">
        <f>IFERROR(__xludf.DUMMYFUNCTION("""COMPUTED_VALUE"""),45824.6458333333)</f>
        <v>45824.6458333333</v>
      </c>
      <c r="F57" s="48">
        <f>IFERROR(__xludf.DUMMYFUNCTION("""COMPUTED_VALUE"""),41444122)</f>
        <v>41444122</v>
      </c>
      <c r="G57" s="47">
        <f>IFERROR(__xludf.DUMMYFUNCTION("""COMPUTED_VALUE"""),45824.6458333333)</f>
        <v>45824.6458333333</v>
      </c>
      <c r="H57" s="48">
        <f>IFERROR(__xludf.DUMMYFUNCTION("""COMPUTED_VALUE"""),257.5)</f>
        <v>257.5</v>
      </c>
      <c r="I57" s="47">
        <f>IFERROR(__xludf.DUMMYFUNCTION("""COMPUTED_VALUE"""),45824.6458333333)</f>
        <v>45824.6458333333</v>
      </c>
      <c r="J57" s="48">
        <f>IFERROR(__xludf.DUMMYFUNCTION("""COMPUTED_VALUE"""),252.19)</f>
        <v>252.19</v>
      </c>
      <c r="K57" s="3">
        <f t="shared" si="2"/>
        <v>256.79</v>
      </c>
      <c r="L57" s="3">
        <f t="shared" si="3"/>
        <v>0</v>
      </c>
    </row>
    <row r="58" customHeight="1" spans="1:12">
      <c r="A58" s="47">
        <f>IFERROR(__xludf.DUMMYFUNCTION("""COMPUTED_VALUE"""),45825.6458333333)</f>
        <v>45825.6458333333</v>
      </c>
      <c r="B58" s="48">
        <f>IFERROR(__xludf.DUMMYFUNCTION("""COMPUTED_VALUE"""),252.31)</f>
        <v>252.31</v>
      </c>
      <c r="C58" s="47">
        <f>IFERROR(__xludf.DUMMYFUNCTION("""COMPUTED_VALUE"""),45825.6458333333)</f>
        <v>45825.6458333333</v>
      </c>
      <c r="D58" s="48">
        <f>IFERROR(__xludf.DUMMYFUNCTION("""COMPUTED_VALUE"""),256.94)</f>
        <v>256.94</v>
      </c>
      <c r="E58" s="47">
        <f>IFERROR(__xludf.DUMMYFUNCTION("""COMPUTED_VALUE"""),45825.6458333333)</f>
        <v>45825.6458333333</v>
      </c>
      <c r="F58" s="48">
        <f>IFERROR(__xludf.DUMMYFUNCTION("""COMPUTED_VALUE"""),18781097)</f>
        <v>18781097</v>
      </c>
      <c r="G58" s="47">
        <f>IFERROR(__xludf.DUMMYFUNCTION("""COMPUTED_VALUE"""),45825.6458333333)</f>
        <v>45825.6458333333</v>
      </c>
      <c r="H58" s="48">
        <f>IFERROR(__xludf.DUMMYFUNCTION("""COMPUTED_VALUE"""),257.09)</f>
        <v>257.09</v>
      </c>
      <c r="I58" s="47">
        <f>IFERROR(__xludf.DUMMYFUNCTION("""COMPUTED_VALUE"""),45825.6458333333)</f>
        <v>45825.6458333333</v>
      </c>
      <c r="J58" s="48">
        <f>IFERROR(__xludf.DUMMYFUNCTION("""COMPUTED_VALUE"""),251.55)</f>
        <v>251.55</v>
      </c>
      <c r="K58" s="3">
        <f t="shared" si="2"/>
        <v>0</v>
      </c>
      <c r="L58" s="3">
        <f t="shared" si="3"/>
        <v>0</v>
      </c>
    </row>
    <row r="59" customHeight="1" spans="1:12">
      <c r="A59" s="47">
        <f>IFERROR(__xludf.DUMMYFUNCTION("""COMPUTED_VALUE"""),45826.6458333333)</f>
        <v>45826.6458333333</v>
      </c>
      <c r="B59" s="48">
        <f>IFERROR(__xludf.DUMMYFUNCTION("""COMPUTED_VALUE"""),250.36)</f>
        <v>250.36</v>
      </c>
      <c r="C59" s="47">
        <f>IFERROR(__xludf.DUMMYFUNCTION("""COMPUTED_VALUE"""),45826.6458333333)</f>
        <v>45826.6458333333</v>
      </c>
      <c r="D59" s="48">
        <f>IFERROR(__xludf.DUMMYFUNCTION("""COMPUTED_VALUE"""),254.03)</f>
        <v>254.03</v>
      </c>
      <c r="E59" s="47">
        <f>IFERROR(__xludf.DUMMYFUNCTION("""COMPUTED_VALUE"""),45826.6458333333)</f>
        <v>45826.6458333333</v>
      </c>
      <c r="F59" s="48">
        <f>IFERROR(__xludf.DUMMYFUNCTION("""COMPUTED_VALUE"""),12691905)</f>
        <v>12691905</v>
      </c>
      <c r="G59" s="47">
        <f>IFERROR(__xludf.DUMMYFUNCTION("""COMPUTED_VALUE"""),45826.6458333333)</f>
        <v>45826.6458333333</v>
      </c>
      <c r="H59" s="48">
        <f>IFERROR(__xludf.DUMMYFUNCTION("""COMPUTED_VALUE"""),255.89)</f>
        <v>255.89</v>
      </c>
      <c r="I59" s="47">
        <f>IFERROR(__xludf.DUMMYFUNCTION("""COMPUTED_VALUE"""),45826.6458333333)</f>
        <v>45826.6458333333</v>
      </c>
      <c r="J59" s="48">
        <f>IFERROR(__xludf.DUMMYFUNCTION("""COMPUTED_VALUE"""),249.77)</f>
        <v>249.77</v>
      </c>
      <c r="K59" s="3">
        <f t="shared" si="2"/>
        <v>0</v>
      </c>
      <c r="L59" s="3">
        <f t="shared" si="3"/>
        <v>0</v>
      </c>
    </row>
    <row r="60" customHeight="1" spans="1:12">
      <c r="A60" s="47">
        <f>IFERROR(__xludf.DUMMYFUNCTION("""COMPUTED_VALUE"""),45827.6458333333)</f>
        <v>45827.6458333333</v>
      </c>
      <c r="B60" s="48">
        <f>IFERROR(__xludf.DUMMYFUNCTION("""COMPUTED_VALUE"""),251.56)</f>
        <v>251.56</v>
      </c>
      <c r="C60" s="47">
        <f>IFERROR(__xludf.DUMMYFUNCTION("""COMPUTED_VALUE"""),45827.6458333333)</f>
        <v>45827.6458333333</v>
      </c>
      <c r="D60" s="48">
        <f>IFERROR(__xludf.DUMMYFUNCTION("""COMPUTED_VALUE"""),250.5)</f>
        <v>250.5</v>
      </c>
      <c r="E60" s="47">
        <f>IFERROR(__xludf.DUMMYFUNCTION("""COMPUTED_VALUE"""),45827.6458333333)</f>
        <v>45827.6458333333</v>
      </c>
      <c r="F60" s="48">
        <f>IFERROR(__xludf.DUMMYFUNCTION("""COMPUTED_VALUE"""),10790997)</f>
        <v>10790997</v>
      </c>
      <c r="G60" s="47">
        <f>IFERROR(__xludf.DUMMYFUNCTION("""COMPUTED_VALUE"""),45827.6458333333)</f>
        <v>45827.6458333333</v>
      </c>
      <c r="H60" s="48">
        <f>IFERROR(__xludf.DUMMYFUNCTION("""COMPUTED_VALUE"""),253)</f>
        <v>253</v>
      </c>
      <c r="I60" s="47">
        <f>IFERROR(__xludf.DUMMYFUNCTION("""COMPUTED_VALUE"""),45827.6458333333)</f>
        <v>45827.6458333333</v>
      </c>
      <c r="J60" s="48">
        <f>IFERROR(__xludf.DUMMYFUNCTION("""COMPUTED_VALUE"""),248.2)</f>
        <v>248.2</v>
      </c>
      <c r="K60" s="3">
        <f t="shared" si="2"/>
        <v>0</v>
      </c>
      <c r="L60" s="3">
        <f t="shared" si="3"/>
        <v>0</v>
      </c>
    </row>
    <row r="61" customHeight="1" spans="1:12">
      <c r="A61" s="47">
        <f>IFERROR(__xludf.DUMMYFUNCTION("""COMPUTED_VALUE"""),45828.6458333333)</f>
        <v>45828.6458333333</v>
      </c>
      <c r="B61" s="48">
        <f>IFERROR(__xludf.DUMMYFUNCTION("""COMPUTED_VALUE"""),251.89)</f>
        <v>251.89</v>
      </c>
      <c r="C61" s="47">
        <f>IFERROR(__xludf.DUMMYFUNCTION("""COMPUTED_VALUE"""),45828.6458333333)</f>
        <v>45828.6458333333</v>
      </c>
      <c r="D61" s="48">
        <f>IFERROR(__xludf.DUMMYFUNCTION("""COMPUTED_VALUE"""),252.26)</f>
        <v>252.26</v>
      </c>
      <c r="E61" s="47">
        <f>IFERROR(__xludf.DUMMYFUNCTION("""COMPUTED_VALUE"""),45828.6458333333)</f>
        <v>45828.6458333333</v>
      </c>
      <c r="F61" s="48">
        <f>IFERROR(__xludf.DUMMYFUNCTION("""COMPUTED_VALUE"""),15907673)</f>
        <v>15907673</v>
      </c>
      <c r="G61" s="47">
        <f>IFERROR(__xludf.DUMMYFUNCTION("""COMPUTED_VALUE"""),45828.6458333333)</f>
        <v>45828.6458333333</v>
      </c>
      <c r="H61" s="48">
        <f>IFERROR(__xludf.DUMMYFUNCTION("""COMPUTED_VALUE"""),253.25)</f>
        <v>253.25</v>
      </c>
      <c r="I61" s="47">
        <f>IFERROR(__xludf.DUMMYFUNCTION("""COMPUTED_VALUE"""),45828.6458333333)</f>
        <v>45828.6458333333</v>
      </c>
      <c r="J61" s="48">
        <f>IFERROR(__xludf.DUMMYFUNCTION("""COMPUTED_VALUE"""),249.35)</f>
        <v>249.35</v>
      </c>
      <c r="K61" s="3">
        <f t="shared" si="2"/>
        <v>0</v>
      </c>
      <c r="L61" s="3">
        <f t="shared" si="3"/>
        <v>0</v>
      </c>
    </row>
    <row r="62" customHeight="1" spans="1:12">
      <c r="A62" s="47">
        <f>IFERROR(__xludf.DUMMYFUNCTION("""COMPUTED_VALUE"""),45831.6458333333)</f>
        <v>45831.6458333333</v>
      </c>
      <c r="B62" s="48">
        <f>IFERROR(__xludf.DUMMYFUNCTION("""COMPUTED_VALUE"""),251.38)</f>
        <v>251.38</v>
      </c>
      <c r="C62" s="47">
        <f>IFERROR(__xludf.DUMMYFUNCTION("""COMPUTED_VALUE"""),45831.6458333333)</f>
        <v>45831.6458333333</v>
      </c>
      <c r="D62" s="48">
        <f>IFERROR(__xludf.DUMMYFUNCTION("""COMPUTED_VALUE"""),253.01)</f>
        <v>253.01</v>
      </c>
      <c r="E62" s="47">
        <f>IFERROR(__xludf.DUMMYFUNCTION("""COMPUTED_VALUE"""),45831.6458333333)</f>
        <v>45831.6458333333</v>
      </c>
      <c r="F62" s="48">
        <f>IFERROR(__xludf.DUMMYFUNCTION("""COMPUTED_VALUE"""),16776881)</f>
        <v>16776881</v>
      </c>
      <c r="G62" s="47">
        <f>IFERROR(__xludf.DUMMYFUNCTION("""COMPUTED_VALUE"""),45831.6458333333)</f>
        <v>45831.6458333333</v>
      </c>
      <c r="H62" s="48">
        <f>IFERROR(__xludf.DUMMYFUNCTION("""COMPUTED_VALUE"""),255.49)</f>
        <v>255.49</v>
      </c>
      <c r="I62" s="47">
        <f>IFERROR(__xludf.DUMMYFUNCTION("""COMPUTED_VALUE"""),45831.6458333333)</f>
        <v>45831.6458333333</v>
      </c>
      <c r="J62" s="48">
        <f>IFERROR(__xludf.DUMMYFUNCTION("""COMPUTED_VALUE"""),250.33)</f>
        <v>250.33</v>
      </c>
      <c r="K62" s="3">
        <f t="shared" si="2"/>
        <v>0</v>
      </c>
      <c r="L62" s="3">
        <f t="shared" si="3"/>
        <v>0</v>
      </c>
    </row>
    <row r="63" customHeight="1" spans="1:12">
      <c r="A63" s="47">
        <f>IFERROR(__xludf.DUMMYFUNCTION("""COMPUTED_VALUE"""),45832.6458333333)</f>
        <v>45832.6458333333</v>
      </c>
      <c r="B63" s="48">
        <f>IFERROR(__xludf.DUMMYFUNCTION("""COMPUTED_VALUE"""),243.92)</f>
        <v>243.92</v>
      </c>
      <c r="C63" s="47">
        <f>IFERROR(__xludf.DUMMYFUNCTION("""COMPUTED_VALUE"""),45832.6458333333)</f>
        <v>45832.6458333333</v>
      </c>
      <c r="D63" s="48">
        <f>IFERROR(__xludf.DUMMYFUNCTION("""COMPUTED_VALUE"""),247.5)</f>
        <v>247.5</v>
      </c>
      <c r="E63" s="47">
        <f>IFERROR(__xludf.DUMMYFUNCTION("""COMPUTED_VALUE"""),45832.6458333333)</f>
        <v>45832.6458333333</v>
      </c>
      <c r="F63" s="48">
        <f>IFERROR(__xludf.DUMMYFUNCTION("""COMPUTED_VALUE"""),22215004)</f>
        <v>22215004</v>
      </c>
      <c r="G63" s="47">
        <f>IFERROR(__xludf.DUMMYFUNCTION("""COMPUTED_VALUE"""),45832.6458333333)</f>
        <v>45832.6458333333</v>
      </c>
      <c r="H63" s="48">
        <f>IFERROR(__xludf.DUMMYFUNCTION("""COMPUTED_VALUE"""),248)</f>
        <v>248</v>
      </c>
      <c r="I63" s="47">
        <f>IFERROR(__xludf.DUMMYFUNCTION("""COMPUTED_VALUE"""),45832.6458333333)</f>
        <v>45832.6458333333</v>
      </c>
      <c r="J63" s="48">
        <f>IFERROR(__xludf.DUMMYFUNCTION("""COMPUTED_VALUE"""),243.49)</f>
        <v>243.49</v>
      </c>
      <c r="K63" s="3">
        <f t="shared" si="2"/>
        <v>0</v>
      </c>
      <c r="L63" s="3">
        <f t="shared" si="3"/>
        <v>0</v>
      </c>
    </row>
    <row r="64" customHeight="1" spans="1:12">
      <c r="A64" s="47">
        <f>IFERROR(__xludf.DUMMYFUNCTION("""COMPUTED_VALUE"""),45833.6458333333)</f>
        <v>45833.6458333333</v>
      </c>
      <c r="B64" s="48">
        <f>IFERROR(__xludf.DUMMYFUNCTION("""COMPUTED_VALUE"""),241.91)</f>
        <v>241.91</v>
      </c>
      <c r="C64" s="47">
        <f>IFERROR(__xludf.DUMMYFUNCTION("""COMPUTED_VALUE"""),45833.6458333333)</f>
        <v>45833.6458333333</v>
      </c>
      <c r="D64" s="48">
        <f>IFERROR(__xludf.DUMMYFUNCTION("""COMPUTED_VALUE"""),244)</f>
        <v>244</v>
      </c>
      <c r="E64" s="47">
        <f>IFERROR(__xludf.DUMMYFUNCTION("""COMPUTED_VALUE"""),45833.6458333333)</f>
        <v>45833.6458333333</v>
      </c>
      <c r="F64" s="48">
        <f>IFERROR(__xludf.DUMMYFUNCTION("""COMPUTED_VALUE"""),13056178)</f>
        <v>13056178</v>
      </c>
      <c r="G64" s="47">
        <f>IFERROR(__xludf.DUMMYFUNCTION("""COMPUTED_VALUE"""),45833.6458333333)</f>
        <v>45833.6458333333</v>
      </c>
      <c r="H64" s="48">
        <f>IFERROR(__xludf.DUMMYFUNCTION("""COMPUTED_VALUE"""),245.3)</f>
        <v>245.3</v>
      </c>
      <c r="I64" s="47">
        <f>IFERROR(__xludf.DUMMYFUNCTION("""COMPUTED_VALUE"""),45833.6458333333)</f>
        <v>45833.6458333333</v>
      </c>
      <c r="J64" s="48">
        <f>IFERROR(__xludf.DUMMYFUNCTION("""COMPUTED_VALUE"""),241.5)</f>
        <v>241.5</v>
      </c>
      <c r="K64" s="3">
        <f t="shared" si="2"/>
        <v>0</v>
      </c>
      <c r="L64" s="3">
        <f t="shared" si="3"/>
        <v>0</v>
      </c>
    </row>
    <row r="65" customHeight="1" spans="1:12">
      <c r="A65" s="47">
        <f>IFERROR(__xludf.DUMMYFUNCTION("""COMPUTED_VALUE"""),45834.6458333333)</f>
        <v>45834.6458333333</v>
      </c>
      <c r="B65" s="48">
        <f>IFERROR(__xludf.DUMMYFUNCTION("""COMPUTED_VALUE"""),244.73)</f>
        <v>244.73</v>
      </c>
      <c r="C65" s="47">
        <f>IFERROR(__xludf.DUMMYFUNCTION("""COMPUTED_VALUE"""),45834.6458333333)</f>
        <v>45834.6458333333</v>
      </c>
      <c r="D65" s="48">
        <f>IFERROR(__xludf.DUMMYFUNCTION("""COMPUTED_VALUE"""),242)</f>
        <v>242</v>
      </c>
      <c r="E65" s="47">
        <f>IFERROR(__xludf.DUMMYFUNCTION("""COMPUTED_VALUE"""),45834.6458333333)</f>
        <v>45834.6458333333</v>
      </c>
      <c r="F65" s="48">
        <f>IFERROR(__xludf.DUMMYFUNCTION("""COMPUTED_VALUE"""),15769123)</f>
        <v>15769123</v>
      </c>
      <c r="G65" s="47">
        <f>IFERROR(__xludf.DUMMYFUNCTION("""COMPUTED_VALUE"""),45834.6458333333)</f>
        <v>45834.6458333333</v>
      </c>
      <c r="H65" s="48">
        <f>IFERROR(__xludf.DUMMYFUNCTION("""COMPUTED_VALUE"""),245.37)</f>
        <v>245.37</v>
      </c>
      <c r="I65" s="47">
        <f>IFERROR(__xludf.DUMMYFUNCTION("""COMPUTED_VALUE"""),45834.6458333333)</f>
        <v>45834.6458333333</v>
      </c>
      <c r="J65" s="48">
        <f>IFERROR(__xludf.DUMMYFUNCTION("""COMPUTED_VALUE"""),241.54)</f>
        <v>241.54</v>
      </c>
      <c r="K65" s="3">
        <f t="shared" si="2"/>
        <v>0</v>
      </c>
      <c r="L65" s="3">
        <f t="shared" si="3"/>
        <v>0</v>
      </c>
    </row>
    <row r="66" customHeight="1" spans="1:12">
      <c r="A66" s="47">
        <f>IFERROR(__xludf.DUMMYFUNCTION("""COMPUTED_VALUE"""),45835.6458333333)</f>
        <v>45835.6458333333</v>
      </c>
      <c r="B66" s="48">
        <f>IFERROR(__xludf.DUMMYFUNCTION("""COMPUTED_VALUE"""),242.83)</f>
        <v>242.83</v>
      </c>
      <c r="C66" s="47">
        <f>IFERROR(__xludf.DUMMYFUNCTION("""COMPUTED_VALUE"""),45835.6458333333)</f>
        <v>45835.6458333333</v>
      </c>
      <c r="D66" s="48">
        <f>IFERROR(__xludf.DUMMYFUNCTION("""COMPUTED_VALUE"""),245.01)</f>
        <v>245.01</v>
      </c>
      <c r="E66" s="47">
        <f>IFERROR(__xludf.DUMMYFUNCTION("""COMPUTED_VALUE"""),45835.6458333333)</f>
        <v>45835.6458333333</v>
      </c>
      <c r="F66" s="48">
        <f>IFERROR(__xludf.DUMMYFUNCTION("""COMPUTED_VALUE"""),21691960)</f>
        <v>21691960</v>
      </c>
      <c r="G66" s="47">
        <f>IFERROR(__xludf.DUMMYFUNCTION("""COMPUTED_VALUE"""),45835.6458333333)</f>
        <v>45835.6458333333</v>
      </c>
      <c r="H66" s="48">
        <f>IFERROR(__xludf.DUMMYFUNCTION("""COMPUTED_VALUE"""),246.22)</f>
        <v>246.22</v>
      </c>
      <c r="I66" s="47">
        <f>IFERROR(__xludf.DUMMYFUNCTION("""COMPUTED_VALUE"""),45835.6458333333)</f>
        <v>45835.6458333333</v>
      </c>
      <c r="J66" s="48">
        <f>IFERROR(__xludf.DUMMYFUNCTION("""COMPUTED_VALUE"""),242)</f>
        <v>242</v>
      </c>
      <c r="K66" s="3">
        <f t="shared" si="2"/>
        <v>0</v>
      </c>
      <c r="L66" s="3">
        <f t="shared" si="3"/>
        <v>0</v>
      </c>
    </row>
    <row r="67" customHeight="1" spans="1:12">
      <c r="A67" s="47">
        <f>IFERROR(__xludf.DUMMYFUNCTION("""COMPUTED_VALUE"""),45838.6458333333)</f>
        <v>45838.6458333333</v>
      </c>
      <c r="B67" s="48">
        <f>IFERROR(__xludf.DUMMYFUNCTION("""COMPUTED_VALUE"""),244.21)</f>
        <v>244.21</v>
      </c>
      <c r="C67" s="47">
        <f>IFERROR(__xludf.DUMMYFUNCTION("""COMPUTED_VALUE"""),45838.6458333333)</f>
        <v>45838.6458333333</v>
      </c>
      <c r="D67" s="48">
        <f>IFERROR(__xludf.DUMMYFUNCTION("""COMPUTED_VALUE"""),244)</f>
        <v>244</v>
      </c>
      <c r="E67" s="47">
        <f>IFERROR(__xludf.DUMMYFUNCTION("""COMPUTED_VALUE"""),45838.6458333333)</f>
        <v>45838.6458333333</v>
      </c>
      <c r="F67" s="48">
        <f>IFERROR(__xludf.DUMMYFUNCTION("""COMPUTED_VALUE"""),8783448)</f>
        <v>8783448</v>
      </c>
      <c r="G67" s="47">
        <f>IFERROR(__xludf.DUMMYFUNCTION("""COMPUTED_VALUE"""),45838.6458333333)</f>
        <v>45838.6458333333</v>
      </c>
      <c r="H67" s="48">
        <f>IFERROR(__xludf.DUMMYFUNCTION("""COMPUTED_VALUE"""),245.7)</f>
        <v>245.7</v>
      </c>
      <c r="I67" s="47">
        <f>IFERROR(__xludf.DUMMYFUNCTION("""COMPUTED_VALUE"""),45838.6458333333)</f>
        <v>45838.6458333333</v>
      </c>
      <c r="J67" s="48">
        <f>IFERROR(__xludf.DUMMYFUNCTION("""COMPUTED_VALUE"""),243)</f>
        <v>243</v>
      </c>
      <c r="K67" s="3">
        <f t="shared" si="2"/>
        <v>0</v>
      </c>
      <c r="L67" s="3">
        <f t="shared" si="3"/>
        <v>0</v>
      </c>
    </row>
    <row r="68" customHeight="1" spans="1:12">
      <c r="A68" s="47">
        <f>IFERROR(__xludf.DUMMYFUNCTION("""COMPUTED_VALUE"""),45839.6458333333)</f>
        <v>45839.6458333333</v>
      </c>
      <c r="B68" s="48">
        <f>IFERROR(__xludf.DUMMYFUNCTION("""COMPUTED_VALUE"""),243.37)</f>
        <v>243.37</v>
      </c>
      <c r="C68" s="47">
        <f>IFERROR(__xludf.DUMMYFUNCTION("""COMPUTED_VALUE"""),45839.6458333333)</f>
        <v>45839.6458333333</v>
      </c>
      <c r="D68" s="48">
        <f>IFERROR(__xludf.DUMMYFUNCTION("""COMPUTED_VALUE"""),245.3)</f>
        <v>245.3</v>
      </c>
      <c r="E68" s="47">
        <f>IFERROR(__xludf.DUMMYFUNCTION("""COMPUTED_VALUE"""),45839.6458333333)</f>
        <v>45839.6458333333</v>
      </c>
      <c r="F68" s="48">
        <f>IFERROR(__xludf.DUMMYFUNCTION("""COMPUTED_VALUE"""),8470489)</f>
        <v>8470489</v>
      </c>
      <c r="G68" s="47">
        <f>IFERROR(__xludf.DUMMYFUNCTION("""COMPUTED_VALUE"""),45839.6458333333)</f>
        <v>45839.6458333333</v>
      </c>
      <c r="H68" s="48">
        <f>IFERROR(__xludf.DUMMYFUNCTION("""COMPUTED_VALUE"""),245.3)</f>
        <v>245.3</v>
      </c>
      <c r="I68" s="47">
        <f>IFERROR(__xludf.DUMMYFUNCTION("""COMPUTED_VALUE"""),45839.6458333333)</f>
        <v>45839.6458333333</v>
      </c>
      <c r="J68" s="48">
        <f>IFERROR(__xludf.DUMMYFUNCTION("""COMPUTED_VALUE"""),241.3)</f>
        <v>241.3</v>
      </c>
      <c r="K68" s="3">
        <f t="shared" si="2"/>
        <v>0</v>
      </c>
      <c r="L68" s="3">
        <f t="shared" si="3"/>
        <v>0</v>
      </c>
    </row>
    <row r="69" customHeight="1" spans="1:12">
      <c r="A69" s="47">
        <f>IFERROR(__xludf.DUMMYFUNCTION("""COMPUTED_VALUE"""),45840.6458333333)</f>
        <v>45840.6458333333</v>
      </c>
      <c r="B69" s="48">
        <f>IFERROR(__xludf.DUMMYFUNCTION("""COMPUTED_VALUE"""),241.07)</f>
        <v>241.07</v>
      </c>
      <c r="C69" s="47">
        <f>IFERROR(__xludf.DUMMYFUNCTION("""COMPUTED_VALUE"""),45840.6458333333)</f>
        <v>45840.6458333333</v>
      </c>
      <c r="D69" s="48">
        <f>IFERROR(__xludf.DUMMYFUNCTION("""COMPUTED_VALUE"""),242.9)</f>
        <v>242.9</v>
      </c>
      <c r="E69" s="47">
        <f>IFERROR(__xludf.DUMMYFUNCTION("""COMPUTED_VALUE"""),45840.6458333333)</f>
        <v>45840.6458333333</v>
      </c>
      <c r="F69" s="48">
        <f>IFERROR(__xludf.DUMMYFUNCTION("""COMPUTED_VALUE"""),10419419)</f>
        <v>10419419</v>
      </c>
      <c r="G69" s="47">
        <f>IFERROR(__xludf.DUMMYFUNCTION("""COMPUTED_VALUE"""),45840.6458333333)</f>
        <v>45840.6458333333</v>
      </c>
      <c r="H69" s="48">
        <f>IFERROR(__xludf.DUMMYFUNCTION("""COMPUTED_VALUE"""),243.75)</f>
        <v>243.75</v>
      </c>
      <c r="I69" s="47">
        <f>IFERROR(__xludf.DUMMYFUNCTION("""COMPUTED_VALUE"""),45840.6458333333)</f>
        <v>45840.6458333333</v>
      </c>
      <c r="J69" s="48">
        <f>IFERROR(__xludf.DUMMYFUNCTION("""COMPUTED_VALUE"""),240.2)</f>
        <v>240.2</v>
      </c>
      <c r="K69" s="3">
        <f t="shared" si="2"/>
        <v>0</v>
      </c>
      <c r="L69" s="3">
        <f t="shared" si="3"/>
        <v>241.07</v>
      </c>
    </row>
    <row r="70" customHeight="1" spans="1:12">
      <c r="A70" s="47">
        <f>IFERROR(__xludf.DUMMYFUNCTION("""COMPUTED_VALUE"""),45841.6458333333)</f>
        <v>45841.6458333333</v>
      </c>
      <c r="B70" s="48">
        <f>IFERROR(__xludf.DUMMYFUNCTION("""COMPUTED_VALUE"""),244.05)</f>
        <v>244.05</v>
      </c>
      <c r="C70" s="47">
        <f>IFERROR(__xludf.DUMMYFUNCTION("""COMPUTED_VALUE"""),45841.6458333333)</f>
        <v>45841.6458333333</v>
      </c>
      <c r="D70" s="48">
        <f>IFERROR(__xludf.DUMMYFUNCTION("""COMPUTED_VALUE"""),242)</f>
        <v>242</v>
      </c>
      <c r="E70" s="47">
        <f>IFERROR(__xludf.DUMMYFUNCTION("""COMPUTED_VALUE"""),45841.6458333333)</f>
        <v>45841.6458333333</v>
      </c>
      <c r="F70" s="48">
        <f>IFERROR(__xludf.DUMMYFUNCTION("""COMPUTED_VALUE"""),13891239)</f>
        <v>13891239</v>
      </c>
      <c r="G70" s="47">
        <f>IFERROR(__xludf.DUMMYFUNCTION("""COMPUTED_VALUE"""),45841.6458333333)</f>
        <v>45841.6458333333</v>
      </c>
      <c r="H70" s="48">
        <f>IFERROR(__xludf.DUMMYFUNCTION("""COMPUTED_VALUE"""),246.2)</f>
        <v>246.2</v>
      </c>
      <c r="I70" s="47">
        <f>IFERROR(__xludf.DUMMYFUNCTION("""COMPUTED_VALUE"""),45841.6458333333)</f>
        <v>45841.6458333333</v>
      </c>
      <c r="J70" s="48">
        <f>IFERROR(__xludf.DUMMYFUNCTION("""COMPUTED_VALUE"""),241.8)</f>
        <v>241.8</v>
      </c>
      <c r="K70" s="3">
        <f t="shared" si="2"/>
        <v>0</v>
      </c>
      <c r="L70" s="3">
        <f t="shared" si="3"/>
        <v>0</v>
      </c>
    </row>
    <row r="71" customHeight="1" spans="1:12">
      <c r="A71" s="47">
        <f>IFERROR(__xludf.DUMMYFUNCTION("""COMPUTED_VALUE"""),45842.6458333333)</f>
        <v>45842.6458333333</v>
      </c>
      <c r="B71" s="48">
        <f>IFERROR(__xludf.DUMMYFUNCTION("""COMPUTED_VALUE"""),245.24)</f>
        <v>245.24</v>
      </c>
      <c r="C71" s="47">
        <f>IFERROR(__xludf.DUMMYFUNCTION("""COMPUTED_VALUE"""),45842.6458333333)</f>
        <v>45842.6458333333</v>
      </c>
      <c r="D71" s="48">
        <f>IFERROR(__xludf.DUMMYFUNCTION("""COMPUTED_VALUE"""),245.2)</f>
        <v>245.2</v>
      </c>
      <c r="E71" s="47">
        <f>IFERROR(__xludf.DUMMYFUNCTION("""COMPUTED_VALUE"""),45842.6458333333)</f>
        <v>45842.6458333333</v>
      </c>
      <c r="F71" s="48">
        <f>IFERROR(__xludf.DUMMYFUNCTION("""COMPUTED_VALUE"""),7717259)</f>
        <v>7717259</v>
      </c>
      <c r="G71" s="47">
        <f>IFERROR(__xludf.DUMMYFUNCTION("""COMPUTED_VALUE"""),45842.6458333333)</f>
        <v>45842.6458333333</v>
      </c>
      <c r="H71" s="48">
        <f>IFERROR(__xludf.DUMMYFUNCTION("""COMPUTED_VALUE"""),245.45)</f>
        <v>245.45</v>
      </c>
      <c r="I71" s="47">
        <f>IFERROR(__xludf.DUMMYFUNCTION("""COMPUTED_VALUE"""),45842.6458333333)</f>
        <v>45842.6458333333</v>
      </c>
      <c r="J71" s="48">
        <f>IFERROR(__xludf.DUMMYFUNCTION("""COMPUTED_VALUE"""),242.51)</f>
        <v>242.51</v>
      </c>
      <c r="K71" s="3">
        <f t="shared" si="2"/>
        <v>245.24</v>
      </c>
      <c r="L71" s="3">
        <f t="shared" si="3"/>
        <v>0</v>
      </c>
    </row>
    <row r="72" customHeight="1" spans="1:12">
      <c r="A72" s="47">
        <f>IFERROR(__xludf.DUMMYFUNCTION("""COMPUTED_VALUE"""),45845.6458333333)</f>
        <v>45845.6458333333</v>
      </c>
      <c r="B72" s="48">
        <f>IFERROR(__xludf.DUMMYFUNCTION("""COMPUTED_VALUE"""),241.52)</f>
        <v>241.52</v>
      </c>
      <c r="C72" s="47">
        <f>IFERROR(__xludf.DUMMYFUNCTION("""COMPUTED_VALUE"""),45845.6458333333)</f>
        <v>45845.6458333333</v>
      </c>
      <c r="D72" s="48">
        <f>IFERROR(__xludf.DUMMYFUNCTION("""COMPUTED_VALUE"""),245.5)</f>
        <v>245.5</v>
      </c>
      <c r="E72" s="47">
        <f>IFERROR(__xludf.DUMMYFUNCTION("""COMPUTED_VALUE"""),45845.6458333333)</f>
        <v>45845.6458333333</v>
      </c>
      <c r="F72" s="48">
        <f>IFERROR(__xludf.DUMMYFUNCTION("""COMPUTED_VALUE"""),9222263)</f>
        <v>9222263</v>
      </c>
      <c r="G72" s="47">
        <f>IFERROR(__xludf.DUMMYFUNCTION("""COMPUTED_VALUE"""),45845.6458333333)</f>
        <v>45845.6458333333</v>
      </c>
      <c r="H72" s="48">
        <f>IFERROR(__xludf.DUMMYFUNCTION("""COMPUTED_VALUE"""),245.5)</f>
        <v>245.5</v>
      </c>
      <c r="I72" s="47">
        <f>IFERROR(__xludf.DUMMYFUNCTION("""COMPUTED_VALUE"""),45845.6458333333)</f>
        <v>45845.6458333333</v>
      </c>
      <c r="J72" s="48">
        <f>IFERROR(__xludf.DUMMYFUNCTION("""COMPUTED_VALUE"""),240.83)</f>
        <v>240.83</v>
      </c>
      <c r="K72" s="3">
        <f t="shared" si="2"/>
        <v>0</v>
      </c>
      <c r="L72" s="3">
        <f t="shared" si="3"/>
        <v>0</v>
      </c>
    </row>
    <row r="73" customHeight="1" spans="1:12">
      <c r="A73" s="47">
        <f>IFERROR(__xludf.DUMMYFUNCTION("""COMPUTED_VALUE"""),45846.6458333333)</f>
        <v>45846.6458333333</v>
      </c>
      <c r="B73" s="48">
        <f>IFERROR(__xludf.DUMMYFUNCTION("""COMPUTED_VALUE"""),243.24)</f>
        <v>243.24</v>
      </c>
      <c r="C73" s="47">
        <f>IFERROR(__xludf.DUMMYFUNCTION("""COMPUTED_VALUE"""),45846.6458333333)</f>
        <v>45846.6458333333</v>
      </c>
      <c r="D73" s="48">
        <f>IFERROR(__xludf.DUMMYFUNCTION("""COMPUTED_VALUE"""),242.41)</f>
        <v>242.41</v>
      </c>
      <c r="E73" s="47">
        <f>IFERROR(__xludf.DUMMYFUNCTION("""COMPUTED_VALUE"""),45846.6458333333)</f>
        <v>45846.6458333333</v>
      </c>
      <c r="F73" s="48">
        <f>IFERROR(__xludf.DUMMYFUNCTION("""COMPUTED_VALUE"""),7537067)</f>
        <v>7537067</v>
      </c>
      <c r="G73" s="47">
        <f>IFERROR(__xludf.DUMMYFUNCTION("""COMPUTED_VALUE"""),45846.6458333333)</f>
        <v>45846.6458333333</v>
      </c>
      <c r="H73" s="48">
        <f>IFERROR(__xludf.DUMMYFUNCTION("""COMPUTED_VALUE"""),243.7)</f>
        <v>243.7</v>
      </c>
      <c r="I73" s="47">
        <f>IFERROR(__xludf.DUMMYFUNCTION("""COMPUTED_VALUE"""),45846.6458333333)</f>
        <v>45846.6458333333</v>
      </c>
      <c r="J73" s="48">
        <f>IFERROR(__xludf.DUMMYFUNCTION("""COMPUTED_VALUE"""),240.65)</f>
        <v>240.65</v>
      </c>
      <c r="K73" s="3">
        <f t="shared" si="2"/>
        <v>0</v>
      </c>
      <c r="L73" s="3">
        <f t="shared" si="3"/>
        <v>0</v>
      </c>
    </row>
    <row r="74" customHeight="1" spans="1:12">
      <c r="A74" s="47">
        <f>IFERROR(__xludf.DUMMYFUNCTION("""COMPUTED_VALUE"""),45847.6458333333)</f>
        <v>45847.6458333333</v>
      </c>
      <c r="B74" s="48">
        <f>IFERROR(__xludf.DUMMYFUNCTION("""COMPUTED_VALUE"""),243.35)</f>
        <v>243.35</v>
      </c>
      <c r="C74" s="47">
        <f>IFERROR(__xludf.DUMMYFUNCTION("""COMPUTED_VALUE"""),45847.6458333333)</f>
        <v>45847.6458333333</v>
      </c>
      <c r="D74" s="48">
        <f>IFERROR(__xludf.DUMMYFUNCTION("""COMPUTED_VALUE"""),243.35)</f>
        <v>243.35</v>
      </c>
      <c r="E74" s="47">
        <f>IFERROR(__xludf.DUMMYFUNCTION("""COMPUTED_VALUE"""),45847.6458333333)</f>
        <v>45847.6458333333</v>
      </c>
      <c r="F74" s="48">
        <f>IFERROR(__xludf.DUMMYFUNCTION("""COMPUTED_VALUE"""),9590680)</f>
        <v>9590680</v>
      </c>
      <c r="G74" s="47">
        <f>IFERROR(__xludf.DUMMYFUNCTION("""COMPUTED_VALUE"""),45847.6458333333)</f>
        <v>45847.6458333333</v>
      </c>
      <c r="H74" s="48">
        <f>IFERROR(__xludf.DUMMYFUNCTION("""COMPUTED_VALUE"""),244.59)</f>
        <v>244.59</v>
      </c>
      <c r="I74" s="47">
        <f>IFERROR(__xludf.DUMMYFUNCTION("""COMPUTED_VALUE"""),45847.6458333333)</f>
        <v>45847.6458333333</v>
      </c>
      <c r="J74" s="48">
        <f>IFERROR(__xludf.DUMMYFUNCTION("""COMPUTED_VALUE"""),242.27)</f>
        <v>242.27</v>
      </c>
      <c r="K74" s="3">
        <f t="shared" si="2"/>
        <v>0</v>
      </c>
      <c r="L74" s="3">
        <f t="shared" si="3"/>
        <v>0</v>
      </c>
    </row>
    <row r="75" customHeight="1" spans="1:12">
      <c r="A75" s="47">
        <f>IFERROR(__xludf.DUMMYFUNCTION("""COMPUTED_VALUE"""),45848.6458333333)</f>
        <v>45848.6458333333</v>
      </c>
      <c r="B75" s="48">
        <f>IFERROR(__xludf.DUMMYFUNCTION("""COMPUTED_VALUE"""),243.09)</f>
        <v>243.09</v>
      </c>
      <c r="C75" s="47">
        <f>IFERROR(__xludf.DUMMYFUNCTION("""COMPUTED_VALUE"""),45848.6458333333)</f>
        <v>45848.6458333333</v>
      </c>
      <c r="D75" s="48">
        <f>IFERROR(__xludf.DUMMYFUNCTION("""COMPUTED_VALUE"""),243.51)</f>
        <v>243.51</v>
      </c>
      <c r="E75" s="47">
        <f>IFERROR(__xludf.DUMMYFUNCTION("""COMPUTED_VALUE"""),45848.6458333333)</f>
        <v>45848.6458333333</v>
      </c>
      <c r="F75" s="48">
        <f>IFERROR(__xludf.DUMMYFUNCTION("""COMPUTED_VALUE"""),8012201)</f>
        <v>8012201</v>
      </c>
      <c r="G75" s="47">
        <f>IFERROR(__xludf.DUMMYFUNCTION("""COMPUTED_VALUE"""),45848.6458333333)</f>
        <v>45848.6458333333</v>
      </c>
      <c r="H75" s="48">
        <f>IFERROR(__xludf.DUMMYFUNCTION("""COMPUTED_VALUE"""),244.69)</f>
        <v>244.69</v>
      </c>
      <c r="I75" s="47">
        <f>IFERROR(__xludf.DUMMYFUNCTION("""COMPUTED_VALUE"""),45848.6458333333)</f>
        <v>45848.6458333333</v>
      </c>
      <c r="J75" s="48">
        <f>IFERROR(__xludf.DUMMYFUNCTION("""COMPUTED_VALUE"""),242.33)</f>
        <v>242.33</v>
      </c>
      <c r="K75" s="3">
        <f t="shared" si="2"/>
        <v>0</v>
      </c>
      <c r="L75" s="3">
        <f t="shared" si="3"/>
        <v>0</v>
      </c>
    </row>
    <row r="76" customHeight="1" spans="1:12">
      <c r="A76" s="47">
        <f>IFERROR(__xludf.DUMMYFUNCTION("""COMPUTED_VALUE"""),45849.6458333333)</f>
        <v>45849.6458333333</v>
      </c>
      <c r="B76" s="48">
        <f>IFERROR(__xludf.DUMMYFUNCTION("""COMPUTED_VALUE"""),241.76)</f>
        <v>241.76</v>
      </c>
      <c r="C76" s="47">
        <f>IFERROR(__xludf.DUMMYFUNCTION("""COMPUTED_VALUE"""),45849.6458333333)</f>
        <v>45849.6458333333</v>
      </c>
      <c r="D76" s="48">
        <f>IFERROR(__xludf.DUMMYFUNCTION("""COMPUTED_VALUE"""),243.05)</f>
        <v>243.05</v>
      </c>
      <c r="E76" s="47">
        <f>IFERROR(__xludf.DUMMYFUNCTION("""COMPUTED_VALUE"""),45849.6458333333)</f>
        <v>45849.6458333333</v>
      </c>
      <c r="F76" s="48">
        <f>IFERROR(__xludf.DUMMYFUNCTION("""COMPUTED_VALUE"""),5608382)</f>
        <v>5608382</v>
      </c>
      <c r="G76" s="47">
        <f>IFERROR(__xludf.DUMMYFUNCTION("""COMPUTED_VALUE"""),45849.6458333333)</f>
        <v>45849.6458333333</v>
      </c>
      <c r="H76" s="48">
        <f>IFERROR(__xludf.DUMMYFUNCTION("""COMPUTED_VALUE"""),243.09)</f>
        <v>243.09</v>
      </c>
      <c r="I76" s="47">
        <f>IFERROR(__xludf.DUMMYFUNCTION("""COMPUTED_VALUE"""),45849.6458333333)</f>
        <v>45849.6458333333</v>
      </c>
      <c r="J76" s="48">
        <f>IFERROR(__xludf.DUMMYFUNCTION("""COMPUTED_VALUE"""),240.8)</f>
        <v>240.8</v>
      </c>
      <c r="K76" s="3">
        <f t="shared" si="2"/>
        <v>0</v>
      </c>
      <c r="L76" s="3">
        <f t="shared" si="3"/>
        <v>0</v>
      </c>
    </row>
    <row r="77" customHeight="1" spans="1:12">
      <c r="A77" s="47">
        <f>IFERROR(__xludf.DUMMYFUNCTION("""COMPUTED_VALUE"""),45852.6458333333)</f>
        <v>45852.6458333333</v>
      </c>
      <c r="B77" s="48">
        <f>IFERROR(__xludf.DUMMYFUNCTION("""COMPUTED_VALUE"""),244.22)</f>
        <v>244.22</v>
      </c>
      <c r="C77" s="47">
        <f>IFERROR(__xludf.DUMMYFUNCTION("""COMPUTED_VALUE"""),45852.6458333333)</f>
        <v>45852.6458333333</v>
      </c>
      <c r="D77" s="48">
        <f>IFERROR(__xludf.DUMMYFUNCTION("""COMPUTED_VALUE"""),242.9)</f>
        <v>242.9</v>
      </c>
      <c r="E77" s="47">
        <f>IFERROR(__xludf.DUMMYFUNCTION("""COMPUTED_VALUE"""),45852.6458333333)</f>
        <v>45852.6458333333</v>
      </c>
      <c r="F77" s="48">
        <f>IFERROR(__xludf.DUMMYFUNCTION("""COMPUTED_VALUE"""),7568906)</f>
        <v>7568906</v>
      </c>
      <c r="G77" s="47">
        <f>IFERROR(__xludf.DUMMYFUNCTION("""COMPUTED_VALUE"""),45852.6458333333)</f>
        <v>45852.6458333333</v>
      </c>
      <c r="H77" s="48">
        <f>IFERROR(__xludf.DUMMYFUNCTION("""COMPUTED_VALUE"""),244.89)</f>
        <v>244.89</v>
      </c>
      <c r="I77" s="47">
        <f>IFERROR(__xludf.DUMMYFUNCTION("""COMPUTED_VALUE"""),45852.6458333333)</f>
        <v>45852.6458333333</v>
      </c>
      <c r="J77" s="48">
        <f>IFERROR(__xludf.DUMMYFUNCTION("""COMPUTED_VALUE"""),241.14)</f>
        <v>241.14</v>
      </c>
      <c r="K77" s="3">
        <f t="shared" si="2"/>
        <v>0</v>
      </c>
      <c r="L77" s="3">
        <f t="shared" si="3"/>
        <v>0</v>
      </c>
    </row>
    <row r="78" customHeight="1" spans="1:12">
      <c r="A78" s="47">
        <f>IFERROR(__xludf.DUMMYFUNCTION("""COMPUTED_VALUE"""),45853.6458333333)</f>
        <v>45853.6458333333</v>
      </c>
      <c r="B78" s="48">
        <f>IFERROR(__xludf.DUMMYFUNCTION("""COMPUTED_VALUE"""),243.67)</f>
        <v>243.67</v>
      </c>
      <c r="C78" s="47">
        <f>IFERROR(__xludf.DUMMYFUNCTION("""COMPUTED_VALUE"""),45853.6458333333)</f>
        <v>45853.6458333333</v>
      </c>
      <c r="D78" s="48">
        <f>IFERROR(__xludf.DUMMYFUNCTION("""COMPUTED_VALUE"""),244.48)</f>
        <v>244.48</v>
      </c>
      <c r="E78" s="47">
        <f>IFERROR(__xludf.DUMMYFUNCTION("""COMPUTED_VALUE"""),45853.6458333333)</f>
        <v>45853.6458333333</v>
      </c>
      <c r="F78" s="48">
        <f>IFERROR(__xludf.DUMMYFUNCTION("""COMPUTED_VALUE"""),7843083)</f>
        <v>7843083</v>
      </c>
      <c r="G78" s="47">
        <f>IFERROR(__xludf.DUMMYFUNCTION("""COMPUTED_VALUE"""),45853.6458333333)</f>
        <v>45853.6458333333</v>
      </c>
      <c r="H78" s="48">
        <f>IFERROR(__xludf.DUMMYFUNCTION("""COMPUTED_VALUE"""),245.37)</f>
        <v>245.37</v>
      </c>
      <c r="I78" s="47">
        <f>IFERROR(__xludf.DUMMYFUNCTION("""COMPUTED_VALUE"""),45853.6458333333)</f>
        <v>45853.6458333333</v>
      </c>
      <c r="J78" s="48">
        <f>IFERROR(__xludf.DUMMYFUNCTION("""COMPUTED_VALUE"""),242.7)</f>
        <v>242.7</v>
      </c>
      <c r="K78" s="3">
        <f t="shared" si="2"/>
        <v>0</v>
      </c>
      <c r="L78" s="3">
        <f t="shared" si="3"/>
        <v>0</v>
      </c>
    </row>
    <row r="79" customHeight="1" spans="1:12">
      <c r="A79" s="47">
        <f>IFERROR(__xludf.DUMMYFUNCTION("""COMPUTED_VALUE"""),45854.6458333333)</f>
        <v>45854.6458333333</v>
      </c>
      <c r="B79" s="48">
        <f>IFERROR(__xludf.DUMMYFUNCTION("""COMPUTED_VALUE"""),242.85)</f>
        <v>242.85</v>
      </c>
      <c r="C79" s="47">
        <f>IFERROR(__xludf.DUMMYFUNCTION("""COMPUTED_VALUE"""),45854.6458333333)</f>
        <v>45854.6458333333</v>
      </c>
      <c r="D79" s="48">
        <f>IFERROR(__xludf.DUMMYFUNCTION("""COMPUTED_VALUE"""),244)</f>
        <v>244</v>
      </c>
      <c r="E79" s="47">
        <f>IFERROR(__xludf.DUMMYFUNCTION("""COMPUTED_VALUE"""),45854.6458333333)</f>
        <v>45854.6458333333</v>
      </c>
      <c r="F79" s="48">
        <f>IFERROR(__xludf.DUMMYFUNCTION("""COMPUTED_VALUE"""),5656962)</f>
        <v>5656962</v>
      </c>
      <c r="G79" s="47">
        <f>IFERROR(__xludf.DUMMYFUNCTION("""COMPUTED_VALUE"""),45854.6458333333)</f>
        <v>45854.6458333333</v>
      </c>
      <c r="H79" s="48">
        <f>IFERROR(__xludf.DUMMYFUNCTION("""COMPUTED_VALUE"""),244.15)</f>
        <v>244.15</v>
      </c>
      <c r="I79" s="47">
        <f>IFERROR(__xludf.DUMMYFUNCTION("""COMPUTED_VALUE"""),45854.6458333333)</f>
        <v>45854.6458333333</v>
      </c>
      <c r="J79" s="48">
        <f>IFERROR(__xludf.DUMMYFUNCTION("""COMPUTED_VALUE"""),242.3)</f>
        <v>242.3</v>
      </c>
      <c r="K79" s="3">
        <f t="shared" si="2"/>
        <v>0</v>
      </c>
      <c r="L79" s="3">
        <f t="shared" si="3"/>
        <v>0</v>
      </c>
    </row>
    <row r="80" customHeight="1" spans="1:12">
      <c r="A80" s="47">
        <f>IFERROR(__xludf.DUMMYFUNCTION("""COMPUTED_VALUE"""),45855.6458333333)</f>
        <v>45855.6458333333</v>
      </c>
      <c r="B80" s="48">
        <f>IFERROR(__xludf.DUMMYFUNCTION("""COMPUTED_VALUE"""),243.87)</f>
        <v>243.87</v>
      </c>
      <c r="C80" s="47">
        <f>IFERROR(__xludf.DUMMYFUNCTION("""COMPUTED_VALUE"""),45855.6458333333)</f>
        <v>45855.6458333333</v>
      </c>
      <c r="D80" s="48">
        <f>IFERROR(__xludf.DUMMYFUNCTION("""COMPUTED_VALUE"""),243)</f>
        <v>243</v>
      </c>
      <c r="E80" s="47">
        <f>IFERROR(__xludf.DUMMYFUNCTION("""COMPUTED_VALUE"""),45855.6458333333)</f>
        <v>45855.6458333333</v>
      </c>
      <c r="F80" s="48">
        <f>IFERROR(__xludf.DUMMYFUNCTION("""COMPUTED_VALUE"""),7006298)</f>
        <v>7006298</v>
      </c>
      <c r="G80" s="47">
        <f>IFERROR(__xludf.DUMMYFUNCTION("""COMPUTED_VALUE"""),45855.6458333333)</f>
        <v>45855.6458333333</v>
      </c>
      <c r="H80" s="48">
        <f>IFERROR(__xludf.DUMMYFUNCTION("""COMPUTED_VALUE"""),244.56)</f>
        <v>244.56</v>
      </c>
      <c r="I80" s="47">
        <f>IFERROR(__xludf.DUMMYFUNCTION("""COMPUTED_VALUE"""),45855.6458333333)</f>
        <v>45855.6458333333</v>
      </c>
      <c r="J80" s="48">
        <f>IFERROR(__xludf.DUMMYFUNCTION("""COMPUTED_VALUE"""),242.82)</f>
        <v>242.82</v>
      </c>
      <c r="K80" s="3">
        <f t="shared" si="2"/>
        <v>0</v>
      </c>
      <c r="L80" s="3">
        <f t="shared" si="3"/>
        <v>0</v>
      </c>
    </row>
    <row r="81" customHeight="1" spans="1:12">
      <c r="A81" s="47">
        <f>IFERROR(__xludf.DUMMYFUNCTION("""COMPUTED_VALUE"""),45856.6458333333)</f>
        <v>45856.6458333333</v>
      </c>
      <c r="B81" s="48">
        <f>IFERROR(__xludf.DUMMYFUNCTION("""COMPUTED_VALUE"""),246.31)</f>
        <v>246.31</v>
      </c>
      <c r="C81" s="47">
        <f>IFERROR(__xludf.DUMMYFUNCTION("""COMPUTED_VALUE"""),45856.6458333333)</f>
        <v>45856.6458333333</v>
      </c>
      <c r="D81" s="48">
        <f>IFERROR(__xludf.DUMMYFUNCTION("""COMPUTED_VALUE"""),244.74)</f>
        <v>244.74</v>
      </c>
      <c r="E81" s="47">
        <f>IFERROR(__xludf.DUMMYFUNCTION("""COMPUTED_VALUE"""),45856.6458333333)</f>
        <v>45856.6458333333</v>
      </c>
      <c r="F81" s="48">
        <f>IFERROR(__xludf.DUMMYFUNCTION("""COMPUTED_VALUE"""),10293817)</f>
        <v>10293817</v>
      </c>
      <c r="G81" s="47">
        <f>IFERROR(__xludf.DUMMYFUNCTION("""COMPUTED_VALUE"""),45856.6458333333)</f>
        <v>45856.6458333333</v>
      </c>
      <c r="H81" s="48">
        <f>IFERROR(__xludf.DUMMYFUNCTION("""COMPUTED_VALUE"""),247.35)</f>
        <v>247.35</v>
      </c>
      <c r="I81" s="47">
        <f>IFERROR(__xludf.DUMMYFUNCTION("""COMPUTED_VALUE"""),45856.6458333333)</f>
        <v>45856.6458333333</v>
      </c>
      <c r="J81" s="48">
        <f>IFERROR(__xludf.DUMMYFUNCTION("""COMPUTED_VALUE"""),243.46)</f>
        <v>243.46</v>
      </c>
      <c r="K81" s="3">
        <f t="shared" si="2"/>
        <v>0</v>
      </c>
      <c r="L81" s="3">
        <f t="shared" si="3"/>
        <v>0</v>
      </c>
    </row>
    <row r="82" customHeight="1" spans="1:12">
      <c r="A82" s="47">
        <f>IFERROR(__xludf.DUMMYFUNCTION("""COMPUTED_VALUE"""),45859.6458333333)</f>
        <v>45859.6458333333</v>
      </c>
      <c r="B82" s="48">
        <f>IFERROR(__xludf.DUMMYFUNCTION("""COMPUTED_VALUE"""),245.04)</f>
        <v>245.04</v>
      </c>
      <c r="C82" s="47">
        <f>IFERROR(__xludf.DUMMYFUNCTION("""COMPUTED_VALUE"""),45859.6458333333)</f>
        <v>45859.6458333333</v>
      </c>
      <c r="D82" s="48">
        <f>IFERROR(__xludf.DUMMYFUNCTION("""COMPUTED_VALUE"""),246)</f>
        <v>246</v>
      </c>
      <c r="E82" s="47">
        <f>IFERROR(__xludf.DUMMYFUNCTION("""COMPUTED_VALUE"""),45859.6458333333)</f>
        <v>45859.6458333333</v>
      </c>
      <c r="F82" s="48">
        <f>IFERROR(__xludf.DUMMYFUNCTION("""COMPUTED_VALUE"""),5424455)</f>
        <v>5424455</v>
      </c>
      <c r="G82" s="47">
        <f>IFERROR(__xludf.DUMMYFUNCTION("""COMPUTED_VALUE"""),45859.6458333333)</f>
        <v>45859.6458333333</v>
      </c>
      <c r="H82" s="48">
        <f>IFERROR(__xludf.DUMMYFUNCTION("""COMPUTED_VALUE"""),246.3)</f>
        <v>246.3</v>
      </c>
      <c r="I82" s="47">
        <f>IFERROR(__xludf.DUMMYFUNCTION("""COMPUTED_VALUE"""),45859.6458333333)</f>
        <v>45859.6458333333</v>
      </c>
      <c r="J82" s="48">
        <f>IFERROR(__xludf.DUMMYFUNCTION("""COMPUTED_VALUE"""),244.43)</f>
        <v>244.43</v>
      </c>
      <c r="K82" s="3">
        <f t="shared" si="2"/>
        <v>0</v>
      </c>
      <c r="L82" s="3">
        <f t="shared" si="3"/>
        <v>0</v>
      </c>
    </row>
    <row r="83" customHeight="1" spans="1:12">
      <c r="A83" s="47">
        <f>IFERROR(__xludf.DUMMYFUNCTION("""COMPUTED_VALUE"""),45860.6458333333)</f>
        <v>45860.6458333333</v>
      </c>
      <c r="B83" s="48">
        <f>IFERROR(__xludf.DUMMYFUNCTION("""COMPUTED_VALUE"""),246.41)</f>
        <v>246.41</v>
      </c>
      <c r="C83" s="47">
        <f>IFERROR(__xludf.DUMMYFUNCTION("""COMPUTED_VALUE"""),45860.6458333333)</f>
        <v>45860.6458333333</v>
      </c>
      <c r="D83" s="48">
        <f>IFERROR(__xludf.DUMMYFUNCTION("""COMPUTED_VALUE"""),245.04)</f>
        <v>245.04</v>
      </c>
      <c r="E83" s="47">
        <f>IFERROR(__xludf.DUMMYFUNCTION("""COMPUTED_VALUE"""),45860.6458333333)</f>
        <v>45860.6458333333</v>
      </c>
      <c r="F83" s="48">
        <f>IFERROR(__xludf.DUMMYFUNCTION("""COMPUTED_VALUE"""),5869862)</f>
        <v>5869862</v>
      </c>
      <c r="G83" s="47">
        <f>IFERROR(__xludf.DUMMYFUNCTION("""COMPUTED_VALUE"""),45860.6458333333)</f>
        <v>45860.6458333333</v>
      </c>
      <c r="H83" s="48">
        <f>IFERROR(__xludf.DUMMYFUNCTION("""COMPUTED_VALUE"""),246.87)</f>
        <v>246.87</v>
      </c>
      <c r="I83" s="47">
        <f>IFERROR(__xludf.DUMMYFUNCTION("""COMPUTED_VALUE"""),45860.6458333333)</f>
        <v>45860.6458333333</v>
      </c>
      <c r="J83" s="48">
        <f>IFERROR(__xludf.DUMMYFUNCTION("""COMPUTED_VALUE"""),244.07)</f>
        <v>244.07</v>
      </c>
      <c r="K83" s="3">
        <f t="shared" si="2"/>
        <v>246.41</v>
      </c>
      <c r="L83" s="3">
        <f t="shared" si="3"/>
        <v>0</v>
      </c>
    </row>
    <row r="84" customHeight="1" spans="1:12">
      <c r="A84" s="47">
        <f>IFERROR(__xludf.DUMMYFUNCTION("""COMPUTED_VALUE"""),45861.6458333333)</f>
        <v>45861.6458333333</v>
      </c>
      <c r="B84" s="48">
        <f>IFERROR(__xludf.DUMMYFUNCTION("""COMPUTED_VALUE"""),245.55)</f>
        <v>245.55</v>
      </c>
      <c r="C84" s="47">
        <f>IFERROR(__xludf.DUMMYFUNCTION("""COMPUTED_VALUE"""),45861.6458333333)</f>
        <v>45861.6458333333</v>
      </c>
      <c r="D84" s="48">
        <f>IFERROR(__xludf.DUMMYFUNCTION("""COMPUTED_VALUE"""),246)</f>
        <v>246</v>
      </c>
      <c r="E84" s="47">
        <f>IFERROR(__xludf.DUMMYFUNCTION("""COMPUTED_VALUE"""),45861.6458333333)</f>
        <v>45861.6458333333</v>
      </c>
      <c r="F84" s="48">
        <f>IFERROR(__xludf.DUMMYFUNCTION("""COMPUTED_VALUE"""),7357753)</f>
        <v>7357753</v>
      </c>
      <c r="G84" s="47">
        <f>IFERROR(__xludf.DUMMYFUNCTION("""COMPUTED_VALUE"""),45861.6458333333)</f>
        <v>45861.6458333333</v>
      </c>
      <c r="H84" s="48">
        <f>IFERROR(__xludf.DUMMYFUNCTION("""COMPUTED_VALUE"""),247.2)</f>
        <v>247.2</v>
      </c>
      <c r="I84" s="47">
        <f>IFERROR(__xludf.DUMMYFUNCTION("""COMPUTED_VALUE"""),45861.6458333333)</f>
        <v>45861.6458333333</v>
      </c>
      <c r="J84" s="48">
        <f>IFERROR(__xludf.DUMMYFUNCTION("""COMPUTED_VALUE"""),244.26)</f>
        <v>244.26</v>
      </c>
      <c r="K84" s="3">
        <f t="shared" si="2"/>
        <v>0</v>
      </c>
      <c r="L84" s="3">
        <f t="shared" si="3"/>
        <v>0</v>
      </c>
    </row>
    <row r="85" customHeight="1" spans="1:12">
      <c r="A85" s="47">
        <f>IFERROR(__xludf.DUMMYFUNCTION("""COMPUTED_VALUE"""),45862.6458333333)</f>
        <v>45862.6458333333</v>
      </c>
      <c r="B85" s="48">
        <f>IFERROR(__xludf.DUMMYFUNCTION("""COMPUTED_VALUE"""),244.83)</f>
        <v>244.83</v>
      </c>
      <c r="C85" s="47">
        <f>IFERROR(__xludf.DUMMYFUNCTION("""COMPUTED_VALUE"""),45862.6458333333)</f>
        <v>45862.6458333333</v>
      </c>
      <c r="D85" s="48">
        <f>IFERROR(__xludf.DUMMYFUNCTION("""COMPUTED_VALUE"""),245.56)</f>
        <v>245.56</v>
      </c>
      <c r="E85" s="47">
        <f>IFERROR(__xludf.DUMMYFUNCTION("""COMPUTED_VALUE"""),45862.6458333333)</f>
        <v>45862.6458333333</v>
      </c>
      <c r="F85" s="48">
        <f>IFERROR(__xludf.DUMMYFUNCTION("""COMPUTED_VALUE"""),4590999)</f>
        <v>4590999</v>
      </c>
      <c r="G85" s="47">
        <f>IFERROR(__xludf.DUMMYFUNCTION("""COMPUTED_VALUE"""),45862.6458333333)</f>
        <v>45862.6458333333</v>
      </c>
      <c r="H85" s="48">
        <f>IFERROR(__xludf.DUMMYFUNCTION("""COMPUTED_VALUE"""),246.2)</f>
        <v>246.2</v>
      </c>
      <c r="I85" s="47">
        <f>IFERROR(__xludf.DUMMYFUNCTION("""COMPUTED_VALUE"""),45862.6458333333)</f>
        <v>45862.6458333333</v>
      </c>
      <c r="J85" s="48">
        <f>IFERROR(__xludf.DUMMYFUNCTION("""COMPUTED_VALUE"""),243.76)</f>
        <v>243.76</v>
      </c>
      <c r="K85" s="3">
        <f t="shared" si="2"/>
        <v>0</v>
      </c>
      <c r="L85" s="3">
        <f t="shared" si="3"/>
        <v>0</v>
      </c>
    </row>
    <row r="86" customHeight="1" spans="1:12">
      <c r="A86" s="47">
        <f>IFERROR(__xludf.DUMMYFUNCTION("""COMPUTED_VALUE"""),45863.6458333333)</f>
        <v>45863.6458333333</v>
      </c>
      <c r="B86" s="48">
        <f>IFERROR(__xludf.DUMMYFUNCTION("""COMPUTED_VALUE"""),240.29)</f>
        <v>240.29</v>
      </c>
      <c r="C86" s="47">
        <f>IFERROR(__xludf.DUMMYFUNCTION("""COMPUTED_VALUE"""),45863.6458333333)</f>
        <v>45863.6458333333</v>
      </c>
      <c r="D86" s="48">
        <f>IFERROR(__xludf.DUMMYFUNCTION("""COMPUTED_VALUE"""),244)</f>
        <v>244</v>
      </c>
      <c r="E86" s="47">
        <f>IFERROR(__xludf.DUMMYFUNCTION("""COMPUTED_VALUE"""),45863.6458333333)</f>
        <v>45863.6458333333</v>
      </c>
      <c r="F86" s="48">
        <f>IFERROR(__xludf.DUMMYFUNCTION("""COMPUTED_VALUE"""),7427827)</f>
        <v>7427827</v>
      </c>
      <c r="G86" s="47">
        <f>IFERROR(__xludf.DUMMYFUNCTION("""COMPUTED_VALUE"""),45863.6458333333)</f>
        <v>45863.6458333333</v>
      </c>
      <c r="H86" s="48">
        <f>IFERROR(__xludf.DUMMYFUNCTION("""COMPUTED_VALUE"""),244.8)</f>
        <v>244.8</v>
      </c>
      <c r="I86" s="47">
        <f>IFERROR(__xludf.DUMMYFUNCTION("""COMPUTED_VALUE"""),45863.6458333333)</f>
        <v>45863.6458333333</v>
      </c>
      <c r="J86" s="48">
        <f>IFERROR(__xludf.DUMMYFUNCTION("""COMPUTED_VALUE"""),239.25)</f>
        <v>239.25</v>
      </c>
      <c r="K86" s="3">
        <f t="shared" si="2"/>
        <v>0</v>
      </c>
      <c r="L86" s="3">
        <f t="shared" si="3"/>
        <v>0</v>
      </c>
    </row>
    <row r="87" customHeight="1" spans="1:12">
      <c r="A87" s="47">
        <f>IFERROR(__xludf.DUMMYFUNCTION("""COMPUTED_VALUE"""),45866.6458333333)</f>
        <v>45866.6458333333</v>
      </c>
      <c r="B87" s="48">
        <f>IFERROR(__xludf.DUMMYFUNCTION("""COMPUTED_VALUE"""),240.02)</f>
        <v>240.02</v>
      </c>
      <c r="C87" s="47">
        <f>IFERROR(__xludf.DUMMYFUNCTION("""COMPUTED_VALUE"""),45866.6458333333)</f>
        <v>45866.6458333333</v>
      </c>
      <c r="D87" s="48">
        <f>IFERROR(__xludf.DUMMYFUNCTION("""COMPUTED_VALUE"""),240.29)</f>
        <v>240.29</v>
      </c>
      <c r="E87" s="47">
        <f>IFERROR(__xludf.DUMMYFUNCTION("""COMPUTED_VALUE"""),45866.6458333333)</f>
        <v>45866.6458333333</v>
      </c>
      <c r="F87" s="48">
        <f>IFERROR(__xludf.DUMMYFUNCTION("""COMPUTED_VALUE"""),6865890)</f>
        <v>6865890</v>
      </c>
      <c r="G87" s="47">
        <f>IFERROR(__xludf.DUMMYFUNCTION("""COMPUTED_VALUE"""),45866.6458333333)</f>
        <v>45866.6458333333</v>
      </c>
      <c r="H87" s="48">
        <f>IFERROR(__xludf.DUMMYFUNCTION("""COMPUTED_VALUE"""),241.56)</f>
        <v>241.56</v>
      </c>
      <c r="I87" s="47">
        <f>IFERROR(__xludf.DUMMYFUNCTION("""COMPUTED_VALUE"""),45866.6458333333)</f>
        <v>45866.6458333333</v>
      </c>
      <c r="J87" s="48">
        <f>IFERROR(__xludf.DUMMYFUNCTION("""COMPUTED_VALUE"""),237.8)</f>
        <v>237.8</v>
      </c>
      <c r="K87" s="3">
        <f t="shared" si="2"/>
        <v>0</v>
      </c>
      <c r="L87" s="3">
        <f t="shared" si="3"/>
        <v>0</v>
      </c>
    </row>
    <row r="88" customHeight="1" spans="1:12">
      <c r="A88" s="47">
        <f>IFERROR(__xludf.DUMMYFUNCTION("""COMPUTED_VALUE"""),45867.6458333333)</f>
        <v>45867.6458333333</v>
      </c>
      <c r="B88" s="48">
        <f>IFERROR(__xludf.DUMMYFUNCTION("""COMPUTED_VALUE"""),241.44)</f>
        <v>241.44</v>
      </c>
      <c r="C88" s="47">
        <f>IFERROR(__xludf.DUMMYFUNCTION("""COMPUTED_VALUE"""),45867.6458333333)</f>
        <v>45867.6458333333</v>
      </c>
      <c r="D88" s="48">
        <f>IFERROR(__xludf.DUMMYFUNCTION("""COMPUTED_VALUE"""),240.02)</f>
        <v>240.02</v>
      </c>
      <c r="E88" s="47">
        <f>IFERROR(__xludf.DUMMYFUNCTION("""COMPUTED_VALUE"""),45867.6458333333)</f>
        <v>45867.6458333333</v>
      </c>
      <c r="F88" s="48">
        <f>IFERROR(__xludf.DUMMYFUNCTION("""COMPUTED_VALUE"""),6157824)</f>
        <v>6157824</v>
      </c>
      <c r="G88" s="47">
        <f>IFERROR(__xludf.DUMMYFUNCTION("""COMPUTED_VALUE"""),45867.6458333333)</f>
        <v>45867.6458333333</v>
      </c>
      <c r="H88" s="48">
        <f>IFERROR(__xludf.DUMMYFUNCTION("""COMPUTED_VALUE"""),242.51)</f>
        <v>242.51</v>
      </c>
      <c r="I88" s="47">
        <f>IFERROR(__xludf.DUMMYFUNCTION("""COMPUTED_VALUE"""),45867.6458333333)</f>
        <v>45867.6458333333</v>
      </c>
      <c r="J88" s="48">
        <f>IFERROR(__xludf.DUMMYFUNCTION("""COMPUTED_VALUE"""),239.82)</f>
        <v>239.82</v>
      </c>
      <c r="K88" s="3">
        <f t="shared" si="2"/>
        <v>0</v>
      </c>
      <c r="L88" s="3">
        <f t="shared" si="3"/>
        <v>0</v>
      </c>
    </row>
    <row r="89" customHeight="1" spans="1:12">
      <c r="A89" s="47">
        <f>IFERROR(__xludf.DUMMYFUNCTION("""COMPUTED_VALUE"""),45868.6458333333)</f>
        <v>45868.6458333333</v>
      </c>
      <c r="B89" s="48">
        <f>IFERROR(__xludf.DUMMYFUNCTION("""COMPUTED_VALUE"""),241.81)</f>
        <v>241.81</v>
      </c>
      <c r="C89" s="47">
        <f>IFERROR(__xludf.DUMMYFUNCTION("""COMPUTED_VALUE"""),45868.6458333333)</f>
        <v>45868.6458333333</v>
      </c>
      <c r="D89" s="48">
        <f>IFERROR(__xludf.DUMMYFUNCTION("""COMPUTED_VALUE"""),242.54)</f>
        <v>242.54</v>
      </c>
      <c r="E89" s="47">
        <f>IFERROR(__xludf.DUMMYFUNCTION("""COMPUTED_VALUE"""),45868.6458333333)</f>
        <v>45868.6458333333</v>
      </c>
      <c r="F89" s="48">
        <f>IFERROR(__xludf.DUMMYFUNCTION("""COMPUTED_VALUE"""),8767763)</f>
        <v>8767763</v>
      </c>
      <c r="G89" s="47">
        <f>IFERROR(__xludf.DUMMYFUNCTION("""COMPUTED_VALUE"""),45868.6458333333)</f>
        <v>45868.6458333333</v>
      </c>
      <c r="H89" s="48">
        <f>IFERROR(__xludf.DUMMYFUNCTION("""COMPUTED_VALUE"""),243.71)</f>
        <v>243.71</v>
      </c>
      <c r="I89" s="47">
        <f>IFERROR(__xludf.DUMMYFUNCTION("""COMPUTED_VALUE"""),45868.6458333333)</f>
        <v>45868.6458333333</v>
      </c>
      <c r="J89" s="48">
        <f>IFERROR(__xludf.DUMMYFUNCTION("""COMPUTED_VALUE"""),240.1)</f>
        <v>240.1</v>
      </c>
      <c r="K89" s="3">
        <f t="shared" si="2"/>
        <v>0</v>
      </c>
      <c r="L89" s="3">
        <f t="shared" si="3"/>
        <v>0</v>
      </c>
    </row>
    <row r="90" customHeight="1" spans="1:12">
      <c r="A90" s="47">
        <f>IFERROR(__xludf.DUMMYFUNCTION("""COMPUTED_VALUE"""),45869.6458333333)</f>
        <v>45869.6458333333</v>
      </c>
      <c r="B90" s="48">
        <f>IFERROR(__xludf.DUMMYFUNCTION("""COMPUTED_VALUE"""),241)</f>
        <v>241</v>
      </c>
      <c r="C90" s="47">
        <f>IFERROR(__xludf.DUMMYFUNCTION("""COMPUTED_VALUE"""),45869.6458333333)</f>
        <v>45869.6458333333</v>
      </c>
      <c r="D90" s="48">
        <f>IFERROR(__xludf.DUMMYFUNCTION("""COMPUTED_VALUE"""),240.2)</f>
        <v>240.2</v>
      </c>
      <c r="E90" s="47">
        <f>IFERROR(__xludf.DUMMYFUNCTION("""COMPUTED_VALUE"""),45869.6458333333)</f>
        <v>45869.6458333333</v>
      </c>
      <c r="F90" s="48">
        <f>IFERROR(__xludf.DUMMYFUNCTION("""COMPUTED_VALUE"""),10254214)</f>
        <v>10254214</v>
      </c>
      <c r="G90" s="47">
        <f>IFERROR(__xludf.DUMMYFUNCTION("""COMPUTED_VALUE"""),45869.6458333333)</f>
        <v>45869.6458333333</v>
      </c>
      <c r="H90" s="48">
        <f>IFERROR(__xludf.DUMMYFUNCTION("""COMPUTED_VALUE"""),242.81)</f>
        <v>242.81</v>
      </c>
      <c r="I90" s="47">
        <f>IFERROR(__xludf.DUMMYFUNCTION("""COMPUTED_VALUE"""),45869.6458333333)</f>
        <v>45869.6458333333</v>
      </c>
      <c r="J90" s="48">
        <f>IFERROR(__xludf.DUMMYFUNCTION("""COMPUTED_VALUE"""),239.66)</f>
        <v>239.66</v>
      </c>
      <c r="K90" s="3">
        <f t="shared" si="2"/>
        <v>0</v>
      </c>
      <c r="L90" s="3">
        <f t="shared" si="3"/>
        <v>0</v>
      </c>
    </row>
    <row r="91" customHeight="1" spans="1:12">
      <c r="A91" s="47">
        <f>IFERROR(__xludf.DUMMYFUNCTION("""COMPUTED_VALUE"""),45870.6458333333)</f>
        <v>45870.6458333333</v>
      </c>
      <c r="B91" s="48">
        <f>IFERROR(__xludf.DUMMYFUNCTION("""COMPUTED_VALUE"""),236.79)</f>
        <v>236.79</v>
      </c>
      <c r="C91" s="47">
        <f>IFERROR(__xludf.DUMMYFUNCTION("""COMPUTED_VALUE"""),45870.6458333333)</f>
        <v>45870.6458333333</v>
      </c>
      <c r="D91" s="48">
        <f>IFERROR(__xludf.DUMMYFUNCTION("""COMPUTED_VALUE"""),240.1)</f>
        <v>240.1</v>
      </c>
      <c r="E91" s="47">
        <f>IFERROR(__xludf.DUMMYFUNCTION("""COMPUTED_VALUE"""),45870.6458333333)</f>
        <v>45870.6458333333</v>
      </c>
      <c r="F91" s="48">
        <f>IFERROR(__xludf.DUMMYFUNCTION("""COMPUTED_VALUE"""),12629251)</f>
        <v>12629251</v>
      </c>
      <c r="G91" s="47">
        <f>IFERROR(__xludf.DUMMYFUNCTION("""COMPUTED_VALUE"""),45870.6458333333)</f>
        <v>45870.6458333333</v>
      </c>
      <c r="H91" s="48">
        <f>IFERROR(__xludf.DUMMYFUNCTION("""COMPUTED_VALUE"""),240.71)</f>
        <v>240.71</v>
      </c>
      <c r="I91" s="47">
        <f>IFERROR(__xludf.DUMMYFUNCTION("""COMPUTED_VALUE"""),45870.6458333333)</f>
        <v>45870.6458333333</v>
      </c>
      <c r="J91" s="48">
        <f>IFERROR(__xludf.DUMMYFUNCTION("""COMPUTED_VALUE"""),234.05)</f>
        <v>234.05</v>
      </c>
      <c r="K91" s="3">
        <f t="shared" si="2"/>
        <v>0</v>
      </c>
      <c r="L91" s="3">
        <f t="shared" si="3"/>
        <v>0</v>
      </c>
    </row>
    <row r="92" customHeight="1" spans="1:12">
      <c r="A92" s="47">
        <f>IFERROR(__xludf.DUMMYFUNCTION("""COMPUTED_VALUE"""),45873.6458333333)</f>
        <v>45873.6458333333</v>
      </c>
      <c r="B92" s="48">
        <f>IFERROR(__xludf.DUMMYFUNCTION("""COMPUTED_VALUE"""),234.83)</f>
        <v>234.83</v>
      </c>
      <c r="C92" s="47">
        <f>IFERROR(__xludf.DUMMYFUNCTION("""COMPUTED_VALUE"""),45873.6458333333)</f>
        <v>45873.6458333333</v>
      </c>
      <c r="D92" s="48">
        <f>IFERROR(__xludf.DUMMYFUNCTION("""COMPUTED_VALUE"""),236.5)</f>
        <v>236.5</v>
      </c>
      <c r="E92" s="47">
        <f>IFERROR(__xludf.DUMMYFUNCTION("""COMPUTED_VALUE"""),45873.6458333333)</f>
        <v>45873.6458333333</v>
      </c>
      <c r="F92" s="48">
        <f>IFERROR(__xludf.DUMMYFUNCTION("""COMPUTED_VALUE"""),16174972)</f>
        <v>16174972</v>
      </c>
      <c r="G92" s="47">
        <f>IFERROR(__xludf.DUMMYFUNCTION("""COMPUTED_VALUE"""),45873.6458333333)</f>
        <v>45873.6458333333</v>
      </c>
      <c r="H92" s="48">
        <f>IFERROR(__xludf.DUMMYFUNCTION("""COMPUTED_VALUE"""),238.39)</f>
        <v>238.39</v>
      </c>
      <c r="I92" s="47">
        <f>IFERROR(__xludf.DUMMYFUNCTION("""COMPUTED_VALUE"""),45873.6458333333)</f>
        <v>45873.6458333333</v>
      </c>
      <c r="J92" s="48">
        <f>IFERROR(__xludf.DUMMYFUNCTION("""COMPUTED_VALUE"""),234)</f>
        <v>234</v>
      </c>
      <c r="K92" s="3">
        <f t="shared" si="2"/>
        <v>0</v>
      </c>
      <c r="L92" s="3">
        <f t="shared" si="3"/>
        <v>0</v>
      </c>
    </row>
    <row r="93" customHeight="1" spans="1:12">
      <c r="A93" s="47">
        <f>IFERROR(__xludf.DUMMYFUNCTION("""COMPUTED_VALUE"""),45874.6458333333)</f>
        <v>45874.6458333333</v>
      </c>
      <c r="B93" s="48">
        <f>IFERROR(__xludf.DUMMYFUNCTION("""COMPUTED_VALUE"""),234.48)</f>
        <v>234.48</v>
      </c>
      <c r="C93" s="47">
        <f>IFERROR(__xludf.DUMMYFUNCTION("""COMPUTED_VALUE"""),45874.6458333333)</f>
        <v>45874.6458333333</v>
      </c>
      <c r="D93" s="48">
        <f>IFERROR(__xludf.DUMMYFUNCTION("""COMPUTED_VALUE"""),235.5)</f>
        <v>235.5</v>
      </c>
      <c r="E93" s="47">
        <f>IFERROR(__xludf.DUMMYFUNCTION("""COMPUTED_VALUE"""),45874.6458333333)</f>
        <v>45874.6458333333</v>
      </c>
      <c r="F93" s="48">
        <f>IFERROR(__xludf.DUMMYFUNCTION("""COMPUTED_VALUE"""),9562689)</f>
        <v>9562689</v>
      </c>
      <c r="G93" s="47">
        <f>IFERROR(__xludf.DUMMYFUNCTION("""COMPUTED_VALUE"""),45874.6458333333)</f>
        <v>45874.6458333333</v>
      </c>
      <c r="H93" s="48">
        <f>IFERROR(__xludf.DUMMYFUNCTION("""COMPUTED_VALUE"""),236)</f>
        <v>236</v>
      </c>
      <c r="I93" s="47">
        <f>IFERROR(__xludf.DUMMYFUNCTION("""COMPUTED_VALUE"""),45874.6458333333)</f>
        <v>45874.6458333333</v>
      </c>
      <c r="J93" s="48">
        <f>IFERROR(__xludf.DUMMYFUNCTION("""COMPUTED_VALUE"""),233.05)</f>
        <v>233.05</v>
      </c>
      <c r="K93" s="3">
        <f t="shared" si="2"/>
        <v>0</v>
      </c>
      <c r="L93" s="3">
        <f t="shared" si="3"/>
        <v>0</v>
      </c>
    </row>
    <row r="94" customHeight="1" spans="1:12">
      <c r="A94" s="47">
        <f>IFERROR(__xludf.DUMMYFUNCTION("""COMPUTED_VALUE"""),45875.6458333333)</f>
        <v>45875.6458333333</v>
      </c>
      <c r="B94" s="48">
        <f>IFERROR(__xludf.DUMMYFUNCTION("""COMPUTED_VALUE"""),233.77)</f>
        <v>233.77</v>
      </c>
      <c r="C94" s="47">
        <f>IFERROR(__xludf.DUMMYFUNCTION("""COMPUTED_VALUE"""),45875.6458333333)</f>
        <v>45875.6458333333</v>
      </c>
      <c r="D94" s="48">
        <f>IFERROR(__xludf.DUMMYFUNCTION("""COMPUTED_VALUE"""),234.55)</f>
        <v>234.55</v>
      </c>
      <c r="E94" s="47">
        <f>IFERROR(__xludf.DUMMYFUNCTION("""COMPUTED_VALUE"""),45875.6458333333)</f>
        <v>45875.6458333333</v>
      </c>
      <c r="F94" s="48">
        <f>IFERROR(__xludf.DUMMYFUNCTION("""COMPUTED_VALUE"""),7568954)</f>
        <v>7568954</v>
      </c>
      <c r="G94" s="47">
        <f>IFERROR(__xludf.DUMMYFUNCTION("""COMPUTED_VALUE"""),45875.6458333333)</f>
        <v>45875.6458333333</v>
      </c>
      <c r="H94" s="48">
        <f>IFERROR(__xludf.DUMMYFUNCTION("""COMPUTED_VALUE"""),235.37)</f>
        <v>235.37</v>
      </c>
      <c r="I94" s="47">
        <f>IFERROR(__xludf.DUMMYFUNCTION("""COMPUTED_VALUE"""),45875.6458333333)</f>
        <v>45875.6458333333</v>
      </c>
      <c r="J94" s="48">
        <f>IFERROR(__xludf.DUMMYFUNCTION("""COMPUTED_VALUE"""),232.91)</f>
        <v>232.91</v>
      </c>
      <c r="K94" s="3">
        <f t="shared" si="2"/>
        <v>0</v>
      </c>
      <c r="L94" s="3">
        <f t="shared" si="3"/>
        <v>0</v>
      </c>
    </row>
    <row r="95" customHeight="1" spans="1:12">
      <c r="A95" s="47">
        <f>IFERROR(__xludf.DUMMYFUNCTION("""COMPUTED_VALUE"""),45876.6458333333)</f>
        <v>45876.6458333333</v>
      </c>
      <c r="B95" s="48">
        <f>IFERROR(__xludf.DUMMYFUNCTION("""COMPUTED_VALUE"""),233.93)</f>
        <v>233.93</v>
      </c>
      <c r="C95" s="47">
        <f>IFERROR(__xludf.DUMMYFUNCTION("""COMPUTED_VALUE"""),45876.6458333333)</f>
        <v>45876.6458333333</v>
      </c>
      <c r="D95" s="48">
        <f>IFERROR(__xludf.DUMMYFUNCTION("""COMPUTED_VALUE"""),233.15)</f>
        <v>233.15</v>
      </c>
      <c r="E95" s="47">
        <f>IFERROR(__xludf.DUMMYFUNCTION("""COMPUTED_VALUE"""),45876.6458333333)</f>
        <v>45876.6458333333</v>
      </c>
      <c r="F95" s="48">
        <f>IFERROR(__xludf.DUMMYFUNCTION("""COMPUTED_VALUE"""),5560413)</f>
        <v>5560413</v>
      </c>
      <c r="G95" s="47">
        <f>IFERROR(__xludf.DUMMYFUNCTION("""COMPUTED_VALUE"""),45876.6458333333)</f>
        <v>45876.6458333333</v>
      </c>
      <c r="H95" s="48">
        <f>IFERROR(__xludf.DUMMYFUNCTION("""COMPUTED_VALUE"""),234.2)</f>
        <v>234.2</v>
      </c>
      <c r="I95" s="47">
        <f>IFERROR(__xludf.DUMMYFUNCTION("""COMPUTED_VALUE"""),45876.6458333333)</f>
        <v>45876.6458333333</v>
      </c>
      <c r="J95" s="48">
        <f>IFERROR(__xludf.DUMMYFUNCTION("""COMPUTED_VALUE"""),231.31)</f>
        <v>231.31</v>
      </c>
      <c r="K95" s="3">
        <f t="shared" si="2"/>
        <v>0</v>
      </c>
      <c r="L95" s="3">
        <f t="shared" si="3"/>
        <v>0</v>
      </c>
    </row>
    <row r="96" customHeight="1" spans="1:12">
      <c r="A96" s="47">
        <f>IFERROR(__xludf.DUMMYFUNCTION("""COMPUTED_VALUE"""),45877.6458333333)</f>
        <v>45877.6458333333</v>
      </c>
      <c r="B96" s="48">
        <f>IFERROR(__xludf.DUMMYFUNCTION("""COMPUTED_VALUE"""),233.44)</f>
        <v>233.44</v>
      </c>
      <c r="C96" s="47">
        <f>IFERROR(__xludf.DUMMYFUNCTION("""COMPUTED_VALUE"""),45877.6458333333)</f>
        <v>45877.6458333333</v>
      </c>
      <c r="D96" s="48">
        <f>IFERROR(__xludf.DUMMYFUNCTION("""COMPUTED_VALUE"""),233.9)</f>
        <v>233.9</v>
      </c>
      <c r="E96" s="47">
        <f>IFERROR(__xludf.DUMMYFUNCTION("""COMPUTED_VALUE"""),45877.6458333333)</f>
        <v>45877.6458333333</v>
      </c>
      <c r="F96" s="48">
        <f>IFERROR(__xludf.DUMMYFUNCTION("""COMPUTED_VALUE"""),5249568)</f>
        <v>5249568</v>
      </c>
      <c r="G96" s="47">
        <f>IFERROR(__xludf.DUMMYFUNCTION("""COMPUTED_VALUE"""),45877.6458333333)</f>
        <v>45877.6458333333</v>
      </c>
      <c r="H96" s="48">
        <f>IFERROR(__xludf.DUMMYFUNCTION("""COMPUTED_VALUE"""),235.12)</f>
        <v>235.12</v>
      </c>
      <c r="I96" s="47">
        <f>IFERROR(__xludf.DUMMYFUNCTION("""COMPUTED_VALUE"""),45877.6458333333)</f>
        <v>45877.6458333333</v>
      </c>
      <c r="J96" s="48">
        <f>IFERROR(__xludf.DUMMYFUNCTION("""COMPUTED_VALUE"""),232.68)</f>
        <v>232.68</v>
      </c>
      <c r="K96" s="3">
        <f t="shared" si="2"/>
        <v>0</v>
      </c>
      <c r="L96" s="3">
        <f t="shared" si="3"/>
        <v>233.44</v>
      </c>
    </row>
    <row r="97" customHeight="1" spans="1:12">
      <c r="A97" s="47">
        <f>IFERROR(__xludf.DUMMYFUNCTION("""COMPUTED_VALUE"""),45880.6458333333)</f>
        <v>45880.6458333333</v>
      </c>
      <c r="B97" s="48">
        <f>IFERROR(__xludf.DUMMYFUNCTION("""COMPUTED_VALUE"""),233.79)</f>
        <v>233.79</v>
      </c>
      <c r="C97" s="47">
        <f>IFERROR(__xludf.DUMMYFUNCTION("""COMPUTED_VALUE"""),45880.6458333333)</f>
        <v>45880.6458333333</v>
      </c>
      <c r="D97" s="48">
        <f>IFERROR(__xludf.DUMMYFUNCTION("""COMPUTED_VALUE"""),233.44)</f>
        <v>233.44</v>
      </c>
      <c r="E97" s="47">
        <f>IFERROR(__xludf.DUMMYFUNCTION("""COMPUTED_VALUE"""),45880.6458333333)</f>
        <v>45880.6458333333</v>
      </c>
      <c r="F97" s="48">
        <f>IFERROR(__xludf.DUMMYFUNCTION("""COMPUTED_VALUE"""),4699743)</f>
        <v>4699743</v>
      </c>
      <c r="G97" s="47">
        <f>IFERROR(__xludf.DUMMYFUNCTION("""COMPUTED_VALUE"""),45880.6458333333)</f>
        <v>45880.6458333333</v>
      </c>
      <c r="H97" s="48">
        <f>IFERROR(__xludf.DUMMYFUNCTION("""COMPUTED_VALUE"""),235)</f>
        <v>235</v>
      </c>
      <c r="I97" s="47">
        <f>IFERROR(__xludf.DUMMYFUNCTION("""COMPUTED_VALUE"""),45880.6458333333)</f>
        <v>45880.6458333333</v>
      </c>
      <c r="J97" s="48">
        <f>IFERROR(__xludf.DUMMYFUNCTION("""COMPUTED_VALUE"""),231.58)</f>
        <v>231.58</v>
      </c>
      <c r="K97" s="3">
        <f t="shared" si="2"/>
        <v>0</v>
      </c>
      <c r="L97" s="3">
        <f t="shared" si="3"/>
        <v>0</v>
      </c>
    </row>
    <row r="98" customHeight="1" spans="1:12">
      <c r="A98" s="47">
        <f>IFERROR(__xludf.DUMMYFUNCTION("""COMPUTED_VALUE"""),45881.6458333333)</f>
        <v>45881.6458333333</v>
      </c>
      <c r="B98" s="48">
        <f>IFERROR(__xludf.DUMMYFUNCTION("""COMPUTED_VALUE"""),235.52)</f>
        <v>235.52</v>
      </c>
      <c r="C98" s="47">
        <f>IFERROR(__xludf.DUMMYFUNCTION("""COMPUTED_VALUE"""),45881.6458333333)</f>
        <v>45881.6458333333</v>
      </c>
      <c r="D98" s="48">
        <f>IFERROR(__xludf.DUMMYFUNCTION("""COMPUTED_VALUE"""),233.8)</f>
        <v>233.8</v>
      </c>
      <c r="E98" s="47">
        <f>IFERROR(__xludf.DUMMYFUNCTION("""COMPUTED_VALUE"""),45881.6458333333)</f>
        <v>45881.6458333333</v>
      </c>
      <c r="F98" s="48">
        <f>IFERROR(__xludf.DUMMYFUNCTION("""COMPUTED_VALUE"""),7036778)</f>
        <v>7036778</v>
      </c>
      <c r="G98" s="47">
        <f>IFERROR(__xludf.DUMMYFUNCTION("""COMPUTED_VALUE"""),45881.6458333333)</f>
        <v>45881.6458333333</v>
      </c>
      <c r="H98" s="48">
        <f>IFERROR(__xludf.DUMMYFUNCTION("""COMPUTED_VALUE"""),236.36)</f>
        <v>236.36</v>
      </c>
      <c r="I98" s="47">
        <f>IFERROR(__xludf.DUMMYFUNCTION("""COMPUTED_VALUE"""),45881.6458333333)</f>
        <v>45881.6458333333</v>
      </c>
      <c r="J98" s="48">
        <f>IFERROR(__xludf.DUMMYFUNCTION("""COMPUTED_VALUE"""),233.61)</f>
        <v>233.61</v>
      </c>
      <c r="K98" s="3">
        <f t="shared" si="2"/>
        <v>0</v>
      </c>
      <c r="L98" s="3">
        <f t="shared" si="3"/>
        <v>0</v>
      </c>
    </row>
    <row r="99" customHeight="1" spans="1:12">
      <c r="A99" s="47">
        <f>IFERROR(__xludf.DUMMYFUNCTION("""COMPUTED_VALUE"""),45882.6458333333)</f>
        <v>45882.6458333333</v>
      </c>
      <c r="B99" s="48">
        <f>IFERROR(__xludf.DUMMYFUNCTION("""COMPUTED_VALUE"""),238.67)</f>
        <v>238.67</v>
      </c>
      <c r="C99" s="47">
        <f>IFERROR(__xludf.DUMMYFUNCTION("""COMPUTED_VALUE"""),45882.6458333333)</f>
        <v>45882.6458333333</v>
      </c>
      <c r="D99" s="48">
        <f>IFERROR(__xludf.DUMMYFUNCTION("""COMPUTED_VALUE"""),237.74)</f>
        <v>237.74</v>
      </c>
      <c r="E99" s="47">
        <f>IFERROR(__xludf.DUMMYFUNCTION("""COMPUTED_VALUE"""),45882.6458333333)</f>
        <v>45882.6458333333</v>
      </c>
      <c r="F99" s="48">
        <f>IFERROR(__xludf.DUMMYFUNCTION("""COMPUTED_VALUE"""),8501906)</f>
        <v>8501906</v>
      </c>
      <c r="G99" s="47">
        <f>IFERROR(__xludf.DUMMYFUNCTION("""COMPUTED_VALUE"""),45882.6458333333)</f>
        <v>45882.6458333333</v>
      </c>
      <c r="H99" s="48">
        <f>IFERROR(__xludf.DUMMYFUNCTION("""COMPUTED_VALUE"""),239.95)</f>
        <v>239.95</v>
      </c>
      <c r="I99" s="47">
        <f>IFERROR(__xludf.DUMMYFUNCTION("""COMPUTED_VALUE"""),45882.6458333333)</f>
        <v>45882.6458333333</v>
      </c>
      <c r="J99" s="48">
        <f>IFERROR(__xludf.DUMMYFUNCTION("""COMPUTED_VALUE"""),236.3)</f>
        <v>236.3</v>
      </c>
      <c r="K99" s="3">
        <f t="shared" si="2"/>
        <v>238.67</v>
      </c>
      <c r="L99" s="3">
        <f t="shared" si="3"/>
        <v>0</v>
      </c>
    </row>
    <row r="100" customHeight="1" spans="1:12">
      <c r="A100" s="47">
        <f>IFERROR(__xludf.DUMMYFUNCTION("""COMPUTED_VALUE"""),45883.6458333333)</f>
        <v>45883.6458333333</v>
      </c>
      <c r="B100" s="48">
        <f>IFERROR(__xludf.DUMMYFUNCTION("""COMPUTED_VALUE"""),236.94)</f>
        <v>236.94</v>
      </c>
      <c r="C100" s="47">
        <f>IFERROR(__xludf.DUMMYFUNCTION("""COMPUTED_VALUE"""),45883.6458333333)</f>
        <v>45883.6458333333</v>
      </c>
      <c r="D100" s="48">
        <f>IFERROR(__xludf.DUMMYFUNCTION("""COMPUTED_VALUE"""),238.51)</f>
        <v>238.51</v>
      </c>
      <c r="E100" s="47">
        <f>IFERROR(__xludf.DUMMYFUNCTION("""COMPUTED_VALUE"""),45883.6458333333)</f>
        <v>45883.6458333333</v>
      </c>
      <c r="F100" s="48">
        <f>IFERROR(__xludf.DUMMYFUNCTION("""COMPUTED_VALUE"""),7258450)</f>
        <v>7258450</v>
      </c>
      <c r="G100" s="47">
        <f>IFERROR(__xludf.DUMMYFUNCTION("""COMPUTED_VALUE"""),45883.6458333333)</f>
        <v>45883.6458333333</v>
      </c>
      <c r="H100" s="48">
        <f>IFERROR(__xludf.DUMMYFUNCTION("""COMPUTED_VALUE"""),238.67)</f>
        <v>238.67</v>
      </c>
      <c r="I100" s="47">
        <f>IFERROR(__xludf.DUMMYFUNCTION("""COMPUTED_VALUE"""),45883.6458333333)</f>
        <v>45883.6458333333</v>
      </c>
      <c r="J100" s="48">
        <f>IFERROR(__xludf.DUMMYFUNCTION("""COMPUTED_VALUE"""),234.43)</f>
        <v>234.43</v>
      </c>
      <c r="K100" s="3">
        <f t="shared" si="2"/>
        <v>0</v>
      </c>
      <c r="L100" s="3">
        <f t="shared" si="3"/>
        <v>0</v>
      </c>
    </row>
    <row r="101" customHeight="1" spans="1:12">
      <c r="A101" s="47">
        <f>IFERROR(__xludf.DUMMYFUNCTION("""COMPUTED_VALUE"""),45887.6458333333)</f>
        <v>45887.6458333333</v>
      </c>
      <c r="B101" s="48">
        <f>IFERROR(__xludf.DUMMYFUNCTION("""COMPUTED_VALUE"""),238.16)</f>
        <v>238.16</v>
      </c>
      <c r="C101" s="47">
        <f>IFERROR(__xludf.DUMMYFUNCTION("""COMPUTED_VALUE"""),45887.6458333333)</f>
        <v>45887.6458333333</v>
      </c>
      <c r="D101" s="48">
        <f>IFERROR(__xludf.DUMMYFUNCTION("""COMPUTED_VALUE"""),237.25)</f>
        <v>237.25</v>
      </c>
      <c r="E101" s="47">
        <f>IFERROR(__xludf.DUMMYFUNCTION("""COMPUTED_VALUE"""),45887.6458333333)</f>
        <v>45887.6458333333</v>
      </c>
      <c r="F101" s="48">
        <f>IFERROR(__xludf.DUMMYFUNCTION("""COMPUTED_VALUE"""),8501972)</f>
        <v>8501972</v>
      </c>
      <c r="G101" s="47">
        <f>IFERROR(__xludf.DUMMYFUNCTION("""COMPUTED_VALUE"""),45887.6458333333)</f>
        <v>45887.6458333333</v>
      </c>
      <c r="H101" s="48">
        <f>IFERROR(__xludf.DUMMYFUNCTION("""COMPUTED_VALUE"""),238.59)</f>
        <v>238.59</v>
      </c>
      <c r="I101" s="47">
        <f>IFERROR(__xludf.DUMMYFUNCTION("""COMPUTED_VALUE"""),45887.6458333333)</f>
        <v>45887.6458333333</v>
      </c>
      <c r="J101" s="48">
        <f>IFERROR(__xludf.DUMMYFUNCTION("""COMPUTED_VALUE"""),235.5)</f>
        <v>235.5</v>
      </c>
      <c r="K101" s="3">
        <f t="shared" si="2"/>
        <v>0</v>
      </c>
      <c r="L101" s="3">
        <f t="shared" si="3"/>
        <v>0</v>
      </c>
    </row>
    <row r="102" customHeight="1" spans="1:12">
      <c r="A102" s="47">
        <f>IFERROR(__xludf.DUMMYFUNCTION("""COMPUTED_VALUE"""),45888.6458333333)</f>
        <v>45888.6458333333</v>
      </c>
      <c r="B102" s="48">
        <f>IFERROR(__xludf.DUMMYFUNCTION("""COMPUTED_VALUE"""),237.94)</f>
        <v>237.94</v>
      </c>
      <c r="C102" s="47">
        <f>IFERROR(__xludf.DUMMYFUNCTION("""COMPUTED_VALUE"""),45888.6458333333)</f>
        <v>45888.6458333333</v>
      </c>
      <c r="D102" s="48">
        <f>IFERROR(__xludf.DUMMYFUNCTION("""COMPUTED_VALUE"""),237.5)</f>
        <v>237.5</v>
      </c>
      <c r="E102" s="47">
        <f>IFERROR(__xludf.DUMMYFUNCTION("""COMPUTED_VALUE"""),45888.6458333333)</f>
        <v>45888.6458333333</v>
      </c>
      <c r="F102" s="48">
        <f>IFERROR(__xludf.DUMMYFUNCTION("""COMPUTED_VALUE"""),5538059)</f>
        <v>5538059</v>
      </c>
      <c r="G102" s="47">
        <f>IFERROR(__xludf.DUMMYFUNCTION("""COMPUTED_VALUE"""),45888.6458333333)</f>
        <v>45888.6458333333</v>
      </c>
      <c r="H102" s="48">
        <f>IFERROR(__xludf.DUMMYFUNCTION("""COMPUTED_VALUE"""),238.54)</f>
        <v>238.54</v>
      </c>
      <c r="I102" s="47">
        <f>IFERROR(__xludf.DUMMYFUNCTION("""COMPUTED_VALUE"""),45888.6458333333)</f>
        <v>45888.6458333333</v>
      </c>
      <c r="J102" s="48">
        <f>IFERROR(__xludf.DUMMYFUNCTION("""COMPUTED_VALUE"""),236.68)</f>
        <v>236.68</v>
      </c>
      <c r="K102" s="3">
        <f t="shared" si="2"/>
        <v>0</v>
      </c>
      <c r="L102" s="3">
        <f t="shared" si="3"/>
        <v>0</v>
      </c>
    </row>
    <row r="103" customHeight="1" spans="1:12">
      <c r="A103" s="47">
        <f>IFERROR(__xludf.DUMMYFUNCTION("""COMPUTED_VALUE"""),45889.6458333333)</f>
        <v>45889.6458333333</v>
      </c>
      <c r="B103" s="48">
        <f>IFERROR(__xludf.DUMMYFUNCTION("""COMPUTED_VALUE"""),237.93)</f>
        <v>237.93</v>
      </c>
      <c r="C103" s="47">
        <f>IFERROR(__xludf.DUMMYFUNCTION("""COMPUTED_VALUE"""),45889.6458333333)</f>
        <v>45889.6458333333</v>
      </c>
      <c r="D103" s="48">
        <f>IFERROR(__xludf.DUMMYFUNCTION("""COMPUTED_VALUE"""),237)</f>
        <v>237</v>
      </c>
      <c r="E103" s="47">
        <f>IFERROR(__xludf.DUMMYFUNCTION("""COMPUTED_VALUE"""),45889.6458333333)</f>
        <v>45889.6458333333</v>
      </c>
      <c r="F103" s="48">
        <f>IFERROR(__xludf.DUMMYFUNCTION("""COMPUTED_VALUE"""),7438061)</f>
        <v>7438061</v>
      </c>
      <c r="G103" s="47">
        <f>IFERROR(__xludf.DUMMYFUNCTION("""COMPUTED_VALUE"""),45889.6458333333)</f>
        <v>45889.6458333333</v>
      </c>
      <c r="H103" s="48">
        <f>IFERROR(__xludf.DUMMYFUNCTION("""COMPUTED_VALUE"""),239.09)</f>
        <v>239.09</v>
      </c>
      <c r="I103" s="47">
        <f>IFERROR(__xludf.DUMMYFUNCTION("""COMPUTED_VALUE"""),45889.6458333333)</f>
        <v>45889.6458333333</v>
      </c>
      <c r="J103" s="48">
        <f>IFERROR(__xludf.DUMMYFUNCTION("""COMPUTED_VALUE"""),237)</f>
        <v>237</v>
      </c>
      <c r="K103" s="3">
        <f t="shared" si="2"/>
        <v>0</v>
      </c>
      <c r="L103" s="3">
        <f t="shared" si="3"/>
        <v>0</v>
      </c>
    </row>
    <row r="104" customHeight="1" spans="1:12">
      <c r="A104" s="47">
        <f>IFERROR(__xludf.DUMMYFUNCTION("""COMPUTED_VALUE"""),45890.6458333333)</f>
        <v>45890.6458333333</v>
      </c>
      <c r="B104" s="48">
        <f>IFERROR(__xludf.DUMMYFUNCTION("""COMPUTED_VALUE"""),238.29)</f>
        <v>238.29</v>
      </c>
      <c r="C104" s="47">
        <f>IFERROR(__xludf.DUMMYFUNCTION("""COMPUTED_VALUE"""),45890.6458333333)</f>
        <v>45890.6458333333</v>
      </c>
      <c r="D104" s="48">
        <f>IFERROR(__xludf.DUMMYFUNCTION("""COMPUTED_VALUE"""),238)</f>
        <v>238</v>
      </c>
      <c r="E104" s="47">
        <f>IFERROR(__xludf.DUMMYFUNCTION("""COMPUTED_VALUE"""),45890.6458333333)</f>
        <v>45890.6458333333</v>
      </c>
      <c r="F104" s="48">
        <f>IFERROR(__xludf.DUMMYFUNCTION("""COMPUTED_VALUE"""),8111371)</f>
        <v>8111371</v>
      </c>
      <c r="G104" s="47">
        <f>IFERROR(__xludf.DUMMYFUNCTION("""COMPUTED_VALUE"""),45890.6458333333)</f>
        <v>45890.6458333333</v>
      </c>
      <c r="H104" s="48">
        <f>IFERROR(__xludf.DUMMYFUNCTION("""COMPUTED_VALUE"""),240.99)</f>
        <v>240.99</v>
      </c>
      <c r="I104" s="47">
        <f>IFERROR(__xludf.DUMMYFUNCTION("""COMPUTED_VALUE"""),45890.6458333333)</f>
        <v>45890.6458333333</v>
      </c>
      <c r="J104" s="48">
        <f>IFERROR(__xludf.DUMMYFUNCTION("""COMPUTED_VALUE"""),237.23)</f>
        <v>237.23</v>
      </c>
      <c r="K104" s="3">
        <f t="shared" si="2"/>
        <v>0</v>
      </c>
      <c r="L104" s="3">
        <f t="shared" si="3"/>
        <v>0</v>
      </c>
    </row>
    <row r="105" customHeight="1" spans="1:12">
      <c r="A105" s="47">
        <f>IFERROR(__xludf.DUMMYFUNCTION("""COMPUTED_VALUE"""),45891.6458333333)</f>
        <v>45891.6458333333</v>
      </c>
      <c r="B105" s="48">
        <f>IFERROR(__xludf.DUMMYFUNCTION("""COMPUTED_VALUE"""),236.29)</f>
        <v>236.29</v>
      </c>
      <c r="C105" s="47">
        <f>IFERROR(__xludf.DUMMYFUNCTION("""COMPUTED_VALUE"""),45891.6458333333)</f>
        <v>45891.6458333333</v>
      </c>
      <c r="D105" s="48">
        <f>IFERROR(__xludf.DUMMYFUNCTION("""COMPUTED_VALUE"""),238)</f>
        <v>238</v>
      </c>
      <c r="E105" s="47">
        <f>IFERROR(__xludf.DUMMYFUNCTION("""COMPUTED_VALUE"""),45891.6458333333)</f>
        <v>45891.6458333333</v>
      </c>
      <c r="F105" s="48">
        <f>IFERROR(__xludf.DUMMYFUNCTION("""COMPUTED_VALUE"""),5423818)</f>
        <v>5423818</v>
      </c>
      <c r="G105" s="47">
        <f>IFERROR(__xludf.DUMMYFUNCTION("""COMPUTED_VALUE"""),45891.6458333333)</f>
        <v>45891.6458333333</v>
      </c>
      <c r="H105" s="48">
        <f>IFERROR(__xludf.DUMMYFUNCTION("""COMPUTED_VALUE"""),238.63)</f>
        <v>238.63</v>
      </c>
      <c r="I105" s="47">
        <f>IFERROR(__xludf.DUMMYFUNCTION("""COMPUTED_VALUE"""),45891.6458333333)</f>
        <v>45891.6458333333</v>
      </c>
      <c r="J105" s="48">
        <f>IFERROR(__xludf.DUMMYFUNCTION("""COMPUTED_VALUE"""),235.89)</f>
        <v>235.89</v>
      </c>
      <c r="K105" s="3">
        <f t="shared" si="2"/>
        <v>0</v>
      </c>
      <c r="L105" s="3">
        <f t="shared" si="3"/>
        <v>0</v>
      </c>
    </row>
    <row r="106" customHeight="1" spans="1:12">
      <c r="A106" s="47">
        <f>IFERROR(__xludf.DUMMYFUNCTION("""COMPUTED_VALUE"""),45894.6458333333)</f>
        <v>45894.6458333333</v>
      </c>
      <c r="B106" s="48">
        <f>IFERROR(__xludf.DUMMYFUNCTION("""COMPUTED_VALUE"""),236.76)</f>
        <v>236.76</v>
      </c>
      <c r="C106" s="47">
        <f>IFERROR(__xludf.DUMMYFUNCTION("""COMPUTED_VALUE"""),45894.6458333333)</f>
        <v>45894.6458333333</v>
      </c>
      <c r="D106" s="48">
        <f>IFERROR(__xludf.DUMMYFUNCTION("""COMPUTED_VALUE"""),236.3)</f>
        <v>236.3</v>
      </c>
      <c r="E106" s="47">
        <f>IFERROR(__xludf.DUMMYFUNCTION("""COMPUTED_VALUE"""),45894.6458333333)</f>
        <v>45894.6458333333</v>
      </c>
      <c r="F106" s="48">
        <f>IFERROR(__xludf.DUMMYFUNCTION("""COMPUTED_VALUE"""),8854258)</f>
        <v>8854258</v>
      </c>
      <c r="G106" s="47">
        <f>IFERROR(__xludf.DUMMYFUNCTION("""COMPUTED_VALUE"""),45894.6458333333)</f>
        <v>45894.6458333333</v>
      </c>
      <c r="H106" s="48">
        <f>IFERROR(__xludf.DUMMYFUNCTION("""COMPUTED_VALUE"""),237.49)</f>
        <v>237.49</v>
      </c>
      <c r="I106" s="47">
        <f>IFERROR(__xludf.DUMMYFUNCTION("""COMPUTED_VALUE"""),45894.6458333333)</f>
        <v>45894.6458333333</v>
      </c>
      <c r="J106" s="48">
        <f>IFERROR(__xludf.DUMMYFUNCTION("""COMPUTED_VALUE"""),235.65)</f>
        <v>235.65</v>
      </c>
      <c r="K106" s="3">
        <f t="shared" si="2"/>
        <v>0</v>
      </c>
      <c r="L106" s="3">
        <f t="shared" si="3"/>
        <v>0</v>
      </c>
    </row>
    <row r="107" customHeight="1" spans="1:12">
      <c r="A107" s="47">
        <f>IFERROR(__xludf.DUMMYFUNCTION("""COMPUTED_VALUE"""),45895.6458333333)</f>
        <v>45895.6458333333</v>
      </c>
      <c r="B107" s="48">
        <f>IFERROR(__xludf.DUMMYFUNCTION("""COMPUTED_VALUE"""),234.19)</f>
        <v>234.19</v>
      </c>
      <c r="C107" s="47">
        <f>IFERROR(__xludf.DUMMYFUNCTION("""COMPUTED_VALUE"""),45895.6458333333)</f>
        <v>45895.6458333333</v>
      </c>
      <c r="D107" s="48">
        <f>IFERROR(__xludf.DUMMYFUNCTION("""COMPUTED_VALUE"""),236.66)</f>
        <v>236.66</v>
      </c>
      <c r="E107" s="47">
        <f>IFERROR(__xludf.DUMMYFUNCTION("""COMPUTED_VALUE"""),45895.6458333333)</f>
        <v>45895.6458333333</v>
      </c>
      <c r="F107" s="48">
        <f>IFERROR(__xludf.DUMMYFUNCTION("""COMPUTED_VALUE"""),14671897)</f>
        <v>14671897</v>
      </c>
      <c r="G107" s="47">
        <f>IFERROR(__xludf.DUMMYFUNCTION("""COMPUTED_VALUE"""),45895.6458333333)</f>
        <v>45895.6458333333</v>
      </c>
      <c r="H107" s="48">
        <f>IFERROR(__xludf.DUMMYFUNCTION("""COMPUTED_VALUE"""),237.3)</f>
        <v>237.3</v>
      </c>
      <c r="I107" s="47">
        <f>IFERROR(__xludf.DUMMYFUNCTION("""COMPUTED_VALUE"""),45895.6458333333)</f>
        <v>45895.6458333333</v>
      </c>
      <c r="J107" s="48">
        <f>IFERROR(__xludf.DUMMYFUNCTION("""COMPUTED_VALUE"""),233.8)</f>
        <v>233.8</v>
      </c>
      <c r="K107" s="3">
        <f t="shared" si="2"/>
        <v>0</v>
      </c>
      <c r="L107" s="3">
        <f t="shared" si="3"/>
        <v>0</v>
      </c>
    </row>
    <row r="108" customHeight="1" spans="1:12">
      <c r="A108" s="47">
        <f>IFERROR(__xludf.DUMMYFUNCTION("""COMPUTED_VALUE"""),45897.6458333333)</f>
        <v>45897.6458333333</v>
      </c>
      <c r="B108" s="48">
        <f>IFERROR(__xludf.DUMMYFUNCTION("""COMPUTED_VALUE"""),233.39)</f>
        <v>233.39</v>
      </c>
      <c r="C108" s="47">
        <f>IFERROR(__xludf.DUMMYFUNCTION("""COMPUTED_VALUE"""),45897.6458333333)</f>
        <v>45897.6458333333</v>
      </c>
      <c r="D108" s="48">
        <f>IFERROR(__xludf.DUMMYFUNCTION("""COMPUTED_VALUE"""),234.3)</f>
        <v>234.3</v>
      </c>
      <c r="E108" s="47">
        <f>IFERROR(__xludf.DUMMYFUNCTION("""COMPUTED_VALUE"""),45897.6458333333)</f>
        <v>45897.6458333333</v>
      </c>
      <c r="F108" s="48">
        <f>IFERROR(__xludf.DUMMYFUNCTION("""COMPUTED_VALUE"""),13870643)</f>
        <v>13870643</v>
      </c>
      <c r="G108" s="47">
        <f>IFERROR(__xludf.DUMMYFUNCTION("""COMPUTED_VALUE"""),45897.6458333333)</f>
        <v>45897.6458333333</v>
      </c>
      <c r="H108" s="48">
        <f>IFERROR(__xludf.DUMMYFUNCTION("""COMPUTED_VALUE"""),235.28)</f>
        <v>235.28</v>
      </c>
      <c r="I108" s="47">
        <f>IFERROR(__xludf.DUMMYFUNCTION("""COMPUTED_VALUE"""),45897.6458333333)</f>
        <v>45897.6458333333</v>
      </c>
      <c r="J108" s="48">
        <f>IFERROR(__xludf.DUMMYFUNCTION("""COMPUTED_VALUE"""),232.38)</f>
        <v>232.38</v>
      </c>
      <c r="K108" s="3">
        <f t="shared" si="2"/>
        <v>0</v>
      </c>
      <c r="L108" s="3">
        <f t="shared" si="3"/>
        <v>233.39</v>
      </c>
    </row>
    <row r="109" customHeight="1" spans="1:12">
      <c r="A109" s="47">
        <f>IFERROR(__xludf.DUMMYFUNCTION("""COMPUTED_VALUE"""),45898.6458333333)</f>
        <v>45898.6458333333</v>
      </c>
      <c r="B109" s="48">
        <f>IFERROR(__xludf.DUMMYFUNCTION("""COMPUTED_VALUE"""),233.71)</f>
        <v>233.71</v>
      </c>
      <c r="C109" s="47">
        <f>IFERROR(__xludf.DUMMYFUNCTION("""COMPUTED_VALUE"""),45898.6458333333)</f>
        <v>45898.6458333333</v>
      </c>
      <c r="D109" s="48">
        <f>IFERROR(__xludf.DUMMYFUNCTION("""COMPUTED_VALUE"""),233.39)</f>
        <v>233.39</v>
      </c>
      <c r="E109" s="47">
        <f>IFERROR(__xludf.DUMMYFUNCTION("""COMPUTED_VALUE"""),45898.6458333333)</f>
        <v>45898.6458333333</v>
      </c>
      <c r="F109" s="48">
        <f>IFERROR(__xludf.DUMMYFUNCTION("""COMPUTED_VALUE"""),9928988)</f>
        <v>9928988</v>
      </c>
      <c r="G109" s="47">
        <f>IFERROR(__xludf.DUMMYFUNCTION("""COMPUTED_VALUE"""),45898.6458333333)</f>
        <v>45898.6458333333</v>
      </c>
      <c r="H109" s="48">
        <f>IFERROR(__xludf.DUMMYFUNCTION("""COMPUTED_VALUE"""),235.37)</f>
        <v>235.37</v>
      </c>
      <c r="I109" s="47">
        <f>IFERROR(__xludf.DUMMYFUNCTION("""COMPUTED_VALUE"""),45898.6458333333)</f>
        <v>45898.6458333333</v>
      </c>
      <c r="J109" s="48">
        <f>IFERROR(__xludf.DUMMYFUNCTION("""COMPUTED_VALUE"""),231.33)</f>
        <v>231.33</v>
      </c>
      <c r="K109" s="3">
        <f t="shared" si="2"/>
        <v>0</v>
      </c>
      <c r="L109" s="3">
        <f t="shared" si="3"/>
        <v>0</v>
      </c>
    </row>
    <row r="110" customHeight="1" spans="1:12">
      <c r="A110" s="47">
        <f>IFERROR(__xludf.DUMMYFUNCTION("""COMPUTED_VALUE"""),45901.6458333333)</f>
        <v>45901.6458333333</v>
      </c>
      <c r="B110" s="48">
        <f>IFERROR(__xludf.DUMMYFUNCTION("""COMPUTED_VALUE"""),238.72)</f>
        <v>238.72</v>
      </c>
      <c r="C110" s="47">
        <f>IFERROR(__xludf.DUMMYFUNCTION("""COMPUTED_VALUE"""),45901.6458333333)</f>
        <v>45901.6458333333</v>
      </c>
      <c r="D110" s="48">
        <f>IFERROR(__xludf.DUMMYFUNCTION("""COMPUTED_VALUE"""),234)</f>
        <v>234</v>
      </c>
      <c r="E110" s="47">
        <f>IFERROR(__xludf.DUMMYFUNCTION("""COMPUTED_VALUE"""),45901.6458333333)</f>
        <v>45901.6458333333</v>
      </c>
      <c r="F110" s="48">
        <f>IFERROR(__xludf.DUMMYFUNCTION("""COMPUTED_VALUE"""),4366396)</f>
        <v>4366396</v>
      </c>
      <c r="G110" s="47">
        <f>IFERROR(__xludf.DUMMYFUNCTION("""COMPUTED_VALUE"""),45901.6458333333)</f>
        <v>45901.6458333333</v>
      </c>
      <c r="H110" s="48">
        <f>IFERROR(__xludf.DUMMYFUNCTION("""COMPUTED_VALUE"""),239.19)</f>
        <v>239.19</v>
      </c>
      <c r="I110" s="47">
        <f>IFERROR(__xludf.DUMMYFUNCTION("""COMPUTED_VALUE"""),45901.6458333333)</f>
        <v>45901.6458333333</v>
      </c>
      <c r="J110" s="48">
        <f>IFERROR(__xludf.DUMMYFUNCTION("""COMPUTED_VALUE"""),233.07)</f>
        <v>233.07</v>
      </c>
      <c r="K110" s="3">
        <f t="shared" si="2"/>
        <v>0</v>
      </c>
      <c r="L110" s="3">
        <f t="shared" si="3"/>
        <v>0</v>
      </c>
    </row>
    <row r="111" customHeight="1" spans="1:12">
      <c r="A111" s="47">
        <f>IFERROR(__xludf.DUMMYFUNCTION("""COMPUTED_VALUE"""),45902.6458333333)</f>
        <v>45902.6458333333</v>
      </c>
      <c r="B111" s="48">
        <f>IFERROR(__xludf.DUMMYFUNCTION("""COMPUTED_VALUE"""),239.49)</f>
        <v>239.49</v>
      </c>
      <c r="C111" s="47">
        <f>IFERROR(__xludf.DUMMYFUNCTION("""COMPUTED_VALUE"""),45902.6458333333)</f>
        <v>45902.6458333333</v>
      </c>
      <c r="D111" s="48">
        <f>IFERROR(__xludf.DUMMYFUNCTION("""COMPUTED_VALUE"""),238.75)</f>
        <v>238.75</v>
      </c>
      <c r="E111" s="47">
        <f>IFERROR(__xludf.DUMMYFUNCTION("""COMPUTED_VALUE"""),45902.6458333333)</f>
        <v>45902.6458333333</v>
      </c>
      <c r="F111" s="48">
        <f>IFERROR(__xludf.DUMMYFUNCTION("""COMPUTED_VALUE"""),5921193)</f>
        <v>5921193</v>
      </c>
      <c r="G111" s="47">
        <f>IFERROR(__xludf.DUMMYFUNCTION("""COMPUTED_VALUE"""),45902.6458333333)</f>
        <v>45902.6458333333</v>
      </c>
      <c r="H111" s="48">
        <f>IFERROR(__xludf.DUMMYFUNCTION("""COMPUTED_VALUE"""),242.5)</f>
        <v>242.5</v>
      </c>
      <c r="I111" s="47">
        <f>IFERROR(__xludf.DUMMYFUNCTION("""COMPUTED_VALUE"""),45902.6458333333)</f>
        <v>45902.6458333333</v>
      </c>
      <c r="J111" s="48">
        <f>IFERROR(__xludf.DUMMYFUNCTION("""COMPUTED_VALUE"""),237.4)</f>
        <v>237.4</v>
      </c>
      <c r="K111" s="3">
        <f t="shared" si="2"/>
        <v>239.49</v>
      </c>
      <c r="L111" s="3">
        <f t="shared" si="3"/>
        <v>0</v>
      </c>
    </row>
    <row r="112" customHeight="1" spans="1:12">
      <c r="A112" s="47">
        <f>IFERROR(__xludf.DUMMYFUNCTION("""COMPUTED_VALUE"""),45903.6458333333)</f>
        <v>45903.6458333333</v>
      </c>
      <c r="B112" s="48">
        <f>IFERROR(__xludf.DUMMYFUNCTION("""COMPUTED_VALUE"""),239.07)</f>
        <v>239.07</v>
      </c>
      <c r="C112" s="47">
        <f>IFERROR(__xludf.DUMMYFUNCTION("""COMPUTED_VALUE"""),45903.6458333333)</f>
        <v>45903.6458333333</v>
      </c>
      <c r="D112" s="48">
        <f>IFERROR(__xludf.DUMMYFUNCTION("""COMPUTED_VALUE"""),239.5)</f>
        <v>239.5</v>
      </c>
      <c r="E112" s="47">
        <f>IFERROR(__xludf.DUMMYFUNCTION("""COMPUTED_VALUE"""),45903.6458333333)</f>
        <v>45903.6458333333</v>
      </c>
      <c r="F112" s="48">
        <f>IFERROR(__xludf.DUMMYFUNCTION("""COMPUTED_VALUE"""),4364007)</f>
        <v>4364007</v>
      </c>
      <c r="G112" s="47">
        <f>IFERROR(__xludf.DUMMYFUNCTION("""COMPUTED_VALUE"""),45903.6458333333)</f>
        <v>45903.6458333333</v>
      </c>
      <c r="H112" s="48">
        <f>IFERROR(__xludf.DUMMYFUNCTION("""COMPUTED_VALUE"""),241.94)</f>
        <v>241.94</v>
      </c>
      <c r="I112" s="47">
        <f>IFERROR(__xludf.DUMMYFUNCTION("""COMPUTED_VALUE"""),45903.6458333333)</f>
        <v>45903.6458333333</v>
      </c>
      <c r="J112" s="48">
        <f>IFERROR(__xludf.DUMMYFUNCTION("""COMPUTED_VALUE"""),238.46)</f>
        <v>238.46</v>
      </c>
      <c r="K112" s="3">
        <f t="shared" si="2"/>
        <v>0</v>
      </c>
      <c r="L112" s="3">
        <f t="shared" si="3"/>
        <v>0</v>
      </c>
    </row>
    <row r="113" customHeight="1" spans="1:12">
      <c r="A113" s="47">
        <f>IFERROR(__xludf.DUMMYFUNCTION("""COMPUTED_VALUE"""),45904.6458333333)</f>
        <v>45904.6458333333</v>
      </c>
      <c r="B113" s="48">
        <f>IFERROR(__xludf.DUMMYFUNCTION("""COMPUTED_VALUE"""),235.72)</f>
        <v>235.72</v>
      </c>
      <c r="C113" s="47">
        <f>IFERROR(__xludf.DUMMYFUNCTION("""COMPUTED_VALUE"""),45904.6458333333)</f>
        <v>45904.6458333333</v>
      </c>
      <c r="D113" s="48">
        <f>IFERROR(__xludf.DUMMYFUNCTION("""COMPUTED_VALUE"""),239.07)</f>
        <v>239.07</v>
      </c>
      <c r="E113" s="47">
        <f>IFERROR(__xludf.DUMMYFUNCTION("""COMPUTED_VALUE"""),45904.6458333333)</f>
        <v>45904.6458333333</v>
      </c>
      <c r="F113" s="48">
        <f>IFERROR(__xludf.DUMMYFUNCTION("""COMPUTED_VALUE"""),8778730)</f>
        <v>8778730</v>
      </c>
      <c r="G113" s="47">
        <f>IFERROR(__xludf.DUMMYFUNCTION("""COMPUTED_VALUE"""),45904.6458333333)</f>
        <v>45904.6458333333</v>
      </c>
      <c r="H113" s="48">
        <f>IFERROR(__xludf.DUMMYFUNCTION("""COMPUTED_VALUE"""),239.35)</f>
        <v>239.35</v>
      </c>
      <c r="I113" s="47">
        <f>IFERROR(__xludf.DUMMYFUNCTION("""COMPUTED_VALUE"""),45904.6458333333)</f>
        <v>45904.6458333333</v>
      </c>
      <c r="J113" s="48">
        <f>IFERROR(__xludf.DUMMYFUNCTION("""COMPUTED_VALUE"""),235.43)</f>
        <v>235.43</v>
      </c>
      <c r="K113" s="3">
        <f t="shared" si="2"/>
        <v>0</v>
      </c>
      <c r="L113" s="3">
        <f t="shared" si="3"/>
        <v>0</v>
      </c>
    </row>
    <row r="114" customHeight="1" spans="1:12">
      <c r="A114" s="47">
        <f>IFERROR(__xludf.DUMMYFUNCTION("""COMPUTED_VALUE"""),45905.6458333333)</f>
        <v>45905.6458333333</v>
      </c>
      <c r="B114" s="48">
        <f>IFERROR(__xludf.DUMMYFUNCTION("""COMPUTED_VALUE"""),234.13)</f>
        <v>234.13</v>
      </c>
      <c r="C114" s="47">
        <f>IFERROR(__xludf.DUMMYFUNCTION("""COMPUTED_VALUE"""),45905.6458333333)</f>
        <v>45905.6458333333</v>
      </c>
      <c r="D114" s="48">
        <f>IFERROR(__xludf.DUMMYFUNCTION("""COMPUTED_VALUE"""),235.75)</f>
        <v>235.75</v>
      </c>
      <c r="E114" s="47">
        <f>IFERROR(__xludf.DUMMYFUNCTION("""COMPUTED_VALUE"""),45905.6458333333)</f>
        <v>45905.6458333333</v>
      </c>
      <c r="F114" s="48">
        <f>IFERROR(__xludf.DUMMYFUNCTION("""COMPUTED_VALUE"""),7210683)</f>
        <v>7210683</v>
      </c>
      <c r="G114" s="47">
        <f>IFERROR(__xludf.DUMMYFUNCTION("""COMPUTED_VALUE"""),45905.6458333333)</f>
        <v>45905.6458333333</v>
      </c>
      <c r="H114" s="48">
        <f>IFERROR(__xludf.DUMMYFUNCTION("""COMPUTED_VALUE"""),237.16)</f>
        <v>237.16</v>
      </c>
      <c r="I114" s="47">
        <f>IFERROR(__xludf.DUMMYFUNCTION("""COMPUTED_VALUE"""),45905.6458333333)</f>
        <v>45905.6458333333</v>
      </c>
      <c r="J114" s="48">
        <f>IFERROR(__xludf.DUMMYFUNCTION("""COMPUTED_VALUE"""),233.01)</f>
        <v>233.01</v>
      </c>
      <c r="K114" s="3">
        <f t="shared" si="2"/>
        <v>0</v>
      </c>
      <c r="L114" s="3">
        <f t="shared" si="3"/>
        <v>0</v>
      </c>
    </row>
    <row r="115" customHeight="1" spans="1:12">
      <c r="A115" s="47">
        <f>IFERROR(__xludf.DUMMYFUNCTION("""COMPUTED_VALUE"""),45908.6458333333)</f>
        <v>45908.6458333333</v>
      </c>
      <c r="B115" s="48">
        <f>IFERROR(__xludf.DUMMYFUNCTION("""COMPUTED_VALUE"""),232.53)</f>
        <v>232.53</v>
      </c>
      <c r="C115" s="47">
        <f>IFERROR(__xludf.DUMMYFUNCTION("""COMPUTED_VALUE"""),45908.6458333333)</f>
        <v>45908.6458333333</v>
      </c>
      <c r="D115" s="48">
        <f>IFERROR(__xludf.DUMMYFUNCTION("""COMPUTED_VALUE"""),234.13)</f>
        <v>234.13</v>
      </c>
      <c r="E115" s="47">
        <f>IFERROR(__xludf.DUMMYFUNCTION("""COMPUTED_VALUE"""),45908.6458333333)</f>
        <v>45908.6458333333</v>
      </c>
      <c r="F115" s="48">
        <f>IFERROR(__xludf.DUMMYFUNCTION("""COMPUTED_VALUE"""),8418326)</f>
        <v>8418326</v>
      </c>
      <c r="G115" s="47">
        <f>IFERROR(__xludf.DUMMYFUNCTION("""COMPUTED_VALUE"""),45908.6458333333)</f>
        <v>45908.6458333333</v>
      </c>
      <c r="H115" s="48">
        <f>IFERROR(__xludf.DUMMYFUNCTION("""COMPUTED_VALUE"""),234.98)</f>
        <v>234.98</v>
      </c>
      <c r="I115" s="47">
        <f>IFERROR(__xludf.DUMMYFUNCTION("""COMPUTED_VALUE"""),45908.6458333333)</f>
        <v>45908.6458333333</v>
      </c>
      <c r="J115" s="48">
        <f>IFERROR(__xludf.DUMMYFUNCTION("""COMPUTED_VALUE"""),232.06)</f>
        <v>232.06</v>
      </c>
      <c r="K115" s="3">
        <f t="shared" si="2"/>
        <v>0</v>
      </c>
      <c r="L115" s="3">
        <f t="shared" si="3"/>
        <v>0</v>
      </c>
    </row>
    <row r="116" customHeight="1" spans="1:12">
      <c r="A116" s="47">
        <f>IFERROR(__xludf.DUMMYFUNCTION("""COMPUTED_VALUE"""),45909.6458333333)</f>
        <v>45909.6458333333</v>
      </c>
      <c r="B116" s="48">
        <f>IFERROR(__xludf.DUMMYFUNCTION("""COMPUTED_VALUE"""),231.33)</f>
        <v>231.33</v>
      </c>
      <c r="C116" s="47">
        <f>IFERROR(__xludf.DUMMYFUNCTION("""COMPUTED_VALUE"""),45909.6458333333)</f>
        <v>45909.6458333333</v>
      </c>
      <c r="D116" s="48">
        <f>IFERROR(__xludf.DUMMYFUNCTION("""COMPUTED_VALUE"""),232.53)</f>
        <v>232.53</v>
      </c>
      <c r="E116" s="47">
        <f>IFERROR(__xludf.DUMMYFUNCTION("""COMPUTED_VALUE"""),45909.6458333333)</f>
        <v>45909.6458333333</v>
      </c>
      <c r="F116" s="48">
        <f>IFERROR(__xludf.DUMMYFUNCTION("""COMPUTED_VALUE"""),11665314)</f>
        <v>11665314</v>
      </c>
      <c r="G116" s="47">
        <f>IFERROR(__xludf.DUMMYFUNCTION("""COMPUTED_VALUE"""),45909.6458333333)</f>
        <v>45909.6458333333</v>
      </c>
      <c r="H116" s="48">
        <f>IFERROR(__xludf.DUMMYFUNCTION("""COMPUTED_VALUE"""),234.59)</f>
        <v>234.59</v>
      </c>
      <c r="I116" s="47">
        <f>IFERROR(__xludf.DUMMYFUNCTION("""COMPUTED_VALUE"""),45909.6458333333)</f>
        <v>45909.6458333333</v>
      </c>
      <c r="J116" s="48">
        <f>IFERROR(__xludf.DUMMYFUNCTION("""COMPUTED_VALUE"""),230.76)</f>
        <v>230.76</v>
      </c>
      <c r="K116" s="3">
        <f t="shared" si="2"/>
        <v>0</v>
      </c>
      <c r="L116" s="3">
        <f t="shared" si="3"/>
        <v>231.33</v>
      </c>
    </row>
    <row r="117" customHeight="1" spans="1:12">
      <c r="A117" s="47">
        <f>IFERROR(__xludf.DUMMYFUNCTION("""COMPUTED_VALUE"""),45910.6458333333)</f>
        <v>45910.6458333333</v>
      </c>
      <c r="B117" s="48">
        <f>IFERROR(__xludf.DUMMYFUNCTION("""COMPUTED_VALUE"""),231.74)</f>
        <v>231.74</v>
      </c>
      <c r="C117" s="47">
        <f>IFERROR(__xludf.DUMMYFUNCTION("""COMPUTED_VALUE"""),45910.6458333333)</f>
        <v>45910.6458333333</v>
      </c>
      <c r="D117" s="48">
        <f>IFERROR(__xludf.DUMMYFUNCTION("""COMPUTED_VALUE"""),233)</f>
        <v>233</v>
      </c>
      <c r="E117" s="47">
        <f>IFERROR(__xludf.DUMMYFUNCTION("""COMPUTED_VALUE"""),45910.6458333333)</f>
        <v>45910.6458333333</v>
      </c>
      <c r="F117" s="48">
        <f>IFERROR(__xludf.DUMMYFUNCTION("""COMPUTED_VALUE"""),11775053)</f>
        <v>11775053</v>
      </c>
      <c r="G117" s="47">
        <f>IFERROR(__xludf.DUMMYFUNCTION("""COMPUTED_VALUE"""),45910.6458333333)</f>
        <v>45910.6458333333</v>
      </c>
      <c r="H117" s="48">
        <f>IFERROR(__xludf.DUMMYFUNCTION("""COMPUTED_VALUE"""),233.04)</f>
        <v>233.04</v>
      </c>
      <c r="I117" s="47">
        <f>IFERROR(__xludf.DUMMYFUNCTION("""COMPUTED_VALUE"""),45910.6458333333)</f>
        <v>45910.6458333333</v>
      </c>
      <c r="J117" s="48">
        <f>IFERROR(__xludf.DUMMYFUNCTION("""COMPUTED_VALUE"""),231)</f>
        <v>231</v>
      </c>
      <c r="K117" s="3">
        <f t="shared" si="2"/>
        <v>0</v>
      </c>
      <c r="L117" s="3">
        <f t="shared" si="3"/>
        <v>0</v>
      </c>
    </row>
    <row r="118" customHeight="1" spans="1:12">
      <c r="A118" s="47">
        <f>IFERROR(__xludf.DUMMYFUNCTION("""COMPUTED_VALUE"""),45911.6458333333)</f>
        <v>45911.6458333333</v>
      </c>
      <c r="B118" s="48">
        <f>IFERROR(__xludf.DUMMYFUNCTION("""COMPUTED_VALUE"""),233.76)</f>
        <v>233.76</v>
      </c>
      <c r="C118" s="47">
        <f>IFERROR(__xludf.DUMMYFUNCTION("""COMPUTED_VALUE"""),45911.6458333333)</f>
        <v>45911.6458333333</v>
      </c>
      <c r="D118" s="48">
        <f>IFERROR(__xludf.DUMMYFUNCTION("""COMPUTED_VALUE"""),232.1)</f>
        <v>232.1</v>
      </c>
      <c r="E118" s="47">
        <f>IFERROR(__xludf.DUMMYFUNCTION("""COMPUTED_VALUE"""),45911.6458333333)</f>
        <v>45911.6458333333</v>
      </c>
      <c r="F118" s="48">
        <f>IFERROR(__xludf.DUMMYFUNCTION("""COMPUTED_VALUE"""),11047708)</f>
        <v>11047708</v>
      </c>
      <c r="G118" s="47">
        <f>IFERROR(__xludf.DUMMYFUNCTION("""COMPUTED_VALUE"""),45911.6458333333)</f>
        <v>45911.6458333333</v>
      </c>
      <c r="H118" s="48">
        <f>IFERROR(__xludf.DUMMYFUNCTION("""COMPUTED_VALUE"""),235.22)</f>
        <v>235.22</v>
      </c>
      <c r="I118" s="47">
        <f>IFERROR(__xludf.DUMMYFUNCTION("""COMPUTED_VALUE"""),45911.6458333333)</f>
        <v>45911.6458333333</v>
      </c>
      <c r="J118" s="48">
        <f>IFERROR(__xludf.DUMMYFUNCTION("""COMPUTED_VALUE"""),232.1)</f>
        <v>232.1</v>
      </c>
      <c r="K118" s="3">
        <f t="shared" si="2"/>
        <v>0</v>
      </c>
      <c r="L118" s="3">
        <f t="shared" si="3"/>
        <v>0</v>
      </c>
    </row>
    <row r="119" customHeight="1" spans="1:12">
      <c r="A119" s="47">
        <f>IFERROR(__xludf.DUMMYFUNCTION("""COMPUTED_VALUE"""),45912.6458333333)</f>
        <v>45912.6458333333</v>
      </c>
      <c r="B119" s="48">
        <f>IFERROR(__xludf.DUMMYFUNCTION("""COMPUTED_VALUE"""),233.25)</f>
        <v>233.25</v>
      </c>
      <c r="C119" s="47">
        <f>IFERROR(__xludf.DUMMYFUNCTION("""COMPUTED_VALUE"""),45912.6458333333)</f>
        <v>45912.6458333333</v>
      </c>
      <c r="D119" s="48">
        <f>IFERROR(__xludf.DUMMYFUNCTION("""COMPUTED_VALUE"""),234.51)</f>
        <v>234.51</v>
      </c>
      <c r="E119" s="47">
        <f>IFERROR(__xludf.DUMMYFUNCTION("""COMPUTED_VALUE"""),45912.6458333333)</f>
        <v>45912.6458333333</v>
      </c>
      <c r="F119" s="48">
        <f>IFERROR(__xludf.DUMMYFUNCTION("""COMPUTED_VALUE"""),6073522)</f>
        <v>6073522</v>
      </c>
      <c r="G119" s="47">
        <f>IFERROR(__xludf.DUMMYFUNCTION("""COMPUTED_VALUE"""),45912.6458333333)</f>
        <v>45912.6458333333</v>
      </c>
      <c r="H119" s="48">
        <f>IFERROR(__xludf.DUMMYFUNCTION("""COMPUTED_VALUE"""),235.41)</f>
        <v>235.41</v>
      </c>
      <c r="I119" s="47">
        <f>IFERROR(__xludf.DUMMYFUNCTION("""COMPUTED_VALUE"""),45912.6458333333)</f>
        <v>45912.6458333333</v>
      </c>
      <c r="J119" s="48">
        <f>IFERROR(__xludf.DUMMYFUNCTION("""COMPUTED_VALUE"""),232.7)</f>
        <v>232.7</v>
      </c>
      <c r="K119" s="3">
        <f t="shared" si="2"/>
        <v>0</v>
      </c>
      <c r="L119" s="3">
        <f t="shared" si="3"/>
        <v>0</v>
      </c>
    </row>
    <row r="120" customHeight="1" spans="1:12">
      <c r="A120" s="47">
        <f>IFERROR(__xludf.DUMMYFUNCTION("""COMPUTED_VALUE"""),45915.6458333333)</f>
        <v>45915.6458333333</v>
      </c>
      <c r="B120" s="48">
        <f>IFERROR(__xludf.DUMMYFUNCTION("""COMPUTED_VALUE"""),232.26)</f>
        <v>232.26</v>
      </c>
      <c r="C120" s="47">
        <f>IFERROR(__xludf.DUMMYFUNCTION("""COMPUTED_VALUE"""),45915.6458333333)</f>
        <v>45915.6458333333</v>
      </c>
      <c r="D120" s="48">
        <f>IFERROR(__xludf.DUMMYFUNCTION("""COMPUTED_VALUE"""),233.15)</f>
        <v>233.15</v>
      </c>
      <c r="E120" s="47">
        <f>IFERROR(__xludf.DUMMYFUNCTION("""COMPUTED_VALUE"""),45915.6458333333)</f>
        <v>45915.6458333333</v>
      </c>
      <c r="F120" s="48">
        <f>IFERROR(__xludf.DUMMYFUNCTION("""COMPUTED_VALUE"""),6153784)</f>
        <v>6153784</v>
      </c>
      <c r="G120" s="47">
        <f>IFERROR(__xludf.DUMMYFUNCTION("""COMPUTED_VALUE"""),45915.6458333333)</f>
        <v>45915.6458333333</v>
      </c>
      <c r="H120" s="48">
        <f>IFERROR(__xludf.DUMMYFUNCTION("""COMPUTED_VALUE"""),234.19)</f>
        <v>234.19</v>
      </c>
      <c r="I120" s="47">
        <f>IFERROR(__xludf.DUMMYFUNCTION("""COMPUTED_VALUE"""),45915.6458333333)</f>
        <v>45915.6458333333</v>
      </c>
      <c r="J120" s="48">
        <f>IFERROR(__xludf.DUMMYFUNCTION("""COMPUTED_VALUE"""),232)</f>
        <v>232</v>
      </c>
      <c r="K120" s="3">
        <f t="shared" si="2"/>
        <v>0</v>
      </c>
      <c r="L120" s="3">
        <f t="shared" si="3"/>
        <v>0</v>
      </c>
    </row>
    <row r="121" customHeight="1" spans="1:12">
      <c r="A121" s="47">
        <f>IFERROR(__xludf.DUMMYFUNCTION("""COMPUTED_VALUE"""),45916.6458333333)</f>
        <v>45916.6458333333</v>
      </c>
      <c r="B121" s="48">
        <f>IFERROR(__xludf.DUMMYFUNCTION("""COMPUTED_VALUE"""),235.09)</f>
        <v>235.09</v>
      </c>
      <c r="C121" s="47">
        <f>IFERROR(__xludf.DUMMYFUNCTION("""COMPUTED_VALUE"""),45916.6458333333)</f>
        <v>45916.6458333333</v>
      </c>
      <c r="D121" s="48">
        <f>IFERROR(__xludf.DUMMYFUNCTION("""COMPUTED_VALUE"""),232.48)</f>
        <v>232.48</v>
      </c>
      <c r="E121" s="47">
        <f>IFERROR(__xludf.DUMMYFUNCTION("""COMPUTED_VALUE"""),45916.6458333333)</f>
        <v>45916.6458333333</v>
      </c>
      <c r="F121" s="48">
        <f>IFERROR(__xludf.DUMMYFUNCTION("""COMPUTED_VALUE"""),7319921)</f>
        <v>7319921</v>
      </c>
      <c r="G121" s="47">
        <f>IFERROR(__xludf.DUMMYFUNCTION("""COMPUTED_VALUE"""),45916.6458333333)</f>
        <v>45916.6458333333</v>
      </c>
      <c r="H121" s="48">
        <f>IFERROR(__xludf.DUMMYFUNCTION("""COMPUTED_VALUE"""),235.27)</f>
        <v>235.27</v>
      </c>
      <c r="I121" s="47">
        <f>IFERROR(__xludf.DUMMYFUNCTION("""COMPUTED_VALUE"""),45916.6458333333)</f>
        <v>45916.6458333333</v>
      </c>
      <c r="J121" s="48">
        <f>IFERROR(__xludf.DUMMYFUNCTION("""COMPUTED_VALUE"""),232.42)</f>
        <v>232.42</v>
      </c>
      <c r="K121" s="3">
        <f t="shared" si="2"/>
        <v>0</v>
      </c>
      <c r="L121" s="3">
        <f t="shared" si="3"/>
        <v>0</v>
      </c>
    </row>
    <row r="122" customHeight="1" spans="1:12">
      <c r="A122" s="47">
        <f>IFERROR(__xludf.DUMMYFUNCTION("""COMPUTED_VALUE"""),45917.6458333333)</f>
        <v>45917.6458333333</v>
      </c>
      <c r="B122" s="48">
        <f>IFERROR(__xludf.DUMMYFUNCTION("""COMPUTED_VALUE"""),236.88)</f>
        <v>236.88</v>
      </c>
      <c r="C122" s="47">
        <f>IFERROR(__xludf.DUMMYFUNCTION("""COMPUTED_VALUE"""),45917.6458333333)</f>
        <v>45917.6458333333</v>
      </c>
      <c r="D122" s="48">
        <f>IFERROR(__xludf.DUMMYFUNCTION("""COMPUTED_VALUE"""),236)</f>
        <v>236</v>
      </c>
      <c r="E122" s="47">
        <f>IFERROR(__xludf.DUMMYFUNCTION("""COMPUTED_VALUE"""),45917.6458333333)</f>
        <v>45917.6458333333</v>
      </c>
      <c r="F122" s="48">
        <f>IFERROR(__xludf.DUMMYFUNCTION("""COMPUTED_VALUE"""),7628371)</f>
        <v>7628371</v>
      </c>
      <c r="G122" s="47">
        <f>IFERROR(__xludf.DUMMYFUNCTION("""COMPUTED_VALUE"""),45917.6458333333)</f>
        <v>45917.6458333333</v>
      </c>
      <c r="H122" s="48">
        <f>IFERROR(__xludf.DUMMYFUNCTION("""COMPUTED_VALUE"""),237.96)</f>
        <v>237.96</v>
      </c>
      <c r="I122" s="47">
        <f>IFERROR(__xludf.DUMMYFUNCTION("""COMPUTED_VALUE"""),45917.6458333333)</f>
        <v>45917.6458333333</v>
      </c>
      <c r="J122" s="48">
        <f>IFERROR(__xludf.DUMMYFUNCTION("""COMPUTED_VALUE"""),235.18)</f>
        <v>235.18</v>
      </c>
      <c r="K122" s="3">
        <f t="shared" si="2"/>
        <v>0</v>
      </c>
      <c r="L122" s="3">
        <f t="shared" si="3"/>
        <v>0</v>
      </c>
    </row>
    <row r="123" customHeight="1" spans="1:12">
      <c r="A123" s="47">
        <f>IFERROR(__xludf.DUMMYFUNCTION("""COMPUTED_VALUE"""),45918.6458333333)</f>
        <v>45918.6458333333</v>
      </c>
      <c r="B123" s="48">
        <f>IFERROR(__xludf.DUMMYFUNCTION("""COMPUTED_VALUE"""),235.59)</f>
        <v>235.59</v>
      </c>
      <c r="C123" s="47">
        <f>IFERROR(__xludf.DUMMYFUNCTION("""COMPUTED_VALUE"""),45918.6458333333)</f>
        <v>45918.6458333333</v>
      </c>
      <c r="D123" s="48">
        <f>IFERROR(__xludf.DUMMYFUNCTION("""COMPUTED_VALUE"""),237.7)</f>
        <v>237.7</v>
      </c>
      <c r="E123" s="47">
        <f>IFERROR(__xludf.DUMMYFUNCTION("""COMPUTED_VALUE"""),45918.6458333333)</f>
        <v>45918.6458333333</v>
      </c>
      <c r="F123" s="48">
        <f>IFERROR(__xludf.DUMMYFUNCTION("""COMPUTED_VALUE"""),6497852)</f>
        <v>6497852</v>
      </c>
      <c r="G123" s="47">
        <f>IFERROR(__xludf.DUMMYFUNCTION("""COMPUTED_VALUE"""),45918.6458333333)</f>
        <v>45918.6458333333</v>
      </c>
      <c r="H123" s="48">
        <f>IFERROR(__xludf.DUMMYFUNCTION("""COMPUTED_VALUE"""),237.7)</f>
        <v>237.7</v>
      </c>
      <c r="I123" s="47">
        <f>IFERROR(__xludf.DUMMYFUNCTION("""COMPUTED_VALUE"""),45918.6458333333)</f>
        <v>45918.6458333333</v>
      </c>
      <c r="J123" s="48">
        <f>IFERROR(__xludf.DUMMYFUNCTION("""COMPUTED_VALUE"""),234.5)</f>
        <v>234.5</v>
      </c>
      <c r="K123" s="3">
        <f t="shared" si="2"/>
        <v>0</v>
      </c>
      <c r="L123" s="3">
        <f t="shared" si="3"/>
        <v>0</v>
      </c>
    </row>
    <row r="124" customHeight="1" spans="1:12">
      <c r="A124" s="47">
        <f>IFERROR(__xludf.DUMMYFUNCTION("""COMPUTED_VALUE"""),45919.6458333333)</f>
        <v>45919.6458333333</v>
      </c>
      <c r="B124" s="48">
        <f>IFERROR(__xludf.DUMMYFUNCTION("""COMPUTED_VALUE"""),236.69)</f>
        <v>236.69</v>
      </c>
      <c r="C124" s="47">
        <f>IFERROR(__xludf.DUMMYFUNCTION("""COMPUTED_VALUE"""),45919.6458333333)</f>
        <v>45919.6458333333</v>
      </c>
      <c r="D124" s="48">
        <f>IFERROR(__xludf.DUMMYFUNCTION("""COMPUTED_VALUE"""),235.11)</f>
        <v>235.11</v>
      </c>
      <c r="E124" s="47">
        <f>IFERROR(__xludf.DUMMYFUNCTION("""COMPUTED_VALUE"""),45919.6458333333)</f>
        <v>45919.6458333333</v>
      </c>
      <c r="F124" s="48">
        <f>IFERROR(__xludf.DUMMYFUNCTION("""COMPUTED_VALUE"""),16484017)</f>
        <v>16484017</v>
      </c>
      <c r="G124" s="47">
        <f>IFERROR(__xludf.DUMMYFUNCTION("""COMPUTED_VALUE"""),45919.6458333333)</f>
        <v>45919.6458333333</v>
      </c>
      <c r="H124" s="48">
        <f>IFERROR(__xludf.DUMMYFUNCTION("""COMPUTED_VALUE"""),237.4)</f>
        <v>237.4</v>
      </c>
      <c r="I124" s="47">
        <f>IFERROR(__xludf.DUMMYFUNCTION("""COMPUTED_VALUE"""),45919.6458333333)</f>
        <v>45919.6458333333</v>
      </c>
      <c r="J124" s="48">
        <f>IFERROR(__xludf.DUMMYFUNCTION("""COMPUTED_VALUE"""),234.75)</f>
        <v>234.75</v>
      </c>
      <c r="K124" s="3">
        <f t="shared" si="2"/>
        <v>0</v>
      </c>
      <c r="L124" s="3">
        <f t="shared" si="3"/>
        <v>0</v>
      </c>
    </row>
    <row r="125" customHeight="1" spans="1:12">
      <c r="A125" s="47">
        <f>IFERROR(__xludf.DUMMYFUNCTION("""COMPUTED_VALUE"""),45922.6458333333)</f>
        <v>45922.6458333333</v>
      </c>
      <c r="B125" s="48">
        <f>IFERROR(__xludf.DUMMYFUNCTION("""COMPUTED_VALUE"""),237.47)</f>
        <v>237.47</v>
      </c>
      <c r="C125" s="47">
        <f>IFERROR(__xludf.DUMMYFUNCTION("""COMPUTED_VALUE"""),45922.6458333333)</f>
        <v>45922.6458333333</v>
      </c>
      <c r="D125" s="48">
        <f>IFERROR(__xludf.DUMMYFUNCTION("""COMPUTED_VALUE"""),236)</f>
        <v>236</v>
      </c>
      <c r="E125" s="47">
        <f>IFERROR(__xludf.DUMMYFUNCTION("""COMPUTED_VALUE"""),45922.6458333333)</f>
        <v>45922.6458333333</v>
      </c>
      <c r="F125" s="48">
        <f>IFERROR(__xludf.DUMMYFUNCTION("""COMPUTED_VALUE"""),9962796)</f>
        <v>9962796</v>
      </c>
      <c r="G125" s="47">
        <f>IFERROR(__xludf.DUMMYFUNCTION("""COMPUTED_VALUE"""),45922.6458333333)</f>
        <v>45922.6458333333</v>
      </c>
      <c r="H125" s="48">
        <f>IFERROR(__xludf.DUMMYFUNCTION("""COMPUTED_VALUE"""),238.45)</f>
        <v>238.45</v>
      </c>
      <c r="I125" s="47">
        <f>IFERROR(__xludf.DUMMYFUNCTION("""COMPUTED_VALUE"""),45922.6458333333)</f>
        <v>45922.6458333333</v>
      </c>
      <c r="J125" s="48">
        <f>IFERROR(__xludf.DUMMYFUNCTION("""COMPUTED_VALUE"""),235.65)</f>
        <v>235.65</v>
      </c>
      <c r="K125" s="3">
        <f t="shared" si="2"/>
        <v>0</v>
      </c>
      <c r="L125" s="3">
        <f t="shared" si="3"/>
        <v>0</v>
      </c>
    </row>
    <row r="126" customHeight="1" spans="1:10">
      <c r="A126" s="47">
        <f>IFERROR(__xludf.DUMMYFUNCTION("""COMPUTED_VALUE"""),45923.6458333333)</f>
        <v>45923.6458333333</v>
      </c>
      <c r="B126" s="48">
        <f>IFERROR(__xludf.DUMMYFUNCTION("""COMPUTED_VALUE"""),236.66)</f>
        <v>236.66</v>
      </c>
      <c r="C126" s="47">
        <f>IFERROR(__xludf.DUMMYFUNCTION("""COMPUTED_VALUE"""),45923.6458333333)</f>
        <v>45923.6458333333</v>
      </c>
      <c r="D126" s="48">
        <f>IFERROR(__xludf.DUMMYFUNCTION("""COMPUTED_VALUE"""),237.25)</f>
        <v>237.25</v>
      </c>
      <c r="E126" s="47">
        <f>IFERROR(__xludf.DUMMYFUNCTION("""COMPUTED_VALUE"""),45923.6458333333)</f>
        <v>45923.6458333333</v>
      </c>
      <c r="F126" s="48">
        <f>IFERROR(__xludf.DUMMYFUNCTION("""COMPUTED_VALUE"""),7014239)</f>
        <v>7014239</v>
      </c>
      <c r="G126" s="47">
        <f>IFERROR(__xludf.DUMMYFUNCTION("""COMPUTED_VALUE"""),45923.6458333333)</f>
        <v>45923.6458333333</v>
      </c>
      <c r="H126" s="48">
        <f>IFERROR(__xludf.DUMMYFUNCTION("""COMPUTED_VALUE"""),237.59)</f>
        <v>237.59</v>
      </c>
      <c r="I126" s="47">
        <f>IFERROR(__xludf.DUMMYFUNCTION("""COMPUTED_VALUE"""),45923.6458333333)</f>
        <v>45923.6458333333</v>
      </c>
      <c r="J126" s="48">
        <f>IFERROR(__xludf.DUMMYFUNCTION("""COMPUTED_VALUE"""),235.15)</f>
        <v>235.15</v>
      </c>
    </row>
    <row r="127" customHeight="1" spans="1:10">
      <c r="A127" s="47">
        <f>IFERROR(__xludf.DUMMYFUNCTION("""COMPUTED_VALUE"""),45924.6458333333)</f>
        <v>45924.6458333333</v>
      </c>
      <c r="B127" s="48">
        <f>IFERROR(__xludf.DUMMYFUNCTION("""COMPUTED_VALUE"""),238.52)</f>
        <v>238.52</v>
      </c>
      <c r="C127" s="47">
        <f>IFERROR(__xludf.DUMMYFUNCTION("""COMPUTED_VALUE"""),45924.6458333333)</f>
        <v>45924.6458333333</v>
      </c>
      <c r="D127" s="48">
        <f>IFERROR(__xludf.DUMMYFUNCTION("""COMPUTED_VALUE"""),236.66)</f>
        <v>236.66</v>
      </c>
      <c r="E127" s="47">
        <f>IFERROR(__xludf.DUMMYFUNCTION("""COMPUTED_VALUE"""),45924.6458333333)</f>
        <v>45924.6458333333</v>
      </c>
      <c r="F127" s="48">
        <f>IFERROR(__xludf.DUMMYFUNCTION("""COMPUTED_VALUE"""),8299331)</f>
        <v>8299331</v>
      </c>
      <c r="G127" s="47">
        <f>IFERROR(__xludf.DUMMYFUNCTION("""COMPUTED_VALUE"""),45924.6458333333)</f>
        <v>45924.6458333333</v>
      </c>
      <c r="H127" s="48">
        <f>IFERROR(__xludf.DUMMYFUNCTION("""COMPUTED_VALUE"""),240.13)</f>
        <v>240.13</v>
      </c>
      <c r="I127" s="47">
        <f>IFERROR(__xludf.DUMMYFUNCTION("""COMPUTED_VALUE"""),45924.6458333333)</f>
        <v>45924.6458333333</v>
      </c>
      <c r="J127" s="48">
        <f>IFERROR(__xludf.DUMMYFUNCTION("""COMPUTED_VALUE"""),236.26)</f>
        <v>236.26</v>
      </c>
    </row>
    <row r="128" customHeight="1" spans="1:10">
      <c r="A128" s="47">
        <f>IFERROR(__xludf.DUMMYFUNCTION("""COMPUTED_VALUE"""),45925.6458333333)</f>
        <v>45925.6458333333</v>
      </c>
      <c r="B128" s="48">
        <f>IFERROR(__xludf.DUMMYFUNCTION("""COMPUTED_VALUE"""),239.67)</f>
        <v>239.67</v>
      </c>
      <c r="C128" s="47">
        <f>IFERROR(__xludf.DUMMYFUNCTION("""COMPUTED_VALUE"""),45925.6458333333)</f>
        <v>45925.6458333333</v>
      </c>
      <c r="D128" s="48">
        <f>IFERROR(__xludf.DUMMYFUNCTION("""COMPUTED_VALUE"""),238.92)</f>
        <v>238.92</v>
      </c>
      <c r="E128" s="47">
        <f>IFERROR(__xludf.DUMMYFUNCTION("""COMPUTED_VALUE"""),45925.6458333333)</f>
        <v>45925.6458333333</v>
      </c>
      <c r="F128" s="48">
        <f>IFERROR(__xludf.DUMMYFUNCTION("""COMPUTED_VALUE"""),10150654)</f>
        <v>10150654</v>
      </c>
      <c r="G128" s="47">
        <f>IFERROR(__xludf.DUMMYFUNCTION("""COMPUTED_VALUE"""),45925.6458333333)</f>
        <v>45925.6458333333</v>
      </c>
      <c r="H128" s="48">
        <f>IFERROR(__xludf.DUMMYFUNCTION("""COMPUTED_VALUE"""),242.14)</f>
        <v>242.14</v>
      </c>
      <c r="I128" s="47">
        <f>IFERROR(__xludf.DUMMYFUNCTION("""COMPUTED_VALUE"""),45925.6458333333)</f>
        <v>45925.6458333333</v>
      </c>
      <c r="J128" s="48">
        <f>IFERROR(__xludf.DUMMYFUNCTION("""COMPUTED_VALUE"""),238.52)</f>
        <v>238.52</v>
      </c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IFERROR(__xludf.DUMMYFUNCTION("""COMPUTED_VALUE"""),238.02)</f>
        <v>238.02</v>
      </c>
      <c r="C129" s="47">
        <f>IFERROR(__xludf.DUMMYFUNCTION("""COMPUTED_VALUE"""),45926.6458333333)</f>
        <v>45926.6458333333</v>
      </c>
      <c r="D129" s="48">
        <f>IFERROR(__xludf.DUMMYFUNCTION("""COMPUTED_VALUE"""),240)</f>
        <v>240</v>
      </c>
      <c r="E129" s="47">
        <f>IFERROR(__xludf.DUMMYFUNCTION("""COMPUTED_VALUE"""),45926.6458333333)</f>
        <v>45926.6458333333</v>
      </c>
      <c r="F129" s="48">
        <f>IFERROR(__xludf.DUMMYFUNCTION("""COMPUTED_VALUE"""),6349466)</f>
        <v>6349466</v>
      </c>
      <c r="G129" s="47">
        <f>IFERROR(__xludf.DUMMYFUNCTION("""COMPUTED_VALUE"""),45926.6458333333)</f>
        <v>45926.6458333333</v>
      </c>
      <c r="H129" s="48">
        <f>IFERROR(__xludf.DUMMYFUNCTION("""COMPUTED_VALUE"""),240.26)</f>
        <v>240.26</v>
      </c>
      <c r="I129" s="47">
        <f>IFERROR(__xludf.DUMMYFUNCTION("""COMPUTED_VALUE"""),45926.6458333333)</f>
        <v>45926.6458333333</v>
      </c>
      <c r="J129" s="48">
        <f>IFERROR(__xludf.DUMMYFUNCTION("""COMPUTED_VALUE"""),236.84)</f>
        <v>236.84</v>
      </c>
    </row>
  </sheetData>
  <mergeCells count="3">
    <mergeCell ref="M1:P1"/>
    <mergeCell ref="A3:F3"/>
    <mergeCell ref="AB4:AE4"/>
  </mergeCells>
  <conditionalFormatting sqref="A1:A2 A4">
    <cfRule type="notContainsBlanks" dxfId="0" priority="1">
      <formula>LEN(TRIM(A1))&gt;0</formula>
    </cfRule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16">
      <c r="A1" s="49" t="s">
        <v>264</v>
      </c>
      <c r="B1" s="50">
        <f ca="1">TODAY()</f>
        <v>45927</v>
      </c>
      <c r="C1" s="51">
        <f ca="1">DAY(B1)</f>
        <v>27</v>
      </c>
      <c r="D1" s="51">
        <f ca="1" t="shared" ref="D1:D2" si="0">MONTH(B1)</f>
        <v>9</v>
      </c>
      <c r="E1" s="51">
        <f ca="1" t="shared" ref="E1:E2" si="1">YEAR(B1)</f>
        <v>2025</v>
      </c>
      <c r="F1" s="52"/>
      <c r="G1" s="53"/>
      <c r="H1" s="51"/>
      <c r="I1" s="51"/>
      <c r="J1" s="51"/>
      <c r="K1" s="51"/>
      <c r="L1" s="51"/>
      <c r="M1" s="62" t="s">
        <v>265</v>
      </c>
      <c r="N1" s="19"/>
      <c r="O1" s="19"/>
      <c r="P1" s="19"/>
    </row>
    <row r="2" customHeight="1" spans="1:20">
      <c r="A2" s="49" t="s">
        <v>266</v>
      </c>
      <c r="B2" s="50">
        <f ca="1">EDATE(TODAY(),-6)</f>
        <v>45743</v>
      </c>
      <c r="C2" s="51">
        <f ca="1">DAY(B2)</f>
        <v>27</v>
      </c>
      <c r="D2" s="51">
        <f ca="1" t="shared" si="0"/>
        <v>3</v>
      </c>
      <c r="E2" s="51">
        <f ca="1" t="shared" si="1"/>
        <v>2025</v>
      </c>
      <c r="F2" s="52"/>
      <c r="G2" s="53"/>
      <c r="H2" s="51"/>
      <c r="I2" s="51"/>
      <c r="J2" s="51"/>
      <c r="K2" s="51"/>
      <c r="L2" s="51"/>
      <c r="M2" s="63" t="str">
        <f>IFERROR(__xludf.DUMMYFUNCTION("GOOGLEFINANCE(L3, ""close"", WORKDAY(TODAY(), -1), WORKDAY(TODAY(), -1))"),"Date")</f>
        <v>Date</v>
      </c>
      <c r="N2" s="64" t="str">
        <f>IFERROR(__xludf.DUMMYFUNCTION("""COMPUTED_VALUE"""),"Close")</f>
        <v>Close</v>
      </c>
      <c r="O2" s="63" t="str">
        <f>IFERROR(__xludf.DUMMYFUNCTION("GOOGLEFINANCE(L3, ""open"", WORKDAY(TODAY(), -1), WORKDAY(TODAY(), -1))"),"Date")</f>
        <v>Date</v>
      </c>
      <c r="P2" s="64" t="str">
        <f>IFERROR(__xludf.DUMMYFUNCTION("""COMPUTED_VALUE"""),"Open")</f>
        <v>Open</v>
      </c>
      <c r="Q2" s="72" t="str">
        <f>IFERROR(__xludf.DUMMYFUNCTION("GOOGLEFINANCE(L3, ""hIGH"", WORKDAY(TODAY(), -1), WORKDAY(TODAY(), -1))"),"Date")</f>
        <v>Date</v>
      </c>
      <c r="R2" s="48" t="str">
        <f>IFERROR(__xludf.DUMMYFUNCTION("""COMPUTED_VALUE"""),"High")</f>
        <v>High</v>
      </c>
      <c r="S2" s="72" t="str">
        <f>IFERROR(__xludf.DUMMYFUNCTION("GOOGLEFINANCE(L3, ""LOW"", WORKDAY(TODAY(), -1), WORKDAY(TODAY(), -1))"),"Date")</f>
        <v>Date</v>
      </c>
      <c r="T2" s="48" t="str">
        <f>IFERROR(__xludf.DUMMYFUNCTION("""COMPUTED_VALUE"""),"Low")</f>
        <v>Low</v>
      </c>
    </row>
    <row r="3" customHeight="1" spans="1:20">
      <c r="A3" s="54" t="s">
        <v>70</v>
      </c>
      <c r="B3" s="7"/>
      <c r="C3" s="7"/>
      <c r="D3" s="7"/>
      <c r="E3" s="7"/>
      <c r="F3" s="8"/>
      <c r="G3" s="55" t="s">
        <v>268</v>
      </c>
      <c r="H3" s="56">
        <f>IFERROR(__xludf.DUMMYFUNCTION("GOOGLEFINANCE(L3, ""price"")"),282.35)</f>
        <v>282.35</v>
      </c>
      <c r="I3" s="65" t="s">
        <v>269</v>
      </c>
      <c r="J3" s="56">
        <f>IFERROR(__xludf.DUMMYFUNCTION("GOOGLEFINANCE(L3, ""volume"")"),8959035)</f>
        <v>8959035</v>
      </c>
      <c r="K3" s="66" t="s">
        <v>270</v>
      </c>
      <c r="L3" s="67" t="str">
        <f>Mastersheet!B31</f>
        <v>NSE:POWERGRID</v>
      </c>
      <c r="M3" s="68">
        <f>IFERROR(__xludf.DUMMYFUNCTION("""COMPUTED_VALUE"""),45926.6458333333)</f>
        <v>45926.6458333333</v>
      </c>
      <c r="N3" s="67">
        <f>IFERROR(__xludf.DUMMYFUNCTION("""COMPUTED_VALUE"""),282.25)</f>
        <v>282.25</v>
      </c>
      <c r="O3" s="68">
        <f>IFERROR(__xludf.DUMMYFUNCTION("""COMPUTED_VALUE"""),45926.6458333333)</f>
        <v>45926.6458333333</v>
      </c>
      <c r="P3" s="67">
        <f>IFERROR(__xludf.DUMMYFUNCTION("""COMPUTED_VALUE"""),283.5)</f>
        <v>283.5</v>
      </c>
      <c r="Q3" s="47">
        <f>IFERROR(__xludf.DUMMYFUNCTION("""COMPUTED_VALUE"""),45926.6458333333)</f>
        <v>45926.6458333333</v>
      </c>
      <c r="R3" s="48">
        <f>IFERROR(__xludf.DUMMYFUNCTION("""COMPUTED_VALUE"""),284.15)</f>
        <v>284.15</v>
      </c>
      <c r="S3" s="47">
        <f>IFERROR(__xludf.DUMMYFUNCTION("""COMPUTED_VALUE"""),45926.6458333333)</f>
        <v>45926.6458333333</v>
      </c>
      <c r="T3" s="48">
        <f>IFERROR(__xludf.DUMMYFUNCTION("""COMPUTED_VALUE"""),280.1)</f>
        <v>280.1</v>
      </c>
    </row>
    <row r="4" customHeight="1" spans="1:31">
      <c r="A4" s="57" t="str">
        <f>IFERROR(__xludf.DUMMYFUNCTION("GOOGLEFINANCE(L3, ""CLOSE"",DATE(E2,D2,C2), DATE(E1,D1,C1), ""DAILY"")"),"Date")</f>
        <v>Date</v>
      </c>
      <c r="B4" s="58" t="str">
        <f>IFERROR(__xludf.DUMMYFUNCTION("""COMPUTED_VALUE"""),"Close")</f>
        <v>Close</v>
      </c>
      <c r="C4" s="58" t="str">
        <f>IFERROR(__xludf.DUMMYFUNCTION("GOOGLEFINANCE(L3, ""open"", DATE(E2,D2,C2), DATE(E1,D1,C1), ""DAILY"")"),"Date")</f>
        <v>Date</v>
      </c>
      <c r="D4" s="58" t="str">
        <f>IFERROR(__xludf.DUMMYFUNCTION("""COMPUTED_VALUE"""),"Open")</f>
        <v>Open</v>
      </c>
      <c r="E4" s="59" t="str">
        <f>IFERROR(__xludf.DUMMYFUNCTION("GOOGLEFINANCE(L3, ""VOLUME"", DATE(E2,D2,C2), DATE(E1,D1,C1), ""DAILY"")"),"Date")</f>
        <v>Date</v>
      </c>
      <c r="F4" s="58" t="str">
        <f>IFERROR(__xludf.DUMMYFUNCTION("""COMPUTED_VALUE"""),"Volume")</f>
        <v>Volume</v>
      </c>
      <c r="G4" s="59" t="str">
        <f>IFERROR(__xludf.DUMMYFUNCTION("GOOGLEFINANCE(L3, ""HIGH"", DATE(E2,D2,C2), DATE(E1,D1,C1), ""DAILY"")"),"Date")</f>
        <v>Date</v>
      </c>
      <c r="H4" s="59" t="str">
        <f>IFERROR(__xludf.DUMMYFUNCTION("""COMPUTED_VALUE"""),"High")</f>
        <v>High</v>
      </c>
      <c r="I4" s="59" t="str">
        <f>IFERROR(__xludf.DUMMYFUNCTION("GOOGLEFINANCE(L3, ""LOW"", DATE(E2,D2,C2), DATE(E1,D1,C1), ""DAILY"")"),"Date")</f>
        <v>Date</v>
      </c>
      <c r="J4" s="69" t="str">
        <f>IFERROR(__xludf.DUMMYFUNCTION("""COMPUTED_VALUE"""),"Low")</f>
        <v>Low</v>
      </c>
      <c r="K4" s="70" t="s">
        <v>271</v>
      </c>
      <c r="L4" s="70" t="s">
        <v>272</v>
      </c>
      <c r="M4" s="70" t="s">
        <v>273</v>
      </c>
      <c r="N4" s="70" t="s">
        <v>274</v>
      </c>
      <c r="O4" s="70" t="s">
        <v>275</v>
      </c>
      <c r="P4" s="70" t="s">
        <v>276</v>
      </c>
      <c r="Q4" s="73" t="s">
        <v>277</v>
      </c>
      <c r="R4" s="73" t="s">
        <v>278</v>
      </c>
      <c r="S4" s="73" t="s">
        <v>279</v>
      </c>
      <c r="T4" s="73" t="s">
        <v>280</v>
      </c>
      <c r="U4" s="73" t="s">
        <v>281</v>
      </c>
      <c r="V4" s="73" t="s">
        <v>282</v>
      </c>
      <c r="W4" s="70" t="s">
        <v>283</v>
      </c>
      <c r="X4" s="74" t="s">
        <v>284</v>
      </c>
      <c r="Y4" s="37" t="s">
        <v>285</v>
      </c>
      <c r="Z4" s="77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60">
        <f>IFERROR(__xludf.DUMMYFUNCTION("""COMPUTED_VALUE"""),45743.6458333333)</f>
        <v>45743.6458333333</v>
      </c>
      <c r="B5" s="61">
        <f>IFERROR(__xludf.DUMMYFUNCTION("""COMPUTED_VALUE"""),295.5)</f>
        <v>295.5</v>
      </c>
      <c r="C5" s="60">
        <f>IFERROR(__xludf.DUMMYFUNCTION("""COMPUTED_VALUE"""),45743.6458333333)</f>
        <v>45743.6458333333</v>
      </c>
      <c r="D5" s="61">
        <f>IFERROR(__xludf.DUMMYFUNCTION("""COMPUTED_VALUE"""),289)</f>
        <v>289</v>
      </c>
      <c r="E5" s="60">
        <f>IFERROR(__xludf.DUMMYFUNCTION("""COMPUTED_VALUE"""),45743.6458333333)</f>
        <v>45743.6458333333</v>
      </c>
      <c r="F5" s="61">
        <f>IFERROR(__xludf.DUMMYFUNCTION("""COMPUTED_VALUE"""),37203166)</f>
        <v>37203166</v>
      </c>
      <c r="G5" s="60">
        <f>IFERROR(__xludf.DUMMYFUNCTION("""COMPUTED_VALUE"""),45743.6458333333)</f>
        <v>45743.6458333333</v>
      </c>
      <c r="H5" s="61">
        <f>IFERROR(__xludf.DUMMYFUNCTION("""COMPUTED_VALUE"""),297.25)</f>
        <v>297.25</v>
      </c>
      <c r="I5" s="71">
        <f>IFERROR(__xludf.DUMMYFUNCTION("""COMPUTED_VALUE"""),45743.6458333333)</f>
        <v>45743.6458333333</v>
      </c>
      <c r="J5" s="51">
        <f>IFERROR(__xludf.DUMMYFUNCTION("""COMPUTED_VALUE"""),289)</f>
        <v>289</v>
      </c>
      <c r="K5" s="51"/>
      <c r="L5" s="51"/>
      <c r="M5" s="51">
        <f t="array" ref="M5">INDEX(K11:K124,MATCH(SMALL(ABS(K11:K124-H3),1),ABS(K11:K124-H3),0))</f>
        <v>286.7</v>
      </c>
      <c r="N5" s="51">
        <f t="array" ref="N5">INDEX(K11:K124,MATCH(SMALL(ABS(K11:K124-H3),2),ABS(K11:K124-H3),0))</f>
        <v>290.35</v>
      </c>
      <c r="O5" s="51">
        <f t="array" ref="O5">INDEX(L11:L124,MATCH(SMALL(ABS(L11:L124-H3),1),ABS(L11:L124-H3),0))</f>
        <v>285.5</v>
      </c>
      <c r="P5" s="51">
        <f t="array" ref="P5">INDEX(L11:L124,MATCH(SMALL(ABS(L11:L124-H3),2),ABS(L11:L124-H3),0))</f>
        <v>285.95</v>
      </c>
      <c r="Q5" s="48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S5" s="75">
        <f ca="1">IF(Q5&gt;0,Q5,S5)</f>
        <v>288.25</v>
      </c>
      <c r="T5" s="48">
        <f ca="1">IF(AND(H3&gt;=Mastersheet!I3*S5,H3&lt;=Mastersheet!J3*S5),1,0)</f>
        <v>0</v>
      </c>
      <c r="U5" s="76">
        <f>(N3+P3)/2</f>
        <v>282.875</v>
      </c>
      <c r="V5" s="48">
        <f>(N3+P3+R3+T3)/4</f>
        <v>282.5</v>
      </c>
      <c r="W5" s="48">
        <f>IF(V5&gt;U5,1,0)</f>
        <v>0</v>
      </c>
      <c r="X5" s="48">
        <f>IF(V5&gt;U5,0,1)</f>
        <v>1</v>
      </c>
      <c r="Y5" s="48">
        <f>IF(COUNTIF(Mastersheet!E:E,L3)&gt;0,0,1)</f>
        <v>1</v>
      </c>
      <c r="Z5" s="78">
        <f ca="1">IF(T5*W5*Y5=1,1,0)</f>
        <v>0</v>
      </c>
      <c r="AA5" s="79"/>
      <c r="AB5" s="44" t="s">
        <v>289</v>
      </c>
      <c r="AC5" s="80" t="s">
        <v>290</v>
      </c>
      <c r="AD5" s="81" t="s">
        <v>291</v>
      </c>
      <c r="AE5" s="81" t="s">
        <v>292</v>
      </c>
    </row>
    <row r="6" customHeight="1" spans="1:31">
      <c r="A6" s="47">
        <f>IFERROR(__xludf.DUMMYFUNCTION("""COMPUTED_VALUE"""),45744.6458333333)</f>
        <v>45744.6458333333</v>
      </c>
      <c r="B6" s="48">
        <f>IFERROR(__xludf.DUMMYFUNCTION("""COMPUTED_VALUE"""),290.35)</f>
        <v>290.35</v>
      </c>
      <c r="C6" s="47">
        <f>IFERROR(__xludf.DUMMYFUNCTION("""COMPUTED_VALUE"""),45744.6458333333)</f>
        <v>45744.6458333333</v>
      </c>
      <c r="D6" s="48">
        <f>IFERROR(__xludf.DUMMYFUNCTION("""COMPUTED_VALUE"""),293.9)</f>
        <v>293.9</v>
      </c>
      <c r="E6" s="47">
        <f>IFERROR(__xludf.DUMMYFUNCTION("""COMPUTED_VALUE"""),45744.6458333333)</f>
        <v>45744.6458333333</v>
      </c>
      <c r="F6" s="48">
        <f>IFERROR(__xludf.DUMMYFUNCTION("""COMPUTED_VALUE"""),10834900)</f>
        <v>10834900</v>
      </c>
      <c r="G6" s="47">
        <f>IFERROR(__xludf.DUMMYFUNCTION("""COMPUTED_VALUE"""),45744.6458333333)</f>
        <v>45744.6458333333</v>
      </c>
      <c r="H6" s="48">
        <f>IFERROR(__xludf.DUMMYFUNCTION("""COMPUTED_VALUE"""),294.25)</f>
        <v>294.25</v>
      </c>
      <c r="I6" s="47">
        <f>IFERROR(__xludf.DUMMYFUNCTION("""COMPUTED_VALUE"""),45744.6458333333)</f>
        <v>45744.6458333333</v>
      </c>
      <c r="J6" s="48">
        <f>IFERROR(__xludf.DUMMYFUNCTION("""COMPUTED_VALUE"""),288.3)</f>
        <v>288.3</v>
      </c>
      <c r="AB6" s="48">
        <f>IF(COUNTIF(Mastersheet!E:E,L3)&gt;0,1,0)</f>
        <v>0</v>
      </c>
      <c r="AC6" s="48">
        <f>IF(AND(H3&gt;Mastersheet!L3*Mastersheet!F3,X5),1,0)</f>
        <v>1</v>
      </c>
      <c r="AD6" s="76">
        <f>IF(H3&lt;Mastersheet!M3*Mastersheet!F3,1,0)</f>
        <v>0</v>
      </c>
      <c r="AE6" s="48">
        <f>IF(OR(AC6*AB6=1,AD6*AB6=1),1,0)</f>
        <v>0</v>
      </c>
    </row>
    <row r="7" customHeight="1" spans="1:10">
      <c r="A7" s="47">
        <f>IFERROR(__xludf.DUMMYFUNCTION("""COMPUTED_VALUE"""),45748.6458333333)</f>
        <v>45748.6458333333</v>
      </c>
      <c r="B7" s="48">
        <f>IFERROR(__xludf.DUMMYFUNCTION("""COMPUTED_VALUE"""),289.3)</f>
        <v>289.3</v>
      </c>
      <c r="C7" s="47">
        <f>IFERROR(__xludf.DUMMYFUNCTION("""COMPUTED_VALUE"""),45748.6458333333)</f>
        <v>45748.6458333333</v>
      </c>
      <c r="D7" s="48">
        <f>IFERROR(__xludf.DUMMYFUNCTION("""COMPUTED_VALUE"""),289.6)</f>
        <v>289.6</v>
      </c>
      <c r="E7" s="47">
        <f>IFERROR(__xludf.DUMMYFUNCTION("""COMPUTED_VALUE"""),45748.6458333333)</f>
        <v>45748.6458333333</v>
      </c>
      <c r="F7" s="48">
        <f>IFERROR(__xludf.DUMMYFUNCTION("""COMPUTED_VALUE"""),11603556)</f>
        <v>11603556</v>
      </c>
      <c r="G7" s="47">
        <f>IFERROR(__xludf.DUMMYFUNCTION("""COMPUTED_VALUE"""),45748.6458333333)</f>
        <v>45748.6458333333</v>
      </c>
      <c r="H7" s="48">
        <f>IFERROR(__xludf.DUMMYFUNCTION("""COMPUTED_VALUE"""),296.95)</f>
        <v>296.95</v>
      </c>
      <c r="I7" s="47">
        <f>IFERROR(__xludf.DUMMYFUNCTION("""COMPUTED_VALUE"""),45748.6458333333)</f>
        <v>45748.6458333333</v>
      </c>
      <c r="J7" s="48">
        <f>IFERROR(__xludf.DUMMYFUNCTION("""COMPUTED_VALUE"""),287)</f>
        <v>287</v>
      </c>
    </row>
    <row r="8" customHeight="1" spans="1:10">
      <c r="A8" s="47">
        <f>IFERROR(__xludf.DUMMYFUNCTION("""COMPUTED_VALUE"""),45749.6458333333)</f>
        <v>45749.6458333333</v>
      </c>
      <c r="B8" s="48">
        <f>IFERROR(__xludf.DUMMYFUNCTION("""COMPUTED_VALUE"""),286.75)</f>
        <v>286.75</v>
      </c>
      <c r="C8" s="47">
        <f>IFERROR(__xludf.DUMMYFUNCTION("""COMPUTED_VALUE"""),45749.6458333333)</f>
        <v>45749.6458333333</v>
      </c>
      <c r="D8" s="48">
        <f>IFERROR(__xludf.DUMMYFUNCTION("""COMPUTED_VALUE"""),286.85)</f>
        <v>286.85</v>
      </c>
      <c r="E8" s="47">
        <f>IFERROR(__xludf.DUMMYFUNCTION("""COMPUTED_VALUE"""),45749.6458333333)</f>
        <v>45749.6458333333</v>
      </c>
      <c r="F8" s="48">
        <f>IFERROR(__xludf.DUMMYFUNCTION("""COMPUTED_VALUE"""),11679536)</f>
        <v>11679536</v>
      </c>
      <c r="G8" s="47">
        <f>IFERROR(__xludf.DUMMYFUNCTION("""COMPUTED_VALUE"""),45749.6458333333)</f>
        <v>45749.6458333333</v>
      </c>
      <c r="H8" s="48">
        <f>IFERROR(__xludf.DUMMYFUNCTION("""COMPUTED_VALUE"""),289.75)</f>
        <v>289.75</v>
      </c>
      <c r="I8" s="47">
        <f>IFERROR(__xludf.DUMMYFUNCTION("""COMPUTED_VALUE"""),45749.6458333333)</f>
        <v>45749.6458333333</v>
      </c>
      <c r="J8" s="48">
        <f>IFERROR(__xludf.DUMMYFUNCTION("""COMPUTED_VALUE"""),284.5)</f>
        <v>284.5</v>
      </c>
    </row>
    <row r="9" customHeight="1" spans="1:10">
      <c r="A9" s="47">
        <f>IFERROR(__xludf.DUMMYFUNCTION("""COMPUTED_VALUE"""),45750.6458333333)</f>
        <v>45750.6458333333</v>
      </c>
      <c r="B9" s="48">
        <f>IFERROR(__xludf.DUMMYFUNCTION("""COMPUTED_VALUE"""),299.1)</f>
        <v>299.1</v>
      </c>
      <c r="C9" s="47">
        <f>IFERROR(__xludf.DUMMYFUNCTION("""COMPUTED_VALUE"""),45750.6458333333)</f>
        <v>45750.6458333333</v>
      </c>
      <c r="D9" s="48">
        <f>IFERROR(__xludf.DUMMYFUNCTION("""COMPUTED_VALUE"""),289.35)</f>
        <v>289.35</v>
      </c>
      <c r="E9" s="47">
        <f>IFERROR(__xludf.DUMMYFUNCTION("""COMPUTED_VALUE"""),45750.6458333333)</f>
        <v>45750.6458333333</v>
      </c>
      <c r="F9" s="48">
        <f>IFERROR(__xludf.DUMMYFUNCTION("""COMPUTED_VALUE"""),23478876)</f>
        <v>23478876</v>
      </c>
      <c r="G9" s="47">
        <f>IFERROR(__xludf.DUMMYFUNCTION("""COMPUTED_VALUE"""),45750.6458333333)</f>
        <v>45750.6458333333</v>
      </c>
      <c r="H9" s="48">
        <f>IFERROR(__xludf.DUMMYFUNCTION("""COMPUTED_VALUE"""),299.95)</f>
        <v>299.95</v>
      </c>
      <c r="I9" s="47">
        <f>IFERROR(__xludf.DUMMYFUNCTION("""COMPUTED_VALUE"""),45750.6458333333)</f>
        <v>45750.6458333333</v>
      </c>
      <c r="J9" s="48">
        <f>IFERROR(__xludf.DUMMYFUNCTION("""COMPUTED_VALUE"""),285.1)</f>
        <v>285.1</v>
      </c>
    </row>
    <row r="10" customHeight="1" spans="1:10">
      <c r="A10" s="47">
        <f>IFERROR(__xludf.DUMMYFUNCTION("""COMPUTED_VALUE"""),45751.6458333333)</f>
        <v>45751.6458333333</v>
      </c>
      <c r="B10" s="48">
        <f>IFERROR(__xludf.DUMMYFUNCTION("""COMPUTED_VALUE"""),293.9)</f>
        <v>293.9</v>
      </c>
      <c r="C10" s="47">
        <f>IFERROR(__xludf.DUMMYFUNCTION("""COMPUTED_VALUE"""),45751.6458333333)</f>
        <v>45751.6458333333</v>
      </c>
      <c r="D10" s="48">
        <f>IFERROR(__xludf.DUMMYFUNCTION("""COMPUTED_VALUE"""),300)</f>
        <v>300</v>
      </c>
      <c r="E10" s="47">
        <f>IFERROR(__xludf.DUMMYFUNCTION("""COMPUTED_VALUE"""),45751.6458333333)</f>
        <v>45751.6458333333</v>
      </c>
      <c r="F10" s="48">
        <f>IFERROR(__xludf.DUMMYFUNCTION("""COMPUTED_VALUE"""),21020875)</f>
        <v>21020875</v>
      </c>
      <c r="G10" s="47">
        <f>IFERROR(__xludf.DUMMYFUNCTION("""COMPUTED_VALUE"""),45751.6458333333)</f>
        <v>45751.6458333333</v>
      </c>
      <c r="H10" s="48">
        <f>IFERROR(__xludf.DUMMYFUNCTION("""COMPUTED_VALUE"""),300.9)</f>
        <v>300.9</v>
      </c>
      <c r="I10" s="47">
        <f>IFERROR(__xludf.DUMMYFUNCTION("""COMPUTED_VALUE"""),45751.6458333333)</f>
        <v>45751.6458333333</v>
      </c>
      <c r="J10" s="48">
        <f>IFERROR(__xludf.DUMMYFUNCTION("""COMPUTED_VALUE"""),292.1)</f>
        <v>292.1</v>
      </c>
    </row>
    <row r="11" customHeight="1" spans="1:12">
      <c r="A11" s="47">
        <f>IFERROR(__xludf.DUMMYFUNCTION("""COMPUTED_VALUE"""),45754.6458333333)</f>
        <v>45754.6458333333</v>
      </c>
      <c r="B11" s="48">
        <f>IFERROR(__xludf.DUMMYFUNCTION("""COMPUTED_VALUE"""),289.4)</f>
        <v>289.4</v>
      </c>
      <c r="C11" s="47">
        <f>IFERROR(__xludf.DUMMYFUNCTION("""COMPUTED_VALUE"""),45754.6458333333)</f>
        <v>45754.6458333333</v>
      </c>
      <c r="D11" s="48">
        <f>IFERROR(__xludf.DUMMYFUNCTION("""COMPUTED_VALUE"""),283.6)</f>
        <v>283.6</v>
      </c>
      <c r="E11" s="47">
        <f>IFERROR(__xludf.DUMMYFUNCTION("""COMPUTED_VALUE"""),45754.6458333333)</f>
        <v>45754.6458333333</v>
      </c>
      <c r="F11" s="48">
        <f>IFERROR(__xludf.DUMMYFUNCTION("""COMPUTED_VALUE"""),22847548)</f>
        <v>22847548</v>
      </c>
      <c r="G11" s="47">
        <f>IFERROR(__xludf.DUMMYFUNCTION("""COMPUTED_VALUE"""),45754.6458333333)</f>
        <v>45754.6458333333</v>
      </c>
      <c r="H11" s="48">
        <f>IFERROR(__xludf.DUMMYFUNCTION("""COMPUTED_VALUE"""),293.9)</f>
        <v>293.9</v>
      </c>
      <c r="I11" s="47">
        <f>IFERROR(__xludf.DUMMYFUNCTION("""COMPUTED_VALUE"""),45754.6458333333)</f>
        <v>45754.6458333333</v>
      </c>
      <c r="J11" s="48">
        <f>IFERROR(__xludf.DUMMYFUNCTION("""COMPUTED_VALUE"""),282.3)</f>
        <v>282.3</v>
      </c>
      <c r="K11" s="3">
        <f t="shared" ref="K11:K125" si="2">IF(B11=MAX(B5:B17),B11,0)</f>
        <v>0</v>
      </c>
      <c r="L11" s="3">
        <f t="shared" ref="L11:L125" si="3">IF(B11=MIN(B5:B17),B11,0)</f>
        <v>0</v>
      </c>
    </row>
    <row r="12" customHeight="1" spans="1:12">
      <c r="A12" s="47">
        <f>IFERROR(__xludf.DUMMYFUNCTION("""COMPUTED_VALUE"""),45755.6458333333)</f>
        <v>45755.6458333333</v>
      </c>
      <c r="B12" s="48">
        <f>IFERROR(__xludf.DUMMYFUNCTION("""COMPUTED_VALUE"""),288.95)</f>
        <v>288.95</v>
      </c>
      <c r="C12" s="47">
        <f>IFERROR(__xludf.DUMMYFUNCTION("""COMPUTED_VALUE"""),45755.6458333333)</f>
        <v>45755.6458333333</v>
      </c>
      <c r="D12" s="48">
        <f>IFERROR(__xludf.DUMMYFUNCTION("""COMPUTED_VALUE"""),291.95)</f>
        <v>291.95</v>
      </c>
      <c r="E12" s="47">
        <f>IFERROR(__xludf.DUMMYFUNCTION("""COMPUTED_VALUE"""),45755.6458333333)</f>
        <v>45755.6458333333</v>
      </c>
      <c r="F12" s="48">
        <f>IFERROR(__xludf.DUMMYFUNCTION("""COMPUTED_VALUE"""),20831596)</f>
        <v>20831596</v>
      </c>
      <c r="G12" s="47">
        <f>IFERROR(__xludf.DUMMYFUNCTION("""COMPUTED_VALUE"""),45755.6458333333)</f>
        <v>45755.6458333333</v>
      </c>
      <c r="H12" s="48">
        <f>IFERROR(__xludf.DUMMYFUNCTION("""COMPUTED_VALUE"""),294)</f>
        <v>294</v>
      </c>
      <c r="I12" s="47">
        <f>IFERROR(__xludf.DUMMYFUNCTION("""COMPUTED_VALUE"""),45755.6458333333)</f>
        <v>45755.6458333333</v>
      </c>
      <c r="J12" s="48">
        <f>IFERROR(__xludf.DUMMYFUNCTION("""COMPUTED_VALUE"""),284.65)</f>
        <v>284.65</v>
      </c>
      <c r="K12" s="3">
        <f t="shared" si="2"/>
        <v>0</v>
      </c>
      <c r="L12" s="3">
        <f t="shared" si="3"/>
        <v>0</v>
      </c>
    </row>
    <row r="13" customHeight="1" spans="1:12">
      <c r="A13" s="47">
        <f>IFERROR(__xludf.DUMMYFUNCTION("""COMPUTED_VALUE"""),45756.6458333333)</f>
        <v>45756.6458333333</v>
      </c>
      <c r="B13" s="48">
        <f>IFERROR(__xludf.DUMMYFUNCTION("""COMPUTED_VALUE"""),293.4)</f>
        <v>293.4</v>
      </c>
      <c r="C13" s="47">
        <f>IFERROR(__xludf.DUMMYFUNCTION("""COMPUTED_VALUE"""),45756.6458333333)</f>
        <v>45756.6458333333</v>
      </c>
      <c r="D13" s="48">
        <f>IFERROR(__xludf.DUMMYFUNCTION("""COMPUTED_VALUE"""),289.95)</f>
        <v>289.95</v>
      </c>
      <c r="E13" s="47">
        <f>IFERROR(__xludf.DUMMYFUNCTION("""COMPUTED_VALUE"""),45756.6458333333)</f>
        <v>45756.6458333333</v>
      </c>
      <c r="F13" s="48">
        <f>IFERROR(__xludf.DUMMYFUNCTION("""COMPUTED_VALUE"""),21342531)</f>
        <v>21342531</v>
      </c>
      <c r="G13" s="47">
        <f>IFERROR(__xludf.DUMMYFUNCTION("""COMPUTED_VALUE"""),45756.6458333333)</f>
        <v>45756.6458333333</v>
      </c>
      <c r="H13" s="48">
        <f>IFERROR(__xludf.DUMMYFUNCTION("""COMPUTED_VALUE"""),299.5)</f>
        <v>299.5</v>
      </c>
      <c r="I13" s="47">
        <f>IFERROR(__xludf.DUMMYFUNCTION("""COMPUTED_VALUE"""),45756.6458333333)</f>
        <v>45756.6458333333</v>
      </c>
      <c r="J13" s="48">
        <f>IFERROR(__xludf.DUMMYFUNCTION("""COMPUTED_VALUE"""),289.3)</f>
        <v>289.3</v>
      </c>
      <c r="K13" s="3">
        <f t="shared" si="2"/>
        <v>0</v>
      </c>
      <c r="L13" s="3">
        <f t="shared" si="3"/>
        <v>0</v>
      </c>
    </row>
    <row r="14" customHeight="1" spans="1:12">
      <c r="A14" s="47">
        <f>IFERROR(__xludf.DUMMYFUNCTION("""COMPUTED_VALUE"""),45758.6458333333)</f>
        <v>45758.6458333333</v>
      </c>
      <c r="B14" s="48">
        <f>IFERROR(__xludf.DUMMYFUNCTION("""COMPUTED_VALUE"""),304.1)</f>
        <v>304.1</v>
      </c>
      <c r="C14" s="47">
        <f>IFERROR(__xludf.DUMMYFUNCTION("""COMPUTED_VALUE"""),45758.6458333333)</f>
        <v>45758.6458333333</v>
      </c>
      <c r="D14" s="48">
        <f>IFERROR(__xludf.DUMMYFUNCTION("""COMPUTED_VALUE"""),293.25)</f>
        <v>293.25</v>
      </c>
      <c r="E14" s="47">
        <f>IFERROR(__xludf.DUMMYFUNCTION("""COMPUTED_VALUE"""),45758.6458333333)</f>
        <v>45758.6458333333</v>
      </c>
      <c r="F14" s="48">
        <f>IFERROR(__xludf.DUMMYFUNCTION("""COMPUTED_VALUE"""),19831004)</f>
        <v>19831004</v>
      </c>
      <c r="G14" s="47">
        <f>IFERROR(__xludf.DUMMYFUNCTION("""COMPUTED_VALUE"""),45758.6458333333)</f>
        <v>45758.6458333333</v>
      </c>
      <c r="H14" s="48">
        <f>IFERROR(__xludf.DUMMYFUNCTION("""COMPUTED_VALUE"""),305)</f>
        <v>305</v>
      </c>
      <c r="I14" s="47">
        <f>IFERROR(__xludf.DUMMYFUNCTION("""COMPUTED_VALUE"""),45758.6458333333)</f>
        <v>45758.6458333333</v>
      </c>
      <c r="J14" s="48">
        <f>IFERROR(__xludf.DUMMYFUNCTION("""COMPUTED_VALUE"""),293.25)</f>
        <v>293.25</v>
      </c>
      <c r="K14" s="3">
        <f t="shared" si="2"/>
        <v>0</v>
      </c>
      <c r="L14" s="3">
        <f t="shared" si="3"/>
        <v>0</v>
      </c>
    </row>
    <row r="15" customHeight="1" spans="1:12">
      <c r="A15" s="47">
        <f>IFERROR(__xludf.DUMMYFUNCTION("""COMPUTED_VALUE"""),45762.6458333333)</f>
        <v>45762.6458333333</v>
      </c>
      <c r="B15" s="48">
        <f>IFERROR(__xludf.DUMMYFUNCTION("""COMPUTED_VALUE"""),304.55)</f>
        <v>304.55</v>
      </c>
      <c r="C15" s="47">
        <f>IFERROR(__xludf.DUMMYFUNCTION("""COMPUTED_VALUE"""),45762.6458333333)</f>
        <v>45762.6458333333</v>
      </c>
      <c r="D15" s="48">
        <f>IFERROR(__xludf.DUMMYFUNCTION("""COMPUTED_VALUE"""),307.2)</f>
        <v>307.2</v>
      </c>
      <c r="E15" s="47">
        <f>IFERROR(__xludf.DUMMYFUNCTION("""COMPUTED_VALUE"""),45762.6458333333)</f>
        <v>45762.6458333333</v>
      </c>
      <c r="F15" s="48">
        <f>IFERROR(__xludf.DUMMYFUNCTION("""COMPUTED_VALUE"""),16563441)</f>
        <v>16563441</v>
      </c>
      <c r="G15" s="47">
        <f>IFERROR(__xludf.DUMMYFUNCTION("""COMPUTED_VALUE"""),45762.6458333333)</f>
        <v>45762.6458333333</v>
      </c>
      <c r="H15" s="48">
        <f>IFERROR(__xludf.DUMMYFUNCTION("""COMPUTED_VALUE"""),310.45)</f>
        <v>310.45</v>
      </c>
      <c r="I15" s="47">
        <f>IFERROR(__xludf.DUMMYFUNCTION("""COMPUTED_VALUE"""),45762.6458333333)</f>
        <v>45762.6458333333</v>
      </c>
      <c r="J15" s="48">
        <f>IFERROR(__xludf.DUMMYFUNCTION("""COMPUTED_VALUE"""),303.7)</f>
        <v>303.7</v>
      </c>
      <c r="K15" s="3">
        <f t="shared" si="2"/>
        <v>0</v>
      </c>
      <c r="L15" s="3">
        <f t="shared" si="3"/>
        <v>0</v>
      </c>
    </row>
    <row r="16" customHeight="1" spans="1:12">
      <c r="A16" s="47">
        <f>IFERROR(__xludf.DUMMYFUNCTION("""COMPUTED_VALUE"""),45763.6458333333)</f>
        <v>45763.6458333333</v>
      </c>
      <c r="B16" s="48">
        <f>IFERROR(__xludf.DUMMYFUNCTION("""COMPUTED_VALUE"""),305.75)</f>
        <v>305.75</v>
      </c>
      <c r="C16" s="47">
        <f>IFERROR(__xludf.DUMMYFUNCTION("""COMPUTED_VALUE"""),45763.6458333333)</f>
        <v>45763.6458333333</v>
      </c>
      <c r="D16" s="48">
        <f>IFERROR(__xludf.DUMMYFUNCTION("""COMPUTED_VALUE"""),304.45)</f>
        <v>304.45</v>
      </c>
      <c r="E16" s="47">
        <f>IFERROR(__xludf.DUMMYFUNCTION("""COMPUTED_VALUE"""),45763.6458333333)</f>
        <v>45763.6458333333</v>
      </c>
      <c r="F16" s="48">
        <f>IFERROR(__xludf.DUMMYFUNCTION("""COMPUTED_VALUE"""),7032401)</f>
        <v>7032401</v>
      </c>
      <c r="G16" s="47">
        <f>IFERROR(__xludf.DUMMYFUNCTION("""COMPUTED_VALUE"""),45763.6458333333)</f>
        <v>45763.6458333333</v>
      </c>
      <c r="H16" s="48">
        <f>IFERROR(__xludf.DUMMYFUNCTION("""COMPUTED_VALUE"""),307)</f>
        <v>307</v>
      </c>
      <c r="I16" s="47">
        <f>IFERROR(__xludf.DUMMYFUNCTION("""COMPUTED_VALUE"""),45763.6458333333)</f>
        <v>45763.6458333333</v>
      </c>
      <c r="J16" s="48">
        <f>IFERROR(__xludf.DUMMYFUNCTION("""COMPUTED_VALUE"""),302.8)</f>
        <v>302.8</v>
      </c>
      <c r="K16" s="3">
        <f t="shared" si="2"/>
        <v>0</v>
      </c>
      <c r="L16" s="3">
        <f t="shared" si="3"/>
        <v>0</v>
      </c>
    </row>
    <row r="17" customHeight="1" spans="1:12">
      <c r="A17" s="47">
        <f>IFERROR(__xludf.DUMMYFUNCTION("""COMPUTED_VALUE"""),45764.6458333333)</f>
        <v>45764.6458333333</v>
      </c>
      <c r="B17" s="48">
        <f>IFERROR(__xludf.DUMMYFUNCTION("""COMPUTED_VALUE"""),309)</f>
        <v>309</v>
      </c>
      <c r="C17" s="47">
        <f>IFERROR(__xludf.DUMMYFUNCTION("""COMPUTED_VALUE"""),45764.6458333333)</f>
        <v>45764.6458333333</v>
      </c>
      <c r="D17" s="48">
        <f>IFERROR(__xludf.DUMMYFUNCTION("""COMPUTED_VALUE"""),305.45)</f>
        <v>305.45</v>
      </c>
      <c r="E17" s="47">
        <f>IFERROR(__xludf.DUMMYFUNCTION("""COMPUTED_VALUE"""),45764.6458333333)</f>
        <v>45764.6458333333</v>
      </c>
      <c r="F17" s="48">
        <f>IFERROR(__xludf.DUMMYFUNCTION("""COMPUTED_VALUE"""),8528993)</f>
        <v>8528993</v>
      </c>
      <c r="G17" s="47">
        <f>IFERROR(__xludf.DUMMYFUNCTION("""COMPUTED_VALUE"""),45764.6458333333)</f>
        <v>45764.6458333333</v>
      </c>
      <c r="H17" s="48">
        <f>IFERROR(__xludf.DUMMYFUNCTION("""COMPUTED_VALUE"""),309.8)</f>
        <v>309.8</v>
      </c>
      <c r="I17" s="47">
        <f>IFERROR(__xludf.DUMMYFUNCTION("""COMPUTED_VALUE"""),45764.6458333333)</f>
        <v>45764.6458333333</v>
      </c>
      <c r="J17" s="48">
        <f>IFERROR(__xludf.DUMMYFUNCTION("""COMPUTED_VALUE"""),302)</f>
        <v>302</v>
      </c>
      <c r="K17" s="3">
        <f t="shared" si="2"/>
        <v>0</v>
      </c>
      <c r="L17" s="3">
        <f t="shared" si="3"/>
        <v>0</v>
      </c>
    </row>
    <row r="18" customHeight="1" spans="1:12">
      <c r="A18" s="47">
        <f>IFERROR(__xludf.DUMMYFUNCTION("""COMPUTED_VALUE"""),45768.6458333333)</f>
        <v>45768.6458333333</v>
      </c>
      <c r="B18" s="48">
        <f>IFERROR(__xludf.DUMMYFUNCTION("""COMPUTED_VALUE"""),320)</f>
        <v>320</v>
      </c>
      <c r="C18" s="47">
        <f>IFERROR(__xludf.DUMMYFUNCTION("""COMPUTED_VALUE"""),45768.6458333333)</f>
        <v>45768.6458333333</v>
      </c>
      <c r="D18" s="48">
        <f>IFERROR(__xludf.DUMMYFUNCTION("""COMPUTED_VALUE"""),310)</f>
        <v>310</v>
      </c>
      <c r="E18" s="47">
        <f>IFERROR(__xludf.DUMMYFUNCTION("""COMPUTED_VALUE"""),45768.6458333333)</f>
        <v>45768.6458333333</v>
      </c>
      <c r="F18" s="48">
        <f>IFERROR(__xludf.DUMMYFUNCTION("""COMPUTED_VALUE"""),13369014)</f>
        <v>13369014</v>
      </c>
      <c r="G18" s="47">
        <f>IFERROR(__xludf.DUMMYFUNCTION("""COMPUTED_VALUE"""),45768.6458333333)</f>
        <v>45768.6458333333</v>
      </c>
      <c r="H18" s="48">
        <f>IFERROR(__xludf.DUMMYFUNCTION("""COMPUTED_VALUE"""),322)</f>
        <v>322</v>
      </c>
      <c r="I18" s="47">
        <f>IFERROR(__xludf.DUMMYFUNCTION("""COMPUTED_VALUE"""),45768.6458333333)</f>
        <v>45768.6458333333</v>
      </c>
      <c r="J18" s="48">
        <f>IFERROR(__xludf.DUMMYFUNCTION("""COMPUTED_VALUE"""),308.45)</f>
        <v>308.45</v>
      </c>
      <c r="K18" s="3">
        <f t="shared" si="2"/>
        <v>320</v>
      </c>
      <c r="L18" s="3">
        <f t="shared" si="3"/>
        <v>0</v>
      </c>
    </row>
    <row r="19" customHeight="1" spans="1:12">
      <c r="A19" s="47">
        <f>IFERROR(__xludf.DUMMYFUNCTION("""COMPUTED_VALUE"""),45769.6458333333)</f>
        <v>45769.6458333333</v>
      </c>
      <c r="B19" s="48">
        <f>IFERROR(__xludf.DUMMYFUNCTION("""COMPUTED_VALUE"""),312.55)</f>
        <v>312.55</v>
      </c>
      <c r="C19" s="47">
        <f>IFERROR(__xludf.DUMMYFUNCTION("""COMPUTED_VALUE"""),45769.6458333333)</f>
        <v>45769.6458333333</v>
      </c>
      <c r="D19" s="48">
        <f>IFERROR(__xludf.DUMMYFUNCTION("""COMPUTED_VALUE"""),319.75)</f>
        <v>319.75</v>
      </c>
      <c r="E19" s="47">
        <f>IFERROR(__xludf.DUMMYFUNCTION("""COMPUTED_VALUE"""),45769.6458333333)</f>
        <v>45769.6458333333</v>
      </c>
      <c r="F19" s="48">
        <f>IFERROR(__xludf.DUMMYFUNCTION("""COMPUTED_VALUE"""),10027332)</f>
        <v>10027332</v>
      </c>
      <c r="G19" s="47">
        <f>IFERROR(__xludf.DUMMYFUNCTION("""COMPUTED_VALUE"""),45769.6458333333)</f>
        <v>45769.6458333333</v>
      </c>
      <c r="H19" s="48">
        <f>IFERROR(__xludf.DUMMYFUNCTION("""COMPUTED_VALUE"""),319.75)</f>
        <v>319.75</v>
      </c>
      <c r="I19" s="47">
        <f>IFERROR(__xludf.DUMMYFUNCTION("""COMPUTED_VALUE"""),45769.6458333333)</f>
        <v>45769.6458333333</v>
      </c>
      <c r="J19" s="48">
        <f>IFERROR(__xludf.DUMMYFUNCTION("""COMPUTED_VALUE"""),312.1)</f>
        <v>312.1</v>
      </c>
      <c r="K19" s="3">
        <f t="shared" si="2"/>
        <v>0</v>
      </c>
      <c r="L19" s="3">
        <f t="shared" si="3"/>
        <v>0</v>
      </c>
    </row>
    <row r="20" customHeight="1" spans="1:12">
      <c r="A20" s="47">
        <f>IFERROR(__xludf.DUMMYFUNCTION("""COMPUTED_VALUE"""),45770.6458333333)</f>
        <v>45770.6458333333</v>
      </c>
      <c r="B20" s="48">
        <f>IFERROR(__xludf.DUMMYFUNCTION("""COMPUTED_VALUE"""),314.95)</f>
        <v>314.95</v>
      </c>
      <c r="C20" s="47">
        <f>IFERROR(__xludf.DUMMYFUNCTION("""COMPUTED_VALUE"""),45770.6458333333)</f>
        <v>45770.6458333333</v>
      </c>
      <c r="D20" s="48">
        <f>IFERROR(__xludf.DUMMYFUNCTION("""COMPUTED_VALUE"""),314.15)</f>
        <v>314.15</v>
      </c>
      <c r="E20" s="47">
        <f>IFERROR(__xludf.DUMMYFUNCTION("""COMPUTED_VALUE"""),45770.6458333333)</f>
        <v>45770.6458333333</v>
      </c>
      <c r="F20" s="48">
        <f>IFERROR(__xludf.DUMMYFUNCTION("""COMPUTED_VALUE"""),8225575)</f>
        <v>8225575</v>
      </c>
      <c r="G20" s="47">
        <f>IFERROR(__xludf.DUMMYFUNCTION("""COMPUTED_VALUE"""),45770.6458333333)</f>
        <v>45770.6458333333</v>
      </c>
      <c r="H20" s="48">
        <f>IFERROR(__xludf.DUMMYFUNCTION("""COMPUTED_VALUE"""),316.1)</f>
        <v>316.1</v>
      </c>
      <c r="I20" s="47">
        <f>IFERROR(__xludf.DUMMYFUNCTION("""COMPUTED_VALUE"""),45770.6458333333)</f>
        <v>45770.6458333333</v>
      </c>
      <c r="J20" s="48">
        <f>IFERROR(__xludf.DUMMYFUNCTION("""COMPUTED_VALUE"""),309.45)</f>
        <v>309.45</v>
      </c>
      <c r="K20" s="3">
        <f t="shared" si="2"/>
        <v>0</v>
      </c>
      <c r="L20" s="3">
        <f t="shared" si="3"/>
        <v>0</v>
      </c>
    </row>
    <row r="21" customHeight="1" spans="1:12">
      <c r="A21" s="47">
        <f>IFERROR(__xludf.DUMMYFUNCTION("""COMPUTED_VALUE"""),45771.6458333333)</f>
        <v>45771.6458333333</v>
      </c>
      <c r="B21" s="48">
        <f>IFERROR(__xludf.DUMMYFUNCTION("""COMPUTED_VALUE"""),314.4)</f>
        <v>314.4</v>
      </c>
      <c r="C21" s="47">
        <f>IFERROR(__xludf.DUMMYFUNCTION("""COMPUTED_VALUE"""),45771.6458333333)</f>
        <v>45771.6458333333</v>
      </c>
      <c r="D21" s="48">
        <f>IFERROR(__xludf.DUMMYFUNCTION("""COMPUTED_VALUE"""),314.9)</f>
        <v>314.9</v>
      </c>
      <c r="E21" s="47">
        <f>IFERROR(__xludf.DUMMYFUNCTION("""COMPUTED_VALUE"""),45771.6458333333)</f>
        <v>45771.6458333333</v>
      </c>
      <c r="F21" s="48">
        <f>IFERROR(__xludf.DUMMYFUNCTION("""COMPUTED_VALUE"""),8021180)</f>
        <v>8021180</v>
      </c>
      <c r="G21" s="47">
        <f>IFERROR(__xludf.DUMMYFUNCTION("""COMPUTED_VALUE"""),45771.6458333333)</f>
        <v>45771.6458333333</v>
      </c>
      <c r="H21" s="48">
        <f>IFERROR(__xludf.DUMMYFUNCTION("""COMPUTED_VALUE"""),315.85)</f>
        <v>315.85</v>
      </c>
      <c r="I21" s="47">
        <f>IFERROR(__xludf.DUMMYFUNCTION("""COMPUTED_VALUE"""),45771.6458333333)</f>
        <v>45771.6458333333</v>
      </c>
      <c r="J21" s="48">
        <f>IFERROR(__xludf.DUMMYFUNCTION("""COMPUTED_VALUE"""),312.85)</f>
        <v>312.85</v>
      </c>
      <c r="K21" s="3">
        <f t="shared" si="2"/>
        <v>0</v>
      </c>
      <c r="L21" s="3">
        <f t="shared" si="3"/>
        <v>0</v>
      </c>
    </row>
    <row r="22" customHeight="1" spans="1:12">
      <c r="A22" s="47">
        <f>IFERROR(__xludf.DUMMYFUNCTION("""COMPUTED_VALUE"""),45772.6458333333)</f>
        <v>45772.6458333333</v>
      </c>
      <c r="B22" s="48">
        <f>IFERROR(__xludf.DUMMYFUNCTION("""COMPUTED_VALUE"""),306.5)</f>
        <v>306.5</v>
      </c>
      <c r="C22" s="47">
        <f>IFERROR(__xludf.DUMMYFUNCTION("""COMPUTED_VALUE"""),45772.6458333333)</f>
        <v>45772.6458333333</v>
      </c>
      <c r="D22" s="48">
        <f>IFERROR(__xludf.DUMMYFUNCTION("""COMPUTED_VALUE"""),313)</f>
        <v>313</v>
      </c>
      <c r="E22" s="47">
        <f>IFERROR(__xludf.DUMMYFUNCTION("""COMPUTED_VALUE"""),45772.6458333333)</f>
        <v>45772.6458333333</v>
      </c>
      <c r="F22" s="48">
        <f>IFERROR(__xludf.DUMMYFUNCTION("""COMPUTED_VALUE"""),11475773)</f>
        <v>11475773</v>
      </c>
      <c r="G22" s="47">
        <f>IFERROR(__xludf.DUMMYFUNCTION("""COMPUTED_VALUE"""),45772.6458333333)</f>
        <v>45772.6458333333</v>
      </c>
      <c r="H22" s="48">
        <f>IFERROR(__xludf.DUMMYFUNCTION("""COMPUTED_VALUE"""),315.4)</f>
        <v>315.4</v>
      </c>
      <c r="I22" s="47">
        <f>IFERROR(__xludf.DUMMYFUNCTION("""COMPUTED_VALUE"""),45772.6458333333)</f>
        <v>45772.6458333333</v>
      </c>
      <c r="J22" s="48">
        <f>IFERROR(__xludf.DUMMYFUNCTION("""COMPUTED_VALUE"""),303.4)</f>
        <v>303.4</v>
      </c>
      <c r="K22" s="3">
        <f t="shared" si="2"/>
        <v>0</v>
      </c>
      <c r="L22" s="3">
        <f t="shared" si="3"/>
        <v>0</v>
      </c>
    </row>
    <row r="23" customHeight="1" spans="1:12">
      <c r="A23" s="47">
        <f>IFERROR(__xludf.DUMMYFUNCTION("""COMPUTED_VALUE"""),45775.6458333333)</f>
        <v>45775.6458333333</v>
      </c>
      <c r="B23" s="48">
        <f>IFERROR(__xludf.DUMMYFUNCTION("""COMPUTED_VALUE"""),308.55)</f>
        <v>308.55</v>
      </c>
      <c r="C23" s="47">
        <f>IFERROR(__xludf.DUMMYFUNCTION("""COMPUTED_VALUE"""),45775.6458333333)</f>
        <v>45775.6458333333</v>
      </c>
      <c r="D23" s="48">
        <f>IFERROR(__xludf.DUMMYFUNCTION("""COMPUTED_VALUE"""),304.2)</f>
        <v>304.2</v>
      </c>
      <c r="E23" s="47">
        <f>IFERROR(__xludf.DUMMYFUNCTION("""COMPUTED_VALUE"""),45775.6458333333)</f>
        <v>45775.6458333333</v>
      </c>
      <c r="F23" s="48">
        <f>IFERROR(__xludf.DUMMYFUNCTION("""COMPUTED_VALUE"""),7314824)</f>
        <v>7314824</v>
      </c>
      <c r="G23" s="47">
        <f>IFERROR(__xludf.DUMMYFUNCTION("""COMPUTED_VALUE"""),45775.6458333333)</f>
        <v>45775.6458333333</v>
      </c>
      <c r="H23" s="48">
        <f>IFERROR(__xludf.DUMMYFUNCTION("""COMPUTED_VALUE"""),310.95)</f>
        <v>310.95</v>
      </c>
      <c r="I23" s="47">
        <f>IFERROR(__xludf.DUMMYFUNCTION("""COMPUTED_VALUE"""),45775.6458333333)</f>
        <v>45775.6458333333</v>
      </c>
      <c r="J23" s="48">
        <f>IFERROR(__xludf.DUMMYFUNCTION("""COMPUTED_VALUE"""),303.55)</f>
        <v>303.55</v>
      </c>
      <c r="K23" s="3">
        <f t="shared" si="2"/>
        <v>0</v>
      </c>
      <c r="L23" s="3">
        <f t="shared" si="3"/>
        <v>0</v>
      </c>
    </row>
    <row r="24" customHeight="1" spans="1:12">
      <c r="A24" s="47">
        <f>IFERROR(__xludf.DUMMYFUNCTION("""COMPUTED_VALUE"""),45776.6458333333)</f>
        <v>45776.6458333333</v>
      </c>
      <c r="B24" s="48">
        <f>IFERROR(__xludf.DUMMYFUNCTION("""COMPUTED_VALUE"""),302.95)</f>
        <v>302.95</v>
      </c>
      <c r="C24" s="47">
        <f>IFERROR(__xludf.DUMMYFUNCTION("""COMPUTED_VALUE"""),45776.6458333333)</f>
        <v>45776.6458333333</v>
      </c>
      <c r="D24" s="48">
        <f>IFERROR(__xludf.DUMMYFUNCTION("""COMPUTED_VALUE"""),308.55)</f>
        <v>308.55</v>
      </c>
      <c r="E24" s="47">
        <f>IFERROR(__xludf.DUMMYFUNCTION("""COMPUTED_VALUE"""),45776.6458333333)</f>
        <v>45776.6458333333</v>
      </c>
      <c r="F24" s="48">
        <f>IFERROR(__xludf.DUMMYFUNCTION("""COMPUTED_VALUE"""),14678005)</f>
        <v>14678005</v>
      </c>
      <c r="G24" s="47">
        <f>IFERROR(__xludf.DUMMYFUNCTION("""COMPUTED_VALUE"""),45776.6458333333)</f>
        <v>45776.6458333333</v>
      </c>
      <c r="H24" s="48">
        <f>IFERROR(__xludf.DUMMYFUNCTION("""COMPUTED_VALUE"""),310.8)</f>
        <v>310.8</v>
      </c>
      <c r="I24" s="47">
        <f>IFERROR(__xludf.DUMMYFUNCTION("""COMPUTED_VALUE"""),45776.6458333333)</f>
        <v>45776.6458333333</v>
      </c>
      <c r="J24" s="48">
        <f>IFERROR(__xludf.DUMMYFUNCTION("""COMPUTED_VALUE"""),301.2)</f>
        <v>301.2</v>
      </c>
      <c r="K24" s="3">
        <f t="shared" si="2"/>
        <v>0</v>
      </c>
      <c r="L24" s="3">
        <f t="shared" si="3"/>
        <v>302.95</v>
      </c>
    </row>
    <row r="25" customHeight="1" spans="1:12">
      <c r="A25" s="47">
        <f>IFERROR(__xludf.DUMMYFUNCTION("""COMPUTED_VALUE"""),45777.6458333333)</f>
        <v>45777.6458333333</v>
      </c>
      <c r="B25" s="48">
        <f>IFERROR(__xludf.DUMMYFUNCTION("""COMPUTED_VALUE"""),307.45)</f>
        <v>307.45</v>
      </c>
      <c r="C25" s="47">
        <f>IFERROR(__xludf.DUMMYFUNCTION("""COMPUTED_VALUE"""),45777.6458333333)</f>
        <v>45777.6458333333</v>
      </c>
      <c r="D25" s="48">
        <f>IFERROR(__xludf.DUMMYFUNCTION("""COMPUTED_VALUE"""),304.45)</f>
        <v>304.45</v>
      </c>
      <c r="E25" s="47">
        <f>IFERROR(__xludf.DUMMYFUNCTION("""COMPUTED_VALUE"""),45777.6458333333)</f>
        <v>45777.6458333333</v>
      </c>
      <c r="F25" s="48">
        <f>IFERROR(__xludf.DUMMYFUNCTION("""COMPUTED_VALUE"""),17619987)</f>
        <v>17619987</v>
      </c>
      <c r="G25" s="47">
        <f>IFERROR(__xludf.DUMMYFUNCTION("""COMPUTED_VALUE"""),45777.6458333333)</f>
        <v>45777.6458333333</v>
      </c>
      <c r="H25" s="48">
        <f>IFERROR(__xludf.DUMMYFUNCTION("""COMPUTED_VALUE"""),310)</f>
        <v>310</v>
      </c>
      <c r="I25" s="47">
        <f>IFERROR(__xludf.DUMMYFUNCTION("""COMPUTED_VALUE"""),45777.6458333333)</f>
        <v>45777.6458333333</v>
      </c>
      <c r="J25" s="48">
        <f>IFERROR(__xludf.DUMMYFUNCTION("""COMPUTED_VALUE"""),301.9)</f>
        <v>301.9</v>
      </c>
      <c r="K25" s="3">
        <f t="shared" si="2"/>
        <v>0</v>
      </c>
      <c r="L25" s="3">
        <f t="shared" si="3"/>
        <v>0</v>
      </c>
    </row>
    <row r="26" customHeight="1" spans="1:12">
      <c r="A26" s="47">
        <f>IFERROR(__xludf.DUMMYFUNCTION("""COMPUTED_VALUE"""),45779.6458333333)</f>
        <v>45779.6458333333</v>
      </c>
      <c r="B26" s="48">
        <f>IFERROR(__xludf.DUMMYFUNCTION("""COMPUTED_VALUE"""),303.95)</f>
        <v>303.95</v>
      </c>
      <c r="C26" s="47">
        <f>IFERROR(__xludf.DUMMYFUNCTION("""COMPUTED_VALUE"""),45779.6458333333)</f>
        <v>45779.6458333333</v>
      </c>
      <c r="D26" s="48">
        <f>IFERROR(__xludf.DUMMYFUNCTION("""COMPUTED_VALUE"""),305.5)</f>
        <v>305.5</v>
      </c>
      <c r="E26" s="47">
        <f>IFERROR(__xludf.DUMMYFUNCTION("""COMPUTED_VALUE"""),45779.6458333333)</f>
        <v>45779.6458333333</v>
      </c>
      <c r="F26" s="48">
        <f>IFERROR(__xludf.DUMMYFUNCTION("""COMPUTED_VALUE"""),5688285)</f>
        <v>5688285</v>
      </c>
      <c r="G26" s="47">
        <f>IFERROR(__xludf.DUMMYFUNCTION("""COMPUTED_VALUE"""),45779.6458333333)</f>
        <v>45779.6458333333</v>
      </c>
      <c r="H26" s="48">
        <f>IFERROR(__xludf.DUMMYFUNCTION("""COMPUTED_VALUE"""),309)</f>
        <v>309</v>
      </c>
      <c r="I26" s="47">
        <f>IFERROR(__xludf.DUMMYFUNCTION("""COMPUTED_VALUE"""),45779.6458333333)</f>
        <v>45779.6458333333</v>
      </c>
      <c r="J26" s="48">
        <f>IFERROR(__xludf.DUMMYFUNCTION("""COMPUTED_VALUE"""),302.3)</f>
        <v>302.3</v>
      </c>
      <c r="K26" s="3">
        <f t="shared" si="2"/>
        <v>0</v>
      </c>
      <c r="L26" s="3">
        <f t="shared" si="3"/>
        <v>0</v>
      </c>
    </row>
    <row r="27" customHeight="1" spans="1:12">
      <c r="A27" s="47">
        <f>IFERROR(__xludf.DUMMYFUNCTION("""COMPUTED_VALUE"""),45782.6458333333)</f>
        <v>45782.6458333333</v>
      </c>
      <c r="B27" s="48">
        <f>IFERROR(__xludf.DUMMYFUNCTION("""COMPUTED_VALUE"""),308.2)</f>
        <v>308.2</v>
      </c>
      <c r="C27" s="47">
        <f>IFERROR(__xludf.DUMMYFUNCTION("""COMPUTED_VALUE"""),45782.6458333333)</f>
        <v>45782.6458333333</v>
      </c>
      <c r="D27" s="48">
        <f>IFERROR(__xludf.DUMMYFUNCTION("""COMPUTED_VALUE"""),304.8)</f>
        <v>304.8</v>
      </c>
      <c r="E27" s="47">
        <f>IFERROR(__xludf.DUMMYFUNCTION("""COMPUTED_VALUE"""),45782.6458333333)</f>
        <v>45782.6458333333</v>
      </c>
      <c r="F27" s="48">
        <f>IFERROR(__xludf.DUMMYFUNCTION("""COMPUTED_VALUE"""),4342960)</f>
        <v>4342960</v>
      </c>
      <c r="G27" s="47">
        <f>IFERROR(__xludf.DUMMYFUNCTION("""COMPUTED_VALUE"""),45782.6458333333)</f>
        <v>45782.6458333333</v>
      </c>
      <c r="H27" s="48">
        <f>IFERROR(__xludf.DUMMYFUNCTION("""COMPUTED_VALUE"""),310.7)</f>
        <v>310.7</v>
      </c>
      <c r="I27" s="47">
        <f>IFERROR(__xludf.DUMMYFUNCTION("""COMPUTED_VALUE"""),45782.6458333333)</f>
        <v>45782.6458333333</v>
      </c>
      <c r="J27" s="48">
        <f>IFERROR(__xludf.DUMMYFUNCTION("""COMPUTED_VALUE"""),304.65)</f>
        <v>304.65</v>
      </c>
      <c r="K27" s="3">
        <f t="shared" si="2"/>
        <v>0</v>
      </c>
      <c r="L27" s="3">
        <f t="shared" si="3"/>
        <v>0</v>
      </c>
    </row>
    <row r="28" customHeight="1" spans="1:12">
      <c r="A28" s="47">
        <f>IFERROR(__xludf.DUMMYFUNCTION("""COMPUTED_VALUE"""),45783.6458333333)</f>
        <v>45783.6458333333</v>
      </c>
      <c r="B28" s="48">
        <f>IFERROR(__xludf.DUMMYFUNCTION("""COMPUTED_VALUE"""),307.6)</f>
        <v>307.6</v>
      </c>
      <c r="C28" s="47">
        <f>IFERROR(__xludf.DUMMYFUNCTION("""COMPUTED_VALUE"""),45783.6458333333)</f>
        <v>45783.6458333333</v>
      </c>
      <c r="D28" s="48">
        <f>IFERROR(__xludf.DUMMYFUNCTION("""COMPUTED_VALUE"""),307.6)</f>
        <v>307.6</v>
      </c>
      <c r="E28" s="47">
        <f>IFERROR(__xludf.DUMMYFUNCTION("""COMPUTED_VALUE"""),45783.6458333333)</f>
        <v>45783.6458333333</v>
      </c>
      <c r="F28" s="48">
        <f>IFERROR(__xludf.DUMMYFUNCTION("""COMPUTED_VALUE"""),9124804)</f>
        <v>9124804</v>
      </c>
      <c r="G28" s="47">
        <f>IFERROR(__xludf.DUMMYFUNCTION("""COMPUTED_VALUE"""),45783.6458333333)</f>
        <v>45783.6458333333</v>
      </c>
      <c r="H28" s="48">
        <f>IFERROR(__xludf.DUMMYFUNCTION("""COMPUTED_VALUE"""),310.45)</f>
        <v>310.45</v>
      </c>
      <c r="I28" s="47">
        <f>IFERROR(__xludf.DUMMYFUNCTION("""COMPUTED_VALUE"""),45783.6458333333)</f>
        <v>45783.6458333333</v>
      </c>
      <c r="J28" s="48">
        <f>IFERROR(__xludf.DUMMYFUNCTION("""COMPUTED_VALUE"""),305.55)</f>
        <v>305.55</v>
      </c>
      <c r="K28" s="3">
        <f t="shared" si="2"/>
        <v>0</v>
      </c>
      <c r="L28" s="3">
        <f t="shared" si="3"/>
        <v>0</v>
      </c>
    </row>
    <row r="29" customHeight="1" spans="1:12">
      <c r="A29" s="47">
        <f>IFERROR(__xludf.DUMMYFUNCTION("""COMPUTED_VALUE"""),45784.6458333333)</f>
        <v>45784.6458333333</v>
      </c>
      <c r="B29" s="48">
        <f>IFERROR(__xludf.DUMMYFUNCTION("""COMPUTED_VALUE"""),311.1)</f>
        <v>311.1</v>
      </c>
      <c r="C29" s="47">
        <f>IFERROR(__xludf.DUMMYFUNCTION("""COMPUTED_VALUE"""),45784.6458333333)</f>
        <v>45784.6458333333</v>
      </c>
      <c r="D29" s="48">
        <f>IFERROR(__xludf.DUMMYFUNCTION("""COMPUTED_VALUE"""),308)</f>
        <v>308</v>
      </c>
      <c r="E29" s="47">
        <f>IFERROR(__xludf.DUMMYFUNCTION("""COMPUTED_VALUE"""),45784.6458333333)</f>
        <v>45784.6458333333</v>
      </c>
      <c r="F29" s="48">
        <f>IFERROR(__xludf.DUMMYFUNCTION("""COMPUTED_VALUE"""),14679327)</f>
        <v>14679327</v>
      </c>
      <c r="G29" s="47">
        <f>IFERROR(__xludf.DUMMYFUNCTION("""COMPUTED_VALUE"""),45784.6458333333)</f>
        <v>45784.6458333333</v>
      </c>
      <c r="H29" s="48">
        <f>IFERROR(__xludf.DUMMYFUNCTION("""COMPUTED_VALUE"""),313.15)</f>
        <v>313.15</v>
      </c>
      <c r="I29" s="47">
        <f>IFERROR(__xludf.DUMMYFUNCTION("""COMPUTED_VALUE"""),45784.6458333333)</f>
        <v>45784.6458333333</v>
      </c>
      <c r="J29" s="48">
        <f>IFERROR(__xludf.DUMMYFUNCTION("""COMPUTED_VALUE"""),307)</f>
        <v>307</v>
      </c>
      <c r="K29" s="3">
        <f t="shared" si="2"/>
        <v>311.1</v>
      </c>
      <c r="L29" s="3">
        <f t="shared" si="3"/>
        <v>0</v>
      </c>
    </row>
    <row r="30" customHeight="1" spans="1:12">
      <c r="A30" s="47">
        <f>IFERROR(__xludf.DUMMYFUNCTION("""COMPUTED_VALUE"""),45785.6458333333)</f>
        <v>45785.6458333333</v>
      </c>
      <c r="B30" s="48">
        <f>IFERROR(__xludf.DUMMYFUNCTION("""COMPUTED_VALUE"""),308.25)</f>
        <v>308.25</v>
      </c>
      <c r="C30" s="47">
        <f>IFERROR(__xludf.DUMMYFUNCTION("""COMPUTED_VALUE"""),45785.6458333333)</f>
        <v>45785.6458333333</v>
      </c>
      <c r="D30" s="48">
        <f>IFERROR(__xludf.DUMMYFUNCTION("""COMPUTED_VALUE"""),313.4)</f>
        <v>313.4</v>
      </c>
      <c r="E30" s="47">
        <f>IFERROR(__xludf.DUMMYFUNCTION("""COMPUTED_VALUE"""),45785.6458333333)</f>
        <v>45785.6458333333</v>
      </c>
      <c r="F30" s="48">
        <f>IFERROR(__xludf.DUMMYFUNCTION("""COMPUTED_VALUE"""),19253478)</f>
        <v>19253478</v>
      </c>
      <c r="G30" s="47">
        <f>IFERROR(__xludf.DUMMYFUNCTION("""COMPUTED_VALUE"""),45785.6458333333)</f>
        <v>45785.6458333333</v>
      </c>
      <c r="H30" s="48">
        <f>IFERROR(__xludf.DUMMYFUNCTION("""COMPUTED_VALUE"""),317.4)</f>
        <v>317.4</v>
      </c>
      <c r="I30" s="47">
        <f>IFERROR(__xludf.DUMMYFUNCTION("""COMPUTED_VALUE"""),45785.6458333333)</f>
        <v>45785.6458333333</v>
      </c>
      <c r="J30" s="48">
        <f>IFERROR(__xludf.DUMMYFUNCTION("""COMPUTED_VALUE"""),304)</f>
        <v>304</v>
      </c>
      <c r="K30" s="3">
        <f t="shared" si="2"/>
        <v>0</v>
      </c>
      <c r="L30" s="3">
        <f t="shared" si="3"/>
        <v>0</v>
      </c>
    </row>
    <row r="31" customHeight="1" spans="1:12">
      <c r="A31" s="47">
        <f>IFERROR(__xludf.DUMMYFUNCTION("""COMPUTED_VALUE"""),45786.6458333333)</f>
        <v>45786.6458333333</v>
      </c>
      <c r="B31" s="48">
        <f>IFERROR(__xludf.DUMMYFUNCTION("""COMPUTED_VALUE"""),299.3)</f>
        <v>299.3</v>
      </c>
      <c r="C31" s="47">
        <f>IFERROR(__xludf.DUMMYFUNCTION("""COMPUTED_VALUE"""),45786.6458333333)</f>
        <v>45786.6458333333</v>
      </c>
      <c r="D31" s="48">
        <f>IFERROR(__xludf.DUMMYFUNCTION("""COMPUTED_VALUE"""),300)</f>
        <v>300</v>
      </c>
      <c r="E31" s="47">
        <f>IFERROR(__xludf.DUMMYFUNCTION("""COMPUTED_VALUE"""),45786.6458333333)</f>
        <v>45786.6458333333</v>
      </c>
      <c r="F31" s="48">
        <f>IFERROR(__xludf.DUMMYFUNCTION("""COMPUTED_VALUE"""),11981497)</f>
        <v>11981497</v>
      </c>
      <c r="G31" s="47">
        <f>IFERROR(__xludf.DUMMYFUNCTION("""COMPUTED_VALUE"""),45786.6458333333)</f>
        <v>45786.6458333333</v>
      </c>
      <c r="H31" s="48">
        <f>IFERROR(__xludf.DUMMYFUNCTION("""COMPUTED_VALUE"""),303.05)</f>
        <v>303.05</v>
      </c>
      <c r="I31" s="47">
        <f>IFERROR(__xludf.DUMMYFUNCTION("""COMPUTED_VALUE"""),45786.6458333333)</f>
        <v>45786.6458333333</v>
      </c>
      <c r="J31" s="48">
        <f>IFERROR(__xludf.DUMMYFUNCTION("""COMPUTED_VALUE"""),296.4)</f>
        <v>296.4</v>
      </c>
      <c r="K31" s="3">
        <f t="shared" si="2"/>
        <v>0</v>
      </c>
      <c r="L31" s="3">
        <f t="shared" si="3"/>
        <v>0</v>
      </c>
    </row>
    <row r="32" customHeight="1" spans="1:12">
      <c r="A32" s="47">
        <f>IFERROR(__xludf.DUMMYFUNCTION("""COMPUTED_VALUE"""),45789.6458333333)</f>
        <v>45789.6458333333</v>
      </c>
      <c r="B32" s="48">
        <f>IFERROR(__xludf.DUMMYFUNCTION("""COMPUTED_VALUE"""),309.05)</f>
        <v>309.05</v>
      </c>
      <c r="C32" s="47">
        <f>IFERROR(__xludf.DUMMYFUNCTION("""COMPUTED_VALUE"""),45789.6458333333)</f>
        <v>45789.6458333333</v>
      </c>
      <c r="D32" s="48">
        <f>IFERROR(__xludf.DUMMYFUNCTION("""COMPUTED_VALUE"""),304.05)</f>
        <v>304.05</v>
      </c>
      <c r="E32" s="47">
        <f>IFERROR(__xludf.DUMMYFUNCTION("""COMPUTED_VALUE"""),45789.6458333333)</f>
        <v>45789.6458333333</v>
      </c>
      <c r="F32" s="48">
        <f>IFERROR(__xludf.DUMMYFUNCTION("""COMPUTED_VALUE"""),7145884)</f>
        <v>7145884</v>
      </c>
      <c r="G32" s="47">
        <f>IFERROR(__xludf.DUMMYFUNCTION("""COMPUTED_VALUE"""),45789.6458333333)</f>
        <v>45789.6458333333</v>
      </c>
      <c r="H32" s="48">
        <f>IFERROR(__xludf.DUMMYFUNCTION("""COMPUTED_VALUE"""),311.1)</f>
        <v>311.1</v>
      </c>
      <c r="I32" s="47">
        <f>IFERROR(__xludf.DUMMYFUNCTION("""COMPUTED_VALUE"""),45789.6458333333)</f>
        <v>45789.6458333333</v>
      </c>
      <c r="J32" s="48">
        <f>IFERROR(__xludf.DUMMYFUNCTION("""COMPUTED_VALUE"""),304.05)</f>
        <v>304.05</v>
      </c>
      <c r="K32" s="3">
        <f t="shared" si="2"/>
        <v>0</v>
      </c>
      <c r="L32" s="3">
        <f t="shared" si="3"/>
        <v>0</v>
      </c>
    </row>
    <row r="33" customHeight="1" spans="1:12">
      <c r="A33" s="47">
        <f>IFERROR(__xludf.DUMMYFUNCTION("""COMPUTED_VALUE"""),45790.6458333333)</f>
        <v>45790.6458333333</v>
      </c>
      <c r="B33" s="48">
        <f>IFERROR(__xludf.DUMMYFUNCTION("""COMPUTED_VALUE"""),298.45)</f>
        <v>298.45</v>
      </c>
      <c r="C33" s="47">
        <f>IFERROR(__xludf.DUMMYFUNCTION("""COMPUTED_VALUE"""),45790.6458333333)</f>
        <v>45790.6458333333</v>
      </c>
      <c r="D33" s="48">
        <f>IFERROR(__xludf.DUMMYFUNCTION("""COMPUTED_VALUE"""),305)</f>
        <v>305</v>
      </c>
      <c r="E33" s="47">
        <f>IFERROR(__xludf.DUMMYFUNCTION("""COMPUTED_VALUE"""),45790.6458333333)</f>
        <v>45790.6458333333</v>
      </c>
      <c r="F33" s="48">
        <f>IFERROR(__xludf.DUMMYFUNCTION("""COMPUTED_VALUE"""),17988336)</f>
        <v>17988336</v>
      </c>
      <c r="G33" s="47">
        <f>IFERROR(__xludf.DUMMYFUNCTION("""COMPUTED_VALUE"""),45790.6458333333)</f>
        <v>45790.6458333333</v>
      </c>
      <c r="H33" s="48">
        <f>IFERROR(__xludf.DUMMYFUNCTION("""COMPUTED_VALUE"""),308.75)</f>
        <v>308.75</v>
      </c>
      <c r="I33" s="47">
        <f>IFERROR(__xludf.DUMMYFUNCTION("""COMPUTED_VALUE"""),45790.6458333333)</f>
        <v>45790.6458333333</v>
      </c>
      <c r="J33" s="48">
        <f>IFERROR(__xludf.DUMMYFUNCTION("""COMPUTED_VALUE"""),298)</f>
        <v>298</v>
      </c>
      <c r="K33" s="3">
        <f t="shared" si="2"/>
        <v>0</v>
      </c>
      <c r="L33" s="3">
        <f t="shared" si="3"/>
        <v>0</v>
      </c>
    </row>
    <row r="34" customHeight="1" spans="1:12">
      <c r="A34" s="47">
        <f>IFERROR(__xludf.DUMMYFUNCTION("""COMPUTED_VALUE"""),45791.6458333333)</f>
        <v>45791.6458333333</v>
      </c>
      <c r="B34" s="48">
        <f>IFERROR(__xludf.DUMMYFUNCTION("""COMPUTED_VALUE"""),295.95)</f>
        <v>295.95</v>
      </c>
      <c r="C34" s="47">
        <f>IFERROR(__xludf.DUMMYFUNCTION("""COMPUTED_VALUE"""),45791.6458333333)</f>
        <v>45791.6458333333</v>
      </c>
      <c r="D34" s="48">
        <f>IFERROR(__xludf.DUMMYFUNCTION("""COMPUTED_VALUE"""),299.2)</f>
        <v>299.2</v>
      </c>
      <c r="E34" s="47">
        <f>IFERROR(__xludf.DUMMYFUNCTION("""COMPUTED_VALUE"""),45791.6458333333)</f>
        <v>45791.6458333333</v>
      </c>
      <c r="F34" s="48">
        <f>IFERROR(__xludf.DUMMYFUNCTION("""COMPUTED_VALUE"""),10359258)</f>
        <v>10359258</v>
      </c>
      <c r="G34" s="47">
        <f>IFERROR(__xludf.DUMMYFUNCTION("""COMPUTED_VALUE"""),45791.6458333333)</f>
        <v>45791.6458333333</v>
      </c>
      <c r="H34" s="48">
        <f>IFERROR(__xludf.DUMMYFUNCTION("""COMPUTED_VALUE"""),300.55)</f>
        <v>300.55</v>
      </c>
      <c r="I34" s="47">
        <f>IFERROR(__xludf.DUMMYFUNCTION("""COMPUTED_VALUE"""),45791.6458333333)</f>
        <v>45791.6458333333</v>
      </c>
      <c r="J34" s="48">
        <f>IFERROR(__xludf.DUMMYFUNCTION("""COMPUTED_VALUE"""),294.05)</f>
        <v>294.05</v>
      </c>
      <c r="K34" s="3">
        <f t="shared" si="2"/>
        <v>0</v>
      </c>
      <c r="L34" s="3">
        <f t="shared" si="3"/>
        <v>0</v>
      </c>
    </row>
    <row r="35" customHeight="1" spans="1:12">
      <c r="A35" s="47">
        <f>IFERROR(__xludf.DUMMYFUNCTION("""COMPUTED_VALUE"""),45792.6458333333)</f>
        <v>45792.6458333333</v>
      </c>
      <c r="B35" s="48">
        <f>IFERROR(__xludf.DUMMYFUNCTION("""COMPUTED_VALUE"""),299.65)</f>
        <v>299.65</v>
      </c>
      <c r="C35" s="47">
        <f>IFERROR(__xludf.DUMMYFUNCTION("""COMPUTED_VALUE"""),45792.6458333333)</f>
        <v>45792.6458333333</v>
      </c>
      <c r="D35" s="48">
        <f>IFERROR(__xludf.DUMMYFUNCTION("""COMPUTED_VALUE"""),295.9)</f>
        <v>295.9</v>
      </c>
      <c r="E35" s="47">
        <f>IFERROR(__xludf.DUMMYFUNCTION("""COMPUTED_VALUE"""),45792.6458333333)</f>
        <v>45792.6458333333</v>
      </c>
      <c r="F35" s="48">
        <f>IFERROR(__xludf.DUMMYFUNCTION("""COMPUTED_VALUE"""),22640626)</f>
        <v>22640626</v>
      </c>
      <c r="G35" s="47">
        <f>IFERROR(__xludf.DUMMYFUNCTION("""COMPUTED_VALUE"""),45792.6458333333)</f>
        <v>45792.6458333333</v>
      </c>
      <c r="H35" s="48">
        <f>IFERROR(__xludf.DUMMYFUNCTION("""COMPUTED_VALUE"""),300.4)</f>
        <v>300.4</v>
      </c>
      <c r="I35" s="47">
        <f>IFERROR(__xludf.DUMMYFUNCTION("""COMPUTED_VALUE"""),45792.6458333333)</f>
        <v>45792.6458333333</v>
      </c>
      <c r="J35" s="48">
        <f>IFERROR(__xludf.DUMMYFUNCTION("""COMPUTED_VALUE"""),291.05)</f>
        <v>291.05</v>
      </c>
      <c r="K35" s="3">
        <f t="shared" si="2"/>
        <v>0</v>
      </c>
      <c r="L35" s="3">
        <f t="shared" si="3"/>
        <v>0</v>
      </c>
    </row>
    <row r="36" customHeight="1" spans="1:12">
      <c r="A36" s="47">
        <f>IFERROR(__xludf.DUMMYFUNCTION("""COMPUTED_VALUE"""),45793.6458333333)</f>
        <v>45793.6458333333</v>
      </c>
      <c r="B36" s="48">
        <f>IFERROR(__xludf.DUMMYFUNCTION("""COMPUTED_VALUE"""),300.2)</f>
        <v>300.2</v>
      </c>
      <c r="C36" s="47">
        <f>IFERROR(__xludf.DUMMYFUNCTION("""COMPUTED_VALUE"""),45793.6458333333)</f>
        <v>45793.6458333333</v>
      </c>
      <c r="D36" s="48">
        <f>IFERROR(__xludf.DUMMYFUNCTION("""COMPUTED_VALUE"""),300)</f>
        <v>300</v>
      </c>
      <c r="E36" s="47">
        <f>IFERROR(__xludf.DUMMYFUNCTION("""COMPUTED_VALUE"""),45793.6458333333)</f>
        <v>45793.6458333333</v>
      </c>
      <c r="F36" s="48">
        <f>IFERROR(__xludf.DUMMYFUNCTION("""COMPUTED_VALUE"""),16763668)</f>
        <v>16763668</v>
      </c>
      <c r="G36" s="47">
        <f>IFERROR(__xludf.DUMMYFUNCTION("""COMPUTED_VALUE"""),45793.6458333333)</f>
        <v>45793.6458333333</v>
      </c>
      <c r="H36" s="48">
        <f>IFERROR(__xludf.DUMMYFUNCTION("""COMPUTED_VALUE"""),302.2)</f>
        <v>302.2</v>
      </c>
      <c r="I36" s="47">
        <f>IFERROR(__xludf.DUMMYFUNCTION("""COMPUTED_VALUE"""),45793.6458333333)</f>
        <v>45793.6458333333</v>
      </c>
      <c r="J36" s="48">
        <f>IFERROR(__xludf.DUMMYFUNCTION("""COMPUTED_VALUE"""),295.5)</f>
        <v>295.5</v>
      </c>
      <c r="K36" s="3">
        <f t="shared" si="2"/>
        <v>0</v>
      </c>
      <c r="L36" s="3">
        <f t="shared" si="3"/>
        <v>0</v>
      </c>
    </row>
    <row r="37" customHeight="1" spans="1:12">
      <c r="A37" s="47">
        <f>IFERROR(__xludf.DUMMYFUNCTION("""COMPUTED_VALUE"""),45796.6458333333)</f>
        <v>45796.6458333333</v>
      </c>
      <c r="B37" s="48">
        <f>IFERROR(__xludf.DUMMYFUNCTION("""COMPUTED_VALUE"""),304.05)</f>
        <v>304.05</v>
      </c>
      <c r="C37" s="47">
        <f>IFERROR(__xludf.DUMMYFUNCTION("""COMPUTED_VALUE"""),45796.6458333333)</f>
        <v>45796.6458333333</v>
      </c>
      <c r="D37" s="48">
        <f>IFERROR(__xludf.DUMMYFUNCTION("""COMPUTED_VALUE"""),302)</f>
        <v>302</v>
      </c>
      <c r="E37" s="47">
        <f>IFERROR(__xludf.DUMMYFUNCTION("""COMPUTED_VALUE"""),45796.6458333333)</f>
        <v>45796.6458333333</v>
      </c>
      <c r="F37" s="48">
        <f>IFERROR(__xludf.DUMMYFUNCTION("""COMPUTED_VALUE"""),12575289)</f>
        <v>12575289</v>
      </c>
      <c r="G37" s="47">
        <f>IFERROR(__xludf.DUMMYFUNCTION("""COMPUTED_VALUE"""),45796.6458333333)</f>
        <v>45796.6458333333</v>
      </c>
      <c r="H37" s="48">
        <f>IFERROR(__xludf.DUMMYFUNCTION("""COMPUTED_VALUE"""),304.5)</f>
        <v>304.5</v>
      </c>
      <c r="I37" s="47">
        <f>IFERROR(__xludf.DUMMYFUNCTION("""COMPUTED_VALUE"""),45796.6458333333)</f>
        <v>45796.6458333333</v>
      </c>
      <c r="J37" s="48">
        <f>IFERROR(__xludf.DUMMYFUNCTION("""COMPUTED_VALUE"""),299)</f>
        <v>299</v>
      </c>
      <c r="K37" s="3">
        <f t="shared" si="2"/>
        <v>0</v>
      </c>
      <c r="L37" s="3">
        <f t="shared" si="3"/>
        <v>0</v>
      </c>
    </row>
    <row r="38" customHeight="1" spans="1:12">
      <c r="A38" s="47">
        <f>IFERROR(__xludf.DUMMYFUNCTION("""COMPUTED_VALUE"""),45797.6458333333)</f>
        <v>45797.6458333333</v>
      </c>
      <c r="B38" s="48">
        <f>IFERROR(__xludf.DUMMYFUNCTION("""COMPUTED_VALUE"""),297.9)</f>
        <v>297.9</v>
      </c>
      <c r="C38" s="47">
        <f>IFERROR(__xludf.DUMMYFUNCTION("""COMPUTED_VALUE"""),45797.6458333333)</f>
        <v>45797.6458333333</v>
      </c>
      <c r="D38" s="48">
        <f>IFERROR(__xludf.DUMMYFUNCTION("""COMPUTED_VALUE"""),304.4)</f>
        <v>304.4</v>
      </c>
      <c r="E38" s="47">
        <f>IFERROR(__xludf.DUMMYFUNCTION("""COMPUTED_VALUE"""),45797.6458333333)</f>
        <v>45797.6458333333</v>
      </c>
      <c r="F38" s="48">
        <f>IFERROR(__xludf.DUMMYFUNCTION("""COMPUTED_VALUE"""),21339095)</f>
        <v>21339095</v>
      </c>
      <c r="G38" s="47">
        <f>IFERROR(__xludf.DUMMYFUNCTION("""COMPUTED_VALUE"""),45797.6458333333)</f>
        <v>45797.6458333333</v>
      </c>
      <c r="H38" s="48">
        <f>IFERROR(__xludf.DUMMYFUNCTION("""COMPUTED_VALUE"""),305.3)</f>
        <v>305.3</v>
      </c>
      <c r="I38" s="47">
        <f>IFERROR(__xludf.DUMMYFUNCTION("""COMPUTED_VALUE"""),45797.6458333333)</f>
        <v>45797.6458333333</v>
      </c>
      <c r="J38" s="48">
        <f>IFERROR(__xludf.DUMMYFUNCTION("""COMPUTED_VALUE"""),297.1)</f>
        <v>297.1</v>
      </c>
      <c r="K38" s="3">
        <f t="shared" si="2"/>
        <v>0</v>
      </c>
      <c r="L38" s="3">
        <f t="shared" si="3"/>
        <v>0</v>
      </c>
    </row>
    <row r="39" customHeight="1" spans="1:12">
      <c r="A39" s="47">
        <f>IFERROR(__xludf.DUMMYFUNCTION("""COMPUTED_VALUE"""),45798.6458333333)</f>
        <v>45798.6458333333</v>
      </c>
      <c r="B39" s="48">
        <f>IFERROR(__xludf.DUMMYFUNCTION("""COMPUTED_VALUE"""),296.15)</f>
        <v>296.15</v>
      </c>
      <c r="C39" s="47">
        <f>IFERROR(__xludf.DUMMYFUNCTION("""COMPUTED_VALUE"""),45798.6458333333)</f>
        <v>45798.6458333333</v>
      </c>
      <c r="D39" s="48">
        <f>IFERROR(__xludf.DUMMYFUNCTION("""COMPUTED_VALUE"""),297.75)</f>
        <v>297.75</v>
      </c>
      <c r="E39" s="47">
        <f>IFERROR(__xludf.DUMMYFUNCTION("""COMPUTED_VALUE"""),45798.6458333333)</f>
        <v>45798.6458333333</v>
      </c>
      <c r="F39" s="48">
        <f>IFERROR(__xludf.DUMMYFUNCTION("""COMPUTED_VALUE"""),11997632)</f>
        <v>11997632</v>
      </c>
      <c r="G39" s="47">
        <f>IFERROR(__xludf.DUMMYFUNCTION("""COMPUTED_VALUE"""),45798.6458333333)</f>
        <v>45798.6458333333</v>
      </c>
      <c r="H39" s="48">
        <f>IFERROR(__xludf.DUMMYFUNCTION("""COMPUTED_VALUE"""),302.25)</f>
        <v>302.25</v>
      </c>
      <c r="I39" s="47">
        <f>IFERROR(__xludf.DUMMYFUNCTION("""COMPUTED_VALUE"""),45798.6458333333)</f>
        <v>45798.6458333333</v>
      </c>
      <c r="J39" s="48">
        <f>IFERROR(__xludf.DUMMYFUNCTION("""COMPUTED_VALUE"""),295.65)</f>
        <v>295.65</v>
      </c>
      <c r="K39" s="3">
        <f t="shared" si="2"/>
        <v>0</v>
      </c>
      <c r="L39" s="3">
        <f t="shared" si="3"/>
        <v>0</v>
      </c>
    </row>
    <row r="40" customHeight="1" spans="1:12">
      <c r="A40" s="47">
        <f>IFERROR(__xludf.DUMMYFUNCTION("""COMPUTED_VALUE"""),45799.6458333333)</f>
        <v>45799.6458333333</v>
      </c>
      <c r="B40" s="48">
        <f>IFERROR(__xludf.DUMMYFUNCTION("""COMPUTED_VALUE"""),290.9)</f>
        <v>290.9</v>
      </c>
      <c r="C40" s="47">
        <f>IFERROR(__xludf.DUMMYFUNCTION("""COMPUTED_VALUE"""),45799.6458333333)</f>
        <v>45799.6458333333</v>
      </c>
      <c r="D40" s="48">
        <f>IFERROR(__xludf.DUMMYFUNCTION("""COMPUTED_VALUE"""),295.9)</f>
        <v>295.9</v>
      </c>
      <c r="E40" s="47">
        <f>IFERROR(__xludf.DUMMYFUNCTION("""COMPUTED_VALUE"""),45799.6458333333)</f>
        <v>45799.6458333333</v>
      </c>
      <c r="F40" s="48">
        <f>IFERROR(__xludf.DUMMYFUNCTION("""COMPUTED_VALUE"""),26158839)</f>
        <v>26158839</v>
      </c>
      <c r="G40" s="47">
        <f>IFERROR(__xludf.DUMMYFUNCTION("""COMPUTED_VALUE"""),45799.6458333333)</f>
        <v>45799.6458333333</v>
      </c>
      <c r="H40" s="48">
        <f>IFERROR(__xludf.DUMMYFUNCTION("""COMPUTED_VALUE"""),296.35)</f>
        <v>296.35</v>
      </c>
      <c r="I40" s="47">
        <f>IFERROR(__xludf.DUMMYFUNCTION("""COMPUTED_VALUE"""),45799.6458333333)</f>
        <v>45799.6458333333</v>
      </c>
      <c r="J40" s="48">
        <f>IFERROR(__xludf.DUMMYFUNCTION("""COMPUTED_VALUE"""),286.55)</f>
        <v>286.55</v>
      </c>
      <c r="K40" s="3">
        <f t="shared" si="2"/>
        <v>0</v>
      </c>
      <c r="L40" s="3">
        <f t="shared" si="3"/>
        <v>0</v>
      </c>
    </row>
    <row r="41" customHeight="1" spans="1:12">
      <c r="A41" s="47">
        <f>IFERROR(__xludf.DUMMYFUNCTION("""COMPUTED_VALUE"""),45800.6458333333)</f>
        <v>45800.6458333333</v>
      </c>
      <c r="B41" s="48">
        <f>IFERROR(__xludf.DUMMYFUNCTION("""COMPUTED_VALUE"""),298.1)</f>
        <v>298.1</v>
      </c>
      <c r="C41" s="47">
        <f>IFERROR(__xludf.DUMMYFUNCTION("""COMPUTED_VALUE"""),45800.6458333333)</f>
        <v>45800.6458333333</v>
      </c>
      <c r="D41" s="48">
        <f>IFERROR(__xludf.DUMMYFUNCTION("""COMPUTED_VALUE"""),292)</f>
        <v>292</v>
      </c>
      <c r="E41" s="47">
        <f>IFERROR(__xludf.DUMMYFUNCTION("""COMPUTED_VALUE"""),45800.6458333333)</f>
        <v>45800.6458333333</v>
      </c>
      <c r="F41" s="48">
        <f>IFERROR(__xludf.DUMMYFUNCTION("""COMPUTED_VALUE"""),9872024)</f>
        <v>9872024</v>
      </c>
      <c r="G41" s="47">
        <f>IFERROR(__xludf.DUMMYFUNCTION("""COMPUTED_VALUE"""),45800.6458333333)</f>
        <v>45800.6458333333</v>
      </c>
      <c r="H41" s="48">
        <f>IFERROR(__xludf.DUMMYFUNCTION("""COMPUTED_VALUE"""),298.75)</f>
        <v>298.75</v>
      </c>
      <c r="I41" s="47">
        <f>IFERROR(__xludf.DUMMYFUNCTION("""COMPUTED_VALUE"""),45800.6458333333)</f>
        <v>45800.6458333333</v>
      </c>
      <c r="J41" s="48">
        <f>IFERROR(__xludf.DUMMYFUNCTION("""COMPUTED_VALUE"""),291.75)</f>
        <v>291.75</v>
      </c>
      <c r="K41" s="3">
        <f t="shared" si="2"/>
        <v>0</v>
      </c>
      <c r="L41" s="3">
        <f t="shared" si="3"/>
        <v>0</v>
      </c>
    </row>
    <row r="42" customHeight="1" spans="1:12">
      <c r="A42" s="47">
        <f>IFERROR(__xludf.DUMMYFUNCTION("""COMPUTED_VALUE"""),45803.6458333333)</f>
        <v>45803.6458333333</v>
      </c>
      <c r="B42" s="48">
        <f>IFERROR(__xludf.DUMMYFUNCTION("""COMPUTED_VALUE"""),296.7)</f>
        <v>296.7</v>
      </c>
      <c r="C42" s="47">
        <f>IFERROR(__xludf.DUMMYFUNCTION("""COMPUTED_VALUE"""),45803.6458333333)</f>
        <v>45803.6458333333</v>
      </c>
      <c r="D42" s="48">
        <f>IFERROR(__xludf.DUMMYFUNCTION("""COMPUTED_VALUE"""),300.05)</f>
        <v>300.05</v>
      </c>
      <c r="E42" s="47">
        <f>IFERROR(__xludf.DUMMYFUNCTION("""COMPUTED_VALUE"""),45803.6458333333)</f>
        <v>45803.6458333333</v>
      </c>
      <c r="F42" s="48">
        <f>IFERROR(__xludf.DUMMYFUNCTION("""COMPUTED_VALUE"""),16469130)</f>
        <v>16469130</v>
      </c>
      <c r="G42" s="47">
        <f>IFERROR(__xludf.DUMMYFUNCTION("""COMPUTED_VALUE"""),45803.6458333333)</f>
        <v>45803.6458333333</v>
      </c>
      <c r="H42" s="48">
        <f>IFERROR(__xludf.DUMMYFUNCTION("""COMPUTED_VALUE"""),303.8)</f>
        <v>303.8</v>
      </c>
      <c r="I42" s="47">
        <f>IFERROR(__xludf.DUMMYFUNCTION("""COMPUTED_VALUE"""),45803.6458333333)</f>
        <v>45803.6458333333</v>
      </c>
      <c r="J42" s="48">
        <f>IFERROR(__xludf.DUMMYFUNCTION("""COMPUTED_VALUE"""),295.75)</f>
        <v>295.75</v>
      </c>
      <c r="K42" s="3">
        <f t="shared" si="2"/>
        <v>0</v>
      </c>
      <c r="L42" s="3">
        <f t="shared" si="3"/>
        <v>0</v>
      </c>
    </row>
    <row r="43" customHeight="1" spans="1:12">
      <c r="A43" s="47">
        <f>IFERROR(__xludf.DUMMYFUNCTION("""COMPUTED_VALUE"""),45804.6458333333)</f>
        <v>45804.6458333333</v>
      </c>
      <c r="B43" s="48">
        <f>IFERROR(__xludf.DUMMYFUNCTION("""COMPUTED_VALUE"""),294.55)</f>
        <v>294.55</v>
      </c>
      <c r="C43" s="47">
        <f>IFERROR(__xludf.DUMMYFUNCTION("""COMPUTED_VALUE"""),45804.6458333333)</f>
        <v>45804.6458333333</v>
      </c>
      <c r="D43" s="48">
        <f>IFERROR(__xludf.DUMMYFUNCTION("""COMPUTED_VALUE"""),297)</f>
        <v>297</v>
      </c>
      <c r="E43" s="47">
        <f>IFERROR(__xludf.DUMMYFUNCTION("""COMPUTED_VALUE"""),45804.6458333333)</f>
        <v>45804.6458333333</v>
      </c>
      <c r="F43" s="48">
        <f>IFERROR(__xludf.DUMMYFUNCTION("""COMPUTED_VALUE"""),17074710)</f>
        <v>17074710</v>
      </c>
      <c r="G43" s="47">
        <f>IFERROR(__xludf.DUMMYFUNCTION("""COMPUTED_VALUE"""),45804.6458333333)</f>
        <v>45804.6458333333</v>
      </c>
      <c r="H43" s="48">
        <f>IFERROR(__xludf.DUMMYFUNCTION("""COMPUTED_VALUE"""),297.6)</f>
        <v>297.6</v>
      </c>
      <c r="I43" s="47">
        <f>IFERROR(__xludf.DUMMYFUNCTION("""COMPUTED_VALUE"""),45804.6458333333)</f>
        <v>45804.6458333333</v>
      </c>
      <c r="J43" s="48">
        <f>IFERROR(__xludf.DUMMYFUNCTION("""COMPUTED_VALUE"""),292.2)</f>
        <v>292.2</v>
      </c>
      <c r="K43" s="3">
        <f t="shared" si="2"/>
        <v>0</v>
      </c>
      <c r="L43" s="3">
        <f t="shared" si="3"/>
        <v>0</v>
      </c>
    </row>
    <row r="44" customHeight="1" spans="1:12">
      <c r="A44" s="47">
        <f>IFERROR(__xludf.DUMMYFUNCTION("""COMPUTED_VALUE"""),45805.6458333333)</f>
        <v>45805.6458333333</v>
      </c>
      <c r="B44" s="48">
        <f>IFERROR(__xludf.DUMMYFUNCTION("""COMPUTED_VALUE"""),291.15)</f>
        <v>291.15</v>
      </c>
      <c r="C44" s="47">
        <f>IFERROR(__xludf.DUMMYFUNCTION("""COMPUTED_VALUE"""),45805.6458333333)</f>
        <v>45805.6458333333</v>
      </c>
      <c r="D44" s="48">
        <f>IFERROR(__xludf.DUMMYFUNCTION("""COMPUTED_VALUE"""),294.55)</f>
        <v>294.55</v>
      </c>
      <c r="E44" s="47">
        <f>IFERROR(__xludf.DUMMYFUNCTION("""COMPUTED_VALUE"""),45805.6458333333)</f>
        <v>45805.6458333333</v>
      </c>
      <c r="F44" s="48">
        <f>IFERROR(__xludf.DUMMYFUNCTION("""COMPUTED_VALUE"""),10099453)</f>
        <v>10099453</v>
      </c>
      <c r="G44" s="47">
        <f>IFERROR(__xludf.DUMMYFUNCTION("""COMPUTED_VALUE"""),45805.6458333333)</f>
        <v>45805.6458333333</v>
      </c>
      <c r="H44" s="48">
        <f>IFERROR(__xludf.DUMMYFUNCTION("""COMPUTED_VALUE"""),295.65)</f>
        <v>295.65</v>
      </c>
      <c r="I44" s="47">
        <f>IFERROR(__xludf.DUMMYFUNCTION("""COMPUTED_VALUE"""),45805.6458333333)</f>
        <v>45805.6458333333</v>
      </c>
      <c r="J44" s="48">
        <f>IFERROR(__xludf.DUMMYFUNCTION("""COMPUTED_VALUE"""),290.5)</f>
        <v>290.5</v>
      </c>
      <c r="K44" s="3">
        <f t="shared" si="2"/>
        <v>0</v>
      </c>
      <c r="L44" s="3">
        <f t="shared" si="3"/>
        <v>0</v>
      </c>
    </row>
    <row r="45" customHeight="1" spans="1:12">
      <c r="A45" s="47">
        <f>IFERROR(__xludf.DUMMYFUNCTION("""COMPUTED_VALUE"""),45806.6458333333)</f>
        <v>45806.6458333333</v>
      </c>
      <c r="B45" s="48">
        <f>IFERROR(__xludf.DUMMYFUNCTION("""COMPUTED_VALUE"""),293.1)</f>
        <v>293.1</v>
      </c>
      <c r="C45" s="47">
        <f>IFERROR(__xludf.DUMMYFUNCTION("""COMPUTED_VALUE"""),45806.6458333333)</f>
        <v>45806.6458333333</v>
      </c>
      <c r="D45" s="48">
        <f>IFERROR(__xludf.DUMMYFUNCTION("""COMPUTED_VALUE"""),291.35)</f>
        <v>291.35</v>
      </c>
      <c r="E45" s="47">
        <f>IFERROR(__xludf.DUMMYFUNCTION("""COMPUTED_VALUE"""),45806.6458333333)</f>
        <v>45806.6458333333</v>
      </c>
      <c r="F45" s="48">
        <f>IFERROR(__xludf.DUMMYFUNCTION("""COMPUTED_VALUE"""),9773818)</f>
        <v>9773818</v>
      </c>
      <c r="G45" s="47">
        <f>IFERROR(__xludf.DUMMYFUNCTION("""COMPUTED_VALUE"""),45806.6458333333)</f>
        <v>45806.6458333333</v>
      </c>
      <c r="H45" s="48">
        <f>IFERROR(__xludf.DUMMYFUNCTION("""COMPUTED_VALUE"""),293.9)</f>
        <v>293.9</v>
      </c>
      <c r="I45" s="47">
        <f>IFERROR(__xludf.DUMMYFUNCTION("""COMPUTED_VALUE"""),45806.6458333333)</f>
        <v>45806.6458333333</v>
      </c>
      <c r="J45" s="48">
        <f>IFERROR(__xludf.DUMMYFUNCTION("""COMPUTED_VALUE"""),291.35)</f>
        <v>291.35</v>
      </c>
      <c r="K45" s="3">
        <f t="shared" si="2"/>
        <v>0</v>
      </c>
      <c r="L45" s="3">
        <f t="shared" si="3"/>
        <v>0</v>
      </c>
    </row>
    <row r="46" customHeight="1" spans="1:12">
      <c r="A46" s="47">
        <f>IFERROR(__xludf.DUMMYFUNCTION("""COMPUTED_VALUE"""),45807.6458333333)</f>
        <v>45807.6458333333</v>
      </c>
      <c r="B46" s="48">
        <f>IFERROR(__xludf.DUMMYFUNCTION("""COMPUTED_VALUE"""),289.75)</f>
        <v>289.75</v>
      </c>
      <c r="C46" s="47">
        <f>IFERROR(__xludf.DUMMYFUNCTION("""COMPUTED_VALUE"""),45807.6458333333)</f>
        <v>45807.6458333333</v>
      </c>
      <c r="D46" s="48">
        <f>IFERROR(__xludf.DUMMYFUNCTION("""COMPUTED_VALUE"""),292)</f>
        <v>292</v>
      </c>
      <c r="E46" s="47">
        <f>IFERROR(__xludf.DUMMYFUNCTION("""COMPUTED_VALUE"""),45807.6458333333)</f>
        <v>45807.6458333333</v>
      </c>
      <c r="F46" s="48">
        <f>IFERROR(__xludf.DUMMYFUNCTION("""COMPUTED_VALUE"""),21788566)</f>
        <v>21788566</v>
      </c>
      <c r="G46" s="47">
        <f>IFERROR(__xludf.DUMMYFUNCTION("""COMPUTED_VALUE"""),45807.6458333333)</f>
        <v>45807.6458333333</v>
      </c>
      <c r="H46" s="48">
        <f>IFERROR(__xludf.DUMMYFUNCTION("""COMPUTED_VALUE"""),294.65)</f>
        <v>294.65</v>
      </c>
      <c r="I46" s="47">
        <f>IFERROR(__xludf.DUMMYFUNCTION("""COMPUTED_VALUE"""),45807.6458333333)</f>
        <v>45807.6458333333</v>
      </c>
      <c r="J46" s="48">
        <f>IFERROR(__xludf.DUMMYFUNCTION("""COMPUTED_VALUE"""),288.25)</f>
        <v>288.25</v>
      </c>
      <c r="K46" s="3">
        <f t="shared" si="2"/>
        <v>0</v>
      </c>
      <c r="L46" s="3">
        <f t="shared" si="3"/>
        <v>0</v>
      </c>
    </row>
    <row r="47" customHeight="1" spans="1:12">
      <c r="A47" s="47">
        <f>IFERROR(__xludf.DUMMYFUNCTION("""COMPUTED_VALUE"""),45810.6458333333)</f>
        <v>45810.6458333333</v>
      </c>
      <c r="B47" s="48">
        <f>IFERROR(__xludf.DUMMYFUNCTION("""COMPUTED_VALUE"""),293.05)</f>
        <v>293.05</v>
      </c>
      <c r="C47" s="47">
        <f>IFERROR(__xludf.DUMMYFUNCTION("""COMPUTED_VALUE"""),45810.6458333333)</f>
        <v>45810.6458333333</v>
      </c>
      <c r="D47" s="48">
        <f>IFERROR(__xludf.DUMMYFUNCTION("""COMPUTED_VALUE"""),290.3)</f>
        <v>290.3</v>
      </c>
      <c r="E47" s="47">
        <f>IFERROR(__xludf.DUMMYFUNCTION("""COMPUTED_VALUE"""),45810.6458333333)</f>
        <v>45810.6458333333</v>
      </c>
      <c r="F47" s="48">
        <f>IFERROR(__xludf.DUMMYFUNCTION("""COMPUTED_VALUE"""),7255782)</f>
        <v>7255782</v>
      </c>
      <c r="G47" s="47">
        <f>IFERROR(__xludf.DUMMYFUNCTION("""COMPUTED_VALUE"""),45810.6458333333)</f>
        <v>45810.6458333333</v>
      </c>
      <c r="H47" s="48">
        <f>IFERROR(__xludf.DUMMYFUNCTION("""COMPUTED_VALUE"""),293.65)</f>
        <v>293.65</v>
      </c>
      <c r="I47" s="47">
        <f>IFERROR(__xludf.DUMMYFUNCTION("""COMPUTED_VALUE"""),45810.6458333333)</f>
        <v>45810.6458333333</v>
      </c>
      <c r="J47" s="48">
        <f>IFERROR(__xludf.DUMMYFUNCTION("""COMPUTED_VALUE"""),288.4)</f>
        <v>288.4</v>
      </c>
      <c r="K47" s="3">
        <f t="shared" si="2"/>
        <v>0</v>
      </c>
      <c r="L47" s="3">
        <f t="shared" si="3"/>
        <v>0</v>
      </c>
    </row>
    <row r="48" customHeight="1" spans="1:12">
      <c r="A48" s="47">
        <f>IFERROR(__xludf.DUMMYFUNCTION("""COMPUTED_VALUE"""),45811.6458333333)</f>
        <v>45811.6458333333</v>
      </c>
      <c r="B48" s="48">
        <f>IFERROR(__xludf.DUMMYFUNCTION("""COMPUTED_VALUE"""),288.25)</f>
        <v>288.25</v>
      </c>
      <c r="C48" s="47">
        <f>IFERROR(__xludf.DUMMYFUNCTION("""COMPUTED_VALUE"""),45811.6458333333)</f>
        <v>45811.6458333333</v>
      </c>
      <c r="D48" s="48">
        <f>IFERROR(__xludf.DUMMYFUNCTION("""COMPUTED_VALUE"""),292.5)</f>
        <v>292.5</v>
      </c>
      <c r="E48" s="47">
        <f>IFERROR(__xludf.DUMMYFUNCTION("""COMPUTED_VALUE"""),45811.6458333333)</f>
        <v>45811.6458333333</v>
      </c>
      <c r="F48" s="48">
        <f>IFERROR(__xludf.DUMMYFUNCTION("""COMPUTED_VALUE"""),10989055)</f>
        <v>10989055</v>
      </c>
      <c r="G48" s="47">
        <f>IFERROR(__xludf.DUMMYFUNCTION("""COMPUTED_VALUE"""),45811.6458333333)</f>
        <v>45811.6458333333</v>
      </c>
      <c r="H48" s="48">
        <f>IFERROR(__xludf.DUMMYFUNCTION("""COMPUTED_VALUE"""),295.4)</f>
        <v>295.4</v>
      </c>
      <c r="I48" s="47">
        <f>IFERROR(__xludf.DUMMYFUNCTION("""COMPUTED_VALUE"""),45811.6458333333)</f>
        <v>45811.6458333333</v>
      </c>
      <c r="J48" s="48">
        <f>IFERROR(__xludf.DUMMYFUNCTION("""COMPUTED_VALUE"""),287.75)</f>
        <v>287.75</v>
      </c>
      <c r="K48" s="3">
        <f t="shared" si="2"/>
        <v>0</v>
      </c>
      <c r="L48" s="3">
        <f t="shared" si="3"/>
        <v>288.25</v>
      </c>
    </row>
    <row r="49" customHeight="1" spans="1:12">
      <c r="A49" s="47">
        <f>IFERROR(__xludf.DUMMYFUNCTION("""COMPUTED_VALUE"""),45812.6458333333)</f>
        <v>45812.6458333333</v>
      </c>
      <c r="B49" s="48">
        <f>IFERROR(__xludf.DUMMYFUNCTION("""COMPUTED_VALUE"""),288.55)</f>
        <v>288.55</v>
      </c>
      <c r="C49" s="47">
        <f>IFERROR(__xludf.DUMMYFUNCTION("""COMPUTED_VALUE"""),45812.6458333333)</f>
        <v>45812.6458333333</v>
      </c>
      <c r="D49" s="48">
        <f>IFERROR(__xludf.DUMMYFUNCTION("""COMPUTED_VALUE"""),288.25)</f>
        <v>288.25</v>
      </c>
      <c r="E49" s="47">
        <f>IFERROR(__xludf.DUMMYFUNCTION("""COMPUTED_VALUE"""),45812.6458333333)</f>
        <v>45812.6458333333</v>
      </c>
      <c r="F49" s="48">
        <f>IFERROR(__xludf.DUMMYFUNCTION("""COMPUTED_VALUE"""),8580196)</f>
        <v>8580196</v>
      </c>
      <c r="G49" s="47">
        <f>IFERROR(__xludf.DUMMYFUNCTION("""COMPUTED_VALUE"""),45812.6458333333)</f>
        <v>45812.6458333333</v>
      </c>
      <c r="H49" s="48">
        <f>IFERROR(__xludf.DUMMYFUNCTION("""COMPUTED_VALUE"""),289.8)</f>
        <v>289.8</v>
      </c>
      <c r="I49" s="47">
        <f>IFERROR(__xludf.DUMMYFUNCTION("""COMPUTED_VALUE"""),45812.6458333333)</f>
        <v>45812.6458333333</v>
      </c>
      <c r="J49" s="48">
        <f>IFERROR(__xludf.DUMMYFUNCTION("""COMPUTED_VALUE"""),287.05)</f>
        <v>287.05</v>
      </c>
      <c r="K49" s="3">
        <f t="shared" si="2"/>
        <v>0</v>
      </c>
      <c r="L49" s="3">
        <f t="shared" si="3"/>
        <v>0</v>
      </c>
    </row>
    <row r="50" customHeight="1" spans="1:12">
      <c r="A50" s="47">
        <f>IFERROR(__xludf.DUMMYFUNCTION("""COMPUTED_VALUE"""),45813.6458333333)</f>
        <v>45813.6458333333</v>
      </c>
      <c r="B50" s="48">
        <f>IFERROR(__xludf.DUMMYFUNCTION("""COMPUTED_VALUE"""),294.25)</f>
        <v>294.25</v>
      </c>
      <c r="C50" s="47">
        <f>IFERROR(__xludf.DUMMYFUNCTION("""COMPUTED_VALUE"""),45813.6458333333)</f>
        <v>45813.6458333333</v>
      </c>
      <c r="D50" s="48">
        <f>IFERROR(__xludf.DUMMYFUNCTION("""COMPUTED_VALUE"""),291)</f>
        <v>291</v>
      </c>
      <c r="E50" s="47">
        <f>IFERROR(__xludf.DUMMYFUNCTION("""COMPUTED_VALUE"""),45813.6458333333)</f>
        <v>45813.6458333333</v>
      </c>
      <c r="F50" s="48">
        <f>IFERROR(__xludf.DUMMYFUNCTION("""COMPUTED_VALUE"""),13110486)</f>
        <v>13110486</v>
      </c>
      <c r="G50" s="47">
        <f>IFERROR(__xludf.DUMMYFUNCTION("""COMPUTED_VALUE"""),45813.6458333333)</f>
        <v>45813.6458333333</v>
      </c>
      <c r="H50" s="48">
        <f>IFERROR(__xludf.DUMMYFUNCTION("""COMPUTED_VALUE"""),295.25)</f>
        <v>295.25</v>
      </c>
      <c r="I50" s="47">
        <f>IFERROR(__xludf.DUMMYFUNCTION("""COMPUTED_VALUE"""),45813.6458333333)</f>
        <v>45813.6458333333</v>
      </c>
      <c r="J50" s="48">
        <f>IFERROR(__xludf.DUMMYFUNCTION("""COMPUTED_VALUE"""),290.1)</f>
        <v>290.1</v>
      </c>
      <c r="K50" s="3">
        <f t="shared" si="2"/>
        <v>0</v>
      </c>
      <c r="L50" s="3">
        <f t="shared" si="3"/>
        <v>0</v>
      </c>
    </row>
    <row r="51" customHeight="1" spans="1:12">
      <c r="A51" s="47">
        <f>IFERROR(__xludf.DUMMYFUNCTION("""COMPUTED_VALUE"""),45814.6458333333)</f>
        <v>45814.6458333333</v>
      </c>
      <c r="B51" s="48">
        <f>IFERROR(__xludf.DUMMYFUNCTION("""COMPUTED_VALUE"""),295.8)</f>
        <v>295.8</v>
      </c>
      <c r="C51" s="47">
        <f>IFERROR(__xludf.DUMMYFUNCTION("""COMPUTED_VALUE"""),45814.6458333333)</f>
        <v>45814.6458333333</v>
      </c>
      <c r="D51" s="48">
        <f>IFERROR(__xludf.DUMMYFUNCTION("""COMPUTED_VALUE"""),293.55)</f>
        <v>293.55</v>
      </c>
      <c r="E51" s="47">
        <f>IFERROR(__xludf.DUMMYFUNCTION("""COMPUTED_VALUE"""),45814.6458333333)</f>
        <v>45814.6458333333</v>
      </c>
      <c r="F51" s="48">
        <f>IFERROR(__xludf.DUMMYFUNCTION("""COMPUTED_VALUE"""),7935393)</f>
        <v>7935393</v>
      </c>
      <c r="G51" s="47">
        <f>IFERROR(__xludf.DUMMYFUNCTION("""COMPUTED_VALUE"""),45814.6458333333)</f>
        <v>45814.6458333333</v>
      </c>
      <c r="H51" s="48">
        <f>IFERROR(__xludf.DUMMYFUNCTION("""COMPUTED_VALUE"""),297)</f>
        <v>297</v>
      </c>
      <c r="I51" s="47">
        <f>IFERROR(__xludf.DUMMYFUNCTION("""COMPUTED_VALUE"""),45814.6458333333)</f>
        <v>45814.6458333333</v>
      </c>
      <c r="J51" s="48">
        <f>IFERROR(__xludf.DUMMYFUNCTION("""COMPUTED_VALUE"""),292.95)</f>
        <v>292.95</v>
      </c>
      <c r="K51" s="3">
        <f t="shared" si="2"/>
        <v>0</v>
      </c>
      <c r="L51" s="3">
        <f t="shared" si="3"/>
        <v>0</v>
      </c>
    </row>
    <row r="52" customHeight="1" spans="1:12">
      <c r="A52" s="47">
        <f>IFERROR(__xludf.DUMMYFUNCTION("""COMPUTED_VALUE"""),45817.6458333333)</f>
        <v>45817.6458333333</v>
      </c>
      <c r="B52" s="48">
        <f>IFERROR(__xludf.DUMMYFUNCTION("""COMPUTED_VALUE"""),300.5)</f>
        <v>300.5</v>
      </c>
      <c r="C52" s="47">
        <f>IFERROR(__xludf.DUMMYFUNCTION("""COMPUTED_VALUE"""),45817.6458333333)</f>
        <v>45817.6458333333</v>
      </c>
      <c r="D52" s="48">
        <f>IFERROR(__xludf.DUMMYFUNCTION("""COMPUTED_VALUE"""),298)</f>
        <v>298</v>
      </c>
      <c r="E52" s="47">
        <f>IFERROR(__xludf.DUMMYFUNCTION("""COMPUTED_VALUE"""),45817.6458333333)</f>
        <v>45817.6458333333</v>
      </c>
      <c r="F52" s="48">
        <f>IFERROR(__xludf.DUMMYFUNCTION("""COMPUTED_VALUE"""),8666186)</f>
        <v>8666186</v>
      </c>
      <c r="G52" s="47">
        <f>IFERROR(__xludf.DUMMYFUNCTION("""COMPUTED_VALUE"""),45817.6458333333)</f>
        <v>45817.6458333333</v>
      </c>
      <c r="H52" s="48">
        <f>IFERROR(__xludf.DUMMYFUNCTION("""COMPUTED_VALUE"""),301.15)</f>
        <v>301.15</v>
      </c>
      <c r="I52" s="47">
        <f>IFERROR(__xludf.DUMMYFUNCTION("""COMPUTED_VALUE"""),45817.6458333333)</f>
        <v>45817.6458333333</v>
      </c>
      <c r="J52" s="48">
        <f>IFERROR(__xludf.DUMMYFUNCTION("""COMPUTED_VALUE"""),296.15)</f>
        <v>296.15</v>
      </c>
      <c r="K52" s="3">
        <f t="shared" si="2"/>
        <v>0</v>
      </c>
      <c r="L52" s="3">
        <f t="shared" si="3"/>
        <v>0</v>
      </c>
    </row>
    <row r="53" customHeight="1" spans="1:12">
      <c r="A53" s="47">
        <f>IFERROR(__xludf.DUMMYFUNCTION("""COMPUTED_VALUE"""),45818.6458333333)</f>
        <v>45818.6458333333</v>
      </c>
      <c r="B53" s="48">
        <f>IFERROR(__xludf.DUMMYFUNCTION("""COMPUTED_VALUE"""),301.05)</f>
        <v>301.05</v>
      </c>
      <c r="C53" s="47">
        <f>IFERROR(__xludf.DUMMYFUNCTION("""COMPUTED_VALUE"""),45818.6458333333)</f>
        <v>45818.6458333333</v>
      </c>
      <c r="D53" s="48">
        <f>IFERROR(__xludf.DUMMYFUNCTION("""COMPUTED_VALUE"""),300.55)</f>
        <v>300.55</v>
      </c>
      <c r="E53" s="47">
        <f>IFERROR(__xludf.DUMMYFUNCTION("""COMPUTED_VALUE"""),45818.6458333333)</f>
        <v>45818.6458333333</v>
      </c>
      <c r="F53" s="48">
        <f>IFERROR(__xludf.DUMMYFUNCTION("""COMPUTED_VALUE"""),7273892)</f>
        <v>7273892</v>
      </c>
      <c r="G53" s="47">
        <f>IFERROR(__xludf.DUMMYFUNCTION("""COMPUTED_VALUE"""),45818.6458333333)</f>
        <v>45818.6458333333</v>
      </c>
      <c r="H53" s="48">
        <f>IFERROR(__xludf.DUMMYFUNCTION("""COMPUTED_VALUE"""),301.8)</f>
        <v>301.8</v>
      </c>
      <c r="I53" s="47">
        <f>IFERROR(__xludf.DUMMYFUNCTION("""COMPUTED_VALUE"""),45818.6458333333)</f>
        <v>45818.6458333333</v>
      </c>
      <c r="J53" s="48">
        <f>IFERROR(__xludf.DUMMYFUNCTION("""COMPUTED_VALUE"""),298.25)</f>
        <v>298.25</v>
      </c>
      <c r="K53" s="3">
        <f t="shared" si="2"/>
        <v>301.05</v>
      </c>
      <c r="L53" s="3">
        <f t="shared" si="3"/>
        <v>0</v>
      </c>
    </row>
    <row r="54" customHeight="1" spans="1:12">
      <c r="A54" s="47">
        <f>IFERROR(__xludf.DUMMYFUNCTION("""COMPUTED_VALUE"""),45819.6458333333)</f>
        <v>45819.6458333333</v>
      </c>
      <c r="B54" s="48">
        <f>IFERROR(__xludf.DUMMYFUNCTION("""COMPUTED_VALUE"""),295.45)</f>
        <v>295.45</v>
      </c>
      <c r="C54" s="47">
        <f>IFERROR(__xludf.DUMMYFUNCTION("""COMPUTED_VALUE"""),45819.6458333333)</f>
        <v>45819.6458333333</v>
      </c>
      <c r="D54" s="48">
        <f>IFERROR(__xludf.DUMMYFUNCTION("""COMPUTED_VALUE"""),301.1)</f>
        <v>301.1</v>
      </c>
      <c r="E54" s="47">
        <f>IFERROR(__xludf.DUMMYFUNCTION("""COMPUTED_VALUE"""),45819.6458333333)</f>
        <v>45819.6458333333</v>
      </c>
      <c r="F54" s="48">
        <f>IFERROR(__xludf.DUMMYFUNCTION("""COMPUTED_VALUE"""),10941604)</f>
        <v>10941604</v>
      </c>
      <c r="G54" s="47">
        <f>IFERROR(__xludf.DUMMYFUNCTION("""COMPUTED_VALUE"""),45819.6458333333)</f>
        <v>45819.6458333333</v>
      </c>
      <c r="H54" s="48">
        <f>IFERROR(__xludf.DUMMYFUNCTION("""COMPUTED_VALUE"""),301.4)</f>
        <v>301.4</v>
      </c>
      <c r="I54" s="47">
        <f>IFERROR(__xludf.DUMMYFUNCTION("""COMPUTED_VALUE"""),45819.6458333333)</f>
        <v>45819.6458333333</v>
      </c>
      <c r="J54" s="48">
        <f>IFERROR(__xludf.DUMMYFUNCTION("""COMPUTED_VALUE"""),294)</f>
        <v>294</v>
      </c>
      <c r="K54" s="3">
        <f t="shared" si="2"/>
        <v>0</v>
      </c>
      <c r="L54" s="3">
        <f t="shared" si="3"/>
        <v>0</v>
      </c>
    </row>
    <row r="55" customHeight="1" spans="1:12">
      <c r="A55" s="47">
        <f>IFERROR(__xludf.DUMMYFUNCTION("""COMPUTED_VALUE"""),45820.6458333333)</f>
        <v>45820.6458333333</v>
      </c>
      <c r="B55" s="48">
        <f>IFERROR(__xludf.DUMMYFUNCTION("""COMPUTED_VALUE"""),289)</f>
        <v>289</v>
      </c>
      <c r="C55" s="47">
        <f>IFERROR(__xludf.DUMMYFUNCTION("""COMPUTED_VALUE"""),45820.6458333333)</f>
        <v>45820.6458333333</v>
      </c>
      <c r="D55" s="48">
        <f>IFERROR(__xludf.DUMMYFUNCTION("""COMPUTED_VALUE"""),295.15)</f>
        <v>295.15</v>
      </c>
      <c r="E55" s="47">
        <f>IFERROR(__xludf.DUMMYFUNCTION("""COMPUTED_VALUE"""),45820.6458333333)</f>
        <v>45820.6458333333</v>
      </c>
      <c r="F55" s="48">
        <f>IFERROR(__xludf.DUMMYFUNCTION("""COMPUTED_VALUE"""),14071159)</f>
        <v>14071159</v>
      </c>
      <c r="G55" s="47">
        <f>IFERROR(__xludf.DUMMYFUNCTION("""COMPUTED_VALUE"""),45820.6458333333)</f>
        <v>45820.6458333333</v>
      </c>
      <c r="H55" s="48">
        <f>IFERROR(__xludf.DUMMYFUNCTION("""COMPUTED_VALUE"""),295.8)</f>
        <v>295.8</v>
      </c>
      <c r="I55" s="47">
        <f>IFERROR(__xludf.DUMMYFUNCTION("""COMPUTED_VALUE"""),45820.6458333333)</f>
        <v>45820.6458333333</v>
      </c>
      <c r="J55" s="48">
        <f>IFERROR(__xludf.DUMMYFUNCTION("""COMPUTED_VALUE"""),288.5)</f>
        <v>288.5</v>
      </c>
      <c r="K55" s="3">
        <f t="shared" si="2"/>
        <v>0</v>
      </c>
      <c r="L55" s="3">
        <f t="shared" si="3"/>
        <v>0</v>
      </c>
    </row>
    <row r="56" customHeight="1" spans="1:12">
      <c r="A56" s="47">
        <f>IFERROR(__xludf.DUMMYFUNCTION("""COMPUTED_VALUE"""),45821.6458333333)</f>
        <v>45821.6458333333</v>
      </c>
      <c r="B56" s="48">
        <f>IFERROR(__xludf.DUMMYFUNCTION("""COMPUTED_VALUE"""),285.5)</f>
        <v>285.5</v>
      </c>
      <c r="C56" s="47">
        <f>IFERROR(__xludf.DUMMYFUNCTION("""COMPUTED_VALUE"""),45821.6458333333)</f>
        <v>45821.6458333333</v>
      </c>
      <c r="D56" s="48">
        <f>IFERROR(__xludf.DUMMYFUNCTION("""COMPUTED_VALUE"""),282.55)</f>
        <v>282.55</v>
      </c>
      <c r="E56" s="47">
        <f>IFERROR(__xludf.DUMMYFUNCTION("""COMPUTED_VALUE"""),45821.6458333333)</f>
        <v>45821.6458333333</v>
      </c>
      <c r="F56" s="48">
        <f>IFERROR(__xludf.DUMMYFUNCTION("""COMPUTED_VALUE"""),16028417)</f>
        <v>16028417</v>
      </c>
      <c r="G56" s="47">
        <f>IFERROR(__xludf.DUMMYFUNCTION("""COMPUTED_VALUE"""),45821.6458333333)</f>
        <v>45821.6458333333</v>
      </c>
      <c r="H56" s="48">
        <f>IFERROR(__xludf.DUMMYFUNCTION("""COMPUTED_VALUE"""),286.45)</f>
        <v>286.45</v>
      </c>
      <c r="I56" s="47">
        <f>IFERROR(__xludf.DUMMYFUNCTION("""COMPUTED_VALUE"""),45821.6458333333)</f>
        <v>45821.6458333333</v>
      </c>
      <c r="J56" s="48">
        <f>IFERROR(__xludf.DUMMYFUNCTION("""COMPUTED_VALUE"""),281.8)</f>
        <v>281.8</v>
      </c>
      <c r="K56" s="3">
        <f t="shared" si="2"/>
        <v>0</v>
      </c>
      <c r="L56" s="3">
        <f t="shared" si="3"/>
        <v>285.5</v>
      </c>
    </row>
    <row r="57" customHeight="1" spans="1:12">
      <c r="A57" s="47">
        <f>IFERROR(__xludf.DUMMYFUNCTION("""COMPUTED_VALUE"""),45824.6458333333)</f>
        <v>45824.6458333333</v>
      </c>
      <c r="B57" s="48">
        <f>IFERROR(__xludf.DUMMYFUNCTION("""COMPUTED_VALUE"""),288.65)</f>
        <v>288.65</v>
      </c>
      <c r="C57" s="47">
        <f>IFERROR(__xludf.DUMMYFUNCTION("""COMPUTED_VALUE"""),45824.6458333333)</f>
        <v>45824.6458333333</v>
      </c>
      <c r="D57" s="48">
        <f>IFERROR(__xludf.DUMMYFUNCTION("""COMPUTED_VALUE"""),287.95)</f>
        <v>287.95</v>
      </c>
      <c r="E57" s="47">
        <f>IFERROR(__xludf.DUMMYFUNCTION("""COMPUTED_VALUE"""),45824.6458333333)</f>
        <v>45824.6458333333</v>
      </c>
      <c r="F57" s="48">
        <f>IFERROR(__xludf.DUMMYFUNCTION("""COMPUTED_VALUE"""),11067299)</f>
        <v>11067299</v>
      </c>
      <c r="G57" s="47">
        <f>IFERROR(__xludf.DUMMYFUNCTION("""COMPUTED_VALUE"""),45824.6458333333)</f>
        <v>45824.6458333333</v>
      </c>
      <c r="H57" s="48">
        <f>IFERROR(__xludf.DUMMYFUNCTION("""COMPUTED_VALUE"""),290.5)</f>
        <v>290.5</v>
      </c>
      <c r="I57" s="47">
        <f>IFERROR(__xludf.DUMMYFUNCTION("""COMPUTED_VALUE"""),45824.6458333333)</f>
        <v>45824.6458333333</v>
      </c>
      <c r="J57" s="48">
        <f>IFERROR(__xludf.DUMMYFUNCTION("""COMPUTED_VALUE"""),286.3)</f>
        <v>286.3</v>
      </c>
      <c r="K57" s="3">
        <f t="shared" si="2"/>
        <v>0</v>
      </c>
      <c r="L57" s="3">
        <f t="shared" si="3"/>
        <v>0</v>
      </c>
    </row>
    <row r="58" customHeight="1" spans="1:12">
      <c r="A58" s="47">
        <f>IFERROR(__xludf.DUMMYFUNCTION("""COMPUTED_VALUE"""),45825.6458333333)</f>
        <v>45825.6458333333</v>
      </c>
      <c r="B58" s="48">
        <f>IFERROR(__xludf.DUMMYFUNCTION("""COMPUTED_VALUE"""),288.55)</f>
        <v>288.55</v>
      </c>
      <c r="C58" s="47">
        <f>IFERROR(__xludf.DUMMYFUNCTION("""COMPUTED_VALUE"""),45825.6458333333)</f>
        <v>45825.6458333333</v>
      </c>
      <c r="D58" s="48">
        <f>IFERROR(__xludf.DUMMYFUNCTION("""COMPUTED_VALUE"""),288.65)</f>
        <v>288.65</v>
      </c>
      <c r="E58" s="47">
        <f>IFERROR(__xludf.DUMMYFUNCTION("""COMPUTED_VALUE"""),45825.6458333333)</f>
        <v>45825.6458333333</v>
      </c>
      <c r="F58" s="48">
        <f>IFERROR(__xludf.DUMMYFUNCTION("""COMPUTED_VALUE"""),7286868)</f>
        <v>7286868</v>
      </c>
      <c r="G58" s="47">
        <f>IFERROR(__xludf.DUMMYFUNCTION("""COMPUTED_VALUE"""),45825.6458333333)</f>
        <v>45825.6458333333</v>
      </c>
      <c r="H58" s="48">
        <f>IFERROR(__xludf.DUMMYFUNCTION("""COMPUTED_VALUE"""),290.45)</f>
        <v>290.45</v>
      </c>
      <c r="I58" s="47">
        <f>IFERROR(__xludf.DUMMYFUNCTION("""COMPUTED_VALUE"""),45825.6458333333)</f>
        <v>45825.6458333333</v>
      </c>
      <c r="J58" s="48">
        <f>IFERROR(__xludf.DUMMYFUNCTION("""COMPUTED_VALUE"""),287.2)</f>
        <v>287.2</v>
      </c>
      <c r="K58" s="3">
        <f t="shared" si="2"/>
        <v>0</v>
      </c>
      <c r="L58" s="3">
        <f t="shared" si="3"/>
        <v>0</v>
      </c>
    </row>
    <row r="59" customHeight="1" spans="1:12">
      <c r="A59" s="47">
        <f>IFERROR(__xludf.DUMMYFUNCTION("""COMPUTED_VALUE"""),45826.6458333333)</f>
        <v>45826.6458333333</v>
      </c>
      <c r="B59" s="48">
        <f>IFERROR(__xludf.DUMMYFUNCTION("""COMPUTED_VALUE"""),287.3)</f>
        <v>287.3</v>
      </c>
      <c r="C59" s="47">
        <f>IFERROR(__xludf.DUMMYFUNCTION("""COMPUTED_VALUE"""),45826.6458333333)</f>
        <v>45826.6458333333</v>
      </c>
      <c r="D59" s="48">
        <f>IFERROR(__xludf.DUMMYFUNCTION("""COMPUTED_VALUE"""),287.5)</f>
        <v>287.5</v>
      </c>
      <c r="E59" s="47">
        <f>IFERROR(__xludf.DUMMYFUNCTION("""COMPUTED_VALUE"""),45826.6458333333)</f>
        <v>45826.6458333333</v>
      </c>
      <c r="F59" s="48">
        <f>IFERROR(__xludf.DUMMYFUNCTION("""COMPUTED_VALUE"""),11904855)</f>
        <v>11904855</v>
      </c>
      <c r="G59" s="47">
        <f>IFERROR(__xludf.DUMMYFUNCTION("""COMPUTED_VALUE"""),45826.6458333333)</f>
        <v>45826.6458333333</v>
      </c>
      <c r="H59" s="48">
        <f>IFERROR(__xludf.DUMMYFUNCTION("""COMPUTED_VALUE"""),288.3)</f>
        <v>288.3</v>
      </c>
      <c r="I59" s="47">
        <f>IFERROR(__xludf.DUMMYFUNCTION("""COMPUTED_VALUE"""),45826.6458333333)</f>
        <v>45826.6458333333</v>
      </c>
      <c r="J59" s="48">
        <f>IFERROR(__xludf.DUMMYFUNCTION("""COMPUTED_VALUE"""),285.5)</f>
        <v>285.5</v>
      </c>
      <c r="K59" s="3">
        <f t="shared" si="2"/>
        <v>0</v>
      </c>
      <c r="L59" s="3">
        <f t="shared" si="3"/>
        <v>0</v>
      </c>
    </row>
    <row r="60" customHeight="1" spans="1:12">
      <c r="A60" s="47">
        <f>IFERROR(__xludf.DUMMYFUNCTION("""COMPUTED_VALUE"""),45827.6458333333)</f>
        <v>45827.6458333333</v>
      </c>
      <c r="B60" s="48">
        <f>IFERROR(__xludf.DUMMYFUNCTION("""COMPUTED_VALUE"""),286.45)</f>
        <v>286.45</v>
      </c>
      <c r="C60" s="47">
        <f>IFERROR(__xludf.DUMMYFUNCTION("""COMPUTED_VALUE"""),45827.6458333333)</f>
        <v>45827.6458333333</v>
      </c>
      <c r="D60" s="48">
        <f>IFERROR(__xludf.DUMMYFUNCTION("""COMPUTED_VALUE"""),286.8)</f>
        <v>286.8</v>
      </c>
      <c r="E60" s="47">
        <f>IFERROR(__xludf.DUMMYFUNCTION("""COMPUTED_VALUE"""),45827.6458333333)</f>
        <v>45827.6458333333</v>
      </c>
      <c r="F60" s="48">
        <f>IFERROR(__xludf.DUMMYFUNCTION("""COMPUTED_VALUE"""),13573824)</f>
        <v>13573824</v>
      </c>
      <c r="G60" s="47">
        <f>IFERROR(__xludf.DUMMYFUNCTION("""COMPUTED_VALUE"""),45827.6458333333)</f>
        <v>45827.6458333333</v>
      </c>
      <c r="H60" s="48">
        <f>IFERROR(__xludf.DUMMYFUNCTION("""COMPUTED_VALUE"""),287.65)</f>
        <v>287.65</v>
      </c>
      <c r="I60" s="47">
        <f>IFERROR(__xludf.DUMMYFUNCTION("""COMPUTED_VALUE"""),45827.6458333333)</f>
        <v>45827.6458333333</v>
      </c>
      <c r="J60" s="48">
        <f>IFERROR(__xludf.DUMMYFUNCTION("""COMPUTED_VALUE"""),285.3)</f>
        <v>285.3</v>
      </c>
      <c r="K60" s="3">
        <f t="shared" si="2"/>
        <v>0</v>
      </c>
      <c r="L60" s="3">
        <f t="shared" si="3"/>
        <v>0</v>
      </c>
    </row>
    <row r="61" customHeight="1" spans="1:12">
      <c r="A61" s="47">
        <f>IFERROR(__xludf.DUMMYFUNCTION("""COMPUTED_VALUE"""),45828.6458333333)</f>
        <v>45828.6458333333</v>
      </c>
      <c r="B61" s="48">
        <f>IFERROR(__xludf.DUMMYFUNCTION("""COMPUTED_VALUE"""),293.1)</f>
        <v>293.1</v>
      </c>
      <c r="C61" s="47">
        <f>IFERROR(__xludf.DUMMYFUNCTION("""COMPUTED_VALUE"""),45828.6458333333)</f>
        <v>45828.6458333333</v>
      </c>
      <c r="D61" s="48">
        <f>IFERROR(__xludf.DUMMYFUNCTION("""COMPUTED_VALUE"""),285.55)</f>
        <v>285.55</v>
      </c>
      <c r="E61" s="47">
        <f>IFERROR(__xludf.DUMMYFUNCTION("""COMPUTED_VALUE"""),45828.6458333333)</f>
        <v>45828.6458333333</v>
      </c>
      <c r="F61" s="48">
        <f>IFERROR(__xludf.DUMMYFUNCTION("""COMPUTED_VALUE"""),33014151)</f>
        <v>33014151</v>
      </c>
      <c r="G61" s="47">
        <f>IFERROR(__xludf.DUMMYFUNCTION("""COMPUTED_VALUE"""),45828.6458333333)</f>
        <v>45828.6458333333</v>
      </c>
      <c r="H61" s="48">
        <f>IFERROR(__xludf.DUMMYFUNCTION("""COMPUTED_VALUE"""),294.5)</f>
        <v>294.5</v>
      </c>
      <c r="I61" s="47">
        <f>IFERROR(__xludf.DUMMYFUNCTION("""COMPUTED_VALUE"""),45828.6458333333)</f>
        <v>45828.6458333333</v>
      </c>
      <c r="J61" s="48">
        <f>IFERROR(__xludf.DUMMYFUNCTION("""COMPUTED_VALUE"""),285.05)</f>
        <v>285.05</v>
      </c>
      <c r="K61" s="3">
        <f t="shared" si="2"/>
        <v>0</v>
      </c>
      <c r="L61" s="3">
        <f t="shared" si="3"/>
        <v>0</v>
      </c>
    </row>
    <row r="62" customHeight="1" spans="1:12">
      <c r="A62" s="47">
        <f>IFERROR(__xludf.DUMMYFUNCTION("""COMPUTED_VALUE"""),45831.6458333333)</f>
        <v>45831.6458333333</v>
      </c>
      <c r="B62" s="48">
        <f>IFERROR(__xludf.DUMMYFUNCTION("""COMPUTED_VALUE"""),290.25)</f>
        <v>290.25</v>
      </c>
      <c r="C62" s="47">
        <f>IFERROR(__xludf.DUMMYFUNCTION("""COMPUTED_VALUE"""),45831.6458333333)</f>
        <v>45831.6458333333</v>
      </c>
      <c r="D62" s="48">
        <f>IFERROR(__xludf.DUMMYFUNCTION("""COMPUTED_VALUE"""),291.4)</f>
        <v>291.4</v>
      </c>
      <c r="E62" s="47">
        <f>IFERROR(__xludf.DUMMYFUNCTION("""COMPUTED_VALUE"""),45831.6458333333)</f>
        <v>45831.6458333333</v>
      </c>
      <c r="F62" s="48">
        <f>IFERROR(__xludf.DUMMYFUNCTION("""COMPUTED_VALUE"""),6833477)</f>
        <v>6833477</v>
      </c>
      <c r="G62" s="47">
        <f>IFERROR(__xludf.DUMMYFUNCTION("""COMPUTED_VALUE"""),45831.6458333333)</f>
        <v>45831.6458333333</v>
      </c>
      <c r="H62" s="48">
        <f>IFERROR(__xludf.DUMMYFUNCTION("""COMPUTED_VALUE"""),293.45)</f>
        <v>293.45</v>
      </c>
      <c r="I62" s="47">
        <f>IFERROR(__xludf.DUMMYFUNCTION("""COMPUTED_VALUE"""),45831.6458333333)</f>
        <v>45831.6458333333</v>
      </c>
      <c r="J62" s="48">
        <f>IFERROR(__xludf.DUMMYFUNCTION("""COMPUTED_VALUE"""),288.1)</f>
        <v>288.1</v>
      </c>
      <c r="K62" s="3">
        <f t="shared" si="2"/>
        <v>0</v>
      </c>
      <c r="L62" s="3">
        <f t="shared" si="3"/>
        <v>0</v>
      </c>
    </row>
    <row r="63" customHeight="1" spans="1:12">
      <c r="A63" s="47">
        <f>IFERROR(__xludf.DUMMYFUNCTION("""COMPUTED_VALUE"""),45832.6458333333)</f>
        <v>45832.6458333333</v>
      </c>
      <c r="B63" s="48">
        <f>IFERROR(__xludf.DUMMYFUNCTION("""COMPUTED_VALUE"""),285.95)</f>
        <v>285.95</v>
      </c>
      <c r="C63" s="47">
        <f>IFERROR(__xludf.DUMMYFUNCTION("""COMPUTED_VALUE"""),45832.6458333333)</f>
        <v>45832.6458333333</v>
      </c>
      <c r="D63" s="48">
        <f>IFERROR(__xludf.DUMMYFUNCTION("""COMPUTED_VALUE"""),293.45)</f>
        <v>293.45</v>
      </c>
      <c r="E63" s="47">
        <f>IFERROR(__xludf.DUMMYFUNCTION("""COMPUTED_VALUE"""),45832.6458333333)</f>
        <v>45832.6458333333</v>
      </c>
      <c r="F63" s="48">
        <f>IFERROR(__xludf.DUMMYFUNCTION("""COMPUTED_VALUE"""),15007849)</f>
        <v>15007849</v>
      </c>
      <c r="G63" s="47">
        <f>IFERROR(__xludf.DUMMYFUNCTION("""COMPUTED_VALUE"""),45832.6458333333)</f>
        <v>45832.6458333333</v>
      </c>
      <c r="H63" s="48">
        <f>IFERROR(__xludf.DUMMYFUNCTION("""COMPUTED_VALUE"""),294.7)</f>
        <v>294.7</v>
      </c>
      <c r="I63" s="47">
        <f>IFERROR(__xludf.DUMMYFUNCTION("""COMPUTED_VALUE"""),45832.6458333333)</f>
        <v>45832.6458333333</v>
      </c>
      <c r="J63" s="48">
        <f>IFERROR(__xludf.DUMMYFUNCTION("""COMPUTED_VALUE"""),285.35)</f>
        <v>285.35</v>
      </c>
      <c r="K63" s="3">
        <f t="shared" si="2"/>
        <v>0</v>
      </c>
      <c r="L63" s="3">
        <f t="shared" si="3"/>
        <v>285.95</v>
      </c>
    </row>
    <row r="64" customHeight="1" spans="1:12">
      <c r="A64" s="47">
        <f>IFERROR(__xludf.DUMMYFUNCTION("""COMPUTED_VALUE"""),45833.6458333333)</f>
        <v>45833.6458333333</v>
      </c>
      <c r="B64" s="48">
        <f>IFERROR(__xludf.DUMMYFUNCTION("""COMPUTED_VALUE"""),290.45)</f>
        <v>290.45</v>
      </c>
      <c r="C64" s="47">
        <f>IFERROR(__xludf.DUMMYFUNCTION("""COMPUTED_VALUE"""),45833.6458333333)</f>
        <v>45833.6458333333</v>
      </c>
      <c r="D64" s="48">
        <f>IFERROR(__xludf.DUMMYFUNCTION("""COMPUTED_VALUE"""),286.5)</f>
        <v>286.5</v>
      </c>
      <c r="E64" s="47">
        <f>IFERROR(__xludf.DUMMYFUNCTION("""COMPUTED_VALUE"""),45833.6458333333)</f>
        <v>45833.6458333333</v>
      </c>
      <c r="F64" s="48">
        <f>IFERROR(__xludf.DUMMYFUNCTION("""COMPUTED_VALUE"""),10838516)</f>
        <v>10838516</v>
      </c>
      <c r="G64" s="47">
        <f>IFERROR(__xludf.DUMMYFUNCTION("""COMPUTED_VALUE"""),45833.6458333333)</f>
        <v>45833.6458333333</v>
      </c>
      <c r="H64" s="48">
        <f>IFERROR(__xludf.DUMMYFUNCTION("""COMPUTED_VALUE"""),291.1)</f>
        <v>291.1</v>
      </c>
      <c r="I64" s="47">
        <f>IFERROR(__xludf.DUMMYFUNCTION("""COMPUTED_VALUE"""),45833.6458333333)</f>
        <v>45833.6458333333</v>
      </c>
      <c r="J64" s="48">
        <f>IFERROR(__xludf.DUMMYFUNCTION("""COMPUTED_VALUE"""),286.5)</f>
        <v>286.5</v>
      </c>
      <c r="K64" s="3">
        <f t="shared" si="2"/>
        <v>0</v>
      </c>
      <c r="L64" s="3">
        <f t="shared" si="3"/>
        <v>0</v>
      </c>
    </row>
    <row r="65" customHeight="1" spans="1:12">
      <c r="A65" s="47">
        <f>IFERROR(__xludf.DUMMYFUNCTION("""COMPUTED_VALUE"""),45834.6458333333)</f>
        <v>45834.6458333333</v>
      </c>
      <c r="B65" s="48">
        <f>IFERROR(__xludf.DUMMYFUNCTION("""COMPUTED_VALUE"""),293.5)</f>
        <v>293.5</v>
      </c>
      <c r="C65" s="47">
        <f>IFERROR(__xludf.DUMMYFUNCTION("""COMPUTED_VALUE"""),45834.6458333333)</f>
        <v>45834.6458333333</v>
      </c>
      <c r="D65" s="48">
        <f>IFERROR(__xludf.DUMMYFUNCTION("""COMPUTED_VALUE"""),290.8)</f>
        <v>290.8</v>
      </c>
      <c r="E65" s="47">
        <f>IFERROR(__xludf.DUMMYFUNCTION("""COMPUTED_VALUE"""),45834.6458333333)</f>
        <v>45834.6458333333</v>
      </c>
      <c r="F65" s="48">
        <f>IFERROR(__xludf.DUMMYFUNCTION("""COMPUTED_VALUE"""),10232220)</f>
        <v>10232220</v>
      </c>
      <c r="G65" s="47">
        <f>IFERROR(__xludf.DUMMYFUNCTION("""COMPUTED_VALUE"""),45834.6458333333)</f>
        <v>45834.6458333333</v>
      </c>
      <c r="H65" s="48">
        <f>IFERROR(__xludf.DUMMYFUNCTION("""COMPUTED_VALUE"""),294.25)</f>
        <v>294.25</v>
      </c>
      <c r="I65" s="47">
        <f>IFERROR(__xludf.DUMMYFUNCTION("""COMPUTED_VALUE"""),45834.6458333333)</f>
        <v>45834.6458333333</v>
      </c>
      <c r="J65" s="48">
        <f>IFERROR(__xludf.DUMMYFUNCTION("""COMPUTED_VALUE"""),289.75)</f>
        <v>289.75</v>
      </c>
      <c r="K65" s="3">
        <f t="shared" si="2"/>
        <v>0</v>
      </c>
      <c r="L65" s="3">
        <f t="shared" si="3"/>
        <v>0</v>
      </c>
    </row>
    <row r="66" customHeight="1" spans="1:12">
      <c r="A66" s="47">
        <f>IFERROR(__xludf.DUMMYFUNCTION("""COMPUTED_VALUE"""),45835.6458333333)</f>
        <v>45835.6458333333</v>
      </c>
      <c r="B66" s="48">
        <f>IFERROR(__xludf.DUMMYFUNCTION("""COMPUTED_VALUE"""),299.25)</f>
        <v>299.25</v>
      </c>
      <c r="C66" s="47">
        <f>IFERROR(__xludf.DUMMYFUNCTION("""COMPUTED_VALUE"""),45835.6458333333)</f>
        <v>45835.6458333333</v>
      </c>
      <c r="D66" s="48">
        <f>IFERROR(__xludf.DUMMYFUNCTION("""COMPUTED_VALUE"""),295)</f>
        <v>295</v>
      </c>
      <c r="E66" s="47">
        <f>IFERROR(__xludf.DUMMYFUNCTION("""COMPUTED_VALUE"""),45835.6458333333)</f>
        <v>45835.6458333333</v>
      </c>
      <c r="F66" s="48">
        <f>IFERROR(__xludf.DUMMYFUNCTION("""COMPUTED_VALUE"""),15523628)</f>
        <v>15523628</v>
      </c>
      <c r="G66" s="47">
        <f>IFERROR(__xludf.DUMMYFUNCTION("""COMPUTED_VALUE"""),45835.6458333333)</f>
        <v>45835.6458333333</v>
      </c>
      <c r="H66" s="48">
        <f>IFERROR(__xludf.DUMMYFUNCTION("""COMPUTED_VALUE"""),300.7)</f>
        <v>300.7</v>
      </c>
      <c r="I66" s="47">
        <f>IFERROR(__xludf.DUMMYFUNCTION("""COMPUTED_VALUE"""),45835.6458333333)</f>
        <v>45835.6458333333</v>
      </c>
      <c r="J66" s="48">
        <f>IFERROR(__xludf.DUMMYFUNCTION("""COMPUTED_VALUE"""),294.15)</f>
        <v>294.15</v>
      </c>
      <c r="K66" s="3">
        <f t="shared" si="2"/>
        <v>0</v>
      </c>
      <c r="L66" s="3">
        <f t="shared" si="3"/>
        <v>0</v>
      </c>
    </row>
    <row r="67" customHeight="1" spans="1:12">
      <c r="A67" s="47">
        <f>IFERROR(__xludf.DUMMYFUNCTION("""COMPUTED_VALUE"""),45838.6458333333)</f>
        <v>45838.6458333333</v>
      </c>
      <c r="B67" s="48">
        <f>IFERROR(__xludf.DUMMYFUNCTION("""COMPUTED_VALUE"""),299.9)</f>
        <v>299.9</v>
      </c>
      <c r="C67" s="47">
        <f>IFERROR(__xludf.DUMMYFUNCTION("""COMPUTED_VALUE"""),45838.6458333333)</f>
        <v>45838.6458333333</v>
      </c>
      <c r="D67" s="48">
        <f>IFERROR(__xludf.DUMMYFUNCTION("""COMPUTED_VALUE"""),300.4)</f>
        <v>300.4</v>
      </c>
      <c r="E67" s="47">
        <f>IFERROR(__xludf.DUMMYFUNCTION("""COMPUTED_VALUE"""),45838.6458333333)</f>
        <v>45838.6458333333</v>
      </c>
      <c r="F67" s="48">
        <f>IFERROR(__xludf.DUMMYFUNCTION("""COMPUTED_VALUE"""),8415241)</f>
        <v>8415241</v>
      </c>
      <c r="G67" s="47">
        <f>IFERROR(__xludf.DUMMYFUNCTION("""COMPUTED_VALUE"""),45838.6458333333)</f>
        <v>45838.6458333333</v>
      </c>
      <c r="H67" s="48">
        <f>IFERROR(__xludf.DUMMYFUNCTION("""COMPUTED_VALUE"""),301)</f>
        <v>301</v>
      </c>
      <c r="I67" s="47">
        <f>IFERROR(__xludf.DUMMYFUNCTION("""COMPUTED_VALUE"""),45838.6458333333)</f>
        <v>45838.6458333333</v>
      </c>
      <c r="J67" s="48">
        <f>IFERROR(__xludf.DUMMYFUNCTION("""COMPUTED_VALUE"""),296.25)</f>
        <v>296.25</v>
      </c>
      <c r="K67" s="3">
        <f t="shared" si="2"/>
        <v>299.9</v>
      </c>
      <c r="L67" s="3">
        <f t="shared" si="3"/>
        <v>0</v>
      </c>
    </row>
    <row r="68" customHeight="1" spans="1:12">
      <c r="A68" s="47">
        <f>IFERROR(__xludf.DUMMYFUNCTION("""COMPUTED_VALUE"""),45839.6458333333)</f>
        <v>45839.6458333333</v>
      </c>
      <c r="B68" s="48">
        <f>IFERROR(__xludf.DUMMYFUNCTION("""COMPUTED_VALUE"""),297.55)</f>
        <v>297.55</v>
      </c>
      <c r="C68" s="47">
        <f>IFERROR(__xludf.DUMMYFUNCTION("""COMPUTED_VALUE"""),45839.6458333333)</f>
        <v>45839.6458333333</v>
      </c>
      <c r="D68" s="48">
        <f>IFERROR(__xludf.DUMMYFUNCTION("""COMPUTED_VALUE"""),301)</f>
        <v>301</v>
      </c>
      <c r="E68" s="47">
        <f>IFERROR(__xludf.DUMMYFUNCTION("""COMPUTED_VALUE"""),45839.6458333333)</f>
        <v>45839.6458333333</v>
      </c>
      <c r="F68" s="48">
        <f>IFERROR(__xludf.DUMMYFUNCTION("""COMPUTED_VALUE"""),12349270)</f>
        <v>12349270</v>
      </c>
      <c r="G68" s="47">
        <f>IFERROR(__xludf.DUMMYFUNCTION("""COMPUTED_VALUE"""),45839.6458333333)</f>
        <v>45839.6458333333</v>
      </c>
      <c r="H68" s="48">
        <f>IFERROR(__xludf.DUMMYFUNCTION("""COMPUTED_VALUE"""),301.5)</f>
        <v>301.5</v>
      </c>
      <c r="I68" s="47">
        <f>IFERROR(__xludf.DUMMYFUNCTION("""COMPUTED_VALUE"""),45839.6458333333)</f>
        <v>45839.6458333333</v>
      </c>
      <c r="J68" s="48">
        <f>IFERROR(__xludf.DUMMYFUNCTION("""COMPUTED_VALUE"""),297)</f>
        <v>297</v>
      </c>
      <c r="K68" s="3">
        <f t="shared" si="2"/>
        <v>0</v>
      </c>
      <c r="L68" s="3">
        <f t="shared" si="3"/>
        <v>0</v>
      </c>
    </row>
    <row r="69" customHeight="1" spans="1:12">
      <c r="A69" s="47">
        <f>IFERROR(__xludf.DUMMYFUNCTION("""COMPUTED_VALUE"""),45840.6458333333)</f>
        <v>45840.6458333333</v>
      </c>
      <c r="B69" s="48">
        <f>IFERROR(__xludf.DUMMYFUNCTION("""COMPUTED_VALUE"""),294.85)</f>
        <v>294.85</v>
      </c>
      <c r="C69" s="47">
        <f>IFERROR(__xludf.DUMMYFUNCTION("""COMPUTED_VALUE"""),45840.6458333333)</f>
        <v>45840.6458333333</v>
      </c>
      <c r="D69" s="48">
        <f>IFERROR(__xludf.DUMMYFUNCTION("""COMPUTED_VALUE"""),297.55)</f>
        <v>297.55</v>
      </c>
      <c r="E69" s="47">
        <f>IFERROR(__xludf.DUMMYFUNCTION("""COMPUTED_VALUE"""),45840.6458333333)</f>
        <v>45840.6458333333</v>
      </c>
      <c r="F69" s="48">
        <f>IFERROR(__xludf.DUMMYFUNCTION("""COMPUTED_VALUE"""),10826029)</f>
        <v>10826029</v>
      </c>
      <c r="G69" s="47">
        <f>IFERROR(__xludf.DUMMYFUNCTION("""COMPUTED_VALUE"""),45840.6458333333)</f>
        <v>45840.6458333333</v>
      </c>
      <c r="H69" s="48">
        <f>IFERROR(__xludf.DUMMYFUNCTION("""COMPUTED_VALUE"""),298.75)</f>
        <v>298.75</v>
      </c>
      <c r="I69" s="47">
        <f>IFERROR(__xludf.DUMMYFUNCTION("""COMPUTED_VALUE"""),45840.6458333333)</f>
        <v>45840.6458333333</v>
      </c>
      <c r="J69" s="48">
        <f>IFERROR(__xludf.DUMMYFUNCTION("""COMPUTED_VALUE"""),293.4)</f>
        <v>293.4</v>
      </c>
      <c r="K69" s="3">
        <f t="shared" si="2"/>
        <v>0</v>
      </c>
      <c r="L69" s="3">
        <f t="shared" si="3"/>
        <v>0</v>
      </c>
    </row>
    <row r="70" customHeight="1" spans="1:12">
      <c r="A70" s="47">
        <f>IFERROR(__xludf.DUMMYFUNCTION("""COMPUTED_VALUE"""),45841.6458333333)</f>
        <v>45841.6458333333</v>
      </c>
      <c r="B70" s="48">
        <f>IFERROR(__xludf.DUMMYFUNCTION("""COMPUTED_VALUE"""),293.7)</f>
        <v>293.7</v>
      </c>
      <c r="C70" s="47">
        <f>IFERROR(__xludf.DUMMYFUNCTION("""COMPUTED_VALUE"""),45841.6458333333)</f>
        <v>45841.6458333333</v>
      </c>
      <c r="D70" s="48">
        <f>IFERROR(__xludf.DUMMYFUNCTION("""COMPUTED_VALUE"""),298.4)</f>
        <v>298.4</v>
      </c>
      <c r="E70" s="47">
        <f>IFERROR(__xludf.DUMMYFUNCTION("""COMPUTED_VALUE"""),45841.6458333333)</f>
        <v>45841.6458333333</v>
      </c>
      <c r="F70" s="48">
        <f>IFERROR(__xludf.DUMMYFUNCTION("""COMPUTED_VALUE"""),10373094)</f>
        <v>10373094</v>
      </c>
      <c r="G70" s="47">
        <f>IFERROR(__xludf.DUMMYFUNCTION("""COMPUTED_VALUE"""),45841.6458333333)</f>
        <v>45841.6458333333</v>
      </c>
      <c r="H70" s="48">
        <f>IFERROR(__xludf.DUMMYFUNCTION("""COMPUTED_VALUE"""),298.95)</f>
        <v>298.95</v>
      </c>
      <c r="I70" s="47">
        <f>IFERROR(__xludf.DUMMYFUNCTION("""COMPUTED_VALUE"""),45841.6458333333)</f>
        <v>45841.6458333333</v>
      </c>
      <c r="J70" s="48">
        <f>IFERROR(__xludf.DUMMYFUNCTION("""COMPUTED_VALUE"""),293.1)</f>
        <v>293.1</v>
      </c>
      <c r="K70" s="3">
        <f t="shared" si="2"/>
        <v>0</v>
      </c>
      <c r="L70" s="3">
        <f t="shared" si="3"/>
        <v>0</v>
      </c>
    </row>
    <row r="71" customHeight="1" spans="1:12">
      <c r="A71" s="47">
        <f>IFERROR(__xludf.DUMMYFUNCTION("""COMPUTED_VALUE"""),45842.6458333333)</f>
        <v>45842.6458333333</v>
      </c>
      <c r="B71" s="48">
        <f>IFERROR(__xludf.DUMMYFUNCTION("""COMPUTED_VALUE"""),294)</f>
        <v>294</v>
      </c>
      <c r="C71" s="47">
        <f>IFERROR(__xludf.DUMMYFUNCTION("""COMPUTED_VALUE"""),45842.6458333333)</f>
        <v>45842.6458333333</v>
      </c>
      <c r="D71" s="48">
        <f>IFERROR(__xludf.DUMMYFUNCTION("""COMPUTED_VALUE"""),293.7)</f>
        <v>293.7</v>
      </c>
      <c r="E71" s="47">
        <f>IFERROR(__xludf.DUMMYFUNCTION("""COMPUTED_VALUE"""),45842.6458333333)</f>
        <v>45842.6458333333</v>
      </c>
      <c r="F71" s="48">
        <f>IFERROR(__xludf.DUMMYFUNCTION("""COMPUTED_VALUE"""),14193884)</f>
        <v>14193884</v>
      </c>
      <c r="G71" s="47">
        <f>IFERROR(__xludf.DUMMYFUNCTION("""COMPUTED_VALUE"""),45842.6458333333)</f>
        <v>45842.6458333333</v>
      </c>
      <c r="H71" s="48">
        <f>IFERROR(__xludf.DUMMYFUNCTION("""COMPUTED_VALUE"""),295.15)</f>
        <v>295.15</v>
      </c>
      <c r="I71" s="47">
        <f>IFERROR(__xludf.DUMMYFUNCTION("""COMPUTED_VALUE"""),45842.6458333333)</f>
        <v>45842.6458333333</v>
      </c>
      <c r="J71" s="48">
        <f>IFERROR(__xludf.DUMMYFUNCTION("""COMPUTED_VALUE"""),291.65)</f>
        <v>291.65</v>
      </c>
      <c r="K71" s="3">
        <f t="shared" si="2"/>
        <v>0</v>
      </c>
      <c r="L71" s="3">
        <f t="shared" si="3"/>
        <v>0</v>
      </c>
    </row>
    <row r="72" customHeight="1" spans="1:12">
      <c r="A72" s="47">
        <f>IFERROR(__xludf.DUMMYFUNCTION("""COMPUTED_VALUE"""),45845.6458333333)</f>
        <v>45845.6458333333</v>
      </c>
      <c r="B72" s="48">
        <f>IFERROR(__xludf.DUMMYFUNCTION("""COMPUTED_VALUE"""),295.9)</f>
        <v>295.9</v>
      </c>
      <c r="C72" s="47">
        <f>IFERROR(__xludf.DUMMYFUNCTION("""COMPUTED_VALUE"""),45845.6458333333)</f>
        <v>45845.6458333333</v>
      </c>
      <c r="D72" s="48">
        <f>IFERROR(__xludf.DUMMYFUNCTION("""COMPUTED_VALUE"""),294.7)</f>
        <v>294.7</v>
      </c>
      <c r="E72" s="47">
        <f>IFERROR(__xludf.DUMMYFUNCTION("""COMPUTED_VALUE"""),45845.6458333333)</f>
        <v>45845.6458333333</v>
      </c>
      <c r="F72" s="48">
        <f>IFERROR(__xludf.DUMMYFUNCTION("""COMPUTED_VALUE"""),6220756)</f>
        <v>6220756</v>
      </c>
      <c r="G72" s="47">
        <f>IFERROR(__xludf.DUMMYFUNCTION("""COMPUTED_VALUE"""),45845.6458333333)</f>
        <v>45845.6458333333</v>
      </c>
      <c r="H72" s="48">
        <f>IFERROR(__xludf.DUMMYFUNCTION("""COMPUTED_VALUE"""),296.65)</f>
        <v>296.65</v>
      </c>
      <c r="I72" s="47">
        <f>IFERROR(__xludf.DUMMYFUNCTION("""COMPUTED_VALUE"""),45845.6458333333)</f>
        <v>45845.6458333333</v>
      </c>
      <c r="J72" s="48">
        <f>IFERROR(__xludf.DUMMYFUNCTION("""COMPUTED_VALUE"""),293.5)</f>
        <v>293.5</v>
      </c>
      <c r="K72" s="3">
        <f t="shared" si="2"/>
        <v>0</v>
      </c>
      <c r="L72" s="3">
        <f t="shared" si="3"/>
        <v>0</v>
      </c>
    </row>
    <row r="73" customHeight="1" spans="1:12">
      <c r="A73" s="47">
        <f>IFERROR(__xludf.DUMMYFUNCTION("""COMPUTED_VALUE"""),45846.6458333333)</f>
        <v>45846.6458333333</v>
      </c>
      <c r="B73" s="48">
        <f>IFERROR(__xludf.DUMMYFUNCTION("""COMPUTED_VALUE"""),297.75)</f>
        <v>297.75</v>
      </c>
      <c r="C73" s="47">
        <f>IFERROR(__xludf.DUMMYFUNCTION("""COMPUTED_VALUE"""),45846.6458333333)</f>
        <v>45846.6458333333</v>
      </c>
      <c r="D73" s="48">
        <f>IFERROR(__xludf.DUMMYFUNCTION("""COMPUTED_VALUE"""),294.15)</f>
        <v>294.15</v>
      </c>
      <c r="E73" s="47">
        <f>IFERROR(__xludf.DUMMYFUNCTION("""COMPUTED_VALUE"""),45846.6458333333)</f>
        <v>45846.6458333333</v>
      </c>
      <c r="F73" s="48">
        <f>IFERROR(__xludf.DUMMYFUNCTION("""COMPUTED_VALUE"""),6254288)</f>
        <v>6254288</v>
      </c>
      <c r="G73" s="47">
        <f>IFERROR(__xludf.DUMMYFUNCTION("""COMPUTED_VALUE"""),45846.6458333333)</f>
        <v>45846.6458333333</v>
      </c>
      <c r="H73" s="48">
        <f>IFERROR(__xludf.DUMMYFUNCTION("""COMPUTED_VALUE"""),298.4)</f>
        <v>298.4</v>
      </c>
      <c r="I73" s="47">
        <f>IFERROR(__xludf.DUMMYFUNCTION("""COMPUTED_VALUE"""),45846.6458333333)</f>
        <v>45846.6458333333</v>
      </c>
      <c r="J73" s="48">
        <f>IFERROR(__xludf.DUMMYFUNCTION("""COMPUTED_VALUE"""),293.05)</f>
        <v>293.05</v>
      </c>
      <c r="K73" s="3">
        <f t="shared" si="2"/>
        <v>0</v>
      </c>
      <c r="L73" s="3">
        <f t="shared" si="3"/>
        <v>0</v>
      </c>
    </row>
    <row r="74" customHeight="1" spans="1:12">
      <c r="A74" s="47">
        <f>IFERROR(__xludf.DUMMYFUNCTION("""COMPUTED_VALUE"""),45847.6458333333)</f>
        <v>45847.6458333333</v>
      </c>
      <c r="B74" s="48">
        <f>IFERROR(__xludf.DUMMYFUNCTION("""COMPUTED_VALUE"""),299.65)</f>
        <v>299.65</v>
      </c>
      <c r="C74" s="47">
        <f>IFERROR(__xludf.DUMMYFUNCTION("""COMPUTED_VALUE"""),45847.6458333333)</f>
        <v>45847.6458333333</v>
      </c>
      <c r="D74" s="48">
        <f>IFERROR(__xludf.DUMMYFUNCTION("""COMPUTED_VALUE"""),298.25)</f>
        <v>298.25</v>
      </c>
      <c r="E74" s="47">
        <f>IFERROR(__xludf.DUMMYFUNCTION("""COMPUTED_VALUE"""),45847.6458333333)</f>
        <v>45847.6458333333</v>
      </c>
      <c r="F74" s="48">
        <f>IFERROR(__xludf.DUMMYFUNCTION("""COMPUTED_VALUE"""),5650646)</f>
        <v>5650646</v>
      </c>
      <c r="G74" s="47">
        <f>IFERROR(__xludf.DUMMYFUNCTION("""COMPUTED_VALUE"""),45847.6458333333)</f>
        <v>45847.6458333333</v>
      </c>
      <c r="H74" s="48">
        <f>IFERROR(__xludf.DUMMYFUNCTION("""COMPUTED_VALUE"""),300)</f>
        <v>300</v>
      </c>
      <c r="I74" s="47">
        <f>IFERROR(__xludf.DUMMYFUNCTION("""COMPUTED_VALUE"""),45847.6458333333)</f>
        <v>45847.6458333333</v>
      </c>
      <c r="J74" s="48">
        <f>IFERROR(__xludf.DUMMYFUNCTION("""COMPUTED_VALUE"""),296.4)</f>
        <v>296.4</v>
      </c>
      <c r="K74" s="3">
        <f t="shared" si="2"/>
        <v>299.65</v>
      </c>
      <c r="L74" s="3">
        <f t="shared" si="3"/>
        <v>0</v>
      </c>
    </row>
    <row r="75" customHeight="1" spans="1:12">
      <c r="A75" s="47">
        <f>IFERROR(__xludf.DUMMYFUNCTION("""COMPUTED_VALUE"""),45848.6458333333)</f>
        <v>45848.6458333333</v>
      </c>
      <c r="B75" s="48">
        <f>IFERROR(__xludf.DUMMYFUNCTION("""COMPUTED_VALUE"""),299.25)</f>
        <v>299.25</v>
      </c>
      <c r="C75" s="47">
        <f>IFERROR(__xludf.DUMMYFUNCTION("""COMPUTED_VALUE"""),45848.6458333333)</f>
        <v>45848.6458333333</v>
      </c>
      <c r="D75" s="48">
        <f>IFERROR(__xludf.DUMMYFUNCTION("""COMPUTED_VALUE"""),300)</f>
        <v>300</v>
      </c>
      <c r="E75" s="47">
        <f>IFERROR(__xludf.DUMMYFUNCTION("""COMPUTED_VALUE"""),45848.6458333333)</f>
        <v>45848.6458333333</v>
      </c>
      <c r="F75" s="48">
        <f>IFERROR(__xludf.DUMMYFUNCTION("""COMPUTED_VALUE"""),9307817)</f>
        <v>9307817</v>
      </c>
      <c r="G75" s="47">
        <f>IFERROR(__xludf.DUMMYFUNCTION("""COMPUTED_VALUE"""),45848.6458333333)</f>
        <v>45848.6458333333</v>
      </c>
      <c r="H75" s="48">
        <f>IFERROR(__xludf.DUMMYFUNCTION("""COMPUTED_VALUE"""),302.7)</f>
        <v>302.7</v>
      </c>
      <c r="I75" s="47">
        <f>IFERROR(__xludf.DUMMYFUNCTION("""COMPUTED_VALUE"""),45848.6458333333)</f>
        <v>45848.6458333333</v>
      </c>
      <c r="J75" s="48">
        <f>IFERROR(__xludf.DUMMYFUNCTION("""COMPUTED_VALUE"""),298)</f>
        <v>298</v>
      </c>
      <c r="K75" s="3">
        <f t="shared" si="2"/>
        <v>0</v>
      </c>
      <c r="L75" s="3">
        <f t="shared" si="3"/>
        <v>0</v>
      </c>
    </row>
    <row r="76" customHeight="1" spans="1:12">
      <c r="A76" s="47">
        <f>IFERROR(__xludf.DUMMYFUNCTION("""COMPUTED_VALUE"""),45849.6458333333)</f>
        <v>45849.6458333333</v>
      </c>
      <c r="B76" s="48">
        <f>IFERROR(__xludf.DUMMYFUNCTION("""COMPUTED_VALUE"""),298.55)</f>
        <v>298.55</v>
      </c>
      <c r="C76" s="47">
        <f>IFERROR(__xludf.DUMMYFUNCTION("""COMPUTED_VALUE"""),45849.6458333333)</f>
        <v>45849.6458333333</v>
      </c>
      <c r="D76" s="48">
        <f>IFERROR(__xludf.DUMMYFUNCTION("""COMPUTED_VALUE"""),299.25)</f>
        <v>299.25</v>
      </c>
      <c r="E76" s="47">
        <f>IFERROR(__xludf.DUMMYFUNCTION("""COMPUTED_VALUE"""),45849.6458333333)</f>
        <v>45849.6458333333</v>
      </c>
      <c r="F76" s="48">
        <f>IFERROR(__xludf.DUMMYFUNCTION("""COMPUTED_VALUE"""),7073217)</f>
        <v>7073217</v>
      </c>
      <c r="G76" s="47">
        <f>IFERROR(__xludf.DUMMYFUNCTION("""COMPUTED_VALUE"""),45849.6458333333)</f>
        <v>45849.6458333333</v>
      </c>
      <c r="H76" s="48">
        <f>IFERROR(__xludf.DUMMYFUNCTION("""COMPUTED_VALUE"""),300.9)</f>
        <v>300.9</v>
      </c>
      <c r="I76" s="47">
        <f>IFERROR(__xludf.DUMMYFUNCTION("""COMPUTED_VALUE"""),45849.6458333333)</f>
        <v>45849.6458333333</v>
      </c>
      <c r="J76" s="48">
        <f>IFERROR(__xludf.DUMMYFUNCTION("""COMPUTED_VALUE"""),296.95)</f>
        <v>296.95</v>
      </c>
      <c r="K76" s="3">
        <f t="shared" si="2"/>
        <v>0</v>
      </c>
      <c r="L76" s="3">
        <f t="shared" si="3"/>
        <v>0</v>
      </c>
    </row>
    <row r="77" customHeight="1" spans="1:12">
      <c r="A77" s="47">
        <f>IFERROR(__xludf.DUMMYFUNCTION("""COMPUTED_VALUE"""),45852.6458333333)</f>
        <v>45852.6458333333</v>
      </c>
      <c r="B77" s="48">
        <f>IFERROR(__xludf.DUMMYFUNCTION("""COMPUTED_VALUE"""),298.2)</f>
        <v>298.2</v>
      </c>
      <c r="C77" s="47">
        <f>IFERROR(__xludf.DUMMYFUNCTION("""COMPUTED_VALUE"""),45852.6458333333)</f>
        <v>45852.6458333333</v>
      </c>
      <c r="D77" s="48">
        <f>IFERROR(__xludf.DUMMYFUNCTION("""COMPUTED_VALUE"""),299.5)</f>
        <v>299.5</v>
      </c>
      <c r="E77" s="47">
        <f>IFERROR(__xludf.DUMMYFUNCTION("""COMPUTED_VALUE"""),45852.6458333333)</f>
        <v>45852.6458333333</v>
      </c>
      <c r="F77" s="48">
        <f>IFERROR(__xludf.DUMMYFUNCTION("""COMPUTED_VALUE"""),5484223)</f>
        <v>5484223</v>
      </c>
      <c r="G77" s="47">
        <f>IFERROR(__xludf.DUMMYFUNCTION("""COMPUTED_VALUE"""),45852.6458333333)</f>
        <v>45852.6458333333</v>
      </c>
      <c r="H77" s="48">
        <f>IFERROR(__xludf.DUMMYFUNCTION("""COMPUTED_VALUE"""),300.45)</f>
        <v>300.45</v>
      </c>
      <c r="I77" s="47">
        <f>IFERROR(__xludf.DUMMYFUNCTION("""COMPUTED_VALUE"""),45852.6458333333)</f>
        <v>45852.6458333333</v>
      </c>
      <c r="J77" s="48">
        <f>IFERROR(__xludf.DUMMYFUNCTION("""COMPUTED_VALUE"""),297.45)</f>
        <v>297.45</v>
      </c>
      <c r="K77" s="3">
        <f t="shared" si="2"/>
        <v>0</v>
      </c>
      <c r="L77" s="3">
        <f t="shared" si="3"/>
        <v>0</v>
      </c>
    </row>
    <row r="78" customHeight="1" spans="1:12">
      <c r="A78" s="47">
        <f>IFERROR(__xludf.DUMMYFUNCTION("""COMPUTED_VALUE"""),45853.6458333333)</f>
        <v>45853.6458333333</v>
      </c>
      <c r="B78" s="48">
        <f>IFERROR(__xludf.DUMMYFUNCTION("""COMPUTED_VALUE"""),298.05)</f>
        <v>298.05</v>
      </c>
      <c r="C78" s="47">
        <f>IFERROR(__xludf.DUMMYFUNCTION("""COMPUTED_VALUE"""),45853.6458333333)</f>
        <v>45853.6458333333</v>
      </c>
      <c r="D78" s="48">
        <f>IFERROR(__xludf.DUMMYFUNCTION("""COMPUTED_VALUE"""),298.1)</f>
        <v>298.1</v>
      </c>
      <c r="E78" s="47">
        <f>IFERROR(__xludf.DUMMYFUNCTION("""COMPUTED_VALUE"""),45853.6458333333)</f>
        <v>45853.6458333333</v>
      </c>
      <c r="F78" s="48">
        <f>IFERROR(__xludf.DUMMYFUNCTION("""COMPUTED_VALUE"""),6173407)</f>
        <v>6173407</v>
      </c>
      <c r="G78" s="47">
        <f>IFERROR(__xludf.DUMMYFUNCTION("""COMPUTED_VALUE"""),45853.6458333333)</f>
        <v>45853.6458333333</v>
      </c>
      <c r="H78" s="48">
        <f>IFERROR(__xludf.DUMMYFUNCTION("""COMPUTED_VALUE"""),300)</f>
        <v>300</v>
      </c>
      <c r="I78" s="47">
        <f>IFERROR(__xludf.DUMMYFUNCTION("""COMPUTED_VALUE"""),45853.6458333333)</f>
        <v>45853.6458333333</v>
      </c>
      <c r="J78" s="48">
        <f>IFERROR(__xludf.DUMMYFUNCTION("""COMPUTED_VALUE"""),296.85)</f>
        <v>296.85</v>
      </c>
      <c r="K78" s="3">
        <f t="shared" si="2"/>
        <v>0</v>
      </c>
      <c r="L78" s="3">
        <f t="shared" si="3"/>
        <v>0</v>
      </c>
    </row>
    <row r="79" customHeight="1" spans="1:12">
      <c r="A79" s="47">
        <f>IFERROR(__xludf.DUMMYFUNCTION("""COMPUTED_VALUE"""),45854.6458333333)</f>
        <v>45854.6458333333</v>
      </c>
      <c r="B79" s="48">
        <f>IFERROR(__xludf.DUMMYFUNCTION("""COMPUTED_VALUE"""),297.05)</f>
        <v>297.05</v>
      </c>
      <c r="C79" s="47">
        <f>IFERROR(__xludf.DUMMYFUNCTION("""COMPUTED_VALUE"""),45854.6458333333)</f>
        <v>45854.6458333333</v>
      </c>
      <c r="D79" s="48">
        <f>IFERROR(__xludf.DUMMYFUNCTION("""COMPUTED_VALUE"""),298.95)</f>
        <v>298.95</v>
      </c>
      <c r="E79" s="47">
        <f>IFERROR(__xludf.DUMMYFUNCTION("""COMPUTED_VALUE"""),45854.6458333333)</f>
        <v>45854.6458333333</v>
      </c>
      <c r="F79" s="48">
        <f>IFERROR(__xludf.DUMMYFUNCTION("""COMPUTED_VALUE"""),8144630)</f>
        <v>8144630</v>
      </c>
      <c r="G79" s="47">
        <f>IFERROR(__xludf.DUMMYFUNCTION("""COMPUTED_VALUE"""),45854.6458333333)</f>
        <v>45854.6458333333</v>
      </c>
      <c r="H79" s="48">
        <f>IFERROR(__xludf.DUMMYFUNCTION("""COMPUTED_VALUE"""),298.95)</f>
        <v>298.95</v>
      </c>
      <c r="I79" s="47">
        <f>IFERROR(__xludf.DUMMYFUNCTION("""COMPUTED_VALUE"""),45854.6458333333)</f>
        <v>45854.6458333333</v>
      </c>
      <c r="J79" s="48">
        <f>IFERROR(__xludf.DUMMYFUNCTION("""COMPUTED_VALUE"""),295.7)</f>
        <v>295.7</v>
      </c>
      <c r="K79" s="3">
        <f t="shared" si="2"/>
        <v>0</v>
      </c>
      <c r="L79" s="3">
        <f t="shared" si="3"/>
        <v>0</v>
      </c>
    </row>
    <row r="80" customHeight="1" spans="1:12">
      <c r="A80" s="47">
        <f>IFERROR(__xludf.DUMMYFUNCTION("""COMPUTED_VALUE"""),45855.6458333333)</f>
        <v>45855.6458333333</v>
      </c>
      <c r="B80" s="48">
        <f>IFERROR(__xludf.DUMMYFUNCTION("""COMPUTED_VALUE"""),296.6)</f>
        <v>296.6</v>
      </c>
      <c r="C80" s="47">
        <f>IFERROR(__xludf.DUMMYFUNCTION("""COMPUTED_VALUE"""),45855.6458333333)</f>
        <v>45855.6458333333</v>
      </c>
      <c r="D80" s="48">
        <f>IFERROR(__xludf.DUMMYFUNCTION("""COMPUTED_VALUE"""),297.55)</f>
        <v>297.55</v>
      </c>
      <c r="E80" s="47">
        <f>IFERROR(__xludf.DUMMYFUNCTION("""COMPUTED_VALUE"""),45855.6458333333)</f>
        <v>45855.6458333333</v>
      </c>
      <c r="F80" s="48">
        <f>IFERROR(__xludf.DUMMYFUNCTION("""COMPUTED_VALUE"""),8318287)</f>
        <v>8318287</v>
      </c>
      <c r="G80" s="47">
        <f>IFERROR(__xludf.DUMMYFUNCTION("""COMPUTED_VALUE"""),45855.6458333333)</f>
        <v>45855.6458333333</v>
      </c>
      <c r="H80" s="48">
        <f>IFERROR(__xludf.DUMMYFUNCTION("""COMPUTED_VALUE"""),298.2)</f>
        <v>298.2</v>
      </c>
      <c r="I80" s="47">
        <f>IFERROR(__xludf.DUMMYFUNCTION("""COMPUTED_VALUE"""),45855.6458333333)</f>
        <v>45855.6458333333</v>
      </c>
      <c r="J80" s="48">
        <f>IFERROR(__xludf.DUMMYFUNCTION("""COMPUTED_VALUE"""),295.8)</f>
        <v>295.8</v>
      </c>
      <c r="K80" s="3">
        <f t="shared" si="2"/>
        <v>0</v>
      </c>
      <c r="L80" s="3">
        <f t="shared" si="3"/>
        <v>0</v>
      </c>
    </row>
    <row r="81" customHeight="1" spans="1:12">
      <c r="A81" s="47">
        <f>IFERROR(__xludf.DUMMYFUNCTION("""COMPUTED_VALUE"""),45856.6458333333)</f>
        <v>45856.6458333333</v>
      </c>
      <c r="B81" s="48">
        <f>IFERROR(__xludf.DUMMYFUNCTION("""COMPUTED_VALUE"""),294.15)</f>
        <v>294.15</v>
      </c>
      <c r="C81" s="47">
        <f>IFERROR(__xludf.DUMMYFUNCTION("""COMPUTED_VALUE"""),45856.6458333333)</f>
        <v>45856.6458333333</v>
      </c>
      <c r="D81" s="48">
        <f>IFERROR(__xludf.DUMMYFUNCTION("""COMPUTED_VALUE"""),296.5)</f>
        <v>296.5</v>
      </c>
      <c r="E81" s="47">
        <f>IFERROR(__xludf.DUMMYFUNCTION("""COMPUTED_VALUE"""),45856.6458333333)</f>
        <v>45856.6458333333</v>
      </c>
      <c r="F81" s="48">
        <f>IFERROR(__xludf.DUMMYFUNCTION("""COMPUTED_VALUE"""),8702106)</f>
        <v>8702106</v>
      </c>
      <c r="G81" s="47">
        <f>IFERROR(__xludf.DUMMYFUNCTION("""COMPUTED_VALUE"""),45856.6458333333)</f>
        <v>45856.6458333333</v>
      </c>
      <c r="H81" s="48">
        <f>IFERROR(__xludf.DUMMYFUNCTION("""COMPUTED_VALUE"""),301.5)</f>
        <v>301.5</v>
      </c>
      <c r="I81" s="47">
        <f>IFERROR(__xludf.DUMMYFUNCTION("""COMPUTED_VALUE"""),45856.6458333333)</f>
        <v>45856.6458333333</v>
      </c>
      <c r="J81" s="48">
        <f>IFERROR(__xludf.DUMMYFUNCTION("""COMPUTED_VALUE"""),293.5)</f>
        <v>293.5</v>
      </c>
      <c r="K81" s="3">
        <f t="shared" si="2"/>
        <v>0</v>
      </c>
      <c r="L81" s="3">
        <f t="shared" si="3"/>
        <v>0</v>
      </c>
    </row>
    <row r="82" customHeight="1" spans="1:12">
      <c r="A82" s="47">
        <f>IFERROR(__xludf.DUMMYFUNCTION("""COMPUTED_VALUE"""),45859.6458333333)</f>
        <v>45859.6458333333</v>
      </c>
      <c r="B82" s="48">
        <f>IFERROR(__xludf.DUMMYFUNCTION("""COMPUTED_VALUE"""),297)</f>
        <v>297</v>
      </c>
      <c r="C82" s="47">
        <f>IFERROR(__xludf.DUMMYFUNCTION("""COMPUTED_VALUE"""),45859.6458333333)</f>
        <v>45859.6458333333</v>
      </c>
      <c r="D82" s="48">
        <f>IFERROR(__xludf.DUMMYFUNCTION("""COMPUTED_VALUE"""),294)</f>
        <v>294</v>
      </c>
      <c r="E82" s="47">
        <f>IFERROR(__xludf.DUMMYFUNCTION("""COMPUTED_VALUE"""),45859.6458333333)</f>
        <v>45859.6458333333</v>
      </c>
      <c r="F82" s="48">
        <f>IFERROR(__xludf.DUMMYFUNCTION("""COMPUTED_VALUE"""),5298012)</f>
        <v>5298012</v>
      </c>
      <c r="G82" s="47">
        <f>IFERROR(__xludf.DUMMYFUNCTION("""COMPUTED_VALUE"""),45859.6458333333)</f>
        <v>45859.6458333333</v>
      </c>
      <c r="H82" s="48">
        <f>IFERROR(__xludf.DUMMYFUNCTION("""COMPUTED_VALUE"""),297.25)</f>
        <v>297.25</v>
      </c>
      <c r="I82" s="47">
        <f>IFERROR(__xludf.DUMMYFUNCTION("""COMPUTED_VALUE"""),45859.6458333333)</f>
        <v>45859.6458333333</v>
      </c>
      <c r="J82" s="48">
        <f>IFERROR(__xludf.DUMMYFUNCTION("""COMPUTED_VALUE"""),292.25)</f>
        <v>292.25</v>
      </c>
      <c r="K82" s="3">
        <f t="shared" si="2"/>
        <v>0</v>
      </c>
      <c r="L82" s="3">
        <f t="shared" si="3"/>
        <v>0</v>
      </c>
    </row>
    <row r="83" customHeight="1" spans="1:12">
      <c r="A83" s="47">
        <f>IFERROR(__xludf.DUMMYFUNCTION("""COMPUTED_VALUE"""),45860.6458333333)</f>
        <v>45860.6458333333</v>
      </c>
      <c r="B83" s="48">
        <f>IFERROR(__xludf.DUMMYFUNCTION("""COMPUTED_VALUE"""),297.8)</f>
        <v>297.8</v>
      </c>
      <c r="C83" s="47">
        <f>IFERROR(__xludf.DUMMYFUNCTION("""COMPUTED_VALUE"""),45860.6458333333)</f>
        <v>45860.6458333333</v>
      </c>
      <c r="D83" s="48">
        <f>IFERROR(__xludf.DUMMYFUNCTION("""COMPUTED_VALUE"""),297.1)</f>
        <v>297.1</v>
      </c>
      <c r="E83" s="47">
        <f>IFERROR(__xludf.DUMMYFUNCTION("""COMPUTED_VALUE"""),45860.6458333333)</f>
        <v>45860.6458333333</v>
      </c>
      <c r="F83" s="48">
        <f>IFERROR(__xludf.DUMMYFUNCTION("""COMPUTED_VALUE"""),7775653)</f>
        <v>7775653</v>
      </c>
      <c r="G83" s="47">
        <f>IFERROR(__xludf.DUMMYFUNCTION("""COMPUTED_VALUE"""),45860.6458333333)</f>
        <v>45860.6458333333</v>
      </c>
      <c r="H83" s="48">
        <f>IFERROR(__xludf.DUMMYFUNCTION("""COMPUTED_VALUE"""),298.85)</f>
        <v>298.85</v>
      </c>
      <c r="I83" s="47">
        <f>IFERROR(__xludf.DUMMYFUNCTION("""COMPUTED_VALUE"""),45860.6458333333)</f>
        <v>45860.6458333333</v>
      </c>
      <c r="J83" s="48">
        <f>IFERROR(__xludf.DUMMYFUNCTION("""COMPUTED_VALUE"""),294.55)</f>
        <v>294.55</v>
      </c>
      <c r="K83" s="3">
        <f t="shared" si="2"/>
        <v>0</v>
      </c>
      <c r="L83" s="3">
        <f t="shared" si="3"/>
        <v>0</v>
      </c>
    </row>
    <row r="84" customHeight="1" spans="1:12">
      <c r="A84" s="47">
        <f>IFERROR(__xludf.DUMMYFUNCTION("""COMPUTED_VALUE"""),45861.6458333333)</f>
        <v>45861.6458333333</v>
      </c>
      <c r="B84" s="48">
        <f>IFERROR(__xludf.DUMMYFUNCTION("""COMPUTED_VALUE"""),299.25)</f>
        <v>299.25</v>
      </c>
      <c r="C84" s="47">
        <f>IFERROR(__xludf.DUMMYFUNCTION("""COMPUTED_VALUE"""),45861.6458333333)</f>
        <v>45861.6458333333</v>
      </c>
      <c r="D84" s="48">
        <f>IFERROR(__xludf.DUMMYFUNCTION("""COMPUTED_VALUE"""),298.85)</f>
        <v>298.85</v>
      </c>
      <c r="E84" s="47">
        <f>IFERROR(__xludf.DUMMYFUNCTION("""COMPUTED_VALUE"""),45861.6458333333)</f>
        <v>45861.6458333333</v>
      </c>
      <c r="F84" s="48">
        <f>IFERROR(__xludf.DUMMYFUNCTION("""COMPUTED_VALUE"""),5310964)</f>
        <v>5310964</v>
      </c>
      <c r="G84" s="47">
        <f>IFERROR(__xludf.DUMMYFUNCTION("""COMPUTED_VALUE"""),45861.6458333333)</f>
        <v>45861.6458333333</v>
      </c>
      <c r="H84" s="48">
        <f>IFERROR(__xludf.DUMMYFUNCTION("""COMPUTED_VALUE"""),299.65)</f>
        <v>299.65</v>
      </c>
      <c r="I84" s="47">
        <f>IFERROR(__xludf.DUMMYFUNCTION("""COMPUTED_VALUE"""),45861.6458333333)</f>
        <v>45861.6458333333</v>
      </c>
      <c r="J84" s="48">
        <f>IFERROR(__xludf.DUMMYFUNCTION("""COMPUTED_VALUE"""),297.1)</f>
        <v>297.1</v>
      </c>
      <c r="K84" s="3">
        <f t="shared" si="2"/>
        <v>0</v>
      </c>
      <c r="L84" s="3">
        <f t="shared" si="3"/>
        <v>0</v>
      </c>
    </row>
    <row r="85" customHeight="1" spans="1:12">
      <c r="A85" s="47">
        <f>IFERROR(__xludf.DUMMYFUNCTION("""COMPUTED_VALUE"""),45862.6458333333)</f>
        <v>45862.6458333333</v>
      </c>
      <c r="B85" s="48">
        <f>IFERROR(__xludf.DUMMYFUNCTION("""COMPUTED_VALUE"""),299.35)</f>
        <v>299.35</v>
      </c>
      <c r="C85" s="47">
        <f>IFERROR(__xludf.DUMMYFUNCTION("""COMPUTED_VALUE"""),45862.6458333333)</f>
        <v>45862.6458333333</v>
      </c>
      <c r="D85" s="48">
        <f>IFERROR(__xludf.DUMMYFUNCTION("""COMPUTED_VALUE"""),299.85)</f>
        <v>299.85</v>
      </c>
      <c r="E85" s="47">
        <f>IFERROR(__xludf.DUMMYFUNCTION("""COMPUTED_VALUE"""),45862.6458333333)</f>
        <v>45862.6458333333</v>
      </c>
      <c r="F85" s="48">
        <f>IFERROR(__xludf.DUMMYFUNCTION("""COMPUTED_VALUE"""),6294709)</f>
        <v>6294709</v>
      </c>
      <c r="G85" s="47">
        <f>IFERROR(__xludf.DUMMYFUNCTION("""COMPUTED_VALUE"""),45862.6458333333)</f>
        <v>45862.6458333333</v>
      </c>
      <c r="H85" s="48">
        <f>IFERROR(__xludf.DUMMYFUNCTION("""COMPUTED_VALUE"""),301.35)</f>
        <v>301.35</v>
      </c>
      <c r="I85" s="47">
        <f>IFERROR(__xludf.DUMMYFUNCTION("""COMPUTED_VALUE"""),45862.6458333333)</f>
        <v>45862.6458333333</v>
      </c>
      <c r="J85" s="48">
        <f>IFERROR(__xludf.DUMMYFUNCTION("""COMPUTED_VALUE"""),296.5)</f>
        <v>296.5</v>
      </c>
      <c r="K85" s="3">
        <f t="shared" si="2"/>
        <v>299.35</v>
      </c>
      <c r="L85" s="3">
        <f t="shared" si="3"/>
        <v>0</v>
      </c>
    </row>
    <row r="86" customHeight="1" spans="1:12">
      <c r="A86" s="47">
        <f>IFERROR(__xludf.DUMMYFUNCTION("""COMPUTED_VALUE"""),45863.6458333333)</f>
        <v>45863.6458333333</v>
      </c>
      <c r="B86" s="48">
        <f>IFERROR(__xludf.DUMMYFUNCTION("""COMPUTED_VALUE"""),292.1)</f>
        <v>292.1</v>
      </c>
      <c r="C86" s="47">
        <f>IFERROR(__xludf.DUMMYFUNCTION("""COMPUTED_VALUE"""),45863.6458333333)</f>
        <v>45863.6458333333</v>
      </c>
      <c r="D86" s="48">
        <f>IFERROR(__xludf.DUMMYFUNCTION("""COMPUTED_VALUE"""),297.15)</f>
        <v>297.15</v>
      </c>
      <c r="E86" s="47">
        <f>IFERROR(__xludf.DUMMYFUNCTION("""COMPUTED_VALUE"""),45863.6458333333)</f>
        <v>45863.6458333333</v>
      </c>
      <c r="F86" s="48">
        <f>IFERROR(__xludf.DUMMYFUNCTION("""COMPUTED_VALUE"""),8202572)</f>
        <v>8202572</v>
      </c>
      <c r="G86" s="47">
        <f>IFERROR(__xludf.DUMMYFUNCTION("""COMPUTED_VALUE"""),45863.6458333333)</f>
        <v>45863.6458333333</v>
      </c>
      <c r="H86" s="48">
        <f>IFERROR(__xludf.DUMMYFUNCTION("""COMPUTED_VALUE"""),297.75)</f>
        <v>297.75</v>
      </c>
      <c r="I86" s="47">
        <f>IFERROR(__xludf.DUMMYFUNCTION("""COMPUTED_VALUE"""),45863.6458333333)</f>
        <v>45863.6458333333</v>
      </c>
      <c r="J86" s="48">
        <f>IFERROR(__xludf.DUMMYFUNCTION("""COMPUTED_VALUE"""),290.9)</f>
        <v>290.9</v>
      </c>
      <c r="K86" s="3">
        <f t="shared" si="2"/>
        <v>0</v>
      </c>
      <c r="L86" s="3">
        <f t="shared" si="3"/>
        <v>0</v>
      </c>
    </row>
    <row r="87" customHeight="1" spans="1:12">
      <c r="A87" s="47">
        <f>IFERROR(__xludf.DUMMYFUNCTION("""COMPUTED_VALUE"""),45866.6458333333)</f>
        <v>45866.6458333333</v>
      </c>
      <c r="B87" s="48">
        <f>IFERROR(__xludf.DUMMYFUNCTION("""COMPUTED_VALUE"""),291.9)</f>
        <v>291.9</v>
      </c>
      <c r="C87" s="47">
        <f>IFERROR(__xludf.DUMMYFUNCTION("""COMPUTED_VALUE"""),45866.6458333333)</f>
        <v>45866.6458333333</v>
      </c>
      <c r="D87" s="48">
        <f>IFERROR(__xludf.DUMMYFUNCTION("""COMPUTED_VALUE"""),292)</f>
        <v>292</v>
      </c>
      <c r="E87" s="47">
        <f>IFERROR(__xludf.DUMMYFUNCTION("""COMPUTED_VALUE"""),45866.6458333333)</f>
        <v>45866.6458333333</v>
      </c>
      <c r="F87" s="48">
        <f>IFERROR(__xludf.DUMMYFUNCTION("""COMPUTED_VALUE"""),7037396)</f>
        <v>7037396</v>
      </c>
      <c r="G87" s="47">
        <f>IFERROR(__xludf.DUMMYFUNCTION("""COMPUTED_VALUE"""),45866.6458333333)</f>
        <v>45866.6458333333</v>
      </c>
      <c r="H87" s="48">
        <f>IFERROR(__xludf.DUMMYFUNCTION("""COMPUTED_VALUE"""),295.25)</f>
        <v>295.25</v>
      </c>
      <c r="I87" s="47">
        <f>IFERROR(__xludf.DUMMYFUNCTION("""COMPUTED_VALUE"""),45866.6458333333)</f>
        <v>45866.6458333333</v>
      </c>
      <c r="J87" s="48">
        <f>IFERROR(__xludf.DUMMYFUNCTION("""COMPUTED_VALUE"""),290.75)</f>
        <v>290.75</v>
      </c>
      <c r="K87" s="3">
        <f t="shared" si="2"/>
        <v>0</v>
      </c>
      <c r="L87" s="3">
        <f t="shared" si="3"/>
        <v>0</v>
      </c>
    </row>
    <row r="88" customHeight="1" spans="1:12">
      <c r="A88" s="47">
        <f>IFERROR(__xludf.DUMMYFUNCTION("""COMPUTED_VALUE"""),45867.6458333333)</f>
        <v>45867.6458333333</v>
      </c>
      <c r="B88" s="48">
        <f>IFERROR(__xludf.DUMMYFUNCTION("""COMPUTED_VALUE"""),293.1)</f>
        <v>293.1</v>
      </c>
      <c r="C88" s="47">
        <f>IFERROR(__xludf.DUMMYFUNCTION("""COMPUTED_VALUE"""),45867.6458333333)</f>
        <v>45867.6458333333</v>
      </c>
      <c r="D88" s="48">
        <f>IFERROR(__xludf.DUMMYFUNCTION("""COMPUTED_VALUE"""),290.5)</f>
        <v>290.5</v>
      </c>
      <c r="E88" s="47">
        <f>IFERROR(__xludf.DUMMYFUNCTION("""COMPUTED_VALUE"""),45867.6458333333)</f>
        <v>45867.6458333333</v>
      </c>
      <c r="F88" s="48">
        <f>IFERROR(__xludf.DUMMYFUNCTION("""COMPUTED_VALUE"""),6586034)</f>
        <v>6586034</v>
      </c>
      <c r="G88" s="47">
        <f>IFERROR(__xludf.DUMMYFUNCTION("""COMPUTED_VALUE"""),45867.6458333333)</f>
        <v>45867.6458333333</v>
      </c>
      <c r="H88" s="48">
        <f>IFERROR(__xludf.DUMMYFUNCTION("""COMPUTED_VALUE"""),293.9)</f>
        <v>293.9</v>
      </c>
      <c r="I88" s="47">
        <f>IFERROR(__xludf.DUMMYFUNCTION("""COMPUTED_VALUE"""),45867.6458333333)</f>
        <v>45867.6458333333</v>
      </c>
      <c r="J88" s="48">
        <f>IFERROR(__xludf.DUMMYFUNCTION("""COMPUTED_VALUE"""),289.8)</f>
        <v>289.8</v>
      </c>
      <c r="K88" s="3">
        <f t="shared" si="2"/>
        <v>0</v>
      </c>
      <c r="L88" s="3">
        <f t="shared" si="3"/>
        <v>0</v>
      </c>
    </row>
    <row r="89" customHeight="1" spans="1:12">
      <c r="A89" s="47">
        <f>IFERROR(__xludf.DUMMYFUNCTION("""COMPUTED_VALUE"""),45868.6458333333)</f>
        <v>45868.6458333333</v>
      </c>
      <c r="B89" s="48">
        <f>IFERROR(__xludf.DUMMYFUNCTION("""COMPUTED_VALUE"""),288.95)</f>
        <v>288.95</v>
      </c>
      <c r="C89" s="47">
        <f>IFERROR(__xludf.DUMMYFUNCTION("""COMPUTED_VALUE"""),45868.6458333333)</f>
        <v>45868.6458333333</v>
      </c>
      <c r="D89" s="48">
        <f>IFERROR(__xludf.DUMMYFUNCTION("""COMPUTED_VALUE"""),293)</f>
        <v>293</v>
      </c>
      <c r="E89" s="47">
        <f>IFERROR(__xludf.DUMMYFUNCTION("""COMPUTED_VALUE"""),45868.6458333333)</f>
        <v>45868.6458333333</v>
      </c>
      <c r="F89" s="48">
        <f>IFERROR(__xludf.DUMMYFUNCTION("""COMPUTED_VALUE"""),10515572)</f>
        <v>10515572</v>
      </c>
      <c r="G89" s="47">
        <f>IFERROR(__xludf.DUMMYFUNCTION("""COMPUTED_VALUE"""),45868.6458333333)</f>
        <v>45868.6458333333</v>
      </c>
      <c r="H89" s="48">
        <f>IFERROR(__xludf.DUMMYFUNCTION("""COMPUTED_VALUE"""),296.5)</f>
        <v>296.5</v>
      </c>
      <c r="I89" s="47">
        <f>IFERROR(__xludf.DUMMYFUNCTION("""COMPUTED_VALUE"""),45868.6458333333)</f>
        <v>45868.6458333333</v>
      </c>
      <c r="J89" s="48">
        <f>IFERROR(__xludf.DUMMYFUNCTION("""COMPUTED_VALUE"""),286.6)</f>
        <v>286.6</v>
      </c>
      <c r="K89" s="3">
        <f t="shared" si="2"/>
        <v>0</v>
      </c>
      <c r="L89" s="3">
        <f t="shared" si="3"/>
        <v>0</v>
      </c>
    </row>
    <row r="90" customHeight="1" spans="1:12">
      <c r="A90" s="47">
        <f>IFERROR(__xludf.DUMMYFUNCTION("""COMPUTED_VALUE"""),45869.6458333333)</f>
        <v>45869.6458333333</v>
      </c>
      <c r="B90" s="48">
        <f>IFERROR(__xludf.DUMMYFUNCTION("""COMPUTED_VALUE"""),291)</f>
        <v>291</v>
      </c>
      <c r="C90" s="47">
        <f>IFERROR(__xludf.DUMMYFUNCTION("""COMPUTED_VALUE"""),45869.6458333333)</f>
        <v>45869.6458333333</v>
      </c>
      <c r="D90" s="48">
        <f>IFERROR(__xludf.DUMMYFUNCTION("""COMPUTED_VALUE"""),284.95)</f>
        <v>284.95</v>
      </c>
      <c r="E90" s="47">
        <f>IFERROR(__xludf.DUMMYFUNCTION("""COMPUTED_VALUE"""),45869.6458333333)</f>
        <v>45869.6458333333</v>
      </c>
      <c r="F90" s="48">
        <f>IFERROR(__xludf.DUMMYFUNCTION("""COMPUTED_VALUE"""),14283621)</f>
        <v>14283621</v>
      </c>
      <c r="G90" s="47">
        <f>IFERROR(__xludf.DUMMYFUNCTION("""COMPUTED_VALUE"""),45869.6458333333)</f>
        <v>45869.6458333333</v>
      </c>
      <c r="H90" s="48">
        <f>IFERROR(__xludf.DUMMYFUNCTION("""COMPUTED_VALUE"""),294.3)</f>
        <v>294.3</v>
      </c>
      <c r="I90" s="47">
        <f>IFERROR(__xludf.DUMMYFUNCTION("""COMPUTED_VALUE"""),45869.6458333333)</f>
        <v>45869.6458333333</v>
      </c>
      <c r="J90" s="48">
        <f>IFERROR(__xludf.DUMMYFUNCTION("""COMPUTED_VALUE"""),284.95)</f>
        <v>284.95</v>
      </c>
      <c r="K90" s="3">
        <f t="shared" si="2"/>
        <v>0</v>
      </c>
      <c r="L90" s="3">
        <f t="shared" si="3"/>
        <v>0</v>
      </c>
    </row>
    <row r="91" customHeight="1" spans="1:12">
      <c r="A91" s="47">
        <f>IFERROR(__xludf.DUMMYFUNCTION("""COMPUTED_VALUE"""),45870.6458333333)</f>
        <v>45870.6458333333</v>
      </c>
      <c r="B91" s="48">
        <f>IFERROR(__xludf.DUMMYFUNCTION("""COMPUTED_VALUE"""),291.25)</f>
        <v>291.25</v>
      </c>
      <c r="C91" s="47">
        <f>IFERROR(__xludf.DUMMYFUNCTION("""COMPUTED_VALUE"""),45870.6458333333)</f>
        <v>45870.6458333333</v>
      </c>
      <c r="D91" s="48">
        <f>IFERROR(__xludf.DUMMYFUNCTION("""COMPUTED_VALUE"""),291.65)</f>
        <v>291.65</v>
      </c>
      <c r="E91" s="47">
        <f>IFERROR(__xludf.DUMMYFUNCTION("""COMPUTED_VALUE"""),45870.6458333333)</f>
        <v>45870.6458333333</v>
      </c>
      <c r="F91" s="48">
        <f>IFERROR(__xludf.DUMMYFUNCTION("""COMPUTED_VALUE"""),6697683)</f>
        <v>6697683</v>
      </c>
      <c r="G91" s="47">
        <f>IFERROR(__xludf.DUMMYFUNCTION("""COMPUTED_VALUE"""),45870.6458333333)</f>
        <v>45870.6458333333</v>
      </c>
      <c r="H91" s="48">
        <f>IFERROR(__xludf.DUMMYFUNCTION("""COMPUTED_VALUE"""),292.8)</f>
        <v>292.8</v>
      </c>
      <c r="I91" s="47">
        <f>IFERROR(__xludf.DUMMYFUNCTION("""COMPUTED_VALUE"""),45870.6458333333)</f>
        <v>45870.6458333333</v>
      </c>
      <c r="J91" s="48">
        <f>IFERROR(__xludf.DUMMYFUNCTION("""COMPUTED_VALUE"""),286.3)</f>
        <v>286.3</v>
      </c>
      <c r="K91" s="3">
        <f t="shared" si="2"/>
        <v>0</v>
      </c>
      <c r="L91" s="3">
        <f t="shared" si="3"/>
        <v>0</v>
      </c>
    </row>
    <row r="92" customHeight="1" spans="1:12">
      <c r="A92" s="47">
        <f>IFERROR(__xludf.DUMMYFUNCTION("""COMPUTED_VALUE"""),45873.6458333333)</f>
        <v>45873.6458333333</v>
      </c>
      <c r="B92" s="48">
        <f>IFERROR(__xludf.DUMMYFUNCTION("""COMPUTED_VALUE"""),287.95)</f>
        <v>287.95</v>
      </c>
      <c r="C92" s="47">
        <f>IFERROR(__xludf.DUMMYFUNCTION("""COMPUTED_VALUE"""),45873.6458333333)</f>
        <v>45873.6458333333</v>
      </c>
      <c r="D92" s="48">
        <f>IFERROR(__xludf.DUMMYFUNCTION("""COMPUTED_VALUE"""),291.2)</f>
        <v>291.2</v>
      </c>
      <c r="E92" s="47">
        <f>IFERROR(__xludf.DUMMYFUNCTION("""COMPUTED_VALUE"""),45873.6458333333)</f>
        <v>45873.6458333333</v>
      </c>
      <c r="F92" s="48">
        <f>IFERROR(__xludf.DUMMYFUNCTION("""COMPUTED_VALUE"""),10397121)</f>
        <v>10397121</v>
      </c>
      <c r="G92" s="47">
        <f>IFERROR(__xludf.DUMMYFUNCTION("""COMPUTED_VALUE"""),45873.6458333333)</f>
        <v>45873.6458333333</v>
      </c>
      <c r="H92" s="48">
        <f>IFERROR(__xludf.DUMMYFUNCTION("""COMPUTED_VALUE"""),291.55)</f>
        <v>291.55</v>
      </c>
      <c r="I92" s="47">
        <f>IFERROR(__xludf.DUMMYFUNCTION("""COMPUTED_VALUE"""),45873.6458333333)</f>
        <v>45873.6458333333</v>
      </c>
      <c r="J92" s="48">
        <f>IFERROR(__xludf.DUMMYFUNCTION("""COMPUTED_VALUE"""),285.7)</f>
        <v>285.7</v>
      </c>
      <c r="K92" s="3">
        <f t="shared" si="2"/>
        <v>0</v>
      </c>
      <c r="L92" s="3">
        <f t="shared" si="3"/>
        <v>0</v>
      </c>
    </row>
    <row r="93" customHeight="1" spans="1:12">
      <c r="A93" s="47">
        <f>IFERROR(__xludf.DUMMYFUNCTION("""COMPUTED_VALUE"""),45874.6458333333)</f>
        <v>45874.6458333333</v>
      </c>
      <c r="B93" s="48">
        <f>IFERROR(__xludf.DUMMYFUNCTION("""COMPUTED_VALUE"""),286)</f>
        <v>286</v>
      </c>
      <c r="C93" s="47">
        <f>IFERROR(__xludf.DUMMYFUNCTION("""COMPUTED_VALUE"""),45874.6458333333)</f>
        <v>45874.6458333333</v>
      </c>
      <c r="D93" s="48">
        <f>IFERROR(__xludf.DUMMYFUNCTION("""COMPUTED_VALUE"""),287.1)</f>
        <v>287.1</v>
      </c>
      <c r="E93" s="47">
        <f>IFERROR(__xludf.DUMMYFUNCTION("""COMPUTED_VALUE"""),45874.6458333333)</f>
        <v>45874.6458333333</v>
      </c>
      <c r="F93" s="48">
        <f>IFERROR(__xludf.DUMMYFUNCTION("""COMPUTED_VALUE"""),15561914)</f>
        <v>15561914</v>
      </c>
      <c r="G93" s="47">
        <f>IFERROR(__xludf.DUMMYFUNCTION("""COMPUTED_VALUE"""),45874.6458333333)</f>
        <v>45874.6458333333</v>
      </c>
      <c r="H93" s="48">
        <f>IFERROR(__xludf.DUMMYFUNCTION("""COMPUTED_VALUE"""),288.65)</f>
        <v>288.65</v>
      </c>
      <c r="I93" s="47">
        <f>IFERROR(__xludf.DUMMYFUNCTION("""COMPUTED_VALUE"""),45874.6458333333)</f>
        <v>45874.6458333333</v>
      </c>
      <c r="J93" s="48">
        <f>IFERROR(__xludf.DUMMYFUNCTION("""COMPUTED_VALUE"""),285.1)</f>
        <v>285.1</v>
      </c>
      <c r="K93" s="3">
        <f t="shared" si="2"/>
        <v>0</v>
      </c>
      <c r="L93" s="3">
        <f t="shared" si="3"/>
        <v>0</v>
      </c>
    </row>
    <row r="94" customHeight="1" spans="1:12">
      <c r="A94" s="47">
        <f>IFERROR(__xludf.DUMMYFUNCTION("""COMPUTED_VALUE"""),45875.6458333333)</f>
        <v>45875.6458333333</v>
      </c>
      <c r="B94" s="48">
        <f>IFERROR(__xludf.DUMMYFUNCTION("""COMPUTED_VALUE"""),284.8)</f>
        <v>284.8</v>
      </c>
      <c r="C94" s="47">
        <f>IFERROR(__xludf.DUMMYFUNCTION("""COMPUTED_VALUE"""),45875.6458333333)</f>
        <v>45875.6458333333</v>
      </c>
      <c r="D94" s="48">
        <f>IFERROR(__xludf.DUMMYFUNCTION("""COMPUTED_VALUE"""),287.6)</f>
        <v>287.6</v>
      </c>
      <c r="E94" s="47">
        <f>IFERROR(__xludf.DUMMYFUNCTION("""COMPUTED_VALUE"""),45875.6458333333)</f>
        <v>45875.6458333333</v>
      </c>
      <c r="F94" s="48">
        <f>IFERROR(__xludf.DUMMYFUNCTION("""COMPUTED_VALUE"""),12985269)</f>
        <v>12985269</v>
      </c>
      <c r="G94" s="47">
        <f>IFERROR(__xludf.DUMMYFUNCTION("""COMPUTED_VALUE"""),45875.6458333333)</f>
        <v>45875.6458333333</v>
      </c>
      <c r="H94" s="48">
        <f>IFERROR(__xludf.DUMMYFUNCTION("""COMPUTED_VALUE"""),288.4)</f>
        <v>288.4</v>
      </c>
      <c r="I94" s="47">
        <f>IFERROR(__xludf.DUMMYFUNCTION("""COMPUTED_VALUE"""),45875.6458333333)</f>
        <v>45875.6458333333</v>
      </c>
      <c r="J94" s="48">
        <f>IFERROR(__xludf.DUMMYFUNCTION("""COMPUTED_VALUE"""),284.05)</f>
        <v>284.05</v>
      </c>
      <c r="K94" s="3">
        <f t="shared" si="2"/>
        <v>0</v>
      </c>
      <c r="L94" s="3">
        <f t="shared" si="3"/>
        <v>0</v>
      </c>
    </row>
    <row r="95" customHeight="1" spans="1:12">
      <c r="A95" s="47">
        <f>IFERROR(__xludf.DUMMYFUNCTION("""COMPUTED_VALUE"""),45876.6458333333)</f>
        <v>45876.6458333333</v>
      </c>
      <c r="B95" s="48">
        <f>IFERROR(__xludf.DUMMYFUNCTION("""COMPUTED_VALUE"""),285.55)</f>
        <v>285.55</v>
      </c>
      <c r="C95" s="47">
        <f>IFERROR(__xludf.DUMMYFUNCTION("""COMPUTED_VALUE"""),45876.6458333333)</f>
        <v>45876.6458333333</v>
      </c>
      <c r="D95" s="48">
        <f>IFERROR(__xludf.DUMMYFUNCTION("""COMPUTED_VALUE"""),284.5)</f>
        <v>284.5</v>
      </c>
      <c r="E95" s="47">
        <f>IFERROR(__xludf.DUMMYFUNCTION("""COMPUTED_VALUE"""),45876.6458333333)</f>
        <v>45876.6458333333</v>
      </c>
      <c r="F95" s="48">
        <f>IFERROR(__xludf.DUMMYFUNCTION("""COMPUTED_VALUE"""),8893659)</f>
        <v>8893659</v>
      </c>
      <c r="G95" s="47">
        <f>IFERROR(__xludf.DUMMYFUNCTION("""COMPUTED_VALUE"""),45876.6458333333)</f>
        <v>45876.6458333333</v>
      </c>
      <c r="H95" s="48">
        <f>IFERROR(__xludf.DUMMYFUNCTION("""COMPUTED_VALUE"""),286.3)</f>
        <v>286.3</v>
      </c>
      <c r="I95" s="47">
        <f>IFERROR(__xludf.DUMMYFUNCTION("""COMPUTED_VALUE"""),45876.6458333333)</f>
        <v>45876.6458333333</v>
      </c>
      <c r="J95" s="48">
        <f>IFERROR(__xludf.DUMMYFUNCTION("""COMPUTED_VALUE"""),283.4)</f>
        <v>283.4</v>
      </c>
      <c r="K95" s="3">
        <f t="shared" si="2"/>
        <v>0</v>
      </c>
      <c r="L95" s="3">
        <f t="shared" si="3"/>
        <v>0</v>
      </c>
    </row>
    <row r="96" customHeight="1" spans="1:12">
      <c r="A96" s="47">
        <f>IFERROR(__xludf.DUMMYFUNCTION("""COMPUTED_VALUE"""),45877.6458333333)</f>
        <v>45877.6458333333</v>
      </c>
      <c r="B96" s="48">
        <f>IFERROR(__xludf.DUMMYFUNCTION("""COMPUTED_VALUE"""),284.85)</f>
        <v>284.85</v>
      </c>
      <c r="C96" s="47">
        <f>IFERROR(__xludf.DUMMYFUNCTION("""COMPUTED_VALUE"""),45877.6458333333)</f>
        <v>45877.6458333333</v>
      </c>
      <c r="D96" s="48">
        <f>IFERROR(__xludf.DUMMYFUNCTION("""COMPUTED_VALUE"""),284.8)</f>
        <v>284.8</v>
      </c>
      <c r="E96" s="47">
        <f>IFERROR(__xludf.DUMMYFUNCTION("""COMPUTED_VALUE"""),45877.6458333333)</f>
        <v>45877.6458333333</v>
      </c>
      <c r="F96" s="48">
        <f>IFERROR(__xludf.DUMMYFUNCTION("""COMPUTED_VALUE"""),6172968)</f>
        <v>6172968</v>
      </c>
      <c r="G96" s="47">
        <f>IFERROR(__xludf.DUMMYFUNCTION("""COMPUTED_VALUE"""),45877.6458333333)</f>
        <v>45877.6458333333</v>
      </c>
      <c r="H96" s="48">
        <f>IFERROR(__xludf.DUMMYFUNCTION("""COMPUTED_VALUE"""),286.25)</f>
        <v>286.25</v>
      </c>
      <c r="I96" s="47">
        <f>IFERROR(__xludf.DUMMYFUNCTION("""COMPUTED_VALUE"""),45877.6458333333)</f>
        <v>45877.6458333333</v>
      </c>
      <c r="J96" s="48">
        <f>IFERROR(__xludf.DUMMYFUNCTION("""COMPUTED_VALUE"""),283.6)</f>
        <v>283.6</v>
      </c>
      <c r="K96" s="3">
        <f t="shared" si="2"/>
        <v>0</v>
      </c>
      <c r="L96" s="3">
        <f t="shared" si="3"/>
        <v>0</v>
      </c>
    </row>
    <row r="97" customHeight="1" spans="1:12">
      <c r="A97" s="47">
        <f>IFERROR(__xludf.DUMMYFUNCTION("""COMPUTED_VALUE"""),45880.6458333333)</f>
        <v>45880.6458333333</v>
      </c>
      <c r="B97" s="48">
        <f>IFERROR(__xludf.DUMMYFUNCTION("""COMPUTED_VALUE"""),284.85)</f>
        <v>284.85</v>
      </c>
      <c r="C97" s="47">
        <f>IFERROR(__xludf.DUMMYFUNCTION("""COMPUTED_VALUE"""),45880.6458333333)</f>
        <v>45880.6458333333</v>
      </c>
      <c r="D97" s="48">
        <f>IFERROR(__xludf.DUMMYFUNCTION("""COMPUTED_VALUE"""),284.85)</f>
        <v>284.85</v>
      </c>
      <c r="E97" s="47">
        <f>IFERROR(__xludf.DUMMYFUNCTION("""COMPUTED_VALUE"""),45880.6458333333)</f>
        <v>45880.6458333333</v>
      </c>
      <c r="F97" s="48">
        <f>IFERROR(__xludf.DUMMYFUNCTION("""COMPUTED_VALUE"""),8755499)</f>
        <v>8755499</v>
      </c>
      <c r="G97" s="47">
        <f>IFERROR(__xludf.DUMMYFUNCTION("""COMPUTED_VALUE"""),45880.6458333333)</f>
        <v>45880.6458333333</v>
      </c>
      <c r="H97" s="48">
        <f>IFERROR(__xludf.DUMMYFUNCTION("""COMPUTED_VALUE"""),286.4)</f>
        <v>286.4</v>
      </c>
      <c r="I97" s="47">
        <f>IFERROR(__xludf.DUMMYFUNCTION("""COMPUTED_VALUE"""),45880.6458333333)</f>
        <v>45880.6458333333</v>
      </c>
      <c r="J97" s="48">
        <f>IFERROR(__xludf.DUMMYFUNCTION("""COMPUTED_VALUE"""),283.3)</f>
        <v>283.3</v>
      </c>
      <c r="K97" s="3">
        <f t="shared" si="2"/>
        <v>0</v>
      </c>
      <c r="L97" s="3">
        <f t="shared" si="3"/>
        <v>0</v>
      </c>
    </row>
    <row r="98" customHeight="1" spans="1:12">
      <c r="A98" s="47">
        <f>IFERROR(__xludf.DUMMYFUNCTION("""COMPUTED_VALUE"""),45881.6458333333)</f>
        <v>45881.6458333333</v>
      </c>
      <c r="B98" s="48">
        <f>IFERROR(__xludf.DUMMYFUNCTION("""COMPUTED_VALUE"""),284.65)</f>
        <v>284.65</v>
      </c>
      <c r="C98" s="47">
        <f>IFERROR(__xludf.DUMMYFUNCTION("""COMPUTED_VALUE"""),45881.6458333333)</f>
        <v>45881.6458333333</v>
      </c>
      <c r="D98" s="48">
        <f>IFERROR(__xludf.DUMMYFUNCTION("""COMPUTED_VALUE"""),284.4)</f>
        <v>284.4</v>
      </c>
      <c r="E98" s="47">
        <f>IFERROR(__xludf.DUMMYFUNCTION("""COMPUTED_VALUE"""),45881.6458333333)</f>
        <v>45881.6458333333</v>
      </c>
      <c r="F98" s="48">
        <f>IFERROR(__xludf.DUMMYFUNCTION("""COMPUTED_VALUE"""),13184438)</f>
        <v>13184438</v>
      </c>
      <c r="G98" s="47">
        <f>IFERROR(__xludf.DUMMYFUNCTION("""COMPUTED_VALUE"""),45881.6458333333)</f>
        <v>45881.6458333333</v>
      </c>
      <c r="H98" s="48">
        <f>IFERROR(__xludf.DUMMYFUNCTION("""COMPUTED_VALUE"""),287.55)</f>
        <v>287.55</v>
      </c>
      <c r="I98" s="47">
        <f>IFERROR(__xludf.DUMMYFUNCTION("""COMPUTED_VALUE"""),45881.6458333333)</f>
        <v>45881.6458333333</v>
      </c>
      <c r="J98" s="48">
        <f>IFERROR(__xludf.DUMMYFUNCTION("""COMPUTED_VALUE"""),284)</f>
        <v>284</v>
      </c>
      <c r="K98" s="3">
        <f t="shared" si="2"/>
        <v>0</v>
      </c>
      <c r="L98" s="3">
        <f t="shared" si="3"/>
        <v>0</v>
      </c>
    </row>
    <row r="99" customHeight="1" spans="1:12">
      <c r="A99" s="47">
        <f>IFERROR(__xludf.DUMMYFUNCTION("""COMPUTED_VALUE"""),45882.6458333333)</f>
        <v>45882.6458333333</v>
      </c>
      <c r="B99" s="48">
        <f>IFERROR(__xludf.DUMMYFUNCTION("""COMPUTED_VALUE"""),288.2)</f>
        <v>288.2</v>
      </c>
      <c r="C99" s="47">
        <f>IFERROR(__xludf.DUMMYFUNCTION("""COMPUTED_VALUE"""),45882.6458333333)</f>
        <v>45882.6458333333</v>
      </c>
      <c r="D99" s="48">
        <f>IFERROR(__xludf.DUMMYFUNCTION("""COMPUTED_VALUE"""),287)</f>
        <v>287</v>
      </c>
      <c r="E99" s="47">
        <f>IFERROR(__xludf.DUMMYFUNCTION("""COMPUTED_VALUE"""),45882.6458333333)</f>
        <v>45882.6458333333</v>
      </c>
      <c r="F99" s="48">
        <f>IFERROR(__xludf.DUMMYFUNCTION("""COMPUTED_VALUE"""),9928283)</f>
        <v>9928283</v>
      </c>
      <c r="G99" s="47">
        <f>IFERROR(__xludf.DUMMYFUNCTION("""COMPUTED_VALUE"""),45882.6458333333)</f>
        <v>45882.6458333333</v>
      </c>
      <c r="H99" s="48">
        <f>IFERROR(__xludf.DUMMYFUNCTION("""COMPUTED_VALUE"""),289.4)</f>
        <v>289.4</v>
      </c>
      <c r="I99" s="47">
        <f>IFERROR(__xludf.DUMMYFUNCTION("""COMPUTED_VALUE"""),45882.6458333333)</f>
        <v>45882.6458333333</v>
      </c>
      <c r="J99" s="48">
        <f>IFERROR(__xludf.DUMMYFUNCTION("""COMPUTED_VALUE"""),286.05)</f>
        <v>286.05</v>
      </c>
      <c r="K99" s="3">
        <f t="shared" si="2"/>
        <v>0</v>
      </c>
      <c r="L99" s="3">
        <f t="shared" si="3"/>
        <v>0</v>
      </c>
    </row>
    <row r="100" customHeight="1" spans="1:12">
      <c r="A100" s="47">
        <f>IFERROR(__xludf.DUMMYFUNCTION("""COMPUTED_VALUE"""),45883.6458333333)</f>
        <v>45883.6458333333</v>
      </c>
      <c r="B100" s="48">
        <f>IFERROR(__xludf.DUMMYFUNCTION("""COMPUTED_VALUE"""),288.7)</f>
        <v>288.7</v>
      </c>
      <c r="C100" s="47">
        <f>IFERROR(__xludf.DUMMYFUNCTION("""COMPUTED_VALUE"""),45883.6458333333)</f>
        <v>45883.6458333333</v>
      </c>
      <c r="D100" s="48">
        <f>IFERROR(__xludf.DUMMYFUNCTION("""COMPUTED_VALUE"""),289.05)</f>
        <v>289.05</v>
      </c>
      <c r="E100" s="47">
        <f>IFERROR(__xludf.DUMMYFUNCTION("""COMPUTED_VALUE"""),45883.6458333333)</f>
        <v>45883.6458333333</v>
      </c>
      <c r="F100" s="48">
        <f>IFERROR(__xludf.DUMMYFUNCTION("""COMPUTED_VALUE"""),8464495)</f>
        <v>8464495</v>
      </c>
      <c r="G100" s="47">
        <f>IFERROR(__xludf.DUMMYFUNCTION("""COMPUTED_VALUE"""),45883.6458333333)</f>
        <v>45883.6458333333</v>
      </c>
      <c r="H100" s="48">
        <f>IFERROR(__xludf.DUMMYFUNCTION("""COMPUTED_VALUE"""),290.15)</f>
        <v>290.15</v>
      </c>
      <c r="I100" s="47">
        <f>IFERROR(__xludf.DUMMYFUNCTION("""COMPUTED_VALUE"""),45883.6458333333)</f>
        <v>45883.6458333333</v>
      </c>
      <c r="J100" s="48">
        <f>IFERROR(__xludf.DUMMYFUNCTION("""COMPUTED_VALUE"""),287.15)</f>
        <v>287.15</v>
      </c>
      <c r="K100" s="3">
        <f t="shared" si="2"/>
        <v>0</v>
      </c>
      <c r="L100" s="3">
        <f t="shared" si="3"/>
        <v>0</v>
      </c>
    </row>
    <row r="101" customHeight="1" spans="1:12">
      <c r="A101" s="47">
        <f>IFERROR(__xludf.DUMMYFUNCTION("""COMPUTED_VALUE"""),45887.6458333333)</f>
        <v>45887.6458333333</v>
      </c>
      <c r="B101" s="48">
        <f>IFERROR(__xludf.DUMMYFUNCTION("""COMPUTED_VALUE"""),290.35)</f>
        <v>290.35</v>
      </c>
      <c r="C101" s="47">
        <f>IFERROR(__xludf.DUMMYFUNCTION("""COMPUTED_VALUE"""),45887.6458333333)</f>
        <v>45887.6458333333</v>
      </c>
      <c r="D101" s="48">
        <f>IFERROR(__xludf.DUMMYFUNCTION("""COMPUTED_VALUE"""),289.5)</f>
        <v>289.5</v>
      </c>
      <c r="E101" s="47">
        <f>IFERROR(__xludf.DUMMYFUNCTION("""COMPUTED_VALUE"""),45887.6458333333)</f>
        <v>45887.6458333333</v>
      </c>
      <c r="F101" s="48">
        <f>IFERROR(__xludf.DUMMYFUNCTION("""COMPUTED_VALUE"""),9836105)</f>
        <v>9836105</v>
      </c>
      <c r="G101" s="47">
        <f>IFERROR(__xludf.DUMMYFUNCTION("""COMPUTED_VALUE"""),45887.6458333333)</f>
        <v>45887.6458333333</v>
      </c>
      <c r="H101" s="48">
        <f>IFERROR(__xludf.DUMMYFUNCTION("""COMPUTED_VALUE"""),291.3)</f>
        <v>291.3</v>
      </c>
      <c r="I101" s="47">
        <f>IFERROR(__xludf.DUMMYFUNCTION("""COMPUTED_VALUE"""),45887.6458333333)</f>
        <v>45887.6458333333</v>
      </c>
      <c r="J101" s="48">
        <f>IFERROR(__xludf.DUMMYFUNCTION("""COMPUTED_VALUE"""),288.5)</f>
        <v>288.5</v>
      </c>
      <c r="K101" s="3">
        <f t="shared" si="2"/>
        <v>290.35</v>
      </c>
      <c r="L101" s="3">
        <f t="shared" si="3"/>
        <v>0</v>
      </c>
    </row>
    <row r="102" customHeight="1" spans="1:12">
      <c r="A102" s="47">
        <f>IFERROR(__xludf.DUMMYFUNCTION("""COMPUTED_VALUE"""),45888.6458333333)</f>
        <v>45888.6458333333</v>
      </c>
      <c r="B102" s="48">
        <f>IFERROR(__xludf.DUMMYFUNCTION("""COMPUTED_VALUE"""),288)</f>
        <v>288</v>
      </c>
      <c r="C102" s="47">
        <f>IFERROR(__xludf.DUMMYFUNCTION("""COMPUTED_VALUE"""),45888.6458333333)</f>
        <v>45888.6458333333</v>
      </c>
      <c r="D102" s="48">
        <f>IFERROR(__xludf.DUMMYFUNCTION("""COMPUTED_VALUE"""),290)</f>
        <v>290</v>
      </c>
      <c r="E102" s="47">
        <f>IFERROR(__xludf.DUMMYFUNCTION("""COMPUTED_VALUE"""),45888.6458333333)</f>
        <v>45888.6458333333</v>
      </c>
      <c r="F102" s="48">
        <f>IFERROR(__xludf.DUMMYFUNCTION("""COMPUTED_VALUE"""),7196772)</f>
        <v>7196772</v>
      </c>
      <c r="G102" s="47">
        <f>IFERROR(__xludf.DUMMYFUNCTION("""COMPUTED_VALUE"""),45888.6458333333)</f>
        <v>45888.6458333333</v>
      </c>
      <c r="H102" s="48">
        <f>IFERROR(__xludf.DUMMYFUNCTION("""COMPUTED_VALUE"""),290.1)</f>
        <v>290.1</v>
      </c>
      <c r="I102" s="47">
        <f>IFERROR(__xludf.DUMMYFUNCTION("""COMPUTED_VALUE"""),45888.6458333333)</f>
        <v>45888.6458333333</v>
      </c>
      <c r="J102" s="48">
        <f>IFERROR(__xludf.DUMMYFUNCTION("""COMPUTED_VALUE"""),286.55)</f>
        <v>286.55</v>
      </c>
      <c r="K102" s="3">
        <f t="shared" si="2"/>
        <v>0</v>
      </c>
      <c r="L102" s="3">
        <f t="shared" si="3"/>
        <v>0</v>
      </c>
    </row>
    <row r="103" customHeight="1" spans="1:12">
      <c r="A103" s="47">
        <f>IFERROR(__xludf.DUMMYFUNCTION("""COMPUTED_VALUE"""),45889.6458333333)</f>
        <v>45889.6458333333</v>
      </c>
      <c r="B103" s="48">
        <f>IFERROR(__xludf.DUMMYFUNCTION("""COMPUTED_VALUE"""),288.4)</f>
        <v>288.4</v>
      </c>
      <c r="C103" s="47">
        <f>IFERROR(__xludf.DUMMYFUNCTION("""COMPUTED_VALUE"""),45889.6458333333)</f>
        <v>45889.6458333333</v>
      </c>
      <c r="D103" s="48">
        <f>IFERROR(__xludf.DUMMYFUNCTION("""COMPUTED_VALUE"""),288.2)</f>
        <v>288.2</v>
      </c>
      <c r="E103" s="47">
        <f>IFERROR(__xludf.DUMMYFUNCTION("""COMPUTED_VALUE"""),45889.6458333333)</f>
        <v>45889.6458333333</v>
      </c>
      <c r="F103" s="48">
        <f>IFERROR(__xludf.DUMMYFUNCTION("""COMPUTED_VALUE"""),3106073)</f>
        <v>3106073</v>
      </c>
      <c r="G103" s="47">
        <f>IFERROR(__xludf.DUMMYFUNCTION("""COMPUTED_VALUE"""),45889.6458333333)</f>
        <v>45889.6458333333</v>
      </c>
      <c r="H103" s="48">
        <f>IFERROR(__xludf.DUMMYFUNCTION("""COMPUTED_VALUE"""),289)</f>
        <v>289</v>
      </c>
      <c r="I103" s="47">
        <f>IFERROR(__xludf.DUMMYFUNCTION("""COMPUTED_VALUE"""),45889.6458333333)</f>
        <v>45889.6458333333</v>
      </c>
      <c r="J103" s="48">
        <f>IFERROR(__xludf.DUMMYFUNCTION("""COMPUTED_VALUE"""),286.95)</f>
        <v>286.95</v>
      </c>
      <c r="K103" s="3">
        <f t="shared" si="2"/>
        <v>0</v>
      </c>
      <c r="L103" s="3">
        <f t="shared" si="3"/>
        <v>0</v>
      </c>
    </row>
    <row r="104" customHeight="1" spans="1:12">
      <c r="A104" s="47">
        <f>IFERROR(__xludf.DUMMYFUNCTION("""COMPUTED_VALUE"""),45890.6458333333)</f>
        <v>45890.6458333333</v>
      </c>
      <c r="B104" s="48">
        <f>IFERROR(__xludf.DUMMYFUNCTION("""COMPUTED_VALUE"""),284)</f>
        <v>284</v>
      </c>
      <c r="C104" s="47">
        <f>IFERROR(__xludf.DUMMYFUNCTION("""COMPUTED_VALUE"""),45890.6458333333)</f>
        <v>45890.6458333333</v>
      </c>
      <c r="D104" s="48">
        <f>IFERROR(__xludf.DUMMYFUNCTION("""COMPUTED_VALUE"""),288.4)</f>
        <v>288.4</v>
      </c>
      <c r="E104" s="47">
        <f>IFERROR(__xludf.DUMMYFUNCTION("""COMPUTED_VALUE"""),45890.6458333333)</f>
        <v>45890.6458333333</v>
      </c>
      <c r="F104" s="48">
        <f>IFERROR(__xludf.DUMMYFUNCTION("""COMPUTED_VALUE"""),7389271)</f>
        <v>7389271</v>
      </c>
      <c r="G104" s="47">
        <f>IFERROR(__xludf.DUMMYFUNCTION("""COMPUTED_VALUE"""),45890.6458333333)</f>
        <v>45890.6458333333</v>
      </c>
      <c r="H104" s="48">
        <f>IFERROR(__xludf.DUMMYFUNCTION("""COMPUTED_VALUE"""),289.55)</f>
        <v>289.55</v>
      </c>
      <c r="I104" s="47">
        <f>IFERROR(__xludf.DUMMYFUNCTION("""COMPUTED_VALUE"""),45890.6458333333)</f>
        <v>45890.6458333333</v>
      </c>
      <c r="J104" s="48">
        <f>IFERROR(__xludf.DUMMYFUNCTION("""COMPUTED_VALUE"""),283.6)</f>
        <v>283.6</v>
      </c>
      <c r="K104" s="3">
        <f t="shared" si="2"/>
        <v>0</v>
      </c>
      <c r="L104" s="3">
        <f t="shared" si="3"/>
        <v>0</v>
      </c>
    </row>
    <row r="105" customHeight="1" spans="1:12">
      <c r="A105" s="47">
        <f>IFERROR(__xludf.DUMMYFUNCTION("""COMPUTED_VALUE"""),45891.6458333333)</f>
        <v>45891.6458333333</v>
      </c>
      <c r="B105" s="48">
        <f>IFERROR(__xludf.DUMMYFUNCTION("""COMPUTED_VALUE"""),283.35)</f>
        <v>283.35</v>
      </c>
      <c r="C105" s="47">
        <f>IFERROR(__xludf.DUMMYFUNCTION("""COMPUTED_VALUE"""),45891.6458333333)</f>
        <v>45891.6458333333</v>
      </c>
      <c r="D105" s="48">
        <f>IFERROR(__xludf.DUMMYFUNCTION("""COMPUTED_VALUE"""),284)</f>
        <v>284</v>
      </c>
      <c r="E105" s="47">
        <f>IFERROR(__xludf.DUMMYFUNCTION("""COMPUTED_VALUE"""),45891.6458333333)</f>
        <v>45891.6458333333</v>
      </c>
      <c r="F105" s="48">
        <f>IFERROR(__xludf.DUMMYFUNCTION("""COMPUTED_VALUE"""),6824793)</f>
        <v>6824793</v>
      </c>
      <c r="G105" s="47">
        <f>IFERROR(__xludf.DUMMYFUNCTION("""COMPUTED_VALUE"""),45891.6458333333)</f>
        <v>45891.6458333333</v>
      </c>
      <c r="H105" s="48">
        <f>IFERROR(__xludf.DUMMYFUNCTION("""COMPUTED_VALUE"""),284.55)</f>
        <v>284.55</v>
      </c>
      <c r="I105" s="47">
        <f>IFERROR(__xludf.DUMMYFUNCTION("""COMPUTED_VALUE"""),45891.6458333333)</f>
        <v>45891.6458333333</v>
      </c>
      <c r="J105" s="48">
        <f>IFERROR(__xludf.DUMMYFUNCTION("""COMPUTED_VALUE"""),281.8)</f>
        <v>281.8</v>
      </c>
      <c r="K105" s="3">
        <f t="shared" si="2"/>
        <v>0</v>
      </c>
      <c r="L105" s="3">
        <f t="shared" si="3"/>
        <v>0</v>
      </c>
    </row>
    <row r="106" customHeight="1" spans="1:12">
      <c r="A106" s="47">
        <f>IFERROR(__xludf.DUMMYFUNCTION("""COMPUTED_VALUE"""),45894.6458333333)</f>
        <v>45894.6458333333</v>
      </c>
      <c r="B106" s="48">
        <f>IFERROR(__xludf.DUMMYFUNCTION("""COMPUTED_VALUE"""),284.15)</f>
        <v>284.15</v>
      </c>
      <c r="C106" s="47">
        <f>IFERROR(__xludf.DUMMYFUNCTION("""COMPUTED_VALUE"""),45894.6458333333)</f>
        <v>45894.6458333333</v>
      </c>
      <c r="D106" s="48">
        <f>IFERROR(__xludf.DUMMYFUNCTION("""COMPUTED_VALUE"""),283.35)</f>
        <v>283.35</v>
      </c>
      <c r="E106" s="47">
        <f>IFERROR(__xludf.DUMMYFUNCTION("""COMPUTED_VALUE"""),45894.6458333333)</f>
        <v>45894.6458333333</v>
      </c>
      <c r="F106" s="48">
        <f>IFERROR(__xludf.DUMMYFUNCTION("""COMPUTED_VALUE"""),7426789)</f>
        <v>7426789</v>
      </c>
      <c r="G106" s="47">
        <f>IFERROR(__xludf.DUMMYFUNCTION("""COMPUTED_VALUE"""),45894.6458333333)</f>
        <v>45894.6458333333</v>
      </c>
      <c r="H106" s="48">
        <f>IFERROR(__xludf.DUMMYFUNCTION("""COMPUTED_VALUE"""),284.6)</f>
        <v>284.6</v>
      </c>
      <c r="I106" s="47">
        <f>IFERROR(__xludf.DUMMYFUNCTION("""COMPUTED_VALUE"""),45894.6458333333)</f>
        <v>45894.6458333333</v>
      </c>
      <c r="J106" s="48">
        <f>IFERROR(__xludf.DUMMYFUNCTION("""COMPUTED_VALUE"""),282.2)</f>
        <v>282.2</v>
      </c>
      <c r="K106" s="3">
        <f t="shared" si="2"/>
        <v>0</v>
      </c>
      <c r="L106" s="3">
        <f t="shared" si="3"/>
        <v>0</v>
      </c>
    </row>
    <row r="107" customHeight="1" spans="1:12">
      <c r="A107" s="47">
        <f>IFERROR(__xludf.DUMMYFUNCTION("""COMPUTED_VALUE"""),45895.6458333333)</f>
        <v>45895.6458333333</v>
      </c>
      <c r="B107" s="48">
        <f>IFERROR(__xludf.DUMMYFUNCTION("""COMPUTED_VALUE"""),279.9)</f>
        <v>279.9</v>
      </c>
      <c r="C107" s="47">
        <f>IFERROR(__xludf.DUMMYFUNCTION("""COMPUTED_VALUE"""),45895.6458333333)</f>
        <v>45895.6458333333</v>
      </c>
      <c r="D107" s="48">
        <f>IFERROR(__xludf.DUMMYFUNCTION("""COMPUTED_VALUE"""),283)</f>
        <v>283</v>
      </c>
      <c r="E107" s="47">
        <f>IFERROR(__xludf.DUMMYFUNCTION("""COMPUTED_VALUE"""),45895.6458333333)</f>
        <v>45895.6458333333</v>
      </c>
      <c r="F107" s="48">
        <f>IFERROR(__xludf.DUMMYFUNCTION("""COMPUTED_VALUE"""),22905910)</f>
        <v>22905910</v>
      </c>
      <c r="G107" s="47">
        <f>IFERROR(__xludf.DUMMYFUNCTION("""COMPUTED_VALUE"""),45895.6458333333)</f>
        <v>45895.6458333333</v>
      </c>
      <c r="H107" s="48">
        <f>IFERROR(__xludf.DUMMYFUNCTION("""COMPUTED_VALUE"""),283.8)</f>
        <v>283.8</v>
      </c>
      <c r="I107" s="47">
        <f>IFERROR(__xludf.DUMMYFUNCTION("""COMPUTED_VALUE"""),45895.6458333333)</f>
        <v>45895.6458333333</v>
      </c>
      <c r="J107" s="48">
        <f>IFERROR(__xludf.DUMMYFUNCTION("""COMPUTED_VALUE"""),278.9)</f>
        <v>278.9</v>
      </c>
      <c r="K107" s="3">
        <f t="shared" si="2"/>
        <v>0</v>
      </c>
      <c r="L107" s="3">
        <f t="shared" si="3"/>
        <v>0</v>
      </c>
    </row>
    <row r="108" customHeight="1" spans="1:12">
      <c r="A108" s="47">
        <f>IFERROR(__xludf.DUMMYFUNCTION("""COMPUTED_VALUE"""),45897.6458333333)</f>
        <v>45897.6458333333</v>
      </c>
      <c r="B108" s="48">
        <f>IFERROR(__xludf.DUMMYFUNCTION("""COMPUTED_VALUE"""),274.45)</f>
        <v>274.45</v>
      </c>
      <c r="C108" s="47">
        <f>IFERROR(__xludf.DUMMYFUNCTION("""COMPUTED_VALUE"""),45897.6458333333)</f>
        <v>45897.6458333333</v>
      </c>
      <c r="D108" s="48">
        <f>IFERROR(__xludf.DUMMYFUNCTION("""COMPUTED_VALUE"""),282)</f>
        <v>282</v>
      </c>
      <c r="E108" s="47">
        <f>IFERROR(__xludf.DUMMYFUNCTION("""COMPUTED_VALUE"""),45897.6458333333)</f>
        <v>45897.6458333333</v>
      </c>
      <c r="F108" s="48">
        <f>IFERROR(__xludf.DUMMYFUNCTION("""COMPUTED_VALUE"""),12455072)</f>
        <v>12455072</v>
      </c>
      <c r="G108" s="47">
        <f>IFERROR(__xludf.DUMMYFUNCTION("""COMPUTED_VALUE"""),45897.6458333333)</f>
        <v>45897.6458333333</v>
      </c>
      <c r="H108" s="48">
        <f>IFERROR(__xludf.DUMMYFUNCTION("""COMPUTED_VALUE"""),282)</f>
        <v>282</v>
      </c>
      <c r="I108" s="47">
        <f>IFERROR(__xludf.DUMMYFUNCTION("""COMPUTED_VALUE"""),45897.6458333333)</f>
        <v>45897.6458333333</v>
      </c>
      <c r="J108" s="48">
        <f>IFERROR(__xludf.DUMMYFUNCTION("""COMPUTED_VALUE"""),273.6)</f>
        <v>273.6</v>
      </c>
      <c r="K108" s="3">
        <f t="shared" si="2"/>
        <v>0</v>
      </c>
      <c r="L108" s="3">
        <f t="shared" si="3"/>
        <v>274.45</v>
      </c>
    </row>
    <row r="109" customHeight="1" spans="1:12">
      <c r="A109" s="47">
        <f>IFERROR(__xludf.DUMMYFUNCTION("""COMPUTED_VALUE"""),45898.6458333333)</f>
        <v>45898.6458333333</v>
      </c>
      <c r="B109" s="48">
        <f>IFERROR(__xludf.DUMMYFUNCTION("""COMPUTED_VALUE"""),275.25)</f>
        <v>275.25</v>
      </c>
      <c r="C109" s="47">
        <f>IFERROR(__xludf.DUMMYFUNCTION("""COMPUTED_VALUE"""),45898.6458333333)</f>
        <v>45898.6458333333</v>
      </c>
      <c r="D109" s="48">
        <f>IFERROR(__xludf.DUMMYFUNCTION("""COMPUTED_VALUE"""),273.6)</f>
        <v>273.6</v>
      </c>
      <c r="E109" s="47">
        <f>IFERROR(__xludf.DUMMYFUNCTION("""COMPUTED_VALUE"""),45898.6458333333)</f>
        <v>45898.6458333333</v>
      </c>
      <c r="F109" s="48">
        <f>IFERROR(__xludf.DUMMYFUNCTION("""COMPUTED_VALUE"""),12841075)</f>
        <v>12841075</v>
      </c>
      <c r="G109" s="47">
        <f>IFERROR(__xludf.DUMMYFUNCTION("""COMPUTED_VALUE"""),45898.6458333333)</f>
        <v>45898.6458333333</v>
      </c>
      <c r="H109" s="48">
        <f>IFERROR(__xludf.DUMMYFUNCTION("""COMPUTED_VALUE"""),276.1)</f>
        <v>276.1</v>
      </c>
      <c r="I109" s="47">
        <f>IFERROR(__xludf.DUMMYFUNCTION("""COMPUTED_VALUE"""),45898.6458333333)</f>
        <v>45898.6458333333</v>
      </c>
      <c r="J109" s="48">
        <f>IFERROR(__xludf.DUMMYFUNCTION("""COMPUTED_VALUE"""),272.25)</f>
        <v>272.25</v>
      </c>
      <c r="K109" s="3">
        <f t="shared" si="2"/>
        <v>0</v>
      </c>
      <c r="L109" s="3">
        <f t="shared" si="3"/>
        <v>0</v>
      </c>
    </row>
    <row r="110" customHeight="1" spans="1:12">
      <c r="A110" s="47">
        <f>IFERROR(__xludf.DUMMYFUNCTION("""COMPUTED_VALUE"""),45901.6458333333)</f>
        <v>45901.6458333333</v>
      </c>
      <c r="B110" s="48">
        <f>IFERROR(__xludf.DUMMYFUNCTION("""COMPUTED_VALUE"""),279.85)</f>
        <v>279.85</v>
      </c>
      <c r="C110" s="47">
        <f>IFERROR(__xludf.DUMMYFUNCTION("""COMPUTED_VALUE"""),45901.6458333333)</f>
        <v>45901.6458333333</v>
      </c>
      <c r="D110" s="48">
        <f>IFERROR(__xludf.DUMMYFUNCTION("""COMPUTED_VALUE"""),276)</f>
        <v>276</v>
      </c>
      <c r="E110" s="47">
        <f>IFERROR(__xludf.DUMMYFUNCTION("""COMPUTED_VALUE"""),45901.6458333333)</f>
        <v>45901.6458333333</v>
      </c>
      <c r="F110" s="48">
        <f>IFERROR(__xludf.DUMMYFUNCTION("""COMPUTED_VALUE"""),10820878)</f>
        <v>10820878</v>
      </c>
      <c r="G110" s="47">
        <f>IFERROR(__xludf.DUMMYFUNCTION("""COMPUTED_VALUE"""),45901.6458333333)</f>
        <v>45901.6458333333</v>
      </c>
      <c r="H110" s="48">
        <f>IFERROR(__xludf.DUMMYFUNCTION("""COMPUTED_VALUE"""),280.6)</f>
        <v>280.6</v>
      </c>
      <c r="I110" s="47">
        <f>IFERROR(__xludf.DUMMYFUNCTION("""COMPUTED_VALUE"""),45901.6458333333)</f>
        <v>45901.6458333333</v>
      </c>
      <c r="J110" s="48">
        <f>IFERROR(__xludf.DUMMYFUNCTION("""COMPUTED_VALUE"""),276)</f>
        <v>276</v>
      </c>
      <c r="K110" s="3">
        <f t="shared" si="2"/>
        <v>0</v>
      </c>
      <c r="L110" s="3">
        <f t="shared" si="3"/>
        <v>0</v>
      </c>
    </row>
    <row r="111" customHeight="1" spans="1:12">
      <c r="A111" s="47">
        <f>IFERROR(__xludf.DUMMYFUNCTION("""COMPUTED_VALUE"""),45902.6458333333)</f>
        <v>45902.6458333333</v>
      </c>
      <c r="B111" s="48">
        <f>IFERROR(__xludf.DUMMYFUNCTION("""COMPUTED_VALUE"""),286.7)</f>
        <v>286.7</v>
      </c>
      <c r="C111" s="47">
        <f>IFERROR(__xludf.DUMMYFUNCTION("""COMPUTED_VALUE"""),45902.6458333333)</f>
        <v>45902.6458333333</v>
      </c>
      <c r="D111" s="48">
        <f>IFERROR(__xludf.DUMMYFUNCTION("""COMPUTED_VALUE"""),280.2)</f>
        <v>280.2</v>
      </c>
      <c r="E111" s="47">
        <f>IFERROR(__xludf.DUMMYFUNCTION("""COMPUTED_VALUE"""),45902.6458333333)</f>
        <v>45902.6458333333</v>
      </c>
      <c r="F111" s="48">
        <f>IFERROR(__xludf.DUMMYFUNCTION("""COMPUTED_VALUE"""),16983677)</f>
        <v>16983677</v>
      </c>
      <c r="G111" s="47">
        <f>IFERROR(__xludf.DUMMYFUNCTION("""COMPUTED_VALUE"""),45902.6458333333)</f>
        <v>45902.6458333333</v>
      </c>
      <c r="H111" s="48">
        <f>IFERROR(__xludf.DUMMYFUNCTION("""COMPUTED_VALUE"""),287.9)</f>
        <v>287.9</v>
      </c>
      <c r="I111" s="47">
        <f>IFERROR(__xludf.DUMMYFUNCTION("""COMPUTED_VALUE"""),45902.6458333333)</f>
        <v>45902.6458333333</v>
      </c>
      <c r="J111" s="48">
        <f>IFERROR(__xludf.DUMMYFUNCTION("""COMPUTED_VALUE"""),279.85)</f>
        <v>279.85</v>
      </c>
      <c r="K111" s="3">
        <f t="shared" si="2"/>
        <v>286.7</v>
      </c>
      <c r="L111" s="3">
        <f t="shared" si="3"/>
        <v>0</v>
      </c>
    </row>
    <row r="112" customHeight="1" spans="1:12">
      <c r="A112" s="47">
        <f>IFERROR(__xludf.DUMMYFUNCTION("""COMPUTED_VALUE"""),45903.6458333333)</f>
        <v>45903.6458333333</v>
      </c>
      <c r="B112" s="48">
        <f>IFERROR(__xludf.DUMMYFUNCTION("""COMPUTED_VALUE"""),286.05)</f>
        <v>286.05</v>
      </c>
      <c r="C112" s="47">
        <f>IFERROR(__xludf.DUMMYFUNCTION("""COMPUTED_VALUE"""),45903.6458333333)</f>
        <v>45903.6458333333</v>
      </c>
      <c r="D112" s="48">
        <f>IFERROR(__xludf.DUMMYFUNCTION("""COMPUTED_VALUE"""),289)</f>
        <v>289</v>
      </c>
      <c r="E112" s="47">
        <f>IFERROR(__xludf.DUMMYFUNCTION("""COMPUTED_VALUE"""),45903.6458333333)</f>
        <v>45903.6458333333</v>
      </c>
      <c r="F112" s="48">
        <f>IFERROR(__xludf.DUMMYFUNCTION("""COMPUTED_VALUE"""),30178885)</f>
        <v>30178885</v>
      </c>
      <c r="G112" s="47">
        <f>IFERROR(__xludf.DUMMYFUNCTION("""COMPUTED_VALUE"""),45903.6458333333)</f>
        <v>45903.6458333333</v>
      </c>
      <c r="H112" s="48">
        <f>IFERROR(__xludf.DUMMYFUNCTION("""COMPUTED_VALUE"""),289.2)</f>
        <v>289.2</v>
      </c>
      <c r="I112" s="47">
        <f>IFERROR(__xludf.DUMMYFUNCTION("""COMPUTED_VALUE"""),45903.6458333333)</f>
        <v>45903.6458333333</v>
      </c>
      <c r="J112" s="48">
        <f>IFERROR(__xludf.DUMMYFUNCTION("""COMPUTED_VALUE"""),285.6)</f>
        <v>285.6</v>
      </c>
      <c r="K112" s="3">
        <f t="shared" si="2"/>
        <v>0</v>
      </c>
      <c r="L112" s="3">
        <f t="shared" si="3"/>
        <v>0</v>
      </c>
    </row>
    <row r="113" customHeight="1" spans="1:12">
      <c r="A113" s="47">
        <f>IFERROR(__xludf.DUMMYFUNCTION("""COMPUTED_VALUE"""),45904.6458333333)</f>
        <v>45904.6458333333</v>
      </c>
      <c r="B113" s="48">
        <f>IFERROR(__xludf.DUMMYFUNCTION("""COMPUTED_VALUE"""),281.8)</f>
        <v>281.8</v>
      </c>
      <c r="C113" s="47">
        <f>IFERROR(__xludf.DUMMYFUNCTION("""COMPUTED_VALUE"""),45904.6458333333)</f>
        <v>45904.6458333333</v>
      </c>
      <c r="D113" s="48">
        <f>IFERROR(__xludf.DUMMYFUNCTION("""COMPUTED_VALUE"""),286.85)</f>
        <v>286.85</v>
      </c>
      <c r="E113" s="47">
        <f>IFERROR(__xludf.DUMMYFUNCTION("""COMPUTED_VALUE"""),45904.6458333333)</f>
        <v>45904.6458333333</v>
      </c>
      <c r="F113" s="48">
        <f>IFERROR(__xludf.DUMMYFUNCTION("""COMPUTED_VALUE"""),5946090)</f>
        <v>5946090</v>
      </c>
      <c r="G113" s="47">
        <f>IFERROR(__xludf.DUMMYFUNCTION("""COMPUTED_VALUE"""),45904.6458333333)</f>
        <v>45904.6458333333</v>
      </c>
      <c r="H113" s="48">
        <f>IFERROR(__xludf.DUMMYFUNCTION("""COMPUTED_VALUE"""),287.95)</f>
        <v>287.95</v>
      </c>
      <c r="I113" s="47">
        <f>IFERROR(__xludf.DUMMYFUNCTION("""COMPUTED_VALUE"""),45904.6458333333)</f>
        <v>45904.6458333333</v>
      </c>
      <c r="J113" s="48">
        <f>IFERROR(__xludf.DUMMYFUNCTION("""COMPUTED_VALUE"""),280.9)</f>
        <v>280.9</v>
      </c>
      <c r="K113" s="3">
        <f t="shared" si="2"/>
        <v>0</v>
      </c>
      <c r="L113" s="3">
        <f t="shared" si="3"/>
        <v>0</v>
      </c>
    </row>
    <row r="114" customHeight="1" spans="1:12">
      <c r="A114" s="47">
        <f>IFERROR(__xludf.DUMMYFUNCTION("""COMPUTED_VALUE"""),45905.6458333333)</f>
        <v>45905.6458333333</v>
      </c>
      <c r="B114" s="48">
        <f>IFERROR(__xludf.DUMMYFUNCTION("""COMPUTED_VALUE"""),285.35)</f>
        <v>285.35</v>
      </c>
      <c r="C114" s="47">
        <f>IFERROR(__xludf.DUMMYFUNCTION("""COMPUTED_VALUE"""),45905.6458333333)</f>
        <v>45905.6458333333</v>
      </c>
      <c r="D114" s="48">
        <f>IFERROR(__xludf.DUMMYFUNCTION("""COMPUTED_VALUE"""),282.35)</f>
        <v>282.35</v>
      </c>
      <c r="E114" s="47">
        <f>IFERROR(__xludf.DUMMYFUNCTION("""COMPUTED_VALUE"""),45905.6458333333)</f>
        <v>45905.6458333333</v>
      </c>
      <c r="F114" s="48">
        <f>IFERROR(__xludf.DUMMYFUNCTION("""COMPUTED_VALUE"""),9695914)</f>
        <v>9695914</v>
      </c>
      <c r="G114" s="47">
        <f>IFERROR(__xludf.DUMMYFUNCTION("""COMPUTED_VALUE"""),45905.6458333333)</f>
        <v>45905.6458333333</v>
      </c>
      <c r="H114" s="48">
        <f>IFERROR(__xludf.DUMMYFUNCTION("""COMPUTED_VALUE"""),286.65)</f>
        <v>286.65</v>
      </c>
      <c r="I114" s="47">
        <f>IFERROR(__xludf.DUMMYFUNCTION("""COMPUTED_VALUE"""),45905.6458333333)</f>
        <v>45905.6458333333</v>
      </c>
      <c r="J114" s="48">
        <f>IFERROR(__xludf.DUMMYFUNCTION("""COMPUTED_VALUE"""),282.35)</f>
        <v>282.35</v>
      </c>
      <c r="K114" s="3">
        <f t="shared" si="2"/>
        <v>0</v>
      </c>
      <c r="L114" s="3">
        <f t="shared" si="3"/>
        <v>0</v>
      </c>
    </row>
    <row r="115" customHeight="1" spans="1:12">
      <c r="A115" s="47">
        <f>IFERROR(__xludf.DUMMYFUNCTION("""COMPUTED_VALUE"""),45908.6458333333)</f>
        <v>45908.6458333333</v>
      </c>
      <c r="B115" s="48">
        <f>IFERROR(__xludf.DUMMYFUNCTION("""COMPUTED_VALUE"""),282.8)</f>
        <v>282.8</v>
      </c>
      <c r="C115" s="47">
        <f>IFERROR(__xludf.DUMMYFUNCTION("""COMPUTED_VALUE"""),45908.6458333333)</f>
        <v>45908.6458333333</v>
      </c>
      <c r="D115" s="48">
        <f>IFERROR(__xludf.DUMMYFUNCTION("""COMPUTED_VALUE"""),286.4)</f>
        <v>286.4</v>
      </c>
      <c r="E115" s="47">
        <f>IFERROR(__xludf.DUMMYFUNCTION("""COMPUTED_VALUE"""),45908.6458333333)</f>
        <v>45908.6458333333</v>
      </c>
      <c r="F115" s="48">
        <f>IFERROR(__xludf.DUMMYFUNCTION("""COMPUTED_VALUE"""),5186605)</f>
        <v>5186605</v>
      </c>
      <c r="G115" s="47">
        <f>IFERROR(__xludf.DUMMYFUNCTION("""COMPUTED_VALUE"""),45908.6458333333)</f>
        <v>45908.6458333333</v>
      </c>
      <c r="H115" s="48">
        <f>IFERROR(__xludf.DUMMYFUNCTION("""COMPUTED_VALUE"""),287.7)</f>
        <v>287.7</v>
      </c>
      <c r="I115" s="47">
        <f>IFERROR(__xludf.DUMMYFUNCTION("""COMPUTED_VALUE"""),45908.6458333333)</f>
        <v>45908.6458333333</v>
      </c>
      <c r="J115" s="48">
        <f>IFERROR(__xludf.DUMMYFUNCTION("""COMPUTED_VALUE"""),282.1)</f>
        <v>282.1</v>
      </c>
      <c r="K115" s="3">
        <f t="shared" si="2"/>
        <v>0</v>
      </c>
      <c r="L115" s="3">
        <f t="shared" si="3"/>
        <v>0</v>
      </c>
    </row>
    <row r="116" customHeight="1" spans="1:12">
      <c r="A116" s="47">
        <f>IFERROR(__xludf.DUMMYFUNCTION("""COMPUTED_VALUE"""),45909.6458333333)</f>
        <v>45909.6458333333</v>
      </c>
      <c r="B116" s="48">
        <f>IFERROR(__xludf.DUMMYFUNCTION("""COMPUTED_VALUE"""),283.85)</f>
        <v>283.85</v>
      </c>
      <c r="C116" s="47">
        <f>IFERROR(__xludf.DUMMYFUNCTION("""COMPUTED_VALUE"""),45909.6458333333)</f>
        <v>45909.6458333333</v>
      </c>
      <c r="D116" s="48">
        <f>IFERROR(__xludf.DUMMYFUNCTION("""COMPUTED_VALUE"""),283.05)</f>
        <v>283.05</v>
      </c>
      <c r="E116" s="47">
        <f>IFERROR(__xludf.DUMMYFUNCTION("""COMPUTED_VALUE"""),45909.6458333333)</f>
        <v>45909.6458333333</v>
      </c>
      <c r="F116" s="48">
        <f>IFERROR(__xludf.DUMMYFUNCTION("""COMPUTED_VALUE"""),7093190)</f>
        <v>7093190</v>
      </c>
      <c r="G116" s="47">
        <f>IFERROR(__xludf.DUMMYFUNCTION("""COMPUTED_VALUE"""),45909.6458333333)</f>
        <v>45909.6458333333</v>
      </c>
      <c r="H116" s="48">
        <f>IFERROR(__xludf.DUMMYFUNCTION("""COMPUTED_VALUE"""),284.35)</f>
        <v>284.35</v>
      </c>
      <c r="I116" s="47">
        <f>IFERROR(__xludf.DUMMYFUNCTION("""COMPUTED_VALUE"""),45909.6458333333)</f>
        <v>45909.6458333333</v>
      </c>
      <c r="J116" s="48">
        <f>IFERROR(__xludf.DUMMYFUNCTION("""COMPUTED_VALUE"""),281.7)</f>
        <v>281.7</v>
      </c>
      <c r="K116" s="3">
        <f t="shared" si="2"/>
        <v>0</v>
      </c>
      <c r="L116" s="3">
        <f t="shared" si="3"/>
        <v>0</v>
      </c>
    </row>
    <row r="117" customHeight="1" spans="1:12">
      <c r="A117" s="47">
        <f>IFERROR(__xludf.DUMMYFUNCTION("""COMPUTED_VALUE"""),45910.6458333333)</f>
        <v>45910.6458333333</v>
      </c>
      <c r="B117" s="48">
        <f>IFERROR(__xludf.DUMMYFUNCTION("""COMPUTED_VALUE"""),282.95)</f>
        <v>282.95</v>
      </c>
      <c r="C117" s="47">
        <f>IFERROR(__xludf.DUMMYFUNCTION("""COMPUTED_VALUE"""),45910.6458333333)</f>
        <v>45910.6458333333</v>
      </c>
      <c r="D117" s="48">
        <f>IFERROR(__xludf.DUMMYFUNCTION("""COMPUTED_VALUE"""),284.7)</f>
        <v>284.7</v>
      </c>
      <c r="E117" s="47">
        <f>IFERROR(__xludf.DUMMYFUNCTION("""COMPUTED_VALUE"""),45910.6458333333)</f>
        <v>45910.6458333333</v>
      </c>
      <c r="F117" s="48">
        <f>IFERROR(__xludf.DUMMYFUNCTION("""COMPUTED_VALUE"""),7767863)</f>
        <v>7767863</v>
      </c>
      <c r="G117" s="47">
        <f>IFERROR(__xludf.DUMMYFUNCTION("""COMPUTED_VALUE"""),45910.6458333333)</f>
        <v>45910.6458333333</v>
      </c>
      <c r="H117" s="48">
        <f>IFERROR(__xludf.DUMMYFUNCTION("""COMPUTED_VALUE"""),286.45)</f>
        <v>286.45</v>
      </c>
      <c r="I117" s="47">
        <f>IFERROR(__xludf.DUMMYFUNCTION("""COMPUTED_VALUE"""),45910.6458333333)</f>
        <v>45910.6458333333</v>
      </c>
      <c r="J117" s="48">
        <f>IFERROR(__xludf.DUMMYFUNCTION("""COMPUTED_VALUE"""),282.5)</f>
        <v>282.5</v>
      </c>
      <c r="K117" s="3">
        <f t="shared" si="2"/>
        <v>0</v>
      </c>
      <c r="L117" s="3">
        <f t="shared" si="3"/>
        <v>0</v>
      </c>
    </row>
    <row r="118" customHeight="1" spans="1:12">
      <c r="A118" s="47">
        <f>IFERROR(__xludf.DUMMYFUNCTION("""COMPUTED_VALUE"""),45911.6458333333)</f>
        <v>45911.6458333333</v>
      </c>
      <c r="B118" s="48">
        <f>IFERROR(__xludf.DUMMYFUNCTION("""COMPUTED_VALUE"""),286.8)</f>
        <v>286.8</v>
      </c>
      <c r="C118" s="47">
        <f>IFERROR(__xludf.DUMMYFUNCTION("""COMPUTED_VALUE"""),45911.6458333333)</f>
        <v>45911.6458333333</v>
      </c>
      <c r="D118" s="48">
        <f>IFERROR(__xludf.DUMMYFUNCTION("""COMPUTED_VALUE"""),282.55)</f>
        <v>282.55</v>
      </c>
      <c r="E118" s="47">
        <f>IFERROR(__xludf.DUMMYFUNCTION("""COMPUTED_VALUE"""),45911.6458333333)</f>
        <v>45911.6458333333</v>
      </c>
      <c r="F118" s="48">
        <f>IFERROR(__xludf.DUMMYFUNCTION("""COMPUTED_VALUE"""),7406625)</f>
        <v>7406625</v>
      </c>
      <c r="G118" s="47">
        <f>IFERROR(__xludf.DUMMYFUNCTION("""COMPUTED_VALUE"""),45911.6458333333)</f>
        <v>45911.6458333333</v>
      </c>
      <c r="H118" s="48">
        <f>IFERROR(__xludf.DUMMYFUNCTION("""COMPUTED_VALUE"""),288.7)</f>
        <v>288.7</v>
      </c>
      <c r="I118" s="47">
        <f>IFERROR(__xludf.DUMMYFUNCTION("""COMPUTED_VALUE"""),45911.6458333333)</f>
        <v>45911.6458333333</v>
      </c>
      <c r="J118" s="48">
        <f>IFERROR(__xludf.DUMMYFUNCTION("""COMPUTED_VALUE"""),282.55)</f>
        <v>282.55</v>
      </c>
      <c r="K118" s="3">
        <f t="shared" si="2"/>
        <v>0</v>
      </c>
      <c r="L118" s="3">
        <f t="shared" si="3"/>
        <v>0</v>
      </c>
    </row>
    <row r="119" customHeight="1" spans="1:12">
      <c r="A119" s="47">
        <f>IFERROR(__xludf.DUMMYFUNCTION("""COMPUTED_VALUE"""),45912.6458333333)</f>
        <v>45912.6458333333</v>
      </c>
      <c r="B119" s="48">
        <f>IFERROR(__xludf.DUMMYFUNCTION("""COMPUTED_VALUE"""),287.65)</f>
        <v>287.65</v>
      </c>
      <c r="C119" s="47">
        <f>IFERROR(__xludf.DUMMYFUNCTION("""COMPUTED_VALUE"""),45912.6458333333)</f>
        <v>45912.6458333333</v>
      </c>
      <c r="D119" s="48">
        <f>IFERROR(__xludf.DUMMYFUNCTION("""COMPUTED_VALUE"""),287.25)</f>
        <v>287.25</v>
      </c>
      <c r="E119" s="47">
        <f>IFERROR(__xludf.DUMMYFUNCTION("""COMPUTED_VALUE"""),45912.6458333333)</f>
        <v>45912.6458333333</v>
      </c>
      <c r="F119" s="48">
        <f>IFERROR(__xludf.DUMMYFUNCTION("""COMPUTED_VALUE"""),7618852)</f>
        <v>7618852</v>
      </c>
      <c r="G119" s="47">
        <f>IFERROR(__xludf.DUMMYFUNCTION("""COMPUTED_VALUE"""),45912.6458333333)</f>
        <v>45912.6458333333</v>
      </c>
      <c r="H119" s="48">
        <f>IFERROR(__xludf.DUMMYFUNCTION("""COMPUTED_VALUE"""),288.6)</f>
        <v>288.6</v>
      </c>
      <c r="I119" s="47">
        <f>IFERROR(__xludf.DUMMYFUNCTION("""COMPUTED_VALUE"""),45912.6458333333)</f>
        <v>45912.6458333333</v>
      </c>
      <c r="J119" s="48">
        <f>IFERROR(__xludf.DUMMYFUNCTION("""COMPUTED_VALUE"""),285.1)</f>
        <v>285.1</v>
      </c>
      <c r="K119" s="3">
        <f t="shared" si="2"/>
        <v>0</v>
      </c>
      <c r="L119" s="3">
        <f t="shared" si="3"/>
        <v>0</v>
      </c>
    </row>
    <row r="120" customHeight="1" spans="1:12">
      <c r="A120" s="47">
        <f>IFERROR(__xludf.DUMMYFUNCTION("""COMPUTED_VALUE"""),45915.6458333333)</f>
        <v>45915.6458333333</v>
      </c>
      <c r="B120" s="48">
        <f>IFERROR(__xludf.DUMMYFUNCTION("""COMPUTED_VALUE"""),286.25)</f>
        <v>286.25</v>
      </c>
      <c r="C120" s="47">
        <f>IFERROR(__xludf.DUMMYFUNCTION("""COMPUTED_VALUE"""),45915.6458333333)</f>
        <v>45915.6458333333</v>
      </c>
      <c r="D120" s="48">
        <f>IFERROR(__xludf.DUMMYFUNCTION("""COMPUTED_VALUE"""),288.3)</f>
        <v>288.3</v>
      </c>
      <c r="E120" s="47">
        <f>IFERROR(__xludf.DUMMYFUNCTION("""COMPUTED_VALUE"""),45915.6458333333)</f>
        <v>45915.6458333333</v>
      </c>
      <c r="F120" s="48">
        <f>IFERROR(__xludf.DUMMYFUNCTION("""COMPUTED_VALUE"""),5420800)</f>
        <v>5420800</v>
      </c>
      <c r="G120" s="47">
        <f>IFERROR(__xludf.DUMMYFUNCTION("""COMPUTED_VALUE"""),45915.6458333333)</f>
        <v>45915.6458333333</v>
      </c>
      <c r="H120" s="48">
        <f>IFERROR(__xludf.DUMMYFUNCTION("""COMPUTED_VALUE"""),288.8)</f>
        <v>288.8</v>
      </c>
      <c r="I120" s="47">
        <f>IFERROR(__xludf.DUMMYFUNCTION("""COMPUTED_VALUE"""),45915.6458333333)</f>
        <v>45915.6458333333</v>
      </c>
      <c r="J120" s="48">
        <f>IFERROR(__xludf.DUMMYFUNCTION("""COMPUTED_VALUE"""),285.75)</f>
        <v>285.75</v>
      </c>
      <c r="K120" s="3">
        <f t="shared" si="2"/>
        <v>0</v>
      </c>
      <c r="L120" s="3">
        <f t="shared" si="3"/>
        <v>0</v>
      </c>
    </row>
    <row r="121" customHeight="1" spans="1:12">
      <c r="A121" s="47">
        <f>IFERROR(__xludf.DUMMYFUNCTION("""COMPUTED_VALUE"""),45916.6458333333)</f>
        <v>45916.6458333333</v>
      </c>
      <c r="B121" s="48">
        <f>IFERROR(__xludf.DUMMYFUNCTION("""COMPUTED_VALUE"""),288.35)</f>
        <v>288.35</v>
      </c>
      <c r="C121" s="47">
        <f>IFERROR(__xludf.DUMMYFUNCTION("""COMPUTED_VALUE"""),45916.6458333333)</f>
        <v>45916.6458333333</v>
      </c>
      <c r="D121" s="48">
        <f>IFERROR(__xludf.DUMMYFUNCTION("""COMPUTED_VALUE"""),286.55)</f>
        <v>286.55</v>
      </c>
      <c r="E121" s="47">
        <f>IFERROR(__xludf.DUMMYFUNCTION("""COMPUTED_VALUE"""),45916.6458333333)</f>
        <v>45916.6458333333</v>
      </c>
      <c r="F121" s="48">
        <f>IFERROR(__xludf.DUMMYFUNCTION("""COMPUTED_VALUE"""),8626429)</f>
        <v>8626429</v>
      </c>
      <c r="G121" s="47">
        <f>IFERROR(__xludf.DUMMYFUNCTION("""COMPUTED_VALUE"""),45916.6458333333)</f>
        <v>45916.6458333333</v>
      </c>
      <c r="H121" s="48">
        <f>IFERROR(__xludf.DUMMYFUNCTION("""COMPUTED_VALUE"""),289.7)</f>
        <v>289.7</v>
      </c>
      <c r="I121" s="47">
        <f>IFERROR(__xludf.DUMMYFUNCTION("""COMPUTED_VALUE"""),45916.6458333333)</f>
        <v>45916.6458333333</v>
      </c>
      <c r="J121" s="48">
        <f>IFERROR(__xludf.DUMMYFUNCTION("""COMPUTED_VALUE"""),286.35)</f>
        <v>286.35</v>
      </c>
      <c r="K121" s="3">
        <f t="shared" si="2"/>
        <v>0</v>
      </c>
      <c r="L121" s="3">
        <f t="shared" si="3"/>
        <v>0</v>
      </c>
    </row>
    <row r="122" customHeight="1" spans="1:12">
      <c r="A122" s="47">
        <f>IFERROR(__xludf.DUMMYFUNCTION("""COMPUTED_VALUE"""),45917.6458333333)</f>
        <v>45917.6458333333</v>
      </c>
      <c r="B122" s="48">
        <f>IFERROR(__xludf.DUMMYFUNCTION("""COMPUTED_VALUE"""),287.15)</f>
        <v>287.15</v>
      </c>
      <c r="C122" s="47">
        <f>IFERROR(__xludf.DUMMYFUNCTION("""COMPUTED_VALUE"""),45917.6458333333)</f>
        <v>45917.6458333333</v>
      </c>
      <c r="D122" s="48">
        <f>IFERROR(__xludf.DUMMYFUNCTION("""COMPUTED_VALUE"""),289)</f>
        <v>289</v>
      </c>
      <c r="E122" s="47">
        <f>IFERROR(__xludf.DUMMYFUNCTION("""COMPUTED_VALUE"""),45917.6458333333)</f>
        <v>45917.6458333333</v>
      </c>
      <c r="F122" s="48">
        <f>IFERROR(__xludf.DUMMYFUNCTION("""COMPUTED_VALUE"""),19010126)</f>
        <v>19010126</v>
      </c>
      <c r="G122" s="47">
        <f>IFERROR(__xludf.DUMMYFUNCTION("""COMPUTED_VALUE"""),45917.6458333333)</f>
        <v>45917.6458333333</v>
      </c>
      <c r="H122" s="48">
        <f>IFERROR(__xludf.DUMMYFUNCTION("""COMPUTED_VALUE"""),289.2)</f>
        <v>289.2</v>
      </c>
      <c r="I122" s="47">
        <f>IFERROR(__xludf.DUMMYFUNCTION("""COMPUTED_VALUE"""),45917.6458333333)</f>
        <v>45917.6458333333</v>
      </c>
      <c r="J122" s="48">
        <f>IFERROR(__xludf.DUMMYFUNCTION("""COMPUTED_VALUE"""),285.95)</f>
        <v>285.95</v>
      </c>
      <c r="K122" s="3">
        <f t="shared" si="2"/>
        <v>0</v>
      </c>
      <c r="L122" s="3">
        <f t="shared" si="3"/>
        <v>0</v>
      </c>
    </row>
    <row r="123" customHeight="1" spans="1:12">
      <c r="A123" s="47">
        <f>IFERROR(__xludf.DUMMYFUNCTION("""COMPUTED_VALUE"""),45918.6458333333)</f>
        <v>45918.6458333333</v>
      </c>
      <c r="B123" s="48">
        <f>IFERROR(__xludf.DUMMYFUNCTION("""COMPUTED_VALUE"""),289.1)</f>
        <v>289.1</v>
      </c>
      <c r="C123" s="47">
        <f>IFERROR(__xludf.DUMMYFUNCTION("""COMPUTED_VALUE"""),45918.6458333333)</f>
        <v>45918.6458333333</v>
      </c>
      <c r="D123" s="48">
        <f>IFERROR(__xludf.DUMMYFUNCTION("""COMPUTED_VALUE"""),287)</f>
        <v>287</v>
      </c>
      <c r="E123" s="47">
        <f>IFERROR(__xludf.DUMMYFUNCTION("""COMPUTED_VALUE"""),45918.6458333333)</f>
        <v>45918.6458333333</v>
      </c>
      <c r="F123" s="48">
        <f>IFERROR(__xludf.DUMMYFUNCTION("""COMPUTED_VALUE"""),16842964)</f>
        <v>16842964</v>
      </c>
      <c r="G123" s="47">
        <f>IFERROR(__xludf.DUMMYFUNCTION("""COMPUTED_VALUE"""),45918.6458333333)</f>
        <v>45918.6458333333</v>
      </c>
      <c r="H123" s="48">
        <f>IFERROR(__xludf.DUMMYFUNCTION("""COMPUTED_VALUE"""),289.85)</f>
        <v>289.85</v>
      </c>
      <c r="I123" s="47">
        <f>IFERROR(__xludf.DUMMYFUNCTION("""COMPUTED_VALUE"""),45918.6458333333)</f>
        <v>45918.6458333333</v>
      </c>
      <c r="J123" s="48">
        <f>IFERROR(__xludf.DUMMYFUNCTION("""COMPUTED_VALUE"""),286.1)</f>
        <v>286.1</v>
      </c>
      <c r="K123" s="3">
        <f t="shared" si="2"/>
        <v>0</v>
      </c>
      <c r="L123" s="3">
        <f t="shared" si="3"/>
        <v>0</v>
      </c>
    </row>
    <row r="124" customHeight="1" spans="1:12">
      <c r="A124" s="47">
        <f>IFERROR(__xludf.DUMMYFUNCTION("""COMPUTED_VALUE"""),45919.6458333333)</f>
        <v>45919.6458333333</v>
      </c>
      <c r="B124" s="48">
        <f>IFERROR(__xludf.DUMMYFUNCTION("""COMPUTED_VALUE"""),286.2)</f>
        <v>286.2</v>
      </c>
      <c r="C124" s="47">
        <f>IFERROR(__xludf.DUMMYFUNCTION("""COMPUTED_VALUE"""),45919.6458333333)</f>
        <v>45919.6458333333</v>
      </c>
      <c r="D124" s="48">
        <f>IFERROR(__xludf.DUMMYFUNCTION("""COMPUTED_VALUE"""),290)</f>
        <v>290</v>
      </c>
      <c r="E124" s="47">
        <f>IFERROR(__xludf.DUMMYFUNCTION("""COMPUTED_VALUE"""),45919.6458333333)</f>
        <v>45919.6458333333</v>
      </c>
      <c r="F124" s="48">
        <f>IFERROR(__xludf.DUMMYFUNCTION("""COMPUTED_VALUE"""),14993879)</f>
        <v>14993879</v>
      </c>
      <c r="G124" s="47">
        <f>IFERROR(__xludf.DUMMYFUNCTION("""COMPUTED_VALUE"""),45919.6458333333)</f>
        <v>45919.6458333333</v>
      </c>
      <c r="H124" s="48">
        <f>IFERROR(__xludf.DUMMYFUNCTION("""COMPUTED_VALUE"""),290.2)</f>
        <v>290.2</v>
      </c>
      <c r="I124" s="47">
        <f>IFERROR(__xludf.DUMMYFUNCTION("""COMPUTED_VALUE"""),45919.6458333333)</f>
        <v>45919.6458333333</v>
      </c>
      <c r="J124" s="48">
        <f>IFERROR(__xludf.DUMMYFUNCTION("""COMPUTED_VALUE"""),284.9)</f>
        <v>284.9</v>
      </c>
      <c r="K124" s="3">
        <f t="shared" si="2"/>
        <v>0</v>
      </c>
      <c r="L124" s="3">
        <f t="shared" si="3"/>
        <v>0</v>
      </c>
    </row>
    <row r="125" customHeight="1" spans="1:12">
      <c r="A125" s="47">
        <f>IFERROR(__xludf.DUMMYFUNCTION("""COMPUTED_VALUE"""),45922.6458333333)</f>
        <v>45922.6458333333</v>
      </c>
      <c r="B125" s="48">
        <f>IFERROR(__xludf.DUMMYFUNCTION("""COMPUTED_VALUE"""),286.65)</f>
        <v>286.65</v>
      </c>
      <c r="C125" s="47">
        <f>IFERROR(__xludf.DUMMYFUNCTION("""COMPUTED_VALUE"""),45922.6458333333)</f>
        <v>45922.6458333333</v>
      </c>
      <c r="D125" s="48">
        <f>IFERROR(__xludf.DUMMYFUNCTION("""COMPUTED_VALUE"""),287)</f>
        <v>287</v>
      </c>
      <c r="E125" s="47">
        <f>IFERROR(__xludf.DUMMYFUNCTION("""COMPUTED_VALUE"""),45922.6458333333)</f>
        <v>45922.6458333333</v>
      </c>
      <c r="F125" s="48">
        <f>IFERROR(__xludf.DUMMYFUNCTION("""COMPUTED_VALUE"""),9456933)</f>
        <v>9456933</v>
      </c>
      <c r="G125" s="47">
        <f>IFERROR(__xludf.DUMMYFUNCTION("""COMPUTED_VALUE"""),45922.6458333333)</f>
        <v>45922.6458333333</v>
      </c>
      <c r="H125" s="48">
        <f>IFERROR(__xludf.DUMMYFUNCTION("""COMPUTED_VALUE"""),289)</f>
        <v>289</v>
      </c>
      <c r="I125" s="47">
        <f>IFERROR(__xludf.DUMMYFUNCTION("""COMPUTED_VALUE"""),45922.6458333333)</f>
        <v>45922.6458333333</v>
      </c>
      <c r="J125" s="48">
        <f>IFERROR(__xludf.DUMMYFUNCTION("""COMPUTED_VALUE"""),285.9)</f>
        <v>285.9</v>
      </c>
      <c r="K125" s="3">
        <f t="shared" si="2"/>
        <v>0</v>
      </c>
      <c r="L125" s="3">
        <f t="shared" si="3"/>
        <v>0</v>
      </c>
    </row>
    <row r="126" customHeight="1" spans="1:10">
      <c r="A126" s="47">
        <f>IFERROR(__xludf.DUMMYFUNCTION("""COMPUTED_VALUE"""),45923.6458333333)</f>
        <v>45923.6458333333</v>
      </c>
      <c r="B126" s="48">
        <f>IFERROR(__xludf.DUMMYFUNCTION("""COMPUTED_VALUE"""),288.6)</f>
        <v>288.6</v>
      </c>
      <c r="C126" s="47">
        <f>IFERROR(__xludf.DUMMYFUNCTION("""COMPUTED_VALUE"""),45923.6458333333)</f>
        <v>45923.6458333333</v>
      </c>
      <c r="D126" s="48">
        <f>IFERROR(__xludf.DUMMYFUNCTION("""COMPUTED_VALUE"""),288.65)</f>
        <v>288.65</v>
      </c>
      <c r="E126" s="47">
        <f>IFERROR(__xludf.DUMMYFUNCTION("""COMPUTED_VALUE"""),45923.6458333333)</f>
        <v>45923.6458333333</v>
      </c>
      <c r="F126" s="48">
        <f>IFERROR(__xludf.DUMMYFUNCTION("""COMPUTED_VALUE"""),13619147)</f>
        <v>13619147</v>
      </c>
      <c r="G126" s="47">
        <f>IFERROR(__xludf.DUMMYFUNCTION("""COMPUTED_VALUE"""),45923.6458333333)</f>
        <v>45923.6458333333</v>
      </c>
      <c r="H126" s="48">
        <f>IFERROR(__xludf.DUMMYFUNCTION("""COMPUTED_VALUE"""),289)</f>
        <v>289</v>
      </c>
      <c r="I126" s="47">
        <f>IFERROR(__xludf.DUMMYFUNCTION("""COMPUTED_VALUE"""),45923.6458333333)</f>
        <v>45923.6458333333</v>
      </c>
      <c r="J126" s="48">
        <f>IFERROR(__xludf.DUMMYFUNCTION("""COMPUTED_VALUE"""),285.4)</f>
        <v>285.4</v>
      </c>
    </row>
    <row r="127" customHeight="1" spans="1:10">
      <c r="A127" s="47">
        <f>IFERROR(__xludf.DUMMYFUNCTION("""COMPUTED_VALUE"""),45924.6458333333)</f>
        <v>45924.6458333333</v>
      </c>
      <c r="B127" s="48">
        <f>IFERROR(__xludf.DUMMYFUNCTION("""COMPUTED_VALUE"""),293.3)</f>
        <v>293.3</v>
      </c>
      <c r="C127" s="47">
        <f>IFERROR(__xludf.DUMMYFUNCTION("""COMPUTED_VALUE"""),45924.6458333333)</f>
        <v>45924.6458333333</v>
      </c>
      <c r="D127" s="48">
        <f>IFERROR(__xludf.DUMMYFUNCTION("""COMPUTED_VALUE"""),287.9)</f>
        <v>287.9</v>
      </c>
      <c r="E127" s="47">
        <f>IFERROR(__xludf.DUMMYFUNCTION("""COMPUTED_VALUE"""),45924.6458333333)</f>
        <v>45924.6458333333</v>
      </c>
      <c r="F127" s="48">
        <f>IFERROR(__xludf.DUMMYFUNCTION("""COMPUTED_VALUE"""),14032389)</f>
        <v>14032389</v>
      </c>
      <c r="G127" s="47">
        <f>IFERROR(__xludf.DUMMYFUNCTION("""COMPUTED_VALUE"""),45924.6458333333)</f>
        <v>45924.6458333333</v>
      </c>
      <c r="H127" s="48">
        <f>IFERROR(__xludf.DUMMYFUNCTION("""COMPUTED_VALUE"""),294.55)</f>
        <v>294.55</v>
      </c>
      <c r="I127" s="47">
        <f>IFERROR(__xludf.DUMMYFUNCTION("""COMPUTED_VALUE"""),45924.6458333333)</f>
        <v>45924.6458333333</v>
      </c>
      <c r="J127" s="48">
        <f>IFERROR(__xludf.DUMMYFUNCTION("""COMPUTED_VALUE"""),286.95)</f>
        <v>286.95</v>
      </c>
    </row>
    <row r="128" customHeight="1" spans="1:10">
      <c r="A128" s="47">
        <f>IFERROR(__xludf.DUMMYFUNCTION("""COMPUTED_VALUE"""),45925.6458333333)</f>
        <v>45925.6458333333</v>
      </c>
      <c r="B128" s="48">
        <f>IFERROR(__xludf.DUMMYFUNCTION("""COMPUTED_VALUE"""),284.4)</f>
        <v>284.4</v>
      </c>
      <c r="C128" s="47">
        <f>IFERROR(__xludf.DUMMYFUNCTION("""COMPUTED_VALUE"""),45925.6458333333)</f>
        <v>45925.6458333333</v>
      </c>
      <c r="D128" s="48">
        <f>IFERROR(__xludf.DUMMYFUNCTION("""COMPUTED_VALUE"""),294)</f>
        <v>294</v>
      </c>
      <c r="E128" s="47">
        <f>IFERROR(__xludf.DUMMYFUNCTION("""COMPUTED_VALUE"""),45925.6458333333)</f>
        <v>45925.6458333333</v>
      </c>
      <c r="F128" s="48">
        <f>IFERROR(__xludf.DUMMYFUNCTION("""COMPUTED_VALUE"""),16242837)</f>
        <v>16242837</v>
      </c>
      <c r="G128" s="47">
        <f>IFERROR(__xludf.DUMMYFUNCTION("""COMPUTED_VALUE"""),45925.6458333333)</f>
        <v>45925.6458333333</v>
      </c>
      <c r="H128" s="48">
        <f>IFERROR(__xludf.DUMMYFUNCTION("""COMPUTED_VALUE"""),294.85)</f>
        <v>294.85</v>
      </c>
      <c r="I128" s="47">
        <f>IFERROR(__xludf.DUMMYFUNCTION("""COMPUTED_VALUE"""),45925.6458333333)</f>
        <v>45925.6458333333</v>
      </c>
      <c r="J128" s="48">
        <f>IFERROR(__xludf.DUMMYFUNCTION("""COMPUTED_VALUE"""),283.6)</f>
        <v>283.6</v>
      </c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IFERROR(__xludf.DUMMYFUNCTION("""COMPUTED_VALUE"""),282.25)</f>
        <v>282.25</v>
      </c>
      <c r="C129" s="47">
        <f>IFERROR(__xludf.DUMMYFUNCTION("""COMPUTED_VALUE"""),45926.6458333333)</f>
        <v>45926.6458333333</v>
      </c>
      <c r="D129" s="48">
        <f>IFERROR(__xludf.DUMMYFUNCTION("""COMPUTED_VALUE"""),283.5)</f>
        <v>283.5</v>
      </c>
      <c r="E129" s="47">
        <f>IFERROR(__xludf.DUMMYFUNCTION("""COMPUTED_VALUE"""),45926.6458333333)</f>
        <v>45926.6458333333</v>
      </c>
      <c r="F129" s="48">
        <f>IFERROR(__xludf.DUMMYFUNCTION("""COMPUTED_VALUE"""),8959035)</f>
        <v>8959035</v>
      </c>
      <c r="G129" s="47">
        <f>IFERROR(__xludf.DUMMYFUNCTION("""COMPUTED_VALUE"""),45926.6458333333)</f>
        <v>45926.6458333333</v>
      </c>
      <c r="H129" s="48">
        <f>IFERROR(__xludf.DUMMYFUNCTION("""COMPUTED_VALUE"""),284.15)</f>
        <v>284.15</v>
      </c>
      <c r="I129" s="47">
        <f>IFERROR(__xludf.DUMMYFUNCTION("""COMPUTED_VALUE"""),45926.6458333333)</f>
        <v>45926.6458333333</v>
      </c>
      <c r="J129" s="48">
        <f>IFERROR(__xludf.DUMMYFUNCTION("""COMPUTED_VALUE"""),280.1)</f>
        <v>280.1</v>
      </c>
    </row>
  </sheetData>
  <mergeCells count="3">
    <mergeCell ref="M1:P1"/>
    <mergeCell ref="A3:F3"/>
    <mergeCell ref="AB4:AE4"/>
  </mergeCells>
  <conditionalFormatting sqref="A1:A2 A4">
    <cfRule type="notContainsBlanks" dxfId="0" priority="1">
      <formula>LEN(TRIM(A1))&gt;0</formula>
    </cfRule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16">
      <c r="A1" s="49" t="s">
        <v>264</v>
      </c>
      <c r="B1" s="50">
        <f ca="1">TODAY()</f>
        <v>45927</v>
      </c>
      <c r="C1" s="51">
        <f ca="1">DAY(B1)</f>
        <v>27</v>
      </c>
      <c r="D1" s="51">
        <f ca="1" t="shared" ref="D1:D2" si="0">MONTH(B1)</f>
        <v>9</v>
      </c>
      <c r="E1" s="51">
        <f ca="1" t="shared" ref="E1:E2" si="1">YEAR(B1)</f>
        <v>2025</v>
      </c>
      <c r="F1" s="52"/>
      <c r="G1" s="53"/>
      <c r="H1" s="51"/>
      <c r="I1" s="51"/>
      <c r="J1" s="51"/>
      <c r="K1" s="51"/>
      <c r="L1" s="51"/>
      <c r="M1" s="62" t="s">
        <v>265</v>
      </c>
      <c r="N1" s="19"/>
      <c r="O1" s="19"/>
      <c r="P1" s="19"/>
    </row>
    <row r="2" customHeight="1" spans="1:20">
      <c r="A2" s="49" t="s">
        <v>266</v>
      </c>
      <c r="B2" s="50">
        <f ca="1">EDATE(TODAY(),-6)</f>
        <v>45743</v>
      </c>
      <c r="C2" s="51">
        <f ca="1">DAY(B2)</f>
        <v>27</v>
      </c>
      <c r="D2" s="51">
        <f ca="1" t="shared" si="0"/>
        <v>3</v>
      </c>
      <c r="E2" s="51">
        <f ca="1" t="shared" si="1"/>
        <v>2025</v>
      </c>
      <c r="F2" s="52"/>
      <c r="G2" s="53"/>
      <c r="H2" s="51"/>
      <c r="I2" s="51"/>
      <c r="J2" s="51"/>
      <c r="K2" s="51"/>
      <c r="L2" s="51"/>
      <c r="M2" s="63" t="str">
        <f>IFERROR(__xludf.DUMMYFUNCTION("GOOGLEFINANCE(L3, ""close"", WORKDAY(TODAY(), -1), WORKDAY(TODAY(), -1))"),"Date")</f>
        <v>Date</v>
      </c>
      <c r="N2" s="64" t="str">
        <f>IFERROR(__xludf.DUMMYFUNCTION("""COMPUTED_VALUE"""),"Close")</f>
        <v>Close</v>
      </c>
      <c r="O2" s="63" t="str">
        <f>IFERROR(__xludf.DUMMYFUNCTION("GOOGLEFINANCE(L3, ""open"", WORKDAY(TODAY(), -1), WORKDAY(TODAY(), -1))"),"Date")</f>
        <v>Date</v>
      </c>
      <c r="P2" s="64" t="str">
        <f>IFERROR(__xludf.DUMMYFUNCTION("""COMPUTED_VALUE"""),"Open")</f>
        <v>Open</v>
      </c>
      <c r="Q2" s="72" t="str">
        <f>IFERROR(__xludf.DUMMYFUNCTION("GOOGLEFINANCE(L3, ""hIGH"", WORKDAY(TODAY(), -1), WORKDAY(TODAY(), -1))"),"Date")</f>
        <v>Date</v>
      </c>
      <c r="R2" s="48" t="str">
        <f>IFERROR(__xludf.DUMMYFUNCTION("""COMPUTED_VALUE"""),"High")</f>
        <v>High</v>
      </c>
      <c r="S2" s="72" t="str">
        <f>IFERROR(__xludf.DUMMYFUNCTION("GOOGLEFINANCE(L3, ""LOW"", WORKDAY(TODAY(), -1), WORKDAY(TODAY(), -1))"),"Date")</f>
        <v>Date</v>
      </c>
      <c r="T2" s="48" t="str">
        <f>IFERROR(__xludf.DUMMYFUNCTION("""COMPUTED_VALUE"""),"Low")</f>
        <v>Low</v>
      </c>
    </row>
    <row r="3" customHeight="1" spans="1:20">
      <c r="A3" s="54" t="s">
        <v>72</v>
      </c>
      <c r="B3" s="7"/>
      <c r="C3" s="7"/>
      <c r="D3" s="7"/>
      <c r="E3" s="7"/>
      <c r="F3" s="8"/>
      <c r="G3" s="55" t="s">
        <v>268</v>
      </c>
      <c r="H3" s="56">
        <f>IFERROR(__xludf.DUMMYFUNCTION("GOOGLEFINANCE(L3, ""price"")"),1379)</f>
        <v>1379</v>
      </c>
      <c r="I3" s="65" t="s">
        <v>269</v>
      </c>
      <c r="J3" s="56">
        <f>IFERROR(__xludf.DUMMYFUNCTION("GOOGLEFINANCE(L3, ""volume"")"),9879109)</f>
        <v>9879109</v>
      </c>
      <c r="K3" s="66" t="s">
        <v>270</v>
      </c>
      <c r="L3" s="67" t="str">
        <f>Mastersheet!B32</f>
        <v>NSE:RELIANCE</v>
      </c>
      <c r="M3" s="68">
        <f>IFERROR(__xludf.DUMMYFUNCTION("""COMPUTED_VALUE"""),45926.6458333333)</f>
        <v>45926.6458333333</v>
      </c>
      <c r="N3" s="67">
        <f>IFERROR(__xludf.DUMMYFUNCTION("""COMPUTED_VALUE"""),1377.6)</f>
        <v>1377.6</v>
      </c>
      <c r="O3" s="68">
        <f>IFERROR(__xludf.DUMMYFUNCTION("""COMPUTED_VALUE"""),45926.6458333333)</f>
        <v>45926.6458333333</v>
      </c>
      <c r="P3" s="67">
        <f>IFERROR(__xludf.DUMMYFUNCTION("""COMPUTED_VALUE"""),1372)</f>
        <v>1372</v>
      </c>
      <c r="Q3" s="47">
        <f>IFERROR(__xludf.DUMMYFUNCTION("""COMPUTED_VALUE"""),45926.6458333333)</f>
        <v>45926.6458333333</v>
      </c>
      <c r="R3" s="48">
        <f>IFERROR(__xludf.DUMMYFUNCTION("""COMPUTED_VALUE"""),1382.7)</f>
        <v>1382.7</v>
      </c>
      <c r="S3" s="47">
        <f>IFERROR(__xludf.DUMMYFUNCTION("""COMPUTED_VALUE"""),45926.6458333333)</f>
        <v>45926.6458333333</v>
      </c>
      <c r="T3" s="48">
        <f>IFERROR(__xludf.DUMMYFUNCTION("""COMPUTED_VALUE"""),1366)</f>
        <v>1366</v>
      </c>
    </row>
    <row r="4" customHeight="1" spans="1:31">
      <c r="A4" s="57" t="str">
        <f>IFERROR(__xludf.DUMMYFUNCTION("GOOGLEFINANCE(L3, ""CLOSE"",DATE(E2,D2,C2), DATE(E1,D1,C1), ""DAILY"")"),"Date")</f>
        <v>Date</v>
      </c>
      <c r="B4" s="58" t="str">
        <f>IFERROR(__xludf.DUMMYFUNCTION("""COMPUTED_VALUE"""),"Close")</f>
        <v>Close</v>
      </c>
      <c r="C4" s="58" t="str">
        <f>IFERROR(__xludf.DUMMYFUNCTION("GOOGLEFINANCE(L3, ""open"", DATE(E2,D2,C2), DATE(E1,D1,C1), ""DAILY"")"),"Date")</f>
        <v>Date</v>
      </c>
      <c r="D4" s="58" t="str">
        <f>IFERROR(__xludf.DUMMYFUNCTION("""COMPUTED_VALUE"""),"Open")</f>
        <v>Open</v>
      </c>
      <c r="E4" s="59" t="str">
        <f>IFERROR(__xludf.DUMMYFUNCTION("GOOGLEFINANCE(L3, ""VOLUME"", DATE(E2,D2,C2), DATE(E1,D1,C1), ""DAILY"")"),"Date")</f>
        <v>Date</v>
      </c>
      <c r="F4" s="58" t="str">
        <f>IFERROR(__xludf.DUMMYFUNCTION("""COMPUTED_VALUE"""),"Volume")</f>
        <v>Volume</v>
      </c>
      <c r="G4" s="59" t="str">
        <f>IFERROR(__xludf.DUMMYFUNCTION("GOOGLEFINANCE(L3, ""HIGH"", DATE(E2,D2,C2), DATE(E1,D1,C1), ""DAILY"")"),"Date")</f>
        <v>Date</v>
      </c>
      <c r="H4" s="59" t="str">
        <f>IFERROR(__xludf.DUMMYFUNCTION("""COMPUTED_VALUE"""),"High")</f>
        <v>High</v>
      </c>
      <c r="I4" s="59" t="str">
        <f>IFERROR(__xludf.DUMMYFUNCTION("GOOGLEFINANCE(L3, ""LOW"", DATE(E2,D2,C2), DATE(E1,D1,C1), ""DAILY"")"),"Date")</f>
        <v>Date</v>
      </c>
      <c r="J4" s="69" t="str">
        <f>IFERROR(__xludf.DUMMYFUNCTION("""COMPUTED_VALUE"""),"Low")</f>
        <v>Low</v>
      </c>
      <c r="K4" s="70" t="s">
        <v>271</v>
      </c>
      <c r="L4" s="70" t="s">
        <v>272</v>
      </c>
      <c r="M4" s="70" t="s">
        <v>273</v>
      </c>
      <c r="N4" s="70" t="s">
        <v>274</v>
      </c>
      <c r="O4" s="70" t="s">
        <v>275</v>
      </c>
      <c r="P4" s="70" t="s">
        <v>276</v>
      </c>
      <c r="Q4" s="73" t="s">
        <v>277</v>
      </c>
      <c r="R4" s="73" t="s">
        <v>278</v>
      </c>
      <c r="S4" s="73" t="s">
        <v>279</v>
      </c>
      <c r="T4" s="73" t="s">
        <v>280</v>
      </c>
      <c r="U4" s="73" t="s">
        <v>281</v>
      </c>
      <c r="V4" s="73" t="s">
        <v>282</v>
      </c>
      <c r="W4" s="70" t="s">
        <v>283</v>
      </c>
      <c r="X4" s="74" t="s">
        <v>284</v>
      </c>
      <c r="Y4" s="37" t="s">
        <v>285</v>
      </c>
      <c r="Z4" s="77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60">
        <f>IFERROR(__xludf.DUMMYFUNCTION("""COMPUTED_VALUE"""),45743.6458333333)</f>
        <v>45743.6458333333</v>
      </c>
      <c r="B5" s="61">
        <f>IFERROR(__xludf.DUMMYFUNCTION("""COMPUTED_VALUE"""),1278.2)</f>
        <v>1278.2</v>
      </c>
      <c r="C5" s="60">
        <f>IFERROR(__xludf.DUMMYFUNCTION("""COMPUTED_VALUE"""),45743.6458333333)</f>
        <v>45743.6458333333</v>
      </c>
      <c r="D5" s="61">
        <f>IFERROR(__xludf.DUMMYFUNCTION("""COMPUTED_VALUE"""),1278.15)</f>
        <v>1278.15</v>
      </c>
      <c r="E5" s="60">
        <f>IFERROR(__xludf.DUMMYFUNCTION("""COMPUTED_VALUE"""),45743.6458333333)</f>
        <v>45743.6458333333</v>
      </c>
      <c r="F5" s="61">
        <f>IFERROR(__xludf.DUMMYFUNCTION("""COMPUTED_VALUE"""),15028056)</f>
        <v>15028056</v>
      </c>
      <c r="G5" s="60">
        <f>IFERROR(__xludf.DUMMYFUNCTION("""COMPUTED_VALUE"""),45743.6458333333)</f>
        <v>45743.6458333333</v>
      </c>
      <c r="H5" s="61">
        <f>IFERROR(__xludf.DUMMYFUNCTION("""COMPUTED_VALUE"""),1285)</f>
        <v>1285</v>
      </c>
      <c r="I5" s="71">
        <f>IFERROR(__xludf.DUMMYFUNCTION("""COMPUTED_VALUE"""),45743.6458333333)</f>
        <v>45743.6458333333</v>
      </c>
      <c r="J5" s="51">
        <f>IFERROR(__xludf.DUMMYFUNCTION("""COMPUTED_VALUE"""),1271.3)</f>
        <v>1271.3</v>
      </c>
      <c r="K5" s="51"/>
      <c r="L5" s="51"/>
      <c r="M5" s="51">
        <f t="array" ref="M5">INDEX(K11:K124,MATCH(SMALL(ABS(K11:K124-H3),1),ABS(K11:K124-H3),0))</f>
        <v>1415</v>
      </c>
      <c r="N5" s="51">
        <f t="array" ref="N5">INDEX(K11:K124,MATCH(SMALL(ABS(K11:K124-H3),2),ABS(K11:K124-H3),0))</f>
        <v>1424.8</v>
      </c>
      <c r="O5" s="51">
        <f t="array" ref="O5">INDEX(L11:L124,MATCH(SMALL(ABS(L11:L124-H3),1),ABS(L11:L124-H3),0))</f>
        <v>1377.2</v>
      </c>
      <c r="P5" s="51">
        <f t="array" ref="P5">INDEX(L11:L124,MATCH(SMALL(ABS(L11:L124-H3),2),ABS(L11:L124-H3),0))</f>
        <v>1387.6</v>
      </c>
      <c r="Q5" s="48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1377.2</v>
      </c>
      <c r="S5" s="75">
        <f>IF(Q5&gt;0,Q5,S5)</f>
        <v>1377.2</v>
      </c>
      <c r="T5" s="48">
        <f>IF(AND(H3&gt;=Mastersheet!I3*S5,H3&lt;=Mastersheet!J3*S5),1,0)</f>
        <v>0</v>
      </c>
      <c r="U5" s="76">
        <f>(N3+P3)/2</f>
        <v>1374.8</v>
      </c>
      <c r="V5" s="48">
        <f>(N3+P3+R3+T3)/4</f>
        <v>1374.575</v>
      </c>
      <c r="W5" s="48">
        <f>IF(V5&gt;U5,1,0)</f>
        <v>0</v>
      </c>
      <c r="X5" s="48">
        <f>IF(V5&gt;U5,0,1)</f>
        <v>1</v>
      </c>
      <c r="Y5" s="48">
        <f>IF(COUNTIF(Mastersheet!E:E,L3)&gt;0,0,1)</f>
        <v>1</v>
      </c>
      <c r="Z5" s="78">
        <f>IF(T5*W5*Y5=1,1,0)</f>
        <v>0</v>
      </c>
      <c r="AA5" s="79"/>
      <c r="AB5" s="44" t="s">
        <v>289</v>
      </c>
      <c r="AC5" s="80" t="s">
        <v>290</v>
      </c>
      <c r="AD5" s="81" t="s">
        <v>291</v>
      </c>
      <c r="AE5" s="81" t="s">
        <v>292</v>
      </c>
    </row>
    <row r="6" customHeight="1" spans="1:31">
      <c r="A6" s="47">
        <f>IFERROR(__xludf.DUMMYFUNCTION("""COMPUTED_VALUE"""),45744.6458333333)</f>
        <v>45744.6458333333</v>
      </c>
      <c r="B6" s="48">
        <f>IFERROR(__xludf.DUMMYFUNCTION("""COMPUTED_VALUE"""),1275.1)</f>
        <v>1275.1</v>
      </c>
      <c r="C6" s="47">
        <f>IFERROR(__xludf.DUMMYFUNCTION("""COMPUTED_VALUE"""),45744.6458333333)</f>
        <v>45744.6458333333</v>
      </c>
      <c r="D6" s="48">
        <f>IFERROR(__xludf.DUMMYFUNCTION("""COMPUTED_VALUE"""),1280)</f>
        <v>1280</v>
      </c>
      <c r="E6" s="47">
        <f>IFERROR(__xludf.DUMMYFUNCTION("""COMPUTED_VALUE"""),45744.6458333333)</f>
        <v>45744.6458333333</v>
      </c>
      <c r="F6" s="48">
        <f>IFERROR(__xludf.DUMMYFUNCTION("""COMPUTED_VALUE"""),18147129)</f>
        <v>18147129</v>
      </c>
      <c r="G6" s="47">
        <f>IFERROR(__xludf.DUMMYFUNCTION("""COMPUTED_VALUE"""),45744.6458333333)</f>
        <v>45744.6458333333</v>
      </c>
      <c r="H6" s="48">
        <f>IFERROR(__xludf.DUMMYFUNCTION("""COMPUTED_VALUE"""),1295.75)</f>
        <v>1295.75</v>
      </c>
      <c r="I6" s="47">
        <f>IFERROR(__xludf.DUMMYFUNCTION("""COMPUTED_VALUE"""),45744.6458333333)</f>
        <v>45744.6458333333</v>
      </c>
      <c r="J6" s="48">
        <f>IFERROR(__xludf.DUMMYFUNCTION("""COMPUTED_VALUE"""),1269)</f>
        <v>1269</v>
      </c>
      <c r="AB6" s="48">
        <f>IF(COUNTIF(Mastersheet!E:E,L3)&gt;0,1,0)</f>
        <v>0</v>
      </c>
      <c r="AC6" s="48">
        <f>IF(AND(H3&gt;Mastersheet!L3*Mastersheet!F3,X5),1,0)</f>
        <v>1</v>
      </c>
      <c r="AD6" s="76">
        <f>IF(H3&lt;Mastersheet!M3*Mastersheet!F3,1,0)</f>
        <v>0</v>
      </c>
      <c r="AE6" s="48">
        <f>IF(OR(AC6*AB6=1,AD6*AB6=1),1,0)</f>
        <v>0</v>
      </c>
    </row>
    <row r="7" customHeight="1" spans="1:10">
      <c r="A7" s="47">
        <f>IFERROR(__xludf.DUMMYFUNCTION("""COMPUTED_VALUE"""),45748.6458333333)</f>
        <v>45748.6458333333</v>
      </c>
      <c r="B7" s="48">
        <f>IFERROR(__xludf.DUMMYFUNCTION("""COMPUTED_VALUE"""),1252.6)</f>
        <v>1252.6</v>
      </c>
      <c r="C7" s="47">
        <f>IFERROR(__xludf.DUMMYFUNCTION("""COMPUTED_VALUE"""),45748.6458333333)</f>
        <v>45748.6458333333</v>
      </c>
      <c r="D7" s="48">
        <f>IFERROR(__xludf.DUMMYFUNCTION("""COMPUTED_VALUE"""),1264.6)</f>
        <v>1264.6</v>
      </c>
      <c r="E7" s="47">
        <f>IFERROR(__xludf.DUMMYFUNCTION("""COMPUTED_VALUE"""),45748.6458333333)</f>
        <v>45748.6458333333</v>
      </c>
      <c r="F7" s="48">
        <f>IFERROR(__xludf.DUMMYFUNCTION("""COMPUTED_VALUE"""),12099648)</f>
        <v>12099648</v>
      </c>
      <c r="G7" s="47">
        <f>IFERROR(__xludf.DUMMYFUNCTION("""COMPUTED_VALUE"""),45748.6458333333)</f>
        <v>45748.6458333333</v>
      </c>
      <c r="H7" s="48">
        <f>IFERROR(__xludf.DUMMYFUNCTION("""COMPUTED_VALUE"""),1277.9)</f>
        <v>1277.9</v>
      </c>
      <c r="I7" s="47">
        <f>IFERROR(__xludf.DUMMYFUNCTION("""COMPUTED_VALUE"""),45748.6458333333)</f>
        <v>45748.6458333333</v>
      </c>
      <c r="J7" s="48">
        <f>IFERROR(__xludf.DUMMYFUNCTION("""COMPUTED_VALUE"""),1249.3)</f>
        <v>1249.3</v>
      </c>
    </row>
    <row r="8" customHeight="1" spans="1:10">
      <c r="A8" s="47">
        <f>IFERROR(__xludf.DUMMYFUNCTION("""COMPUTED_VALUE"""),45749.6458333333)</f>
        <v>45749.6458333333</v>
      </c>
      <c r="B8" s="48">
        <f>IFERROR(__xludf.DUMMYFUNCTION("""COMPUTED_VALUE"""),1251.15)</f>
        <v>1251.15</v>
      </c>
      <c r="C8" s="47">
        <f>IFERROR(__xludf.DUMMYFUNCTION("""COMPUTED_VALUE"""),45749.6458333333)</f>
        <v>45749.6458333333</v>
      </c>
      <c r="D8" s="48">
        <f>IFERROR(__xludf.DUMMYFUNCTION("""COMPUTED_VALUE"""),1247.55)</f>
        <v>1247.55</v>
      </c>
      <c r="E8" s="47">
        <f>IFERROR(__xludf.DUMMYFUNCTION("""COMPUTED_VALUE"""),45749.6458333333)</f>
        <v>45749.6458333333</v>
      </c>
      <c r="F8" s="48">
        <f>IFERROR(__xludf.DUMMYFUNCTION("""COMPUTED_VALUE"""),10142590)</f>
        <v>10142590</v>
      </c>
      <c r="G8" s="47">
        <f>IFERROR(__xludf.DUMMYFUNCTION("""COMPUTED_VALUE"""),45749.6458333333)</f>
        <v>45749.6458333333</v>
      </c>
      <c r="H8" s="48">
        <f>IFERROR(__xludf.DUMMYFUNCTION("""COMPUTED_VALUE"""),1255.55)</f>
        <v>1255.55</v>
      </c>
      <c r="I8" s="47">
        <f>IFERROR(__xludf.DUMMYFUNCTION("""COMPUTED_VALUE"""),45749.6458333333)</f>
        <v>45749.6458333333</v>
      </c>
      <c r="J8" s="48">
        <f>IFERROR(__xludf.DUMMYFUNCTION("""COMPUTED_VALUE"""),1243.9)</f>
        <v>1243.9</v>
      </c>
    </row>
    <row r="9" customHeight="1" spans="1:10">
      <c r="A9" s="47">
        <f>IFERROR(__xludf.DUMMYFUNCTION("""COMPUTED_VALUE"""),45750.6458333333)</f>
        <v>45750.6458333333</v>
      </c>
      <c r="B9" s="48">
        <f>IFERROR(__xludf.DUMMYFUNCTION("""COMPUTED_VALUE"""),1248.7)</f>
        <v>1248.7</v>
      </c>
      <c r="C9" s="47">
        <f>IFERROR(__xludf.DUMMYFUNCTION("""COMPUTED_VALUE"""),45750.6458333333)</f>
        <v>45750.6458333333</v>
      </c>
      <c r="D9" s="48">
        <f>IFERROR(__xludf.DUMMYFUNCTION("""COMPUTED_VALUE"""),1233.05)</f>
        <v>1233.05</v>
      </c>
      <c r="E9" s="47">
        <f>IFERROR(__xludf.DUMMYFUNCTION("""COMPUTED_VALUE"""),45750.6458333333)</f>
        <v>45750.6458333333</v>
      </c>
      <c r="F9" s="48">
        <f>IFERROR(__xludf.DUMMYFUNCTION("""COMPUTED_VALUE"""),7434366)</f>
        <v>7434366</v>
      </c>
      <c r="G9" s="47">
        <f>IFERROR(__xludf.DUMMYFUNCTION("""COMPUTED_VALUE"""),45750.6458333333)</f>
        <v>45750.6458333333</v>
      </c>
      <c r="H9" s="48">
        <f>IFERROR(__xludf.DUMMYFUNCTION("""COMPUTED_VALUE"""),1251.8)</f>
        <v>1251.8</v>
      </c>
      <c r="I9" s="47">
        <f>IFERROR(__xludf.DUMMYFUNCTION("""COMPUTED_VALUE"""),45750.6458333333)</f>
        <v>45750.6458333333</v>
      </c>
      <c r="J9" s="48">
        <f>IFERROR(__xludf.DUMMYFUNCTION("""COMPUTED_VALUE"""),1233.05)</f>
        <v>1233.05</v>
      </c>
    </row>
    <row r="10" customHeight="1" spans="1:10">
      <c r="A10" s="47">
        <f>IFERROR(__xludf.DUMMYFUNCTION("""COMPUTED_VALUE"""),45751.6458333333)</f>
        <v>45751.6458333333</v>
      </c>
      <c r="B10" s="48">
        <f>IFERROR(__xludf.DUMMYFUNCTION("""COMPUTED_VALUE"""),1204.7)</f>
        <v>1204.7</v>
      </c>
      <c r="C10" s="47">
        <f>IFERROR(__xludf.DUMMYFUNCTION("""COMPUTED_VALUE"""),45751.6458333333)</f>
        <v>45751.6458333333</v>
      </c>
      <c r="D10" s="48">
        <f>IFERROR(__xludf.DUMMYFUNCTION("""COMPUTED_VALUE"""),1241.1)</f>
        <v>1241.1</v>
      </c>
      <c r="E10" s="47">
        <f>IFERROR(__xludf.DUMMYFUNCTION("""COMPUTED_VALUE"""),45751.6458333333)</f>
        <v>45751.6458333333</v>
      </c>
      <c r="F10" s="48">
        <f>IFERROR(__xludf.DUMMYFUNCTION("""COMPUTED_VALUE"""),17908652)</f>
        <v>17908652</v>
      </c>
      <c r="G10" s="47">
        <f>IFERROR(__xludf.DUMMYFUNCTION("""COMPUTED_VALUE"""),45751.6458333333)</f>
        <v>45751.6458333333</v>
      </c>
      <c r="H10" s="48">
        <f>IFERROR(__xludf.DUMMYFUNCTION("""COMPUTED_VALUE"""),1245.45)</f>
        <v>1245.45</v>
      </c>
      <c r="I10" s="47">
        <f>IFERROR(__xludf.DUMMYFUNCTION("""COMPUTED_VALUE"""),45751.6458333333)</f>
        <v>45751.6458333333</v>
      </c>
      <c r="J10" s="48">
        <f>IFERROR(__xludf.DUMMYFUNCTION("""COMPUTED_VALUE"""),1193.15)</f>
        <v>1193.15</v>
      </c>
    </row>
    <row r="11" customHeight="1" spans="1:12">
      <c r="A11" s="47">
        <f>IFERROR(__xludf.DUMMYFUNCTION("""COMPUTED_VALUE"""),45754.6458333333)</f>
        <v>45754.6458333333</v>
      </c>
      <c r="B11" s="48">
        <f>IFERROR(__xludf.DUMMYFUNCTION("""COMPUTED_VALUE"""),1165.7)</f>
        <v>1165.7</v>
      </c>
      <c r="C11" s="47">
        <f>IFERROR(__xludf.DUMMYFUNCTION("""COMPUTED_VALUE"""),45754.6458333333)</f>
        <v>45754.6458333333</v>
      </c>
      <c r="D11" s="48">
        <f>IFERROR(__xludf.DUMMYFUNCTION("""COMPUTED_VALUE"""),1132.2)</f>
        <v>1132.2</v>
      </c>
      <c r="E11" s="47">
        <f>IFERROR(__xludf.DUMMYFUNCTION("""COMPUTED_VALUE"""),45754.6458333333)</f>
        <v>45754.6458333333</v>
      </c>
      <c r="F11" s="48">
        <f>IFERROR(__xludf.DUMMYFUNCTION("""COMPUTED_VALUE"""),22156106)</f>
        <v>22156106</v>
      </c>
      <c r="G11" s="47">
        <f>IFERROR(__xludf.DUMMYFUNCTION("""COMPUTED_VALUE"""),45754.6458333333)</f>
        <v>45754.6458333333</v>
      </c>
      <c r="H11" s="48">
        <f>IFERROR(__xludf.DUMMYFUNCTION("""COMPUTED_VALUE"""),1171.25)</f>
        <v>1171.25</v>
      </c>
      <c r="I11" s="47">
        <f>IFERROR(__xludf.DUMMYFUNCTION("""COMPUTED_VALUE"""),45754.6458333333)</f>
        <v>45754.6458333333</v>
      </c>
      <c r="J11" s="48">
        <f>IFERROR(__xludf.DUMMYFUNCTION("""COMPUTED_VALUE"""),1114.85)</f>
        <v>1114.85</v>
      </c>
      <c r="K11" s="3">
        <f t="shared" ref="K11:K125" si="2">IF(B11=MAX(B5:B17),B11,0)</f>
        <v>0</v>
      </c>
      <c r="L11" s="3">
        <f t="shared" ref="L11:L125" si="3">IF(B11=MIN(B5:B17),B11,0)</f>
        <v>1165.7</v>
      </c>
    </row>
    <row r="12" customHeight="1" spans="1:12">
      <c r="A12" s="47">
        <f>IFERROR(__xludf.DUMMYFUNCTION("""COMPUTED_VALUE"""),45755.6458333333)</f>
        <v>45755.6458333333</v>
      </c>
      <c r="B12" s="48">
        <f>IFERROR(__xludf.DUMMYFUNCTION("""COMPUTED_VALUE"""),1182.2)</f>
        <v>1182.2</v>
      </c>
      <c r="C12" s="47">
        <f>IFERROR(__xludf.DUMMYFUNCTION("""COMPUTED_VALUE"""),45755.6458333333)</f>
        <v>45755.6458333333</v>
      </c>
      <c r="D12" s="48">
        <f>IFERROR(__xludf.DUMMYFUNCTION("""COMPUTED_VALUE"""),1172)</f>
        <v>1172</v>
      </c>
      <c r="E12" s="47">
        <f>IFERROR(__xludf.DUMMYFUNCTION("""COMPUTED_VALUE"""),45755.6458333333)</f>
        <v>45755.6458333333</v>
      </c>
      <c r="F12" s="48">
        <f>IFERROR(__xludf.DUMMYFUNCTION("""COMPUTED_VALUE"""),19555040)</f>
        <v>19555040</v>
      </c>
      <c r="G12" s="47">
        <f>IFERROR(__xludf.DUMMYFUNCTION("""COMPUTED_VALUE"""),45755.6458333333)</f>
        <v>45755.6458333333</v>
      </c>
      <c r="H12" s="48">
        <f>IFERROR(__xludf.DUMMYFUNCTION("""COMPUTED_VALUE"""),1196.6)</f>
        <v>1196.6</v>
      </c>
      <c r="I12" s="47">
        <f>IFERROR(__xludf.DUMMYFUNCTION("""COMPUTED_VALUE"""),45755.6458333333)</f>
        <v>45755.6458333333</v>
      </c>
      <c r="J12" s="48">
        <f>IFERROR(__xludf.DUMMYFUNCTION("""COMPUTED_VALUE"""),1163.3)</f>
        <v>1163.3</v>
      </c>
      <c r="K12" s="3">
        <f t="shared" si="2"/>
        <v>0</v>
      </c>
      <c r="L12" s="3">
        <f t="shared" si="3"/>
        <v>0</v>
      </c>
    </row>
    <row r="13" customHeight="1" spans="1:12">
      <c r="A13" s="47">
        <f>IFERROR(__xludf.DUMMYFUNCTION("""COMPUTED_VALUE"""),45756.6458333333)</f>
        <v>45756.6458333333</v>
      </c>
      <c r="B13" s="48">
        <f>IFERROR(__xludf.DUMMYFUNCTION("""COMPUTED_VALUE"""),1185.35)</f>
        <v>1185.35</v>
      </c>
      <c r="C13" s="47">
        <f>IFERROR(__xludf.DUMMYFUNCTION("""COMPUTED_VALUE"""),45756.6458333333)</f>
        <v>45756.6458333333</v>
      </c>
      <c r="D13" s="48">
        <f>IFERROR(__xludf.DUMMYFUNCTION("""COMPUTED_VALUE"""),1169.5)</f>
        <v>1169.5</v>
      </c>
      <c r="E13" s="47">
        <f>IFERROR(__xludf.DUMMYFUNCTION("""COMPUTED_VALUE"""),45756.6458333333)</f>
        <v>45756.6458333333</v>
      </c>
      <c r="F13" s="48">
        <f>IFERROR(__xludf.DUMMYFUNCTION("""COMPUTED_VALUE"""),10223104)</f>
        <v>10223104</v>
      </c>
      <c r="G13" s="47">
        <f>IFERROR(__xludf.DUMMYFUNCTION("""COMPUTED_VALUE"""),45756.6458333333)</f>
        <v>45756.6458333333</v>
      </c>
      <c r="H13" s="48">
        <f>IFERROR(__xludf.DUMMYFUNCTION("""COMPUTED_VALUE"""),1189.8)</f>
        <v>1189.8</v>
      </c>
      <c r="I13" s="47">
        <f>IFERROR(__xludf.DUMMYFUNCTION("""COMPUTED_VALUE"""),45756.6458333333)</f>
        <v>45756.6458333333</v>
      </c>
      <c r="J13" s="48">
        <f>IFERROR(__xludf.DUMMYFUNCTION("""COMPUTED_VALUE"""),1168)</f>
        <v>1168</v>
      </c>
      <c r="K13" s="3">
        <f t="shared" si="2"/>
        <v>0</v>
      </c>
      <c r="L13" s="3">
        <f t="shared" si="3"/>
        <v>0</v>
      </c>
    </row>
    <row r="14" customHeight="1" spans="1:12">
      <c r="A14" s="47">
        <f>IFERROR(__xludf.DUMMYFUNCTION("""COMPUTED_VALUE"""),45758.6458333333)</f>
        <v>45758.6458333333</v>
      </c>
      <c r="B14" s="48">
        <f>IFERROR(__xludf.DUMMYFUNCTION("""COMPUTED_VALUE"""),1218.95)</f>
        <v>1218.95</v>
      </c>
      <c r="C14" s="47">
        <f>IFERROR(__xludf.DUMMYFUNCTION("""COMPUTED_VALUE"""),45758.6458333333)</f>
        <v>45758.6458333333</v>
      </c>
      <c r="D14" s="48">
        <f>IFERROR(__xludf.DUMMYFUNCTION("""COMPUTED_VALUE"""),1195.15)</f>
        <v>1195.15</v>
      </c>
      <c r="E14" s="47">
        <f>IFERROR(__xludf.DUMMYFUNCTION("""COMPUTED_VALUE"""),45758.6458333333)</f>
        <v>45758.6458333333</v>
      </c>
      <c r="F14" s="48">
        <f>IFERROR(__xludf.DUMMYFUNCTION("""COMPUTED_VALUE"""),11224242)</f>
        <v>11224242</v>
      </c>
      <c r="G14" s="47">
        <f>IFERROR(__xludf.DUMMYFUNCTION("""COMPUTED_VALUE"""),45758.6458333333)</f>
        <v>45758.6458333333</v>
      </c>
      <c r="H14" s="48">
        <f>IFERROR(__xludf.DUMMYFUNCTION("""COMPUTED_VALUE"""),1222.65)</f>
        <v>1222.65</v>
      </c>
      <c r="I14" s="47">
        <f>IFERROR(__xludf.DUMMYFUNCTION("""COMPUTED_VALUE"""),45758.6458333333)</f>
        <v>45758.6458333333</v>
      </c>
      <c r="J14" s="48">
        <f>IFERROR(__xludf.DUMMYFUNCTION("""COMPUTED_VALUE"""),1195.15)</f>
        <v>1195.15</v>
      </c>
      <c r="K14" s="3">
        <f t="shared" si="2"/>
        <v>0</v>
      </c>
      <c r="L14" s="3">
        <f t="shared" si="3"/>
        <v>0</v>
      </c>
    </row>
    <row r="15" customHeight="1" spans="1:12">
      <c r="A15" s="47">
        <f>IFERROR(__xludf.DUMMYFUNCTION("""COMPUTED_VALUE"""),45762.6458333333)</f>
        <v>45762.6458333333</v>
      </c>
      <c r="B15" s="48">
        <f>IFERROR(__xludf.DUMMYFUNCTION("""COMPUTED_VALUE"""),1240.1)</f>
        <v>1240.1</v>
      </c>
      <c r="C15" s="47">
        <f>IFERROR(__xludf.DUMMYFUNCTION("""COMPUTED_VALUE"""),45762.6458333333)</f>
        <v>45762.6458333333</v>
      </c>
      <c r="D15" s="48">
        <f>IFERROR(__xludf.DUMMYFUNCTION("""COMPUTED_VALUE"""),1251)</f>
        <v>1251</v>
      </c>
      <c r="E15" s="47">
        <f>IFERROR(__xludf.DUMMYFUNCTION("""COMPUTED_VALUE"""),45762.6458333333)</f>
        <v>45762.6458333333</v>
      </c>
      <c r="F15" s="48">
        <f>IFERROR(__xludf.DUMMYFUNCTION("""COMPUTED_VALUE"""),13378535)</f>
        <v>13378535</v>
      </c>
      <c r="G15" s="47">
        <f>IFERROR(__xludf.DUMMYFUNCTION("""COMPUTED_VALUE"""),45762.6458333333)</f>
        <v>45762.6458333333</v>
      </c>
      <c r="H15" s="48">
        <f>IFERROR(__xludf.DUMMYFUNCTION("""COMPUTED_VALUE"""),1251)</f>
        <v>1251</v>
      </c>
      <c r="I15" s="47">
        <f>IFERROR(__xludf.DUMMYFUNCTION("""COMPUTED_VALUE"""),45762.6458333333)</f>
        <v>45762.6458333333</v>
      </c>
      <c r="J15" s="48">
        <f>IFERROR(__xludf.DUMMYFUNCTION("""COMPUTED_VALUE"""),1237.1)</f>
        <v>1237.1</v>
      </c>
      <c r="K15" s="3">
        <f t="shared" si="2"/>
        <v>0</v>
      </c>
      <c r="L15" s="3">
        <f t="shared" si="3"/>
        <v>0</v>
      </c>
    </row>
    <row r="16" customHeight="1" spans="1:12">
      <c r="A16" s="47">
        <f>IFERROR(__xludf.DUMMYFUNCTION("""COMPUTED_VALUE"""),45763.6458333333)</f>
        <v>45763.6458333333</v>
      </c>
      <c r="B16" s="48">
        <f>IFERROR(__xludf.DUMMYFUNCTION("""COMPUTED_VALUE"""),1239.3)</f>
        <v>1239.3</v>
      </c>
      <c r="C16" s="47">
        <f>IFERROR(__xludf.DUMMYFUNCTION("""COMPUTED_VALUE"""),45763.6458333333)</f>
        <v>45763.6458333333</v>
      </c>
      <c r="D16" s="48">
        <f>IFERROR(__xludf.DUMMYFUNCTION("""COMPUTED_VALUE"""),1234.1)</f>
        <v>1234.1</v>
      </c>
      <c r="E16" s="47">
        <f>IFERROR(__xludf.DUMMYFUNCTION("""COMPUTED_VALUE"""),45763.6458333333)</f>
        <v>45763.6458333333</v>
      </c>
      <c r="F16" s="48">
        <f>IFERROR(__xludf.DUMMYFUNCTION("""COMPUTED_VALUE"""),8248464)</f>
        <v>8248464</v>
      </c>
      <c r="G16" s="47">
        <f>IFERROR(__xludf.DUMMYFUNCTION("""COMPUTED_VALUE"""),45763.6458333333)</f>
        <v>45763.6458333333</v>
      </c>
      <c r="H16" s="48">
        <f>IFERROR(__xludf.DUMMYFUNCTION("""COMPUTED_VALUE"""),1240.9)</f>
        <v>1240.9</v>
      </c>
      <c r="I16" s="47">
        <f>IFERROR(__xludf.DUMMYFUNCTION("""COMPUTED_VALUE"""),45763.6458333333)</f>
        <v>45763.6458333333</v>
      </c>
      <c r="J16" s="48">
        <f>IFERROR(__xludf.DUMMYFUNCTION("""COMPUTED_VALUE"""),1229)</f>
        <v>1229</v>
      </c>
      <c r="K16" s="3">
        <f t="shared" si="2"/>
        <v>0</v>
      </c>
      <c r="L16" s="3">
        <f t="shared" si="3"/>
        <v>0</v>
      </c>
    </row>
    <row r="17" customHeight="1" spans="1:12">
      <c r="A17" s="47">
        <f>IFERROR(__xludf.DUMMYFUNCTION("""COMPUTED_VALUE"""),45764.6458333333)</f>
        <v>45764.6458333333</v>
      </c>
      <c r="B17" s="48">
        <f>IFERROR(__xludf.DUMMYFUNCTION("""COMPUTED_VALUE"""),1274.5)</f>
        <v>1274.5</v>
      </c>
      <c r="C17" s="47">
        <f>IFERROR(__xludf.DUMMYFUNCTION("""COMPUTED_VALUE"""),45764.6458333333)</f>
        <v>45764.6458333333</v>
      </c>
      <c r="D17" s="48">
        <f>IFERROR(__xludf.DUMMYFUNCTION("""COMPUTED_VALUE"""),1240.2)</f>
        <v>1240.2</v>
      </c>
      <c r="E17" s="47">
        <f>IFERROR(__xludf.DUMMYFUNCTION("""COMPUTED_VALUE"""),45764.6458333333)</f>
        <v>45764.6458333333</v>
      </c>
      <c r="F17" s="48">
        <f>IFERROR(__xludf.DUMMYFUNCTION("""COMPUTED_VALUE"""),15398401)</f>
        <v>15398401</v>
      </c>
      <c r="G17" s="47">
        <f>IFERROR(__xludf.DUMMYFUNCTION("""COMPUTED_VALUE"""),45764.6458333333)</f>
        <v>45764.6458333333</v>
      </c>
      <c r="H17" s="48">
        <f>IFERROR(__xludf.DUMMYFUNCTION("""COMPUTED_VALUE"""),1280.2)</f>
        <v>1280.2</v>
      </c>
      <c r="I17" s="47">
        <f>IFERROR(__xludf.DUMMYFUNCTION("""COMPUTED_VALUE"""),45764.6458333333)</f>
        <v>45764.6458333333</v>
      </c>
      <c r="J17" s="48">
        <f>IFERROR(__xludf.DUMMYFUNCTION("""COMPUTED_VALUE"""),1227.6)</f>
        <v>1227.6</v>
      </c>
      <c r="K17" s="3">
        <f t="shared" si="2"/>
        <v>0</v>
      </c>
      <c r="L17" s="3">
        <f t="shared" si="3"/>
        <v>0</v>
      </c>
    </row>
    <row r="18" customHeight="1" spans="1:12">
      <c r="A18" s="47">
        <f>IFERROR(__xludf.DUMMYFUNCTION("""COMPUTED_VALUE"""),45768.6458333333)</f>
        <v>45768.6458333333</v>
      </c>
      <c r="B18" s="48">
        <f>IFERROR(__xludf.DUMMYFUNCTION("""COMPUTED_VALUE"""),1295.5)</f>
        <v>1295.5</v>
      </c>
      <c r="C18" s="47">
        <f>IFERROR(__xludf.DUMMYFUNCTION("""COMPUTED_VALUE"""),45768.6458333333)</f>
        <v>45768.6458333333</v>
      </c>
      <c r="D18" s="48">
        <f>IFERROR(__xludf.DUMMYFUNCTION("""COMPUTED_VALUE"""),1270)</f>
        <v>1270</v>
      </c>
      <c r="E18" s="47">
        <f>IFERROR(__xludf.DUMMYFUNCTION("""COMPUTED_VALUE"""),45768.6458333333)</f>
        <v>45768.6458333333</v>
      </c>
      <c r="F18" s="48">
        <f>IFERROR(__xludf.DUMMYFUNCTION("""COMPUTED_VALUE"""),10429964)</f>
        <v>10429964</v>
      </c>
      <c r="G18" s="47">
        <f>IFERROR(__xludf.DUMMYFUNCTION("""COMPUTED_VALUE"""),45768.6458333333)</f>
        <v>45768.6458333333</v>
      </c>
      <c r="H18" s="48">
        <f>IFERROR(__xludf.DUMMYFUNCTION("""COMPUTED_VALUE"""),1300.9)</f>
        <v>1300.9</v>
      </c>
      <c r="I18" s="47">
        <f>IFERROR(__xludf.DUMMYFUNCTION("""COMPUTED_VALUE"""),45768.6458333333)</f>
        <v>45768.6458333333</v>
      </c>
      <c r="J18" s="48">
        <f>IFERROR(__xludf.DUMMYFUNCTION("""COMPUTED_VALUE"""),1267)</f>
        <v>1267</v>
      </c>
      <c r="K18" s="3">
        <f t="shared" si="2"/>
        <v>0</v>
      </c>
      <c r="L18" s="3">
        <f t="shared" si="3"/>
        <v>0</v>
      </c>
    </row>
    <row r="19" customHeight="1" spans="1:12">
      <c r="A19" s="47">
        <f>IFERROR(__xludf.DUMMYFUNCTION("""COMPUTED_VALUE"""),45769.6458333333)</f>
        <v>45769.6458333333</v>
      </c>
      <c r="B19" s="48">
        <f>IFERROR(__xludf.DUMMYFUNCTION("""COMPUTED_VALUE"""),1291.2)</f>
        <v>1291.2</v>
      </c>
      <c r="C19" s="47">
        <f>IFERROR(__xludf.DUMMYFUNCTION("""COMPUTED_VALUE"""),45769.6458333333)</f>
        <v>45769.6458333333</v>
      </c>
      <c r="D19" s="48">
        <f>IFERROR(__xludf.DUMMYFUNCTION("""COMPUTED_VALUE"""),1300)</f>
        <v>1300</v>
      </c>
      <c r="E19" s="47">
        <f>IFERROR(__xludf.DUMMYFUNCTION("""COMPUTED_VALUE"""),45769.6458333333)</f>
        <v>45769.6458333333</v>
      </c>
      <c r="F19" s="48">
        <f>IFERROR(__xludf.DUMMYFUNCTION("""COMPUTED_VALUE"""),13051707)</f>
        <v>13051707</v>
      </c>
      <c r="G19" s="47">
        <f>IFERROR(__xludf.DUMMYFUNCTION("""COMPUTED_VALUE"""),45769.6458333333)</f>
        <v>45769.6458333333</v>
      </c>
      <c r="H19" s="48">
        <f>IFERROR(__xludf.DUMMYFUNCTION("""COMPUTED_VALUE"""),1303.9)</f>
        <v>1303.9</v>
      </c>
      <c r="I19" s="47">
        <f>IFERROR(__xludf.DUMMYFUNCTION("""COMPUTED_VALUE"""),45769.6458333333)</f>
        <v>45769.6458333333</v>
      </c>
      <c r="J19" s="48">
        <f>IFERROR(__xludf.DUMMYFUNCTION("""COMPUTED_VALUE"""),1286.3)</f>
        <v>1286.3</v>
      </c>
      <c r="K19" s="3">
        <f t="shared" si="2"/>
        <v>0</v>
      </c>
      <c r="L19" s="3">
        <f t="shared" si="3"/>
        <v>0</v>
      </c>
    </row>
    <row r="20" customHeight="1" spans="1:12">
      <c r="A20" s="47">
        <f>IFERROR(__xludf.DUMMYFUNCTION("""COMPUTED_VALUE"""),45770.6458333333)</f>
        <v>45770.6458333333</v>
      </c>
      <c r="B20" s="48">
        <f>IFERROR(__xludf.DUMMYFUNCTION("""COMPUTED_VALUE"""),1300)</f>
        <v>1300</v>
      </c>
      <c r="C20" s="47">
        <f>IFERROR(__xludf.DUMMYFUNCTION("""COMPUTED_VALUE"""),45770.6458333333)</f>
        <v>45770.6458333333</v>
      </c>
      <c r="D20" s="48">
        <f>IFERROR(__xludf.DUMMYFUNCTION("""COMPUTED_VALUE"""),1297)</f>
        <v>1297</v>
      </c>
      <c r="E20" s="47">
        <f>IFERROR(__xludf.DUMMYFUNCTION("""COMPUTED_VALUE"""),45770.6458333333)</f>
        <v>45770.6458333333</v>
      </c>
      <c r="F20" s="48">
        <f>IFERROR(__xludf.DUMMYFUNCTION("""COMPUTED_VALUE"""),10480888)</f>
        <v>10480888</v>
      </c>
      <c r="G20" s="47">
        <f>IFERROR(__xludf.DUMMYFUNCTION("""COMPUTED_VALUE"""),45770.6458333333)</f>
        <v>45770.6458333333</v>
      </c>
      <c r="H20" s="48">
        <f>IFERROR(__xludf.DUMMYFUNCTION("""COMPUTED_VALUE"""),1306)</f>
        <v>1306</v>
      </c>
      <c r="I20" s="47">
        <f>IFERROR(__xludf.DUMMYFUNCTION("""COMPUTED_VALUE"""),45770.6458333333)</f>
        <v>45770.6458333333</v>
      </c>
      <c r="J20" s="48">
        <f>IFERROR(__xludf.DUMMYFUNCTION("""COMPUTED_VALUE"""),1285.4)</f>
        <v>1285.4</v>
      </c>
      <c r="K20" s="3">
        <f t="shared" si="2"/>
        <v>0</v>
      </c>
      <c r="L20" s="3">
        <f t="shared" si="3"/>
        <v>0</v>
      </c>
    </row>
    <row r="21" customHeight="1" spans="1:12">
      <c r="A21" s="47">
        <f>IFERROR(__xludf.DUMMYFUNCTION("""COMPUTED_VALUE"""),45771.6458333333)</f>
        <v>45771.6458333333</v>
      </c>
      <c r="B21" s="48">
        <f>IFERROR(__xludf.DUMMYFUNCTION("""COMPUTED_VALUE"""),1301.6)</f>
        <v>1301.6</v>
      </c>
      <c r="C21" s="47">
        <f>IFERROR(__xludf.DUMMYFUNCTION("""COMPUTED_VALUE"""),45771.6458333333)</f>
        <v>45771.6458333333</v>
      </c>
      <c r="D21" s="48">
        <f>IFERROR(__xludf.DUMMYFUNCTION("""COMPUTED_VALUE"""),1292.4)</f>
        <v>1292.4</v>
      </c>
      <c r="E21" s="47">
        <f>IFERROR(__xludf.DUMMYFUNCTION("""COMPUTED_VALUE"""),45771.6458333333)</f>
        <v>45771.6458333333</v>
      </c>
      <c r="F21" s="48">
        <f>IFERROR(__xludf.DUMMYFUNCTION("""COMPUTED_VALUE"""),10468940)</f>
        <v>10468940</v>
      </c>
      <c r="G21" s="47">
        <f>IFERROR(__xludf.DUMMYFUNCTION("""COMPUTED_VALUE"""),45771.6458333333)</f>
        <v>45771.6458333333</v>
      </c>
      <c r="H21" s="48">
        <f>IFERROR(__xludf.DUMMYFUNCTION("""COMPUTED_VALUE"""),1304.5)</f>
        <v>1304.5</v>
      </c>
      <c r="I21" s="47">
        <f>IFERROR(__xludf.DUMMYFUNCTION("""COMPUTED_VALUE"""),45771.6458333333)</f>
        <v>45771.6458333333</v>
      </c>
      <c r="J21" s="48">
        <f>IFERROR(__xludf.DUMMYFUNCTION("""COMPUTED_VALUE"""),1290.3)</f>
        <v>1290.3</v>
      </c>
      <c r="K21" s="3">
        <f t="shared" si="2"/>
        <v>0</v>
      </c>
      <c r="L21" s="3">
        <f t="shared" si="3"/>
        <v>0</v>
      </c>
    </row>
    <row r="22" customHeight="1" spans="1:12">
      <c r="A22" s="47">
        <f>IFERROR(__xludf.DUMMYFUNCTION("""COMPUTED_VALUE"""),45772.6458333333)</f>
        <v>45772.6458333333</v>
      </c>
      <c r="B22" s="48">
        <f>IFERROR(__xludf.DUMMYFUNCTION("""COMPUTED_VALUE"""),1300.4)</f>
        <v>1300.4</v>
      </c>
      <c r="C22" s="47">
        <f>IFERROR(__xludf.DUMMYFUNCTION("""COMPUTED_VALUE"""),45772.6458333333)</f>
        <v>45772.6458333333</v>
      </c>
      <c r="D22" s="48">
        <f>IFERROR(__xludf.DUMMYFUNCTION("""COMPUTED_VALUE"""),1303.5)</f>
        <v>1303.5</v>
      </c>
      <c r="E22" s="47">
        <f>IFERROR(__xludf.DUMMYFUNCTION("""COMPUTED_VALUE"""),45772.6458333333)</f>
        <v>45772.6458333333</v>
      </c>
      <c r="F22" s="48">
        <f>IFERROR(__xludf.DUMMYFUNCTION("""COMPUTED_VALUE"""),14431012)</f>
        <v>14431012</v>
      </c>
      <c r="G22" s="47">
        <f>IFERROR(__xludf.DUMMYFUNCTION("""COMPUTED_VALUE"""),45772.6458333333)</f>
        <v>45772.6458333333</v>
      </c>
      <c r="H22" s="48">
        <f>IFERROR(__xludf.DUMMYFUNCTION("""COMPUTED_VALUE"""),1325.2)</f>
        <v>1325.2</v>
      </c>
      <c r="I22" s="47">
        <f>IFERROR(__xludf.DUMMYFUNCTION("""COMPUTED_VALUE"""),45772.6458333333)</f>
        <v>45772.6458333333</v>
      </c>
      <c r="J22" s="48">
        <f>IFERROR(__xludf.DUMMYFUNCTION("""COMPUTED_VALUE"""),1288.1)</f>
        <v>1288.1</v>
      </c>
      <c r="K22" s="3">
        <f t="shared" si="2"/>
        <v>0</v>
      </c>
      <c r="L22" s="3">
        <f t="shared" si="3"/>
        <v>0</v>
      </c>
    </row>
    <row r="23" customHeight="1" spans="1:12">
      <c r="A23" s="47">
        <f>IFERROR(__xludf.DUMMYFUNCTION("""COMPUTED_VALUE"""),45775.6458333333)</f>
        <v>45775.6458333333</v>
      </c>
      <c r="B23" s="48">
        <f>IFERROR(__xludf.DUMMYFUNCTION("""COMPUTED_VALUE"""),1368.8)</f>
        <v>1368.8</v>
      </c>
      <c r="C23" s="47">
        <f>IFERROR(__xludf.DUMMYFUNCTION("""COMPUTED_VALUE"""),45775.6458333333)</f>
        <v>45775.6458333333</v>
      </c>
      <c r="D23" s="48">
        <f>IFERROR(__xludf.DUMMYFUNCTION("""COMPUTED_VALUE"""),1340)</f>
        <v>1340</v>
      </c>
      <c r="E23" s="47">
        <f>IFERROR(__xludf.DUMMYFUNCTION("""COMPUTED_VALUE"""),45775.6458333333)</f>
        <v>45775.6458333333</v>
      </c>
      <c r="F23" s="48">
        <f>IFERROR(__xludf.DUMMYFUNCTION("""COMPUTED_VALUE"""),31104496)</f>
        <v>31104496</v>
      </c>
      <c r="G23" s="47">
        <f>IFERROR(__xludf.DUMMYFUNCTION("""COMPUTED_VALUE"""),45775.6458333333)</f>
        <v>45775.6458333333</v>
      </c>
      <c r="H23" s="48">
        <f>IFERROR(__xludf.DUMMYFUNCTION("""COMPUTED_VALUE"""),1374.6)</f>
        <v>1374.6</v>
      </c>
      <c r="I23" s="47">
        <f>IFERROR(__xludf.DUMMYFUNCTION("""COMPUTED_VALUE"""),45775.6458333333)</f>
        <v>45775.6458333333</v>
      </c>
      <c r="J23" s="48">
        <f>IFERROR(__xludf.DUMMYFUNCTION("""COMPUTED_VALUE"""),1320.2)</f>
        <v>1320.2</v>
      </c>
      <c r="K23" s="3">
        <f t="shared" si="2"/>
        <v>0</v>
      </c>
      <c r="L23" s="3">
        <f t="shared" si="3"/>
        <v>0</v>
      </c>
    </row>
    <row r="24" customHeight="1" spans="1:12">
      <c r="A24" s="47">
        <f>IFERROR(__xludf.DUMMYFUNCTION("""COMPUTED_VALUE"""),45776.6458333333)</f>
        <v>45776.6458333333</v>
      </c>
      <c r="B24" s="48">
        <f>IFERROR(__xludf.DUMMYFUNCTION("""COMPUTED_VALUE"""),1399.7)</f>
        <v>1399.7</v>
      </c>
      <c r="C24" s="47">
        <f>IFERROR(__xludf.DUMMYFUNCTION("""COMPUTED_VALUE"""),45776.6458333333)</f>
        <v>45776.6458333333</v>
      </c>
      <c r="D24" s="48">
        <f>IFERROR(__xludf.DUMMYFUNCTION("""COMPUTED_VALUE"""),1371)</f>
        <v>1371</v>
      </c>
      <c r="E24" s="47">
        <f>IFERROR(__xludf.DUMMYFUNCTION("""COMPUTED_VALUE"""),45776.6458333333)</f>
        <v>45776.6458333333</v>
      </c>
      <c r="F24" s="48">
        <f>IFERROR(__xludf.DUMMYFUNCTION("""COMPUTED_VALUE"""),32538970)</f>
        <v>32538970</v>
      </c>
      <c r="G24" s="47">
        <f>IFERROR(__xludf.DUMMYFUNCTION("""COMPUTED_VALUE"""),45776.6458333333)</f>
        <v>45776.6458333333</v>
      </c>
      <c r="H24" s="48">
        <f>IFERROR(__xludf.DUMMYFUNCTION("""COMPUTED_VALUE"""),1410.9)</f>
        <v>1410.9</v>
      </c>
      <c r="I24" s="47">
        <f>IFERROR(__xludf.DUMMYFUNCTION("""COMPUTED_VALUE"""),45776.6458333333)</f>
        <v>45776.6458333333</v>
      </c>
      <c r="J24" s="48">
        <f>IFERROR(__xludf.DUMMYFUNCTION("""COMPUTED_VALUE"""),1370)</f>
        <v>1370</v>
      </c>
      <c r="K24" s="3">
        <f t="shared" si="2"/>
        <v>0</v>
      </c>
      <c r="L24" s="3">
        <f t="shared" si="3"/>
        <v>0</v>
      </c>
    </row>
    <row r="25" customHeight="1" spans="1:12">
      <c r="A25" s="47">
        <f>IFERROR(__xludf.DUMMYFUNCTION("""COMPUTED_VALUE"""),45777.6458333333)</f>
        <v>45777.6458333333</v>
      </c>
      <c r="B25" s="48">
        <f>IFERROR(__xludf.DUMMYFUNCTION("""COMPUTED_VALUE"""),1405)</f>
        <v>1405</v>
      </c>
      <c r="C25" s="47">
        <f>IFERROR(__xludf.DUMMYFUNCTION("""COMPUTED_VALUE"""),45777.6458333333)</f>
        <v>45777.6458333333</v>
      </c>
      <c r="D25" s="48">
        <f>IFERROR(__xludf.DUMMYFUNCTION("""COMPUTED_VALUE"""),1402)</f>
        <v>1402</v>
      </c>
      <c r="E25" s="47">
        <f>IFERROR(__xludf.DUMMYFUNCTION("""COMPUTED_VALUE"""),45777.6458333333)</f>
        <v>45777.6458333333</v>
      </c>
      <c r="F25" s="48">
        <f>IFERROR(__xludf.DUMMYFUNCTION("""COMPUTED_VALUE"""),25480745)</f>
        <v>25480745</v>
      </c>
      <c r="G25" s="47">
        <f>IFERROR(__xludf.DUMMYFUNCTION("""COMPUTED_VALUE"""),45777.6458333333)</f>
        <v>45777.6458333333</v>
      </c>
      <c r="H25" s="48">
        <f>IFERROR(__xludf.DUMMYFUNCTION("""COMPUTED_VALUE"""),1412.4)</f>
        <v>1412.4</v>
      </c>
      <c r="I25" s="47">
        <f>IFERROR(__xludf.DUMMYFUNCTION("""COMPUTED_VALUE"""),45777.6458333333)</f>
        <v>45777.6458333333</v>
      </c>
      <c r="J25" s="48">
        <f>IFERROR(__xludf.DUMMYFUNCTION("""COMPUTED_VALUE"""),1369)</f>
        <v>1369</v>
      </c>
      <c r="K25" s="3">
        <f t="shared" si="2"/>
        <v>0</v>
      </c>
      <c r="L25" s="3">
        <f t="shared" si="3"/>
        <v>0</v>
      </c>
    </row>
    <row r="26" customHeight="1" spans="1:12">
      <c r="A26" s="47">
        <f>IFERROR(__xludf.DUMMYFUNCTION("""COMPUTED_VALUE"""),45779.6458333333)</f>
        <v>45779.6458333333</v>
      </c>
      <c r="B26" s="48">
        <f>IFERROR(__xludf.DUMMYFUNCTION("""COMPUTED_VALUE"""),1422.4)</f>
        <v>1422.4</v>
      </c>
      <c r="C26" s="47">
        <f>IFERROR(__xludf.DUMMYFUNCTION("""COMPUTED_VALUE"""),45779.6458333333)</f>
        <v>45779.6458333333</v>
      </c>
      <c r="D26" s="48">
        <f>IFERROR(__xludf.DUMMYFUNCTION("""COMPUTED_VALUE"""),1414)</f>
        <v>1414</v>
      </c>
      <c r="E26" s="47">
        <f>IFERROR(__xludf.DUMMYFUNCTION("""COMPUTED_VALUE"""),45779.6458333333)</f>
        <v>45779.6458333333</v>
      </c>
      <c r="F26" s="48">
        <f>IFERROR(__xludf.DUMMYFUNCTION("""COMPUTED_VALUE"""),13007841)</f>
        <v>13007841</v>
      </c>
      <c r="G26" s="47">
        <f>IFERROR(__xludf.DUMMYFUNCTION("""COMPUTED_VALUE"""),45779.6458333333)</f>
        <v>45779.6458333333</v>
      </c>
      <c r="H26" s="48">
        <f>IFERROR(__xludf.DUMMYFUNCTION("""COMPUTED_VALUE"""),1426.7)</f>
        <v>1426.7</v>
      </c>
      <c r="I26" s="47">
        <f>IFERROR(__xludf.DUMMYFUNCTION("""COMPUTED_VALUE"""),45779.6458333333)</f>
        <v>45779.6458333333</v>
      </c>
      <c r="J26" s="48">
        <f>IFERROR(__xludf.DUMMYFUNCTION("""COMPUTED_VALUE"""),1409.1)</f>
        <v>1409.1</v>
      </c>
      <c r="K26" s="3">
        <f t="shared" si="2"/>
        <v>0</v>
      </c>
      <c r="L26" s="3">
        <f t="shared" si="3"/>
        <v>0</v>
      </c>
    </row>
    <row r="27" customHeight="1" spans="1:12">
      <c r="A27" s="47">
        <f>IFERROR(__xludf.DUMMYFUNCTION("""COMPUTED_VALUE"""),45782.6458333333)</f>
        <v>45782.6458333333</v>
      </c>
      <c r="B27" s="48">
        <f>IFERROR(__xludf.DUMMYFUNCTION("""COMPUTED_VALUE"""),1431.3)</f>
        <v>1431.3</v>
      </c>
      <c r="C27" s="47">
        <f>IFERROR(__xludf.DUMMYFUNCTION("""COMPUTED_VALUE"""),45782.6458333333)</f>
        <v>45782.6458333333</v>
      </c>
      <c r="D27" s="48">
        <f>IFERROR(__xludf.DUMMYFUNCTION("""COMPUTED_VALUE"""),1431)</f>
        <v>1431</v>
      </c>
      <c r="E27" s="47">
        <f>IFERROR(__xludf.DUMMYFUNCTION("""COMPUTED_VALUE"""),45782.6458333333)</f>
        <v>45782.6458333333</v>
      </c>
      <c r="F27" s="48">
        <f>IFERROR(__xludf.DUMMYFUNCTION("""COMPUTED_VALUE"""),12685649)</f>
        <v>12685649</v>
      </c>
      <c r="G27" s="47">
        <f>IFERROR(__xludf.DUMMYFUNCTION("""COMPUTED_VALUE"""),45782.6458333333)</f>
        <v>45782.6458333333</v>
      </c>
      <c r="H27" s="48">
        <f>IFERROR(__xludf.DUMMYFUNCTION("""COMPUTED_VALUE"""),1439.5)</f>
        <v>1439.5</v>
      </c>
      <c r="I27" s="47">
        <f>IFERROR(__xludf.DUMMYFUNCTION("""COMPUTED_VALUE"""),45782.6458333333)</f>
        <v>45782.6458333333</v>
      </c>
      <c r="J27" s="48">
        <f>IFERROR(__xludf.DUMMYFUNCTION("""COMPUTED_VALUE"""),1426.9)</f>
        <v>1426.9</v>
      </c>
      <c r="K27" s="3">
        <f t="shared" si="2"/>
        <v>0</v>
      </c>
      <c r="L27" s="3">
        <f t="shared" si="3"/>
        <v>0</v>
      </c>
    </row>
    <row r="28" customHeight="1" spans="1:12">
      <c r="A28" s="47">
        <f>IFERROR(__xludf.DUMMYFUNCTION("""COMPUTED_VALUE"""),45783.6458333333)</f>
        <v>45783.6458333333</v>
      </c>
      <c r="B28" s="48">
        <f>IFERROR(__xludf.DUMMYFUNCTION("""COMPUTED_VALUE"""),1420.9)</f>
        <v>1420.9</v>
      </c>
      <c r="C28" s="47">
        <f>IFERROR(__xludf.DUMMYFUNCTION("""COMPUTED_VALUE"""),45783.6458333333)</f>
        <v>45783.6458333333</v>
      </c>
      <c r="D28" s="48">
        <f>IFERROR(__xludf.DUMMYFUNCTION("""COMPUTED_VALUE"""),1431)</f>
        <v>1431</v>
      </c>
      <c r="E28" s="47">
        <f>IFERROR(__xludf.DUMMYFUNCTION("""COMPUTED_VALUE"""),45783.6458333333)</f>
        <v>45783.6458333333</v>
      </c>
      <c r="F28" s="48">
        <f>IFERROR(__xludf.DUMMYFUNCTION("""COMPUTED_VALUE"""),14084117)</f>
        <v>14084117</v>
      </c>
      <c r="G28" s="47">
        <f>IFERROR(__xludf.DUMMYFUNCTION("""COMPUTED_VALUE"""),45783.6458333333)</f>
        <v>45783.6458333333</v>
      </c>
      <c r="H28" s="48">
        <f>IFERROR(__xludf.DUMMYFUNCTION("""COMPUTED_VALUE"""),1432)</f>
        <v>1432</v>
      </c>
      <c r="I28" s="47">
        <f>IFERROR(__xludf.DUMMYFUNCTION("""COMPUTED_VALUE"""),45783.6458333333)</f>
        <v>45783.6458333333</v>
      </c>
      <c r="J28" s="48">
        <f>IFERROR(__xludf.DUMMYFUNCTION("""COMPUTED_VALUE"""),1410.6)</f>
        <v>1410.6</v>
      </c>
      <c r="K28" s="3">
        <f t="shared" si="2"/>
        <v>0</v>
      </c>
      <c r="L28" s="3">
        <f t="shared" si="3"/>
        <v>0</v>
      </c>
    </row>
    <row r="29" customHeight="1" spans="1:12">
      <c r="A29" s="47">
        <f>IFERROR(__xludf.DUMMYFUNCTION("""COMPUTED_VALUE"""),45784.6458333333)</f>
        <v>45784.6458333333</v>
      </c>
      <c r="B29" s="48">
        <f>IFERROR(__xludf.DUMMYFUNCTION("""COMPUTED_VALUE"""),1406)</f>
        <v>1406</v>
      </c>
      <c r="C29" s="47">
        <f>IFERROR(__xludf.DUMMYFUNCTION("""COMPUTED_VALUE"""),45784.6458333333)</f>
        <v>45784.6458333333</v>
      </c>
      <c r="D29" s="48">
        <f>IFERROR(__xludf.DUMMYFUNCTION("""COMPUTED_VALUE"""),1420.9)</f>
        <v>1420.9</v>
      </c>
      <c r="E29" s="47">
        <f>IFERROR(__xludf.DUMMYFUNCTION("""COMPUTED_VALUE"""),45784.6458333333)</f>
        <v>45784.6458333333</v>
      </c>
      <c r="F29" s="48">
        <f>IFERROR(__xludf.DUMMYFUNCTION("""COMPUTED_VALUE"""),13440169)</f>
        <v>13440169</v>
      </c>
      <c r="G29" s="47">
        <f>IFERROR(__xludf.DUMMYFUNCTION("""COMPUTED_VALUE"""),45784.6458333333)</f>
        <v>45784.6458333333</v>
      </c>
      <c r="H29" s="48">
        <f>IFERROR(__xludf.DUMMYFUNCTION("""COMPUTED_VALUE"""),1424.4)</f>
        <v>1424.4</v>
      </c>
      <c r="I29" s="47">
        <f>IFERROR(__xludf.DUMMYFUNCTION("""COMPUTED_VALUE"""),45784.6458333333)</f>
        <v>45784.6458333333</v>
      </c>
      <c r="J29" s="48">
        <f>IFERROR(__xludf.DUMMYFUNCTION("""COMPUTED_VALUE"""),1402.7)</f>
        <v>1402.7</v>
      </c>
      <c r="K29" s="3">
        <f t="shared" si="2"/>
        <v>0</v>
      </c>
      <c r="L29" s="3">
        <f t="shared" si="3"/>
        <v>0</v>
      </c>
    </row>
    <row r="30" customHeight="1" spans="1:12">
      <c r="A30" s="47">
        <f>IFERROR(__xludf.DUMMYFUNCTION("""COMPUTED_VALUE"""),45785.6458333333)</f>
        <v>45785.6458333333</v>
      </c>
      <c r="B30" s="48">
        <f>IFERROR(__xludf.DUMMYFUNCTION("""COMPUTED_VALUE"""),1407)</f>
        <v>1407</v>
      </c>
      <c r="C30" s="47">
        <f>IFERROR(__xludf.DUMMYFUNCTION("""COMPUTED_VALUE"""),45785.6458333333)</f>
        <v>45785.6458333333</v>
      </c>
      <c r="D30" s="48">
        <f>IFERROR(__xludf.DUMMYFUNCTION("""COMPUTED_VALUE"""),1404.1)</f>
        <v>1404.1</v>
      </c>
      <c r="E30" s="47">
        <f>IFERROR(__xludf.DUMMYFUNCTION("""COMPUTED_VALUE"""),45785.6458333333)</f>
        <v>45785.6458333333</v>
      </c>
      <c r="F30" s="48">
        <f>IFERROR(__xludf.DUMMYFUNCTION("""COMPUTED_VALUE"""),16106175)</f>
        <v>16106175</v>
      </c>
      <c r="G30" s="47">
        <f>IFERROR(__xludf.DUMMYFUNCTION("""COMPUTED_VALUE"""),45785.6458333333)</f>
        <v>45785.6458333333</v>
      </c>
      <c r="H30" s="48">
        <f>IFERROR(__xludf.DUMMYFUNCTION("""COMPUTED_VALUE"""),1420.8)</f>
        <v>1420.8</v>
      </c>
      <c r="I30" s="47">
        <f>IFERROR(__xludf.DUMMYFUNCTION("""COMPUTED_VALUE"""),45785.6458333333)</f>
        <v>45785.6458333333</v>
      </c>
      <c r="J30" s="48">
        <f>IFERROR(__xludf.DUMMYFUNCTION("""COMPUTED_VALUE"""),1398)</f>
        <v>1398</v>
      </c>
      <c r="K30" s="3">
        <f t="shared" si="2"/>
        <v>0</v>
      </c>
      <c r="L30" s="3">
        <f t="shared" si="3"/>
        <v>0</v>
      </c>
    </row>
    <row r="31" customHeight="1" spans="1:12">
      <c r="A31" s="47">
        <f>IFERROR(__xludf.DUMMYFUNCTION("""COMPUTED_VALUE"""),45786.6458333333)</f>
        <v>45786.6458333333</v>
      </c>
      <c r="B31" s="48">
        <f>IFERROR(__xludf.DUMMYFUNCTION("""COMPUTED_VALUE"""),1377.2)</f>
        <v>1377.2</v>
      </c>
      <c r="C31" s="47">
        <f>IFERROR(__xludf.DUMMYFUNCTION("""COMPUTED_VALUE"""),45786.6458333333)</f>
        <v>45786.6458333333</v>
      </c>
      <c r="D31" s="48">
        <f>IFERROR(__xludf.DUMMYFUNCTION("""COMPUTED_VALUE"""),1385.5)</f>
        <v>1385.5</v>
      </c>
      <c r="E31" s="47">
        <f>IFERROR(__xludf.DUMMYFUNCTION("""COMPUTED_VALUE"""),45786.6458333333)</f>
        <v>45786.6458333333</v>
      </c>
      <c r="F31" s="48">
        <f>IFERROR(__xludf.DUMMYFUNCTION("""COMPUTED_VALUE"""),13668904)</f>
        <v>13668904</v>
      </c>
      <c r="G31" s="47">
        <f>IFERROR(__xludf.DUMMYFUNCTION("""COMPUTED_VALUE"""),45786.6458333333)</f>
        <v>45786.6458333333</v>
      </c>
      <c r="H31" s="48">
        <f>IFERROR(__xludf.DUMMYFUNCTION("""COMPUTED_VALUE"""),1394.8)</f>
        <v>1394.8</v>
      </c>
      <c r="I31" s="47">
        <f>IFERROR(__xludf.DUMMYFUNCTION("""COMPUTED_VALUE"""),45786.6458333333)</f>
        <v>45786.6458333333</v>
      </c>
      <c r="J31" s="48">
        <f>IFERROR(__xludf.DUMMYFUNCTION("""COMPUTED_VALUE"""),1374.5)</f>
        <v>1374.5</v>
      </c>
      <c r="K31" s="3">
        <f t="shared" si="2"/>
        <v>0</v>
      </c>
      <c r="L31" s="3">
        <f t="shared" si="3"/>
        <v>1377.2</v>
      </c>
    </row>
    <row r="32" customHeight="1" spans="1:12">
      <c r="A32" s="47">
        <f>IFERROR(__xludf.DUMMYFUNCTION("""COMPUTED_VALUE"""),45789.6458333333)</f>
        <v>45789.6458333333</v>
      </c>
      <c r="B32" s="48">
        <f>IFERROR(__xludf.DUMMYFUNCTION("""COMPUTED_VALUE"""),1436.5)</f>
        <v>1436.5</v>
      </c>
      <c r="C32" s="47">
        <f>IFERROR(__xludf.DUMMYFUNCTION("""COMPUTED_VALUE"""),45789.6458333333)</f>
        <v>45789.6458333333</v>
      </c>
      <c r="D32" s="48">
        <f>IFERROR(__xludf.DUMMYFUNCTION("""COMPUTED_VALUE"""),1400)</f>
        <v>1400</v>
      </c>
      <c r="E32" s="47">
        <f>IFERROR(__xludf.DUMMYFUNCTION("""COMPUTED_VALUE"""),45789.6458333333)</f>
        <v>45789.6458333333</v>
      </c>
      <c r="F32" s="48">
        <f>IFERROR(__xludf.DUMMYFUNCTION("""COMPUTED_VALUE"""),10674081)</f>
        <v>10674081</v>
      </c>
      <c r="G32" s="47">
        <f>IFERROR(__xludf.DUMMYFUNCTION("""COMPUTED_VALUE"""),45789.6458333333)</f>
        <v>45789.6458333333</v>
      </c>
      <c r="H32" s="48">
        <f>IFERROR(__xludf.DUMMYFUNCTION("""COMPUTED_VALUE"""),1439)</f>
        <v>1439</v>
      </c>
      <c r="I32" s="47">
        <f>IFERROR(__xludf.DUMMYFUNCTION("""COMPUTED_VALUE"""),45789.6458333333)</f>
        <v>45789.6458333333</v>
      </c>
      <c r="J32" s="48">
        <f>IFERROR(__xludf.DUMMYFUNCTION("""COMPUTED_VALUE"""),1400)</f>
        <v>1400</v>
      </c>
      <c r="K32" s="3">
        <f t="shared" si="2"/>
        <v>0</v>
      </c>
      <c r="L32" s="3">
        <f t="shared" si="3"/>
        <v>0</v>
      </c>
    </row>
    <row r="33" customHeight="1" spans="1:12">
      <c r="A33" s="47">
        <f>IFERROR(__xludf.DUMMYFUNCTION("""COMPUTED_VALUE"""),45790.6458333333)</f>
        <v>45790.6458333333</v>
      </c>
      <c r="B33" s="48">
        <f>IFERROR(__xludf.DUMMYFUNCTION("""COMPUTED_VALUE"""),1415.7)</f>
        <v>1415.7</v>
      </c>
      <c r="C33" s="47">
        <f>IFERROR(__xludf.DUMMYFUNCTION("""COMPUTED_VALUE"""),45790.6458333333)</f>
        <v>45790.6458333333</v>
      </c>
      <c r="D33" s="48">
        <f>IFERROR(__xludf.DUMMYFUNCTION("""COMPUTED_VALUE"""),1433.5)</f>
        <v>1433.5</v>
      </c>
      <c r="E33" s="47">
        <f>IFERROR(__xludf.DUMMYFUNCTION("""COMPUTED_VALUE"""),45790.6458333333)</f>
        <v>45790.6458333333</v>
      </c>
      <c r="F33" s="48">
        <f>IFERROR(__xludf.DUMMYFUNCTION("""COMPUTED_VALUE"""),11407896)</f>
        <v>11407896</v>
      </c>
      <c r="G33" s="47">
        <f>IFERROR(__xludf.DUMMYFUNCTION("""COMPUTED_VALUE"""),45790.6458333333)</f>
        <v>45790.6458333333</v>
      </c>
      <c r="H33" s="48">
        <f>IFERROR(__xludf.DUMMYFUNCTION("""COMPUTED_VALUE"""),1447.7)</f>
        <v>1447.7</v>
      </c>
      <c r="I33" s="47">
        <f>IFERROR(__xludf.DUMMYFUNCTION("""COMPUTED_VALUE"""),45790.6458333333)</f>
        <v>45790.6458333333</v>
      </c>
      <c r="J33" s="48">
        <f>IFERROR(__xludf.DUMMYFUNCTION("""COMPUTED_VALUE"""),1412.4)</f>
        <v>1412.4</v>
      </c>
      <c r="K33" s="3">
        <f t="shared" si="2"/>
        <v>0</v>
      </c>
      <c r="L33" s="3">
        <f t="shared" si="3"/>
        <v>0</v>
      </c>
    </row>
    <row r="34" customHeight="1" spans="1:12">
      <c r="A34" s="47">
        <f>IFERROR(__xludf.DUMMYFUNCTION("""COMPUTED_VALUE"""),45791.6458333333)</f>
        <v>45791.6458333333</v>
      </c>
      <c r="B34" s="48">
        <f>IFERROR(__xludf.DUMMYFUNCTION("""COMPUTED_VALUE"""),1424.4)</f>
        <v>1424.4</v>
      </c>
      <c r="C34" s="47">
        <f>IFERROR(__xludf.DUMMYFUNCTION("""COMPUTED_VALUE"""),45791.6458333333)</f>
        <v>45791.6458333333</v>
      </c>
      <c r="D34" s="48">
        <f>IFERROR(__xludf.DUMMYFUNCTION("""COMPUTED_VALUE"""),1420)</f>
        <v>1420</v>
      </c>
      <c r="E34" s="47">
        <f>IFERROR(__xludf.DUMMYFUNCTION("""COMPUTED_VALUE"""),45791.6458333333)</f>
        <v>45791.6458333333</v>
      </c>
      <c r="F34" s="48">
        <f>IFERROR(__xludf.DUMMYFUNCTION("""COMPUTED_VALUE"""),5570160)</f>
        <v>5570160</v>
      </c>
      <c r="G34" s="47">
        <f>IFERROR(__xludf.DUMMYFUNCTION("""COMPUTED_VALUE"""),45791.6458333333)</f>
        <v>45791.6458333333</v>
      </c>
      <c r="H34" s="48">
        <f>IFERROR(__xludf.DUMMYFUNCTION("""COMPUTED_VALUE"""),1429.9)</f>
        <v>1429.9</v>
      </c>
      <c r="I34" s="47">
        <f>IFERROR(__xludf.DUMMYFUNCTION("""COMPUTED_VALUE"""),45791.6458333333)</f>
        <v>45791.6458333333</v>
      </c>
      <c r="J34" s="48">
        <f>IFERROR(__xludf.DUMMYFUNCTION("""COMPUTED_VALUE"""),1415.5)</f>
        <v>1415.5</v>
      </c>
      <c r="K34" s="3">
        <f t="shared" si="2"/>
        <v>0</v>
      </c>
      <c r="L34" s="3">
        <f t="shared" si="3"/>
        <v>0</v>
      </c>
    </row>
    <row r="35" customHeight="1" spans="1:12">
      <c r="A35" s="47">
        <f>IFERROR(__xludf.DUMMYFUNCTION("""COMPUTED_VALUE"""),45792.6458333333)</f>
        <v>45792.6458333333</v>
      </c>
      <c r="B35" s="48">
        <f>IFERROR(__xludf.DUMMYFUNCTION("""COMPUTED_VALUE"""),1454.2)</f>
        <v>1454.2</v>
      </c>
      <c r="C35" s="47">
        <f>IFERROR(__xludf.DUMMYFUNCTION("""COMPUTED_VALUE"""),45792.6458333333)</f>
        <v>45792.6458333333</v>
      </c>
      <c r="D35" s="48">
        <f>IFERROR(__xludf.DUMMYFUNCTION("""COMPUTED_VALUE"""),1425)</f>
        <v>1425</v>
      </c>
      <c r="E35" s="47">
        <f>IFERROR(__xludf.DUMMYFUNCTION("""COMPUTED_VALUE"""),45792.6458333333)</f>
        <v>45792.6458333333</v>
      </c>
      <c r="F35" s="48">
        <f>IFERROR(__xludf.DUMMYFUNCTION("""COMPUTED_VALUE"""),20177211)</f>
        <v>20177211</v>
      </c>
      <c r="G35" s="47">
        <f>IFERROR(__xludf.DUMMYFUNCTION("""COMPUTED_VALUE"""),45792.6458333333)</f>
        <v>45792.6458333333</v>
      </c>
      <c r="H35" s="48">
        <f>IFERROR(__xludf.DUMMYFUNCTION("""COMPUTED_VALUE"""),1461.4)</f>
        <v>1461.4</v>
      </c>
      <c r="I35" s="47">
        <f>IFERROR(__xludf.DUMMYFUNCTION("""COMPUTED_VALUE"""),45792.6458333333)</f>
        <v>45792.6458333333</v>
      </c>
      <c r="J35" s="48">
        <f>IFERROR(__xludf.DUMMYFUNCTION("""COMPUTED_VALUE"""),1412.7)</f>
        <v>1412.7</v>
      </c>
      <c r="K35" s="3">
        <f t="shared" si="2"/>
        <v>0</v>
      </c>
      <c r="L35" s="3">
        <f t="shared" si="3"/>
        <v>0</v>
      </c>
    </row>
    <row r="36" customHeight="1" spans="1:12">
      <c r="A36" s="47">
        <f>IFERROR(__xludf.DUMMYFUNCTION("""COMPUTED_VALUE"""),45793.6458333333)</f>
        <v>45793.6458333333</v>
      </c>
      <c r="B36" s="48">
        <f>IFERROR(__xludf.DUMMYFUNCTION("""COMPUTED_VALUE"""),1456.4)</f>
        <v>1456.4</v>
      </c>
      <c r="C36" s="47">
        <f>IFERROR(__xludf.DUMMYFUNCTION("""COMPUTED_VALUE"""),45793.6458333333)</f>
        <v>45793.6458333333</v>
      </c>
      <c r="D36" s="48">
        <f>IFERROR(__xludf.DUMMYFUNCTION("""COMPUTED_VALUE"""),1453.2)</f>
        <v>1453.2</v>
      </c>
      <c r="E36" s="47">
        <f>IFERROR(__xludf.DUMMYFUNCTION("""COMPUTED_VALUE"""),45793.6458333333)</f>
        <v>45793.6458333333</v>
      </c>
      <c r="F36" s="48">
        <f>IFERROR(__xludf.DUMMYFUNCTION("""COMPUTED_VALUE"""),9036695)</f>
        <v>9036695</v>
      </c>
      <c r="G36" s="47">
        <f>IFERROR(__xludf.DUMMYFUNCTION("""COMPUTED_VALUE"""),45793.6458333333)</f>
        <v>45793.6458333333</v>
      </c>
      <c r="H36" s="48">
        <f>IFERROR(__xludf.DUMMYFUNCTION("""COMPUTED_VALUE"""),1461)</f>
        <v>1461</v>
      </c>
      <c r="I36" s="47">
        <f>IFERROR(__xludf.DUMMYFUNCTION("""COMPUTED_VALUE"""),45793.6458333333)</f>
        <v>45793.6458333333</v>
      </c>
      <c r="J36" s="48">
        <f>IFERROR(__xludf.DUMMYFUNCTION("""COMPUTED_VALUE"""),1447.3)</f>
        <v>1447.3</v>
      </c>
      <c r="K36" s="3">
        <f t="shared" si="2"/>
        <v>1456.4</v>
      </c>
      <c r="L36" s="3">
        <f t="shared" si="3"/>
        <v>0</v>
      </c>
    </row>
    <row r="37" customHeight="1" spans="1:12">
      <c r="A37" s="47">
        <f>IFERROR(__xludf.DUMMYFUNCTION("""COMPUTED_VALUE"""),45796.6458333333)</f>
        <v>45796.6458333333</v>
      </c>
      <c r="B37" s="48">
        <f>IFERROR(__xludf.DUMMYFUNCTION("""COMPUTED_VALUE"""),1440.8)</f>
        <v>1440.8</v>
      </c>
      <c r="C37" s="47">
        <f>IFERROR(__xludf.DUMMYFUNCTION("""COMPUTED_VALUE"""),45796.6458333333)</f>
        <v>45796.6458333333</v>
      </c>
      <c r="D37" s="48">
        <f>IFERROR(__xludf.DUMMYFUNCTION("""COMPUTED_VALUE"""),1452.1)</f>
        <v>1452.1</v>
      </c>
      <c r="E37" s="47">
        <f>IFERROR(__xludf.DUMMYFUNCTION("""COMPUTED_VALUE"""),45796.6458333333)</f>
        <v>45796.6458333333</v>
      </c>
      <c r="F37" s="48">
        <f>IFERROR(__xludf.DUMMYFUNCTION("""COMPUTED_VALUE"""),6195791)</f>
        <v>6195791</v>
      </c>
      <c r="G37" s="47">
        <f>IFERROR(__xludf.DUMMYFUNCTION("""COMPUTED_VALUE"""),45796.6458333333)</f>
        <v>45796.6458333333</v>
      </c>
      <c r="H37" s="48">
        <f>IFERROR(__xludf.DUMMYFUNCTION("""COMPUTED_VALUE"""),1454.6)</f>
        <v>1454.6</v>
      </c>
      <c r="I37" s="47">
        <f>IFERROR(__xludf.DUMMYFUNCTION("""COMPUTED_VALUE"""),45796.6458333333)</f>
        <v>45796.6458333333</v>
      </c>
      <c r="J37" s="48">
        <f>IFERROR(__xludf.DUMMYFUNCTION("""COMPUTED_VALUE"""),1438.2)</f>
        <v>1438.2</v>
      </c>
      <c r="K37" s="3">
        <f t="shared" si="2"/>
        <v>0</v>
      </c>
      <c r="L37" s="3">
        <f t="shared" si="3"/>
        <v>0</v>
      </c>
    </row>
    <row r="38" customHeight="1" spans="1:12">
      <c r="A38" s="47">
        <f>IFERROR(__xludf.DUMMYFUNCTION("""COMPUTED_VALUE"""),45797.6458333333)</f>
        <v>45797.6458333333</v>
      </c>
      <c r="B38" s="48">
        <f>IFERROR(__xludf.DUMMYFUNCTION("""COMPUTED_VALUE"""),1424.6)</f>
        <v>1424.6</v>
      </c>
      <c r="C38" s="47">
        <f>IFERROR(__xludf.DUMMYFUNCTION("""COMPUTED_VALUE"""),45797.6458333333)</f>
        <v>45797.6458333333</v>
      </c>
      <c r="D38" s="48">
        <f>IFERROR(__xludf.DUMMYFUNCTION("""COMPUTED_VALUE"""),1438.2)</f>
        <v>1438.2</v>
      </c>
      <c r="E38" s="47">
        <f>IFERROR(__xludf.DUMMYFUNCTION("""COMPUTED_VALUE"""),45797.6458333333)</f>
        <v>45797.6458333333</v>
      </c>
      <c r="F38" s="48">
        <f>IFERROR(__xludf.DUMMYFUNCTION("""COMPUTED_VALUE"""),11270560)</f>
        <v>11270560</v>
      </c>
      <c r="G38" s="47">
        <f>IFERROR(__xludf.DUMMYFUNCTION("""COMPUTED_VALUE"""),45797.6458333333)</f>
        <v>45797.6458333333</v>
      </c>
      <c r="H38" s="48">
        <f>IFERROR(__xludf.DUMMYFUNCTION("""COMPUTED_VALUE"""),1445)</f>
        <v>1445</v>
      </c>
      <c r="I38" s="47">
        <f>IFERROR(__xludf.DUMMYFUNCTION("""COMPUTED_VALUE"""),45797.6458333333)</f>
        <v>45797.6458333333</v>
      </c>
      <c r="J38" s="48">
        <f>IFERROR(__xludf.DUMMYFUNCTION("""COMPUTED_VALUE"""),1421.8)</f>
        <v>1421.8</v>
      </c>
      <c r="K38" s="3">
        <f t="shared" si="2"/>
        <v>0</v>
      </c>
      <c r="L38" s="3">
        <f t="shared" si="3"/>
        <v>0</v>
      </c>
    </row>
    <row r="39" customHeight="1" spans="1:12">
      <c r="A39" s="47">
        <f>IFERROR(__xludf.DUMMYFUNCTION("""COMPUTED_VALUE"""),45798.6458333333)</f>
        <v>45798.6458333333</v>
      </c>
      <c r="B39" s="48">
        <f>IFERROR(__xludf.DUMMYFUNCTION("""COMPUTED_VALUE"""),1429.2)</f>
        <v>1429.2</v>
      </c>
      <c r="C39" s="47">
        <f>IFERROR(__xludf.DUMMYFUNCTION("""COMPUTED_VALUE"""),45798.6458333333)</f>
        <v>45798.6458333333</v>
      </c>
      <c r="D39" s="48">
        <f>IFERROR(__xludf.DUMMYFUNCTION("""COMPUTED_VALUE"""),1423.9)</f>
        <v>1423.9</v>
      </c>
      <c r="E39" s="47">
        <f>IFERROR(__xludf.DUMMYFUNCTION("""COMPUTED_VALUE"""),45798.6458333333)</f>
        <v>45798.6458333333</v>
      </c>
      <c r="F39" s="48">
        <f>IFERROR(__xludf.DUMMYFUNCTION("""COMPUTED_VALUE"""),6136364)</f>
        <v>6136364</v>
      </c>
      <c r="G39" s="47">
        <f>IFERROR(__xludf.DUMMYFUNCTION("""COMPUTED_VALUE"""),45798.6458333333)</f>
        <v>45798.6458333333</v>
      </c>
      <c r="H39" s="48">
        <f>IFERROR(__xludf.DUMMYFUNCTION("""COMPUTED_VALUE"""),1436.2)</f>
        <v>1436.2</v>
      </c>
      <c r="I39" s="47">
        <f>IFERROR(__xludf.DUMMYFUNCTION("""COMPUTED_VALUE"""),45798.6458333333)</f>
        <v>45798.6458333333</v>
      </c>
      <c r="J39" s="48">
        <f>IFERROR(__xludf.DUMMYFUNCTION("""COMPUTED_VALUE"""),1418.1)</f>
        <v>1418.1</v>
      </c>
      <c r="K39" s="3">
        <f t="shared" si="2"/>
        <v>0</v>
      </c>
      <c r="L39" s="3">
        <f t="shared" si="3"/>
        <v>0</v>
      </c>
    </row>
    <row r="40" customHeight="1" spans="1:12">
      <c r="A40" s="47">
        <f>IFERROR(__xludf.DUMMYFUNCTION("""COMPUTED_VALUE"""),45799.6458333333)</f>
        <v>45799.6458333333</v>
      </c>
      <c r="B40" s="48">
        <f>IFERROR(__xludf.DUMMYFUNCTION("""COMPUTED_VALUE"""),1409.4)</f>
        <v>1409.4</v>
      </c>
      <c r="C40" s="47">
        <f>IFERROR(__xludf.DUMMYFUNCTION("""COMPUTED_VALUE"""),45799.6458333333)</f>
        <v>45799.6458333333</v>
      </c>
      <c r="D40" s="48">
        <f>IFERROR(__xludf.DUMMYFUNCTION("""COMPUTED_VALUE"""),1421.2)</f>
        <v>1421.2</v>
      </c>
      <c r="E40" s="47">
        <f>IFERROR(__xludf.DUMMYFUNCTION("""COMPUTED_VALUE"""),45799.6458333333)</f>
        <v>45799.6458333333</v>
      </c>
      <c r="F40" s="48">
        <f>IFERROR(__xludf.DUMMYFUNCTION("""COMPUTED_VALUE"""),12134466)</f>
        <v>12134466</v>
      </c>
      <c r="G40" s="47">
        <f>IFERROR(__xludf.DUMMYFUNCTION("""COMPUTED_VALUE"""),45799.6458333333)</f>
        <v>45799.6458333333</v>
      </c>
      <c r="H40" s="48">
        <f>IFERROR(__xludf.DUMMYFUNCTION("""COMPUTED_VALUE"""),1423.8)</f>
        <v>1423.8</v>
      </c>
      <c r="I40" s="47">
        <f>IFERROR(__xludf.DUMMYFUNCTION("""COMPUTED_VALUE"""),45799.6458333333)</f>
        <v>45799.6458333333</v>
      </c>
      <c r="J40" s="48">
        <f>IFERROR(__xludf.DUMMYFUNCTION("""COMPUTED_VALUE"""),1396.9)</f>
        <v>1396.9</v>
      </c>
      <c r="K40" s="3">
        <f t="shared" si="2"/>
        <v>0</v>
      </c>
      <c r="L40" s="3">
        <f t="shared" si="3"/>
        <v>1409.4</v>
      </c>
    </row>
    <row r="41" customHeight="1" spans="1:12">
      <c r="A41" s="47">
        <f>IFERROR(__xludf.DUMMYFUNCTION("""COMPUTED_VALUE"""),45800.6458333333)</f>
        <v>45800.6458333333</v>
      </c>
      <c r="B41" s="48">
        <f>IFERROR(__xludf.DUMMYFUNCTION("""COMPUTED_VALUE"""),1426.8)</f>
        <v>1426.8</v>
      </c>
      <c r="C41" s="47">
        <f>IFERROR(__xludf.DUMMYFUNCTION("""COMPUTED_VALUE"""),45800.6458333333)</f>
        <v>45800.6458333333</v>
      </c>
      <c r="D41" s="48">
        <f>IFERROR(__xludf.DUMMYFUNCTION("""COMPUTED_VALUE"""),1406.6)</f>
        <v>1406.6</v>
      </c>
      <c r="E41" s="47">
        <f>IFERROR(__xludf.DUMMYFUNCTION("""COMPUTED_VALUE"""),45800.6458333333)</f>
        <v>45800.6458333333</v>
      </c>
      <c r="F41" s="48">
        <f>IFERROR(__xludf.DUMMYFUNCTION("""COMPUTED_VALUE"""),6474883)</f>
        <v>6474883</v>
      </c>
      <c r="G41" s="47">
        <f>IFERROR(__xludf.DUMMYFUNCTION("""COMPUTED_VALUE"""),45800.6458333333)</f>
        <v>45800.6458333333</v>
      </c>
      <c r="H41" s="48">
        <f>IFERROR(__xludf.DUMMYFUNCTION("""COMPUTED_VALUE"""),1433.8)</f>
        <v>1433.8</v>
      </c>
      <c r="I41" s="47">
        <f>IFERROR(__xludf.DUMMYFUNCTION("""COMPUTED_VALUE"""),45800.6458333333)</f>
        <v>45800.6458333333</v>
      </c>
      <c r="J41" s="48">
        <f>IFERROR(__xludf.DUMMYFUNCTION("""COMPUTED_VALUE"""),1406.6)</f>
        <v>1406.6</v>
      </c>
      <c r="K41" s="3">
        <f t="shared" si="2"/>
        <v>0</v>
      </c>
      <c r="L41" s="3">
        <f t="shared" si="3"/>
        <v>0</v>
      </c>
    </row>
    <row r="42" customHeight="1" spans="1:12">
      <c r="A42" s="47">
        <f>IFERROR(__xludf.DUMMYFUNCTION("""COMPUTED_VALUE"""),45803.6458333333)</f>
        <v>45803.6458333333</v>
      </c>
      <c r="B42" s="48">
        <f>IFERROR(__xludf.DUMMYFUNCTION("""COMPUTED_VALUE"""),1434.8)</f>
        <v>1434.8</v>
      </c>
      <c r="C42" s="47">
        <f>IFERROR(__xludf.DUMMYFUNCTION("""COMPUTED_VALUE"""),45803.6458333333)</f>
        <v>45803.6458333333</v>
      </c>
      <c r="D42" s="48">
        <f>IFERROR(__xludf.DUMMYFUNCTION("""COMPUTED_VALUE"""),1432)</f>
        <v>1432</v>
      </c>
      <c r="E42" s="47">
        <f>IFERROR(__xludf.DUMMYFUNCTION("""COMPUTED_VALUE"""),45803.6458333333)</f>
        <v>45803.6458333333</v>
      </c>
      <c r="F42" s="48">
        <f>IFERROR(__xludf.DUMMYFUNCTION("""COMPUTED_VALUE"""),4842944)</f>
        <v>4842944</v>
      </c>
      <c r="G42" s="47">
        <f>IFERROR(__xludf.DUMMYFUNCTION("""COMPUTED_VALUE"""),45803.6458333333)</f>
        <v>45803.6458333333</v>
      </c>
      <c r="H42" s="48">
        <f>IFERROR(__xludf.DUMMYFUNCTION("""COMPUTED_VALUE"""),1441)</f>
        <v>1441</v>
      </c>
      <c r="I42" s="47">
        <f>IFERROR(__xludf.DUMMYFUNCTION("""COMPUTED_VALUE"""),45803.6458333333)</f>
        <v>45803.6458333333</v>
      </c>
      <c r="J42" s="48">
        <f>IFERROR(__xludf.DUMMYFUNCTION("""COMPUTED_VALUE"""),1425.1)</f>
        <v>1425.1</v>
      </c>
      <c r="K42" s="3">
        <f t="shared" si="2"/>
        <v>0</v>
      </c>
      <c r="L42" s="3">
        <f t="shared" si="3"/>
        <v>0</v>
      </c>
    </row>
    <row r="43" customHeight="1" spans="1:12">
      <c r="A43" s="47">
        <f>IFERROR(__xludf.DUMMYFUNCTION("""COMPUTED_VALUE"""),45804.6458333333)</f>
        <v>45804.6458333333</v>
      </c>
      <c r="B43" s="48">
        <f>IFERROR(__xludf.DUMMYFUNCTION("""COMPUTED_VALUE"""),1422.1)</f>
        <v>1422.1</v>
      </c>
      <c r="C43" s="47">
        <f>IFERROR(__xludf.DUMMYFUNCTION("""COMPUTED_VALUE"""),45804.6458333333)</f>
        <v>45804.6458333333</v>
      </c>
      <c r="D43" s="48">
        <f>IFERROR(__xludf.DUMMYFUNCTION("""COMPUTED_VALUE"""),1426.1)</f>
        <v>1426.1</v>
      </c>
      <c r="E43" s="47">
        <f>IFERROR(__xludf.DUMMYFUNCTION("""COMPUTED_VALUE"""),45804.6458333333)</f>
        <v>45804.6458333333</v>
      </c>
      <c r="F43" s="48">
        <f>IFERROR(__xludf.DUMMYFUNCTION("""COMPUTED_VALUE"""),12640414)</f>
        <v>12640414</v>
      </c>
      <c r="G43" s="47">
        <f>IFERROR(__xludf.DUMMYFUNCTION("""COMPUTED_VALUE"""),45804.6458333333)</f>
        <v>45804.6458333333</v>
      </c>
      <c r="H43" s="48">
        <f>IFERROR(__xludf.DUMMYFUNCTION("""COMPUTED_VALUE"""),1437)</f>
        <v>1437</v>
      </c>
      <c r="I43" s="47">
        <f>IFERROR(__xludf.DUMMYFUNCTION("""COMPUTED_VALUE"""),45804.6458333333)</f>
        <v>45804.6458333333</v>
      </c>
      <c r="J43" s="48">
        <f>IFERROR(__xludf.DUMMYFUNCTION("""COMPUTED_VALUE"""),1413.9)</f>
        <v>1413.9</v>
      </c>
      <c r="K43" s="3">
        <f t="shared" si="2"/>
        <v>0</v>
      </c>
      <c r="L43" s="3">
        <f t="shared" si="3"/>
        <v>0</v>
      </c>
    </row>
    <row r="44" customHeight="1" spans="1:12">
      <c r="A44" s="47">
        <f>IFERROR(__xludf.DUMMYFUNCTION("""COMPUTED_VALUE"""),45805.6458333333)</f>
        <v>45805.6458333333</v>
      </c>
      <c r="B44" s="48">
        <f>IFERROR(__xludf.DUMMYFUNCTION("""COMPUTED_VALUE"""),1412.9)</f>
        <v>1412.9</v>
      </c>
      <c r="C44" s="47">
        <f>IFERROR(__xludf.DUMMYFUNCTION("""COMPUTED_VALUE"""),45805.6458333333)</f>
        <v>45805.6458333333</v>
      </c>
      <c r="D44" s="48">
        <f>IFERROR(__xludf.DUMMYFUNCTION("""COMPUTED_VALUE"""),1420.1)</f>
        <v>1420.1</v>
      </c>
      <c r="E44" s="47">
        <f>IFERROR(__xludf.DUMMYFUNCTION("""COMPUTED_VALUE"""),45805.6458333333)</f>
        <v>45805.6458333333</v>
      </c>
      <c r="F44" s="48">
        <f>IFERROR(__xludf.DUMMYFUNCTION("""COMPUTED_VALUE"""),5944611)</f>
        <v>5944611</v>
      </c>
      <c r="G44" s="47">
        <f>IFERROR(__xludf.DUMMYFUNCTION("""COMPUTED_VALUE"""),45805.6458333333)</f>
        <v>45805.6458333333</v>
      </c>
      <c r="H44" s="48">
        <f>IFERROR(__xludf.DUMMYFUNCTION("""COMPUTED_VALUE"""),1422.6)</f>
        <v>1422.6</v>
      </c>
      <c r="I44" s="47">
        <f>IFERROR(__xludf.DUMMYFUNCTION("""COMPUTED_VALUE"""),45805.6458333333)</f>
        <v>45805.6458333333</v>
      </c>
      <c r="J44" s="48">
        <f>IFERROR(__xludf.DUMMYFUNCTION("""COMPUTED_VALUE"""),1410.7)</f>
        <v>1410.7</v>
      </c>
      <c r="K44" s="3">
        <f t="shared" si="2"/>
        <v>0</v>
      </c>
      <c r="L44" s="3">
        <f t="shared" si="3"/>
        <v>0</v>
      </c>
    </row>
    <row r="45" customHeight="1" spans="1:12">
      <c r="A45" s="47">
        <f>IFERROR(__xludf.DUMMYFUNCTION("""COMPUTED_VALUE"""),45806.6458333333)</f>
        <v>45806.6458333333</v>
      </c>
      <c r="B45" s="48">
        <f>IFERROR(__xludf.DUMMYFUNCTION("""COMPUTED_VALUE"""),1417.8)</f>
        <v>1417.8</v>
      </c>
      <c r="C45" s="47">
        <f>IFERROR(__xludf.DUMMYFUNCTION("""COMPUTED_VALUE"""),45806.6458333333)</f>
        <v>45806.6458333333</v>
      </c>
      <c r="D45" s="48">
        <f>IFERROR(__xludf.DUMMYFUNCTION("""COMPUTED_VALUE"""),1412.1)</f>
        <v>1412.1</v>
      </c>
      <c r="E45" s="47">
        <f>IFERROR(__xludf.DUMMYFUNCTION("""COMPUTED_VALUE"""),45806.6458333333)</f>
        <v>45806.6458333333</v>
      </c>
      <c r="F45" s="48">
        <f>IFERROR(__xludf.DUMMYFUNCTION("""COMPUTED_VALUE"""),13771917)</f>
        <v>13771917</v>
      </c>
      <c r="G45" s="47">
        <f>IFERROR(__xludf.DUMMYFUNCTION("""COMPUTED_VALUE"""),45806.6458333333)</f>
        <v>45806.6458333333</v>
      </c>
      <c r="H45" s="48">
        <f>IFERROR(__xludf.DUMMYFUNCTION("""COMPUTED_VALUE"""),1420)</f>
        <v>1420</v>
      </c>
      <c r="I45" s="47">
        <f>IFERROR(__xludf.DUMMYFUNCTION("""COMPUTED_VALUE"""),45806.6458333333)</f>
        <v>45806.6458333333</v>
      </c>
      <c r="J45" s="48">
        <f>IFERROR(__xludf.DUMMYFUNCTION("""COMPUTED_VALUE"""),1408.6)</f>
        <v>1408.6</v>
      </c>
      <c r="K45" s="3">
        <f t="shared" si="2"/>
        <v>0</v>
      </c>
      <c r="L45" s="3">
        <f t="shared" si="3"/>
        <v>0</v>
      </c>
    </row>
    <row r="46" customHeight="1" spans="1:12">
      <c r="A46" s="47">
        <f>IFERROR(__xludf.DUMMYFUNCTION("""COMPUTED_VALUE"""),45807.6458333333)</f>
        <v>45807.6458333333</v>
      </c>
      <c r="B46" s="48">
        <f>IFERROR(__xludf.DUMMYFUNCTION("""COMPUTED_VALUE"""),1420.9)</f>
        <v>1420.9</v>
      </c>
      <c r="C46" s="47">
        <f>IFERROR(__xludf.DUMMYFUNCTION("""COMPUTED_VALUE"""),45807.6458333333)</f>
        <v>45807.6458333333</v>
      </c>
      <c r="D46" s="48">
        <f>IFERROR(__xludf.DUMMYFUNCTION("""COMPUTED_VALUE"""),1418)</f>
        <v>1418</v>
      </c>
      <c r="E46" s="47">
        <f>IFERROR(__xludf.DUMMYFUNCTION("""COMPUTED_VALUE"""),45807.6458333333)</f>
        <v>45807.6458333333</v>
      </c>
      <c r="F46" s="48">
        <f>IFERROR(__xludf.DUMMYFUNCTION("""COMPUTED_VALUE"""),13788484)</f>
        <v>13788484</v>
      </c>
      <c r="G46" s="47">
        <f>IFERROR(__xludf.DUMMYFUNCTION("""COMPUTED_VALUE"""),45807.6458333333)</f>
        <v>45807.6458333333</v>
      </c>
      <c r="H46" s="48">
        <f>IFERROR(__xludf.DUMMYFUNCTION("""COMPUTED_VALUE"""),1430.6)</f>
        <v>1430.6</v>
      </c>
      <c r="I46" s="47">
        <f>IFERROR(__xludf.DUMMYFUNCTION("""COMPUTED_VALUE"""),45807.6458333333)</f>
        <v>45807.6458333333</v>
      </c>
      <c r="J46" s="48">
        <f>IFERROR(__xludf.DUMMYFUNCTION("""COMPUTED_VALUE"""),1409.7)</f>
        <v>1409.7</v>
      </c>
      <c r="K46" s="3">
        <f t="shared" si="2"/>
        <v>0</v>
      </c>
      <c r="L46" s="3">
        <f t="shared" si="3"/>
        <v>0</v>
      </c>
    </row>
    <row r="47" customHeight="1" spans="1:12">
      <c r="A47" s="47">
        <f>IFERROR(__xludf.DUMMYFUNCTION("""COMPUTED_VALUE"""),45810.6458333333)</f>
        <v>45810.6458333333</v>
      </c>
      <c r="B47" s="48">
        <f>IFERROR(__xludf.DUMMYFUNCTION("""COMPUTED_VALUE"""),1413.7)</f>
        <v>1413.7</v>
      </c>
      <c r="C47" s="47">
        <f>IFERROR(__xludf.DUMMYFUNCTION("""COMPUTED_VALUE"""),45810.6458333333)</f>
        <v>45810.6458333333</v>
      </c>
      <c r="D47" s="48">
        <f>IFERROR(__xludf.DUMMYFUNCTION("""COMPUTED_VALUE"""),1412.1)</f>
        <v>1412.1</v>
      </c>
      <c r="E47" s="47">
        <f>IFERROR(__xludf.DUMMYFUNCTION("""COMPUTED_VALUE"""),45810.6458333333)</f>
        <v>45810.6458333333</v>
      </c>
      <c r="F47" s="48">
        <f>IFERROR(__xludf.DUMMYFUNCTION("""COMPUTED_VALUE"""),8098668)</f>
        <v>8098668</v>
      </c>
      <c r="G47" s="47">
        <f>IFERROR(__xludf.DUMMYFUNCTION("""COMPUTED_VALUE"""),45810.6458333333)</f>
        <v>45810.6458333333</v>
      </c>
      <c r="H47" s="48">
        <f>IFERROR(__xludf.DUMMYFUNCTION("""COMPUTED_VALUE"""),1417.5)</f>
        <v>1417.5</v>
      </c>
      <c r="I47" s="47">
        <f>IFERROR(__xludf.DUMMYFUNCTION("""COMPUTED_VALUE"""),45810.6458333333)</f>
        <v>45810.6458333333</v>
      </c>
      <c r="J47" s="48">
        <f>IFERROR(__xludf.DUMMYFUNCTION("""COMPUTED_VALUE"""),1395.6)</f>
        <v>1395.6</v>
      </c>
      <c r="K47" s="3">
        <f t="shared" si="2"/>
        <v>0</v>
      </c>
      <c r="L47" s="3">
        <f t="shared" si="3"/>
        <v>0</v>
      </c>
    </row>
    <row r="48" customHeight="1" spans="1:12">
      <c r="A48" s="47">
        <f>IFERROR(__xludf.DUMMYFUNCTION("""COMPUTED_VALUE"""),45811.6458333333)</f>
        <v>45811.6458333333</v>
      </c>
      <c r="B48" s="48">
        <f>IFERROR(__xludf.DUMMYFUNCTION("""COMPUTED_VALUE"""),1405.5)</f>
        <v>1405.5</v>
      </c>
      <c r="C48" s="47">
        <f>IFERROR(__xludf.DUMMYFUNCTION("""COMPUTED_VALUE"""),45811.6458333333)</f>
        <v>45811.6458333333</v>
      </c>
      <c r="D48" s="48">
        <f>IFERROR(__xludf.DUMMYFUNCTION("""COMPUTED_VALUE"""),1422.3)</f>
        <v>1422.3</v>
      </c>
      <c r="E48" s="47">
        <f>IFERROR(__xludf.DUMMYFUNCTION("""COMPUTED_VALUE"""),45811.6458333333)</f>
        <v>45811.6458333333</v>
      </c>
      <c r="F48" s="48">
        <f>IFERROR(__xludf.DUMMYFUNCTION("""COMPUTED_VALUE"""),11252626)</f>
        <v>11252626</v>
      </c>
      <c r="G48" s="47">
        <f>IFERROR(__xludf.DUMMYFUNCTION("""COMPUTED_VALUE"""),45811.6458333333)</f>
        <v>45811.6458333333</v>
      </c>
      <c r="H48" s="48">
        <f>IFERROR(__xludf.DUMMYFUNCTION("""COMPUTED_VALUE"""),1426.5)</f>
        <v>1426.5</v>
      </c>
      <c r="I48" s="47">
        <f>IFERROR(__xludf.DUMMYFUNCTION("""COMPUTED_VALUE"""),45811.6458333333)</f>
        <v>45811.6458333333</v>
      </c>
      <c r="J48" s="48">
        <f>IFERROR(__xludf.DUMMYFUNCTION("""COMPUTED_VALUE"""),1403.4)</f>
        <v>1403.4</v>
      </c>
      <c r="K48" s="3">
        <f t="shared" si="2"/>
        <v>0</v>
      </c>
      <c r="L48" s="3">
        <f t="shared" si="3"/>
        <v>1405.5</v>
      </c>
    </row>
    <row r="49" customHeight="1" spans="1:12">
      <c r="A49" s="47">
        <f>IFERROR(__xludf.DUMMYFUNCTION("""COMPUTED_VALUE"""),45812.6458333333)</f>
        <v>45812.6458333333</v>
      </c>
      <c r="B49" s="48">
        <f>IFERROR(__xludf.DUMMYFUNCTION("""COMPUTED_VALUE"""),1423.5)</f>
        <v>1423.5</v>
      </c>
      <c r="C49" s="47">
        <f>IFERROR(__xludf.DUMMYFUNCTION("""COMPUTED_VALUE"""),45812.6458333333)</f>
        <v>45812.6458333333</v>
      </c>
      <c r="D49" s="48">
        <f>IFERROR(__xludf.DUMMYFUNCTION("""COMPUTED_VALUE"""),1414.7)</f>
        <v>1414.7</v>
      </c>
      <c r="E49" s="47">
        <f>IFERROR(__xludf.DUMMYFUNCTION("""COMPUTED_VALUE"""),45812.6458333333)</f>
        <v>45812.6458333333</v>
      </c>
      <c r="F49" s="48">
        <f>IFERROR(__xludf.DUMMYFUNCTION("""COMPUTED_VALUE"""),8126827)</f>
        <v>8126827</v>
      </c>
      <c r="G49" s="47">
        <f>IFERROR(__xludf.DUMMYFUNCTION("""COMPUTED_VALUE"""),45812.6458333333)</f>
        <v>45812.6458333333</v>
      </c>
      <c r="H49" s="48">
        <f>IFERROR(__xludf.DUMMYFUNCTION("""COMPUTED_VALUE"""),1425.7)</f>
        <v>1425.7</v>
      </c>
      <c r="I49" s="47">
        <f>IFERROR(__xludf.DUMMYFUNCTION("""COMPUTED_VALUE"""),45812.6458333333)</f>
        <v>45812.6458333333</v>
      </c>
      <c r="J49" s="48">
        <f>IFERROR(__xludf.DUMMYFUNCTION("""COMPUTED_VALUE"""),1406.1)</f>
        <v>1406.1</v>
      </c>
      <c r="K49" s="3">
        <f t="shared" si="2"/>
        <v>0</v>
      </c>
      <c r="L49" s="3">
        <f t="shared" si="3"/>
        <v>0</v>
      </c>
    </row>
    <row r="50" customHeight="1" spans="1:12">
      <c r="A50" s="47">
        <f>IFERROR(__xludf.DUMMYFUNCTION("""COMPUTED_VALUE"""),45813.6458333333)</f>
        <v>45813.6458333333</v>
      </c>
      <c r="B50" s="48">
        <f>IFERROR(__xludf.DUMMYFUNCTION("""COMPUTED_VALUE"""),1442.4)</f>
        <v>1442.4</v>
      </c>
      <c r="C50" s="47">
        <f>IFERROR(__xludf.DUMMYFUNCTION("""COMPUTED_VALUE"""),45813.6458333333)</f>
        <v>45813.6458333333</v>
      </c>
      <c r="D50" s="48">
        <f>IFERROR(__xludf.DUMMYFUNCTION("""COMPUTED_VALUE"""),1428)</f>
        <v>1428</v>
      </c>
      <c r="E50" s="47">
        <f>IFERROR(__xludf.DUMMYFUNCTION("""COMPUTED_VALUE"""),45813.6458333333)</f>
        <v>45813.6458333333</v>
      </c>
      <c r="F50" s="48">
        <f>IFERROR(__xludf.DUMMYFUNCTION("""COMPUTED_VALUE"""),13716817)</f>
        <v>13716817</v>
      </c>
      <c r="G50" s="47">
        <f>IFERROR(__xludf.DUMMYFUNCTION("""COMPUTED_VALUE"""),45813.6458333333)</f>
        <v>45813.6458333333</v>
      </c>
      <c r="H50" s="48">
        <f>IFERROR(__xludf.DUMMYFUNCTION("""COMPUTED_VALUE"""),1454.7)</f>
        <v>1454.7</v>
      </c>
      <c r="I50" s="47">
        <f>IFERROR(__xludf.DUMMYFUNCTION("""COMPUTED_VALUE"""),45813.6458333333)</f>
        <v>45813.6458333333</v>
      </c>
      <c r="J50" s="48">
        <f>IFERROR(__xludf.DUMMYFUNCTION("""COMPUTED_VALUE"""),1423.6)</f>
        <v>1423.6</v>
      </c>
      <c r="K50" s="3">
        <f t="shared" si="2"/>
        <v>0</v>
      </c>
      <c r="L50" s="3">
        <f t="shared" si="3"/>
        <v>0</v>
      </c>
    </row>
    <row r="51" customHeight="1" spans="1:12">
      <c r="A51" s="47">
        <f>IFERROR(__xludf.DUMMYFUNCTION("""COMPUTED_VALUE"""),45814.6458333333)</f>
        <v>45814.6458333333</v>
      </c>
      <c r="B51" s="48">
        <f>IFERROR(__xludf.DUMMYFUNCTION("""COMPUTED_VALUE"""),1443.5)</f>
        <v>1443.5</v>
      </c>
      <c r="C51" s="47">
        <f>IFERROR(__xludf.DUMMYFUNCTION("""COMPUTED_VALUE"""),45814.6458333333)</f>
        <v>45814.6458333333</v>
      </c>
      <c r="D51" s="48">
        <f>IFERROR(__xludf.DUMMYFUNCTION("""COMPUTED_VALUE"""),1441)</f>
        <v>1441</v>
      </c>
      <c r="E51" s="47">
        <f>IFERROR(__xludf.DUMMYFUNCTION("""COMPUTED_VALUE"""),45814.6458333333)</f>
        <v>45814.6458333333</v>
      </c>
      <c r="F51" s="48">
        <f>IFERROR(__xludf.DUMMYFUNCTION("""COMPUTED_VALUE"""),8182161)</f>
        <v>8182161</v>
      </c>
      <c r="G51" s="47">
        <f>IFERROR(__xludf.DUMMYFUNCTION("""COMPUTED_VALUE"""),45814.6458333333)</f>
        <v>45814.6458333333</v>
      </c>
      <c r="H51" s="48">
        <f>IFERROR(__xludf.DUMMYFUNCTION("""COMPUTED_VALUE"""),1451.5)</f>
        <v>1451.5</v>
      </c>
      <c r="I51" s="47">
        <f>IFERROR(__xludf.DUMMYFUNCTION("""COMPUTED_VALUE"""),45814.6458333333)</f>
        <v>45814.6458333333</v>
      </c>
      <c r="J51" s="48">
        <f>IFERROR(__xludf.DUMMYFUNCTION("""COMPUTED_VALUE"""),1437)</f>
        <v>1437</v>
      </c>
      <c r="K51" s="3">
        <f t="shared" si="2"/>
        <v>0</v>
      </c>
      <c r="L51" s="3">
        <f t="shared" si="3"/>
        <v>0</v>
      </c>
    </row>
    <row r="52" customHeight="1" spans="1:12">
      <c r="A52" s="47">
        <f>IFERROR(__xludf.DUMMYFUNCTION("""COMPUTED_VALUE"""),45817.6458333333)</f>
        <v>45817.6458333333</v>
      </c>
      <c r="B52" s="48">
        <f>IFERROR(__xludf.DUMMYFUNCTION("""COMPUTED_VALUE"""),1448.8)</f>
        <v>1448.8</v>
      </c>
      <c r="C52" s="47">
        <f>IFERROR(__xludf.DUMMYFUNCTION("""COMPUTED_VALUE"""),45817.6458333333)</f>
        <v>45817.6458333333</v>
      </c>
      <c r="D52" s="48">
        <f>IFERROR(__xludf.DUMMYFUNCTION("""COMPUTED_VALUE"""),1457)</f>
        <v>1457</v>
      </c>
      <c r="E52" s="47">
        <f>IFERROR(__xludf.DUMMYFUNCTION("""COMPUTED_VALUE"""),45817.6458333333)</f>
        <v>45817.6458333333</v>
      </c>
      <c r="F52" s="48">
        <f>IFERROR(__xludf.DUMMYFUNCTION("""COMPUTED_VALUE"""),7885125)</f>
        <v>7885125</v>
      </c>
      <c r="G52" s="47">
        <f>IFERROR(__xludf.DUMMYFUNCTION("""COMPUTED_VALUE"""),45817.6458333333)</f>
        <v>45817.6458333333</v>
      </c>
      <c r="H52" s="48">
        <f>IFERROR(__xludf.DUMMYFUNCTION("""COMPUTED_VALUE"""),1457.5)</f>
        <v>1457.5</v>
      </c>
      <c r="I52" s="47">
        <f>IFERROR(__xludf.DUMMYFUNCTION("""COMPUTED_VALUE"""),45817.6458333333)</f>
        <v>45817.6458333333</v>
      </c>
      <c r="J52" s="48">
        <f>IFERROR(__xludf.DUMMYFUNCTION("""COMPUTED_VALUE"""),1445.3)</f>
        <v>1445.3</v>
      </c>
      <c r="K52" s="3">
        <f t="shared" si="2"/>
        <v>0</v>
      </c>
      <c r="L52" s="3">
        <f t="shared" si="3"/>
        <v>0</v>
      </c>
    </row>
    <row r="53" customHeight="1" spans="1:12">
      <c r="A53" s="47">
        <f>IFERROR(__xludf.DUMMYFUNCTION("""COMPUTED_VALUE"""),45818.6458333333)</f>
        <v>45818.6458333333</v>
      </c>
      <c r="B53" s="48">
        <f>IFERROR(__xludf.DUMMYFUNCTION("""COMPUTED_VALUE"""),1438.5)</f>
        <v>1438.5</v>
      </c>
      <c r="C53" s="47">
        <f>IFERROR(__xludf.DUMMYFUNCTION("""COMPUTED_VALUE"""),45818.6458333333)</f>
        <v>45818.6458333333</v>
      </c>
      <c r="D53" s="48">
        <f>IFERROR(__xludf.DUMMYFUNCTION("""COMPUTED_VALUE"""),1450)</f>
        <v>1450</v>
      </c>
      <c r="E53" s="47">
        <f>IFERROR(__xludf.DUMMYFUNCTION("""COMPUTED_VALUE"""),45818.6458333333)</f>
        <v>45818.6458333333</v>
      </c>
      <c r="F53" s="48">
        <f>IFERROR(__xludf.DUMMYFUNCTION("""COMPUTED_VALUE"""),7913181)</f>
        <v>7913181</v>
      </c>
      <c r="G53" s="47">
        <f>IFERROR(__xludf.DUMMYFUNCTION("""COMPUTED_VALUE"""),45818.6458333333)</f>
        <v>45818.6458333333</v>
      </c>
      <c r="H53" s="48">
        <f>IFERROR(__xludf.DUMMYFUNCTION("""COMPUTED_VALUE"""),1453.9)</f>
        <v>1453.9</v>
      </c>
      <c r="I53" s="47">
        <f>IFERROR(__xludf.DUMMYFUNCTION("""COMPUTED_VALUE"""),45818.6458333333)</f>
        <v>45818.6458333333</v>
      </c>
      <c r="J53" s="48">
        <f>IFERROR(__xludf.DUMMYFUNCTION("""COMPUTED_VALUE"""),1436)</f>
        <v>1436</v>
      </c>
      <c r="K53" s="3">
        <f t="shared" si="2"/>
        <v>0</v>
      </c>
      <c r="L53" s="3">
        <f t="shared" si="3"/>
        <v>0</v>
      </c>
    </row>
    <row r="54" customHeight="1" spans="1:12">
      <c r="A54" s="47">
        <f>IFERROR(__xludf.DUMMYFUNCTION("""COMPUTED_VALUE"""),45819.6458333333)</f>
        <v>45819.6458333333</v>
      </c>
      <c r="B54" s="48">
        <f>IFERROR(__xludf.DUMMYFUNCTION("""COMPUTED_VALUE"""),1448.9)</f>
        <v>1448.9</v>
      </c>
      <c r="C54" s="47">
        <f>IFERROR(__xludf.DUMMYFUNCTION("""COMPUTED_VALUE"""),45819.6458333333)</f>
        <v>45819.6458333333</v>
      </c>
      <c r="D54" s="48">
        <f>IFERROR(__xludf.DUMMYFUNCTION("""COMPUTED_VALUE"""),1445.8)</f>
        <v>1445.8</v>
      </c>
      <c r="E54" s="47">
        <f>IFERROR(__xludf.DUMMYFUNCTION("""COMPUTED_VALUE"""),45819.6458333333)</f>
        <v>45819.6458333333</v>
      </c>
      <c r="F54" s="48">
        <f>IFERROR(__xludf.DUMMYFUNCTION("""COMPUTED_VALUE"""),8195700)</f>
        <v>8195700</v>
      </c>
      <c r="G54" s="47">
        <f>IFERROR(__xludf.DUMMYFUNCTION("""COMPUTED_VALUE"""),45819.6458333333)</f>
        <v>45819.6458333333</v>
      </c>
      <c r="H54" s="48">
        <f>IFERROR(__xludf.DUMMYFUNCTION("""COMPUTED_VALUE"""),1468.6)</f>
        <v>1468.6</v>
      </c>
      <c r="I54" s="47">
        <f>IFERROR(__xludf.DUMMYFUNCTION("""COMPUTED_VALUE"""),45819.6458333333)</f>
        <v>45819.6458333333</v>
      </c>
      <c r="J54" s="48">
        <f>IFERROR(__xludf.DUMMYFUNCTION("""COMPUTED_VALUE"""),1443.1)</f>
        <v>1443.1</v>
      </c>
      <c r="K54" s="3">
        <f t="shared" si="2"/>
        <v>1448.9</v>
      </c>
      <c r="L54" s="3">
        <f t="shared" si="3"/>
        <v>0</v>
      </c>
    </row>
    <row r="55" customHeight="1" spans="1:12">
      <c r="A55" s="47">
        <f>IFERROR(__xludf.DUMMYFUNCTION("""COMPUTED_VALUE"""),45820.6458333333)</f>
        <v>45820.6458333333</v>
      </c>
      <c r="B55" s="48">
        <f>IFERROR(__xludf.DUMMYFUNCTION("""COMPUTED_VALUE"""),1441.6)</f>
        <v>1441.6</v>
      </c>
      <c r="C55" s="47">
        <f>IFERROR(__xludf.DUMMYFUNCTION("""COMPUTED_VALUE"""),45820.6458333333)</f>
        <v>45820.6458333333</v>
      </c>
      <c r="D55" s="48">
        <f>IFERROR(__xludf.DUMMYFUNCTION("""COMPUTED_VALUE"""),1453.5)</f>
        <v>1453.5</v>
      </c>
      <c r="E55" s="47">
        <f>IFERROR(__xludf.DUMMYFUNCTION("""COMPUTED_VALUE"""),45820.6458333333)</f>
        <v>45820.6458333333</v>
      </c>
      <c r="F55" s="48">
        <f>IFERROR(__xludf.DUMMYFUNCTION("""COMPUTED_VALUE"""),8828114)</f>
        <v>8828114</v>
      </c>
      <c r="G55" s="47">
        <f>IFERROR(__xludf.DUMMYFUNCTION("""COMPUTED_VALUE"""),45820.6458333333)</f>
        <v>45820.6458333333</v>
      </c>
      <c r="H55" s="48">
        <f>IFERROR(__xludf.DUMMYFUNCTION("""COMPUTED_VALUE"""),1457)</f>
        <v>1457</v>
      </c>
      <c r="I55" s="47">
        <f>IFERROR(__xludf.DUMMYFUNCTION("""COMPUTED_VALUE"""),45820.6458333333)</f>
        <v>45820.6458333333</v>
      </c>
      <c r="J55" s="48">
        <f>IFERROR(__xludf.DUMMYFUNCTION("""COMPUTED_VALUE"""),1434.4)</f>
        <v>1434.4</v>
      </c>
      <c r="K55" s="3">
        <f t="shared" si="2"/>
        <v>0</v>
      </c>
      <c r="L55" s="3">
        <f t="shared" si="3"/>
        <v>0</v>
      </c>
    </row>
    <row r="56" customHeight="1" spans="1:12">
      <c r="A56" s="47">
        <f>IFERROR(__xludf.DUMMYFUNCTION("""COMPUTED_VALUE"""),45821.6458333333)</f>
        <v>45821.6458333333</v>
      </c>
      <c r="B56" s="48">
        <f>IFERROR(__xludf.DUMMYFUNCTION("""COMPUTED_VALUE"""),1427.9)</f>
        <v>1427.9</v>
      </c>
      <c r="C56" s="47">
        <f>IFERROR(__xludf.DUMMYFUNCTION("""COMPUTED_VALUE"""),45821.6458333333)</f>
        <v>45821.6458333333</v>
      </c>
      <c r="D56" s="48">
        <f>IFERROR(__xludf.DUMMYFUNCTION("""COMPUTED_VALUE"""),1424)</f>
        <v>1424</v>
      </c>
      <c r="E56" s="47">
        <f>IFERROR(__xludf.DUMMYFUNCTION("""COMPUTED_VALUE"""),45821.6458333333)</f>
        <v>45821.6458333333</v>
      </c>
      <c r="F56" s="48">
        <f>IFERROR(__xludf.DUMMYFUNCTION("""COMPUTED_VALUE"""),9757276)</f>
        <v>9757276</v>
      </c>
      <c r="G56" s="47">
        <f>IFERROR(__xludf.DUMMYFUNCTION("""COMPUTED_VALUE"""),45821.6458333333)</f>
        <v>45821.6458333333</v>
      </c>
      <c r="H56" s="48">
        <f>IFERROR(__xludf.DUMMYFUNCTION("""COMPUTED_VALUE"""),1435.5)</f>
        <v>1435.5</v>
      </c>
      <c r="I56" s="47">
        <f>IFERROR(__xludf.DUMMYFUNCTION("""COMPUTED_VALUE"""),45821.6458333333)</f>
        <v>45821.6458333333</v>
      </c>
      <c r="J56" s="48">
        <f>IFERROR(__xludf.DUMMYFUNCTION("""COMPUTED_VALUE"""),1414.3)</f>
        <v>1414.3</v>
      </c>
      <c r="K56" s="3">
        <f t="shared" si="2"/>
        <v>0</v>
      </c>
      <c r="L56" s="3">
        <f t="shared" si="3"/>
        <v>1427.9</v>
      </c>
    </row>
    <row r="57" customHeight="1" spans="1:12">
      <c r="A57" s="47">
        <f>IFERROR(__xludf.DUMMYFUNCTION("""COMPUTED_VALUE"""),45824.6458333333)</f>
        <v>45824.6458333333</v>
      </c>
      <c r="B57" s="48">
        <f>IFERROR(__xludf.DUMMYFUNCTION("""COMPUTED_VALUE"""),1437.8)</f>
        <v>1437.8</v>
      </c>
      <c r="C57" s="47">
        <f>IFERROR(__xludf.DUMMYFUNCTION("""COMPUTED_VALUE"""),45824.6458333333)</f>
        <v>45824.6458333333</v>
      </c>
      <c r="D57" s="48">
        <f>IFERROR(__xludf.DUMMYFUNCTION("""COMPUTED_VALUE"""),1426.9)</f>
        <v>1426.9</v>
      </c>
      <c r="E57" s="47">
        <f>IFERROR(__xludf.DUMMYFUNCTION("""COMPUTED_VALUE"""),45824.6458333333)</f>
        <v>45824.6458333333</v>
      </c>
      <c r="F57" s="48">
        <f>IFERROR(__xludf.DUMMYFUNCTION("""COMPUTED_VALUE"""),8458093)</f>
        <v>8458093</v>
      </c>
      <c r="G57" s="47">
        <f>IFERROR(__xludf.DUMMYFUNCTION("""COMPUTED_VALUE"""),45824.6458333333)</f>
        <v>45824.6458333333</v>
      </c>
      <c r="H57" s="48">
        <f>IFERROR(__xludf.DUMMYFUNCTION("""COMPUTED_VALUE"""),1442.4)</f>
        <v>1442.4</v>
      </c>
      <c r="I57" s="47">
        <f>IFERROR(__xludf.DUMMYFUNCTION("""COMPUTED_VALUE"""),45824.6458333333)</f>
        <v>45824.6458333333</v>
      </c>
      <c r="J57" s="48">
        <f>IFERROR(__xludf.DUMMYFUNCTION("""COMPUTED_VALUE"""),1424.4)</f>
        <v>1424.4</v>
      </c>
      <c r="K57" s="3">
        <f t="shared" si="2"/>
        <v>0</v>
      </c>
      <c r="L57" s="3">
        <f t="shared" si="3"/>
        <v>0</v>
      </c>
    </row>
    <row r="58" customHeight="1" spans="1:12">
      <c r="A58" s="47">
        <f>IFERROR(__xludf.DUMMYFUNCTION("""COMPUTED_VALUE"""),45825.6458333333)</f>
        <v>45825.6458333333</v>
      </c>
      <c r="B58" s="48">
        <f>IFERROR(__xludf.DUMMYFUNCTION("""COMPUTED_VALUE"""),1431.2)</f>
        <v>1431.2</v>
      </c>
      <c r="C58" s="47">
        <f>IFERROR(__xludf.DUMMYFUNCTION("""COMPUTED_VALUE"""),45825.6458333333)</f>
        <v>45825.6458333333</v>
      </c>
      <c r="D58" s="48">
        <f>IFERROR(__xludf.DUMMYFUNCTION("""COMPUTED_VALUE"""),1448)</f>
        <v>1448</v>
      </c>
      <c r="E58" s="47">
        <f>IFERROR(__xludf.DUMMYFUNCTION("""COMPUTED_VALUE"""),45825.6458333333)</f>
        <v>45825.6458333333</v>
      </c>
      <c r="F58" s="48">
        <f>IFERROR(__xludf.DUMMYFUNCTION("""COMPUTED_VALUE"""),10366599)</f>
        <v>10366599</v>
      </c>
      <c r="G58" s="47">
        <f>IFERROR(__xludf.DUMMYFUNCTION("""COMPUTED_VALUE"""),45825.6458333333)</f>
        <v>45825.6458333333</v>
      </c>
      <c r="H58" s="48">
        <f>IFERROR(__xludf.DUMMYFUNCTION("""COMPUTED_VALUE"""),1448)</f>
        <v>1448</v>
      </c>
      <c r="I58" s="47">
        <f>IFERROR(__xludf.DUMMYFUNCTION("""COMPUTED_VALUE"""),45825.6458333333)</f>
        <v>45825.6458333333</v>
      </c>
      <c r="J58" s="48">
        <f>IFERROR(__xludf.DUMMYFUNCTION("""COMPUTED_VALUE"""),1425.8)</f>
        <v>1425.8</v>
      </c>
      <c r="K58" s="3">
        <f t="shared" si="2"/>
        <v>0</v>
      </c>
      <c r="L58" s="3">
        <f t="shared" si="3"/>
        <v>0</v>
      </c>
    </row>
    <row r="59" customHeight="1" spans="1:12">
      <c r="A59" s="47">
        <f>IFERROR(__xludf.DUMMYFUNCTION("""COMPUTED_VALUE"""),45826.6458333333)</f>
        <v>45826.6458333333</v>
      </c>
      <c r="B59" s="48">
        <f>IFERROR(__xludf.DUMMYFUNCTION("""COMPUTED_VALUE"""),1430.1)</f>
        <v>1430.1</v>
      </c>
      <c r="C59" s="47">
        <f>IFERROR(__xludf.DUMMYFUNCTION("""COMPUTED_VALUE"""),45826.6458333333)</f>
        <v>45826.6458333333</v>
      </c>
      <c r="D59" s="48">
        <f>IFERROR(__xludf.DUMMYFUNCTION("""COMPUTED_VALUE"""),1430)</f>
        <v>1430</v>
      </c>
      <c r="E59" s="47">
        <f>IFERROR(__xludf.DUMMYFUNCTION("""COMPUTED_VALUE"""),45826.6458333333)</f>
        <v>45826.6458333333</v>
      </c>
      <c r="F59" s="48">
        <f>IFERROR(__xludf.DUMMYFUNCTION("""COMPUTED_VALUE"""),6681735)</f>
        <v>6681735</v>
      </c>
      <c r="G59" s="47">
        <f>IFERROR(__xludf.DUMMYFUNCTION("""COMPUTED_VALUE"""),45826.6458333333)</f>
        <v>45826.6458333333</v>
      </c>
      <c r="H59" s="48">
        <f>IFERROR(__xludf.DUMMYFUNCTION("""COMPUTED_VALUE"""),1442.8)</f>
        <v>1442.8</v>
      </c>
      <c r="I59" s="47">
        <f>IFERROR(__xludf.DUMMYFUNCTION("""COMPUTED_VALUE"""),45826.6458333333)</f>
        <v>45826.6458333333</v>
      </c>
      <c r="J59" s="48">
        <f>IFERROR(__xludf.DUMMYFUNCTION("""COMPUTED_VALUE"""),1425.7)</f>
        <v>1425.7</v>
      </c>
      <c r="K59" s="3">
        <f t="shared" si="2"/>
        <v>0</v>
      </c>
      <c r="L59" s="3">
        <f t="shared" si="3"/>
        <v>0</v>
      </c>
    </row>
    <row r="60" customHeight="1" spans="1:12">
      <c r="A60" s="47">
        <f>IFERROR(__xludf.DUMMYFUNCTION("""COMPUTED_VALUE"""),45827.6458333333)</f>
        <v>45827.6458333333</v>
      </c>
      <c r="B60" s="48">
        <f>IFERROR(__xludf.DUMMYFUNCTION("""COMPUTED_VALUE"""),1433.3)</f>
        <v>1433.3</v>
      </c>
      <c r="C60" s="47">
        <f>IFERROR(__xludf.DUMMYFUNCTION("""COMPUTED_VALUE"""),45827.6458333333)</f>
        <v>45827.6458333333</v>
      </c>
      <c r="D60" s="48">
        <f>IFERROR(__xludf.DUMMYFUNCTION("""COMPUTED_VALUE"""),1430.1)</f>
        <v>1430.1</v>
      </c>
      <c r="E60" s="47">
        <f>IFERROR(__xludf.DUMMYFUNCTION("""COMPUTED_VALUE"""),45827.6458333333)</f>
        <v>45827.6458333333</v>
      </c>
      <c r="F60" s="48">
        <f>IFERROR(__xludf.DUMMYFUNCTION("""COMPUTED_VALUE"""),10007230)</f>
        <v>10007230</v>
      </c>
      <c r="G60" s="47">
        <f>IFERROR(__xludf.DUMMYFUNCTION("""COMPUTED_VALUE"""),45827.6458333333)</f>
        <v>45827.6458333333</v>
      </c>
      <c r="H60" s="48">
        <f>IFERROR(__xludf.DUMMYFUNCTION("""COMPUTED_VALUE"""),1439.9)</f>
        <v>1439.9</v>
      </c>
      <c r="I60" s="47">
        <f>IFERROR(__xludf.DUMMYFUNCTION("""COMPUTED_VALUE"""),45827.6458333333)</f>
        <v>45827.6458333333</v>
      </c>
      <c r="J60" s="48">
        <f>IFERROR(__xludf.DUMMYFUNCTION("""COMPUTED_VALUE"""),1425.7)</f>
        <v>1425.7</v>
      </c>
      <c r="K60" s="3">
        <f t="shared" si="2"/>
        <v>0</v>
      </c>
      <c r="L60" s="3">
        <f t="shared" si="3"/>
        <v>0</v>
      </c>
    </row>
    <row r="61" customHeight="1" spans="1:12">
      <c r="A61" s="47">
        <f>IFERROR(__xludf.DUMMYFUNCTION("""COMPUTED_VALUE"""),45828.6458333333)</f>
        <v>45828.6458333333</v>
      </c>
      <c r="B61" s="48">
        <f>IFERROR(__xludf.DUMMYFUNCTION("""COMPUTED_VALUE"""),1466.2)</f>
        <v>1466.2</v>
      </c>
      <c r="C61" s="47">
        <f>IFERROR(__xludf.DUMMYFUNCTION("""COMPUTED_VALUE"""),45828.6458333333)</f>
        <v>45828.6458333333</v>
      </c>
      <c r="D61" s="48">
        <f>IFERROR(__xludf.DUMMYFUNCTION("""COMPUTED_VALUE"""),1431)</f>
        <v>1431</v>
      </c>
      <c r="E61" s="47">
        <f>IFERROR(__xludf.DUMMYFUNCTION("""COMPUTED_VALUE"""),45828.6458333333)</f>
        <v>45828.6458333333</v>
      </c>
      <c r="F61" s="48">
        <f>IFERROR(__xludf.DUMMYFUNCTION("""COMPUTED_VALUE"""),29010635)</f>
        <v>29010635</v>
      </c>
      <c r="G61" s="47">
        <f>IFERROR(__xludf.DUMMYFUNCTION("""COMPUTED_VALUE"""),45828.6458333333)</f>
        <v>45828.6458333333</v>
      </c>
      <c r="H61" s="48">
        <f>IFERROR(__xludf.DUMMYFUNCTION("""COMPUTED_VALUE"""),1471)</f>
        <v>1471</v>
      </c>
      <c r="I61" s="47">
        <f>IFERROR(__xludf.DUMMYFUNCTION("""COMPUTED_VALUE"""),45828.6458333333)</f>
        <v>45828.6458333333</v>
      </c>
      <c r="J61" s="48">
        <f>IFERROR(__xludf.DUMMYFUNCTION("""COMPUTED_VALUE"""),1428.1)</f>
        <v>1428.1</v>
      </c>
      <c r="K61" s="3">
        <f t="shared" si="2"/>
        <v>0</v>
      </c>
      <c r="L61" s="3">
        <f t="shared" si="3"/>
        <v>0</v>
      </c>
    </row>
    <row r="62" customHeight="1" spans="1:12">
      <c r="A62" s="47">
        <f>IFERROR(__xludf.DUMMYFUNCTION("""COMPUTED_VALUE"""),45831.6458333333)</f>
        <v>45831.6458333333</v>
      </c>
      <c r="B62" s="48">
        <f>IFERROR(__xludf.DUMMYFUNCTION("""COMPUTED_VALUE"""),1456.8)</f>
        <v>1456.8</v>
      </c>
      <c r="C62" s="47">
        <f>IFERROR(__xludf.DUMMYFUNCTION("""COMPUTED_VALUE"""),45831.6458333333)</f>
        <v>45831.6458333333</v>
      </c>
      <c r="D62" s="48">
        <f>IFERROR(__xludf.DUMMYFUNCTION("""COMPUTED_VALUE"""),1453)</f>
        <v>1453</v>
      </c>
      <c r="E62" s="47">
        <f>IFERROR(__xludf.DUMMYFUNCTION("""COMPUTED_VALUE"""),45831.6458333333)</f>
        <v>45831.6458333333</v>
      </c>
      <c r="F62" s="48">
        <f>IFERROR(__xludf.DUMMYFUNCTION("""COMPUTED_VALUE"""),5989078)</f>
        <v>5989078</v>
      </c>
      <c r="G62" s="47">
        <f>IFERROR(__xludf.DUMMYFUNCTION("""COMPUTED_VALUE"""),45831.6458333333)</f>
        <v>45831.6458333333</v>
      </c>
      <c r="H62" s="48">
        <f>IFERROR(__xludf.DUMMYFUNCTION("""COMPUTED_VALUE"""),1463.8)</f>
        <v>1463.8</v>
      </c>
      <c r="I62" s="47">
        <f>IFERROR(__xludf.DUMMYFUNCTION("""COMPUTED_VALUE"""),45831.6458333333)</f>
        <v>45831.6458333333</v>
      </c>
      <c r="J62" s="48">
        <f>IFERROR(__xludf.DUMMYFUNCTION("""COMPUTED_VALUE"""),1442)</f>
        <v>1442</v>
      </c>
      <c r="K62" s="3">
        <f t="shared" si="2"/>
        <v>0</v>
      </c>
      <c r="L62" s="3">
        <f t="shared" si="3"/>
        <v>0</v>
      </c>
    </row>
    <row r="63" customHeight="1" spans="1:12">
      <c r="A63" s="47">
        <f>IFERROR(__xludf.DUMMYFUNCTION("""COMPUTED_VALUE"""),45832.6458333333)</f>
        <v>45832.6458333333</v>
      </c>
      <c r="B63" s="48">
        <f>IFERROR(__xludf.DUMMYFUNCTION("""COMPUTED_VALUE"""),1450.8)</f>
        <v>1450.8</v>
      </c>
      <c r="C63" s="47">
        <f>IFERROR(__xludf.DUMMYFUNCTION("""COMPUTED_VALUE"""),45832.6458333333)</f>
        <v>45832.6458333333</v>
      </c>
      <c r="D63" s="48">
        <f>IFERROR(__xludf.DUMMYFUNCTION("""COMPUTED_VALUE"""),1465)</f>
        <v>1465</v>
      </c>
      <c r="E63" s="47">
        <f>IFERROR(__xludf.DUMMYFUNCTION("""COMPUTED_VALUE"""),45832.6458333333)</f>
        <v>45832.6458333333</v>
      </c>
      <c r="F63" s="48">
        <f>IFERROR(__xludf.DUMMYFUNCTION("""COMPUTED_VALUE"""),16402744)</f>
        <v>16402744</v>
      </c>
      <c r="G63" s="47">
        <f>IFERROR(__xludf.DUMMYFUNCTION("""COMPUTED_VALUE"""),45832.6458333333)</f>
        <v>45832.6458333333</v>
      </c>
      <c r="H63" s="48">
        <f>IFERROR(__xludf.DUMMYFUNCTION("""COMPUTED_VALUE"""),1475)</f>
        <v>1475</v>
      </c>
      <c r="I63" s="47">
        <f>IFERROR(__xludf.DUMMYFUNCTION("""COMPUTED_VALUE"""),45832.6458333333)</f>
        <v>45832.6458333333</v>
      </c>
      <c r="J63" s="48">
        <f>IFERROR(__xludf.DUMMYFUNCTION("""COMPUTED_VALUE"""),1443.1)</f>
        <v>1443.1</v>
      </c>
      <c r="K63" s="3">
        <f t="shared" si="2"/>
        <v>0</v>
      </c>
      <c r="L63" s="3">
        <f t="shared" si="3"/>
        <v>0</v>
      </c>
    </row>
    <row r="64" customHeight="1" spans="1:12">
      <c r="A64" s="47">
        <f>IFERROR(__xludf.DUMMYFUNCTION("""COMPUTED_VALUE"""),45833.6458333333)</f>
        <v>45833.6458333333</v>
      </c>
      <c r="B64" s="48">
        <f>IFERROR(__xludf.DUMMYFUNCTION("""COMPUTED_VALUE"""),1467.3)</f>
        <v>1467.3</v>
      </c>
      <c r="C64" s="47">
        <f>IFERROR(__xludf.DUMMYFUNCTION("""COMPUTED_VALUE"""),45833.6458333333)</f>
        <v>45833.6458333333</v>
      </c>
      <c r="D64" s="48">
        <f>IFERROR(__xludf.DUMMYFUNCTION("""COMPUTED_VALUE"""),1464)</f>
        <v>1464</v>
      </c>
      <c r="E64" s="47">
        <f>IFERROR(__xludf.DUMMYFUNCTION("""COMPUTED_VALUE"""),45833.6458333333)</f>
        <v>45833.6458333333</v>
      </c>
      <c r="F64" s="48">
        <f>IFERROR(__xludf.DUMMYFUNCTION("""COMPUTED_VALUE"""),7525851)</f>
        <v>7525851</v>
      </c>
      <c r="G64" s="47">
        <f>IFERROR(__xludf.DUMMYFUNCTION("""COMPUTED_VALUE"""),45833.6458333333)</f>
        <v>45833.6458333333</v>
      </c>
      <c r="H64" s="48">
        <f>IFERROR(__xludf.DUMMYFUNCTION("""COMPUTED_VALUE"""),1472.4)</f>
        <v>1472.4</v>
      </c>
      <c r="I64" s="47">
        <f>IFERROR(__xludf.DUMMYFUNCTION("""COMPUTED_VALUE"""),45833.6458333333)</f>
        <v>45833.6458333333</v>
      </c>
      <c r="J64" s="48">
        <f>IFERROR(__xludf.DUMMYFUNCTION("""COMPUTED_VALUE"""),1460.5)</f>
        <v>1460.5</v>
      </c>
      <c r="K64" s="3">
        <f t="shared" si="2"/>
        <v>0</v>
      </c>
      <c r="L64" s="3">
        <f t="shared" si="3"/>
        <v>0</v>
      </c>
    </row>
    <row r="65" customHeight="1" spans="1:12">
      <c r="A65" s="47">
        <f>IFERROR(__xludf.DUMMYFUNCTION("""COMPUTED_VALUE"""),45834.6458333333)</f>
        <v>45834.6458333333</v>
      </c>
      <c r="B65" s="48">
        <f>IFERROR(__xludf.DUMMYFUNCTION("""COMPUTED_VALUE"""),1495.3)</f>
        <v>1495.3</v>
      </c>
      <c r="C65" s="47">
        <f>IFERROR(__xludf.DUMMYFUNCTION("""COMPUTED_VALUE"""),45834.6458333333)</f>
        <v>45834.6458333333</v>
      </c>
      <c r="D65" s="48">
        <f>IFERROR(__xludf.DUMMYFUNCTION("""COMPUTED_VALUE"""),1469.1)</f>
        <v>1469.1</v>
      </c>
      <c r="E65" s="47">
        <f>IFERROR(__xludf.DUMMYFUNCTION("""COMPUTED_VALUE"""),45834.6458333333)</f>
        <v>45834.6458333333</v>
      </c>
      <c r="F65" s="48">
        <f>IFERROR(__xludf.DUMMYFUNCTION("""COMPUTED_VALUE"""),14657893)</f>
        <v>14657893</v>
      </c>
      <c r="G65" s="47">
        <f>IFERROR(__xludf.DUMMYFUNCTION("""COMPUTED_VALUE"""),45834.6458333333)</f>
        <v>45834.6458333333</v>
      </c>
      <c r="H65" s="48">
        <f>IFERROR(__xludf.DUMMYFUNCTION("""COMPUTED_VALUE"""),1498.8)</f>
        <v>1498.8</v>
      </c>
      <c r="I65" s="47">
        <f>IFERROR(__xludf.DUMMYFUNCTION("""COMPUTED_VALUE"""),45834.6458333333)</f>
        <v>45834.6458333333</v>
      </c>
      <c r="J65" s="48">
        <f>IFERROR(__xludf.DUMMYFUNCTION("""COMPUTED_VALUE"""),1465.1)</f>
        <v>1465.1</v>
      </c>
      <c r="K65" s="3">
        <f t="shared" si="2"/>
        <v>0</v>
      </c>
      <c r="L65" s="3">
        <f t="shared" si="3"/>
        <v>0</v>
      </c>
    </row>
    <row r="66" customHeight="1" spans="1:12">
      <c r="A66" s="47">
        <f>IFERROR(__xludf.DUMMYFUNCTION("""COMPUTED_VALUE"""),45835.6458333333)</f>
        <v>45835.6458333333</v>
      </c>
      <c r="B66" s="48">
        <f>IFERROR(__xludf.DUMMYFUNCTION("""COMPUTED_VALUE"""),1515.4)</f>
        <v>1515.4</v>
      </c>
      <c r="C66" s="47">
        <f>IFERROR(__xludf.DUMMYFUNCTION("""COMPUTED_VALUE"""),45835.6458333333)</f>
        <v>45835.6458333333</v>
      </c>
      <c r="D66" s="48">
        <f>IFERROR(__xludf.DUMMYFUNCTION("""COMPUTED_VALUE"""),1499.4)</f>
        <v>1499.4</v>
      </c>
      <c r="E66" s="47">
        <f>IFERROR(__xludf.DUMMYFUNCTION("""COMPUTED_VALUE"""),45835.6458333333)</f>
        <v>45835.6458333333</v>
      </c>
      <c r="F66" s="48">
        <f>IFERROR(__xludf.DUMMYFUNCTION("""COMPUTED_VALUE"""),11117052)</f>
        <v>11117052</v>
      </c>
      <c r="G66" s="47">
        <f>IFERROR(__xludf.DUMMYFUNCTION("""COMPUTED_VALUE"""),45835.6458333333)</f>
        <v>45835.6458333333</v>
      </c>
      <c r="H66" s="48">
        <f>IFERROR(__xludf.DUMMYFUNCTION("""COMPUTED_VALUE"""),1522)</f>
        <v>1522</v>
      </c>
      <c r="I66" s="47">
        <f>IFERROR(__xludf.DUMMYFUNCTION("""COMPUTED_VALUE"""),45835.6458333333)</f>
        <v>45835.6458333333</v>
      </c>
      <c r="J66" s="48">
        <f>IFERROR(__xludf.DUMMYFUNCTION("""COMPUTED_VALUE"""),1496.9)</f>
        <v>1496.9</v>
      </c>
      <c r="K66" s="3">
        <f t="shared" si="2"/>
        <v>0</v>
      </c>
      <c r="L66" s="3">
        <f t="shared" si="3"/>
        <v>0</v>
      </c>
    </row>
    <row r="67" customHeight="1" spans="1:12">
      <c r="A67" s="47">
        <f>IFERROR(__xludf.DUMMYFUNCTION("""COMPUTED_VALUE"""),45838.6458333333)</f>
        <v>45838.6458333333</v>
      </c>
      <c r="B67" s="48">
        <f>IFERROR(__xludf.DUMMYFUNCTION("""COMPUTED_VALUE"""),1500.6)</f>
        <v>1500.6</v>
      </c>
      <c r="C67" s="47">
        <f>IFERROR(__xludf.DUMMYFUNCTION("""COMPUTED_VALUE"""),45838.6458333333)</f>
        <v>45838.6458333333</v>
      </c>
      <c r="D67" s="48">
        <f>IFERROR(__xludf.DUMMYFUNCTION("""COMPUTED_VALUE"""),1513.8)</f>
        <v>1513.8</v>
      </c>
      <c r="E67" s="47">
        <f>IFERROR(__xludf.DUMMYFUNCTION("""COMPUTED_VALUE"""),45838.6458333333)</f>
        <v>45838.6458333333</v>
      </c>
      <c r="F67" s="48">
        <f>IFERROR(__xludf.DUMMYFUNCTION("""COMPUTED_VALUE"""),8409527)</f>
        <v>8409527</v>
      </c>
      <c r="G67" s="47">
        <f>IFERROR(__xludf.DUMMYFUNCTION("""COMPUTED_VALUE"""),45838.6458333333)</f>
        <v>45838.6458333333</v>
      </c>
      <c r="H67" s="48">
        <f>IFERROR(__xludf.DUMMYFUNCTION("""COMPUTED_VALUE"""),1524.8)</f>
        <v>1524.8</v>
      </c>
      <c r="I67" s="47">
        <f>IFERROR(__xludf.DUMMYFUNCTION("""COMPUTED_VALUE"""),45838.6458333333)</f>
        <v>45838.6458333333</v>
      </c>
      <c r="J67" s="48">
        <f>IFERROR(__xludf.DUMMYFUNCTION("""COMPUTED_VALUE"""),1496)</f>
        <v>1496</v>
      </c>
      <c r="K67" s="3">
        <f t="shared" si="2"/>
        <v>0</v>
      </c>
      <c r="L67" s="3">
        <f t="shared" si="3"/>
        <v>0</v>
      </c>
    </row>
    <row r="68" customHeight="1" spans="1:12">
      <c r="A68" s="47">
        <f>IFERROR(__xludf.DUMMYFUNCTION("""COMPUTED_VALUE"""),45839.6458333333)</f>
        <v>45839.6458333333</v>
      </c>
      <c r="B68" s="48">
        <f>IFERROR(__xludf.DUMMYFUNCTION("""COMPUTED_VALUE"""),1528.4)</f>
        <v>1528.4</v>
      </c>
      <c r="C68" s="47">
        <f>IFERROR(__xludf.DUMMYFUNCTION("""COMPUTED_VALUE"""),45839.6458333333)</f>
        <v>45839.6458333333</v>
      </c>
      <c r="D68" s="48">
        <f>IFERROR(__xludf.DUMMYFUNCTION("""COMPUTED_VALUE"""),1500.6)</f>
        <v>1500.6</v>
      </c>
      <c r="E68" s="47">
        <f>IFERROR(__xludf.DUMMYFUNCTION("""COMPUTED_VALUE"""),45839.6458333333)</f>
        <v>45839.6458333333</v>
      </c>
      <c r="F68" s="48">
        <f>IFERROR(__xludf.DUMMYFUNCTION("""COMPUTED_VALUE"""),10368523)</f>
        <v>10368523</v>
      </c>
      <c r="G68" s="47">
        <f>IFERROR(__xludf.DUMMYFUNCTION("""COMPUTED_VALUE"""),45839.6458333333)</f>
        <v>45839.6458333333</v>
      </c>
      <c r="H68" s="48">
        <f>IFERROR(__xludf.DUMMYFUNCTION("""COMPUTED_VALUE"""),1531.4)</f>
        <v>1531.4</v>
      </c>
      <c r="I68" s="47">
        <f>IFERROR(__xludf.DUMMYFUNCTION("""COMPUTED_VALUE"""),45839.6458333333)</f>
        <v>45839.6458333333</v>
      </c>
      <c r="J68" s="48">
        <f>IFERROR(__xludf.DUMMYFUNCTION("""COMPUTED_VALUE"""),1500.1)</f>
        <v>1500.1</v>
      </c>
      <c r="K68" s="3">
        <f t="shared" si="2"/>
        <v>0</v>
      </c>
      <c r="L68" s="3">
        <f t="shared" si="3"/>
        <v>0</v>
      </c>
    </row>
    <row r="69" customHeight="1" spans="1:12">
      <c r="A69" s="47">
        <f>IFERROR(__xludf.DUMMYFUNCTION("""COMPUTED_VALUE"""),45840.6458333333)</f>
        <v>45840.6458333333</v>
      </c>
      <c r="B69" s="48">
        <f>IFERROR(__xludf.DUMMYFUNCTION("""COMPUTED_VALUE"""),1518.8)</f>
        <v>1518.8</v>
      </c>
      <c r="C69" s="47">
        <f>IFERROR(__xludf.DUMMYFUNCTION("""COMPUTED_VALUE"""),45840.6458333333)</f>
        <v>45840.6458333333</v>
      </c>
      <c r="D69" s="48">
        <f>IFERROR(__xludf.DUMMYFUNCTION("""COMPUTED_VALUE"""),1528.4)</f>
        <v>1528.4</v>
      </c>
      <c r="E69" s="47">
        <f>IFERROR(__xludf.DUMMYFUNCTION("""COMPUTED_VALUE"""),45840.6458333333)</f>
        <v>45840.6458333333</v>
      </c>
      <c r="F69" s="48">
        <f>IFERROR(__xludf.DUMMYFUNCTION("""COMPUTED_VALUE"""),6361002)</f>
        <v>6361002</v>
      </c>
      <c r="G69" s="47">
        <f>IFERROR(__xludf.DUMMYFUNCTION("""COMPUTED_VALUE"""),45840.6458333333)</f>
        <v>45840.6458333333</v>
      </c>
      <c r="H69" s="48">
        <f>IFERROR(__xludf.DUMMYFUNCTION("""COMPUTED_VALUE"""),1530)</f>
        <v>1530</v>
      </c>
      <c r="I69" s="47">
        <f>IFERROR(__xludf.DUMMYFUNCTION("""COMPUTED_VALUE"""),45840.6458333333)</f>
        <v>45840.6458333333</v>
      </c>
      <c r="J69" s="48">
        <f>IFERROR(__xludf.DUMMYFUNCTION("""COMPUTED_VALUE"""),1508.7)</f>
        <v>1508.7</v>
      </c>
      <c r="K69" s="3">
        <f t="shared" si="2"/>
        <v>0</v>
      </c>
      <c r="L69" s="3">
        <f t="shared" si="3"/>
        <v>0</v>
      </c>
    </row>
    <row r="70" customHeight="1" spans="1:12">
      <c r="A70" s="47">
        <f>IFERROR(__xludf.DUMMYFUNCTION("""COMPUTED_VALUE"""),45841.6458333333)</f>
        <v>45841.6458333333</v>
      </c>
      <c r="B70" s="48">
        <f>IFERROR(__xludf.DUMMYFUNCTION("""COMPUTED_VALUE"""),1517.8)</f>
        <v>1517.8</v>
      </c>
      <c r="C70" s="47">
        <f>IFERROR(__xludf.DUMMYFUNCTION("""COMPUTED_VALUE"""),45841.6458333333)</f>
        <v>45841.6458333333</v>
      </c>
      <c r="D70" s="48">
        <f>IFERROR(__xludf.DUMMYFUNCTION("""COMPUTED_VALUE"""),1520.8)</f>
        <v>1520.8</v>
      </c>
      <c r="E70" s="47">
        <f>IFERROR(__xludf.DUMMYFUNCTION("""COMPUTED_VALUE"""),45841.6458333333)</f>
        <v>45841.6458333333</v>
      </c>
      <c r="F70" s="48">
        <f>IFERROR(__xludf.DUMMYFUNCTION("""COMPUTED_VALUE"""),11283291)</f>
        <v>11283291</v>
      </c>
      <c r="G70" s="47">
        <f>IFERROR(__xludf.DUMMYFUNCTION("""COMPUTED_VALUE"""),45841.6458333333)</f>
        <v>45841.6458333333</v>
      </c>
      <c r="H70" s="48">
        <f>IFERROR(__xludf.DUMMYFUNCTION("""COMPUTED_VALUE"""),1531.9)</f>
        <v>1531.9</v>
      </c>
      <c r="I70" s="47">
        <f>IFERROR(__xludf.DUMMYFUNCTION("""COMPUTED_VALUE"""),45841.6458333333)</f>
        <v>45841.6458333333</v>
      </c>
      <c r="J70" s="48">
        <f>IFERROR(__xludf.DUMMYFUNCTION("""COMPUTED_VALUE"""),1513)</f>
        <v>1513</v>
      </c>
      <c r="K70" s="3">
        <f t="shared" si="2"/>
        <v>0</v>
      </c>
      <c r="L70" s="3">
        <f t="shared" si="3"/>
        <v>0</v>
      </c>
    </row>
    <row r="71" customHeight="1" spans="1:12">
      <c r="A71" s="47">
        <f>IFERROR(__xludf.DUMMYFUNCTION("""COMPUTED_VALUE"""),45842.6458333333)</f>
        <v>45842.6458333333</v>
      </c>
      <c r="B71" s="48">
        <f>IFERROR(__xludf.DUMMYFUNCTION("""COMPUTED_VALUE"""),1527.3)</f>
        <v>1527.3</v>
      </c>
      <c r="C71" s="47">
        <f>IFERROR(__xludf.DUMMYFUNCTION("""COMPUTED_VALUE"""),45842.6458333333)</f>
        <v>45842.6458333333</v>
      </c>
      <c r="D71" s="48">
        <f>IFERROR(__xludf.DUMMYFUNCTION("""COMPUTED_VALUE"""),1524)</f>
        <v>1524</v>
      </c>
      <c r="E71" s="47">
        <f>IFERROR(__xludf.DUMMYFUNCTION("""COMPUTED_VALUE"""),45842.6458333333)</f>
        <v>45842.6458333333</v>
      </c>
      <c r="F71" s="48">
        <f>IFERROR(__xludf.DUMMYFUNCTION("""COMPUTED_VALUE"""),6603501)</f>
        <v>6603501</v>
      </c>
      <c r="G71" s="47">
        <f>IFERROR(__xludf.DUMMYFUNCTION("""COMPUTED_VALUE"""),45842.6458333333)</f>
        <v>45842.6458333333</v>
      </c>
      <c r="H71" s="48">
        <f>IFERROR(__xludf.DUMMYFUNCTION("""COMPUTED_VALUE"""),1530)</f>
        <v>1530</v>
      </c>
      <c r="I71" s="47">
        <f>IFERROR(__xludf.DUMMYFUNCTION("""COMPUTED_VALUE"""),45842.6458333333)</f>
        <v>45842.6458333333</v>
      </c>
      <c r="J71" s="48">
        <f>IFERROR(__xludf.DUMMYFUNCTION("""COMPUTED_VALUE"""),1517.2)</f>
        <v>1517.2</v>
      </c>
      <c r="K71" s="3">
        <f t="shared" si="2"/>
        <v>0</v>
      </c>
      <c r="L71" s="3">
        <f t="shared" si="3"/>
        <v>0</v>
      </c>
    </row>
    <row r="72" customHeight="1" spans="1:12">
      <c r="A72" s="47">
        <f>IFERROR(__xludf.DUMMYFUNCTION("""COMPUTED_VALUE"""),45845.6458333333)</f>
        <v>45845.6458333333</v>
      </c>
      <c r="B72" s="48">
        <f>IFERROR(__xludf.DUMMYFUNCTION("""COMPUTED_VALUE"""),1541.5)</f>
        <v>1541.5</v>
      </c>
      <c r="C72" s="47">
        <f>IFERROR(__xludf.DUMMYFUNCTION("""COMPUTED_VALUE"""),45845.6458333333)</f>
        <v>45845.6458333333</v>
      </c>
      <c r="D72" s="48">
        <f>IFERROR(__xludf.DUMMYFUNCTION("""COMPUTED_VALUE"""),1526.6)</f>
        <v>1526.6</v>
      </c>
      <c r="E72" s="47">
        <f>IFERROR(__xludf.DUMMYFUNCTION("""COMPUTED_VALUE"""),45845.6458333333)</f>
        <v>45845.6458333333</v>
      </c>
      <c r="F72" s="48">
        <f>IFERROR(__xludf.DUMMYFUNCTION("""COMPUTED_VALUE"""),7251074)</f>
        <v>7251074</v>
      </c>
      <c r="G72" s="47">
        <f>IFERROR(__xludf.DUMMYFUNCTION("""COMPUTED_VALUE"""),45845.6458333333)</f>
        <v>45845.6458333333</v>
      </c>
      <c r="H72" s="48">
        <f>IFERROR(__xludf.DUMMYFUNCTION("""COMPUTED_VALUE"""),1544.8)</f>
        <v>1544.8</v>
      </c>
      <c r="I72" s="47">
        <f>IFERROR(__xludf.DUMMYFUNCTION("""COMPUTED_VALUE"""),45845.6458333333)</f>
        <v>45845.6458333333</v>
      </c>
      <c r="J72" s="48">
        <f>IFERROR(__xludf.DUMMYFUNCTION("""COMPUTED_VALUE"""),1525)</f>
        <v>1525</v>
      </c>
      <c r="K72" s="3">
        <f t="shared" si="2"/>
        <v>1541.5</v>
      </c>
      <c r="L72" s="3">
        <f t="shared" si="3"/>
        <v>0</v>
      </c>
    </row>
    <row r="73" customHeight="1" spans="1:12">
      <c r="A73" s="47">
        <f>IFERROR(__xludf.DUMMYFUNCTION("""COMPUTED_VALUE"""),45846.6458333333)</f>
        <v>45846.6458333333</v>
      </c>
      <c r="B73" s="48">
        <f>IFERROR(__xludf.DUMMYFUNCTION("""COMPUTED_VALUE"""),1537.6)</f>
        <v>1537.6</v>
      </c>
      <c r="C73" s="47">
        <f>IFERROR(__xludf.DUMMYFUNCTION("""COMPUTED_VALUE"""),45846.6458333333)</f>
        <v>45846.6458333333</v>
      </c>
      <c r="D73" s="48">
        <f>IFERROR(__xludf.DUMMYFUNCTION("""COMPUTED_VALUE"""),1536)</f>
        <v>1536</v>
      </c>
      <c r="E73" s="47">
        <f>IFERROR(__xludf.DUMMYFUNCTION("""COMPUTED_VALUE"""),45846.6458333333)</f>
        <v>45846.6458333333</v>
      </c>
      <c r="F73" s="48">
        <f>IFERROR(__xludf.DUMMYFUNCTION("""COMPUTED_VALUE"""),7171261)</f>
        <v>7171261</v>
      </c>
      <c r="G73" s="47">
        <f>IFERROR(__xludf.DUMMYFUNCTION("""COMPUTED_VALUE"""),45846.6458333333)</f>
        <v>45846.6458333333</v>
      </c>
      <c r="H73" s="48">
        <f>IFERROR(__xludf.DUMMYFUNCTION("""COMPUTED_VALUE"""),1544.9)</f>
        <v>1544.9</v>
      </c>
      <c r="I73" s="47">
        <f>IFERROR(__xludf.DUMMYFUNCTION("""COMPUTED_VALUE"""),45846.6458333333)</f>
        <v>45846.6458333333</v>
      </c>
      <c r="J73" s="48">
        <f>IFERROR(__xludf.DUMMYFUNCTION("""COMPUTED_VALUE"""),1530.2)</f>
        <v>1530.2</v>
      </c>
      <c r="K73" s="3">
        <f t="shared" si="2"/>
        <v>0</v>
      </c>
      <c r="L73" s="3">
        <f t="shared" si="3"/>
        <v>0</v>
      </c>
    </row>
    <row r="74" customHeight="1" spans="1:12">
      <c r="A74" s="47">
        <f>IFERROR(__xludf.DUMMYFUNCTION("""COMPUTED_VALUE"""),45847.6458333333)</f>
        <v>45847.6458333333</v>
      </c>
      <c r="B74" s="48">
        <f>IFERROR(__xludf.DUMMYFUNCTION("""COMPUTED_VALUE"""),1519)</f>
        <v>1519</v>
      </c>
      <c r="C74" s="47">
        <f>IFERROR(__xludf.DUMMYFUNCTION("""COMPUTED_VALUE"""),45847.6458333333)</f>
        <v>45847.6458333333</v>
      </c>
      <c r="D74" s="48">
        <f>IFERROR(__xludf.DUMMYFUNCTION("""COMPUTED_VALUE"""),1536.7)</f>
        <v>1536.7</v>
      </c>
      <c r="E74" s="47">
        <f>IFERROR(__xludf.DUMMYFUNCTION("""COMPUTED_VALUE"""),45847.6458333333)</f>
        <v>45847.6458333333</v>
      </c>
      <c r="F74" s="48">
        <f>IFERROR(__xludf.DUMMYFUNCTION("""COMPUTED_VALUE"""),8870660)</f>
        <v>8870660</v>
      </c>
      <c r="G74" s="47">
        <f>IFERROR(__xludf.DUMMYFUNCTION("""COMPUTED_VALUE"""),45847.6458333333)</f>
        <v>45847.6458333333</v>
      </c>
      <c r="H74" s="48">
        <f>IFERROR(__xludf.DUMMYFUNCTION("""COMPUTED_VALUE"""),1551)</f>
        <v>1551</v>
      </c>
      <c r="I74" s="47">
        <f>IFERROR(__xludf.DUMMYFUNCTION("""COMPUTED_VALUE"""),45847.6458333333)</f>
        <v>45847.6458333333</v>
      </c>
      <c r="J74" s="48">
        <f>IFERROR(__xludf.DUMMYFUNCTION("""COMPUTED_VALUE"""),1510.1)</f>
        <v>1510.1</v>
      </c>
      <c r="K74" s="3">
        <f t="shared" si="2"/>
        <v>0</v>
      </c>
      <c r="L74" s="3">
        <f t="shared" si="3"/>
        <v>0</v>
      </c>
    </row>
    <row r="75" customHeight="1" spans="1:12">
      <c r="A75" s="47">
        <f>IFERROR(__xludf.DUMMYFUNCTION("""COMPUTED_VALUE"""),45848.6458333333)</f>
        <v>45848.6458333333</v>
      </c>
      <c r="B75" s="48">
        <f>IFERROR(__xludf.DUMMYFUNCTION("""COMPUTED_VALUE"""),1517.2)</f>
        <v>1517.2</v>
      </c>
      <c r="C75" s="47">
        <f>IFERROR(__xludf.DUMMYFUNCTION("""COMPUTED_VALUE"""),45848.6458333333)</f>
        <v>45848.6458333333</v>
      </c>
      <c r="D75" s="48">
        <f>IFERROR(__xludf.DUMMYFUNCTION("""COMPUTED_VALUE"""),1519.7)</f>
        <v>1519.7</v>
      </c>
      <c r="E75" s="47">
        <f>IFERROR(__xludf.DUMMYFUNCTION("""COMPUTED_VALUE"""),45848.6458333333)</f>
        <v>45848.6458333333</v>
      </c>
      <c r="F75" s="48">
        <f>IFERROR(__xludf.DUMMYFUNCTION("""COMPUTED_VALUE"""),10047129)</f>
        <v>10047129</v>
      </c>
      <c r="G75" s="47">
        <f>IFERROR(__xludf.DUMMYFUNCTION("""COMPUTED_VALUE"""),45848.6458333333)</f>
        <v>45848.6458333333</v>
      </c>
      <c r="H75" s="48">
        <f>IFERROR(__xludf.DUMMYFUNCTION("""COMPUTED_VALUE"""),1524.7)</f>
        <v>1524.7</v>
      </c>
      <c r="I75" s="47">
        <f>IFERROR(__xludf.DUMMYFUNCTION("""COMPUTED_VALUE"""),45848.6458333333)</f>
        <v>45848.6458333333</v>
      </c>
      <c r="J75" s="48">
        <f>IFERROR(__xludf.DUMMYFUNCTION("""COMPUTED_VALUE"""),1507.5)</f>
        <v>1507.5</v>
      </c>
      <c r="K75" s="3">
        <f t="shared" si="2"/>
        <v>0</v>
      </c>
      <c r="L75" s="3">
        <f t="shared" si="3"/>
        <v>0</v>
      </c>
    </row>
    <row r="76" customHeight="1" spans="1:12">
      <c r="A76" s="47">
        <f>IFERROR(__xludf.DUMMYFUNCTION("""COMPUTED_VALUE"""),45849.6458333333)</f>
        <v>45849.6458333333</v>
      </c>
      <c r="B76" s="48">
        <f>IFERROR(__xludf.DUMMYFUNCTION("""COMPUTED_VALUE"""),1495.2)</f>
        <v>1495.2</v>
      </c>
      <c r="C76" s="47">
        <f>IFERROR(__xludf.DUMMYFUNCTION("""COMPUTED_VALUE"""),45849.6458333333)</f>
        <v>45849.6458333333</v>
      </c>
      <c r="D76" s="48">
        <f>IFERROR(__xludf.DUMMYFUNCTION("""COMPUTED_VALUE"""),1512)</f>
        <v>1512</v>
      </c>
      <c r="E76" s="47">
        <f>IFERROR(__xludf.DUMMYFUNCTION("""COMPUTED_VALUE"""),45849.6458333333)</f>
        <v>45849.6458333333</v>
      </c>
      <c r="F76" s="48">
        <f>IFERROR(__xludf.DUMMYFUNCTION("""COMPUTED_VALUE"""),7234991)</f>
        <v>7234991</v>
      </c>
      <c r="G76" s="47">
        <f>IFERROR(__xludf.DUMMYFUNCTION("""COMPUTED_VALUE"""),45849.6458333333)</f>
        <v>45849.6458333333</v>
      </c>
      <c r="H76" s="48">
        <f>IFERROR(__xludf.DUMMYFUNCTION("""COMPUTED_VALUE"""),1515)</f>
        <v>1515</v>
      </c>
      <c r="I76" s="47">
        <f>IFERROR(__xludf.DUMMYFUNCTION("""COMPUTED_VALUE"""),45849.6458333333)</f>
        <v>45849.6458333333</v>
      </c>
      <c r="J76" s="48">
        <f>IFERROR(__xludf.DUMMYFUNCTION("""COMPUTED_VALUE"""),1490.3)</f>
        <v>1490.3</v>
      </c>
      <c r="K76" s="3">
        <f t="shared" si="2"/>
        <v>0</v>
      </c>
      <c r="L76" s="3">
        <f t="shared" si="3"/>
        <v>0</v>
      </c>
    </row>
    <row r="77" customHeight="1" spans="1:12">
      <c r="A77" s="47">
        <f>IFERROR(__xludf.DUMMYFUNCTION("""COMPUTED_VALUE"""),45852.6458333333)</f>
        <v>45852.6458333333</v>
      </c>
      <c r="B77" s="48">
        <f>IFERROR(__xludf.DUMMYFUNCTION("""COMPUTED_VALUE"""),1483.7)</f>
        <v>1483.7</v>
      </c>
      <c r="C77" s="47">
        <f>IFERROR(__xludf.DUMMYFUNCTION("""COMPUTED_VALUE"""),45852.6458333333)</f>
        <v>45852.6458333333</v>
      </c>
      <c r="D77" s="48">
        <f>IFERROR(__xludf.DUMMYFUNCTION("""COMPUTED_VALUE"""),1492.2)</f>
        <v>1492.2</v>
      </c>
      <c r="E77" s="47">
        <f>IFERROR(__xludf.DUMMYFUNCTION("""COMPUTED_VALUE"""),45852.6458333333)</f>
        <v>45852.6458333333</v>
      </c>
      <c r="F77" s="48">
        <f>IFERROR(__xludf.DUMMYFUNCTION("""COMPUTED_VALUE"""),10311846)</f>
        <v>10311846</v>
      </c>
      <c r="G77" s="47">
        <f>IFERROR(__xludf.DUMMYFUNCTION("""COMPUTED_VALUE"""),45852.6458333333)</f>
        <v>45852.6458333333</v>
      </c>
      <c r="H77" s="48">
        <f>IFERROR(__xludf.DUMMYFUNCTION("""COMPUTED_VALUE"""),1500)</f>
        <v>1500</v>
      </c>
      <c r="I77" s="47">
        <f>IFERROR(__xludf.DUMMYFUNCTION("""COMPUTED_VALUE"""),45852.6458333333)</f>
        <v>45852.6458333333</v>
      </c>
      <c r="J77" s="48">
        <f>IFERROR(__xludf.DUMMYFUNCTION("""COMPUTED_VALUE"""),1479.1)</f>
        <v>1479.1</v>
      </c>
      <c r="K77" s="3">
        <f t="shared" si="2"/>
        <v>0</v>
      </c>
      <c r="L77" s="3">
        <f t="shared" si="3"/>
        <v>0</v>
      </c>
    </row>
    <row r="78" customHeight="1" spans="1:12">
      <c r="A78" s="47">
        <f>IFERROR(__xludf.DUMMYFUNCTION("""COMPUTED_VALUE"""),45853.6458333333)</f>
        <v>45853.6458333333</v>
      </c>
      <c r="B78" s="48">
        <f>IFERROR(__xludf.DUMMYFUNCTION("""COMPUTED_VALUE"""),1485.4)</f>
        <v>1485.4</v>
      </c>
      <c r="C78" s="47">
        <f>IFERROR(__xludf.DUMMYFUNCTION("""COMPUTED_VALUE"""),45853.6458333333)</f>
        <v>45853.6458333333</v>
      </c>
      <c r="D78" s="48">
        <f>IFERROR(__xludf.DUMMYFUNCTION("""COMPUTED_VALUE"""),1486.2)</f>
        <v>1486.2</v>
      </c>
      <c r="E78" s="47">
        <f>IFERROR(__xludf.DUMMYFUNCTION("""COMPUTED_VALUE"""),45853.6458333333)</f>
        <v>45853.6458333333</v>
      </c>
      <c r="F78" s="48">
        <f>IFERROR(__xludf.DUMMYFUNCTION("""COMPUTED_VALUE"""),8132454)</f>
        <v>8132454</v>
      </c>
      <c r="G78" s="47">
        <f>IFERROR(__xludf.DUMMYFUNCTION("""COMPUTED_VALUE"""),45853.6458333333)</f>
        <v>45853.6458333333</v>
      </c>
      <c r="H78" s="48">
        <f>IFERROR(__xludf.DUMMYFUNCTION("""COMPUTED_VALUE"""),1496.5)</f>
        <v>1496.5</v>
      </c>
      <c r="I78" s="47">
        <f>IFERROR(__xludf.DUMMYFUNCTION("""COMPUTED_VALUE"""),45853.6458333333)</f>
        <v>45853.6458333333</v>
      </c>
      <c r="J78" s="48">
        <f>IFERROR(__xludf.DUMMYFUNCTION("""COMPUTED_VALUE"""),1482.4)</f>
        <v>1482.4</v>
      </c>
      <c r="K78" s="3">
        <f t="shared" si="2"/>
        <v>0</v>
      </c>
      <c r="L78" s="3">
        <f t="shared" si="3"/>
        <v>0</v>
      </c>
    </row>
    <row r="79" customHeight="1" spans="1:12">
      <c r="A79" s="47">
        <f>IFERROR(__xludf.DUMMYFUNCTION("""COMPUTED_VALUE"""),45854.6458333333)</f>
        <v>45854.6458333333</v>
      </c>
      <c r="B79" s="48">
        <f>IFERROR(__xludf.DUMMYFUNCTION("""COMPUTED_VALUE"""),1485.6)</f>
        <v>1485.6</v>
      </c>
      <c r="C79" s="47">
        <f>IFERROR(__xludf.DUMMYFUNCTION("""COMPUTED_VALUE"""),45854.6458333333)</f>
        <v>45854.6458333333</v>
      </c>
      <c r="D79" s="48">
        <f>IFERROR(__xludf.DUMMYFUNCTION("""COMPUTED_VALUE"""),1473)</f>
        <v>1473</v>
      </c>
      <c r="E79" s="47">
        <f>IFERROR(__xludf.DUMMYFUNCTION("""COMPUTED_VALUE"""),45854.6458333333)</f>
        <v>45854.6458333333</v>
      </c>
      <c r="F79" s="48">
        <f>IFERROR(__xludf.DUMMYFUNCTION("""COMPUTED_VALUE"""),10409983)</f>
        <v>10409983</v>
      </c>
      <c r="G79" s="47">
        <f>IFERROR(__xludf.DUMMYFUNCTION("""COMPUTED_VALUE"""),45854.6458333333)</f>
        <v>45854.6458333333</v>
      </c>
      <c r="H79" s="48">
        <f>IFERROR(__xludf.DUMMYFUNCTION("""COMPUTED_VALUE"""),1491)</f>
        <v>1491</v>
      </c>
      <c r="I79" s="47">
        <f>IFERROR(__xludf.DUMMYFUNCTION("""COMPUTED_VALUE"""),45854.6458333333)</f>
        <v>45854.6458333333</v>
      </c>
      <c r="J79" s="48">
        <f>IFERROR(__xludf.DUMMYFUNCTION("""COMPUTED_VALUE"""),1471.5)</f>
        <v>1471.5</v>
      </c>
      <c r="K79" s="3">
        <f t="shared" si="2"/>
        <v>0</v>
      </c>
      <c r="L79" s="3">
        <f t="shared" si="3"/>
        <v>0</v>
      </c>
    </row>
    <row r="80" customHeight="1" spans="1:12">
      <c r="A80" s="47">
        <f>IFERROR(__xludf.DUMMYFUNCTION("""COMPUTED_VALUE"""),45855.6458333333)</f>
        <v>45855.6458333333</v>
      </c>
      <c r="B80" s="48">
        <f>IFERROR(__xludf.DUMMYFUNCTION("""COMPUTED_VALUE"""),1476.4)</f>
        <v>1476.4</v>
      </c>
      <c r="C80" s="47">
        <f>IFERROR(__xludf.DUMMYFUNCTION("""COMPUTED_VALUE"""),45855.6458333333)</f>
        <v>45855.6458333333</v>
      </c>
      <c r="D80" s="48">
        <f>IFERROR(__xludf.DUMMYFUNCTION("""COMPUTED_VALUE"""),1487.4)</f>
        <v>1487.4</v>
      </c>
      <c r="E80" s="47">
        <f>IFERROR(__xludf.DUMMYFUNCTION("""COMPUTED_VALUE"""),45855.6458333333)</f>
        <v>45855.6458333333</v>
      </c>
      <c r="F80" s="48">
        <f>IFERROR(__xludf.DUMMYFUNCTION("""COMPUTED_VALUE"""),11854613)</f>
        <v>11854613</v>
      </c>
      <c r="G80" s="47">
        <f>IFERROR(__xludf.DUMMYFUNCTION("""COMPUTED_VALUE"""),45855.6458333333)</f>
        <v>45855.6458333333</v>
      </c>
      <c r="H80" s="48">
        <f>IFERROR(__xludf.DUMMYFUNCTION("""COMPUTED_VALUE"""),1489.6)</f>
        <v>1489.6</v>
      </c>
      <c r="I80" s="47">
        <f>IFERROR(__xludf.DUMMYFUNCTION("""COMPUTED_VALUE"""),45855.6458333333)</f>
        <v>45855.6458333333</v>
      </c>
      <c r="J80" s="48">
        <f>IFERROR(__xludf.DUMMYFUNCTION("""COMPUTED_VALUE"""),1473.9)</f>
        <v>1473.9</v>
      </c>
      <c r="K80" s="3">
        <f t="shared" si="2"/>
        <v>0</v>
      </c>
      <c r="L80" s="3">
        <f t="shared" si="3"/>
        <v>0</v>
      </c>
    </row>
    <row r="81" customHeight="1" spans="1:12">
      <c r="A81" s="47">
        <f>IFERROR(__xludf.DUMMYFUNCTION("""COMPUTED_VALUE"""),45856.6458333333)</f>
        <v>45856.6458333333</v>
      </c>
      <c r="B81" s="48">
        <f>IFERROR(__xludf.DUMMYFUNCTION("""COMPUTED_VALUE"""),1476)</f>
        <v>1476</v>
      </c>
      <c r="C81" s="47">
        <f>IFERROR(__xludf.DUMMYFUNCTION("""COMPUTED_VALUE"""),45856.6458333333)</f>
        <v>45856.6458333333</v>
      </c>
      <c r="D81" s="48">
        <f>IFERROR(__xludf.DUMMYFUNCTION("""COMPUTED_VALUE"""),1484.8)</f>
        <v>1484.8</v>
      </c>
      <c r="E81" s="47">
        <f>IFERROR(__xludf.DUMMYFUNCTION("""COMPUTED_VALUE"""),45856.6458333333)</f>
        <v>45856.6458333333</v>
      </c>
      <c r="F81" s="48">
        <f>IFERROR(__xludf.DUMMYFUNCTION("""COMPUTED_VALUE"""),10296318)</f>
        <v>10296318</v>
      </c>
      <c r="G81" s="47">
        <f>IFERROR(__xludf.DUMMYFUNCTION("""COMPUTED_VALUE"""),45856.6458333333)</f>
        <v>45856.6458333333</v>
      </c>
      <c r="H81" s="48">
        <f>IFERROR(__xludf.DUMMYFUNCTION("""COMPUTED_VALUE"""),1484.8)</f>
        <v>1484.8</v>
      </c>
      <c r="I81" s="47">
        <f>IFERROR(__xludf.DUMMYFUNCTION("""COMPUTED_VALUE"""),45856.6458333333)</f>
        <v>45856.6458333333</v>
      </c>
      <c r="J81" s="48">
        <f>IFERROR(__xludf.DUMMYFUNCTION("""COMPUTED_VALUE"""),1469.1)</f>
        <v>1469.1</v>
      </c>
      <c r="K81" s="3">
        <f t="shared" si="2"/>
        <v>0</v>
      </c>
      <c r="L81" s="3">
        <f t="shared" si="3"/>
        <v>0</v>
      </c>
    </row>
    <row r="82" customHeight="1" spans="1:12">
      <c r="A82" s="47">
        <f>IFERROR(__xludf.DUMMYFUNCTION("""COMPUTED_VALUE"""),45859.6458333333)</f>
        <v>45859.6458333333</v>
      </c>
      <c r="B82" s="48">
        <f>IFERROR(__xludf.DUMMYFUNCTION("""COMPUTED_VALUE"""),1428.6)</f>
        <v>1428.6</v>
      </c>
      <c r="C82" s="47">
        <f>IFERROR(__xludf.DUMMYFUNCTION("""COMPUTED_VALUE"""),45859.6458333333)</f>
        <v>45859.6458333333</v>
      </c>
      <c r="D82" s="48">
        <f>IFERROR(__xludf.DUMMYFUNCTION("""COMPUTED_VALUE"""),1465)</f>
        <v>1465</v>
      </c>
      <c r="E82" s="47">
        <f>IFERROR(__xludf.DUMMYFUNCTION("""COMPUTED_VALUE"""),45859.6458333333)</f>
        <v>45859.6458333333</v>
      </c>
      <c r="F82" s="48">
        <f>IFERROR(__xludf.DUMMYFUNCTION("""COMPUTED_VALUE"""),22442744)</f>
        <v>22442744</v>
      </c>
      <c r="G82" s="47">
        <f>IFERROR(__xludf.DUMMYFUNCTION("""COMPUTED_VALUE"""),45859.6458333333)</f>
        <v>45859.6458333333</v>
      </c>
      <c r="H82" s="48">
        <f>IFERROR(__xludf.DUMMYFUNCTION("""COMPUTED_VALUE"""),1476)</f>
        <v>1476</v>
      </c>
      <c r="I82" s="47">
        <f>IFERROR(__xludf.DUMMYFUNCTION("""COMPUTED_VALUE"""),45859.6458333333)</f>
        <v>45859.6458333333</v>
      </c>
      <c r="J82" s="48">
        <f>IFERROR(__xludf.DUMMYFUNCTION("""COMPUTED_VALUE"""),1423.1)</f>
        <v>1423.1</v>
      </c>
      <c r="K82" s="3">
        <f t="shared" si="2"/>
        <v>0</v>
      </c>
      <c r="L82" s="3">
        <f t="shared" si="3"/>
        <v>0</v>
      </c>
    </row>
    <row r="83" customHeight="1" spans="1:12">
      <c r="A83" s="47">
        <f>IFERROR(__xludf.DUMMYFUNCTION("""COMPUTED_VALUE"""),45860.6458333333)</f>
        <v>45860.6458333333</v>
      </c>
      <c r="B83" s="48">
        <f>IFERROR(__xludf.DUMMYFUNCTION("""COMPUTED_VALUE"""),1412.8)</f>
        <v>1412.8</v>
      </c>
      <c r="C83" s="47">
        <f>IFERROR(__xludf.DUMMYFUNCTION("""COMPUTED_VALUE"""),45860.6458333333)</f>
        <v>45860.6458333333</v>
      </c>
      <c r="D83" s="48">
        <f>IFERROR(__xludf.DUMMYFUNCTION("""COMPUTED_VALUE"""),1427.4)</f>
        <v>1427.4</v>
      </c>
      <c r="E83" s="47">
        <f>IFERROR(__xludf.DUMMYFUNCTION("""COMPUTED_VALUE"""),45860.6458333333)</f>
        <v>45860.6458333333</v>
      </c>
      <c r="F83" s="48">
        <f>IFERROR(__xludf.DUMMYFUNCTION("""COMPUTED_VALUE"""),20396320)</f>
        <v>20396320</v>
      </c>
      <c r="G83" s="47">
        <f>IFERROR(__xludf.DUMMYFUNCTION("""COMPUTED_VALUE"""),45860.6458333333)</f>
        <v>45860.6458333333</v>
      </c>
      <c r="H83" s="48">
        <f>IFERROR(__xludf.DUMMYFUNCTION("""COMPUTED_VALUE"""),1431.9)</f>
        <v>1431.9</v>
      </c>
      <c r="I83" s="47">
        <f>IFERROR(__xludf.DUMMYFUNCTION("""COMPUTED_VALUE"""),45860.6458333333)</f>
        <v>45860.6458333333</v>
      </c>
      <c r="J83" s="48">
        <f>IFERROR(__xludf.DUMMYFUNCTION("""COMPUTED_VALUE"""),1410.7)</f>
        <v>1410.7</v>
      </c>
      <c r="K83" s="3">
        <f t="shared" si="2"/>
        <v>0</v>
      </c>
      <c r="L83" s="3">
        <f t="shared" si="3"/>
        <v>0</v>
      </c>
    </row>
    <row r="84" customHeight="1" spans="1:12">
      <c r="A84" s="47">
        <f>IFERROR(__xludf.DUMMYFUNCTION("""COMPUTED_VALUE"""),45861.6458333333)</f>
        <v>45861.6458333333</v>
      </c>
      <c r="B84" s="48">
        <f>IFERROR(__xludf.DUMMYFUNCTION("""COMPUTED_VALUE"""),1424.6)</f>
        <v>1424.6</v>
      </c>
      <c r="C84" s="47">
        <f>IFERROR(__xludf.DUMMYFUNCTION("""COMPUTED_VALUE"""),45861.6458333333)</f>
        <v>45861.6458333333</v>
      </c>
      <c r="D84" s="48">
        <f>IFERROR(__xludf.DUMMYFUNCTION("""COMPUTED_VALUE"""),1426)</f>
        <v>1426</v>
      </c>
      <c r="E84" s="47">
        <f>IFERROR(__xludf.DUMMYFUNCTION("""COMPUTED_VALUE"""),45861.6458333333)</f>
        <v>45861.6458333333</v>
      </c>
      <c r="F84" s="48">
        <f>IFERROR(__xludf.DUMMYFUNCTION("""COMPUTED_VALUE"""),8354596)</f>
        <v>8354596</v>
      </c>
      <c r="G84" s="47">
        <f>IFERROR(__xludf.DUMMYFUNCTION("""COMPUTED_VALUE"""),45861.6458333333)</f>
        <v>45861.6458333333</v>
      </c>
      <c r="H84" s="48">
        <f>IFERROR(__xludf.DUMMYFUNCTION("""COMPUTED_VALUE"""),1426)</f>
        <v>1426</v>
      </c>
      <c r="I84" s="47">
        <f>IFERROR(__xludf.DUMMYFUNCTION("""COMPUTED_VALUE"""),45861.6458333333)</f>
        <v>45861.6458333333</v>
      </c>
      <c r="J84" s="48">
        <f>IFERROR(__xludf.DUMMYFUNCTION("""COMPUTED_VALUE"""),1414.4)</f>
        <v>1414.4</v>
      </c>
      <c r="K84" s="3">
        <f t="shared" si="2"/>
        <v>0</v>
      </c>
      <c r="L84" s="3">
        <f t="shared" si="3"/>
        <v>0</v>
      </c>
    </row>
    <row r="85" customHeight="1" spans="1:12">
      <c r="A85" s="47">
        <f>IFERROR(__xludf.DUMMYFUNCTION("""COMPUTED_VALUE"""),45862.6458333333)</f>
        <v>45862.6458333333</v>
      </c>
      <c r="B85" s="48">
        <f>IFERROR(__xludf.DUMMYFUNCTION("""COMPUTED_VALUE"""),1402.9)</f>
        <v>1402.9</v>
      </c>
      <c r="C85" s="47">
        <f>IFERROR(__xludf.DUMMYFUNCTION("""COMPUTED_VALUE"""),45862.6458333333)</f>
        <v>45862.6458333333</v>
      </c>
      <c r="D85" s="48">
        <f>IFERROR(__xludf.DUMMYFUNCTION("""COMPUTED_VALUE"""),1419.2)</f>
        <v>1419.2</v>
      </c>
      <c r="E85" s="47">
        <f>IFERROR(__xludf.DUMMYFUNCTION("""COMPUTED_VALUE"""),45862.6458333333)</f>
        <v>45862.6458333333</v>
      </c>
      <c r="F85" s="48">
        <f>IFERROR(__xludf.DUMMYFUNCTION("""COMPUTED_VALUE"""),14740507)</f>
        <v>14740507</v>
      </c>
      <c r="G85" s="47">
        <f>IFERROR(__xludf.DUMMYFUNCTION("""COMPUTED_VALUE"""),45862.6458333333)</f>
        <v>45862.6458333333</v>
      </c>
      <c r="H85" s="48">
        <f>IFERROR(__xludf.DUMMYFUNCTION("""COMPUTED_VALUE"""),1423)</f>
        <v>1423</v>
      </c>
      <c r="I85" s="47">
        <f>IFERROR(__xludf.DUMMYFUNCTION("""COMPUTED_VALUE"""),45862.6458333333)</f>
        <v>45862.6458333333</v>
      </c>
      <c r="J85" s="48">
        <f>IFERROR(__xludf.DUMMYFUNCTION("""COMPUTED_VALUE"""),1396)</f>
        <v>1396</v>
      </c>
      <c r="K85" s="3">
        <f t="shared" si="2"/>
        <v>0</v>
      </c>
      <c r="L85" s="3">
        <f t="shared" si="3"/>
        <v>0</v>
      </c>
    </row>
    <row r="86" customHeight="1" spans="1:12">
      <c r="A86" s="47">
        <f>IFERROR(__xludf.DUMMYFUNCTION("""COMPUTED_VALUE"""),45863.6458333333)</f>
        <v>45863.6458333333</v>
      </c>
      <c r="B86" s="48">
        <f>IFERROR(__xludf.DUMMYFUNCTION("""COMPUTED_VALUE"""),1391.7)</f>
        <v>1391.7</v>
      </c>
      <c r="C86" s="47">
        <f>IFERROR(__xludf.DUMMYFUNCTION("""COMPUTED_VALUE"""),45863.6458333333)</f>
        <v>45863.6458333333</v>
      </c>
      <c r="D86" s="48">
        <f>IFERROR(__xludf.DUMMYFUNCTION("""COMPUTED_VALUE"""),1398.9)</f>
        <v>1398.9</v>
      </c>
      <c r="E86" s="47">
        <f>IFERROR(__xludf.DUMMYFUNCTION("""COMPUTED_VALUE"""),45863.6458333333)</f>
        <v>45863.6458333333</v>
      </c>
      <c r="F86" s="48">
        <f>IFERROR(__xludf.DUMMYFUNCTION("""COMPUTED_VALUE"""),11854722)</f>
        <v>11854722</v>
      </c>
      <c r="G86" s="47">
        <f>IFERROR(__xludf.DUMMYFUNCTION("""COMPUTED_VALUE"""),45863.6458333333)</f>
        <v>45863.6458333333</v>
      </c>
      <c r="H86" s="48">
        <f>IFERROR(__xludf.DUMMYFUNCTION("""COMPUTED_VALUE"""),1401)</f>
        <v>1401</v>
      </c>
      <c r="I86" s="47">
        <f>IFERROR(__xludf.DUMMYFUNCTION("""COMPUTED_VALUE"""),45863.6458333333)</f>
        <v>45863.6458333333</v>
      </c>
      <c r="J86" s="48">
        <f>IFERROR(__xludf.DUMMYFUNCTION("""COMPUTED_VALUE"""),1384.1)</f>
        <v>1384.1</v>
      </c>
      <c r="K86" s="3">
        <f t="shared" si="2"/>
        <v>0</v>
      </c>
      <c r="L86" s="3">
        <f t="shared" si="3"/>
        <v>0</v>
      </c>
    </row>
    <row r="87" customHeight="1" spans="1:12">
      <c r="A87" s="47">
        <f>IFERROR(__xludf.DUMMYFUNCTION("""COMPUTED_VALUE"""),45866.6458333333)</f>
        <v>45866.6458333333</v>
      </c>
      <c r="B87" s="48">
        <f>IFERROR(__xludf.DUMMYFUNCTION("""COMPUTED_VALUE"""),1387.6)</f>
        <v>1387.6</v>
      </c>
      <c r="C87" s="47">
        <f>IFERROR(__xludf.DUMMYFUNCTION("""COMPUTED_VALUE"""),45866.6458333333)</f>
        <v>45866.6458333333</v>
      </c>
      <c r="D87" s="48">
        <f>IFERROR(__xludf.DUMMYFUNCTION("""COMPUTED_VALUE"""),1392.3)</f>
        <v>1392.3</v>
      </c>
      <c r="E87" s="47">
        <f>IFERROR(__xludf.DUMMYFUNCTION("""COMPUTED_VALUE"""),45866.6458333333)</f>
        <v>45866.6458333333</v>
      </c>
      <c r="F87" s="48">
        <f>IFERROR(__xludf.DUMMYFUNCTION("""COMPUTED_VALUE"""),7748361)</f>
        <v>7748361</v>
      </c>
      <c r="G87" s="47">
        <f>IFERROR(__xludf.DUMMYFUNCTION("""COMPUTED_VALUE"""),45866.6458333333)</f>
        <v>45866.6458333333</v>
      </c>
      <c r="H87" s="48">
        <f>IFERROR(__xludf.DUMMYFUNCTION("""COMPUTED_VALUE"""),1407.8)</f>
        <v>1407.8</v>
      </c>
      <c r="I87" s="47">
        <f>IFERROR(__xludf.DUMMYFUNCTION("""COMPUTED_VALUE"""),45866.6458333333)</f>
        <v>45866.6458333333</v>
      </c>
      <c r="J87" s="48">
        <f>IFERROR(__xludf.DUMMYFUNCTION("""COMPUTED_VALUE"""),1385)</f>
        <v>1385</v>
      </c>
      <c r="K87" s="3">
        <f t="shared" si="2"/>
        <v>0</v>
      </c>
      <c r="L87" s="3">
        <f t="shared" si="3"/>
        <v>1387.6</v>
      </c>
    </row>
    <row r="88" customHeight="1" spans="1:12">
      <c r="A88" s="47">
        <f>IFERROR(__xludf.DUMMYFUNCTION("""COMPUTED_VALUE"""),45867.6458333333)</f>
        <v>45867.6458333333</v>
      </c>
      <c r="B88" s="48">
        <f>IFERROR(__xludf.DUMMYFUNCTION("""COMPUTED_VALUE"""),1417.1)</f>
        <v>1417.1</v>
      </c>
      <c r="C88" s="47">
        <f>IFERROR(__xludf.DUMMYFUNCTION("""COMPUTED_VALUE"""),45867.6458333333)</f>
        <v>45867.6458333333</v>
      </c>
      <c r="D88" s="48">
        <f>IFERROR(__xludf.DUMMYFUNCTION("""COMPUTED_VALUE"""),1383)</f>
        <v>1383</v>
      </c>
      <c r="E88" s="47">
        <f>IFERROR(__xludf.DUMMYFUNCTION("""COMPUTED_VALUE"""),45867.6458333333)</f>
        <v>45867.6458333333</v>
      </c>
      <c r="F88" s="48">
        <f>IFERROR(__xludf.DUMMYFUNCTION("""COMPUTED_VALUE"""),10750072)</f>
        <v>10750072</v>
      </c>
      <c r="G88" s="47">
        <f>IFERROR(__xludf.DUMMYFUNCTION("""COMPUTED_VALUE"""),45867.6458333333)</f>
        <v>45867.6458333333</v>
      </c>
      <c r="H88" s="48">
        <f>IFERROR(__xludf.DUMMYFUNCTION("""COMPUTED_VALUE"""),1420.2)</f>
        <v>1420.2</v>
      </c>
      <c r="I88" s="47">
        <f>IFERROR(__xludf.DUMMYFUNCTION("""COMPUTED_VALUE"""),45867.6458333333)</f>
        <v>45867.6458333333</v>
      </c>
      <c r="J88" s="48">
        <f>IFERROR(__xludf.DUMMYFUNCTION("""COMPUTED_VALUE"""),1383)</f>
        <v>1383</v>
      </c>
      <c r="K88" s="3">
        <f t="shared" si="2"/>
        <v>0</v>
      </c>
      <c r="L88" s="3">
        <f t="shared" si="3"/>
        <v>0</v>
      </c>
    </row>
    <row r="89" customHeight="1" spans="1:12">
      <c r="A89" s="47">
        <f>IFERROR(__xludf.DUMMYFUNCTION("""COMPUTED_VALUE"""),45868.6458333333)</f>
        <v>45868.6458333333</v>
      </c>
      <c r="B89" s="48">
        <f>IFERROR(__xludf.DUMMYFUNCTION("""COMPUTED_VALUE"""),1410.1)</f>
        <v>1410.1</v>
      </c>
      <c r="C89" s="47">
        <f>IFERROR(__xludf.DUMMYFUNCTION("""COMPUTED_VALUE"""),45868.6458333333)</f>
        <v>45868.6458333333</v>
      </c>
      <c r="D89" s="48">
        <f>IFERROR(__xludf.DUMMYFUNCTION("""COMPUTED_VALUE"""),1418.1)</f>
        <v>1418.1</v>
      </c>
      <c r="E89" s="47">
        <f>IFERROR(__xludf.DUMMYFUNCTION("""COMPUTED_VALUE"""),45868.6458333333)</f>
        <v>45868.6458333333</v>
      </c>
      <c r="F89" s="48">
        <f>IFERROR(__xludf.DUMMYFUNCTION("""COMPUTED_VALUE"""),7209849)</f>
        <v>7209849</v>
      </c>
      <c r="G89" s="47">
        <f>IFERROR(__xludf.DUMMYFUNCTION("""COMPUTED_VALUE"""),45868.6458333333)</f>
        <v>45868.6458333333</v>
      </c>
      <c r="H89" s="48">
        <f>IFERROR(__xludf.DUMMYFUNCTION("""COMPUTED_VALUE"""),1423.3)</f>
        <v>1423.3</v>
      </c>
      <c r="I89" s="47">
        <f>IFERROR(__xludf.DUMMYFUNCTION("""COMPUTED_VALUE"""),45868.6458333333)</f>
        <v>45868.6458333333</v>
      </c>
      <c r="J89" s="48">
        <f>IFERROR(__xludf.DUMMYFUNCTION("""COMPUTED_VALUE"""),1401.3)</f>
        <v>1401.3</v>
      </c>
      <c r="K89" s="3">
        <f t="shared" si="2"/>
        <v>0</v>
      </c>
      <c r="L89" s="3">
        <f t="shared" si="3"/>
        <v>0</v>
      </c>
    </row>
    <row r="90" customHeight="1" spans="1:12">
      <c r="A90" s="47">
        <f>IFERROR(__xludf.DUMMYFUNCTION("""COMPUTED_VALUE"""),45869.6458333333)</f>
        <v>45869.6458333333</v>
      </c>
      <c r="B90" s="48">
        <f>IFERROR(__xludf.DUMMYFUNCTION("""COMPUTED_VALUE"""),1390.2)</f>
        <v>1390.2</v>
      </c>
      <c r="C90" s="47">
        <f>IFERROR(__xludf.DUMMYFUNCTION("""COMPUTED_VALUE"""),45869.6458333333)</f>
        <v>45869.6458333333</v>
      </c>
      <c r="D90" s="48">
        <f>IFERROR(__xludf.DUMMYFUNCTION("""COMPUTED_VALUE"""),1388.1)</f>
        <v>1388.1</v>
      </c>
      <c r="E90" s="47">
        <f>IFERROR(__xludf.DUMMYFUNCTION("""COMPUTED_VALUE"""),45869.6458333333)</f>
        <v>45869.6458333333</v>
      </c>
      <c r="F90" s="48">
        <f>IFERROR(__xludf.DUMMYFUNCTION("""COMPUTED_VALUE"""),17065827)</f>
        <v>17065827</v>
      </c>
      <c r="G90" s="47">
        <f>IFERROR(__xludf.DUMMYFUNCTION("""COMPUTED_VALUE"""),45869.6458333333)</f>
        <v>45869.6458333333</v>
      </c>
      <c r="H90" s="48">
        <f>IFERROR(__xludf.DUMMYFUNCTION("""COMPUTED_VALUE"""),1402.6)</f>
        <v>1402.6</v>
      </c>
      <c r="I90" s="47">
        <f>IFERROR(__xludf.DUMMYFUNCTION("""COMPUTED_VALUE"""),45869.6458333333)</f>
        <v>45869.6458333333</v>
      </c>
      <c r="J90" s="48">
        <f>IFERROR(__xludf.DUMMYFUNCTION("""COMPUTED_VALUE"""),1382.2)</f>
        <v>1382.2</v>
      </c>
      <c r="K90" s="3">
        <f t="shared" si="2"/>
        <v>0</v>
      </c>
      <c r="L90" s="3">
        <f t="shared" si="3"/>
        <v>0</v>
      </c>
    </row>
    <row r="91" customHeight="1" spans="1:12">
      <c r="A91" s="47">
        <f>IFERROR(__xludf.DUMMYFUNCTION("""COMPUTED_VALUE"""),45870.6458333333)</f>
        <v>45870.6458333333</v>
      </c>
      <c r="B91" s="48">
        <f>IFERROR(__xludf.DUMMYFUNCTION("""COMPUTED_VALUE"""),1393.7)</f>
        <v>1393.7</v>
      </c>
      <c r="C91" s="47">
        <f>IFERROR(__xludf.DUMMYFUNCTION("""COMPUTED_VALUE"""),45870.6458333333)</f>
        <v>45870.6458333333</v>
      </c>
      <c r="D91" s="48">
        <f>IFERROR(__xludf.DUMMYFUNCTION("""COMPUTED_VALUE"""),1386.9)</f>
        <v>1386.9</v>
      </c>
      <c r="E91" s="47">
        <f>IFERROR(__xludf.DUMMYFUNCTION("""COMPUTED_VALUE"""),45870.6458333333)</f>
        <v>45870.6458333333</v>
      </c>
      <c r="F91" s="48">
        <f>IFERROR(__xludf.DUMMYFUNCTION("""COMPUTED_VALUE"""),10321171)</f>
        <v>10321171</v>
      </c>
      <c r="G91" s="47">
        <f>IFERROR(__xludf.DUMMYFUNCTION("""COMPUTED_VALUE"""),45870.6458333333)</f>
        <v>45870.6458333333</v>
      </c>
      <c r="H91" s="48">
        <f>IFERROR(__xludf.DUMMYFUNCTION("""COMPUTED_VALUE"""),1405.9)</f>
        <v>1405.9</v>
      </c>
      <c r="I91" s="47">
        <f>IFERROR(__xludf.DUMMYFUNCTION("""COMPUTED_VALUE"""),45870.6458333333)</f>
        <v>45870.6458333333</v>
      </c>
      <c r="J91" s="48">
        <f>IFERROR(__xludf.DUMMYFUNCTION("""COMPUTED_VALUE"""),1384.3)</f>
        <v>1384.3</v>
      </c>
      <c r="K91" s="3">
        <f t="shared" si="2"/>
        <v>0</v>
      </c>
      <c r="L91" s="3">
        <f t="shared" si="3"/>
        <v>0</v>
      </c>
    </row>
    <row r="92" customHeight="1" spans="1:12">
      <c r="A92" s="47">
        <f>IFERROR(__xludf.DUMMYFUNCTION("""COMPUTED_VALUE"""),45873.6458333333)</f>
        <v>45873.6458333333</v>
      </c>
      <c r="B92" s="48">
        <f>IFERROR(__xludf.DUMMYFUNCTION("""COMPUTED_VALUE"""),1411.5)</f>
        <v>1411.5</v>
      </c>
      <c r="C92" s="47">
        <f>IFERROR(__xludf.DUMMYFUNCTION("""COMPUTED_VALUE"""),45873.6458333333)</f>
        <v>45873.6458333333</v>
      </c>
      <c r="D92" s="48">
        <f>IFERROR(__xludf.DUMMYFUNCTION("""COMPUTED_VALUE"""),1395.1)</f>
        <v>1395.1</v>
      </c>
      <c r="E92" s="47">
        <f>IFERROR(__xludf.DUMMYFUNCTION("""COMPUTED_VALUE"""),45873.6458333333)</f>
        <v>45873.6458333333</v>
      </c>
      <c r="F92" s="48">
        <f>IFERROR(__xludf.DUMMYFUNCTION("""COMPUTED_VALUE"""),6312820)</f>
        <v>6312820</v>
      </c>
      <c r="G92" s="47">
        <f>IFERROR(__xludf.DUMMYFUNCTION("""COMPUTED_VALUE"""),45873.6458333333)</f>
        <v>45873.6458333333</v>
      </c>
      <c r="H92" s="48">
        <f>IFERROR(__xludf.DUMMYFUNCTION("""COMPUTED_VALUE"""),1416.1)</f>
        <v>1416.1</v>
      </c>
      <c r="I92" s="47">
        <f>IFERROR(__xludf.DUMMYFUNCTION("""COMPUTED_VALUE"""),45873.6458333333)</f>
        <v>45873.6458333333</v>
      </c>
      <c r="J92" s="48">
        <f>IFERROR(__xludf.DUMMYFUNCTION("""COMPUTED_VALUE"""),1391.7)</f>
        <v>1391.7</v>
      </c>
      <c r="K92" s="3">
        <f t="shared" si="2"/>
        <v>0</v>
      </c>
      <c r="L92" s="3">
        <f t="shared" si="3"/>
        <v>0</v>
      </c>
    </row>
    <row r="93" customHeight="1" spans="1:12">
      <c r="A93" s="47">
        <f>IFERROR(__xludf.DUMMYFUNCTION("""COMPUTED_VALUE"""),45874.6458333333)</f>
        <v>45874.6458333333</v>
      </c>
      <c r="B93" s="48">
        <f>IFERROR(__xludf.DUMMYFUNCTION("""COMPUTED_VALUE"""),1391.7)</f>
        <v>1391.7</v>
      </c>
      <c r="C93" s="47">
        <f>IFERROR(__xludf.DUMMYFUNCTION("""COMPUTED_VALUE"""),45874.6458333333)</f>
        <v>45874.6458333333</v>
      </c>
      <c r="D93" s="48">
        <f>IFERROR(__xludf.DUMMYFUNCTION("""COMPUTED_VALUE"""),1411)</f>
        <v>1411</v>
      </c>
      <c r="E93" s="47">
        <f>IFERROR(__xludf.DUMMYFUNCTION("""COMPUTED_VALUE"""),45874.6458333333)</f>
        <v>45874.6458333333</v>
      </c>
      <c r="F93" s="48">
        <f>IFERROR(__xludf.DUMMYFUNCTION("""COMPUTED_VALUE"""),9315972)</f>
        <v>9315972</v>
      </c>
      <c r="G93" s="47">
        <f>IFERROR(__xludf.DUMMYFUNCTION("""COMPUTED_VALUE"""),45874.6458333333)</f>
        <v>45874.6458333333</v>
      </c>
      <c r="H93" s="48">
        <f>IFERROR(__xludf.DUMMYFUNCTION("""COMPUTED_VALUE"""),1411)</f>
        <v>1411</v>
      </c>
      <c r="I93" s="47">
        <f>IFERROR(__xludf.DUMMYFUNCTION("""COMPUTED_VALUE"""),45874.6458333333)</f>
        <v>45874.6458333333</v>
      </c>
      <c r="J93" s="48">
        <f>IFERROR(__xludf.DUMMYFUNCTION("""COMPUTED_VALUE"""),1388.1)</f>
        <v>1388.1</v>
      </c>
      <c r="K93" s="3">
        <f t="shared" si="2"/>
        <v>0</v>
      </c>
      <c r="L93" s="3">
        <f t="shared" si="3"/>
        <v>0</v>
      </c>
    </row>
    <row r="94" customHeight="1" spans="1:12">
      <c r="A94" s="47">
        <f>IFERROR(__xludf.DUMMYFUNCTION("""COMPUTED_VALUE"""),45875.6458333333)</f>
        <v>45875.6458333333</v>
      </c>
      <c r="B94" s="48">
        <f>IFERROR(__xludf.DUMMYFUNCTION("""COMPUTED_VALUE"""),1392.8)</f>
        <v>1392.8</v>
      </c>
      <c r="C94" s="47">
        <f>IFERROR(__xludf.DUMMYFUNCTION("""COMPUTED_VALUE"""),45875.6458333333)</f>
        <v>45875.6458333333</v>
      </c>
      <c r="D94" s="48">
        <f>IFERROR(__xludf.DUMMYFUNCTION("""COMPUTED_VALUE"""),1391.9)</f>
        <v>1391.9</v>
      </c>
      <c r="E94" s="47">
        <f>IFERROR(__xludf.DUMMYFUNCTION("""COMPUTED_VALUE"""),45875.6458333333)</f>
        <v>45875.6458333333</v>
      </c>
      <c r="F94" s="48">
        <f>IFERROR(__xludf.DUMMYFUNCTION("""COMPUTED_VALUE"""),5834312)</f>
        <v>5834312</v>
      </c>
      <c r="G94" s="47">
        <f>IFERROR(__xludf.DUMMYFUNCTION("""COMPUTED_VALUE"""),45875.6458333333)</f>
        <v>45875.6458333333</v>
      </c>
      <c r="H94" s="48">
        <f>IFERROR(__xludf.DUMMYFUNCTION("""COMPUTED_VALUE"""),1395.9)</f>
        <v>1395.9</v>
      </c>
      <c r="I94" s="47">
        <f>IFERROR(__xludf.DUMMYFUNCTION("""COMPUTED_VALUE"""),45875.6458333333)</f>
        <v>45875.6458333333</v>
      </c>
      <c r="J94" s="48">
        <f>IFERROR(__xludf.DUMMYFUNCTION("""COMPUTED_VALUE"""),1383.3)</f>
        <v>1383.3</v>
      </c>
      <c r="K94" s="3">
        <f t="shared" si="2"/>
        <v>0</v>
      </c>
      <c r="L94" s="3">
        <f t="shared" si="3"/>
        <v>0</v>
      </c>
    </row>
    <row r="95" customHeight="1" spans="1:12">
      <c r="A95" s="47">
        <f>IFERROR(__xludf.DUMMYFUNCTION("""COMPUTED_VALUE"""),45876.6458333333)</f>
        <v>45876.6458333333</v>
      </c>
      <c r="B95" s="48">
        <f>IFERROR(__xludf.DUMMYFUNCTION("""COMPUTED_VALUE"""),1389.4)</f>
        <v>1389.4</v>
      </c>
      <c r="C95" s="47">
        <f>IFERROR(__xludf.DUMMYFUNCTION("""COMPUTED_VALUE"""),45876.6458333333)</f>
        <v>45876.6458333333</v>
      </c>
      <c r="D95" s="48">
        <f>IFERROR(__xludf.DUMMYFUNCTION("""COMPUTED_VALUE"""),1387.7)</f>
        <v>1387.7</v>
      </c>
      <c r="E95" s="47">
        <f>IFERROR(__xludf.DUMMYFUNCTION("""COMPUTED_VALUE"""),45876.6458333333)</f>
        <v>45876.6458333333</v>
      </c>
      <c r="F95" s="48">
        <f>IFERROR(__xludf.DUMMYFUNCTION("""COMPUTED_VALUE"""),9976705)</f>
        <v>9976705</v>
      </c>
      <c r="G95" s="47">
        <f>IFERROR(__xludf.DUMMYFUNCTION("""COMPUTED_VALUE"""),45876.6458333333)</f>
        <v>45876.6458333333</v>
      </c>
      <c r="H95" s="48">
        <f>IFERROR(__xludf.DUMMYFUNCTION("""COMPUTED_VALUE"""),1393.7)</f>
        <v>1393.7</v>
      </c>
      <c r="I95" s="47">
        <f>IFERROR(__xludf.DUMMYFUNCTION("""COMPUTED_VALUE"""),45876.6458333333)</f>
        <v>45876.6458333333</v>
      </c>
      <c r="J95" s="48">
        <f>IFERROR(__xludf.DUMMYFUNCTION("""COMPUTED_VALUE"""),1366)</f>
        <v>1366</v>
      </c>
      <c r="K95" s="3">
        <f t="shared" si="2"/>
        <v>0</v>
      </c>
      <c r="L95" s="3">
        <f t="shared" si="3"/>
        <v>0</v>
      </c>
    </row>
    <row r="96" customHeight="1" spans="1:12">
      <c r="A96" s="47">
        <f>IFERROR(__xludf.DUMMYFUNCTION("""COMPUTED_VALUE"""),45877.6458333333)</f>
        <v>45877.6458333333</v>
      </c>
      <c r="B96" s="48">
        <f>IFERROR(__xludf.DUMMYFUNCTION("""COMPUTED_VALUE"""),1367.8)</f>
        <v>1367.8</v>
      </c>
      <c r="C96" s="47">
        <f>IFERROR(__xludf.DUMMYFUNCTION("""COMPUTED_VALUE"""),45877.6458333333)</f>
        <v>45877.6458333333</v>
      </c>
      <c r="D96" s="48">
        <f>IFERROR(__xludf.DUMMYFUNCTION("""COMPUTED_VALUE"""),1385)</f>
        <v>1385</v>
      </c>
      <c r="E96" s="47">
        <f>IFERROR(__xludf.DUMMYFUNCTION("""COMPUTED_VALUE"""),45877.6458333333)</f>
        <v>45877.6458333333</v>
      </c>
      <c r="F96" s="48">
        <f>IFERROR(__xludf.DUMMYFUNCTION("""COMPUTED_VALUE"""),8793606)</f>
        <v>8793606</v>
      </c>
      <c r="G96" s="47">
        <f>IFERROR(__xludf.DUMMYFUNCTION("""COMPUTED_VALUE"""),45877.6458333333)</f>
        <v>45877.6458333333</v>
      </c>
      <c r="H96" s="48">
        <f>IFERROR(__xludf.DUMMYFUNCTION("""COMPUTED_VALUE"""),1397.2)</f>
        <v>1397.2</v>
      </c>
      <c r="I96" s="47">
        <f>IFERROR(__xludf.DUMMYFUNCTION("""COMPUTED_VALUE"""),45877.6458333333)</f>
        <v>45877.6458333333</v>
      </c>
      <c r="J96" s="48">
        <f>IFERROR(__xludf.DUMMYFUNCTION("""COMPUTED_VALUE"""),1365)</f>
        <v>1365</v>
      </c>
      <c r="K96" s="3">
        <f t="shared" si="2"/>
        <v>0</v>
      </c>
      <c r="L96" s="3">
        <f t="shared" si="3"/>
        <v>1367.8</v>
      </c>
    </row>
    <row r="97" customHeight="1" spans="1:12">
      <c r="A97" s="47">
        <f>IFERROR(__xludf.DUMMYFUNCTION("""COMPUTED_VALUE"""),45880.6458333333)</f>
        <v>45880.6458333333</v>
      </c>
      <c r="B97" s="48">
        <f>IFERROR(__xludf.DUMMYFUNCTION("""COMPUTED_VALUE"""),1386.2)</f>
        <v>1386.2</v>
      </c>
      <c r="C97" s="47">
        <f>IFERROR(__xludf.DUMMYFUNCTION("""COMPUTED_VALUE"""),45880.6458333333)</f>
        <v>45880.6458333333</v>
      </c>
      <c r="D97" s="48">
        <f>IFERROR(__xludf.DUMMYFUNCTION("""COMPUTED_VALUE"""),1370)</f>
        <v>1370</v>
      </c>
      <c r="E97" s="47">
        <f>IFERROR(__xludf.DUMMYFUNCTION("""COMPUTED_VALUE"""),45880.6458333333)</f>
        <v>45880.6458333333</v>
      </c>
      <c r="F97" s="48">
        <f>IFERROR(__xludf.DUMMYFUNCTION("""COMPUTED_VALUE"""),9997486)</f>
        <v>9997486</v>
      </c>
      <c r="G97" s="47">
        <f>IFERROR(__xludf.DUMMYFUNCTION("""COMPUTED_VALUE"""),45880.6458333333)</f>
        <v>45880.6458333333</v>
      </c>
      <c r="H97" s="48">
        <f>IFERROR(__xludf.DUMMYFUNCTION("""COMPUTED_VALUE"""),1388)</f>
        <v>1388</v>
      </c>
      <c r="I97" s="47">
        <f>IFERROR(__xludf.DUMMYFUNCTION("""COMPUTED_VALUE"""),45880.6458333333)</f>
        <v>45880.6458333333</v>
      </c>
      <c r="J97" s="48">
        <f>IFERROR(__xludf.DUMMYFUNCTION("""COMPUTED_VALUE"""),1361.2)</f>
        <v>1361.2</v>
      </c>
      <c r="K97" s="3">
        <f t="shared" si="2"/>
        <v>0</v>
      </c>
      <c r="L97" s="3">
        <f t="shared" si="3"/>
        <v>0</v>
      </c>
    </row>
    <row r="98" customHeight="1" spans="1:12">
      <c r="A98" s="47">
        <f>IFERROR(__xludf.DUMMYFUNCTION("""COMPUTED_VALUE"""),45881.6458333333)</f>
        <v>45881.6458333333</v>
      </c>
      <c r="B98" s="48">
        <f>IFERROR(__xludf.DUMMYFUNCTION("""COMPUTED_VALUE"""),1380.4)</f>
        <v>1380.4</v>
      </c>
      <c r="C98" s="47">
        <f>IFERROR(__xludf.DUMMYFUNCTION("""COMPUTED_VALUE"""),45881.6458333333)</f>
        <v>45881.6458333333</v>
      </c>
      <c r="D98" s="48">
        <f>IFERROR(__xludf.DUMMYFUNCTION("""COMPUTED_VALUE"""),1381.9)</f>
        <v>1381.9</v>
      </c>
      <c r="E98" s="47">
        <f>IFERROR(__xludf.DUMMYFUNCTION("""COMPUTED_VALUE"""),45881.6458333333)</f>
        <v>45881.6458333333</v>
      </c>
      <c r="F98" s="48">
        <f>IFERROR(__xludf.DUMMYFUNCTION("""COMPUTED_VALUE"""),12244664)</f>
        <v>12244664</v>
      </c>
      <c r="G98" s="47">
        <f>IFERROR(__xludf.DUMMYFUNCTION("""COMPUTED_VALUE"""),45881.6458333333)</f>
        <v>45881.6458333333</v>
      </c>
      <c r="H98" s="48">
        <f>IFERROR(__xludf.DUMMYFUNCTION("""COMPUTED_VALUE"""),1401.9)</f>
        <v>1401.9</v>
      </c>
      <c r="I98" s="47">
        <f>IFERROR(__xludf.DUMMYFUNCTION("""COMPUTED_VALUE"""),45881.6458333333)</f>
        <v>45881.6458333333</v>
      </c>
      <c r="J98" s="48">
        <f>IFERROR(__xludf.DUMMYFUNCTION("""COMPUTED_VALUE"""),1375.2)</f>
        <v>1375.2</v>
      </c>
      <c r="K98" s="3">
        <f t="shared" si="2"/>
        <v>0</v>
      </c>
      <c r="L98" s="3">
        <f t="shared" si="3"/>
        <v>0</v>
      </c>
    </row>
    <row r="99" customHeight="1" spans="1:12">
      <c r="A99" s="47">
        <f>IFERROR(__xludf.DUMMYFUNCTION("""COMPUTED_VALUE"""),45882.6458333333)</f>
        <v>45882.6458333333</v>
      </c>
      <c r="B99" s="48">
        <f>IFERROR(__xludf.DUMMYFUNCTION("""COMPUTED_VALUE"""),1382.6)</f>
        <v>1382.6</v>
      </c>
      <c r="C99" s="47">
        <f>IFERROR(__xludf.DUMMYFUNCTION("""COMPUTED_VALUE"""),45882.6458333333)</f>
        <v>45882.6458333333</v>
      </c>
      <c r="D99" s="48">
        <f>IFERROR(__xludf.DUMMYFUNCTION("""COMPUTED_VALUE"""),1388)</f>
        <v>1388</v>
      </c>
      <c r="E99" s="47">
        <f>IFERROR(__xludf.DUMMYFUNCTION("""COMPUTED_VALUE"""),45882.6458333333)</f>
        <v>45882.6458333333</v>
      </c>
      <c r="F99" s="48">
        <f>IFERROR(__xludf.DUMMYFUNCTION("""COMPUTED_VALUE"""),7457021)</f>
        <v>7457021</v>
      </c>
      <c r="G99" s="47">
        <f>IFERROR(__xludf.DUMMYFUNCTION("""COMPUTED_VALUE"""),45882.6458333333)</f>
        <v>45882.6458333333</v>
      </c>
      <c r="H99" s="48">
        <f>IFERROR(__xludf.DUMMYFUNCTION("""COMPUTED_VALUE"""),1391.8)</f>
        <v>1391.8</v>
      </c>
      <c r="I99" s="47">
        <f>IFERROR(__xludf.DUMMYFUNCTION("""COMPUTED_VALUE"""),45882.6458333333)</f>
        <v>45882.6458333333</v>
      </c>
      <c r="J99" s="48">
        <f>IFERROR(__xludf.DUMMYFUNCTION("""COMPUTED_VALUE"""),1377.5)</f>
        <v>1377.5</v>
      </c>
      <c r="K99" s="3">
        <f t="shared" si="2"/>
        <v>0</v>
      </c>
      <c r="L99" s="3">
        <f t="shared" si="3"/>
        <v>0</v>
      </c>
    </row>
    <row r="100" customHeight="1" spans="1:12">
      <c r="A100" s="47">
        <f>IFERROR(__xludf.DUMMYFUNCTION("""COMPUTED_VALUE"""),45883.6458333333)</f>
        <v>45883.6458333333</v>
      </c>
      <c r="B100" s="48">
        <f>IFERROR(__xludf.DUMMYFUNCTION("""COMPUTED_VALUE"""),1373.8)</f>
        <v>1373.8</v>
      </c>
      <c r="C100" s="47">
        <f>IFERROR(__xludf.DUMMYFUNCTION("""COMPUTED_VALUE"""),45883.6458333333)</f>
        <v>45883.6458333333</v>
      </c>
      <c r="D100" s="48">
        <f>IFERROR(__xludf.DUMMYFUNCTION("""COMPUTED_VALUE"""),1377.3)</f>
        <v>1377.3</v>
      </c>
      <c r="E100" s="47">
        <f>IFERROR(__xludf.DUMMYFUNCTION("""COMPUTED_VALUE"""),45883.6458333333)</f>
        <v>45883.6458333333</v>
      </c>
      <c r="F100" s="48">
        <f>IFERROR(__xludf.DUMMYFUNCTION("""COMPUTED_VALUE"""),7126128)</f>
        <v>7126128</v>
      </c>
      <c r="G100" s="47">
        <f>IFERROR(__xludf.DUMMYFUNCTION("""COMPUTED_VALUE"""),45883.6458333333)</f>
        <v>45883.6458333333</v>
      </c>
      <c r="H100" s="48">
        <f>IFERROR(__xludf.DUMMYFUNCTION("""COMPUTED_VALUE"""),1380.7)</f>
        <v>1380.7</v>
      </c>
      <c r="I100" s="47">
        <f>IFERROR(__xludf.DUMMYFUNCTION("""COMPUTED_VALUE"""),45883.6458333333)</f>
        <v>45883.6458333333</v>
      </c>
      <c r="J100" s="48">
        <f>IFERROR(__xludf.DUMMYFUNCTION("""COMPUTED_VALUE"""),1370.1)</f>
        <v>1370.1</v>
      </c>
      <c r="K100" s="3">
        <f t="shared" si="2"/>
        <v>0</v>
      </c>
      <c r="L100" s="3">
        <f t="shared" si="3"/>
        <v>0</v>
      </c>
    </row>
    <row r="101" customHeight="1" spans="1:12">
      <c r="A101" s="47">
        <f>IFERROR(__xludf.DUMMYFUNCTION("""COMPUTED_VALUE"""),45887.6458333333)</f>
        <v>45887.6458333333</v>
      </c>
      <c r="B101" s="48">
        <f>IFERROR(__xludf.DUMMYFUNCTION("""COMPUTED_VALUE"""),1381.7)</f>
        <v>1381.7</v>
      </c>
      <c r="C101" s="47">
        <f>IFERROR(__xludf.DUMMYFUNCTION("""COMPUTED_VALUE"""),45887.6458333333)</f>
        <v>45887.6458333333</v>
      </c>
      <c r="D101" s="48">
        <f>IFERROR(__xludf.DUMMYFUNCTION("""COMPUTED_VALUE"""),1390)</f>
        <v>1390</v>
      </c>
      <c r="E101" s="47">
        <f>IFERROR(__xludf.DUMMYFUNCTION("""COMPUTED_VALUE"""),45887.6458333333)</f>
        <v>45887.6458333333</v>
      </c>
      <c r="F101" s="48">
        <f>IFERROR(__xludf.DUMMYFUNCTION("""COMPUTED_VALUE"""),11785109)</f>
        <v>11785109</v>
      </c>
      <c r="G101" s="47">
        <f>IFERROR(__xludf.DUMMYFUNCTION("""COMPUTED_VALUE"""),45887.6458333333)</f>
        <v>45887.6458333333</v>
      </c>
      <c r="H101" s="48">
        <f>IFERROR(__xludf.DUMMYFUNCTION("""COMPUTED_VALUE"""),1394.9)</f>
        <v>1394.9</v>
      </c>
      <c r="I101" s="47">
        <f>IFERROR(__xludf.DUMMYFUNCTION("""COMPUTED_VALUE"""),45887.6458333333)</f>
        <v>45887.6458333333</v>
      </c>
      <c r="J101" s="48">
        <f>IFERROR(__xludf.DUMMYFUNCTION("""COMPUTED_VALUE"""),1377)</f>
        <v>1377</v>
      </c>
      <c r="K101" s="3">
        <f t="shared" si="2"/>
        <v>0</v>
      </c>
      <c r="L101" s="3">
        <f t="shared" si="3"/>
        <v>0</v>
      </c>
    </row>
    <row r="102" customHeight="1" spans="1:12">
      <c r="A102" s="47">
        <f>IFERROR(__xludf.DUMMYFUNCTION("""COMPUTED_VALUE"""),45888.6458333333)</f>
        <v>45888.6458333333</v>
      </c>
      <c r="B102" s="48">
        <f>IFERROR(__xludf.DUMMYFUNCTION("""COMPUTED_VALUE"""),1420.1)</f>
        <v>1420.1</v>
      </c>
      <c r="C102" s="47">
        <f>IFERROR(__xludf.DUMMYFUNCTION("""COMPUTED_VALUE"""),45888.6458333333)</f>
        <v>45888.6458333333</v>
      </c>
      <c r="D102" s="48">
        <f>IFERROR(__xludf.DUMMYFUNCTION("""COMPUTED_VALUE"""),1390)</f>
        <v>1390</v>
      </c>
      <c r="E102" s="47">
        <f>IFERROR(__xludf.DUMMYFUNCTION("""COMPUTED_VALUE"""),45888.6458333333)</f>
        <v>45888.6458333333</v>
      </c>
      <c r="F102" s="48">
        <f>IFERROR(__xludf.DUMMYFUNCTION("""COMPUTED_VALUE"""),14384719)</f>
        <v>14384719</v>
      </c>
      <c r="G102" s="47">
        <f>IFERROR(__xludf.DUMMYFUNCTION("""COMPUTED_VALUE"""),45888.6458333333)</f>
        <v>45888.6458333333</v>
      </c>
      <c r="H102" s="48">
        <f>IFERROR(__xludf.DUMMYFUNCTION("""COMPUTED_VALUE"""),1421)</f>
        <v>1421</v>
      </c>
      <c r="I102" s="47">
        <f>IFERROR(__xludf.DUMMYFUNCTION("""COMPUTED_VALUE"""),45888.6458333333)</f>
        <v>45888.6458333333</v>
      </c>
      <c r="J102" s="48">
        <f>IFERROR(__xludf.DUMMYFUNCTION("""COMPUTED_VALUE"""),1389.1)</f>
        <v>1389.1</v>
      </c>
      <c r="K102" s="3">
        <f t="shared" si="2"/>
        <v>0</v>
      </c>
      <c r="L102" s="3">
        <f t="shared" si="3"/>
        <v>0</v>
      </c>
    </row>
    <row r="103" customHeight="1" spans="1:12">
      <c r="A103" s="47">
        <f>IFERROR(__xludf.DUMMYFUNCTION("""COMPUTED_VALUE"""),45889.6458333333)</f>
        <v>45889.6458333333</v>
      </c>
      <c r="B103" s="48">
        <f>IFERROR(__xludf.DUMMYFUNCTION("""COMPUTED_VALUE"""),1413)</f>
        <v>1413</v>
      </c>
      <c r="C103" s="47">
        <f>IFERROR(__xludf.DUMMYFUNCTION("""COMPUTED_VALUE"""),45889.6458333333)</f>
        <v>45889.6458333333</v>
      </c>
      <c r="D103" s="48">
        <f>IFERROR(__xludf.DUMMYFUNCTION("""COMPUTED_VALUE"""),1413)</f>
        <v>1413</v>
      </c>
      <c r="E103" s="47">
        <f>IFERROR(__xludf.DUMMYFUNCTION("""COMPUTED_VALUE"""),45889.6458333333)</f>
        <v>45889.6458333333</v>
      </c>
      <c r="F103" s="48">
        <f>IFERROR(__xludf.DUMMYFUNCTION("""COMPUTED_VALUE"""),8725641)</f>
        <v>8725641</v>
      </c>
      <c r="G103" s="47">
        <f>IFERROR(__xludf.DUMMYFUNCTION("""COMPUTED_VALUE"""),45889.6458333333)</f>
        <v>45889.6458333333</v>
      </c>
      <c r="H103" s="48">
        <f>IFERROR(__xludf.DUMMYFUNCTION("""COMPUTED_VALUE"""),1424.9)</f>
        <v>1424.9</v>
      </c>
      <c r="I103" s="47">
        <f>IFERROR(__xludf.DUMMYFUNCTION("""COMPUTED_VALUE"""),45889.6458333333)</f>
        <v>45889.6458333333</v>
      </c>
      <c r="J103" s="48">
        <f>IFERROR(__xludf.DUMMYFUNCTION("""COMPUTED_VALUE"""),1410)</f>
        <v>1410</v>
      </c>
      <c r="K103" s="3">
        <f t="shared" si="2"/>
        <v>0</v>
      </c>
      <c r="L103" s="3">
        <f t="shared" si="3"/>
        <v>0</v>
      </c>
    </row>
    <row r="104" customHeight="1" spans="1:12">
      <c r="A104" s="47">
        <f>IFERROR(__xludf.DUMMYFUNCTION("""COMPUTED_VALUE"""),45890.6458333333)</f>
        <v>45890.6458333333</v>
      </c>
      <c r="B104" s="48">
        <f>IFERROR(__xludf.DUMMYFUNCTION("""COMPUTED_VALUE"""),1424.8)</f>
        <v>1424.8</v>
      </c>
      <c r="C104" s="47">
        <f>IFERROR(__xludf.DUMMYFUNCTION("""COMPUTED_VALUE"""),45890.6458333333)</f>
        <v>45890.6458333333</v>
      </c>
      <c r="D104" s="48">
        <f>IFERROR(__xludf.DUMMYFUNCTION("""COMPUTED_VALUE"""),1425)</f>
        <v>1425</v>
      </c>
      <c r="E104" s="47">
        <f>IFERROR(__xludf.DUMMYFUNCTION("""COMPUTED_VALUE"""),45890.6458333333)</f>
        <v>45890.6458333333</v>
      </c>
      <c r="F104" s="48">
        <f>IFERROR(__xludf.DUMMYFUNCTION("""COMPUTED_VALUE"""),11021323)</f>
        <v>11021323</v>
      </c>
      <c r="G104" s="47">
        <f>IFERROR(__xludf.DUMMYFUNCTION("""COMPUTED_VALUE"""),45890.6458333333)</f>
        <v>45890.6458333333</v>
      </c>
      <c r="H104" s="48">
        <f>IFERROR(__xludf.DUMMYFUNCTION("""COMPUTED_VALUE"""),1431.9)</f>
        <v>1431.9</v>
      </c>
      <c r="I104" s="47">
        <f>IFERROR(__xludf.DUMMYFUNCTION("""COMPUTED_VALUE"""),45890.6458333333)</f>
        <v>45890.6458333333</v>
      </c>
      <c r="J104" s="48">
        <f>IFERROR(__xludf.DUMMYFUNCTION("""COMPUTED_VALUE"""),1420.3)</f>
        <v>1420.3</v>
      </c>
      <c r="K104" s="3">
        <f t="shared" si="2"/>
        <v>1424.8</v>
      </c>
      <c r="L104" s="3">
        <f t="shared" si="3"/>
        <v>0</v>
      </c>
    </row>
    <row r="105" customHeight="1" spans="1:12">
      <c r="A105" s="47">
        <f>IFERROR(__xludf.DUMMYFUNCTION("""COMPUTED_VALUE"""),45891.6458333333)</f>
        <v>45891.6458333333</v>
      </c>
      <c r="B105" s="48">
        <f>IFERROR(__xludf.DUMMYFUNCTION("""COMPUTED_VALUE"""),1409.2)</f>
        <v>1409.2</v>
      </c>
      <c r="C105" s="47">
        <f>IFERROR(__xludf.DUMMYFUNCTION("""COMPUTED_VALUE"""),45891.6458333333)</f>
        <v>45891.6458333333</v>
      </c>
      <c r="D105" s="48">
        <f>IFERROR(__xludf.DUMMYFUNCTION("""COMPUTED_VALUE"""),1420)</f>
        <v>1420</v>
      </c>
      <c r="E105" s="47">
        <f>IFERROR(__xludf.DUMMYFUNCTION("""COMPUTED_VALUE"""),45891.6458333333)</f>
        <v>45891.6458333333</v>
      </c>
      <c r="F105" s="48">
        <f>IFERROR(__xludf.DUMMYFUNCTION("""COMPUTED_VALUE"""),5818868)</f>
        <v>5818868</v>
      </c>
      <c r="G105" s="47">
        <f>IFERROR(__xludf.DUMMYFUNCTION("""COMPUTED_VALUE"""),45891.6458333333)</f>
        <v>45891.6458333333</v>
      </c>
      <c r="H105" s="48">
        <f>IFERROR(__xludf.DUMMYFUNCTION("""COMPUTED_VALUE"""),1423.4)</f>
        <v>1423.4</v>
      </c>
      <c r="I105" s="47">
        <f>IFERROR(__xludf.DUMMYFUNCTION("""COMPUTED_VALUE"""),45891.6458333333)</f>
        <v>45891.6458333333</v>
      </c>
      <c r="J105" s="48">
        <f>IFERROR(__xludf.DUMMYFUNCTION("""COMPUTED_VALUE"""),1407.9)</f>
        <v>1407.9</v>
      </c>
      <c r="K105" s="3">
        <f t="shared" si="2"/>
        <v>0</v>
      </c>
      <c r="L105" s="3">
        <f t="shared" si="3"/>
        <v>0</v>
      </c>
    </row>
    <row r="106" customHeight="1" spans="1:12">
      <c r="A106" s="47">
        <f>IFERROR(__xludf.DUMMYFUNCTION("""COMPUTED_VALUE"""),45894.6458333333)</f>
        <v>45894.6458333333</v>
      </c>
      <c r="B106" s="48">
        <f>IFERROR(__xludf.DUMMYFUNCTION("""COMPUTED_VALUE"""),1412.6)</f>
        <v>1412.6</v>
      </c>
      <c r="C106" s="47">
        <f>IFERROR(__xludf.DUMMYFUNCTION("""COMPUTED_VALUE"""),45894.6458333333)</f>
        <v>45894.6458333333</v>
      </c>
      <c r="D106" s="48">
        <f>IFERROR(__xludf.DUMMYFUNCTION("""COMPUTED_VALUE"""),1414.7)</f>
        <v>1414.7</v>
      </c>
      <c r="E106" s="47">
        <f>IFERROR(__xludf.DUMMYFUNCTION("""COMPUTED_VALUE"""),45894.6458333333)</f>
        <v>45894.6458333333</v>
      </c>
      <c r="F106" s="48">
        <f>IFERROR(__xludf.DUMMYFUNCTION("""COMPUTED_VALUE"""),5979407)</f>
        <v>5979407</v>
      </c>
      <c r="G106" s="47">
        <f>IFERROR(__xludf.DUMMYFUNCTION("""COMPUTED_VALUE"""),45894.6458333333)</f>
        <v>45894.6458333333</v>
      </c>
      <c r="H106" s="48">
        <f>IFERROR(__xludf.DUMMYFUNCTION("""COMPUTED_VALUE"""),1419.5)</f>
        <v>1419.5</v>
      </c>
      <c r="I106" s="47">
        <f>IFERROR(__xludf.DUMMYFUNCTION("""COMPUTED_VALUE"""),45894.6458333333)</f>
        <v>45894.6458333333</v>
      </c>
      <c r="J106" s="48">
        <f>IFERROR(__xludf.DUMMYFUNCTION("""COMPUTED_VALUE"""),1405.7)</f>
        <v>1405.7</v>
      </c>
      <c r="K106" s="3">
        <f t="shared" si="2"/>
        <v>0</v>
      </c>
      <c r="L106" s="3">
        <f t="shared" si="3"/>
        <v>0</v>
      </c>
    </row>
    <row r="107" customHeight="1" spans="1:12">
      <c r="A107" s="47">
        <f>IFERROR(__xludf.DUMMYFUNCTION("""COMPUTED_VALUE"""),45895.6458333333)</f>
        <v>45895.6458333333</v>
      </c>
      <c r="B107" s="48">
        <f>IFERROR(__xludf.DUMMYFUNCTION("""COMPUTED_VALUE"""),1384.9)</f>
        <v>1384.9</v>
      </c>
      <c r="C107" s="47">
        <f>IFERROR(__xludf.DUMMYFUNCTION("""COMPUTED_VALUE"""),45895.6458333333)</f>
        <v>45895.6458333333</v>
      </c>
      <c r="D107" s="48">
        <f>IFERROR(__xludf.DUMMYFUNCTION("""COMPUTED_VALUE"""),1408)</f>
        <v>1408</v>
      </c>
      <c r="E107" s="47">
        <f>IFERROR(__xludf.DUMMYFUNCTION("""COMPUTED_VALUE"""),45895.6458333333)</f>
        <v>45895.6458333333</v>
      </c>
      <c r="F107" s="48">
        <f>IFERROR(__xludf.DUMMYFUNCTION("""COMPUTED_VALUE"""),12145259)</f>
        <v>12145259</v>
      </c>
      <c r="G107" s="47">
        <f>IFERROR(__xludf.DUMMYFUNCTION("""COMPUTED_VALUE"""),45895.6458333333)</f>
        <v>45895.6458333333</v>
      </c>
      <c r="H107" s="48">
        <f>IFERROR(__xludf.DUMMYFUNCTION("""COMPUTED_VALUE"""),1410)</f>
        <v>1410</v>
      </c>
      <c r="I107" s="47">
        <f>IFERROR(__xludf.DUMMYFUNCTION("""COMPUTED_VALUE"""),45895.6458333333)</f>
        <v>45895.6458333333</v>
      </c>
      <c r="J107" s="48">
        <f>IFERROR(__xludf.DUMMYFUNCTION("""COMPUTED_VALUE"""),1381.6)</f>
        <v>1381.6</v>
      </c>
      <c r="K107" s="3">
        <f t="shared" si="2"/>
        <v>0</v>
      </c>
      <c r="L107" s="3">
        <f t="shared" si="3"/>
        <v>0</v>
      </c>
    </row>
    <row r="108" customHeight="1" spans="1:12">
      <c r="A108" s="47">
        <f>IFERROR(__xludf.DUMMYFUNCTION("""COMPUTED_VALUE"""),45897.6458333333)</f>
        <v>45897.6458333333</v>
      </c>
      <c r="B108" s="48">
        <f>IFERROR(__xludf.DUMMYFUNCTION("""COMPUTED_VALUE"""),1385.9)</f>
        <v>1385.9</v>
      </c>
      <c r="C108" s="47">
        <f>IFERROR(__xludf.DUMMYFUNCTION("""COMPUTED_VALUE"""),45897.6458333333)</f>
        <v>45897.6458333333</v>
      </c>
      <c r="D108" s="48">
        <f>IFERROR(__xludf.DUMMYFUNCTION("""COMPUTED_VALUE"""),1389.9)</f>
        <v>1389.9</v>
      </c>
      <c r="E108" s="47">
        <f>IFERROR(__xludf.DUMMYFUNCTION("""COMPUTED_VALUE"""),45897.6458333333)</f>
        <v>45897.6458333333</v>
      </c>
      <c r="F108" s="48">
        <f>IFERROR(__xludf.DUMMYFUNCTION("""COMPUTED_VALUE"""),13161813)</f>
        <v>13161813</v>
      </c>
      <c r="G108" s="47">
        <f>IFERROR(__xludf.DUMMYFUNCTION("""COMPUTED_VALUE"""),45897.6458333333)</f>
        <v>45897.6458333333</v>
      </c>
      <c r="H108" s="48">
        <f>IFERROR(__xludf.DUMMYFUNCTION("""COMPUTED_VALUE"""),1392.2)</f>
        <v>1392.2</v>
      </c>
      <c r="I108" s="47">
        <f>IFERROR(__xludf.DUMMYFUNCTION("""COMPUTED_VALUE"""),45897.6458333333)</f>
        <v>45897.6458333333</v>
      </c>
      <c r="J108" s="48">
        <f>IFERROR(__xludf.DUMMYFUNCTION("""COMPUTED_VALUE"""),1366.5)</f>
        <v>1366.5</v>
      </c>
      <c r="K108" s="3">
        <f t="shared" si="2"/>
        <v>0</v>
      </c>
      <c r="L108" s="3">
        <f t="shared" si="3"/>
        <v>0</v>
      </c>
    </row>
    <row r="109" customHeight="1" spans="1:12">
      <c r="A109" s="47">
        <f>IFERROR(__xludf.DUMMYFUNCTION("""COMPUTED_VALUE"""),45898.6458333333)</f>
        <v>45898.6458333333</v>
      </c>
      <c r="B109" s="48">
        <f>IFERROR(__xludf.DUMMYFUNCTION("""COMPUTED_VALUE"""),1357.2)</f>
        <v>1357.2</v>
      </c>
      <c r="C109" s="47">
        <f>IFERROR(__xludf.DUMMYFUNCTION("""COMPUTED_VALUE"""),45898.6458333333)</f>
        <v>45898.6458333333</v>
      </c>
      <c r="D109" s="48">
        <f>IFERROR(__xludf.DUMMYFUNCTION("""COMPUTED_VALUE"""),1381.1)</f>
        <v>1381.1</v>
      </c>
      <c r="E109" s="47">
        <f>IFERROR(__xludf.DUMMYFUNCTION("""COMPUTED_VALUE"""),45898.6458333333)</f>
        <v>45898.6458333333</v>
      </c>
      <c r="F109" s="48">
        <f>IFERROR(__xludf.DUMMYFUNCTION("""COMPUTED_VALUE"""),18758842)</f>
        <v>18758842</v>
      </c>
      <c r="G109" s="47">
        <f>IFERROR(__xludf.DUMMYFUNCTION("""COMPUTED_VALUE"""),45898.6458333333)</f>
        <v>45898.6458333333</v>
      </c>
      <c r="H109" s="48">
        <f>IFERROR(__xludf.DUMMYFUNCTION("""COMPUTED_VALUE"""),1403.5)</f>
        <v>1403.5</v>
      </c>
      <c r="I109" s="47">
        <f>IFERROR(__xludf.DUMMYFUNCTION("""COMPUTED_VALUE"""),45898.6458333333)</f>
        <v>45898.6458333333</v>
      </c>
      <c r="J109" s="48">
        <f>IFERROR(__xludf.DUMMYFUNCTION("""COMPUTED_VALUE"""),1350)</f>
        <v>1350</v>
      </c>
      <c r="K109" s="3">
        <f t="shared" si="2"/>
        <v>0</v>
      </c>
      <c r="L109" s="3">
        <f t="shared" si="3"/>
        <v>0</v>
      </c>
    </row>
    <row r="110" customHeight="1" spans="1:12">
      <c r="A110" s="47">
        <f>IFERROR(__xludf.DUMMYFUNCTION("""COMPUTED_VALUE"""),45901.6458333333)</f>
        <v>45901.6458333333</v>
      </c>
      <c r="B110" s="48">
        <f>IFERROR(__xludf.DUMMYFUNCTION("""COMPUTED_VALUE"""),1353.9)</f>
        <v>1353.9</v>
      </c>
      <c r="C110" s="47">
        <f>IFERROR(__xludf.DUMMYFUNCTION("""COMPUTED_VALUE"""),45901.6458333333)</f>
        <v>45901.6458333333</v>
      </c>
      <c r="D110" s="48">
        <f>IFERROR(__xludf.DUMMYFUNCTION("""COMPUTED_VALUE"""),1356)</f>
        <v>1356</v>
      </c>
      <c r="E110" s="47">
        <f>IFERROR(__xludf.DUMMYFUNCTION("""COMPUTED_VALUE"""),45901.6458333333)</f>
        <v>45901.6458333333</v>
      </c>
      <c r="F110" s="48">
        <f>IFERROR(__xludf.DUMMYFUNCTION("""COMPUTED_VALUE"""),11232238)</f>
        <v>11232238</v>
      </c>
      <c r="G110" s="47">
        <f>IFERROR(__xludf.DUMMYFUNCTION("""COMPUTED_VALUE"""),45901.6458333333)</f>
        <v>45901.6458333333</v>
      </c>
      <c r="H110" s="48">
        <f>IFERROR(__xludf.DUMMYFUNCTION("""COMPUTED_VALUE"""),1363.2)</f>
        <v>1363.2</v>
      </c>
      <c r="I110" s="47">
        <f>IFERROR(__xludf.DUMMYFUNCTION("""COMPUTED_VALUE"""),45901.6458333333)</f>
        <v>45901.6458333333</v>
      </c>
      <c r="J110" s="48">
        <f>IFERROR(__xludf.DUMMYFUNCTION("""COMPUTED_VALUE"""),1340.6)</f>
        <v>1340.6</v>
      </c>
      <c r="K110" s="3">
        <f t="shared" si="2"/>
        <v>0</v>
      </c>
      <c r="L110" s="3">
        <f t="shared" si="3"/>
        <v>1353.9</v>
      </c>
    </row>
    <row r="111" customHeight="1" spans="1:12">
      <c r="A111" s="47">
        <f>IFERROR(__xludf.DUMMYFUNCTION("""COMPUTED_VALUE"""),45902.6458333333)</f>
        <v>45902.6458333333</v>
      </c>
      <c r="B111" s="48">
        <f>IFERROR(__xludf.DUMMYFUNCTION("""COMPUTED_VALUE"""),1366.5)</f>
        <v>1366.5</v>
      </c>
      <c r="C111" s="47">
        <f>IFERROR(__xludf.DUMMYFUNCTION("""COMPUTED_VALUE"""),45902.6458333333)</f>
        <v>45902.6458333333</v>
      </c>
      <c r="D111" s="48">
        <f>IFERROR(__xludf.DUMMYFUNCTION("""COMPUTED_VALUE"""),1354.8)</f>
        <v>1354.8</v>
      </c>
      <c r="E111" s="47">
        <f>IFERROR(__xludf.DUMMYFUNCTION("""COMPUTED_VALUE"""),45902.6458333333)</f>
        <v>45902.6458333333</v>
      </c>
      <c r="F111" s="48">
        <f>IFERROR(__xludf.DUMMYFUNCTION("""COMPUTED_VALUE"""),11517006)</f>
        <v>11517006</v>
      </c>
      <c r="G111" s="47">
        <f>IFERROR(__xludf.DUMMYFUNCTION("""COMPUTED_VALUE"""),45902.6458333333)</f>
        <v>45902.6458333333</v>
      </c>
      <c r="H111" s="48">
        <f>IFERROR(__xludf.DUMMYFUNCTION("""COMPUTED_VALUE"""),1384.5)</f>
        <v>1384.5</v>
      </c>
      <c r="I111" s="47">
        <f>IFERROR(__xludf.DUMMYFUNCTION("""COMPUTED_VALUE"""),45902.6458333333)</f>
        <v>45902.6458333333</v>
      </c>
      <c r="J111" s="48">
        <f>IFERROR(__xludf.DUMMYFUNCTION("""COMPUTED_VALUE"""),1354.5)</f>
        <v>1354.5</v>
      </c>
      <c r="K111" s="3">
        <f t="shared" si="2"/>
        <v>0</v>
      </c>
      <c r="L111" s="3">
        <f t="shared" si="3"/>
        <v>0</v>
      </c>
    </row>
    <row r="112" customHeight="1" spans="1:12">
      <c r="A112" s="47">
        <f>IFERROR(__xludf.DUMMYFUNCTION("""COMPUTED_VALUE"""),45903.6458333333)</f>
        <v>45903.6458333333</v>
      </c>
      <c r="B112" s="48">
        <f>IFERROR(__xludf.DUMMYFUNCTION("""COMPUTED_VALUE"""),1372.6)</f>
        <v>1372.6</v>
      </c>
      <c r="C112" s="47">
        <f>IFERROR(__xludf.DUMMYFUNCTION("""COMPUTED_VALUE"""),45903.6458333333)</f>
        <v>45903.6458333333</v>
      </c>
      <c r="D112" s="48">
        <f>IFERROR(__xludf.DUMMYFUNCTION("""COMPUTED_VALUE"""),1369.7)</f>
        <v>1369.7</v>
      </c>
      <c r="E112" s="47">
        <f>IFERROR(__xludf.DUMMYFUNCTION("""COMPUTED_VALUE"""),45903.6458333333)</f>
        <v>45903.6458333333</v>
      </c>
      <c r="F112" s="48">
        <f>IFERROR(__xludf.DUMMYFUNCTION("""COMPUTED_VALUE"""),7847563)</f>
        <v>7847563</v>
      </c>
      <c r="G112" s="47">
        <f>IFERROR(__xludf.DUMMYFUNCTION("""COMPUTED_VALUE"""),45903.6458333333)</f>
        <v>45903.6458333333</v>
      </c>
      <c r="H112" s="48">
        <f>IFERROR(__xludf.DUMMYFUNCTION("""COMPUTED_VALUE"""),1376.5)</f>
        <v>1376.5</v>
      </c>
      <c r="I112" s="47">
        <f>IFERROR(__xludf.DUMMYFUNCTION("""COMPUTED_VALUE"""),45903.6458333333)</f>
        <v>45903.6458333333</v>
      </c>
      <c r="J112" s="48">
        <f>IFERROR(__xludf.DUMMYFUNCTION("""COMPUTED_VALUE"""),1360.5)</f>
        <v>1360.5</v>
      </c>
      <c r="K112" s="3">
        <f t="shared" si="2"/>
        <v>0</v>
      </c>
      <c r="L112" s="3">
        <f t="shared" si="3"/>
        <v>0</v>
      </c>
    </row>
    <row r="113" customHeight="1" spans="1:12">
      <c r="A113" s="47">
        <f>IFERROR(__xludf.DUMMYFUNCTION("""COMPUTED_VALUE"""),45904.6458333333)</f>
        <v>45904.6458333333</v>
      </c>
      <c r="B113" s="48">
        <f>IFERROR(__xludf.DUMMYFUNCTION("""COMPUTED_VALUE"""),1359.3)</f>
        <v>1359.3</v>
      </c>
      <c r="C113" s="47">
        <f>IFERROR(__xludf.DUMMYFUNCTION("""COMPUTED_VALUE"""),45904.6458333333)</f>
        <v>45904.6458333333</v>
      </c>
      <c r="D113" s="48">
        <f>IFERROR(__xludf.DUMMYFUNCTION("""COMPUTED_VALUE"""),1371.8)</f>
        <v>1371.8</v>
      </c>
      <c r="E113" s="47">
        <f>IFERROR(__xludf.DUMMYFUNCTION("""COMPUTED_VALUE"""),45904.6458333333)</f>
        <v>45904.6458333333</v>
      </c>
      <c r="F113" s="48">
        <f>IFERROR(__xludf.DUMMYFUNCTION("""COMPUTED_VALUE"""),13223177)</f>
        <v>13223177</v>
      </c>
      <c r="G113" s="47">
        <f>IFERROR(__xludf.DUMMYFUNCTION("""COMPUTED_VALUE"""),45904.6458333333)</f>
        <v>45904.6458333333</v>
      </c>
      <c r="H113" s="48">
        <f>IFERROR(__xludf.DUMMYFUNCTION("""COMPUTED_VALUE"""),1374)</f>
        <v>1374</v>
      </c>
      <c r="I113" s="47">
        <f>IFERROR(__xludf.DUMMYFUNCTION("""COMPUTED_VALUE"""),45904.6458333333)</f>
        <v>45904.6458333333</v>
      </c>
      <c r="J113" s="48">
        <f>IFERROR(__xludf.DUMMYFUNCTION("""COMPUTED_VALUE"""),1357.1)</f>
        <v>1357.1</v>
      </c>
      <c r="K113" s="3">
        <f t="shared" si="2"/>
        <v>0</v>
      </c>
      <c r="L113" s="3">
        <f t="shared" si="3"/>
        <v>0</v>
      </c>
    </row>
    <row r="114" customHeight="1" spans="1:12">
      <c r="A114" s="47">
        <f>IFERROR(__xludf.DUMMYFUNCTION("""COMPUTED_VALUE"""),45905.6458333333)</f>
        <v>45905.6458333333</v>
      </c>
      <c r="B114" s="48">
        <f>IFERROR(__xludf.DUMMYFUNCTION("""COMPUTED_VALUE"""),1375)</f>
        <v>1375</v>
      </c>
      <c r="C114" s="47">
        <f>IFERROR(__xludf.DUMMYFUNCTION("""COMPUTED_VALUE"""),45905.6458333333)</f>
        <v>45905.6458333333</v>
      </c>
      <c r="D114" s="48">
        <f>IFERROR(__xludf.DUMMYFUNCTION("""COMPUTED_VALUE"""),1363)</f>
        <v>1363</v>
      </c>
      <c r="E114" s="47">
        <f>IFERROR(__xludf.DUMMYFUNCTION("""COMPUTED_VALUE"""),45905.6458333333)</f>
        <v>45905.6458333333</v>
      </c>
      <c r="F114" s="48">
        <f>IFERROR(__xludf.DUMMYFUNCTION("""COMPUTED_VALUE"""),5777575)</f>
        <v>5777575</v>
      </c>
      <c r="G114" s="47">
        <f>IFERROR(__xludf.DUMMYFUNCTION("""COMPUTED_VALUE"""),45905.6458333333)</f>
        <v>45905.6458333333</v>
      </c>
      <c r="H114" s="48">
        <f>IFERROR(__xludf.DUMMYFUNCTION("""COMPUTED_VALUE"""),1381)</f>
        <v>1381</v>
      </c>
      <c r="I114" s="47">
        <f>IFERROR(__xludf.DUMMYFUNCTION("""COMPUTED_VALUE"""),45905.6458333333)</f>
        <v>45905.6458333333</v>
      </c>
      <c r="J114" s="48">
        <f>IFERROR(__xludf.DUMMYFUNCTION("""COMPUTED_VALUE"""),1359.3)</f>
        <v>1359.3</v>
      </c>
      <c r="K114" s="3">
        <f t="shared" si="2"/>
        <v>0</v>
      </c>
      <c r="L114" s="3">
        <f t="shared" si="3"/>
        <v>0</v>
      </c>
    </row>
    <row r="115" customHeight="1" spans="1:12">
      <c r="A115" s="47">
        <f>IFERROR(__xludf.DUMMYFUNCTION("""COMPUTED_VALUE"""),45908.6458333333)</f>
        <v>45908.6458333333</v>
      </c>
      <c r="B115" s="48">
        <f>IFERROR(__xludf.DUMMYFUNCTION("""COMPUTED_VALUE"""),1378.5)</f>
        <v>1378.5</v>
      </c>
      <c r="C115" s="47">
        <f>IFERROR(__xludf.DUMMYFUNCTION("""COMPUTED_VALUE"""),45908.6458333333)</f>
        <v>45908.6458333333</v>
      </c>
      <c r="D115" s="48">
        <f>IFERROR(__xludf.DUMMYFUNCTION("""COMPUTED_VALUE"""),1380)</f>
        <v>1380</v>
      </c>
      <c r="E115" s="47">
        <f>IFERROR(__xludf.DUMMYFUNCTION("""COMPUTED_VALUE"""),45908.6458333333)</f>
        <v>45908.6458333333</v>
      </c>
      <c r="F115" s="48">
        <f>IFERROR(__xludf.DUMMYFUNCTION("""COMPUTED_VALUE"""),6986720)</f>
        <v>6986720</v>
      </c>
      <c r="G115" s="47">
        <f>IFERROR(__xludf.DUMMYFUNCTION("""COMPUTED_VALUE"""),45908.6458333333)</f>
        <v>45908.6458333333</v>
      </c>
      <c r="H115" s="48">
        <f>IFERROR(__xludf.DUMMYFUNCTION("""COMPUTED_VALUE"""),1386)</f>
        <v>1386</v>
      </c>
      <c r="I115" s="47">
        <f>IFERROR(__xludf.DUMMYFUNCTION("""COMPUTED_VALUE"""),45908.6458333333)</f>
        <v>45908.6458333333</v>
      </c>
      <c r="J115" s="48">
        <f>IFERROR(__xludf.DUMMYFUNCTION("""COMPUTED_VALUE"""),1372.4)</f>
        <v>1372.4</v>
      </c>
      <c r="K115" s="3">
        <f t="shared" si="2"/>
        <v>0</v>
      </c>
      <c r="L115" s="3">
        <f t="shared" si="3"/>
        <v>0</v>
      </c>
    </row>
    <row r="116" customHeight="1" spans="1:12">
      <c r="A116" s="47">
        <f>IFERROR(__xludf.DUMMYFUNCTION("""COMPUTED_VALUE"""),45909.6458333333)</f>
        <v>45909.6458333333</v>
      </c>
      <c r="B116" s="48">
        <f>IFERROR(__xludf.DUMMYFUNCTION("""COMPUTED_VALUE"""),1376.2)</f>
        <v>1376.2</v>
      </c>
      <c r="C116" s="47">
        <f>IFERROR(__xludf.DUMMYFUNCTION("""COMPUTED_VALUE"""),45909.6458333333)</f>
        <v>45909.6458333333</v>
      </c>
      <c r="D116" s="48">
        <f>IFERROR(__xludf.DUMMYFUNCTION("""COMPUTED_VALUE"""),1376.6)</f>
        <v>1376.6</v>
      </c>
      <c r="E116" s="47">
        <f>IFERROR(__xludf.DUMMYFUNCTION("""COMPUTED_VALUE"""),45909.6458333333)</f>
        <v>45909.6458333333</v>
      </c>
      <c r="F116" s="48">
        <f>IFERROR(__xludf.DUMMYFUNCTION("""COMPUTED_VALUE"""),9754452)</f>
        <v>9754452</v>
      </c>
      <c r="G116" s="47">
        <f>IFERROR(__xludf.DUMMYFUNCTION("""COMPUTED_VALUE"""),45909.6458333333)</f>
        <v>45909.6458333333</v>
      </c>
      <c r="H116" s="48">
        <f>IFERROR(__xludf.DUMMYFUNCTION("""COMPUTED_VALUE"""),1381.2)</f>
        <v>1381.2</v>
      </c>
      <c r="I116" s="47">
        <f>IFERROR(__xludf.DUMMYFUNCTION("""COMPUTED_VALUE"""),45909.6458333333)</f>
        <v>45909.6458333333</v>
      </c>
      <c r="J116" s="48">
        <f>IFERROR(__xludf.DUMMYFUNCTION("""COMPUTED_VALUE"""),1368.7)</f>
        <v>1368.7</v>
      </c>
      <c r="K116" s="3">
        <f t="shared" si="2"/>
        <v>0</v>
      </c>
      <c r="L116" s="3">
        <f t="shared" si="3"/>
        <v>0</v>
      </c>
    </row>
    <row r="117" customHeight="1" spans="1:12">
      <c r="A117" s="47">
        <f>IFERROR(__xludf.DUMMYFUNCTION("""COMPUTED_VALUE"""),45910.6458333333)</f>
        <v>45910.6458333333</v>
      </c>
      <c r="B117" s="48">
        <f>IFERROR(__xludf.DUMMYFUNCTION("""COMPUTED_VALUE"""),1377)</f>
        <v>1377</v>
      </c>
      <c r="C117" s="47">
        <f>IFERROR(__xludf.DUMMYFUNCTION("""COMPUTED_VALUE"""),45910.6458333333)</f>
        <v>45910.6458333333</v>
      </c>
      <c r="D117" s="48">
        <f>IFERROR(__xludf.DUMMYFUNCTION("""COMPUTED_VALUE"""),1383.9)</f>
        <v>1383.9</v>
      </c>
      <c r="E117" s="47">
        <f>IFERROR(__xludf.DUMMYFUNCTION("""COMPUTED_VALUE"""),45910.6458333333)</f>
        <v>45910.6458333333</v>
      </c>
      <c r="F117" s="48">
        <f>IFERROR(__xludf.DUMMYFUNCTION("""COMPUTED_VALUE"""),7790815)</f>
        <v>7790815</v>
      </c>
      <c r="G117" s="47">
        <f>IFERROR(__xludf.DUMMYFUNCTION("""COMPUTED_VALUE"""),45910.6458333333)</f>
        <v>45910.6458333333</v>
      </c>
      <c r="H117" s="48">
        <f>IFERROR(__xludf.DUMMYFUNCTION("""COMPUTED_VALUE"""),1388.5)</f>
        <v>1388.5</v>
      </c>
      <c r="I117" s="47">
        <f>IFERROR(__xludf.DUMMYFUNCTION("""COMPUTED_VALUE"""),45910.6458333333)</f>
        <v>45910.6458333333</v>
      </c>
      <c r="J117" s="48">
        <f>IFERROR(__xludf.DUMMYFUNCTION("""COMPUTED_VALUE"""),1374.1)</f>
        <v>1374.1</v>
      </c>
      <c r="K117" s="3">
        <f t="shared" si="2"/>
        <v>0</v>
      </c>
      <c r="L117" s="3">
        <f t="shared" si="3"/>
        <v>0</v>
      </c>
    </row>
    <row r="118" customHeight="1" spans="1:12">
      <c r="A118" s="47">
        <f>IFERROR(__xludf.DUMMYFUNCTION("""COMPUTED_VALUE"""),45911.6458333333)</f>
        <v>45911.6458333333</v>
      </c>
      <c r="B118" s="48">
        <f>IFERROR(__xludf.DUMMYFUNCTION("""COMPUTED_VALUE"""),1383.3)</f>
        <v>1383.3</v>
      </c>
      <c r="C118" s="47">
        <f>IFERROR(__xludf.DUMMYFUNCTION("""COMPUTED_VALUE"""),45911.6458333333)</f>
        <v>45911.6458333333</v>
      </c>
      <c r="D118" s="48">
        <f>IFERROR(__xludf.DUMMYFUNCTION("""COMPUTED_VALUE"""),1376)</f>
        <v>1376</v>
      </c>
      <c r="E118" s="47">
        <f>IFERROR(__xludf.DUMMYFUNCTION("""COMPUTED_VALUE"""),45911.6458333333)</f>
        <v>45911.6458333333</v>
      </c>
      <c r="F118" s="48">
        <f>IFERROR(__xludf.DUMMYFUNCTION("""COMPUTED_VALUE"""),9766072)</f>
        <v>9766072</v>
      </c>
      <c r="G118" s="47">
        <f>IFERROR(__xludf.DUMMYFUNCTION("""COMPUTED_VALUE"""),45911.6458333333)</f>
        <v>45911.6458333333</v>
      </c>
      <c r="H118" s="48">
        <f>IFERROR(__xludf.DUMMYFUNCTION("""COMPUTED_VALUE"""),1385.5)</f>
        <v>1385.5</v>
      </c>
      <c r="I118" s="47">
        <f>IFERROR(__xludf.DUMMYFUNCTION("""COMPUTED_VALUE"""),45911.6458333333)</f>
        <v>45911.6458333333</v>
      </c>
      <c r="J118" s="48">
        <f>IFERROR(__xludf.DUMMYFUNCTION("""COMPUTED_VALUE"""),1375)</f>
        <v>1375</v>
      </c>
      <c r="K118" s="3">
        <f t="shared" si="2"/>
        <v>0</v>
      </c>
      <c r="L118" s="3">
        <f t="shared" si="3"/>
        <v>0</v>
      </c>
    </row>
    <row r="119" customHeight="1" spans="1:12">
      <c r="A119" s="47">
        <f>IFERROR(__xludf.DUMMYFUNCTION("""COMPUTED_VALUE"""),45912.6458333333)</f>
        <v>45912.6458333333</v>
      </c>
      <c r="B119" s="48">
        <f>IFERROR(__xludf.DUMMYFUNCTION("""COMPUTED_VALUE"""),1395)</f>
        <v>1395</v>
      </c>
      <c r="C119" s="47">
        <f>IFERROR(__xludf.DUMMYFUNCTION("""COMPUTED_VALUE"""),45912.6458333333)</f>
        <v>45912.6458333333</v>
      </c>
      <c r="D119" s="48">
        <f>IFERROR(__xludf.DUMMYFUNCTION("""COMPUTED_VALUE"""),1383.3)</f>
        <v>1383.3</v>
      </c>
      <c r="E119" s="47">
        <f>IFERROR(__xludf.DUMMYFUNCTION("""COMPUTED_VALUE"""),45912.6458333333)</f>
        <v>45912.6458333333</v>
      </c>
      <c r="F119" s="48">
        <f>IFERROR(__xludf.DUMMYFUNCTION("""COMPUTED_VALUE"""),7403368)</f>
        <v>7403368</v>
      </c>
      <c r="G119" s="47">
        <f>IFERROR(__xludf.DUMMYFUNCTION("""COMPUTED_VALUE"""),45912.6458333333)</f>
        <v>45912.6458333333</v>
      </c>
      <c r="H119" s="48">
        <f>IFERROR(__xludf.DUMMYFUNCTION("""COMPUTED_VALUE"""),1396.3)</f>
        <v>1396.3</v>
      </c>
      <c r="I119" s="47">
        <f>IFERROR(__xludf.DUMMYFUNCTION("""COMPUTED_VALUE"""),45912.6458333333)</f>
        <v>45912.6458333333</v>
      </c>
      <c r="J119" s="48">
        <f>IFERROR(__xludf.DUMMYFUNCTION("""COMPUTED_VALUE"""),1380.5)</f>
        <v>1380.5</v>
      </c>
      <c r="K119" s="3">
        <f t="shared" si="2"/>
        <v>0</v>
      </c>
      <c r="L119" s="3">
        <f t="shared" si="3"/>
        <v>0</v>
      </c>
    </row>
    <row r="120" customHeight="1" spans="1:12">
      <c r="A120" s="47">
        <f>IFERROR(__xludf.DUMMYFUNCTION("""COMPUTED_VALUE"""),45915.6458333333)</f>
        <v>45915.6458333333</v>
      </c>
      <c r="B120" s="48">
        <f>IFERROR(__xludf.DUMMYFUNCTION("""COMPUTED_VALUE"""),1399.3)</f>
        <v>1399.3</v>
      </c>
      <c r="C120" s="47">
        <f>IFERROR(__xludf.DUMMYFUNCTION("""COMPUTED_VALUE"""),45915.6458333333)</f>
        <v>45915.6458333333</v>
      </c>
      <c r="D120" s="48">
        <f>IFERROR(__xludf.DUMMYFUNCTION("""COMPUTED_VALUE"""),1393)</f>
        <v>1393</v>
      </c>
      <c r="E120" s="47">
        <f>IFERROR(__xludf.DUMMYFUNCTION("""COMPUTED_VALUE"""),45915.6458333333)</f>
        <v>45915.6458333333</v>
      </c>
      <c r="F120" s="48">
        <f>IFERROR(__xludf.DUMMYFUNCTION("""COMPUTED_VALUE"""),5396697)</f>
        <v>5396697</v>
      </c>
      <c r="G120" s="47">
        <f>IFERROR(__xludf.DUMMYFUNCTION("""COMPUTED_VALUE"""),45915.6458333333)</f>
        <v>45915.6458333333</v>
      </c>
      <c r="H120" s="48">
        <f>IFERROR(__xludf.DUMMYFUNCTION("""COMPUTED_VALUE"""),1400.8)</f>
        <v>1400.8</v>
      </c>
      <c r="I120" s="47">
        <f>IFERROR(__xludf.DUMMYFUNCTION("""COMPUTED_VALUE"""),45915.6458333333)</f>
        <v>45915.6458333333</v>
      </c>
      <c r="J120" s="48">
        <f>IFERROR(__xludf.DUMMYFUNCTION("""COMPUTED_VALUE"""),1388.6)</f>
        <v>1388.6</v>
      </c>
      <c r="K120" s="3">
        <f t="shared" si="2"/>
        <v>0</v>
      </c>
      <c r="L120" s="3">
        <f t="shared" si="3"/>
        <v>0</v>
      </c>
    </row>
    <row r="121" customHeight="1" spans="1:12">
      <c r="A121" s="47">
        <f>IFERROR(__xludf.DUMMYFUNCTION("""COMPUTED_VALUE"""),45916.6458333333)</f>
        <v>45916.6458333333</v>
      </c>
      <c r="B121" s="48">
        <f>IFERROR(__xludf.DUMMYFUNCTION("""COMPUTED_VALUE"""),1405.3)</f>
        <v>1405.3</v>
      </c>
      <c r="C121" s="47">
        <f>IFERROR(__xludf.DUMMYFUNCTION("""COMPUTED_VALUE"""),45916.6458333333)</f>
        <v>45916.6458333333</v>
      </c>
      <c r="D121" s="48">
        <f>IFERROR(__xludf.DUMMYFUNCTION("""COMPUTED_VALUE"""),1404.7)</f>
        <v>1404.7</v>
      </c>
      <c r="E121" s="47">
        <f>IFERROR(__xludf.DUMMYFUNCTION("""COMPUTED_VALUE"""),45916.6458333333)</f>
        <v>45916.6458333333</v>
      </c>
      <c r="F121" s="48">
        <f>IFERROR(__xludf.DUMMYFUNCTION("""COMPUTED_VALUE"""),8686961)</f>
        <v>8686961</v>
      </c>
      <c r="G121" s="47">
        <f>IFERROR(__xludf.DUMMYFUNCTION("""COMPUTED_VALUE"""),45916.6458333333)</f>
        <v>45916.6458333333</v>
      </c>
      <c r="H121" s="48">
        <f>IFERROR(__xludf.DUMMYFUNCTION("""COMPUTED_VALUE"""),1408)</f>
        <v>1408</v>
      </c>
      <c r="I121" s="47">
        <f>IFERROR(__xludf.DUMMYFUNCTION("""COMPUTED_VALUE"""),45916.6458333333)</f>
        <v>45916.6458333333</v>
      </c>
      <c r="J121" s="48">
        <f>IFERROR(__xludf.DUMMYFUNCTION("""COMPUTED_VALUE"""),1398.2)</f>
        <v>1398.2</v>
      </c>
      <c r="K121" s="3">
        <f t="shared" si="2"/>
        <v>0</v>
      </c>
      <c r="L121" s="3">
        <f t="shared" si="3"/>
        <v>0</v>
      </c>
    </row>
    <row r="122" customHeight="1" spans="1:12">
      <c r="A122" s="47">
        <f>IFERROR(__xludf.DUMMYFUNCTION("""COMPUTED_VALUE"""),45917.6458333333)</f>
        <v>45917.6458333333</v>
      </c>
      <c r="B122" s="48">
        <f>IFERROR(__xludf.DUMMYFUNCTION("""COMPUTED_VALUE"""),1413.8)</f>
        <v>1413.8</v>
      </c>
      <c r="C122" s="47">
        <f>IFERROR(__xludf.DUMMYFUNCTION("""COMPUTED_VALUE"""),45917.6458333333)</f>
        <v>45917.6458333333</v>
      </c>
      <c r="D122" s="48">
        <f>IFERROR(__xludf.DUMMYFUNCTION("""COMPUTED_VALUE"""),1407)</f>
        <v>1407</v>
      </c>
      <c r="E122" s="47">
        <f>IFERROR(__xludf.DUMMYFUNCTION("""COMPUTED_VALUE"""),45917.6458333333)</f>
        <v>45917.6458333333</v>
      </c>
      <c r="F122" s="48">
        <f>IFERROR(__xludf.DUMMYFUNCTION("""COMPUTED_VALUE"""),7519417)</f>
        <v>7519417</v>
      </c>
      <c r="G122" s="47">
        <f>IFERROR(__xludf.DUMMYFUNCTION("""COMPUTED_VALUE"""),45917.6458333333)</f>
        <v>45917.6458333333</v>
      </c>
      <c r="H122" s="48">
        <f>IFERROR(__xludf.DUMMYFUNCTION("""COMPUTED_VALUE"""),1416.2)</f>
        <v>1416.2</v>
      </c>
      <c r="I122" s="47">
        <f>IFERROR(__xludf.DUMMYFUNCTION("""COMPUTED_VALUE"""),45917.6458333333)</f>
        <v>45917.6458333333</v>
      </c>
      <c r="J122" s="48">
        <f>IFERROR(__xludf.DUMMYFUNCTION("""COMPUTED_VALUE"""),1406.9)</f>
        <v>1406.9</v>
      </c>
      <c r="K122" s="3">
        <f t="shared" si="2"/>
        <v>0</v>
      </c>
      <c r="L122" s="3">
        <f t="shared" si="3"/>
        <v>0</v>
      </c>
    </row>
    <row r="123" customHeight="1" spans="1:12">
      <c r="A123" s="47">
        <f>IFERROR(__xludf.DUMMYFUNCTION("""COMPUTED_VALUE"""),45918.6458333333)</f>
        <v>45918.6458333333</v>
      </c>
      <c r="B123" s="48">
        <f>IFERROR(__xludf.DUMMYFUNCTION("""COMPUTED_VALUE"""),1415)</f>
        <v>1415</v>
      </c>
      <c r="C123" s="47">
        <f>IFERROR(__xludf.DUMMYFUNCTION("""COMPUTED_VALUE"""),45918.6458333333)</f>
        <v>45918.6458333333</v>
      </c>
      <c r="D123" s="48">
        <f>IFERROR(__xludf.DUMMYFUNCTION("""COMPUTED_VALUE"""),1420.4)</f>
        <v>1420.4</v>
      </c>
      <c r="E123" s="47">
        <f>IFERROR(__xludf.DUMMYFUNCTION("""COMPUTED_VALUE"""),45918.6458333333)</f>
        <v>45918.6458333333</v>
      </c>
      <c r="F123" s="48">
        <f>IFERROR(__xludf.DUMMYFUNCTION("""COMPUTED_VALUE"""),9332642)</f>
        <v>9332642</v>
      </c>
      <c r="G123" s="47">
        <f>IFERROR(__xludf.DUMMYFUNCTION("""COMPUTED_VALUE"""),45918.6458333333)</f>
        <v>45918.6458333333</v>
      </c>
      <c r="H123" s="48">
        <f>IFERROR(__xludf.DUMMYFUNCTION("""COMPUTED_VALUE"""),1422)</f>
        <v>1422</v>
      </c>
      <c r="I123" s="47">
        <f>IFERROR(__xludf.DUMMYFUNCTION("""COMPUTED_VALUE"""),45918.6458333333)</f>
        <v>45918.6458333333</v>
      </c>
      <c r="J123" s="48">
        <f>IFERROR(__xludf.DUMMYFUNCTION("""COMPUTED_VALUE"""),1410.7)</f>
        <v>1410.7</v>
      </c>
      <c r="K123" s="3">
        <f t="shared" si="2"/>
        <v>1415</v>
      </c>
      <c r="L123" s="3">
        <f t="shared" si="3"/>
        <v>0</v>
      </c>
    </row>
    <row r="124" customHeight="1" spans="1:12">
      <c r="A124" s="47">
        <f>IFERROR(__xludf.DUMMYFUNCTION("""COMPUTED_VALUE"""),45919.6458333333)</f>
        <v>45919.6458333333</v>
      </c>
      <c r="B124" s="48">
        <f>IFERROR(__xludf.DUMMYFUNCTION("""COMPUTED_VALUE"""),1407.4)</f>
        <v>1407.4</v>
      </c>
      <c r="C124" s="47">
        <f>IFERROR(__xludf.DUMMYFUNCTION("""COMPUTED_VALUE"""),45919.6458333333)</f>
        <v>45919.6458333333</v>
      </c>
      <c r="D124" s="48">
        <f>IFERROR(__xludf.DUMMYFUNCTION("""COMPUTED_VALUE"""),1414.9)</f>
        <v>1414.9</v>
      </c>
      <c r="E124" s="47">
        <f>IFERROR(__xludf.DUMMYFUNCTION("""COMPUTED_VALUE"""),45919.6458333333)</f>
        <v>45919.6458333333</v>
      </c>
      <c r="F124" s="48">
        <f>IFERROR(__xludf.DUMMYFUNCTION("""COMPUTED_VALUE"""),13461373)</f>
        <v>13461373</v>
      </c>
      <c r="G124" s="47">
        <f>IFERROR(__xludf.DUMMYFUNCTION("""COMPUTED_VALUE"""),45919.6458333333)</f>
        <v>45919.6458333333</v>
      </c>
      <c r="H124" s="48">
        <f>IFERROR(__xludf.DUMMYFUNCTION("""COMPUTED_VALUE"""),1417)</f>
        <v>1417</v>
      </c>
      <c r="I124" s="47">
        <f>IFERROR(__xludf.DUMMYFUNCTION("""COMPUTED_VALUE"""),45919.6458333333)</f>
        <v>45919.6458333333</v>
      </c>
      <c r="J124" s="48">
        <f>IFERROR(__xludf.DUMMYFUNCTION("""COMPUTED_VALUE"""),1403.6)</f>
        <v>1403.6</v>
      </c>
      <c r="K124" s="3">
        <f t="shared" si="2"/>
        <v>0</v>
      </c>
      <c r="L124" s="3">
        <f t="shared" si="3"/>
        <v>0</v>
      </c>
    </row>
    <row r="125" customHeight="1" spans="1:12">
      <c r="A125" s="47">
        <f>IFERROR(__xludf.DUMMYFUNCTION("""COMPUTED_VALUE"""),45922.6458333333)</f>
        <v>45922.6458333333</v>
      </c>
      <c r="B125" s="48">
        <f>IFERROR(__xludf.DUMMYFUNCTION("""COMPUTED_VALUE"""),1390.6)</f>
        <v>1390.6</v>
      </c>
      <c r="C125" s="47">
        <f>IFERROR(__xludf.DUMMYFUNCTION("""COMPUTED_VALUE"""),45922.6458333333)</f>
        <v>45922.6458333333</v>
      </c>
      <c r="D125" s="48">
        <f>IFERROR(__xludf.DUMMYFUNCTION("""COMPUTED_VALUE"""),1403.9)</f>
        <v>1403.9</v>
      </c>
      <c r="E125" s="47">
        <f>IFERROR(__xludf.DUMMYFUNCTION("""COMPUTED_VALUE"""),45922.6458333333)</f>
        <v>45922.6458333333</v>
      </c>
      <c r="F125" s="48">
        <f>IFERROR(__xludf.DUMMYFUNCTION("""COMPUTED_VALUE"""),7757970)</f>
        <v>7757970</v>
      </c>
      <c r="G125" s="47">
        <f>IFERROR(__xludf.DUMMYFUNCTION("""COMPUTED_VALUE"""),45922.6458333333)</f>
        <v>45922.6458333333</v>
      </c>
      <c r="H125" s="48">
        <f>IFERROR(__xludf.DUMMYFUNCTION("""COMPUTED_VALUE"""),1410.7)</f>
        <v>1410.7</v>
      </c>
      <c r="I125" s="47">
        <f>IFERROR(__xludf.DUMMYFUNCTION("""COMPUTED_VALUE"""),45922.6458333333)</f>
        <v>45922.6458333333</v>
      </c>
      <c r="J125" s="48">
        <f>IFERROR(__xludf.DUMMYFUNCTION("""COMPUTED_VALUE"""),1388)</f>
        <v>1388</v>
      </c>
      <c r="K125" s="3">
        <f t="shared" si="2"/>
        <v>0</v>
      </c>
      <c r="L125" s="3">
        <f t="shared" si="3"/>
        <v>0</v>
      </c>
    </row>
    <row r="126" customHeight="1" spans="1:10">
      <c r="A126" s="47">
        <f>IFERROR(__xludf.DUMMYFUNCTION("""COMPUTED_VALUE"""),45923.6458333333)</f>
        <v>45923.6458333333</v>
      </c>
      <c r="B126" s="48">
        <f>IFERROR(__xludf.DUMMYFUNCTION("""COMPUTED_VALUE"""),1389.8)</f>
        <v>1389.8</v>
      </c>
      <c r="C126" s="47">
        <f>IFERROR(__xludf.DUMMYFUNCTION("""COMPUTED_VALUE"""),45923.6458333333)</f>
        <v>45923.6458333333</v>
      </c>
      <c r="D126" s="48">
        <f>IFERROR(__xludf.DUMMYFUNCTION("""COMPUTED_VALUE"""),1391)</f>
        <v>1391</v>
      </c>
      <c r="E126" s="47">
        <f>IFERROR(__xludf.DUMMYFUNCTION("""COMPUTED_VALUE"""),45923.6458333333)</f>
        <v>45923.6458333333</v>
      </c>
      <c r="F126" s="48">
        <f>IFERROR(__xludf.DUMMYFUNCTION("""COMPUTED_VALUE"""),14014702)</f>
        <v>14014702</v>
      </c>
      <c r="G126" s="47">
        <f>IFERROR(__xludf.DUMMYFUNCTION("""COMPUTED_VALUE"""),45923.6458333333)</f>
        <v>45923.6458333333</v>
      </c>
      <c r="H126" s="48">
        <f>IFERROR(__xludf.DUMMYFUNCTION("""COMPUTED_VALUE"""),1395)</f>
        <v>1395</v>
      </c>
      <c r="I126" s="47">
        <f>IFERROR(__xludf.DUMMYFUNCTION("""COMPUTED_VALUE"""),45923.6458333333)</f>
        <v>45923.6458333333</v>
      </c>
      <c r="J126" s="48">
        <f>IFERROR(__xludf.DUMMYFUNCTION("""COMPUTED_VALUE"""),1376.8)</f>
        <v>1376.8</v>
      </c>
    </row>
    <row r="127" customHeight="1" spans="1:10">
      <c r="A127" s="47">
        <f>IFERROR(__xludf.DUMMYFUNCTION("""COMPUTED_VALUE"""),45924.6458333333)</f>
        <v>45924.6458333333</v>
      </c>
      <c r="B127" s="48">
        <f>IFERROR(__xludf.DUMMYFUNCTION("""COMPUTED_VALUE"""),1383)</f>
        <v>1383</v>
      </c>
      <c r="C127" s="47">
        <f>IFERROR(__xludf.DUMMYFUNCTION("""COMPUTED_VALUE"""),45924.6458333333)</f>
        <v>45924.6458333333</v>
      </c>
      <c r="D127" s="48">
        <f>IFERROR(__xludf.DUMMYFUNCTION("""COMPUTED_VALUE"""),1385.3)</f>
        <v>1385.3</v>
      </c>
      <c r="E127" s="47">
        <f>IFERROR(__xludf.DUMMYFUNCTION("""COMPUTED_VALUE"""),45924.6458333333)</f>
        <v>45924.6458333333</v>
      </c>
      <c r="F127" s="48">
        <f>IFERROR(__xludf.DUMMYFUNCTION("""COMPUTED_VALUE"""),5922759)</f>
        <v>5922759</v>
      </c>
      <c r="G127" s="47">
        <f>IFERROR(__xludf.DUMMYFUNCTION("""COMPUTED_VALUE"""),45924.6458333333)</f>
        <v>45924.6458333333</v>
      </c>
      <c r="H127" s="48">
        <f>IFERROR(__xludf.DUMMYFUNCTION("""COMPUTED_VALUE"""),1396)</f>
        <v>1396</v>
      </c>
      <c r="I127" s="47">
        <f>IFERROR(__xludf.DUMMYFUNCTION("""COMPUTED_VALUE"""),45924.6458333333)</f>
        <v>45924.6458333333</v>
      </c>
      <c r="J127" s="48">
        <f>IFERROR(__xludf.DUMMYFUNCTION("""COMPUTED_VALUE"""),1380.4)</f>
        <v>1380.4</v>
      </c>
    </row>
    <row r="128" customHeight="1" spans="1:10">
      <c r="A128" s="47">
        <f>IFERROR(__xludf.DUMMYFUNCTION("""COMPUTED_VALUE"""),45925.6458333333)</f>
        <v>45925.6458333333</v>
      </c>
      <c r="B128" s="48">
        <f>IFERROR(__xludf.DUMMYFUNCTION("""COMPUTED_VALUE"""),1372.4)</f>
        <v>1372.4</v>
      </c>
      <c r="C128" s="47">
        <f>IFERROR(__xludf.DUMMYFUNCTION("""COMPUTED_VALUE"""),45925.6458333333)</f>
        <v>45925.6458333333</v>
      </c>
      <c r="D128" s="48">
        <f>IFERROR(__xludf.DUMMYFUNCTION("""COMPUTED_VALUE"""),1381.3)</f>
        <v>1381.3</v>
      </c>
      <c r="E128" s="47">
        <f>IFERROR(__xludf.DUMMYFUNCTION("""COMPUTED_VALUE"""),45925.6458333333)</f>
        <v>45925.6458333333</v>
      </c>
      <c r="F128" s="48">
        <f>IFERROR(__xludf.DUMMYFUNCTION("""COMPUTED_VALUE"""),11411143)</f>
        <v>11411143</v>
      </c>
      <c r="G128" s="47">
        <f>IFERROR(__xludf.DUMMYFUNCTION("""COMPUTED_VALUE"""),45925.6458333333)</f>
        <v>45925.6458333333</v>
      </c>
      <c r="H128" s="48">
        <f>IFERROR(__xludf.DUMMYFUNCTION("""COMPUTED_VALUE"""),1384.5)</f>
        <v>1384.5</v>
      </c>
      <c r="I128" s="47">
        <f>IFERROR(__xludf.DUMMYFUNCTION("""COMPUTED_VALUE"""),45925.6458333333)</f>
        <v>45925.6458333333</v>
      </c>
      <c r="J128" s="48">
        <f>IFERROR(__xludf.DUMMYFUNCTION("""COMPUTED_VALUE"""),1369)</f>
        <v>1369</v>
      </c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IFERROR(__xludf.DUMMYFUNCTION("""COMPUTED_VALUE"""),1377.6)</f>
        <v>1377.6</v>
      </c>
      <c r="C129" s="47">
        <f>IFERROR(__xludf.DUMMYFUNCTION("""COMPUTED_VALUE"""),45926.6458333333)</f>
        <v>45926.6458333333</v>
      </c>
      <c r="D129" s="48">
        <f>IFERROR(__xludf.DUMMYFUNCTION("""COMPUTED_VALUE"""),1372)</f>
        <v>1372</v>
      </c>
      <c r="E129" s="47">
        <f>IFERROR(__xludf.DUMMYFUNCTION("""COMPUTED_VALUE"""),45926.6458333333)</f>
        <v>45926.6458333333</v>
      </c>
      <c r="F129" s="48">
        <f>IFERROR(__xludf.DUMMYFUNCTION("""COMPUTED_VALUE"""),9879109)</f>
        <v>9879109</v>
      </c>
      <c r="G129" s="47">
        <f>IFERROR(__xludf.DUMMYFUNCTION("""COMPUTED_VALUE"""),45926.6458333333)</f>
        <v>45926.6458333333</v>
      </c>
      <c r="H129" s="48">
        <f>IFERROR(__xludf.DUMMYFUNCTION("""COMPUTED_VALUE"""),1382.7)</f>
        <v>1382.7</v>
      </c>
      <c r="I129" s="47">
        <f>IFERROR(__xludf.DUMMYFUNCTION("""COMPUTED_VALUE"""),45926.6458333333)</f>
        <v>45926.6458333333</v>
      </c>
      <c r="J129" s="48">
        <f>IFERROR(__xludf.DUMMYFUNCTION("""COMPUTED_VALUE"""),1366)</f>
        <v>1366</v>
      </c>
    </row>
  </sheetData>
  <mergeCells count="3">
    <mergeCell ref="M1:P1"/>
    <mergeCell ref="A3:F3"/>
    <mergeCell ref="AB4:AE4"/>
  </mergeCells>
  <conditionalFormatting sqref="A1:A2 A4">
    <cfRule type="notContainsBlanks" dxfId="0" priority="1">
      <formula>LEN(TRIM(A1))&gt;0</formula>
    </cfRule>
  </conditionalFormatting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16">
      <c r="A1" s="49" t="s">
        <v>264</v>
      </c>
      <c r="B1" s="50">
        <f ca="1">TODAY()</f>
        <v>45927</v>
      </c>
      <c r="C1" s="51">
        <f ca="1">DAY(B1)</f>
        <v>27</v>
      </c>
      <c r="D1" s="51">
        <f ca="1" t="shared" ref="D1:D2" si="0">MONTH(B1)</f>
        <v>9</v>
      </c>
      <c r="E1" s="51">
        <f ca="1" t="shared" ref="E1:E2" si="1">YEAR(B1)</f>
        <v>2025</v>
      </c>
      <c r="F1" s="52"/>
      <c r="G1" s="53"/>
      <c r="H1" s="51"/>
      <c r="I1" s="51"/>
      <c r="J1" s="51"/>
      <c r="K1" s="51"/>
      <c r="L1" s="51"/>
      <c r="M1" s="62" t="s">
        <v>265</v>
      </c>
      <c r="N1" s="19"/>
      <c r="O1" s="19"/>
      <c r="P1" s="19"/>
    </row>
    <row r="2" customHeight="1" spans="1:20">
      <c r="A2" s="49" t="s">
        <v>266</v>
      </c>
      <c r="B2" s="50">
        <f ca="1">EDATE(TODAY(),-6)</f>
        <v>45743</v>
      </c>
      <c r="C2" s="51">
        <f ca="1">DAY(B2)</f>
        <v>27</v>
      </c>
      <c r="D2" s="51">
        <f ca="1" t="shared" si="0"/>
        <v>3</v>
      </c>
      <c r="E2" s="51">
        <f ca="1" t="shared" si="1"/>
        <v>2025</v>
      </c>
      <c r="F2" s="52"/>
      <c r="G2" s="53"/>
      <c r="H2" s="51"/>
      <c r="I2" s="51"/>
      <c r="J2" s="51"/>
      <c r="K2" s="51"/>
      <c r="L2" s="51"/>
      <c r="M2" s="63" t="str">
        <f>IFERROR(__xludf.DUMMYFUNCTION("GOOGLEFINANCE(L3, ""close"", WORKDAY(TODAY(), -1), WORKDAY(TODAY(), -1))"),"Date")</f>
        <v>Date</v>
      </c>
      <c r="N2" s="64" t="str">
        <f>IFERROR(__xludf.DUMMYFUNCTION("""COMPUTED_VALUE"""),"Close")</f>
        <v>Close</v>
      </c>
      <c r="O2" s="63" t="str">
        <f>IFERROR(__xludf.DUMMYFUNCTION("GOOGLEFINANCE(L3, ""open"", WORKDAY(TODAY(), -1), WORKDAY(TODAY(), -1))"),"Date")</f>
        <v>Date</v>
      </c>
      <c r="P2" s="64" t="str">
        <f>IFERROR(__xludf.DUMMYFUNCTION("""COMPUTED_VALUE"""),"Open")</f>
        <v>Open</v>
      </c>
      <c r="Q2" s="72" t="str">
        <f>IFERROR(__xludf.DUMMYFUNCTION("GOOGLEFINANCE(L3, ""hIGH"", WORKDAY(TODAY(), -1), WORKDAY(TODAY(), -1))"),"Date")</f>
        <v>Date</v>
      </c>
      <c r="R2" s="48" t="str">
        <f>IFERROR(__xludf.DUMMYFUNCTION("""COMPUTED_VALUE"""),"High")</f>
        <v>High</v>
      </c>
      <c r="S2" s="72" t="str">
        <f>IFERROR(__xludf.DUMMYFUNCTION("GOOGLEFINANCE(L3, ""LOW"", WORKDAY(TODAY(), -1), WORKDAY(TODAY(), -1))"),"Date")</f>
        <v>Date</v>
      </c>
      <c r="T2" s="48" t="str">
        <f>IFERROR(__xludf.DUMMYFUNCTION("""COMPUTED_VALUE"""),"Low")</f>
        <v>Low</v>
      </c>
    </row>
    <row r="3" customHeight="1" spans="1:20">
      <c r="A3" s="54" t="s">
        <v>74</v>
      </c>
      <c r="B3" s="7"/>
      <c r="C3" s="7"/>
      <c r="D3" s="7"/>
      <c r="E3" s="7"/>
      <c r="F3" s="8"/>
      <c r="G3" s="55" t="s">
        <v>268</v>
      </c>
      <c r="H3" s="56">
        <f>IFERROR(__xludf.DUMMYFUNCTION("GOOGLEFINANCE(L3, ""price"")"),857)</f>
        <v>857</v>
      </c>
      <c r="I3" s="65" t="s">
        <v>269</v>
      </c>
      <c r="J3" s="56">
        <f>IFERROR(__xludf.DUMMYFUNCTION("GOOGLEFINANCE(L3, ""volume"")"),6959545)</f>
        <v>6959545</v>
      </c>
      <c r="K3" s="66" t="s">
        <v>270</v>
      </c>
      <c r="L3" s="67" t="str">
        <f>Mastersheet!B33</f>
        <v>NSE:SBIN</v>
      </c>
      <c r="M3" s="68">
        <f>IFERROR(__xludf.DUMMYFUNCTION("""COMPUTED_VALUE"""),45926.6458333333)</f>
        <v>45926.6458333333</v>
      </c>
      <c r="N3" s="67">
        <f>IFERROR(__xludf.DUMMYFUNCTION("""COMPUTED_VALUE"""),856.95)</f>
        <v>856.95</v>
      </c>
      <c r="O3" s="68">
        <f>IFERROR(__xludf.DUMMYFUNCTION("""COMPUTED_VALUE"""),45926.6458333333)</f>
        <v>45926.6458333333</v>
      </c>
      <c r="P3" s="67">
        <f>IFERROR(__xludf.DUMMYFUNCTION("""COMPUTED_VALUE"""),862)</f>
        <v>862</v>
      </c>
      <c r="Q3" s="47">
        <f>IFERROR(__xludf.DUMMYFUNCTION("""COMPUTED_VALUE"""),45926.6458333333)</f>
        <v>45926.6458333333</v>
      </c>
      <c r="R3" s="48">
        <f>IFERROR(__xludf.DUMMYFUNCTION("""COMPUTED_VALUE"""),864.35)</f>
        <v>864.35</v>
      </c>
      <c r="S3" s="47">
        <f>IFERROR(__xludf.DUMMYFUNCTION("""COMPUTED_VALUE"""),45926.6458333333)</f>
        <v>45926.6458333333</v>
      </c>
      <c r="T3" s="48">
        <f>IFERROR(__xludf.DUMMYFUNCTION("""COMPUTED_VALUE"""),853)</f>
        <v>853</v>
      </c>
    </row>
    <row r="4" customHeight="1" spans="1:31">
      <c r="A4" s="57" t="str">
        <f>IFERROR(__xludf.DUMMYFUNCTION("GOOGLEFINANCE(L3, ""CLOSE"",DATE(E2,D2,C2), DATE(E1,D1,C1), ""DAILY"")"),"Date")</f>
        <v>Date</v>
      </c>
      <c r="B4" s="58" t="str">
        <f>IFERROR(__xludf.DUMMYFUNCTION("""COMPUTED_VALUE"""),"Close")</f>
        <v>Close</v>
      </c>
      <c r="C4" s="58" t="str">
        <f>IFERROR(__xludf.DUMMYFUNCTION("GOOGLEFINANCE(L3, ""open"", DATE(E2,D2,C2), DATE(E1,D1,C1), ""DAILY"")"),"Date")</f>
        <v>Date</v>
      </c>
      <c r="D4" s="58" t="str">
        <f>IFERROR(__xludf.DUMMYFUNCTION("""COMPUTED_VALUE"""),"Open")</f>
        <v>Open</v>
      </c>
      <c r="E4" s="59" t="str">
        <f>IFERROR(__xludf.DUMMYFUNCTION("GOOGLEFINANCE(L3, ""VOLUME"", DATE(E2,D2,C2), DATE(E1,D1,C1), ""DAILY"")"),"Date")</f>
        <v>Date</v>
      </c>
      <c r="F4" s="58" t="str">
        <f>IFERROR(__xludf.DUMMYFUNCTION("""COMPUTED_VALUE"""),"Volume")</f>
        <v>Volume</v>
      </c>
      <c r="G4" s="59" t="str">
        <f>IFERROR(__xludf.DUMMYFUNCTION("GOOGLEFINANCE(L3, ""HIGH"", DATE(E2,D2,C2), DATE(E1,D1,C1), ""DAILY"")"),"Date")</f>
        <v>Date</v>
      </c>
      <c r="H4" s="59" t="str">
        <f>IFERROR(__xludf.DUMMYFUNCTION("""COMPUTED_VALUE"""),"High")</f>
        <v>High</v>
      </c>
      <c r="I4" s="59" t="str">
        <f>IFERROR(__xludf.DUMMYFUNCTION("GOOGLEFINANCE(L3, ""LOW"", DATE(E2,D2,C2), DATE(E1,D1,C1), ""DAILY"")"),"Date")</f>
        <v>Date</v>
      </c>
      <c r="J4" s="69" t="str">
        <f>IFERROR(__xludf.DUMMYFUNCTION("""COMPUTED_VALUE"""),"Low")</f>
        <v>Low</v>
      </c>
      <c r="K4" s="70" t="s">
        <v>271</v>
      </c>
      <c r="L4" s="70" t="s">
        <v>272</v>
      </c>
      <c r="M4" s="70" t="s">
        <v>273</v>
      </c>
      <c r="N4" s="70" t="s">
        <v>274</v>
      </c>
      <c r="O4" s="70" t="s">
        <v>275</v>
      </c>
      <c r="P4" s="70" t="s">
        <v>276</v>
      </c>
      <c r="Q4" s="73" t="s">
        <v>277</v>
      </c>
      <c r="R4" s="73" t="s">
        <v>278</v>
      </c>
      <c r="S4" s="73" t="s">
        <v>279</v>
      </c>
      <c r="T4" s="73" t="s">
        <v>280</v>
      </c>
      <c r="U4" s="73" t="s">
        <v>281</v>
      </c>
      <c r="V4" s="73" t="s">
        <v>282</v>
      </c>
      <c r="W4" s="70" t="s">
        <v>283</v>
      </c>
      <c r="X4" s="74" t="s">
        <v>284</v>
      </c>
      <c r="Y4" s="37" t="s">
        <v>285</v>
      </c>
      <c r="Z4" s="77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60">
        <f>IFERROR(__xludf.DUMMYFUNCTION("""COMPUTED_VALUE"""),45743.6458333333)</f>
        <v>45743.6458333333</v>
      </c>
      <c r="B5" s="61">
        <f>IFERROR(__xludf.DUMMYFUNCTION("""COMPUTED_VALUE"""),772.3)</f>
        <v>772.3</v>
      </c>
      <c r="C5" s="60">
        <f>IFERROR(__xludf.DUMMYFUNCTION("""COMPUTED_VALUE"""),45743.6458333333)</f>
        <v>45743.6458333333</v>
      </c>
      <c r="D5" s="61">
        <f>IFERROR(__xludf.DUMMYFUNCTION("""COMPUTED_VALUE"""),763.8)</f>
        <v>763.8</v>
      </c>
      <c r="E5" s="60">
        <f>IFERROR(__xludf.DUMMYFUNCTION("""COMPUTED_VALUE"""),45743.6458333333)</f>
        <v>45743.6458333333</v>
      </c>
      <c r="F5" s="61">
        <f>IFERROR(__xludf.DUMMYFUNCTION("""COMPUTED_VALUE"""),15648616)</f>
        <v>15648616</v>
      </c>
      <c r="G5" s="60">
        <f>IFERROR(__xludf.DUMMYFUNCTION("""COMPUTED_VALUE"""),45743.6458333333)</f>
        <v>45743.6458333333</v>
      </c>
      <c r="H5" s="61">
        <f>IFERROR(__xludf.DUMMYFUNCTION("""COMPUTED_VALUE"""),775.8)</f>
        <v>775.8</v>
      </c>
      <c r="I5" s="71">
        <f>IFERROR(__xludf.DUMMYFUNCTION("""COMPUTED_VALUE"""),45743.6458333333)</f>
        <v>45743.6458333333</v>
      </c>
      <c r="J5" s="51">
        <f>IFERROR(__xludf.DUMMYFUNCTION("""COMPUTED_VALUE"""),760.5)</f>
        <v>760.5</v>
      </c>
      <c r="K5" s="51"/>
      <c r="L5" s="51"/>
      <c r="M5" s="51">
        <f t="array" ref="M5">INDEX(K11:K124,MATCH(SMALL(ABS(K11:K124-H3),1),ABS(K11:K124-H3),0))</f>
        <v>831.7</v>
      </c>
      <c r="N5" s="51">
        <f t="array" ref="N5">INDEX(K11:K124,MATCH(SMALL(ABS(K11:K124-H3),2),ABS(K11:K124-H3),0))</f>
        <v>830.4</v>
      </c>
      <c r="O5" s="51">
        <f t="array" ref="O5">INDEX(L11:L124,MATCH(SMALL(ABS(L11:L124-H3),1),ABS(L11:L124-H3),0))</f>
        <v>801.95</v>
      </c>
      <c r="P5" s="51">
        <f t="array" ref="P5">INDEX(L11:L124,MATCH(SMALL(ABS(L11:L124-H3),2),ABS(L11:L124-H3),0))</f>
        <v>794</v>
      </c>
      <c r="Q5" s="48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S5" s="75">
        <f ca="1">IF(Q5&gt;0,Q5,S5)</f>
        <v>830.4</v>
      </c>
      <c r="T5" s="48">
        <f ca="1">IF(AND(H3&gt;=Mastersheet!I3*S5,H3&lt;=Mastersheet!J3*S5),1,0)</f>
        <v>0</v>
      </c>
      <c r="U5" s="76">
        <f>(N3+P3)/2</f>
        <v>859.475</v>
      </c>
      <c r="V5" s="48">
        <f>(N3+P3+R3+T3)/4</f>
        <v>859.075</v>
      </c>
      <c r="W5" s="48">
        <f>IF(V5&gt;U5,1,0)</f>
        <v>0</v>
      </c>
      <c r="X5" s="48">
        <f>IF(V5&gt;U5,0,1)</f>
        <v>1</v>
      </c>
      <c r="Y5" s="48">
        <f>IF(COUNTIF(Mastersheet!E:E,L3)&gt;0,0,1)</f>
        <v>1</v>
      </c>
      <c r="Z5" s="78">
        <f ca="1">IF(T5*W5*Y5=1,1,0)</f>
        <v>0</v>
      </c>
      <c r="AA5" s="79"/>
      <c r="AB5" s="44" t="s">
        <v>289</v>
      </c>
      <c r="AC5" s="80" t="s">
        <v>290</v>
      </c>
      <c r="AD5" s="81" t="s">
        <v>291</v>
      </c>
      <c r="AE5" s="81" t="s">
        <v>292</v>
      </c>
    </row>
    <row r="6" customHeight="1" spans="1:31">
      <c r="A6" s="47">
        <f>IFERROR(__xludf.DUMMYFUNCTION("""COMPUTED_VALUE"""),45744.6458333333)</f>
        <v>45744.6458333333</v>
      </c>
      <c r="B6" s="48">
        <f>IFERROR(__xludf.DUMMYFUNCTION("""COMPUTED_VALUE"""),771.5)</f>
        <v>771.5</v>
      </c>
      <c r="C6" s="47">
        <f>IFERROR(__xludf.DUMMYFUNCTION("""COMPUTED_VALUE"""),45744.6458333333)</f>
        <v>45744.6458333333</v>
      </c>
      <c r="D6" s="48">
        <f>IFERROR(__xludf.DUMMYFUNCTION("""COMPUTED_VALUE"""),772.1)</f>
        <v>772.1</v>
      </c>
      <c r="E6" s="47">
        <f>IFERROR(__xludf.DUMMYFUNCTION("""COMPUTED_VALUE"""),45744.6458333333)</f>
        <v>45744.6458333333</v>
      </c>
      <c r="F6" s="48">
        <f>IFERROR(__xludf.DUMMYFUNCTION("""COMPUTED_VALUE"""),7628185)</f>
        <v>7628185</v>
      </c>
      <c r="G6" s="47">
        <f>IFERROR(__xludf.DUMMYFUNCTION("""COMPUTED_VALUE"""),45744.6458333333)</f>
        <v>45744.6458333333</v>
      </c>
      <c r="H6" s="48">
        <f>IFERROR(__xludf.DUMMYFUNCTION("""COMPUTED_VALUE"""),778.6)</f>
        <v>778.6</v>
      </c>
      <c r="I6" s="47">
        <f>IFERROR(__xludf.DUMMYFUNCTION("""COMPUTED_VALUE"""),45744.6458333333)</f>
        <v>45744.6458333333</v>
      </c>
      <c r="J6" s="48">
        <f>IFERROR(__xludf.DUMMYFUNCTION("""COMPUTED_VALUE"""),767)</f>
        <v>767</v>
      </c>
      <c r="AB6" s="48">
        <f>IF(COUNTIF(Mastersheet!E:E,L3)&gt;0,1,0)</f>
        <v>0</v>
      </c>
      <c r="AC6" s="48">
        <f>IF(AND(H3&gt;Mastersheet!L3*Mastersheet!F3,X5),1,0)</f>
        <v>1</v>
      </c>
      <c r="AD6" s="76">
        <f>IF(H3&lt;Mastersheet!M3*Mastersheet!F3,1,0)</f>
        <v>0</v>
      </c>
      <c r="AE6" s="48">
        <f>IF(OR(AC6*AB6=1,AD6*AB6=1),1,0)</f>
        <v>0</v>
      </c>
    </row>
    <row r="7" customHeight="1" spans="1:10">
      <c r="A7" s="47">
        <f>IFERROR(__xludf.DUMMYFUNCTION("""COMPUTED_VALUE"""),45748.6458333333)</f>
        <v>45748.6458333333</v>
      </c>
      <c r="B7" s="48">
        <f>IFERROR(__xludf.DUMMYFUNCTION("""COMPUTED_VALUE"""),771.7)</f>
        <v>771.7</v>
      </c>
      <c r="C7" s="47">
        <f>IFERROR(__xludf.DUMMYFUNCTION("""COMPUTED_VALUE"""),45748.6458333333)</f>
        <v>45748.6458333333</v>
      </c>
      <c r="D7" s="48">
        <f>IFERROR(__xludf.DUMMYFUNCTION("""COMPUTED_VALUE"""),766.8)</f>
        <v>766.8</v>
      </c>
      <c r="E7" s="47">
        <f>IFERROR(__xludf.DUMMYFUNCTION("""COMPUTED_VALUE"""),45748.6458333333)</f>
        <v>45748.6458333333</v>
      </c>
      <c r="F7" s="48">
        <f>IFERROR(__xludf.DUMMYFUNCTION("""COMPUTED_VALUE"""),7011125)</f>
        <v>7011125</v>
      </c>
      <c r="G7" s="47">
        <f>IFERROR(__xludf.DUMMYFUNCTION("""COMPUTED_VALUE"""),45748.6458333333)</f>
        <v>45748.6458333333</v>
      </c>
      <c r="H7" s="48">
        <f>IFERROR(__xludf.DUMMYFUNCTION("""COMPUTED_VALUE"""),782.75)</f>
        <v>782.75</v>
      </c>
      <c r="I7" s="47">
        <f>IFERROR(__xludf.DUMMYFUNCTION("""COMPUTED_VALUE"""),45748.6458333333)</f>
        <v>45748.6458333333</v>
      </c>
      <c r="J7" s="48">
        <f>IFERROR(__xludf.DUMMYFUNCTION("""COMPUTED_VALUE"""),763.2)</f>
        <v>763.2</v>
      </c>
    </row>
    <row r="8" customHeight="1" spans="1:10">
      <c r="A8" s="47">
        <f>IFERROR(__xludf.DUMMYFUNCTION("""COMPUTED_VALUE"""),45749.6458333333)</f>
        <v>45749.6458333333</v>
      </c>
      <c r="B8" s="48">
        <f>IFERROR(__xludf.DUMMYFUNCTION("""COMPUTED_VALUE"""),775.95)</f>
        <v>775.95</v>
      </c>
      <c r="C8" s="47">
        <f>IFERROR(__xludf.DUMMYFUNCTION("""COMPUTED_VALUE"""),45749.6458333333)</f>
        <v>45749.6458333333</v>
      </c>
      <c r="D8" s="48">
        <f>IFERROR(__xludf.DUMMYFUNCTION("""COMPUTED_VALUE"""),772.3)</f>
        <v>772.3</v>
      </c>
      <c r="E8" s="47">
        <f>IFERROR(__xludf.DUMMYFUNCTION("""COMPUTED_VALUE"""),45749.6458333333)</f>
        <v>45749.6458333333</v>
      </c>
      <c r="F8" s="48">
        <f>IFERROR(__xludf.DUMMYFUNCTION("""COMPUTED_VALUE"""),5458436)</f>
        <v>5458436</v>
      </c>
      <c r="G8" s="47">
        <f>IFERROR(__xludf.DUMMYFUNCTION("""COMPUTED_VALUE"""),45749.6458333333)</f>
        <v>45749.6458333333</v>
      </c>
      <c r="H8" s="48">
        <f>IFERROR(__xludf.DUMMYFUNCTION("""COMPUTED_VALUE"""),777)</f>
        <v>777</v>
      </c>
      <c r="I8" s="47">
        <f>IFERROR(__xludf.DUMMYFUNCTION("""COMPUTED_VALUE"""),45749.6458333333)</f>
        <v>45749.6458333333</v>
      </c>
      <c r="J8" s="48">
        <f>IFERROR(__xludf.DUMMYFUNCTION("""COMPUTED_VALUE"""),764.3)</f>
        <v>764.3</v>
      </c>
    </row>
    <row r="9" customHeight="1" spans="1:10">
      <c r="A9" s="47">
        <f>IFERROR(__xludf.DUMMYFUNCTION("""COMPUTED_VALUE"""),45750.6458333333)</f>
        <v>45750.6458333333</v>
      </c>
      <c r="B9" s="48">
        <f>IFERROR(__xludf.DUMMYFUNCTION("""COMPUTED_VALUE"""),779.2)</f>
        <v>779.2</v>
      </c>
      <c r="C9" s="47">
        <f>IFERROR(__xludf.DUMMYFUNCTION("""COMPUTED_VALUE"""),45750.6458333333)</f>
        <v>45750.6458333333</v>
      </c>
      <c r="D9" s="48">
        <f>IFERROR(__xludf.DUMMYFUNCTION("""COMPUTED_VALUE"""),770)</f>
        <v>770</v>
      </c>
      <c r="E9" s="47">
        <f>IFERROR(__xludf.DUMMYFUNCTION("""COMPUTED_VALUE"""),45750.6458333333)</f>
        <v>45750.6458333333</v>
      </c>
      <c r="F9" s="48">
        <f>IFERROR(__xludf.DUMMYFUNCTION("""COMPUTED_VALUE"""),7956680)</f>
        <v>7956680</v>
      </c>
      <c r="G9" s="47">
        <f>IFERROR(__xludf.DUMMYFUNCTION("""COMPUTED_VALUE"""),45750.6458333333)</f>
        <v>45750.6458333333</v>
      </c>
      <c r="H9" s="48">
        <f>IFERROR(__xludf.DUMMYFUNCTION("""COMPUTED_VALUE"""),784.7)</f>
        <v>784.7</v>
      </c>
      <c r="I9" s="47">
        <f>IFERROR(__xludf.DUMMYFUNCTION("""COMPUTED_VALUE"""),45750.6458333333)</f>
        <v>45750.6458333333</v>
      </c>
      <c r="J9" s="48">
        <f>IFERROR(__xludf.DUMMYFUNCTION("""COMPUTED_VALUE"""),769.95)</f>
        <v>769.95</v>
      </c>
    </row>
    <row r="10" customHeight="1" spans="1:10">
      <c r="A10" s="47">
        <f>IFERROR(__xludf.DUMMYFUNCTION("""COMPUTED_VALUE"""),45751.6458333333)</f>
        <v>45751.6458333333</v>
      </c>
      <c r="B10" s="48">
        <f>IFERROR(__xludf.DUMMYFUNCTION("""COMPUTED_VALUE"""),767.45)</f>
        <v>767.45</v>
      </c>
      <c r="C10" s="47">
        <f>IFERROR(__xludf.DUMMYFUNCTION("""COMPUTED_VALUE"""),45751.6458333333)</f>
        <v>45751.6458333333</v>
      </c>
      <c r="D10" s="48">
        <f>IFERROR(__xludf.DUMMYFUNCTION("""COMPUTED_VALUE"""),779.1)</f>
        <v>779.1</v>
      </c>
      <c r="E10" s="47">
        <f>IFERROR(__xludf.DUMMYFUNCTION("""COMPUTED_VALUE"""),45751.6458333333)</f>
        <v>45751.6458333333</v>
      </c>
      <c r="F10" s="48">
        <f>IFERROR(__xludf.DUMMYFUNCTION("""COMPUTED_VALUE"""),8231194)</f>
        <v>8231194</v>
      </c>
      <c r="G10" s="47">
        <f>IFERROR(__xludf.DUMMYFUNCTION("""COMPUTED_VALUE"""),45751.6458333333)</f>
        <v>45751.6458333333</v>
      </c>
      <c r="H10" s="48">
        <f>IFERROR(__xludf.DUMMYFUNCTION("""COMPUTED_VALUE"""),782.9)</f>
        <v>782.9</v>
      </c>
      <c r="I10" s="47">
        <f>IFERROR(__xludf.DUMMYFUNCTION("""COMPUTED_VALUE"""),45751.6458333333)</f>
        <v>45751.6458333333</v>
      </c>
      <c r="J10" s="48">
        <f>IFERROR(__xludf.DUMMYFUNCTION("""COMPUTED_VALUE"""),765)</f>
        <v>765</v>
      </c>
    </row>
    <row r="11" customHeight="1" spans="1:12">
      <c r="A11" s="47">
        <f>IFERROR(__xludf.DUMMYFUNCTION("""COMPUTED_VALUE"""),45754.6458333333)</f>
        <v>45754.6458333333</v>
      </c>
      <c r="B11" s="48">
        <f>IFERROR(__xludf.DUMMYFUNCTION("""COMPUTED_VALUE"""),746.9)</f>
        <v>746.9</v>
      </c>
      <c r="C11" s="47">
        <f>IFERROR(__xludf.DUMMYFUNCTION("""COMPUTED_VALUE"""),45754.6458333333)</f>
        <v>45754.6458333333</v>
      </c>
      <c r="D11" s="48">
        <f>IFERROR(__xludf.DUMMYFUNCTION("""COMPUTED_VALUE"""),730)</f>
        <v>730</v>
      </c>
      <c r="E11" s="47">
        <f>IFERROR(__xludf.DUMMYFUNCTION("""COMPUTED_VALUE"""),45754.6458333333)</f>
        <v>45754.6458333333</v>
      </c>
      <c r="F11" s="48">
        <f>IFERROR(__xludf.DUMMYFUNCTION("""COMPUTED_VALUE"""),14923235)</f>
        <v>14923235</v>
      </c>
      <c r="G11" s="47">
        <f>IFERROR(__xludf.DUMMYFUNCTION("""COMPUTED_VALUE"""),45754.6458333333)</f>
        <v>45754.6458333333</v>
      </c>
      <c r="H11" s="48">
        <f>IFERROR(__xludf.DUMMYFUNCTION("""COMPUTED_VALUE"""),753.7)</f>
        <v>753.7</v>
      </c>
      <c r="I11" s="47">
        <f>IFERROR(__xludf.DUMMYFUNCTION("""COMPUTED_VALUE"""),45754.6458333333)</f>
        <v>45754.6458333333</v>
      </c>
      <c r="J11" s="48">
        <f>IFERROR(__xludf.DUMMYFUNCTION("""COMPUTED_VALUE"""),730)</f>
        <v>730</v>
      </c>
      <c r="K11" s="3">
        <f t="shared" ref="K11:K125" si="2">IF(B11=MAX(B5:B17),B11,0)</f>
        <v>0</v>
      </c>
      <c r="L11" s="3">
        <f t="shared" ref="L11:L125" si="3">IF(B11=MIN(B5:B17),B11,0)</f>
        <v>0</v>
      </c>
    </row>
    <row r="12" customHeight="1" spans="1:12">
      <c r="A12" s="47">
        <f>IFERROR(__xludf.DUMMYFUNCTION("""COMPUTED_VALUE"""),45755.6458333333)</f>
        <v>45755.6458333333</v>
      </c>
      <c r="B12" s="48">
        <f>IFERROR(__xludf.DUMMYFUNCTION("""COMPUTED_VALUE"""),768.6)</f>
        <v>768.6</v>
      </c>
      <c r="C12" s="47">
        <f>IFERROR(__xludf.DUMMYFUNCTION("""COMPUTED_VALUE"""),45755.6458333333)</f>
        <v>45755.6458333333</v>
      </c>
      <c r="D12" s="48">
        <f>IFERROR(__xludf.DUMMYFUNCTION("""COMPUTED_VALUE"""),760)</f>
        <v>760</v>
      </c>
      <c r="E12" s="47">
        <f>IFERROR(__xludf.DUMMYFUNCTION("""COMPUTED_VALUE"""),45755.6458333333)</f>
        <v>45755.6458333333</v>
      </c>
      <c r="F12" s="48">
        <f>IFERROR(__xludf.DUMMYFUNCTION("""COMPUTED_VALUE"""),12911288)</f>
        <v>12911288</v>
      </c>
      <c r="G12" s="47">
        <f>IFERROR(__xludf.DUMMYFUNCTION("""COMPUTED_VALUE"""),45755.6458333333)</f>
        <v>45755.6458333333</v>
      </c>
      <c r="H12" s="48">
        <f>IFERROR(__xludf.DUMMYFUNCTION("""COMPUTED_VALUE"""),774)</f>
        <v>774</v>
      </c>
      <c r="I12" s="47">
        <f>IFERROR(__xludf.DUMMYFUNCTION("""COMPUTED_VALUE"""),45755.6458333333)</f>
        <v>45755.6458333333</v>
      </c>
      <c r="J12" s="48">
        <f>IFERROR(__xludf.DUMMYFUNCTION("""COMPUTED_VALUE"""),758.15)</f>
        <v>758.15</v>
      </c>
      <c r="K12" s="3">
        <f t="shared" si="2"/>
        <v>0</v>
      </c>
      <c r="L12" s="3">
        <f t="shared" si="3"/>
        <v>0</v>
      </c>
    </row>
    <row r="13" customHeight="1" spans="1:12">
      <c r="A13" s="47">
        <f>IFERROR(__xludf.DUMMYFUNCTION("""COMPUTED_VALUE"""),45756.6458333333)</f>
        <v>45756.6458333333</v>
      </c>
      <c r="B13" s="48">
        <f>IFERROR(__xludf.DUMMYFUNCTION("""COMPUTED_VALUE"""),742.2)</f>
        <v>742.2</v>
      </c>
      <c r="C13" s="47">
        <f>IFERROR(__xludf.DUMMYFUNCTION("""COMPUTED_VALUE"""),45756.6458333333)</f>
        <v>45756.6458333333</v>
      </c>
      <c r="D13" s="48">
        <f>IFERROR(__xludf.DUMMYFUNCTION("""COMPUTED_VALUE"""),767)</f>
        <v>767</v>
      </c>
      <c r="E13" s="47">
        <f>IFERROR(__xludf.DUMMYFUNCTION("""COMPUTED_VALUE"""),45756.6458333333)</f>
        <v>45756.6458333333</v>
      </c>
      <c r="F13" s="48">
        <f>IFERROR(__xludf.DUMMYFUNCTION("""COMPUTED_VALUE"""),11319387)</f>
        <v>11319387</v>
      </c>
      <c r="G13" s="47">
        <f>IFERROR(__xludf.DUMMYFUNCTION("""COMPUTED_VALUE"""),45756.6458333333)</f>
        <v>45756.6458333333</v>
      </c>
      <c r="H13" s="48">
        <f>IFERROR(__xludf.DUMMYFUNCTION("""COMPUTED_VALUE"""),767.95)</f>
        <v>767.95</v>
      </c>
      <c r="I13" s="47">
        <f>IFERROR(__xludf.DUMMYFUNCTION("""COMPUTED_VALUE"""),45756.6458333333)</f>
        <v>45756.6458333333</v>
      </c>
      <c r="J13" s="48">
        <f>IFERROR(__xludf.DUMMYFUNCTION("""COMPUTED_VALUE"""),741)</f>
        <v>741</v>
      </c>
      <c r="K13" s="3">
        <f t="shared" si="2"/>
        <v>0</v>
      </c>
      <c r="L13" s="3">
        <f t="shared" si="3"/>
        <v>742.2</v>
      </c>
    </row>
    <row r="14" customHeight="1" spans="1:12">
      <c r="A14" s="47">
        <f>IFERROR(__xludf.DUMMYFUNCTION("""COMPUTED_VALUE"""),45758.6458333333)</f>
        <v>45758.6458333333</v>
      </c>
      <c r="B14" s="48">
        <f>IFERROR(__xludf.DUMMYFUNCTION("""COMPUTED_VALUE"""),753.85)</f>
        <v>753.85</v>
      </c>
      <c r="C14" s="47">
        <f>IFERROR(__xludf.DUMMYFUNCTION("""COMPUTED_VALUE"""),45758.6458333333)</f>
        <v>45758.6458333333</v>
      </c>
      <c r="D14" s="48">
        <f>IFERROR(__xludf.DUMMYFUNCTION("""COMPUTED_VALUE"""),759)</f>
        <v>759</v>
      </c>
      <c r="E14" s="47">
        <f>IFERROR(__xludf.DUMMYFUNCTION("""COMPUTED_VALUE"""),45758.6458333333)</f>
        <v>45758.6458333333</v>
      </c>
      <c r="F14" s="48">
        <f>IFERROR(__xludf.DUMMYFUNCTION("""COMPUTED_VALUE"""),9360327)</f>
        <v>9360327</v>
      </c>
      <c r="G14" s="47">
        <f>IFERROR(__xludf.DUMMYFUNCTION("""COMPUTED_VALUE"""),45758.6458333333)</f>
        <v>45758.6458333333</v>
      </c>
      <c r="H14" s="48">
        <f>IFERROR(__xludf.DUMMYFUNCTION("""COMPUTED_VALUE"""),759.7)</f>
        <v>759.7</v>
      </c>
      <c r="I14" s="47">
        <f>IFERROR(__xludf.DUMMYFUNCTION("""COMPUTED_VALUE"""),45758.6458333333)</f>
        <v>45758.6458333333</v>
      </c>
      <c r="J14" s="48">
        <f>IFERROR(__xludf.DUMMYFUNCTION("""COMPUTED_VALUE"""),746)</f>
        <v>746</v>
      </c>
      <c r="K14" s="3">
        <f t="shared" si="2"/>
        <v>0</v>
      </c>
      <c r="L14" s="3">
        <f t="shared" si="3"/>
        <v>0</v>
      </c>
    </row>
    <row r="15" customHeight="1" spans="1:12">
      <c r="A15" s="47">
        <f>IFERROR(__xludf.DUMMYFUNCTION("""COMPUTED_VALUE"""),45762.6458333333)</f>
        <v>45762.6458333333</v>
      </c>
      <c r="B15" s="48">
        <f>IFERROR(__xludf.DUMMYFUNCTION("""COMPUTED_VALUE"""),763.5)</f>
        <v>763.5</v>
      </c>
      <c r="C15" s="47">
        <f>IFERROR(__xludf.DUMMYFUNCTION("""COMPUTED_VALUE"""),45762.6458333333)</f>
        <v>45762.6458333333</v>
      </c>
      <c r="D15" s="48">
        <f>IFERROR(__xludf.DUMMYFUNCTION("""COMPUTED_VALUE"""),770)</f>
        <v>770</v>
      </c>
      <c r="E15" s="47">
        <f>IFERROR(__xludf.DUMMYFUNCTION("""COMPUTED_VALUE"""),45762.6458333333)</f>
        <v>45762.6458333333</v>
      </c>
      <c r="F15" s="48">
        <f>IFERROR(__xludf.DUMMYFUNCTION("""COMPUTED_VALUE"""),7859090)</f>
        <v>7859090</v>
      </c>
      <c r="G15" s="47">
        <f>IFERROR(__xludf.DUMMYFUNCTION("""COMPUTED_VALUE"""),45762.6458333333)</f>
        <v>45762.6458333333</v>
      </c>
      <c r="H15" s="48">
        <f>IFERROR(__xludf.DUMMYFUNCTION("""COMPUTED_VALUE"""),770.7)</f>
        <v>770.7</v>
      </c>
      <c r="I15" s="47">
        <f>IFERROR(__xludf.DUMMYFUNCTION("""COMPUTED_VALUE"""),45762.6458333333)</f>
        <v>45762.6458333333</v>
      </c>
      <c r="J15" s="48">
        <f>IFERROR(__xludf.DUMMYFUNCTION("""COMPUTED_VALUE"""),757.1)</f>
        <v>757.1</v>
      </c>
      <c r="K15" s="3">
        <f t="shared" si="2"/>
        <v>0</v>
      </c>
      <c r="L15" s="3">
        <f t="shared" si="3"/>
        <v>0</v>
      </c>
    </row>
    <row r="16" customHeight="1" spans="1:12">
      <c r="A16" s="47">
        <f>IFERROR(__xludf.DUMMYFUNCTION("""COMPUTED_VALUE"""),45763.6458333333)</f>
        <v>45763.6458333333</v>
      </c>
      <c r="B16" s="48">
        <f>IFERROR(__xludf.DUMMYFUNCTION("""COMPUTED_VALUE"""),771.75)</f>
        <v>771.75</v>
      </c>
      <c r="C16" s="47">
        <f>IFERROR(__xludf.DUMMYFUNCTION("""COMPUTED_VALUE"""),45763.6458333333)</f>
        <v>45763.6458333333</v>
      </c>
      <c r="D16" s="48">
        <f>IFERROR(__xludf.DUMMYFUNCTION("""COMPUTED_VALUE"""),763.5)</f>
        <v>763.5</v>
      </c>
      <c r="E16" s="47">
        <f>IFERROR(__xludf.DUMMYFUNCTION("""COMPUTED_VALUE"""),45763.6458333333)</f>
        <v>45763.6458333333</v>
      </c>
      <c r="F16" s="48">
        <f>IFERROR(__xludf.DUMMYFUNCTION("""COMPUTED_VALUE"""),12536694)</f>
        <v>12536694</v>
      </c>
      <c r="G16" s="47">
        <f>IFERROR(__xludf.DUMMYFUNCTION("""COMPUTED_VALUE"""),45763.6458333333)</f>
        <v>45763.6458333333</v>
      </c>
      <c r="H16" s="48">
        <f>IFERROR(__xludf.DUMMYFUNCTION("""COMPUTED_VALUE"""),774.75)</f>
        <v>774.75</v>
      </c>
      <c r="I16" s="47">
        <f>IFERROR(__xludf.DUMMYFUNCTION("""COMPUTED_VALUE"""),45763.6458333333)</f>
        <v>45763.6458333333</v>
      </c>
      <c r="J16" s="48">
        <f>IFERROR(__xludf.DUMMYFUNCTION("""COMPUTED_VALUE"""),760.5)</f>
        <v>760.5</v>
      </c>
      <c r="K16" s="3">
        <f t="shared" si="2"/>
        <v>0</v>
      </c>
      <c r="L16" s="3">
        <f t="shared" si="3"/>
        <v>0</v>
      </c>
    </row>
    <row r="17" customHeight="1" spans="1:12">
      <c r="A17" s="47">
        <f>IFERROR(__xludf.DUMMYFUNCTION("""COMPUTED_VALUE"""),45764.6458333333)</f>
        <v>45764.6458333333</v>
      </c>
      <c r="B17" s="48">
        <f>IFERROR(__xludf.DUMMYFUNCTION("""COMPUTED_VALUE"""),797.45)</f>
        <v>797.45</v>
      </c>
      <c r="C17" s="47">
        <f>IFERROR(__xludf.DUMMYFUNCTION("""COMPUTED_VALUE"""),45764.6458333333)</f>
        <v>45764.6458333333</v>
      </c>
      <c r="D17" s="48">
        <f>IFERROR(__xludf.DUMMYFUNCTION("""COMPUTED_VALUE"""),772)</f>
        <v>772</v>
      </c>
      <c r="E17" s="47">
        <f>IFERROR(__xludf.DUMMYFUNCTION("""COMPUTED_VALUE"""),45764.6458333333)</f>
        <v>45764.6458333333</v>
      </c>
      <c r="F17" s="48">
        <f>IFERROR(__xludf.DUMMYFUNCTION("""COMPUTED_VALUE"""),27034818)</f>
        <v>27034818</v>
      </c>
      <c r="G17" s="47">
        <f>IFERROR(__xludf.DUMMYFUNCTION("""COMPUTED_VALUE"""),45764.6458333333)</f>
        <v>45764.6458333333</v>
      </c>
      <c r="H17" s="48">
        <f>IFERROR(__xludf.DUMMYFUNCTION("""COMPUTED_VALUE"""),801)</f>
        <v>801</v>
      </c>
      <c r="I17" s="47">
        <f>IFERROR(__xludf.DUMMYFUNCTION("""COMPUTED_VALUE"""),45764.6458333333)</f>
        <v>45764.6458333333</v>
      </c>
      <c r="J17" s="48">
        <f>IFERROR(__xludf.DUMMYFUNCTION("""COMPUTED_VALUE"""),767.15)</f>
        <v>767.15</v>
      </c>
      <c r="K17" s="3">
        <f t="shared" si="2"/>
        <v>0</v>
      </c>
      <c r="L17" s="3">
        <f t="shared" si="3"/>
        <v>0</v>
      </c>
    </row>
    <row r="18" customHeight="1" spans="1:12">
      <c r="A18" s="47">
        <f>IFERROR(__xludf.DUMMYFUNCTION("""COMPUTED_VALUE"""),45768.6458333333)</f>
        <v>45768.6458333333</v>
      </c>
      <c r="B18" s="48">
        <f>IFERROR(__xludf.DUMMYFUNCTION("""COMPUTED_VALUE"""),816.7)</f>
        <v>816.7</v>
      </c>
      <c r="C18" s="47">
        <f>IFERROR(__xludf.DUMMYFUNCTION("""COMPUTED_VALUE"""),45768.6458333333)</f>
        <v>45768.6458333333</v>
      </c>
      <c r="D18" s="48">
        <f>IFERROR(__xludf.DUMMYFUNCTION("""COMPUTED_VALUE"""),803)</f>
        <v>803</v>
      </c>
      <c r="E18" s="47">
        <f>IFERROR(__xludf.DUMMYFUNCTION("""COMPUTED_VALUE"""),45768.6458333333)</f>
        <v>45768.6458333333</v>
      </c>
      <c r="F18" s="48">
        <f>IFERROR(__xludf.DUMMYFUNCTION("""COMPUTED_VALUE"""),16398507)</f>
        <v>16398507</v>
      </c>
      <c r="G18" s="47">
        <f>IFERROR(__xludf.DUMMYFUNCTION("""COMPUTED_VALUE"""),45768.6458333333)</f>
        <v>45768.6458333333</v>
      </c>
      <c r="H18" s="48">
        <f>IFERROR(__xludf.DUMMYFUNCTION("""COMPUTED_VALUE"""),824.35)</f>
        <v>824.35</v>
      </c>
      <c r="I18" s="47">
        <f>IFERROR(__xludf.DUMMYFUNCTION("""COMPUTED_VALUE"""),45768.6458333333)</f>
        <v>45768.6458333333</v>
      </c>
      <c r="J18" s="48">
        <f>IFERROR(__xludf.DUMMYFUNCTION("""COMPUTED_VALUE"""),801.4)</f>
        <v>801.4</v>
      </c>
      <c r="K18" s="3">
        <f t="shared" si="2"/>
        <v>0</v>
      </c>
      <c r="L18" s="3">
        <f t="shared" si="3"/>
        <v>0</v>
      </c>
    </row>
    <row r="19" customHeight="1" spans="1:12">
      <c r="A19" s="47">
        <f>IFERROR(__xludf.DUMMYFUNCTION("""COMPUTED_VALUE"""),45769.6458333333)</f>
        <v>45769.6458333333</v>
      </c>
      <c r="B19" s="48">
        <f>IFERROR(__xludf.DUMMYFUNCTION("""COMPUTED_VALUE"""),822.4)</f>
        <v>822.4</v>
      </c>
      <c r="C19" s="47">
        <f>IFERROR(__xludf.DUMMYFUNCTION("""COMPUTED_VALUE"""),45769.6458333333)</f>
        <v>45769.6458333333</v>
      </c>
      <c r="D19" s="48">
        <f>IFERROR(__xludf.DUMMYFUNCTION("""COMPUTED_VALUE"""),821.15)</f>
        <v>821.15</v>
      </c>
      <c r="E19" s="47">
        <f>IFERROR(__xludf.DUMMYFUNCTION("""COMPUTED_VALUE"""),45769.6458333333)</f>
        <v>45769.6458333333</v>
      </c>
      <c r="F19" s="48">
        <f>IFERROR(__xludf.DUMMYFUNCTION("""COMPUTED_VALUE"""),25117557)</f>
        <v>25117557</v>
      </c>
      <c r="G19" s="47">
        <f>IFERROR(__xludf.DUMMYFUNCTION("""COMPUTED_VALUE"""),45769.6458333333)</f>
        <v>45769.6458333333</v>
      </c>
      <c r="H19" s="48">
        <f>IFERROR(__xludf.DUMMYFUNCTION("""COMPUTED_VALUE"""),835.5)</f>
        <v>835.5</v>
      </c>
      <c r="I19" s="47">
        <f>IFERROR(__xludf.DUMMYFUNCTION("""COMPUTED_VALUE"""),45769.6458333333)</f>
        <v>45769.6458333333</v>
      </c>
      <c r="J19" s="48">
        <f>IFERROR(__xludf.DUMMYFUNCTION("""COMPUTED_VALUE"""),814)</f>
        <v>814</v>
      </c>
      <c r="K19" s="3">
        <f t="shared" si="2"/>
        <v>822.4</v>
      </c>
      <c r="L19" s="3">
        <f t="shared" si="3"/>
        <v>0</v>
      </c>
    </row>
    <row r="20" customHeight="1" spans="1:12">
      <c r="A20" s="47">
        <f>IFERROR(__xludf.DUMMYFUNCTION("""COMPUTED_VALUE"""),45770.6458333333)</f>
        <v>45770.6458333333</v>
      </c>
      <c r="B20" s="48">
        <f>IFERROR(__xludf.DUMMYFUNCTION("""COMPUTED_VALUE"""),813.45)</f>
        <v>813.45</v>
      </c>
      <c r="C20" s="47">
        <f>IFERROR(__xludf.DUMMYFUNCTION("""COMPUTED_VALUE"""),45770.6458333333)</f>
        <v>45770.6458333333</v>
      </c>
      <c r="D20" s="48">
        <f>IFERROR(__xludf.DUMMYFUNCTION("""COMPUTED_VALUE"""),826)</f>
        <v>826</v>
      </c>
      <c r="E20" s="47">
        <f>IFERROR(__xludf.DUMMYFUNCTION("""COMPUTED_VALUE"""),45770.6458333333)</f>
        <v>45770.6458333333</v>
      </c>
      <c r="F20" s="48">
        <f>IFERROR(__xludf.DUMMYFUNCTION("""COMPUTED_VALUE"""),12104382)</f>
        <v>12104382</v>
      </c>
      <c r="G20" s="47">
        <f>IFERROR(__xludf.DUMMYFUNCTION("""COMPUTED_VALUE"""),45770.6458333333)</f>
        <v>45770.6458333333</v>
      </c>
      <c r="H20" s="48">
        <f>IFERROR(__xludf.DUMMYFUNCTION("""COMPUTED_VALUE"""),831)</f>
        <v>831</v>
      </c>
      <c r="I20" s="47">
        <f>IFERROR(__xludf.DUMMYFUNCTION("""COMPUTED_VALUE"""),45770.6458333333)</f>
        <v>45770.6458333333</v>
      </c>
      <c r="J20" s="48">
        <f>IFERROR(__xludf.DUMMYFUNCTION("""COMPUTED_VALUE"""),810.1)</f>
        <v>810.1</v>
      </c>
      <c r="K20" s="3">
        <f t="shared" si="2"/>
        <v>0</v>
      </c>
      <c r="L20" s="3">
        <f t="shared" si="3"/>
        <v>0</v>
      </c>
    </row>
    <row r="21" customHeight="1" spans="1:12">
      <c r="A21" s="47">
        <f>IFERROR(__xludf.DUMMYFUNCTION("""COMPUTED_VALUE"""),45771.6458333333)</f>
        <v>45771.6458333333</v>
      </c>
      <c r="B21" s="48">
        <f>IFERROR(__xludf.DUMMYFUNCTION("""COMPUTED_VALUE"""),813.4)</f>
        <v>813.4</v>
      </c>
      <c r="C21" s="47">
        <f>IFERROR(__xludf.DUMMYFUNCTION("""COMPUTED_VALUE"""),45771.6458333333)</f>
        <v>45771.6458333333</v>
      </c>
      <c r="D21" s="48">
        <f>IFERROR(__xludf.DUMMYFUNCTION("""COMPUTED_VALUE"""),812.75)</f>
        <v>812.75</v>
      </c>
      <c r="E21" s="47">
        <f>IFERROR(__xludf.DUMMYFUNCTION("""COMPUTED_VALUE"""),45771.6458333333)</f>
        <v>45771.6458333333</v>
      </c>
      <c r="F21" s="48">
        <f>IFERROR(__xludf.DUMMYFUNCTION("""COMPUTED_VALUE"""),12713521)</f>
        <v>12713521</v>
      </c>
      <c r="G21" s="47">
        <f>IFERROR(__xludf.DUMMYFUNCTION("""COMPUTED_VALUE"""),45771.6458333333)</f>
        <v>45771.6458333333</v>
      </c>
      <c r="H21" s="48">
        <f>IFERROR(__xludf.DUMMYFUNCTION("""COMPUTED_VALUE"""),819)</f>
        <v>819</v>
      </c>
      <c r="I21" s="47">
        <f>IFERROR(__xludf.DUMMYFUNCTION("""COMPUTED_VALUE"""),45771.6458333333)</f>
        <v>45771.6458333333</v>
      </c>
      <c r="J21" s="48">
        <f>IFERROR(__xludf.DUMMYFUNCTION("""COMPUTED_VALUE"""),811.15)</f>
        <v>811.15</v>
      </c>
      <c r="K21" s="3">
        <f t="shared" si="2"/>
        <v>0</v>
      </c>
      <c r="L21" s="3">
        <f t="shared" si="3"/>
        <v>0</v>
      </c>
    </row>
    <row r="22" customHeight="1" spans="1:12">
      <c r="A22" s="47">
        <f>IFERROR(__xludf.DUMMYFUNCTION("""COMPUTED_VALUE"""),45772.6458333333)</f>
        <v>45772.6458333333</v>
      </c>
      <c r="B22" s="48">
        <f>IFERROR(__xludf.DUMMYFUNCTION("""COMPUTED_VALUE"""),798.65)</f>
        <v>798.65</v>
      </c>
      <c r="C22" s="47">
        <f>IFERROR(__xludf.DUMMYFUNCTION("""COMPUTED_VALUE"""),45772.6458333333)</f>
        <v>45772.6458333333</v>
      </c>
      <c r="D22" s="48">
        <f>IFERROR(__xludf.DUMMYFUNCTION("""COMPUTED_VALUE"""),815)</f>
        <v>815</v>
      </c>
      <c r="E22" s="47">
        <f>IFERROR(__xludf.DUMMYFUNCTION("""COMPUTED_VALUE"""),45772.6458333333)</f>
        <v>45772.6458333333</v>
      </c>
      <c r="F22" s="48">
        <f>IFERROR(__xludf.DUMMYFUNCTION("""COMPUTED_VALUE"""),13131038)</f>
        <v>13131038</v>
      </c>
      <c r="G22" s="47">
        <f>IFERROR(__xludf.DUMMYFUNCTION("""COMPUTED_VALUE"""),45772.6458333333)</f>
        <v>45772.6458333333</v>
      </c>
      <c r="H22" s="48">
        <f>IFERROR(__xludf.DUMMYFUNCTION("""COMPUTED_VALUE"""),819)</f>
        <v>819</v>
      </c>
      <c r="I22" s="47">
        <f>IFERROR(__xludf.DUMMYFUNCTION("""COMPUTED_VALUE"""),45772.6458333333)</f>
        <v>45772.6458333333</v>
      </c>
      <c r="J22" s="48">
        <f>IFERROR(__xludf.DUMMYFUNCTION("""COMPUTED_VALUE"""),787)</f>
        <v>787</v>
      </c>
      <c r="K22" s="3">
        <f t="shared" si="2"/>
        <v>0</v>
      </c>
      <c r="L22" s="3">
        <f t="shared" si="3"/>
        <v>0</v>
      </c>
    </row>
    <row r="23" customHeight="1" spans="1:12">
      <c r="A23" s="47">
        <f>IFERROR(__xludf.DUMMYFUNCTION("""COMPUTED_VALUE"""),45775.6458333333)</f>
        <v>45775.6458333333</v>
      </c>
      <c r="B23" s="48">
        <f>IFERROR(__xludf.DUMMYFUNCTION("""COMPUTED_VALUE"""),817.35)</f>
        <v>817.35</v>
      </c>
      <c r="C23" s="47">
        <f>IFERROR(__xludf.DUMMYFUNCTION("""COMPUTED_VALUE"""),45775.6458333333)</f>
        <v>45775.6458333333</v>
      </c>
      <c r="D23" s="48">
        <f>IFERROR(__xludf.DUMMYFUNCTION("""COMPUTED_VALUE"""),798.65)</f>
        <v>798.65</v>
      </c>
      <c r="E23" s="47">
        <f>IFERROR(__xludf.DUMMYFUNCTION("""COMPUTED_VALUE"""),45775.6458333333)</f>
        <v>45775.6458333333</v>
      </c>
      <c r="F23" s="48">
        <f>IFERROR(__xludf.DUMMYFUNCTION("""COMPUTED_VALUE"""),11317611)</f>
        <v>11317611</v>
      </c>
      <c r="G23" s="47">
        <f>IFERROR(__xludf.DUMMYFUNCTION("""COMPUTED_VALUE"""),45775.6458333333)</f>
        <v>45775.6458333333</v>
      </c>
      <c r="H23" s="48">
        <f>IFERROR(__xludf.DUMMYFUNCTION("""COMPUTED_VALUE"""),822.8)</f>
        <v>822.8</v>
      </c>
      <c r="I23" s="47">
        <f>IFERROR(__xludf.DUMMYFUNCTION("""COMPUTED_VALUE"""),45775.6458333333)</f>
        <v>45775.6458333333</v>
      </c>
      <c r="J23" s="48">
        <f>IFERROR(__xludf.DUMMYFUNCTION("""COMPUTED_VALUE"""),797.4)</f>
        <v>797.4</v>
      </c>
      <c r="K23" s="3">
        <f t="shared" si="2"/>
        <v>0</v>
      </c>
      <c r="L23" s="3">
        <f t="shared" si="3"/>
        <v>0</v>
      </c>
    </row>
    <row r="24" customHeight="1" spans="1:12">
      <c r="A24" s="47">
        <f>IFERROR(__xludf.DUMMYFUNCTION("""COMPUTED_VALUE"""),45776.6458333333)</f>
        <v>45776.6458333333</v>
      </c>
      <c r="B24" s="48">
        <f>IFERROR(__xludf.DUMMYFUNCTION("""COMPUTED_VALUE"""),812.55)</f>
        <v>812.55</v>
      </c>
      <c r="C24" s="47">
        <f>IFERROR(__xludf.DUMMYFUNCTION("""COMPUTED_VALUE"""),45776.6458333333)</f>
        <v>45776.6458333333</v>
      </c>
      <c r="D24" s="48">
        <f>IFERROR(__xludf.DUMMYFUNCTION("""COMPUTED_VALUE"""),820)</f>
        <v>820</v>
      </c>
      <c r="E24" s="47">
        <f>IFERROR(__xludf.DUMMYFUNCTION("""COMPUTED_VALUE"""),45776.6458333333)</f>
        <v>45776.6458333333</v>
      </c>
      <c r="F24" s="48">
        <f>IFERROR(__xludf.DUMMYFUNCTION("""COMPUTED_VALUE"""),11283059)</f>
        <v>11283059</v>
      </c>
      <c r="G24" s="47">
        <f>IFERROR(__xludf.DUMMYFUNCTION("""COMPUTED_VALUE"""),45776.6458333333)</f>
        <v>45776.6458333333</v>
      </c>
      <c r="H24" s="48">
        <f>IFERROR(__xludf.DUMMYFUNCTION("""COMPUTED_VALUE"""),829)</f>
        <v>829</v>
      </c>
      <c r="I24" s="47">
        <f>IFERROR(__xludf.DUMMYFUNCTION("""COMPUTED_VALUE"""),45776.6458333333)</f>
        <v>45776.6458333333</v>
      </c>
      <c r="J24" s="48">
        <f>IFERROR(__xludf.DUMMYFUNCTION("""COMPUTED_VALUE"""),809)</f>
        <v>809</v>
      </c>
      <c r="K24" s="3">
        <f t="shared" si="2"/>
        <v>0</v>
      </c>
      <c r="L24" s="3">
        <f t="shared" si="3"/>
        <v>0</v>
      </c>
    </row>
    <row r="25" customHeight="1" spans="1:12">
      <c r="A25" s="47">
        <f>IFERROR(__xludf.DUMMYFUNCTION("""COMPUTED_VALUE"""),45777.6458333333)</f>
        <v>45777.6458333333</v>
      </c>
      <c r="B25" s="48">
        <f>IFERROR(__xludf.DUMMYFUNCTION("""COMPUTED_VALUE"""),788.65)</f>
        <v>788.65</v>
      </c>
      <c r="C25" s="47">
        <f>IFERROR(__xludf.DUMMYFUNCTION("""COMPUTED_VALUE"""),45777.6458333333)</f>
        <v>45777.6458333333</v>
      </c>
      <c r="D25" s="48">
        <f>IFERROR(__xludf.DUMMYFUNCTION("""COMPUTED_VALUE"""),811.5)</f>
        <v>811.5</v>
      </c>
      <c r="E25" s="47">
        <f>IFERROR(__xludf.DUMMYFUNCTION("""COMPUTED_VALUE"""),45777.6458333333)</f>
        <v>45777.6458333333</v>
      </c>
      <c r="F25" s="48">
        <f>IFERROR(__xludf.DUMMYFUNCTION("""COMPUTED_VALUE"""),25635764)</f>
        <v>25635764</v>
      </c>
      <c r="G25" s="47">
        <f>IFERROR(__xludf.DUMMYFUNCTION("""COMPUTED_VALUE"""),45777.6458333333)</f>
        <v>45777.6458333333</v>
      </c>
      <c r="H25" s="48">
        <f>IFERROR(__xludf.DUMMYFUNCTION("""COMPUTED_VALUE"""),811.5)</f>
        <v>811.5</v>
      </c>
      <c r="I25" s="47">
        <f>IFERROR(__xludf.DUMMYFUNCTION("""COMPUTED_VALUE"""),45777.6458333333)</f>
        <v>45777.6458333333</v>
      </c>
      <c r="J25" s="48">
        <f>IFERROR(__xludf.DUMMYFUNCTION("""COMPUTED_VALUE"""),784.5)</f>
        <v>784.5</v>
      </c>
      <c r="K25" s="3">
        <f t="shared" si="2"/>
        <v>0</v>
      </c>
      <c r="L25" s="3">
        <f t="shared" si="3"/>
        <v>0</v>
      </c>
    </row>
    <row r="26" customHeight="1" spans="1:12">
      <c r="A26" s="47">
        <f>IFERROR(__xludf.DUMMYFUNCTION("""COMPUTED_VALUE"""),45779.6458333333)</f>
        <v>45779.6458333333</v>
      </c>
      <c r="B26" s="48">
        <f>IFERROR(__xludf.DUMMYFUNCTION("""COMPUTED_VALUE"""),800)</f>
        <v>800</v>
      </c>
      <c r="C26" s="47">
        <f>IFERROR(__xludf.DUMMYFUNCTION("""COMPUTED_VALUE"""),45779.6458333333)</f>
        <v>45779.6458333333</v>
      </c>
      <c r="D26" s="48">
        <f>IFERROR(__xludf.DUMMYFUNCTION("""COMPUTED_VALUE"""),790.35)</f>
        <v>790.35</v>
      </c>
      <c r="E26" s="47">
        <f>IFERROR(__xludf.DUMMYFUNCTION("""COMPUTED_VALUE"""),45779.6458333333)</f>
        <v>45779.6458333333</v>
      </c>
      <c r="F26" s="48">
        <f>IFERROR(__xludf.DUMMYFUNCTION("""COMPUTED_VALUE"""),14720184)</f>
        <v>14720184</v>
      </c>
      <c r="G26" s="47">
        <f>IFERROR(__xludf.DUMMYFUNCTION("""COMPUTED_VALUE"""),45779.6458333333)</f>
        <v>45779.6458333333</v>
      </c>
      <c r="H26" s="48">
        <f>IFERROR(__xludf.DUMMYFUNCTION("""COMPUTED_VALUE"""),803.4)</f>
        <v>803.4</v>
      </c>
      <c r="I26" s="47">
        <f>IFERROR(__xludf.DUMMYFUNCTION("""COMPUTED_VALUE"""),45779.6458333333)</f>
        <v>45779.6458333333</v>
      </c>
      <c r="J26" s="48">
        <f>IFERROR(__xludf.DUMMYFUNCTION("""COMPUTED_VALUE"""),789)</f>
        <v>789</v>
      </c>
      <c r="K26" s="3">
        <f t="shared" si="2"/>
        <v>0</v>
      </c>
      <c r="L26" s="3">
        <f t="shared" si="3"/>
        <v>0</v>
      </c>
    </row>
    <row r="27" customHeight="1" spans="1:12">
      <c r="A27" s="47">
        <f>IFERROR(__xludf.DUMMYFUNCTION("""COMPUTED_VALUE"""),45782.6458333333)</f>
        <v>45782.6458333333</v>
      </c>
      <c r="B27" s="48">
        <f>IFERROR(__xludf.DUMMYFUNCTION("""COMPUTED_VALUE"""),790)</f>
        <v>790</v>
      </c>
      <c r="C27" s="47">
        <f>IFERROR(__xludf.DUMMYFUNCTION("""COMPUTED_VALUE"""),45782.6458333333)</f>
        <v>45782.6458333333</v>
      </c>
      <c r="D27" s="48">
        <f>IFERROR(__xludf.DUMMYFUNCTION("""COMPUTED_VALUE"""),782)</f>
        <v>782</v>
      </c>
      <c r="E27" s="47">
        <f>IFERROR(__xludf.DUMMYFUNCTION("""COMPUTED_VALUE"""),45782.6458333333)</f>
        <v>45782.6458333333</v>
      </c>
      <c r="F27" s="48">
        <f>IFERROR(__xludf.DUMMYFUNCTION("""COMPUTED_VALUE"""),23986447)</f>
        <v>23986447</v>
      </c>
      <c r="G27" s="47">
        <f>IFERROR(__xludf.DUMMYFUNCTION("""COMPUTED_VALUE"""),45782.6458333333)</f>
        <v>45782.6458333333</v>
      </c>
      <c r="H27" s="48">
        <f>IFERROR(__xludf.DUMMYFUNCTION("""COMPUTED_VALUE"""),799)</f>
        <v>799</v>
      </c>
      <c r="I27" s="47">
        <f>IFERROR(__xludf.DUMMYFUNCTION("""COMPUTED_VALUE"""),45782.6458333333)</f>
        <v>45782.6458333333</v>
      </c>
      <c r="J27" s="48">
        <f>IFERROR(__xludf.DUMMYFUNCTION("""COMPUTED_VALUE"""),782)</f>
        <v>782</v>
      </c>
      <c r="K27" s="3">
        <f t="shared" si="2"/>
        <v>0</v>
      </c>
      <c r="L27" s="3">
        <f t="shared" si="3"/>
        <v>0</v>
      </c>
    </row>
    <row r="28" customHeight="1" spans="1:12">
      <c r="A28" s="47">
        <f>IFERROR(__xludf.DUMMYFUNCTION("""COMPUTED_VALUE"""),45783.6458333333)</f>
        <v>45783.6458333333</v>
      </c>
      <c r="B28" s="48">
        <f>IFERROR(__xludf.DUMMYFUNCTION("""COMPUTED_VALUE"""),774.1)</f>
        <v>774.1</v>
      </c>
      <c r="C28" s="47">
        <f>IFERROR(__xludf.DUMMYFUNCTION("""COMPUTED_VALUE"""),45783.6458333333)</f>
        <v>45783.6458333333</v>
      </c>
      <c r="D28" s="48">
        <f>IFERROR(__xludf.DUMMYFUNCTION("""COMPUTED_VALUE"""),793.95)</f>
        <v>793.95</v>
      </c>
      <c r="E28" s="47">
        <f>IFERROR(__xludf.DUMMYFUNCTION("""COMPUTED_VALUE"""),45783.6458333333)</f>
        <v>45783.6458333333</v>
      </c>
      <c r="F28" s="48">
        <f>IFERROR(__xludf.DUMMYFUNCTION("""COMPUTED_VALUE"""),18869468)</f>
        <v>18869468</v>
      </c>
      <c r="G28" s="47">
        <f>IFERROR(__xludf.DUMMYFUNCTION("""COMPUTED_VALUE"""),45783.6458333333)</f>
        <v>45783.6458333333</v>
      </c>
      <c r="H28" s="48">
        <f>IFERROR(__xludf.DUMMYFUNCTION("""COMPUTED_VALUE"""),799.15)</f>
        <v>799.15</v>
      </c>
      <c r="I28" s="47">
        <f>IFERROR(__xludf.DUMMYFUNCTION("""COMPUTED_VALUE"""),45783.6458333333)</f>
        <v>45783.6458333333</v>
      </c>
      <c r="J28" s="48">
        <f>IFERROR(__xludf.DUMMYFUNCTION("""COMPUTED_VALUE"""),771.1)</f>
        <v>771.1</v>
      </c>
      <c r="K28" s="3">
        <f t="shared" si="2"/>
        <v>0</v>
      </c>
      <c r="L28" s="3">
        <f t="shared" si="3"/>
        <v>0</v>
      </c>
    </row>
    <row r="29" customHeight="1" spans="1:12">
      <c r="A29" s="47">
        <f>IFERROR(__xludf.DUMMYFUNCTION("""COMPUTED_VALUE"""),45784.6458333333)</f>
        <v>45784.6458333333</v>
      </c>
      <c r="B29" s="48">
        <f>IFERROR(__xludf.DUMMYFUNCTION("""COMPUTED_VALUE"""),776.1)</f>
        <v>776.1</v>
      </c>
      <c r="C29" s="47">
        <f>IFERROR(__xludf.DUMMYFUNCTION("""COMPUTED_VALUE"""),45784.6458333333)</f>
        <v>45784.6458333333</v>
      </c>
      <c r="D29" s="48">
        <f>IFERROR(__xludf.DUMMYFUNCTION("""COMPUTED_VALUE"""),765.3)</f>
        <v>765.3</v>
      </c>
      <c r="E29" s="47">
        <f>IFERROR(__xludf.DUMMYFUNCTION("""COMPUTED_VALUE"""),45784.6458333333)</f>
        <v>45784.6458333333</v>
      </c>
      <c r="F29" s="48">
        <f>IFERROR(__xludf.DUMMYFUNCTION("""COMPUTED_VALUE"""),15586266)</f>
        <v>15586266</v>
      </c>
      <c r="G29" s="47">
        <f>IFERROR(__xludf.DUMMYFUNCTION("""COMPUTED_VALUE"""),45784.6458333333)</f>
        <v>45784.6458333333</v>
      </c>
      <c r="H29" s="48">
        <f>IFERROR(__xludf.DUMMYFUNCTION("""COMPUTED_VALUE"""),782.4)</f>
        <v>782.4</v>
      </c>
      <c r="I29" s="47">
        <f>IFERROR(__xludf.DUMMYFUNCTION("""COMPUTED_VALUE"""),45784.6458333333)</f>
        <v>45784.6458333333</v>
      </c>
      <c r="J29" s="48">
        <f>IFERROR(__xludf.DUMMYFUNCTION("""COMPUTED_VALUE"""),764.55)</f>
        <v>764.55</v>
      </c>
      <c r="K29" s="3">
        <f t="shared" si="2"/>
        <v>0</v>
      </c>
      <c r="L29" s="3">
        <f t="shared" si="3"/>
        <v>0</v>
      </c>
    </row>
    <row r="30" customHeight="1" spans="1:12">
      <c r="A30" s="47">
        <f>IFERROR(__xludf.DUMMYFUNCTION("""COMPUTED_VALUE"""),45785.6458333333)</f>
        <v>45785.6458333333</v>
      </c>
      <c r="B30" s="48">
        <f>IFERROR(__xludf.DUMMYFUNCTION("""COMPUTED_VALUE"""),769)</f>
        <v>769</v>
      </c>
      <c r="C30" s="47">
        <f>IFERROR(__xludf.DUMMYFUNCTION("""COMPUTED_VALUE"""),45785.6458333333)</f>
        <v>45785.6458333333</v>
      </c>
      <c r="D30" s="48">
        <f>IFERROR(__xludf.DUMMYFUNCTION("""COMPUTED_VALUE"""),779)</f>
        <v>779</v>
      </c>
      <c r="E30" s="47">
        <f>IFERROR(__xludf.DUMMYFUNCTION("""COMPUTED_VALUE"""),45785.6458333333)</f>
        <v>45785.6458333333</v>
      </c>
      <c r="F30" s="48">
        <f>IFERROR(__xludf.DUMMYFUNCTION("""COMPUTED_VALUE"""),14491673)</f>
        <v>14491673</v>
      </c>
      <c r="G30" s="47">
        <f>IFERROR(__xludf.DUMMYFUNCTION("""COMPUTED_VALUE"""),45785.6458333333)</f>
        <v>45785.6458333333</v>
      </c>
      <c r="H30" s="48">
        <f>IFERROR(__xludf.DUMMYFUNCTION("""COMPUTED_VALUE"""),786.5)</f>
        <v>786.5</v>
      </c>
      <c r="I30" s="47">
        <f>IFERROR(__xludf.DUMMYFUNCTION("""COMPUTED_VALUE"""),45785.6458333333)</f>
        <v>45785.6458333333</v>
      </c>
      <c r="J30" s="48">
        <f>IFERROR(__xludf.DUMMYFUNCTION("""COMPUTED_VALUE"""),764)</f>
        <v>764</v>
      </c>
      <c r="K30" s="3">
        <f t="shared" si="2"/>
        <v>0</v>
      </c>
      <c r="L30" s="3">
        <f t="shared" si="3"/>
        <v>769</v>
      </c>
    </row>
    <row r="31" customHeight="1" spans="1:12">
      <c r="A31" s="47">
        <f>IFERROR(__xludf.DUMMYFUNCTION("""COMPUTED_VALUE"""),45786.6458333333)</f>
        <v>45786.6458333333</v>
      </c>
      <c r="B31" s="48">
        <f>IFERROR(__xludf.DUMMYFUNCTION("""COMPUTED_VALUE"""),779.25)</f>
        <v>779.25</v>
      </c>
      <c r="C31" s="47">
        <f>IFERROR(__xludf.DUMMYFUNCTION("""COMPUTED_VALUE"""),45786.6458333333)</f>
        <v>45786.6458333333</v>
      </c>
      <c r="D31" s="48">
        <f>IFERROR(__xludf.DUMMYFUNCTION("""COMPUTED_VALUE"""),756.5)</f>
        <v>756.5</v>
      </c>
      <c r="E31" s="47">
        <f>IFERROR(__xludf.DUMMYFUNCTION("""COMPUTED_VALUE"""),45786.6458333333)</f>
        <v>45786.6458333333</v>
      </c>
      <c r="F31" s="48">
        <f>IFERROR(__xludf.DUMMYFUNCTION("""COMPUTED_VALUE"""),13578216)</f>
        <v>13578216</v>
      </c>
      <c r="G31" s="47">
        <f>IFERROR(__xludf.DUMMYFUNCTION("""COMPUTED_VALUE"""),45786.6458333333)</f>
        <v>45786.6458333333</v>
      </c>
      <c r="H31" s="48">
        <f>IFERROR(__xludf.DUMMYFUNCTION("""COMPUTED_VALUE"""),781.7)</f>
        <v>781.7</v>
      </c>
      <c r="I31" s="47">
        <f>IFERROR(__xludf.DUMMYFUNCTION("""COMPUTED_VALUE"""),45786.6458333333)</f>
        <v>45786.6458333333</v>
      </c>
      <c r="J31" s="48">
        <f>IFERROR(__xludf.DUMMYFUNCTION("""COMPUTED_VALUE"""),755.5)</f>
        <v>755.5</v>
      </c>
      <c r="K31" s="3">
        <f t="shared" si="2"/>
        <v>0</v>
      </c>
      <c r="L31" s="3">
        <f t="shared" si="3"/>
        <v>0</v>
      </c>
    </row>
    <row r="32" customHeight="1" spans="1:12">
      <c r="A32" s="47">
        <f>IFERROR(__xludf.DUMMYFUNCTION("""COMPUTED_VALUE"""),45789.6458333333)</f>
        <v>45789.6458333333</v>
      </c>
      <c r="B32" s="48">
        <f>IFERROR(__xludf.DUMMYFUNCTION("""COMPUTED_VALUE"""),801.65)</f>
        <v>801.65</v>
      </c>
      <c r="C32" s="47">
        <f>IFERROR(__xludf.DUMMYFUNCTION("""COMPUTED_VALUE"""),45789.6458333333)</f>
        <v>45789.6458333333</v>
      </c>
      <c r="D32" s="48">
        <f>IFERROR(__xludf.DUMMYFUNCTION("""COMPUTED_VALUE"""),799)</f>
        <v>799</v>
      </c>
      <c r="E32" s="47">
        <f>IFERROR(__xludf.DUMMYFUNCTION("""COMPUTED_VALUE"""),45789.6458333333)</f>
        <v>45789.6458333333</v>
      </c>
      <c r="F32" s="48">
        <f>IFERROR(__xludf.DUMMYFUNCTION("""COMPUTED_VALUE"""),15096824)</f>
        <v>15096824</v>
      </c>
      <c r="G32" s="47">
        <f>IFERROR(__xludf.DUMMYFUNCTION("""COMPUTED_VALUE"""),45789.6458333333)</f>
        <v>45789.6458333333</v>
      </c>
      <c r="H32" s="48">
        <f>IFERROR(__xludf.DUMMYFUNCTION("""COMPUTED_VALUE"""),803.9)</f>
        <v>803.9</v>
      </c>
      <c r="I32" s="47">
        <f>IFERROR(__xludf.DUMMYFUNCTION("""COMPUTED_VALUE"""),45789.6458333333)</f>
        <v>45789.6458333333</v>
      </c>
      <c r="J32" s="48">
        <f>IFERROR(__xludf.DUMMYFUNCTION("""COMPUTED_VALUE"""),793)</f>
        <v>793</v>
      </c>
      <c r="K32" s="3">
        <f t="shared" si="2"/>
        <v>0</v>
      </c>
      <c r="L32" s="3">
        <f t="shared" si="3"/>
        <v>0</v>
      </c>
    </row>
    <row r="33" customHeight="1" spans="1:12">
      <c r="A33" s="47">
        <f>IFERROR(__xludf.DUMMYFUNCTION("""COMPUTED_VALUE"""),45790.6458333333)</f>
        <v>45790.6458333333</v>
      </c>
      <c r="B33" s="48">
        <f>IFERROR(__xludf.DUMMYFUNCTION("""COMPUTED_VALUE"""),801.75)</f>
        <v>801.75</v>
      </c>
      <c r="C33" s="47">
        <f>IFERROR(__xludf.DUMMYFUNCTION("""COMPUTED_VALUE"""),45790.6458333333)</f>
        <v>45790.6458333333</v>
      </c>
      <c r="D33" s="48">
        <f>IFERROR(__xludf.DUMMYFUNCTION("""COMPUTED_VALUE"""),798.6)</f>
        <v>798.6</v>
      </c>
      <c r="E33" s="47">
        <f>IFERROR(__xludf.DUMMYFUNCTION("""COMPUTED_VALUE"""),45790.6458333333)</f>
        <v>45790.6458333333</v>
      </c>
      <c r="F33" s="48">
        <f>IFERROR(__xludf.DUMMYFUNCTION("""COMPUTED_VALUE"""),13909596)</f>
        <v>13909596</v>
      </c>
      <c r="G33" s="47">
        <f>IFERROR(__xludf.DUMMYFUNCTION("""COMPUTED_VALUE"""),45790.6458333333)</f>
        <v>45790.6458333333</v>
      </c>
      <c r="H33" s="48">
        <f>IFERROR(__xludf.DUMMYFUNCTION("""COMPUTED_VALUE"""),807.65)</f>
        <v>807.65</v>
      </c>
      <c r="I33" s="47">
        <f>IFERROR(__xludf.DUMMYFUNCTION("""COMPUTED_VALUE"""),45790.6458333333)</f>
        <v>45790.6458333333</v>
      </c>
      <c r="J33" s="48">
        <f>IFERROR(__xludf.DUMMYFUNCTION("""COMPUTED_VALUE"""),797.2)</f>
        <v>797.2</v>
      </c>
      <c r="K33" s="3">
        <f t="shared" si="2"/>
        <v>0</v>
      </c>
      <c r="L33" s="3">
        <f t="shared" si="3"/>
        <v>0</v>
      </c>
    </row>
    <row r="34" customHeight="1" spans="1:12">
      <c r="A34" s="47">
        <f>IFERROR(__xludf.DUMMYFUNCTION("""COMPUTED_VALUE"""),45791.6458333333)</f>
        <v>45791.6458333333</v>
      </c>
      <c r="B34" s="48">
        <f>IFERROR(__xludf.DUMMYFUNCTION("""COMPUTED_VALUE"""),800.7)</f>
        <v>800.7</v>
      </c>
      <c r="C34" s="47">
        <f>IFERROR(__xludf.DUMMYFUNCTION("""COMPUTED_VALUE"""),45791.6458333333)</f>
        <v>45791.6458333333</v>
      </c>
      <c r="D34" s="48">
        <f>IFERROR(__xludf.DUMMYFUNCTION("""COMPUTED_VALUE"""),805.75)</f>
        <v>805.75</v>
      </c>
      <c r="E34" s="47">
        <f>IFERROR(__xludf.DUMMYFUNCTION("""COMPUTED_VALUE"""),45791.6458333333)</f>
        <v>45791.6458333333</v>
      </c>
      <c r="F34" s="48">
        <f>IFERROR(__xludf.DUMMYFUNCTION("""COMPUTED_VALUE"""),9281719)</f>
        <v>9281719</v>
      </c>
      <c r="G34" s="47">
        <f>IFERROR(__xludf.DUMMYFUNCTION("""COMPUTED_VALUE"""),45791.6458333333)</f>
        <v>45791.6458333333</v>
      </c>
      <c r="H34" s="48">
        <f>IFERROR(__xludf.DUMMYFUNCTION("""COMPUTED_VALUE"""),807.5)</f>
        <v>807.5</v>
      </c>
      <c r="I34" s="47">
        <f>IFERROR(__xludf.DUMMYFUNCTION("""COMPUTED_VALUE"""),45791.6458333333)</f>
        <v>45791.6458333333</v>
      </c>
      <c r="J34" s="48">
        <f>IFERROR(__xludf.DUMMYFUNCTION("""COMPUTED_VALUE"""),796.3)</f>
        <v>796.3</v>
      </c>
      <c r="K34" s="3">
        <f t="shared" si="2"/>
        <v>0</v>
      </c>
      <c r="L34" s="3">
        <f t="shared" si="3"/>
        <v>0</v>
      </c>
    </row>
    <row r="35" customHeight="1" spans="1:12">
      <c r="A35" s="47">
        <f>IFERROR(__xludf.DUMMYFUNCTION("""COMPUTED_VALUE"""),45792.6458333333)</f>
        <v>45792.6458333333</v>
      </c>
      <c r="B35" s="48">
        <f>IFERROR(__xludf.DUMMYFUNCTION("""COMPUTED_VALUE"""),807.75)</f>
        <v>807.75</v>
      </c>
      <c r="C35" s="47">
        <f>IFERROR(__xludf.DUMMYFUNCTION("""COMPUTED_VALUE"""),45792.6458333333)</f>
        <v>45792.6458333333</v>
      </c>
      <c r="D35" s="48">
        <f>IFERROR(__xludf.DUMMYFUNCTION("""COMPUTED_VALUE"""),804.45)</f>
        <v>804.45</v>
      </c>
      <c r="E35" s="47">
        <f>IFERROR(__xludf.DUMMYFUNCTION("""COMPUTED_VALUE"""),45792.6458333333)</f>
        <v>45792.6458333333</v>
      </c>
      <c r="F35" s="48">
        <f>IFERROR(__xludf.DUMMYFUNCTION("""COMPUTED_VALUE"""),17058854)</f>
        <v>17058854</v>
      </c>
      <c r="G35" s="47">
        <f>IFERROR(__xludf.DUMMYFUNCTION("""COMPUTED_VALUE"""),45792.6458333333)</f>
        <v>45792.6458333333</v>
      </c>
      <c r="H35" s="48">
        <f>IFERROR(__xludf.DUMMYFUNCTION("""COMPUTED_VALUE"""),809.45)</f>
        <v>809.45</v>
      </c>
      <c r="I35" s="47">
        <f>IFERROR(__xludf.DUMMYFUNCTION("""COMPUTED_VALUE"""),45792.6458333333)</f>
        <v>45792.6458333333</v>
      </c>
      <c r="J35" s="48">
        <f>IFERROR(__xludf.DUMMYFUNCTION("""COMPUTED_VALUE"""),794.5)</f>
        <v>794.5</v>
      </c>
      <c r="K35" s="3">
        <f t="shared" si="2"/>
        <v>807.75</v>
      </c>
      <c r="L35" s="3">
        <f t="shared" si="3"/>
        <v>0</v>
      </c>
    </row>
    <row r="36" customHeight="1" spans="1:12">
      <c r="A36" s="47">
        <f>IFERROR(__xludf.DUMMYFUNCTION("""COMPUTED_VALUE"""),45793.6458333333)</f>
        <v>45793.6458333333</v>
      </c>
      <c r="B36" s="48">
        <f>IFERROR(__xludf.DUMMYFUNCTION("""COMPUTED_VALUE"""),792.1)</f>
        <v>792.1</v>
      </c>
      <c r="C36" s="47">
        <f>IFERROR(__xludf.DUMMYFUNCTION("""COMPUTED_VALUE"""),45793.6458333333)</f>
        <v>45793.6458333333</v>
      </c>
      <c r="D36" s="48">
        <f>IFERROR(__xludf.DUMMYFUNCTION("""COMPUTED_VALUE"""),804)</f>
        <v>804</v>
      </c>
      <c r="E36" s="47">
        <f>IFERROR(__xludf.DUMMYFUNCTION("""COMPUTED_VALUE"""),45793.6458333333)</f>
        <v>45793.6458333333</v>
      </c>
      <c r="F36" s="48">
        <f>IFERROR(__xludf.DUMMYFUNCTION("""COMPUTED_VALUE"""),14733924)</f>
        <v>14733924</v>
      </c>
      <c r="G36" s="47">
        <f>IFERROR(__xludf.DUMMYFUNCTION("""COMPUTED_VALUE"""),45793.6458333333)</f>
        <v>45793.6458333333</v>
      </c>
      <c r="H36" s="48">
        <f>IFERROR(__xludf.DUMMYFUNCTION("""COMPUTED_VALUE"""),804)</f>
        <v>804</v>
      </c>
      <c r="I36" s="47">
        <f>IFERROR(__xludf.DUMMYFUNCTION("""COMPUTED_VALUE"""),45793.6458333333)</f>
        <v>45793.6458333333</v>
      </c>
      <c r="J36" s="48">
        <f>IFERROR(__xludf.DUMMYFUNCTION("""COMPUTED_VALUE"""),791)</f>
        <v>791</v>
      </c>
      <c r="K36" s="3">
        <f t="shared" si="2"/>
        <v>0</v>
      </c>
      <c r="L36" s="3">
        <f t="shared" si="3"/>
        <v>0</v>
      </c>
    </row>
    <row r="37" customHeight="1" spans="1:12">
      <c r="A37" s="47">
        <f>IFERROR(__xludf.DUMMYFUNCTION("""COMPUTED_VALUE"""),45796.6458333333)</f>
        <v>45796.6458333333</v>
      </c>
      <c r="B37" s="48">
        <f>IFERROR(__xludf.DUMMYFUNCTION("""COMPUTED_VALUE"""),795)</f>
        <v>795</v>
      </c>
      <c r="C37" s="47">
        <f>IFERROR(__xludf.DUMMYFUNCTION("""COMPUTED_VALUE"""),45796.6458333333)</f>
        <v>45796.6458333333</v>
      </c>
      <c r="D37" s="48">
        <f>IFERROR(__xludf.DUMMYFUNCTION("""COMPUTED_VALUE"""),792.1)</f>
        <v>792.1</v>
      </c>
      <c r="E37" s="47">
        <f>IFERROR(__xludf.DUMMYFUNCTION("""COMPUTED_VALUE"""),45796.6458333333)</f>
        <v>45796.6458333333</v>
      </c>
      <c r="F37" s="48">
        <f>IFERROR(__xludf.DUMMYFUNCTION("""COMPUTED_VALUE"""),10666184)</f>
        <v>10666184</v>
      </c>
      <c r="G37" s="47">
        <f>IFERROR(__xludf.DUMMYFUNCTION("""COMPUTED_VALUE"""),45796.6458333333)</f>
        <v>45796.6458333333</v>
      </c>
      <c r="H37" s="48">
        <f>IFERROR(__xludf.DUMMYFUNCTION("""COMPUTED_VALUE"""),801.4)</f>
        <v>801.4</v>
      </c>
      <c r="I37" s="47">
        <f>IFERROR(__xludf.DUMMYFUNCTION("""COMPUTED_VALUE"""),45796.6458333333)</f>
        <v>45796.6458333333</v>
      </c>
      <c r="J37" s="48">
        <f>IFERROR(__xludf.DUMMYFUNCTION("""COMPUTED_VALUE"""),792.1)</f>
        <v>792.1</v>
      </c>
      <c r="K37" s="3">
        <f t="shared" si="2"/>
        <v>0</v>
      </c>
      <c r="L37" s="3">
        <f t="shared" si="3"/>
        <v>0</v>
      </c>
    </row>
    <row r="38" customHeight="1" spans="1:12">
      <c r="A38" s="47">
        <f>IFERROR(__xludf.DUMMYFUNCTION("""COMPUTED_VALUE"""),45797.6458333333)</f>
        <v>45797.6458333333</v>
      </c>
      <c r="B38" s="48">
        <f>IFERROR(__xludf.DUMMYFUNCTION("""COMPUTED_VALUE"""),785.65)</f>
        <v>785.65</v>
      </c>
      <c r="C38" s="47">
        <f>IFERROR(__xludf.DUMMYFUNCTION("""COMPUTED_VALUE"""),45797.6458333333)</f>
        <v>45797.6458333333</v>
      </c>
      <c r="D38" s="48">
        <f>IFERROR(__xludf.DUMMYFUNCTION("""COMPUTED_VALUE"""),798.15)</f>
        <v>798.15</v>
      </c>
      <c r="E38" s="47">
        <f>IFERROR(__xludf.DUMMYFUNCTION("""COMPUTED_VALUE"""),45797.6458333333)</f>
        <v>45797.6458333333</v>
      </c>
      <c r="F38" s="48">
        <f>IFERROR(__xludf.DUMMYFUNCTION("""COMPUTED_VALUE"""),11324667)</f>
        <v>11324667</v>
      </c>
      <c r="G38" s="47">
        <f>IFERROR(__xludf.DUMMYFUNCTION("""COMPUTED_VALUE"""),45797.6458333333)</f>
        <v>45797.6458333333</v>
      </c>
      <c r="H38" s="48">
        <f>IFERROR(__xludf.DUMMYFUNCTION("""COMPUTED_VALUE"""),799.4)</f>
        <v>799.4</v>
      </c>
      <c r="I38" s="47">
        <f>IFERROR(__xludf.DUMMYFUNCTION("""COMPUTED_VALUE"""),45797.6458333333)</f>
        <v>45797.6458333333</v>
      </c>
      <c r="J38" s="48">
        <f>IFERROR(__xludf.DUMMYFUNCTION("""COMPUTED_VALUE"""),783.8)</f>
        <v>783.8</v>
      </c>
      <c r="K38" s="3">
        <f t="shared" si="2"/>
        <v>0</v>
      </c>
      <c r="L38" s="3">
        <f t="shared" si="3"/>
        <v>0</v>
      </c>
    </row>
    <row r="39" customHeight="1" spans="1:12">
      <c r="A39" s="47">
        <f>IFERROR(__xludf.DUMMYFUNCTION("""COMPUTED_VALUE"""),45798.6458333333)</f>
        <v>45798.6458333333</v>
      </c>
      <c r="B39" s="48">
        <f>IFERROR(__xludf.DUMMYFUNCTION("""COMPUTED_VALUE"""),787.1)</f>
        <v>787.1</v>
      </c>
      <c r="C39" s="47">
        <f>IFERROR(__xludf.DUMMYFUNCTION("""COMPUTED_VALUE"""),45798.6458333333)</f>
        <v>45798.6458333333</v>
      </c>
      <c r="D39" s="48">
        <f>IFERROR(__xludf.DUMMYFUNCTION("""COMPUTED_VALUE"""),787)</f>
        <v>787</v>
      </c>
      <c r="E39" s="47">
        <f>IFERROR(__xludf.DUMMYFUNCTION("""COMPUTED_VALUE"""),45798.6458333333)</f>
        <v>45798.6458333333</v>
      </c>
      <c r="F39" s="48">
        <f>IFERROR(__xludf.DUMMYFUNCTION("""COMPUTED_VALUE"""),8206040)</f>
        <v>8206040</v>
      </c>
      <c r="G39" s="47">
        <f>IFERROR(__xludf.DUMMYFUNCTION("""COMPUTED_VALUE"""),45798.6458333333)</f>
        <v>45798.6458333333</v>
      </c>
      <c r="H39" s="48">
        <f>IFERROR(__xludf.DUMMYFUNCTION("""COMPUTED_VALUE"""),791)</f>
        <v>791</v>
      </c>
      <c r="I39" s="47">
        <f>IFERROR(__xludf.DUMMYFUNCTION("""COMPUTED_VALUE"""),45798.6458333333)</f>
        <v>45798.6458333333</v>
      </c>
      <c r="J39" s="48">
        <f>IFERROR(__xludf.DUMMYFUNCTION("""COMPUTED_VALUE"""),779.1)</f>
        <v>779.1</v>
      </c>
      <c r="K39" s="3">
        <f t="shared" si="2"/>
        <v>0</v>
      </c>
      <c r="L39" s="3">
        <f t="shared" si="3"/>
        <v>0</v>
      </c>
    </row>
    <row r="40" customHeight="1" spans="1:12">
      <c r="A40" s="47">
        <f>IFERROR(__xludf.DUMMYFUNCTION("""COMPUTED_VALUE"""),45799.6458333333)</f>
        <v>45799.6458333333</v>
      </c>
      <c r="B40" s="48">
        <f>IFERROR(__xludf.DUMMYFUNCTION("""COMPUTED_VALUE"""),785.25)</f>
        <v>785.25</v>
      </c>
      <c r="C40" s="47">
        <f>IFERROR(__xludf.DUMMYFUNCTION("""COMPUTED_VALUE"""),45799.6458333333)</f>
        <v>45799.6458333333</v>
      </c>
      <c r="D40" s="48">
        <f>IFERROR(__xludf.DUMMYFUNCTION("""COMPUTED_VALUE"""),788)</f>
        <v>788</v>
      </c>
      <c r="E40" s="47">
        <f>IFERROR(__xludf.DUMMYFUNCTION("""COMPUTED_VALUE"""),45799.6458333333)</f>
        <v>45799.6458333333</v>
      </c>
      <c r="F40" s="48">
        <f>IFERROR(__xludf.DUMMYFUNCTION("""COMPUTED_VALUE"""),7355826)</f>
        <v>7355826</v>
      </c>
      <c r="G40" s="47">
        <f>IFERROR(__xludf.DUMMYFUNCTION("""COMPUTED_VALUE"""),45799.6458333333)</f>
        <v>45799.6458333333</v>
      </c>
      <c r="H40" s="48">
        <f>IFERROR(__xludf.DUMMYFUNCTION("""COMPUTED_VALUE"""),788.2)</f>
        <v>788.2</v>
      </c>
      <c r="I40" s="47">
        <f>IFERROR(__xludf.DUMMYFUNCTION("""COMPUTED_VALUE"""),45799.6458333333)</f>
        <v>45799.6458333333</v>
      </c>
      <c r="J40" s="48">
        <f>IFERROR(__xludf.DUMMYFUNCTION("""COMPUTED_VALUE"""),780.3)</f>
        <v>780.3</v>
      </c>
      <c r="K40" s="3">
        <f t="shared" si="2"/>
        <v>0</v>
      </c>
      <c r="L40" s="3">
        <f t="shared" si="3"/>
        <v>785.25</v>
      </c>
    </row>
    <row r="41" customHeight="1" spans="1:12">
      <c r="A41" s="47">
        <f>IFERROR(__xludf.DUMMYFUNCTION("""COMPUTED_VALUE"""),45800.6458333333)</f>
        <v>45800.6458333333</v>
      </c>
      <c r="B41" s="48">
        <f>IFERROR(__xludf.DUMMYFUNCTION("""COMPUTED_VALUE"""),790.5)</f>
        <v>790.5</v>
      </c>
      <c r="C41" s="47">
        <f>IFERROR(__xludf.DUMMYFUNCTION("""COMPUTED_VALUE"""),45800.6458333333)</f>
        <v>45800.6458333333</v>
      </c>
      <c r="D41" s="48">
        <f>IFERROR(__xludf.DUMMYFUNCTION("""COMPUTED_VALUE"""),787.9)</f>
        <v>787.9</v>
      </c>
      <c r="E41" s="47">
        <f>IFERROR(__xludf.DUMMYFUNCTION("""COMPUTED_VALUE"""),45800.6458333333)</f>
        <v>45800.6458333333</v>
      </c>
      <c r="F41" s="48">
        <f>IFERROR(__xludf.DUMMYFUNCTION("""COMPUTED_VALUE"""),5534158)</f>
        <v>5534158</v>
      </c>
      <c r="G41" s="47">
        <f>IFERROR(__xludf.DUMMYFUNCTION("""COMPUTED_VALUE"""),45800.6458333333)</f>
        <v>45800.6458333333</v>
      </c>
      <c r="H41" s="48">
        <f>IFERROR(__xludf.DUMMYFUNCTION("""COMPUTED_VALUE"""),794.95)</f>
        <v>794.95</v>
      </c>
      <c r="I41" s="47">
        <f>IFERROR(__xludf.DUMMYFUNCTION("""COMPUTED_VALUE"""),45800.6458333333)</f>
        <v>45800.6458333333</v>
      </c>
      <c r="J41" s="48">
        <f>IFERROR(__xludf.DUMMYFUNCTION("""COMPUTED_VALUE"""),786.2)</f>
        <v>786.2</v>
      </c>
      <c r="K41" s="3">
        <f t="shared" si="2"/>
        <v>0</v>
      </c>
      <c r="L41" s="3">
        <f t="shared" si="3"/>
        <v>0</v>
      </c>
    </row>
    <row r="42" customHeight="1" spans="1:12">
      <c r="A42" s="47">
        <f>IFERROR(__xludf.DUMMYFUNCTION("""COMPUTED_VALUE"""),45803.6458333333)</f>
        <v>45803.6458333333</v>
      </c>
      <c r="B42" s="48">
        <f>IFERROR(__xludf.DUMMYFUNCTION("""COMPUTED_VALUE"""),794.4)</f>
        <v>794.4</v>
      </c>
      <c r="C42" s="47">
        <f>IFERROR(__xludf.DUMMYFUNCTION("""COMPUTED_VALUE"""),45803.6458333333)</f>
        <v>45803.6458333333</v>
      </c>
      <c r="D42" s="48">
        <f>IFERROR(__xludf.DUMMYFUNCTION("""COMPUTED_VALUE"""),792)</f>
        <v>792</v>
      </c>
      <c r="E42" s="47">
        <f>IFERROR(__xludf.DUMMYFUNCTION("""COMPUTED_VALUE"""),45803.6458333333)</f>
        <v>45803.6458333333</v>
      </c>
      <c r="F42" s="48">
        <f>IFERROR(__xludf.DUMMYFUNCTION("""COMPUTED_VALUE"""),4965466)</f>
        <v>4965466</v>
      </c>
      <c r="G42" s="47">
        <f>IFERROR(__xludf.DUMMYFUNCTION("""COMPUTED_VALUE"""),45803.6458333333)</f>
        <v>45803.6458333333</v>
      </c>
      <c r="H42" s="48">
        <f>IFERROR(__xludf.DUMMYFUNCTION("""COMPUTED_VALUE"""),797.55)</f>
        <v>797.55</v>
      </c>
      <c r="I42" s="47">
        <f>IFERROR(__xludf.DUMMYFUNCTION("""COMPUTED_VALUE"""),45803.6458333333)</f>
        <v>45803.6458333333</v>
      </c>
      <c r="J42" s="48">
        <f>IFERROR(__xludf.DUMMYFUNCTION("""COMPUTED_VALUE"""),789.2)</f>
        <v>789.2</v>
      </c>
      <c r="K42" s="3">
        <f t="shared" si="2"/>
        <v>0</v>
      </c>
      <c r="L42" s="3">
        <f t="shared" si="3"/>
        <v>0</v>
      </c>
    </row>
    <row r="43" customHeight="1" spans="1:12">
      <c r="A43" s="47">
        <f>IFERROR(__xludf.DUMMYFUNCTION("""COMPUTED_VALUE"""),45804.6458333333)</f>
        <v>45804.6458333333</v>
      </c>
      <c r="B43" s="48">
        <f>IFERROR(__xludf.DUMMYFUNCTION("""COMPUTED_VALUE"""),793.7)</f>
        <v>793.7</v>
      </c>
      <c r="C43" s="47">
        <f>IFERROR(__xludf.DUMMYFUNCTION("""COMPUTED_VALUE"""),45804.6458333333)</f>
        <v>45804.6458333333</v>
      </c>
      <c r="D43" s="48">
        <f>IFERROR(__xludf.DUMMYFUNCTION("""COMPUTED_VALUE"""),794.4)</f>
        <v>794.4</v>
      </c>
      <c r="E43" s="47">
        <f>IFERROR(__xludf.DUMMYFUNCTION("""COMPUTED_VALUE"""),45804.6458333333)</f>
        <v>45804.6458333333</v>
      </c>
      <c r="F43" s="48">
        <f>IFERROR(__xludf.DUMMYFUNCTION("""COMPUTED_VALUE"""),11995043)</f>
        <v>11995043</v>
      </c>
      <c r="G43" s="47">
        <f>IFERROR(__xludf.DUMMYFUNCTION("""COMPUTED_VALUE"""),45804.6458333333)</f>
        <v>45804.6458333333</v>
      </c>
      <c r="H43" s="48">
        <f>IFERROR(__xludf.DUMMYFUNCTION("""COMPUTED_VALUE"""),801.35)</f>
        <v>801.35</v>
      </c>
      <c r="I43" s="47">
        <f>IFERROR(__xludf.DUMMYFUNCTION("""COMPUTED_VALUE"""),45804.6458333333)</f>
        <v>45804.6458333333</v>
      </c>
      <c r="J43" s="48">
        <f>IFERROR(__xludf.DUMMYFUNCTION("""COMPUTED_VALUE"""),790.05)</f>
        <v>790.05</v>
      </c>
      <c r="K43" s="3">
        <f t="shared" si="2"/>
        <v>0</v>
      </c>
      <c r="L43" s="3">
        <f t="shared" si="3"/>
        <v>0</v>
      </c>
    </row>
    <row r="44" customHeight="1" spans="1:12">
      <c r="A44" s="47">
        <f>IFERROR(__xludf.DUMMYFUNCTION("""COMPUTED_VALUE"""),45805.6458333333)</f>
        <v>45805.6458333333</v>
      </c>
      <c r="B44" s="48">
        <f>IFERROR(__xludf.DUMMYFUNCTION("""COMPUTED_VALUE"""),796.55)</f>
        <v>796.55</v>
      </c>
      <c r="C44" s="47">
        <f>IFERROR(__xludf.DUMMYFUNCTION("""COMPUTED_VALUE"""),45805.6458333333)</f>
        <v>45805.6458333333</v>
      </c>
      <c r="D44" s="48">
        <f>IFERROR(__xludf.DUMMYFUNCTION("""COMPUTED_VALUE"""),794.5)</f>
        <v>794.5</v>
      </c>
      <c r="E44" s="47">
        <f>IFERROR(__xludf.DUMMYFUNCTION("""COMPUTED_VALUE"""),45805.6458333333)</f>
        <v>45805.6458333333</v>
      </c>
      <c r="F44" s="48">
        <f>IFERROR(__xludf.DUMMYFUNCTION("""COMPUTED_VALUE"""),6873519)</f>
        <v>6873519</v>
      </c>
      <c r="G44" s="47">
        <f>IFERROR(__xludf.DUMMYFUNCTION("""COMPUTED_VALUE"""),45805.6458333333)</f>
        <v>45805.6458333333</v>
      </c>
      <c r="H44" s="48">
        <f>IFERROR(__xludf.DUMMYFUNCTION("""COMPUTED_VALUE"""),798.9)</f>
        <v>798.9</v>
      </c>
      <c r="I44" s="47">
        <f>IFERROR(__xludf.DUMMYFUNCTION("""COMPUTED_VALUE"""),45805.6458333333)</f>
        <v>45805.6458333333</v>
      </c>
      <c r="J44" s="48">
        <f>IFERROR(__xludf.DUMMYFUNCTION("""COMPUTED_VALUE"""),792.65)</f>
        <v>792.65</v>
      </c>
      <c r="K44" s="3">
        <f t="shared" si="2"/>
        <v>0</v>
      </c>
      <c r="L44" s="3">
        <f t="shared" si="3"/>
        <v>0</v>
      </c>
    </row>
    <row r="45" customHeight="1" spans="1:12">
      <c r="A45" s="47">
        <f>IFERROR(__xludf.DUMMYFUNCTION("""COMPUTED_VALUE"""),45806.6458333333)</f>
        <v>45806.6458333333</v>
      </c>
      <c r="B45" s="48">
        <f>IFERROR(__xludf.DUMMYFUNCTION("""COMPUTED_VALUE"""),797.35)</f>
        <v>797.35</v>
      </c>
      <c r="C45" s="47">
        <f>IFERROR(__xludf.DUMMYFUNCTION("""COMPUTED_VALUE"""),45806.6458333333)</f>
        <v>45806.6458333333</v>
      </c>
      <c r="D45" s="48">
        <f>IFERROR(__xludf.DUMMYFUNCTION("""COMPUTED_VALUE"""),799)</f>
        <v>799</v>
      </c>
      <c r="E45" s="47">
        <f>IFERROR(__xludf.DUMMYFUNCTION("""COMPUTED_VALUE"""),45806.6458333333)</f>
        <v>45806.6458333333</v>
      </c>
      <c r="F45" s="48">
        <f>IFERROR(__xludf.DUMMYFUNCTION("""COMPUTED_VALUE"""),14034127)</f>
        <v>14034127</v>
      </c>
      <c r="G45" s="47">
        <f>IFERROR(__xludf.DUMMYFUNCTION("""COMPUTED_VALUE"""),45806.6458333333)</f>
        <v>45806.6458333333</v>
      </c>
      <c r="H45" s="48">
        <f>IFERROR(__xludf.DUMMYFUNCTION("""COMPUTED_VALUE"""),800.4)</f>
        <v>800.4</v>
      </c>
      <c r="I45" s="47">
        <f>IFERROR(__xludf.DUMMYFUNCTION("""COMPUTED_VALUE"""),45806.6458333333)</f>
        <v>45806.6458333333</v>
      </c>
      <c r="J45" s="48">
        <f>IFERROR(__xludf.DUMMYFUNCTION("""COMPUTED_VALUE"""),791.35)</f>
        <v>791.35</v>
      </c>
      <c r="K45" s="3">
        <f t="shared" si="2"/>
        <v>0</v>
      </c>
      <c r="L45" s="3">
        <f t="shared" si="3"/>
        <v>0</v>
      </c>
    </row>
    <row r="46" customHeight="1" spans="1:12">
      <c r="A46" s="47">
        <f>IFERROR(__xludf.DUMMYFUNCTION("""COMPUTED_VALUE"""),45807.6458333333)</f>
        <v>45807.6458333333</v>
      </c>
      <c r="B46" s="48">
        <f>IFERROR(__xludf.DUMMYFUNCTION("""COMPUTED_VALUE"""),812.3)</f>
        <v>812.3</v>
      </c>
      <c r="C46" s="47">
        <f>IFERROR(__xludf.DUMMYFUNCTION("""COMPUTED_VALUE"""),45807.6458333333)</f>
        <v>45807.6458333333</v>
      </c>
      <c r="D46" s="48">
        <f>IFERROR(__xludf.DUMMYFUNCTION("""COMPUTED_VALUE"""),798)</f>
        <v>798</v>
      </c>
      <c r="E46" s="47">
        <f>IFERROR(__xludf.DUMMYFUNCTION("""COMPUTED_VALUE"""),45807.6458333333)</f>
        <v>45807.6458333333</v>
      </c>
      <c r="F46" s="48">
        <f>IFERROR(__xludf.DUMMYFUNCTION("""COMPUTED_VALUE"""),22037314)</f>
        <v>22037314</v>
      </c>
      <c r="G46" s="47">
        <f>IFERROR(__xludf.DUMMYFUNCTION("""COMPUTED_VALUE"""),45807.6458333333)</f>
        <v>45807.6458333333</v>
      </c>
      <c r="H46" s="48">
        <f>IFERROR(__xludf.DUMMYFUNCTION("""COMPUTED_VALUE"""),814.5)</f>
        <v>814.5</v>
      </c>
      <c r="I46" s="47">
        <f>IFERROR(__xludf.DUMMYFUNCTION("""COMPUTED_VALUE"""),45807.6458333333)</f>
        <v>45807.6458333333</v>
      </c>
      <c r="J46" s="48">
        <f>IFERROR(__xludf.DUMMYFUNCTION("""COMPUTED_VALUE"""),792.6)</f>
        <v>792.6</v>
      </c>
      <c r="K46" s="3">
        <f t="shared" si="2"/>
        <v>0</v>
      </c>
      <c r="L46" s="3">
        <f t="shared" si="3"/>
        <v>0</v>
      </c>
    </row>
    <row r="47" customHeight="1" spans="1:12">
      <c r="A47" s="47">
        <f>IFERROR(__xludf.DUMMYFUNCTION("""COMPUTED_VALUE"""),45810.6458333333)</f>
        <v>45810.6458333333</v>
      </c>
      <c r="B47" s="48">
        <f>IFERROR(__xludf.DUMMYFUNCTION("""COMPUTED_VALUE"""),813.65)</f>
        <v>813.65</v>
      </c>
      <c r="C47" s="47">
        <f>IFERROR(__xludf.DUMMYFUNCTION("""COMPUTED_VALUE"""),45810.6458333333)</f>
        <v>45810.6458333333</v>
      </c>
      <c r="D47" s="48">
        <f>IFERROR(__xludf.DUMMYFUNCTION("""COMPUTED_VALUE"""),812.85)</f>
        <v>812.85</v>
      </c>
      <c r="E47" s="47">
        <f>IFERROR(__xludf.DUMMYFUNCTION("""COMPUTED_VALUE"""),45810.6458333333)</f>
        <v>45810.6458333333</v>
      </c>
      <c r="F47" s="48">
        <f>IFERROR(__xludf.DUMMYFUNCTION("""COMPUTED_VALUE"""),26891575)</f>
        <v>26891575</v>
      </c>
      <c r="G47" s="47">
        <f>IFERROR(__xludf.DUMMYFUNCTION("""COMPUTED_VALUE"""),45810.6458333333)</f>
        <v>45810.6458333333</v>
      </c>
      <c r="H47" s="48">
        <f>IFERROR(__xludf.DUMMYFUNCTION("""COMPUTED_VALUE"""),822.55)</f>
        <v>822.55</v>
      </c>
      <c r="I47" s="47">
        <f>IFERROR(__xludf.DUMMYFUNCTION("""COMPUTED_VALUE"""),45810.6458333333)</f>
        <v>45810.6458333333</v>
      </c>
      <c r="J47" s="48">
        <f>IFERROR(__xludf.DUMMYFUNCTION("""COMPUTED_VALUE"""),809.2)</f>
        <v>809.2</v>
      </c>
      <c r="K47" s="3">
        <f t="shared" si="2"/>
        <v>0</v>
      </c>
      <c r="L47" s="3">
        <f t="shared" si="3"/>
        <v>0</v>
      </c>
    </row>
    <row r="48" customHeight="1" spans="1:12">
      <c r="A48" s="47">
        <f>IFERROR(__xludf.DUMMYFUNCTION("""COMPUTED_VALUE"""),45811.6458333333)</f>
        <v>45811.6458333333</v>
      </c>
      <c r="B48" s="48">
        <f>IFERROR(__xludf.DUMMYFUNCTION("""COMPUTED_VALUE"""),809.8)</f>
        <v>809.8</v>
      </c>
      <c r="C48" s="47">
        <f>IFERROR(__xludf.DUMMYFUNCTION("""COMPUTED_VALUE"""),45811.6458333333)</f>
        <v>45811.6458333333</v>
      </c>
      <c r="D48" s="48">
        <f>IFERROR(__xludf.DUMMYFUNCTION("""COMPUTED_VALUE"""),816.2)</f>
        <v>816.2</v>
      </c>
      <c r="E48" s="47">
        <f>IFERROR(__xludf.DUMMYFUNCTION("""COMPUTED_VALUE"""),45811.6458333333)</f>
        <v>45811.6458333333</v>
      </c>
      <c r="F48" s="48">
        <f>IFERROR(__xludf.DUMMYFUNCTION("""COMPUTED_VALUE"""),14247597)</f>
        <v>14247597</v>
      </c>
      <c r="G48" s="47">
        <f>IFERROR(__xludf.DUMMYFUNCTION("""COMPUTED_VALUE"""),45811.6458333333)</f>
        <v>45811.6458333333</v>
      </c>
      <c r="H48" s="48">
        <f>IFERROR(__xludf.DUMMYFUNCTION("""COMPUTED_VALUE"""),818.4)</f>
        <v>818.4</v>
      </c>
      <c r="I48" s="47">
        <f>IFERROR(__xludf.DUMMYFUNCTION("""COMPUTED_VALUE"""),45811.6458333333)</f>
        <v>45811.6458333333</v>
      </c>
      <c r="J48" s="48">
        <f>IFERROR(__xludf.DUMMYFUNCTION("""COMPUTED_VALUE"""),805.15)</f>
        <v>805.15</v>
      </c>
      <c r="K48" s="3">
        <f t="shared" si="2"/>
        <v>0</v>
      </c>
      <c r="L48" s="3">
        <f t="shared" si="3"/>
        <v>0</v>
      </c>
    </row>
    <row r="49" customHeight="1" spans="1:12">
      <c r="A49" s="47">
        <f>IFERROR(__xludf.DUMMYFUNCTION("""COMPUTED_VALUE"""),45812.6458333333)</f>
        <v>45812.6458333333</v>
      </c>
      <c r="B49" s="48">
        <f>IFERROR(__xludf.DUMMYFUNCTION("""COMPUTED_VALUE"""),806.5)</f>
        <v>806.5</v>
      </c>
      <c r="C49" s="47">
        <f>IFERROR(__xludf.DUMMYFUNCTION("""COMPUTED_VALUE"""),45812.6458333333)</f>
        <v>45812.6458333333</v>
      </c>
      <c r="D49" s="48">
        <f>IFERROR(__xludf.DUMMYFUNCTION("""COMPUTED_VALUE"""),817)</f>
        <v>817</v>
      </c>
      <c r="E49" s="47">
        <f>IFERROR(__xludf.DUMMYFUNCTION("""COMPUTED_VALUE"""),45812.6458333333)</f>
        <v>45812.6458333333</v>
      </c>
      <c r="F49" s="48">
        <f>IFERROR(__xludf.DUMMYFUNCTION("""COMPUTED_VALUE"""),9607927)</f>
        <v>9607927</v>
      </c>
      <c r="G49" s="47">
        <f>IFERROR(__xludf.DUMMYFUNCTION("""COMPUTED_VALUE"""),45812.6458333333)</f>
        <v>45812.6458333333</v>
      </c>
      <c r="H49" s="48">
        <f>IFERROR(__xludf.DUMMYFUNCTION("""COMPUTED_VALUE"""),817)</f>
        <v>817</v>
      </c>
      <c r="I49" s="47">
        <f>IFERROR(__xludf.DUMMYFUNCTION("""COMPUTED_VALUE"""),45812.6458333333)</f>
        <v>45812.6458333333</v>
      </c>
      <c r="J49" s="48">
        <f>IFERROR(__xludf.DUMMYFUNCTION("""COMPUTED_VALUE"""),805.25)</f>
        <v>805.25</v>
      </c>
      <c r="K49" s="3">
        <f t="shared" si="2"/>
        <v>0</v>
      </c>
      <c r="L49" s="3">
        <f t="shared" si="3"/>
        <v>0</v>
      </c>
    </row>
    <row r="50" customHeight="1" spans="1:12">
      <c r="A50" s="47">
        <f>IFERROR(__xludf.DUMMYFUNCTION("""COMPUTED_VALUE"""),45813.6458333333)</f>
        <v>45813.6458333333</v>
      </c>
      <c r="B50" s="48">
        <f>IFERROR(__xludf.DUMMYFUNCTION("""COMPUTED_VALUE"""),806)</f>
        <v>806</v>
      </c>
      <c r="C50" s="47">
        <f>IFERROR(__xludf.DUMMYFUNCTION("""COMPUTED_VALUE"""),45813.6458333333)</f>
        <v>45813.6458333333</v>
      </c>
      <c r="D50" s="48">
        <f>IFERROR(__xludf.DUMMYFUNCTION("""COMPUTED_VALUE"""),808.7)</f>
        <v>808.7</v>
      </c>
      <c r="E50" s="47">
        <f>IFERROR(__xludf.DUMMYFUNCTION("""COMPUTED_VALUE"""),45813.6458333333)</f>
        <v>45813.6458333333</v>
      </c>
      <c r="F50" s="48">
        <f>IFERROR(__xludf.DUMMYFUNCTION("""COMPUTED_VALUE"""),13595507)</f>
        <v>13595507</v>
      </c>
      <c r="G50" s="47">
        <f>IFERROR(__xludf.DUMMYFUNCTION("""COMPUTED_VALUE"""),45813.6458333333)</f>
        <v>45813.6458333333</v>
      </c>
      <c r="H50" s="48">
        <f>IFERROR(__xludf.DUMMYFUNCTION("""COMPUTED_VALUE"""),811.7)</f>
        <v>811.7</v>
      </c>
      <c r="I50" s="47">
        <f>IFERROR(__xludf.DUMMYFUNCTION("""COMPUTED_VALUE"""),45813.6458333333)</f>
        <v>45813.6458333333</v>
      </c>
      <c r="J50" s="48">
        <f>IFERROR(__xludf.DUMMYFUNCTION("""COMPUTED_VALUE"""),802.85)</f>
        <v>802.85</v>
      </c>
      <c r="K50" s="3">
        <f t="shared" si="2"/>
        <v>0</v>
      </c>
      <c r="L50" s="3">
        <f t="shared" si="3"/>
        <v>0</v>
      </c>
    </row>
    <row r="51" customHeight="1" spans="1:12">
      <c r="A51" s="47">
        <f>IFERROR(__xludf.DUMMYFUNCTION("""COMPUTED_VALUE"""),45814.6458333333)</f>
        <v>45814.6458333333</v>
      </c>
      <c r="B51" s="48">
        <f>IFERROR(__xludf.DUMMYFUNCTION("""COMPUTED_VALUE"""),813.05)</f>
        <v>813.05</v>
      </c>
      <c r="C51" s="47">
        <f>IFERROR(__xludf.DUMMYFUNCTION("""COMPUTED_VALUE"""),45814.6458333333)</f>
        <v>45814.6458333333</v>
      </c>
      <c r="D51" s="48">
        <f>IFERROR(__xludf.DUMMYFUNCTION("""COMPUTED_VALUE"""),806.65)</f>
        <v>806.65</v>
      </c>
      <c r="E51" s="47">
        <f>IFERROR(__xludf.DUMMYFUNCTION("""COMPUTED_VALUE"""),45814.6458333333)</f>
        <v>45814.6458333333</v>
      </c>
      <c r="F51" s="48">
        <f>IFERROR(__xludf.DUMMYFUNCTION("""COMPUTED_VALUE"""),17163935)</f>
        <v>17163935</v>
      </c>
      <c r="G51" s="47">
        <f>IFERROR(__xludf.DUMMYFUNCTION("""COMPUTED_VALUE"""),45814.6458333333)</f>
        <v>45814.6458333333</v>
      </c>
      <c r="H51" s="48">
        <f>IFERROR(__xludf.DUMMYFUNCTION("""COMPUTED_VALUE"""),816.45)</f>
        <v>816.45</v>
      </c>
      <c r="I51" s="47">
        <f>IFERROR(__xludf.DUMMYFUNCTION("""COMPUTED_VALUE"""),45814.6458333333)</f>
        <v>45814.6458333333</v>
      </c>
      <c r="J51" s="48">
        <f>IFERROR(__xludf.DUMMYFUNCTION("""COMPUTED_VALUE"""),803.1)</f>
        <v>803.1</v>
      </c>
      <c r="K51" s="3">
        <f t="shared" si="2"/>
        <v>0</v>
      </c>
      <c r="L51" s="3">
        <f t="shared" si="3"/>
        <v>0</v>
      </c>
    </row>
    <row r="52" customHeight="1" spans="1:12">
      <c r="A52" s="47">
        <f>IFERROR(__xludf.DUMMYFUNCTION("""COMPUTED_VALUE"""),45817.6458333333)</f>
        <v>45817.6458333333</v>
      </c>
      <c r="B52" s="48">
        <f>IFERROR(__xludf.DUMMYFUNCTION("""COMPUTED_VALUE"""),820.05)</f>
        <v>820.05</v>
      </c>
      <c r="C52" s="47">
        <f>IFERROR(__xludf.DUMMYFUNCTION("""COMPUTED_VALUE"""),45817.6458333333)</f>
        <v>45817.6458333333</v>
      </c>
      <c r="D52" s="48">
        <f>IFERROR(__xludf.DUMMYFUNCTION("""COMPUTED_VALUE"""),817.4)</f>
        <v>817.4</v>
      </c>
      <c r="E52" s="47">
        <f>IFERROR(__xludf.DUMMYFUNCTION("""COMPUTED_VALUE"""),45817.6458333333)</f>
        <v>45817.6458333333</v>
      </c>
      <c r="F52" s="48">
        <f>IFERROR(__xludf.DUMMYFUNCTION("""COMPUTED_VALUE"""),12793040)</f>
        <v>12793040</v>
      </c>
      <c r="G52" s="47">
        <f>IFERROR(__xludf.DUMMYFUNCTION("""COMPUTED_VALUE"""),45817.6458333333)</f>
        <v>45817.6458333333</v>
      </c>
      <c r="H52" s="48">
        <f>IFERROR(__xludf.DUMMYFUNCTION("""COMPUTED_VALUE"""),824.5)</f>
        <v>824.5</v>
      </c>
      <c r="I52" s="47">
        <f>IFERROR(__xludf.DUMMYFUNCTION("""COMPUTED_VALUE"""),45817.6458333333)</f>
        <v>45817.6458333333</v>
      </c>
      <c r="J52" s="48">
        <f>IFERROR(__xludf.DUMMYFUNCTION("""COMPUTED_VALUE"""),815.7)</f>
        <v>815.7</v>
      </c>
      <c r="K52" s="3">
        <f t="shared" si="2"/>
        <v>820.05</v>
      </c>
      <c r="L52" s="3">
        <f t="shared" si="3"/>
        <v>0</v>
      </c>
    </row>
    <row r="53" customHeight="1" spans="1:12">
      <c r="A53" s="47">
        <f>IFERROR(__xludf.DUMMYFUNCTION("""COMPUTED_VALUE"""),45818.6458333333)</f>
        <v>45818.6458333333</v>
      </c>
      <c r="B53" s="48">
        <f>IFERROR(__xludf.DUMMYFUNCTION("""COMPUTED_VALUE"""),817.05)</f>
        <v>817.05</v>
      </c>
      <c r="C53" s="47">
        <f>IFERROR(__xludf.DUMMYFUNCTION("""COMPUTED_VALUE"""),45818.6458333333)</f>
        <v>45818.6458333333</v>
      </c>
      <c r="D53" s="48">
        <f>IFERROR(__xludf.DUMMYFUNCTION("""COMPUTED_VALUE"""),821)</f>
        <v>821</v>
      </c>
      <c r="E53" s="47">
        <f>IFERROR(__xludf.DUMMYFUNCTION("""COMPUTED_VALUE"""),45818.6458333333)</f>
        <v>45818.6458333333</v>
      </c>
      <c r="F53" s="48">
        <f>IFERROR(__xludf.DUMMYFUNCTION("""COMPUTED_VALUE"""),6560513)</f>
        <v>6560513</v>
      </c>
      <c r="G53" s="47">
        <f>IFERROR(__xludf.DUMMYFUNCTION("""COMPUTED_VALUE"""),45818.6458333333)</f>
        <v>45818.6458333333</v>
      </c>
      <c r="H53" s="48">
        <f>IFERROR(__xludf.DUMMYFUNCTION("""COMPUTED_VALUE"""),822.05)</f>
        <v>822.05</v>
      </c>
      <c r="I53" s="47">
        <f>IFERROR(__xludf.DUMMYFUNCTION("""COMPUTED_VALUE"""),45818.6458333333)</f>
        <v>45818.6458333333</v>
      </c>
      <c r="J53" s="48">
        <f>IFERROR(__xludf.DUMMYFUNCTION("""COMPUTED_VALUE"""),814.6)</f>
        <v>814.6</v>
      </c>
      <c r="K53" s="3">
        <f t="shared" si="2"/>
        <v>0</v>
      </c>
      <c r="L53" s="3">
        <f t="shared" si="3"/>
        <v>0</v>
      </c>
    </row>
    <row r="54" customHeight="1" spans="1:12">
      <c r="A54" s="47">
        <f>IFERROR(__xludf.DUMMYFUNCTION("""COMPUTED_VALUE"""),45819.6458333333)</f>
        <v>45819.6458333333</v>
      </c>
      <c r="B54" s="48">
        <f>IFERROR(__xludf.DUMMYFUNCTION("""COMPUTED_VALUE"""),815.05)</f>
        <v>815.05</v>
      </c>
      <c r="C54" s="47">
        <f>IFERROR(__xludf.DUMMYFUNCTION("""COMPUTED_VALUE"""),45819.6458333333)</f>
        <v>45819.6458333333</v>
      </c>
      <c r="D54" s="48">
        <f>IFERROR(__xludf.DUMMYFUNCTION("""COMPUTED_VALUE"""),817)</f>
        <v>817</v>
      </c>
      <c r="E54" s="47">
        <f>IFERROR(__xludf.DUMMYFUNCTION("""COMPUTED_VALUE"""),45819.6458333333)</f>
        <v>45819.6458333333</v>
      </c>
      <c r="F54" s="48">
        <f>IFERROR(__xludf.DUMMYFUNCTION("""COMPUTED_VALUE"""),7197825)</f>
        <v>7197825</v>
      </c>
      <c r="G54" s="47">
        <f>IFERROR(__xludf.DUMMYFUNCTION("""COMPUTED_VALUE"""),45819.6458333333)</f>
        <v>45819.6458333333</v>
      </c>
      <c r="H54" s="48">
        <f>IFERROR(__xludf.DUMMYFUNCTION("""COMPUTED_VALUE"""),820.6)</f>
        <v>820.6</v>
      </c>
      <c r="I54" s="47">
        <f>IFERROR(__xludf.DUMMYFUNCTION("""COMPUTED_VALUE"""),45819.6458333333)</f>
        <v>45819.6458333333</v>
      </c>
      <c r="J54" s="48">
        <f>IFERROR(__xludf.DUMMYFUNCTION("""COMPUTED_VALUE"""),813.05)</f>
        <v>813.05</v>
      </c>
      <c r="K54" s="3">
        <f t="shared" si="2"/>
        <v>0</v>
      </c>
      <c r="L54" s="3">
        <f t="shared" si="3"/>
        <v>0</v>
      </c>
    </row>
    <row r="55" customHeight="1" spans="1:12">
      <c r="A55" s="47">
        <f>IFERROR(__xludf.DUMMYFUNCTION("""COMPUTED_VALUE"""),45820.6458333333)</f>
        <v>45820.6458333333</v>
      </c>
      <c r="B55" s="48">
        <f>IFERROR(__xludf.DUMMYFUNCTION("""COMPUTED_VALUE"""),805.95)</f>
        <v>805.95</v>
      </c>
      <c r="C55" s="47">
        <f>IFERROR(__xludf.DUMMYFUNCTION("""COMPUTED_VALUE"""),45820.6458333333)</f>
        <v>45820.6458333333</v>
      </c>
      <c r="D55" s="48">
        <f>IFERROR(__xludf.DUMMYFUNCTION("""COMPUTED_VALUE"""),816)</f>
        <v>816</v>
      </c>
      <c r="E55" s="47">
        <f>IFERROR(__xludf.DUMMYFUNCTION("""COMPUTED_VALUE"""),45820.6458333333)</f>
        <v>45820.6458333333</v>
      </c>
      <c r="F55" s="48">
        <f>IFERROR(__xludf.DUMMYFUNCTION("""COMPUTED_VALUE"""),13448521)</f>
        <v>13448521</v>
      </c>
      <c r="G55" s="47">
        <f>IFERROR(__xludf.DUMMYFUNCTION("""COMPUTED_VALUE"""),45820.6458333333)</f>
        <v>45820.6458333333</v>
      </c>
      <c r="H55" s="48">
        <f>IFERROR(__xludf.DUMMYFUNCTION("""COMPUTED_VALUE"""),816.5)</f>
        <v>816.5</v>
      </c>
      <c r="I55" s="47">
        <f>IFERROR(__xludf.DUMMYFUNCTION("""COMPUTED_VALUE"""),45820.6458333333)</f>
        <v>45820.6458333333</v>
      </c>
      <c r="J55" s="48">
        <f>IFERROR(__xludf.DUMMYFUNCTION("""COMPUTED_VALUE"""),801.2)</f>
        <v>801.2</v>
      </c>
      <c r="K55" s="3">
        <f t="shared" si="2"/>
        <v>0</v>
      </c>
      <c r="L55" s="3">
        <f t="shared" si="3"/>
        <v>0</v>
      </c>
    </row>
    <row r="56" customHeight="1" spans="1:12">
      <c r="A56" s="47">
        <f>IFERROR(__xludf.DUMMYFUNCTION("""COMPUTED_VALUE"""),45821.6458333333)</f>
        <v>45821.6458333333</v>
      </c>
      <c r="B56" s="48">
        <f>IFERROR(__xludf.DUMMYFUNCTION("""COMPUTED_VALUE"""),792.35)</f>
        <v>792.35</v>
      </c>
      <c r="C56" s="47">
        <f>IFERROR(__xludf.DUMMYFUNCTION("""COMPUTED_VALUE"""),45821.6458333333)</f>
        <v>45821.6458333333</v>
      </c>
      <c r="D56" s="48">
        <f>IFERROR(__xludf.DUMMYFUNCTION("""COMPUTED_VALUE"""),786.25)</f>
        <v>786.25</v>
      </c>
      <c r="E56" s="47">
        <f>IFERROR(__xludf.DUMMYFUNCTION("""COMPUTED_VALUE"""),45821.6458333333)</f>
        <v>45821.6458333333</v>
      </c>
      <c r="F56" s="48">
        <f>IFERROR(__xludf.DUMMYFUNCTION("""COMPUTED_VALUE"""),11377117)</f>
        <v>11377117</v>
      </c>
      <c r="G56" s="47">
        <f>IFERROR(__xludf.DUMMYFUNCTION("""COMPUTED_VALUE"""),45821.6458333333)</f>
        <v>45821.6458333333</v>
      </c>
      <c r="H56" s="48">
        <f>IFERROR(__xludf.DUMMYFUNCTION("""COMPUTED_VALUE"""),796.3)</f>
        <v>796.3</v>
      </c>
      <c r="I56" s="47">
        <f>IFERROR(__xludf.DUMMYFUNCTION("""COMPUTED_VALUE"""),45821.6458333333)</f>
        <v>45821.6458333333</v>
      </c>
      <c r="J56" s="48">
        <f>IFERROR(__xludf.DUMMYFUNCTION("""COMPUTED_VALUE"""),786.25)</f>
        <v>786.25</v>
      </c>
      <c r="K56" s="3">
        <f t="shared" si="2"/>
        <v>0</v>
      </c>
      <c r="L56" s="3">
        <f t="shared" si="3"/>
        <v>0</v>
      </c>
    </row>
    <row r="57" customHeight="1" spans="1:12">
      <c r="A57" s="47">
        <f>IFERROR(__xludf.DUMMYFUNCTION("""COMPUTED_VALUE"""),45824.6458333333)</f>
        <v>45824.6458333333</v>
      </c>
      <c r="B57" s="48">
        <f>IFERROR(__xludf.DUMMYFUNCTION("""COMPUTED_VALUE"""),792.5)</f>
        <v>792.5</v>
      </c>
      <c r="C57" s="47">
        <f>IFERROR(__xludf.DUMMYFUNCTION("""COMPUTED_VALUE"""),45824.6458333333)</f>
        <v>45824.6458333333</v>
      </c>
      <c r="D57" s="48">
        <f>IFERROR(__xludf.DUMMYFUNCTION("""COMPUTED_VALUE"""),792.5)</f>
        <v>792.5</v>
      </c>
      <c r="E57" s="47">
        <f>IFERROR(__xludf.DUMMYFUNCTION("""COMPUTED_VALUE"""),45824.6458333333)</f>
        <v>45824.6458333333</v>
      </c>
      <c r="F57" s="48">
        <f>IFERROR(__xludf.DUMMYFUNCTION("""COMPUTED_VALUE"""),8085001)</f>
        <v>8085001</v>
      </c>
      <c r="G57" s="47">
        <f>IFERROR(__xludf.DUMMYFUNCTION("""COMPUTED_VALUE"""),45824.6458333333)</f>
        <v>45824.6458333333</v>
      </c>
      <c r="H57" s="48">
        <f>IFERROR(__xludf.DUMMYFUNCTION("""COMPUTED_VALUE"""),795.4)</f>
        <v>795.4</v>
      </c>
      <c r="I57" s="47">
        <f>IFERROR(__xludf.DUMMYFUNCTION("""COMPUTED_VALUE"""),45824.6458333333)</f>
        <v>45824.6458333333</v>
      </c>
      <c r="J57" s="48">
        <f>IFERROR(__xludf.DUMMYFUNCTION("""COMPUTED_VALUE"""),786.15)</f>
        <v>786.15</v>
      </c>
      <c r="K57" s="3">
        <f t="shared" si="2"/>
        <v>0</v>
      </c>
      <c r="L57" s="3">
        <f t="shared" si="3"/>
        <v>0</v>
      </c>
    </row>
    <row r="58" customHeight="1" spans="1:12">
      <c r="A58" s="47">
        <f>IFERROR(__xludf.DUMMYFUNCTION("""COMPUTED_VALUE"""),45825.6458333333)</f>
        <v>45825.6458333333</v>
      </c>
      <c r="B58" s="48">
        <f>IFERROR(__xludf.DUMMYFUNCTION("""COMPUTED_VALUE"""),792.3)</f>
        <v>792.3</v>
      </c>
      <c r="C58" s="47">
        <f>IFERROR(__xludf.DUMMYFUNCTION("""COMPUTED_VALUE"""),45825.6458333333)</f>
        <v>45825.6458333333</v>
      </c>
      <c r="D58" s="48">
        <f>IFERROR(__xludf.DUMMYFUNCTION("""COMPUTED_VALUE"""),794)</f>
        <v>794</v>
      </c>
      <c r="E58" s="47">
        <f>IFERROR(__xludf.DUMMYFUNCTION("""COMPUTED_VALUE"""),45825.6458333333)</f>
        <v>45825.6458333333</v>
      </c>
      <c r="F58" s="48">
        <f>IFERROR(__xludf.DUMMYFUNCTION("""COMPUTED_VALUE"""),7753156)</f>
        <v>7753156</v>
      </c>
      <c r="G58" s="47">
        <f>IFERROR(__xludf.DUMMYFUNCTION("""COMPUTED_VALUE"""),45825.6458333333)</f>
        <v>45825.6458333333</v>
      </c>
      <c r="H58" s="48">
        <f>IFERROR(__xludf.DUMMYFUNCTION("""COMPUTED_VALUE"""),798.85)</f>
        <v>798.85</v>
      </c>
      <c r="I58" s="47">
        <f>IFERROR(__xludf.DUMMYFUNCTION("""COMPUTED_VALUE"""),45825.6458333333)</f>
        <v>45825.6458333333</v>
      </c>
      <c r="J58" s="48">
        <f>IFERROR(__xludf.DUMMYFUNCTION("""COMPUTED_VALUE"""),790.55)</f>
        <v>790.55</v>
      </c>
      <c r="K58" s="3">
        <f t="shared" si="2"/>
        <v>0</v>
      </c>
      <c r="L58" s="3">
        <f t="shared" si="3"/>
        <v>0</v>
      </c>
    </row>
    <row r="59" customHeight="1" spans="1:12">
      <c r="A59" s="47">
        <f>IFERROR(__xludf.DUMMYFUNCTION("""COMPUTED_VALUE"""),45826.6458333333)</f>
        <v>45826.6458333333</v>
      </c>
      <c r="B59" s="48">
        <f>IFERROR(__xludf.DUMMYFUNCTION("""COMPUTED_VALUE"""),791.9)</f>
        <v>791.9</v>
      </c>
      <c r="C59" s="47">
        <f>IFERROR(__xludf.DUMMYFUNCTION("""COMPUTED_VALUE"""),45826.6458333333)</f>
        <v>45826.6458333333</v>
      </c>
      <c r="D59" s="48">
        <f>IFERROR(__xludf.DUMMYFUNCTION("""COMPUTED_VALUE"""),792.5)</f>
        <v>792.5</v>
      </c>
      <c r="E59" s="47">
        <f>IFERROR(__xludf.DUMMYFUNCTION("""COMPUTED_VALUE"""),45826.6458333333)</f>
        <v>45826.6458333333</v>
      </c>
      <c r="F59" s="48">
        <f>IFERROR(__xludf.DUMMYFUNCTION("""COMPUTED_VALUE"""),5710169)</f>
        <v>5710169</v>
      </c>
      <c r="G59" s="47">
        <f>IFERROR(__xludf.DUMMYFUNCTION("""COMPUTED_VALUE"""),45826.6458333333)</f>
        <v>45826.6458333333</v>
      </c>
      <c r="H59" s="48">
        <f>IFERROR(__xludf.DUMMYFUNCTION("""COMPUTED_VALUE"""),795.5)</f>
        <v>795.5</v>
      </c>
      <c r="I59" s="47">
        <f>IFERROR(__xludf.DUMMYFUNCTION("""COMPUTED_VALUE"""),45826.6458333333)</f>
        <v>45826.6458333333</v>
      </c>
      <c r="J59" s="48">
        <f>IFERROR(__xludf.DUMMYFUNCTION("""COMPUTED_VALUE"""),788.35)</f>
        <v>788.35</v>
      </c>
      <c r="K59" s="3">
        <f t="shared" si="2"/>
        <v>0</v>
      </c>
      <c r="L59" s="3">
        <f t="shared" si="3"/>
        <v>0</v>
      </c>
    </row>
    <row r="60" customHeight="1" spans="1:12">
      <c r="A60" s="47">
        <f>IFERROR(__xludf.DUMMYFUNCTION("""COMPUTED_VALUE"""),45827.6458333333)</f>
        <v>45827.6458333333</v>
      </c>
      <c r="B60" s="48">
        <f>IFERROR(__xludf.DUMMYFUNCTION("""COMPUTED_VALUE"""),785.1)</f>
        <v>785.1</v>
      </c>
      <c r="C60" s="47">
        <f>IFERROR(__xludf.DUMMYFUNCTION("""COMPUTED_VALUE"""),45827.6458333333)</f>
        <v>45827.6458333333</v>
      </c>
      <c r="D60" s="48">
        <f>IFERROR(__xludf.DUMMYFUNCTION("""COMPUTED_VALUE"""),792.35)</f>
        <v>792.35</v>
      </c>
      <c r="E60" s="47">
        <f>IFERROR(__xludf.DUMMYFUNCTION("""COMPUTED_VALUE"""),45827.6458333333)</f>
        <v>45827.6458333333</v>
      </c>
      <c r="F60" s="48">
        <f>IFERROR(__xludf.DUMMYFUNCTION("""COMPUTED_VALUE"""),11824333)</f>
        <v>11824333</v>
      </c>
      <c r="G60" s="47">
        <f>IFERROR(__xludf.DUMMYFUNCTION("""COMPUTED_VALUE"""),45827.6458333333)</f>
        <v>45827.6458333333</v>
      </c>
      <c r="H60" s="48">
        <f>IFERROR(__xludf.DUMMYFUNCTION("""COMPUTED_VALUE"""),793.25)</f>
        <v>793.25</v>
      </c>
      <c r="I60" s="47">
        <f>IFERROR(__xludf.DUMMYFUNCTION("""COMPUTED_VALUE"""),45827.6458333333)</f>
        <v>45827.6458333333</v>
      </c>
      <c r="J60" s="48">
        <f>IFERROR(__xludf.DUMMYFUNCTION("""COMPUTED_VALUE"""),781.7)</f>
        <v>781.7</v>
      </c>
      <c r="K60" s="3">
        <f t="shared" si="2"/>
        <v>0</v>
      </c>
      <c r="L60" s="3">
        <f t="shared" si="3"/>
        <v>785.1</v>
      </c>
    </row>
    <row r="61" customHeight="1" spans="1:12">
      <c r="A61" s="47">
        <f>IFERROR(__xludf.DUMMYFUNCTION("""COMPUTED_VALUE"""),45828.6458333333)</f>
        <v>45828.6458333333</v>
      </c>
      <c r="B61" s="48">
        <f>IFERROR(__xludf.DUMMYFUNCTION("""COMPUTED_VALUE"""),796.15)</f>
        <v>796.15</v>
      </c>
      <c r="C61" s="47">
        <f>IFERROR(__xludf.DUMMYFUNCTION("""COMPUTED_VALUE"""),45828.6458333333)</f>
        <v>45828.6458333333</v>
      </c>
      <c r="D61" s="48">
        <f>IFERROR(__xludf.DUMMYFUNCTION("""COMPUTED_VALUE"""),787.5)</f>
        <v>787.5</v>
      </c>
      <c r="E61" s="47">
        <f>IFERROR(__xludf.DUMMYFUNCTION("""COMPUTED_VALUE"""),45828.6458333333)</f>
        <v>45828.6458333333</v>
      </c>
      <c r="F61" s="48">
        <f>IFERROR(__xludf.DUMMYFUNCTION("""COMPUTED_VALUE"""),11367669)</f>
        <v>11367669</v>
      </c>
      <c r="G61" s="47">
        <f>IFERROR(__xludf.DUMMYFUNCTION("""COMPUTED_VALUE"""),45828.6458333333)</f>
        <v>45828.6458333333</v>
      </c>
      <c r="H61" s="48">
        <f>IFERROR(__xludf.DUMMYFUNCTION("""COMPUTED_VALUE"""),799.45)</f>
        <v>799.45</v>
      </c>
      <c r="I61" s="47">
        <f>IFERROR(__xludf.DUMMYFUNCTION("""COMPUTED_VALUE"""),45828.6458333333)</f>
        <v>45828.6458333333</v>
      </c>
      <c r="J61" s="48">
        <f>IFERROR(__xludf.DUMMYFUNCTION("""COMPUTED_VALUE"""),786.1)</f>
        <v>786.1</v>
      </c>
      <c r="K61" s="3">
        <f t="shared" si="2"/>
        <v>0</v>
      </c>
      <c r="L61" s="3">
        <f t="shared" si="3"/>
        <v>0</v>
      </c>
    </row>
    <row r="62" customHeight="1" spans="1:12">
      <c r="A62" s="47">
        <f>IFERROR(__xludf.DUMMYFUNCTION("""COMPUTED_VALUE"""),45831.6458333333)</f>
        <v>45831.6458333333</v>
      </c>
      <c r="B62" s="48">
        <f>IFERROR(__xludf.DUMMYFUNCTION("""COMPUTED_VALUE"""),790.2)</f>
        <v>790.2</v>
      </c>
      <c r="C62" s="47">
        <f>IFERROR(__xludf.DUMMYFUNCTION("""COMPUTED_VALUE"""),45831.6458333333)</f>
        <v>45831.6458333333</v>
      </c>
      <c r="D62" s="48">
        <f>IFERROR(__xludf.DUMMYFUNCTION("""COMPUTED_VALUE"""),790)</f>
        <v>790</v>
      </c>
      <c r="E62" s="47">
        <f>IFERROR(__xludf.DUMMYFUNCTION("""COMPUTED_VALUE"""),45831.6458333333)</f>
        <v>45831.6458333333</v>
      </c>
      <c r="F62" s="48">
        <f>IFERROR(__xludf.DUMMYFUNCTION("""COMPUTED_VALUE"""),5549253)</f>
        <v>5549253</v>
      </c>
      <c r="G62" s="47">
        <f>IFERROR(__xludf.DUMMYFUNCTION("""COMPUTED_VALUE"""),45831.6458333333)</f>
        <v>45831.6458333333</v>
      </c>
      <c r="H62" s="48">
        <f>IFERROR(__xludf.DUMMYFUNCTION("""COMPUTED_VALUE"""),794.95)</f>
        <v>794.95</v>
      </c>
      <c r="I62" s="47">
        <f>IFERROR(__xludf.DUMMYFUNCTION("""COMPUTED_VALUE"""),45831.6458333333)</f>
        <v>45831.6458333333</v>
      </c>
      <c r="J62" s="48">
        <f>IFERROR(__xludf.DUMMYFUNCTION("""COMPUTED_VALUE"""),788.5)</f>
        <v>788.5</v>
      </c>
      <c r="K62" s="3">
        <f t="shared" si="2"/>
        <v>0</v>
      </c>
      <c r="L62" s="3">
        <f t="shared" si="3"/>
        <v>0</v>
      </c>
    </row>
    <row r="63" customHeight="1" spans="1:12">
      <c r="A63" s="47">
        <f>IFERROR(__xludf.DUMMYFUNCTION("""COMPUTED_VALUE"""),45832.6458333333)</f>
        <v>45832.6458333333</v>
      </c>
      <c r="B63" s="48">
        <f>IFERROR(__xludf.DUMMYFUNCTION("""COMPUTED_VALUE"""),795.4)</f>
        <v>795.4</v>
      </c>
      <c r="C63" s="47">
        <f>IFERROR(__xludf.DUMMYFUNCTION("""COMPUTED_VALUE"""),45832.6458333333)</f>
        <v>45832.6458333333</v>
      </c>
      <c r="D63" s="48">
        <f>IFERROR(__xludf.DUMMYFUNCTION("""COMPUTED_VALUE"""),799)</f>
        <v>799</v>
      </c>
      <c r="E63" s="47">
        <f>IFERROR(__xludf.DUMMYFUNCTION("""COMPUTED_VALUE"""),45832.6458333333)</f>
        <v>45832.6458333333</v>
      </c>
      <c r="F63" s="48">
        <f>IFERROR(__xludf.DUMMYFUNCTION("""COMPUTED_VALUE"""),11402190)</f>
        <v>11402190</v>
      </c>
      <c r="G63" s="47">
        <f>IFERROR(__xludf.DUMMYFUNCTION("""COMPUTED_VALUE"""),45832.6458333333)</f>
        <v>45832.6458333333</v>
      </c>
      <c r="H63" s="48">
        <f>IFERROR(__xludf.DUMMYFUNCTION("""COMPUTED_VALUE"""),806.65)</f>
        <v>806.65</v>
      </c>
      <c r="I63" s="47">
        <f>IFERROR(__xludf.DUMMYFUNCTION("""COMPUTED_VALUE"""),45832.6458333333)</f>
        <v>45832.6458333333</v>
      </c>
      <c r="J63" s="48">
        <f>IFERROR(__xludf.DUMMYFUNCTION("""COMPUTED_VALUE"""),793.65)</f>
        <v>793.65</v>
      </c>
      <c r="K63" s="3">
        <f t="shared" si="2"/>
        <v>0</v>
      </c>
      <c r="L63" s="3">
        <f t="shared" si="3"/>
        <v>0</v>
      </c>
    </row>
    <row r="64" customHeight="1" spans="1:12">
      <c r="A64" s="47">
        <f>IFERROR(__xludf.DUMMYFUNCTION("""COMPUTED_VALUE"""),45833.6458333333)</f>
        <v>45833.6458333333</v>
      </c>
      <c r="B64" s="48">
        <f>IFERROR(__xludf.DUMMYFUNCTION("""COMPUTED_VALUE"""),800.05)</f>
        <v>800.05</v>
      </c>
      <c r="C64" s="47">
        <f>IFERROR(__xludf.DUMMYFUNCTION("""COMPUTED_VALUE"""),45833.6458333333)</f>
        <v>45833.6458333333</v>
      </c>
      <c r="D64" s="48">
        <f>IFERROR(__xludf.DUMMYFUNCTION("""COMPUTED_VALUE"""),799.5)</f>
        <v>799.5</v>
      </c>
      <c r="E64" s="47">
        <f>IFERROR(__xludf.DUMMYFUNCTION("""COMPUTED_VALUE"""),45833.6458333333)</f>
        <v>45833.6458333333</v>
      </c>
      <c r="F64" s="48">
        <f>IFERROR(__xludf.DUMMYFUNCTION("""COMPUTED_VALUE"""),6528324)</f>
        <v>6528324</v>
      </c>
      <c r="G64" s="47">
        <f>IFERROR(__xludf.DUMMYFUNCTION("""COMPUTED_VALUE"""),45833.6458333333)</f>
        <v>45833.6458333333</v>
      </c>
      <c r="H64" s="48">
        <f>IFERROR(__xludf.DUMMYFUNCTION("""COMPUTED_VALUE"""),803.8)</f>
        <v>803.8</v>
      </c>
      <c r="I64" s="47">
        <f>IFERROR(__xludf.DUMMYFUNCTION("""COMPUTED_VALUE"""),45833.6458333333)</f>
        <v>45833.6458333333</v>
      </c>
      <c r="J64" s="48">
        <f>IFERROR(__xludf.DUMMYFUNCTION("""COMPUTED_VALUE"""),796.1)</f>
        <v>796.1</v>
      </c>
      <c r="K64" s="3">
        <f t="shared" si="2"/>
        <v>0</v>
      </c>
      <c r="L64" s="3">
        <f t="shared" si="3"/>
        <v>0</v>
      </c>
    </row>
    <row r="65" customHeight="1" spans="1:12">
      <c r="A65" s="47">
        <f>IFERROR(__xludf.DUMMYFUNCTION("""COMPUTED_VALUE"""),45834.6458333333)</f>
        <v>45834.6458333333</v>
      </c>
      <c r="B65" s="48">
        <f>IFERROR(__xludf.DUMMYFUNCTION("""COMPUTED_VALUE"""),797.05)</f>
        <v>797.05</v>
      </c>
      <c r="C65" s="47">
        <f>IFERROR(__xludf.DUMMYFUNCTION("""COMPUTED_VALUE"""),45834.6458333333)</f>
        <v>45834.6458333333</v>
      </c>
      <c r="D65" s="48">
        <f>IFERROR(__xludf.DUMMYFUNCTION("""COMPUTED_VALUE"""),802)</f>
        <v>802</v>
      </c>
      <c r="E65" s="47">
        <f>IFERROR(__xludf.DUMMYFUNCTION("""COMPUTED_VALUE"""),45834.6458333333)</f>
        <v>45834.6458333333</v>
      </c>
      <c r="F65" s="48">
        <f>IFERROR(__xludf.DUMMYFUNCTION("""COMPUTED_VALUE"""),24704402)</f>
        <v>24704402</v>
      </c>
      <c r="G65" s="47">
        <f>IFERROR(__xludf.DUMMYFUNCTION("""COMPUTED_VALUE"""),45834.6458333333)</f>
        <v>45834.6458333333</v>
      </c>
      <c r="H65" s="48">
        <f>IFERROR(__xludf.DUMMYFUNCTION("""COMPUTED_VALUE"""),803.35)</f>
        <v>803.35</v>
      </c>
      <c r="I65" s="47">
        <f>IFERROR(__xludf.DUMMYFUNCTION("""COMPUTED_VALUE"""),45834.6458333333)</f>
        <v>45834.6458333333</v>
      </c>
      <c r="J65" s="48">
        <f>IFERROR(__xludf.DUMMYFUNCTION("""COMPUTED_VALUE"""),791.4)</f>
        <v>791.4</v>
      </c>
      <c r="K65" s="3">
        <f t="shared" si="2"/>
        <v>0</v>
      </c>
      <c r="L65" s="3">
        <f t="shared" si="3"/>
        <v>0</v>
      </c>
    </row>
    <row r="66" customHeight="1" spans="1:12">
      <c r="A66" s="47">
        <f>IFERROR(__xludf.DUMMYFUNCTION("""COMPUTED_VALUE"""),45835.6458333333)</f>
        <v>45835.6458333333</v>
      </c>
      <c r="B66" s="48">
        <f>IFERROR(__xludf.DUMMYFUNCTION("""COMPUTED_VALUE"""),805.4)</f>
        <v>805.4</v>
      </c>
      <c r="C66" s="47">
        <f>IFERROR(__xludf.DUMMYFUNCTION("""COMPUTED_VALUE"""),45835.6458333333)</f>
        <v>45835.6458333333</v>
      </c>
      <c r="D66" s="48">
        <f>IFERROR(__xludf.DUMMYFUNCTION("""COMPUTED_VALUE"""),805)</f>
        <v>805</v>
      </c>
      <c r="E66" s="47">
        <f>IFERROR(__xludf.DUMMYFUNCTION("""COMPUTED_VALUE"""),45835.6458333333)</f>
        <v>45835.6458333333</v>
      </c>
      <c r="F66" s="48">
        <f>IFERROR(__xludf.DUMMYFUNCTION("""COMPUTED_VALUE"""),19375990)</f>
        <v>19375990</v>
      </c>
      <c r="G66" s="47">
        <f>IFERROR(__xludf.DUMMYFUNCTION("""COMPUTED_VALUE"""),45835.6458333333)</f>
        <v>45835.6458333333</v>
      </c>
      <c r="H66" s="48">
        <f>IFERROR(__xludf.DUMMYFUNCTION("""COMPUTED_VALUE"""),809.45)</f>
        <v>809.45</v>
      </c>
      <c r="I66" s="47">
        <f>IFERROR(__xludf.DUMMYFUNCTION("""COMPUTED_VALUE"""),45835.6458333333)</f>
        <v>45835.6458333333</v>
      </c>
      <c r="J66" s="48">
        <f>IFERROR(__xludf.DUMMYFUNCTION("""COMPUTED_VALUE"""),802.65)</f>
        <v>802.65</v>
      </c>
      <c r="K66" s="3">
        <f t="shared" si="2"/>
        <v>0</v>
      </c>
      <c r="L66" s="3">
        <f t="shared" si="3"/>
        <v>0</v>
      </c>
    </row>
    <row r="67" customHeight="1" spans="1:12">
      <c r="A67" s="47">
        <f>IFERROR(__xludf.DUMMYFUNCTION("""COMPUTED_VALUE"""),45838.6458333333)</f>
        <v>45838.6458333333</v>
      </c>
      <c r="B67" s="48">
        <f>IFERROR(__xludf.DUMMYFUNCTION("""COMPUTED_VALUE"""),820.35)</f>
        <v>820.35</v>
      </c>
      <c r="C67" s="47">
        <f>IFERROR(__xludf.DUMMYFUNCTION("""COMPUTED_VALUE"""),45838.6458333333)</f>
        <v>45838.6458333333</v>
      </c>
      <c r="D67" s="48">
        <f>IFERROR(__xludf.DUMMYFUNCTION("""COMPUTED_VALUE"""),809)</f>
        <v>809</v>
      </c>
      <c r="E67" s="47">
        <f>IFERROR(__xludf.DUMMYFUNCTION("""COMPUTED_VALUE"""),45838.6458333333)</f>
        <v>45838.6458333333</v>
      </c>
      <c r="F67" s="48">
        <f>IFERROR(__xludf.DUMMYFUNCTION("""COMPUTED_VALUE"""),19652607)</f>
        <v>19652607</v>
      </c>
      <c r="G67" s="47">
        <f>IFERROR(__xludf.DUMMYFUNCTION("""COMPUTED_VALUE"""),45838.6458333333)</f>
        <v>45838.6458333333</v>
      </c>
      <c r="H67" s="48">
        <f>IFERROR(__xludf.DUMMYFUNCTION("""COMPUTED_VALUE"""),821)</f>
        <v>821</v>
      </c>
      <c r="I67" s="47">
        <f>IFERROR(__xludf.DUMMYFUNCTION("""COMPUTED_VALUE"""),45838.6458333333)</f>
        <v>45838.6458333333</v>
      </c>
      <c r="J67" s="48">
        <f>IFERROR(__xludf.DUMMYFUNCTION("""COMPUTED_VALUE"""),807.05)</f>
        <v>807.05</v>
      </c>
      <c r="K67" s="3">
        <f t="shared" si="2"/>
        <v>820.35</v>
      </c>
      <c r="L67" s="3">
        <f t="shared" si="3"/>
        <v>0</v>
      </c>
    </row>
    <row r="68" customHeight="1" spans="1:12">
      <c r="A68" s="47">
        <f>IFERROR(__xludf.DUMMYFUNCTION("""COMPUTED_VALUE"""),45839.6458333333)</f>
        <v>45839.6458333333</v>
      </c>
      <c r="B68" s="48">
        <f>IFERROR(__xludf.DUMMYFUNCTION("""COMPUTED_VALUE"""),820.3)</f>
        <v>820.3</v>
      </c>
      <c r="C68" s="47">
        <f>IFERROR(__xludf.DUMMYFUNCTION("""COMPUTED_VALUE"""),45839.6458333333)</f>
        <v>45839.6458333333</v>
      </c>
      <c r="D68" s="48">
        <f>IFERROR(__xludf.DUMMYFUNCTION("""COMPUTED_VALUE"""),820)</f>
        <v>820</v>
      </c>
      <c r="E68" s="47">
        <f>IFERROR(__xludf.DUMMYFUNCTION("""COMPUTED_VALUE"""),45839.6458333333)</f>
        <v>45839.6458333333</v>
      </c>
      <c r="F68" s="48">
        <f>IFERROR(__xludf.DUMMYFUNCTION("""COMPUTED_VALUE"""),11456405)</f>
        <v>11456405</v>
      </c>
      <c r="G68" s="47">
        <f>IFERROR(__xludf.DUMMYFUNCTION("""COMPUTED_VALUE"""),45839.6458333333)</f>
        <v>45839.6458333333</v>
      </c>
      <c r="H68" s="48">
        <f>IFERROR(__xludf.DUMMYFUNCTION("""COMPUTED_VALUE"""),824.9)</f>
        <v>824.9</v>
      </c>
      <c r="I68" s="47">
        <f>IFERROR(__xludf.DUMMYFUNCTION("""COMPUTED_VALUE"""),45839.6458333333)</f>
        <v>45839.6458333333</v>
      </c>
      <c r="J68" s="48">
        <f>IFERROR(__xludf.DUMMYFUNCTION("""COMPUTED_VALUE"""),813.25)</f>
        <v>813.25</v>
      </c>
      <c r="K68" s="3">
        <f t="shared" si="2"/>
        <v>0</v>
      </c>
      <c r="L68" s="3">
        <f t="shared" si="3"/>
        <v>0</v>
      </c>
    </row>
    <row r="69" customHeight="1" spans="1:12">
      <c r="A69" s="47">
        <f>IFERROR(__xludf.DUMMYFUNCTION("""COMPUTED_VALUE"""),45840.6458333333)</f>
        <v>45840.6458333333</v>
      </c>
      <c r="B69" s="48">
        <f>IFERROR(__xludf.DUMMYFUNCTION("""COMPUTED_VALUE"""),812.9)</f>
        <v>812.9</v>
      </c>
      <c r="C69" s="47">
        <f>IFERROR(__xludf.DUMMYFUNCTION("""COMPUTED_VALUE"""),45840.6458333333)</f>
        <v>45840.6458333333</v>
      </c>
      <c r="D69" s="48">
        <f>IFERROR(__xludf.DUMMYFUNCTION("""COMPUTED_VALUE"""),821)</f>
        <v>821</v>
      </c>
      <c r="E69" s="47">
        <f>IFERROR(__xludf.DUMMYFUNCTION("""COMPUTED_VALUE"""),45840.6458333333)</f>
        <v>45840.6458333333</v>
      </c>
      <c r="F69" s="48">
        <f>IFERROR(__xludf.DUMMYFUNCTION("""COMPUTED_VALUE"""),6661200)</f>
        <v>6661200</v>
      </c>
      <c r="G69" s="47">
        <f>IFERROR(__xludf.DUMMYFUNCTION("""COMPUTED_VALUE"""),45840.6458333333)</f>
        <v>45840.6458333333</v>
      </c>
      <c r="H69" s="48">
        <f>IFERROR(__xludf.DUMMYFUNCTION("""COMPUTED_VALUE"""),824.05)</f>
        <v>824.05</v>
      </c>
      <c r="I69" s="47">
        <f>IFERROR(__xludf.DUMMYFUNCTION("""COMPUTED_VALUE"""),45840.6458333333)</f>
        <v>45840.6458333333</v>
      </c>
      <c r="J69" s="48">
        <f>IFERROR(__xludf.DUMMYFUNCTION("""COMPUTED_VALUE"""),809)</f>
        <v>809</v>
      </c>
      <c r="K69" s="3">
        <f t="shared" si="2"/>
        <v>0</v>
      </c>
      <c r="L69" s="3">
        <f t="shared" si="3"/>
        <v>0</v>
      </c>
    </row>
    <row r="70" customHeight="1" spans="1:12">
      <c r="A70" s="47">
        <f>IFERROR(__xludf.DUMMYFUNCTION("""COMPUTED_VALUE"""),45841.6458333333)</f>
        <v>45841.6458333333</v>
      </c>
      <c r="B70" s="48">
        <f>IFERROR(__xludf.DUMMYFUNCTION("""COMPUTED_VALUE"""),807.1)</f>
        <v>807.1</v>
      </c>
      <c r="C70" s="47">
        <f>IFERROR(__xludf.DUMMYFUNCTION("""COMPUTED_VALUE"""),45841.6458333333)</f>
        <v>45841.6458333333</v>
      </c>
      <c r="D70" s="48">
        <f>IFERROR(__xludf.DUMMYFUNCTION("""COMPUTED_VALUE"""),813.5)</f>
        <v>813.5</v>
      </c>
      <c r="E70" s="47">
        <f>IFERROR(__xludf.DUMMYFUNCTION("""COMPUTED_VALUE"""),45841.6458333333)</f>
        <v>45841.6458333333</v>
      </c>
      <c r="F70" s="48">
        <f>IFERROR(__xludf.DUMMYFUNCTION("""COMPUTED_VALUE"""),7020403)</f>
        <v>7020403</v>
      </c>
      <c r="G70" s="47">
        <f>IFERROR(__xludf.DUMMYFUNCTION("""COMPUTED_VALUE"""),45841.6458333333)</f>
        <v>45841.6458333333</v>
      </c>
      <c r="H70" s="48">
        <f>IFERROR(__xludf.DUMMYFUNCTION("""COMPUTED_VALUE"""),814.5)</f>
        <v>814.5</v>
      </c>
      <c r="I70" s="47">
        <f>IFERROR(__xludf.DUMMYFUNCTION("""COMPUTED_VALUE"""),45841.6458333333)</f>
        <v>45841.6458333333</v>
      </c>
      <c r="J70" s="48">
        <f>IFERROR(__xludf.DUMMYFUNCTION("""COMPUTED_VALUE"""),805.8)</f>
        <v>805.8</v>
      </c>
      <c r="K70" s="3">
        <f t="shared" si="2"/>
        <v>0</v>
      </c>
      <c r="L70" s="3">
        <f t="shared" si="3"/>
        <v>0</v>
      </c>
    </row>
    <row r="71" customHeight="1" spans="1:12">
      <c r="A71" s="47">
        <f>IFERROR(__xludf.DUMMYFUNCTION("""COMPUTED_VALUE"""),45842.6458333333)</f>
        <v>45842.6458333333</v>
      </c>
      <c r="B71" s="48">
        <f>IFERROR(__xludf.DUMMYFUNCTION("""COMPUTED_VALUE"""),811.85)</f>
        <v>811.85</v>
      </c>
      <c r="C71" s="47">
        <f>IFERROR(__xludf.DUMMYFUNCTION("""COMPUTED_VALUE"""),45842.6458333333)</f>
        <v>45842.6458333333</v>
      </c>
      <c r="D71" s="48">
        <f>IFERROR(__xludf.DUMMYFUNCTION("""COMPUTED_VALUE"""),808.75)</f>
        <v>808.75</v>
      </c>
      <c r="E71" s="47">
        <f>IFERROR(__xludf.DUMMYFUNCTION("""COMPUTED_VALUE"""),45842.6458333333)</f>
        <v>45842.6458333333</v>
      </c>
      <c r="F71" s="48">
        <f>IFERROR(__xludf.DUMMYFUNCTION("""COMPUTED_VALUE"""),4319538)</f>
        <v>4319538</v>
      </c>
      <c r="G71" s="47">
        <f>IFERROR(__xludf.DUMMYFUNCTION("""COMPUTED_VALUE"""),45842.6458333333)</f>
        <v>45842.6458333333</v>
      </c>
      <c r="H71" s="48">
        <f>IFERROR(__xludf.DUMMYFUNCTION("""COMPUTED_VALUE"""),813.85)</f>
        <v>813.85</v>
      </c>
      <c r="I71" s="47">
        <f>IFERROR(__xludf.DUMMYFUNCTION("""COMPUTED_VALUE"""),45842.6458333333)</f>
        <v>45842.6458333333</v>
      </c>
      <c r="J71" s="48">
        <f>IFERROR(__xludf.DUMMYFUNCTION("""COMPUTED_VALUE"""),804.1)</f>
        <v>804.1</v>
      </c>
      <c r="K71" s="3">
        <f t="shared" si="2"/>
        <v>0</v>
      </c>
      <c r="L71" s="3">
        <f t="shared" si="3"/>
        <v>0</v>
      </c>
    </row>
    <row r="72" customHeight="1" spans="1:12">
      <c r="A72" s="47">
        <f>IFERROR(__xludf.DUMMYFUNCTION("""COMPUTED_VALUE"""),45845.6458333333)</f>
        <v>45845.6458333333</v>
      </c>
      <c r="B72" s="48">
        <f>IFERROR(__xludf.DUMMYFUNCTION("""COMPUTED_VALUE"""),806.85)</f>
        <v>806.85</v>
      </c>
      <c r="C72" s="47">
        <f>IFERROR(__xludf.DUMMYFUNCTION("""COMPUTED_VALUE"""),45845.6458333333)</f>
        <v>45845.6458333333</v>
      </c>
      <c r="D72" s="48">
        <f>IFERROR(__xludf.DUMMYFUNCTION("""COMPUTED_VALUE"""),811.2)</f>
        <v>811.2</v>
      </c>
      <c r="E72" s="47">
        <f>IFERROR(__xludf.DUMMYFUNCTION("""COMPUTED_VALUE"""),45845.6458333333)</f>
        <v>45845.6458333333</v>
      </c>
      <c r="F72" s="48">
        <f>IFERROR(__xludf.DUMMYFUNCTION("""COMPUTED_VALUE"""),4461783)</f>
        <v>4461783</v>
      </c>
      <c r="G72" s="47">
        <f>IFERROR(__xludf.DUMMYFUNCTION("""COMPUTED_VALUE"""),45845.6458333333)</f>
        <v>45845.6458333333</v>
      </c>
      <c r="H72" s="48">
        <f>IFERROR(__xludf.DUMMYFUNCTION("""COMPUTED_VALUE"""),812.65)</f>
        <v>812.65</v>
      </c>
      <c r="I72" s="47">
        <f>IFERROR(__xludf.DUMMYFUNCTION("""COMPUTED_VALUE"""),45845.6458333333)</f>
        <v>45845.6458333333</v>
      </c>
      <c r="J72" s="48">
        <f>IFERROR(__xludf.DUMMYFUNCTION("""COMPUTED_VALUE"""),805.15)</f>
        <v>805.15</v>
      </c>
      <c r="K72" s="3">
        <f t="shared" si="2"/>
        <v>0</v>
      </c>
      <c r="L72" s="3">
        <f t="shared" si="3"/>
        <v>0</v>
      </c>
    </row>
    <row r="73" customHeight="1" spans="1:12">
      <c r="A73" s="47">
        <f>IFERROR(__xludf.DUMMYFUNCTION("""COMPUTED_VALUE"""),45846.6458333333)</f>
        <v>45846.6458333333</v>
      </c>
      <c r="B73" s="48">
        <f>IFERROR(__xludf.DUMMYFUNCTION("""COMPUTED_VALUE"""),812.65)</f>
        <v>812.65</v>
      </c>
      <c r="C73" s="47">
        <f>IFERROR(__xludf.DUMMYFUNCTION("""COMPUTED_VALUE"""),45846.6458333333)</f>
        <v>45846.6458333333</v>
      </c>
      <c r="D73" s="48">
        <f>IFERROR(__xludf.DUMMYFUNCTION("""COMPUTED_VALUE"""),807.9)</f>
        <v>807.9</v>
      </c>
      <c r="E73" s="47">
        <f>IFERROR(__xludf.DUMMYFUNCTION("""COMPUTED_VALUE"""),45846.6458333333)</f>
        <v>45846.6458333333</v>
      </c>
      <c r="F73" s="48">
        <f>IFERROR(__xludf.DUMMYFUNCTION("""COMPUTED_VALUE"""),5935770)</f>
        <v>5935770</v>
      </c>
      <c r="G73" s="47">
        <f>IFERROR(__xludf.DUMMYFUNCTION("""COMPUTED_VALUE"""),45846.6458333333)</f>
        <v>45846.6458333333</v>
      </c>
      <c r="H73" s="48">
        <f>IFERROR(__xludf.DUMMYFUNCTION("""COMPUTED_VALUE"""),813.55)</f>
        <v>813.55</v>
      </c>
      <c r="I73" s="47">
        <f>IFERROR(__xludf.DUMMYFUNCTION("""COMPUTED_VALUE"""),45846.6458333333)</f>
        <v>45846.6458333333</v>
      </c>
      <c r="J73" s="48">
        <f>IFERROR(__xludf.DUMMYFUNCTION("""COMPUTED_VALUE"""),805.35)</f>
        <v>805.35</v>
      </c>
      <c r="K73" s="3">
        <f t="shared" si="2"/>
        <v>0</v>
      </c>
      <c r="L73" s="3">
        <f t="shared" si="3"/>
        <v>0</v>
      </c>
    </row>
    <row r="74" customHeight="1" spans="1:12">
      <c r="A74" s="47">
        <f>IFERROR(__xludf.DUMMYFUNCTION("""COMPUTED_VALUE"""),45847.6458333333)</f>
        <v>45847.6458333333</v>
      </c>
      <c r="B74" s="48">
        <f>IFERROR(__xludf.DUMMYFUNCTION("""COMPUTED_VALUE"""),810.95)</f>
        <v>810.95</v>
      </c>
      <c r="C74" s="47">
        <f>IFERROR(__xludf.DUMMYFUNCTION("""COMPUTED_VALUE"""),45847.6458333333)</f>
        <v>45847.6458333333</v>
      </c>
      <c r="D74" s="48">
        <f>IFERROR(__xludf.DUMMYFUNCTION("""COMPUTED_VALUE"""),810)</f>
        <v>810</v>
      </c>
      <c r="E74" s="47">
        <f>IFERROR(__xludf.DUMMYFUNCTION("""COMPUTED_VALUE"""),45847.6458333333)</f>
        <v>45847.6458333333</v>
      </c>
      <c r="F74" s="48">
        <f>IFERROR(__xludf.DUMMYFUNCTION("""COMPUTED_VALUE"""),4099112)</f>
        <v>4099112</v>
      </c>
      <c r="G74" s="47">
        <f>IFERROR(__xludf.DUMMYFUNCTION("""COMPUTED_VALUE"""),45847.6458333333)</f>
        <v>45847.6458333333</v>
      </c>
      <c r="H74" s="48">
        <f>IFERROR(__xludf.DUMMYFUNCTION("""COMPUTED_VALUE"""),812.45)</f>
        <v>812.45</v>
      </c>
      <c r="I74" s="47">
        <f>IFERROR(__xludf.DUMMYFUNCTION("""COMPUTED_VALUE"""),45847.6458333333)</f>
        <v>45847.6458333333</v>
      </c>
      <c r="J74" s="48">
        <f>IFERROR(__xludf.DUMMYFUNCTION("""COMPUTED_VALUE"""),809)</f>
        <v>809</v>
      </c>
      <c r="K74" s="3">
        <f t="shared" si="2"/>
        <v>0</v>
      </c>
      <c r="L74" s="3">
        <f t="shared" si="3"/>
        <v>0</v>
      </c>
    </row>
    <row r="75" customHeight="1" spans="1:12">
      <c r="A75" s="47">
        <f>IFERROR(__xludf.DUMMYFUNCTION("""COMPUTED_VALUE"""),45848.6458333333)</f>
        <v>45848.6458333333</v>
      </c>
      <c r="B75" s="48">
        <f>IFERROR(__xludf.DUMMYFUNCTION("""COMPUTED_VALUE"""),808)</f>
        <v>808</v>
      </c>
      <c r="C75" s="47">
        <f>IFERROR(__xludf.DUMMYFUNCTION("""COMPUTED_VALUE"""),45848.6458333333)</f>
        <v>45848.6458333333</v>
      </c>
      <c r="D75" s="48">
        <f>IFERROR(__xludf.DUMMYFUNCTION("""COMPUTED_VALUE"""),811.3)</f>
        <v>811.3</v>
      </c>
      <c r="E75" s="47">
        <f>IFERROR(__xludf.DUMMYFUNCTION("""COMPUTED_VALUE"""),45848.6458333333)</f>
        <v>45848.6458333333</v>
      </c>
      <c r="F75" s="48">
        <f>IFERROR(__xludf.DUMMYFUNCTION("""COMPUTED_VALUE"""),12178137)</f>
        <v>12178137</v>
      </c>
      <c r="G75" s="47">
        <f>IFERROR(__xludf.DUMMYFUNCTION("""COMPUTED_VALUE"""),45848.6458333333)</f>
        <v>45848.6458333333</v>
      </c>
      <c r="H75" s="48">
        <f>IFERROR(__xludf.DUMMYFUNCTION("""COMPUTED_VALUE"""),815.5)</f>
        <v>815.5</v>
      </c>
      <c r="I75" s="47">
        <f>IFERROR(__xludf.DUMMYFUNCTION("""COMPUTED_VALUE"""),45848.6458333333)</f>
        <v>45848.6458333333</v>
      </c>
      <c r="J75" s="48">
        <f>IFERROR(__xludf.DUMMYFUNCTION("""COMPUTED_VALUE"""),806.9)</f>
        <v>806.9</v>
      </c>
      <c r="K75" s="3">
        <f t="shared" si="2"/>
        <v>0</v>
      </c>
      <c r="L75" s="3">
        <f t="shared" si="3"/>
        <v>0</v>
      </c>
    </row>
    <row r="76" customHeight="1" spans="1:12">
      <c r="A76" s="47">
        <f>IFERROR(__xludf.DUMMYFUNCTION("""COMPUTED_VALUE"""),45849.6458333333)</f>
        <v>45849.6458333333</v>
      </c>
      <c r="B76" s="48">
        <f>IFERROR(__xludf.DUMMYFUNCTION("""COMPUTED_VALUE"""),808.65)</f>
        <v>808.65</v>
      </c>
      <c r="C76" s="47">
        <f>IFERROR(__xludf.DUMMYFUNCTION("""COMPUTED_VALUE"""),45849.6458333333)</f>
        <v>45849.6458333333</v>
      </c>
      <c r="D76" s="48">
        <f>IFERROR(__xludf.DUMMYFUNCTION("""COMPUTED_VALUE"""),807.55)</f>
        <v>807.55</v>
      </c>
      <c r="E76" s="47">
        <f>IFERROR(__xludf.DUMMYFUNCTION("""COMPUTED_VALUE"""),45849.6458333333)</f>
        <v>45849.6458333333</v>
      </c>
      <c r="F76" s="48">
        <f>IFERROR(__xludf.DUMMYFUNCTION("""COMPUTED_VALUE"""),6202372)</f>
        <v>6202372</v>
      </c>
      <c r="G76" s="47">
        <f>IFERROR(__xludf.DUMMYFUNCTION("""COMPUTED_VALUE"""),45849.6458333333)</f>
        <v>45849.6458333333</v>
      </c>
      <c r="H76" s="48">
        <f>IFERROR(__xludf.DUMMYFUNCTION("""COMPUTED_VALUE"""),812.55)</f>
        <v>812.55</v>
      </c>
      <c r="I76" s="47">
        <f>IFERROR(__xludf.DUMMYFUNCTION("""COMPUTED_VALUE"""),45849.6458333333)</f>
        <v>45849.6458333333</v>
      </c>
      <c r="J76" s="48">
        <f>IFERROR(__xludf.DUMMYFUNCTION("""COMPUTED_VALUE"""),804.55)</f>
        <v>804.55</v>
      </c>
      <c r="K76" s="3">
        <f t="shared" si="2"/>
        <v>0</v>
      </c>
      <c r="L76" s="3">
        <f t="shared" si="3"/>
        <v>0</v>
      </c>
    </row>
    <row r="77" customHeight="1" spans="1:12">
      <c r="A77" s="47">
        <f>IFERROR(__xludf.DUMMYFUNCTION("""COMPUTED_VALUE"""),45852.6458333333)</f>
        <v>45852.6458333333</v>
      </c>
      <c r="B77" s="48">
        <f>IFERROR(__xludf.DUMMYFUNCTION("""COMPUTED_VALUE"""),808.85)</f>
        <v>808.85</v>
      </c>
      <c r="C77" s="47">
        <f>IFERROR(__xludf.DUMMYFUNCTION("""COMPUTED_VALUE"""),45852.6458333333)</f>
        <v>45852.6458333333</v>
      </c>
      <c r="D77" s="48">
        <f>IFERROR(__xludf.DUMMYFUNCTION("""COMPUTED_VALUE"""),809.8)</f>
        <v>809.8</v>
      </c>
      <c r="E77" s="47">
        <f>IFERROR(__xludf.DUMMYFUNCTION("""COMPUTED_VALUE"""),45852.6458333333)</f>
        <v>45852.6458333333</v>
      </c>
      <c r="F77" s="48">
        <f>IFERROR(__xludf.DUMMYFUNCTION("""COMPUTED_VALUE"""),6938635)</f>
        <v>6938635</v>
      </c>
      <c r="G77" s="47">
        <f>IFERROR(__xludf.DUMMYFUNCTION("""COMPUTED_VALUE"""),45852.6458333333)</f>
        <v>45852.6458333333</v>
      </c>
      <c r="H77" s="48">
        <f>IFERROR(__xludf.DUMMYFUNCTION("""COMPUTED_VALUE"""),815.5)</f>
        <v>815.5</v>
      </c>
      <c r="I77" s="47">
        <f>IFERROR(__xludf.DUMMYFUNCTION("""COMPUTED_VALUE"""),45852.6458333333)</f>
        <v>45852.6458333333</v>
      </c>
      <c r="J77" s="48">
        <f>IFERROR(__xludf.DUMMYFUNCTION("""COMPUTED_VALUE"""),808)</f>
        <v>808</v>
      </c>
      <c r="K77" s="3">
        <f t="shared" si="2"/>
        <v>0</v>
      </c>
      <c r="L77" s="3">
        <f t="shared" si="3"/>
        <v>0</v>
      </c>
    </row>
    <row r="78" customHeight="1" spans="1:12">
      <c r="A78" s="47">
        <f>IFERROR(__xludf.DUMMYFUNCTION("""COMPUTED_VALUE"""),45853.6458333333)</f>
        <v>45853.6458333333</v>
      </c>
      <c r="B78" s="48">
        <f>IFERROR(__xludf.DUMMYFUNCTION("""COMPUTED_VALUE"""),816.45)</f>
        <v>816.45</v>
      </c>
      <c r="C78" s="47">
        <f>IFERROR(__xludf.DUMMYFUNCTION("""COMPUTED_VALUE"""),45853.6458333333)</f>
        <v>45853.6458333333</v>
      </c>
      <c r="D78" s="48">
        <f>IFERROR(__xludf.DUMMYFUNCTION("""COMPUTED_VALUE"""),811)</f>
        <v>811</v>
      </c>
      <c r="E78" s="47">
        <f>IFERROR(__xludf.DUMMYFUNCTION("""COMPUTED_VALUE"""),45853.6458333333)</f>
        <v>45853.6458333333</v>
      </c>
      <c r="F78" s="48">
        <f>IFERROR(__xludf.DUMMYFUNCTION("""COMPUTED_VALUE"""),9297645)</f>
        <v>9297645</v>
      </c>
      <c r="G78" s="47">
        <f>IFERROR(__xludf.DUMMYFUNCTION("""COMPUTED_VALUE"""),45853.6458333333)</f>
        <v>45853.6458333333</v>
      </c>
      <c r="H78" s="48">
        <f>IFERROR(__xludf.DUMMYFUNCTION("""COMPUTED_VALUE"""),821)</f>
        <v>821</v>
      </c>
      <c r="I78" s="47">
        <f>IFERROR(__xludf.DUMMYFUNCTION("""COMPUTED_VALUE"""),45853.6458333333)</f>
        <v>45853.6458333333</v>
      </c>
      <c r="J78" s="48">
        <f>IFERROR(__xludf.DUMMYFUNCTION("""COMPUTED_VALUE"""),810.5)</f>
        <v>810.5</v>
      </c>
      <c r="K78" s="3">
        <f t="shared" si="2"/>
        <v>0</v>
      </c>
      <c r="L78" s="3">
        <f t="shared" si="3"/>
        <v>0</v>
      </c>
    </row>
    <row r="79" customHeight="1" spans="1:12">
      <c r="A79" s="47">
        <f>IFERROR(__xludf.DUMMYFUNCTION("""COMPUTED_VALUE"""),45854.6458333333)</f>
        <v>45854.6458333333</v>
      </c>
      <c r="B79" s="48">
        <f>IFERROR(__xludf.DUMMYFUNCTION("""COMPUTED_VALUE"""),831.7)</f>
        <v>831.7</v>
      </c>
      <c r="C79" s="47">
        <f>IFERROR(__xludf.DUMMYFUNCTION("""COMPUTED_VALUE"""),45854.6458333333)</f>
        <v>45854.6458333333</v>
      </c>
      <c r="D79" s="48">
        <f>IFERROR(__xludf.DUMMYFUNCTION("""COMPUTED_VALUE"""),816)</f>
        <v>816</v>
      </c>
      <c r="E79" s="47">
        <f>IFERROR(__xludf.DUMMYFUNCTION("""COMPUTED_VALUE"""),45854.6458333333)</f>
        <v>45854.6458333333</v>
      </c>
      <c r="F79" s="48">
        <f>IFERROR(__xludf.DUMMYFUNCTION("""COMPUTED_VALUE"""),16458920)</f>
        <v>16458920</v>
      </c>
      <c r="G79" s="47">
        <f>IFERROR(__xludf.DUMMYFUNCTION("""COMPUTED_VALUE"""),45854.6458333333)</f>
        <v>45854.6458333333</v>
      </c>
      <c r="H79" s="48">
        <f>IFERROR(__xludf.DUMMYFUNCTION("""COMPUTED_VALUE"""),834.2)</f>
        <v>834.2</v>
      </c>
      <c r="I79" s="47">
        <f>IFERROR(__xludf.DUMMYFUNCTION("""COMPUTED_VALUE"""),45854.6458333333)</f>
        <v>45854.6458333333</v>
      </c>
      <c r="J79" s="48">
        <f>IFERROR(__xludf.DUMMYFUNCTION("""COMPUTED_VALUE"""),815.3)</f>
        <v>815.3</v>
      </c>
      <c r="K79" s="3">
        <f t="shared" si="2"/>
        <v>831.7</v>
      </c>
      <c r="L79" s="3">
        <f t="shared" si="3"/>
        <v>0</v>
      </c>
    </row>
    <row r="80" customHeight="1" spans="1:12">
      <c r="A80" s="47">
        <f>IFERROR(__xludf.DUMMYFUNCTION("""COMPUTED_VALUE"""),45855.6458333333)</f>
        <v>45855.6458333333</v>
      </c>
      <c r="B80" s="48">
        <f>IFERROR(__xludf.DUMMYFUNCTION("""COMPUTED_VALUE"""),829)</f>
        <v>829</v>
      </c>
      <c r="C80" s="47">
        <f>IFERROR(__xludf.DUMMYFUNCTION("""COMPUTED_VALUE"""),45855.6458333333)</f>
        <v>45855.6458333333</v>
      </c>
      <c r="D80" s="48">
        <f>IFERROR(__xludf.DUMMYFUNCTION("""COMPUTED_VALUE"""),838.4)</f>
        <v>838.4</v>
      </c>
      <c r="E80" s="47">
        <f>IFERROR(__xludf.DUMMYFUNCTION("""COMPUTED_VALUE"""),45855.6458333333)</f>
        <v>45855.6458333333</v>
      </c>
      <c r="F80" s="48">
        <f>IFERROR(__xludf.DUMMYFUNCTION("""COMPUTED_VALUE"""),23073718)</f>
        <v>23073718</v>
      </c>
      <c r="G80" s="47">
        <f>IFERROR(__xludf.DUMMYFUNCTION("""COMPUTED_VALUE"""),45855.6458333333)</f>
        <v>45855.6458333333</v>
      </c>
      <c r="H80" s="48">
        <f>IFERROR(__xludf.DUMMYFUNCTION("""COMPUTED_VALUE"""),842.5)</f>
        <v>842.5</v>
      </c>
      <c r="I80" s="47">
        <f>IFERROR(__xludf.DUMMYFUNCTION("""COMPUTED_VALUE"""),45855.6458333333)</f>
        <v>45855.6458333333</v>
      </c>
      <c r="J80" s="48">
        <f>IFERROR(__xludf.DUMMYFUNCTION("""COMPUTED_VALUE"""),826.35)</f>
        <v>826.35</v>
      </c>
      <c r="K80" s="3">
        <f t="shared" si="2"/>
        <v>0</v>
      </c>
      <c r="L80" s="3">
        <f t="shared" si="3"/>
        <v>0</v>
      </c>
    </row>
    <row r="81" customHeight="1" spans="1:12">
      <c r="A81" s="47">
        <f>IFERROR(__xludf.DUMMYFUNCTION("""COMPUTED_VALUE"""),45856.6458333333)</f>
        <v>45856.6458333333</v>
      </c>
      <c r="B81" s="48">
        <f>IFERROR(__xludf.DUMMYFUNCTION("""COMPUTED_VALUE"""),823.35)</f>
        <v>823.35</v>
      </c>
      <c r="C81" s="47">
        <f>IFERROR(__xludf.DUMMYFUNCTION("""COMPUTED_VALUE"""),45856.6458333333)</f>
        <v>45856.6458333333</v>
      </c>
      <c r="D81" s="48">
        <f>IFERROR(__xludf.DUMMYFUNCTION("""COMPUTED_VALUE"""),832)</f>
        <v>832</v>
      </c>
      <c r="E81" s="47">
        <f>IFERROR(__xludf.DUMMYFUNCTION("""COMPUTED_VALUE"""),45856.6458333333)</f>
        <v>45856.6458333333</v>
      </c>
      <c r="F81" s="48">
        <f>IFERROR(__xludf.DUMMYFUNCTION("""COMPUTED_VALUE"""),15387801)</f>
        <v>15387801</v>
      </c>
      <c r="G81" s="47">
        <f>IFERROR(__xludf.DUMMYFUNCTION("""COMPUTED_VALUE"""),45856.6458333333)</f>
        <v>45856.6458333333</v>
      </c>
      <c r="H81" s="48">
        <f>IFERROR(__xludf.DUMMYFUNCTION("""COMPUTED_VALUE"""),832.65)</f>
        <v>832.65</v>
      </c>
      <c r="I81" s="47">
        <f>IFERROR(__xludf.DUMMYFUNCTION("""COMPUTED_VALUE"""),45856.6458333333)</f>
        <v>45856.6458333333</v>
      </c>
      <c r="J81" s="48">
        <f>IFERROR(__xludf.DUMMYFUNCTION("""COMPUTED_VALUE"""),820.25)</f>
        <v>820.25</v>
      </c>
      <c r="K81" s="3">
        <f t="shared" si="2"/>
        <v>0</v>
      </c>
      <c r="L81" s="3">
        <f t="shared" si="3"/>
        <v>0</v>
      </c>
    </row>
    <row r="82" customHeight="1" spans="1:12">
      <c r="A82" s="47">
        <f>IFERROR(__xludf.DUMMYFUNCTION("""COMPUTED_VALUE"""),45859.6458333333)</f>
        <v>45859.6458333333</v>
      </c>
      <c r="B82" s="48">
        <f>IFERROR(__xludf.DUMMYFUNCTION("""COMPUTED_VALUE"""),824.2)</f>
        <v>824.2</v>
      </c>
      <c r="C82" s="47">
        <f>IFERROR(__xludf.DUMMYFUNCTION("""COMPUTED_VALUE"""),45859.6458333333)</f>
        <v>45859.6458333333</v>
      </c>
      <c r="D82" s="48">
        <f>IFERROR(__xludf.DUMMYFUNCTION("""COMPUTED_VALUE"""),823)</f>
        <v>823</v>
      </c>
      <c r="E82" s="47">
        <f>IFERROR(__xludf.DUMMYFUNCTION("""COMPUTED_VALUE"""),45859.6458333333)</f>
        <v>45859.6458333333</v>
      </c>
      <c r="F82" s="48">
        <f>IFERROR(__xludf.DUMMYFUNCTION("""COMPUTED_VALUE"""),8852594)</f>
        <v>8852594</v>
      </c>
      <c r="G82" s="47">
        <f>IFERROR(__xludf.DUMMYFUNCTION("""COMPUTED_VALUE"""),45859.6458333333)</f>
        <v>45859.6458333333</v>
      </c>
      <c r="H82" s="48">
        <f>IFERROR(__xludf.DUMMYFUNCTION("""COMPUTED_VALUE"""),827.35)</f>
        <v>827.35</v>
      </c>
      <c r="I82" s="47">
        <f>IFERROR(__xludf.DUMMYFUNCTION("""COMPUTED_VALUE"""),45859.6458333333)</f>
        <v>45859.6458333333</v>
      </c>
      <c r="J82" s="48">
        <f>IFERROR(__xludf.DUMMYFUNCTION("""COMPUTED_VALUE"""),817.95)</f>
        <v>817.95</v>
      </c>
      <c r="K82" s="3">
        <f t="shared" si="2"/>
        <v>0</v>
      </c>
      <c r="L82" s="3">
        <f t="shared" si="3"/>
        <v>0</v>
      </c>
    </row>
    <row r="83" customHeight="1" spans="1:12">
      <c r="A83" s="47">
        <f>IFERROR(__xludf.DUMMYFUNCTION("""COMPUTED_VALUE"""),45860.6458333333)</f>
        <v>45860.6458333333</v>
      </c>
      <c r="B83" s="48">
        <f>IFERROR(__xludf.DUMMYFUNCTION("""COMPUTED_VALUE"""),815)</f>
        <v>815</v>
      </c>
      <c r="C83" s="47">
        <f>IFERROR(__xludf.DUMMYFUNCTION("""COMPUTED_VALUE"""),45860.6458333333)</f>
        <v>45860.6458333333</v>
      </c>
      <c r="D83" s="48">
        <f>IFERROR(__xludf.DUMMYFUNCTION("""COMPUTED_VALUE"""),827.5)</f>
        <v>827.5</v>
      </c>
      <c r="E83" s="47">
        <f>IFERROR(__xludf.DUMMYFUNCTION("""COMPUTED_VALUE"""),45860.6458333333)</f>
        <v>45860.6458333333</v>
      </c>
      <c r="F83" s="48">
        <f>IFERROR(__xludf.DUMMYFUNCTION("""COMPUTED_VALUE"""),7851163)</f>
        <v>7851163</v>
      </c>
      <c r="G83" s="47">
        <f>IFERROR(__xludf.DUMMYFUNCTION("""COMPUTED_VALUE"""),45860.6458333333)</f>
        <v>45860.6458333333</v>
      </c>
      <c r="H83" s="48">
        <f>IFERROR(__xludf.DUMMYFUNCTION("""COMPUTED_VALUE"""),828.05)</f>
        <v>828.05</v>
      </c>
      <c r="I83" s="47">
        <f>IFERROR(__xludf.DUMMYFUNCTION("""COMPUTED_VALUE"""),45860.6458333333)</f>
        <v>45860.6458333333</v>
      </c>
      <c r="J83" s="48">
        <f>IFERROR(__xludf.DUMMYFUNCTION("""COMPUTED_VALUE"""),814)</f>
        <v>814</v>
      </c>
      <c r="K83" s="3">
        <f t="shared" si="2"/>
        <v>0</v>
      </c>
      <c r="L83" s="3">
        <f t="shared" si="3"/>
        <v>0</v>
      </c>
    </row>
    <row r="84" customHeight="1" spans="1:12">
      <c r="A84" s="47">
        <f>IFERROR(__xludf.DUMMYFUNCTION("""COMPUTED_VALUE"""),45861.6458333333)</f>
        <v>45861.6458333333</v>
      </c>
      <c r="B84" s="48">
        <f>IFERROR(__xludf.DUMMYFUNCTION("""COMPUTED_VALUE"""),820.65)</f>
        <v>820.65</v>
      </c>
      <c r="C84" s="47">
        <f>IFERROR(__xludf.DUMMYFUNCTION("""COMPUTED_VALUE"""),45861.6458333333)</f>
        <v>45861.6458333333</v>
      </c>
      <c r="D84" s="48">
        <f>IFERROR(__xludf.DUMMYFUNCTION("""COMPUTED_VALUE"""),812.5)</f>
        <v>812.5</v>
      </c>
      <c r="E84" s="47">
        <f>IFERROR(__xludf.DUMMYFUNCTION("""COMPUTED_VALUE"""),45861.6458333333)</f>
        <v>45861.6458333333</v>
      </c>
      <c r="F84" s="48">
        <f>IFERROR(__xludf.DUMMYFUNCTION("""COMPUTED_VALUE"""),15470390)</f>
        <v>15470390</v>
      </c>
      <c r="G84" s="47">
        <f>IFERROR(__xludf.DUMMYFUNCTION("""COMPUTED_VALUE"""),45861.6458333333)</f>
        <v>45861.6458333333</v>
      </c>
      <c r="H84" s="48">
        <f>IFERROR(__xludf.DUMMYFUNCTION("""COMPUTED_VALUE"""),825.2)</f>
        <v>825.2</v>
      </c>
      <c r="I84" s="47">
        <f>IFERROR(__xludf.DUMMYFUNCTION("""COMPUTED_VALUE"""),45861.6458333333)</f>
        <v>45861.6458333333</v>
      </c>
      <c r="J84" s="48">
        <f>IFERROR(__xludf.DUMMYFUNCTION("""COMPUTED_VALUE"""),811.5)</f>
        <v>811.5</v>
      </c>
      <c r="K84" s="3">
        <f t="shared" si="2"/>
        <v>0</v>
      </c>
      <c r="L84" s="3">
        <f t="shared" si="3"/>
        <v>0</v>
      </c>
    </row>
    <row r="85" customHeight="1" spans="1:12">
      <c r="A85" s="47">
        <f>IFERROR(__xludf.DUMMYFUNCTION("""COMPUTED_VALUE"""),45862.6458333333)</f>
        <v>45862.6458333333</v>
      </c>
      <c r="B85" s="48">
        <f>IFERROR(__xludf.DUMMYFUNCTION("""COMPUTED_VALUE"""),815.7)</f>
        <v>815.7</v>
      </c>
      <c r="C85" s="47">
        <f>IFERROR(__xludf.DUMMYFUNCTION("""COMPUTED_VALUE"""),45862.6458333333)</f>
        <v>45862.6458333333</v>
      </c>
      <c r="D85" s="48">
        <f>IFERROR(__xludf.DUMMYFUNCTION("""COMPUTED_VALUE"""),820)</f>
        <v>820</v>
      </c>
      <c r="E85" s="47">
        <f>IFERROR(__xludf.DUMMYFUNCTION("""COMPUTED_VALUE"""),45862.6458333333)</f>
        <v>45862.6458333333</v>
      </c>
      <c r="F85" s="48">
        <f>IFERROR(__xludf.DUMMYFUNCTION("""COMPUTED_VALUE"""),10118309)</f>
        <v>10118309</v>
      </c>
      <c r="G85" s="47">
        <f>IFERROR(__xludf.DUMMYFUNCTION("""COMPUTED_VALUE"""),45862.6458333333)</f>
        <v>45862.6458333333</v>
      </c>
      <c r="H85" s="48">
        <f>IFERROR(__xludf.DUMMYFUNCTION("""COMPUTED_VALUE"""),821.95)</f>
        <v>821.95</v>
      </c>
      <c r="I85" s="47">
        <f>IFERROR(__xludf.DUMMYFUNCTION("""COMPUTED_VALUE"""),45862.6458333333)</f>
        <v>45862.6458333333</v>
      </c>
      <c r="J85" s="48">
        <f>IFERROR(__xludf.DUMMYFUNCTION("""COMPUTED_VALUE"""),810.65)</f>
        <v>810.65</v>
      </c>
      <c r="K85" s="3">
        <f t="shared" si="2"/>
        <v>0</v>
      </c>
      <c r="L85" s="3">
        <f t="shared" si="3"/>
        <v>0</v>
      </c>
    </row>
    <row r="86" customHeight="1" spans="1:12">
      <c r="A86" s="47">
        <f>IFERROR(__xludf.DUMMYFUNCTION("""COMPUTED_VALUE"""),45863.6458333333)</f>
        <v>45863.6458333333</v>
      </c>
      <c r="B86" s="48">
        <f>IFERROR(__xludf.DUMMYFUNCTION("""COMPUTED_VALUE"""),806.55)</f>
        <v>806.55</v>
      </c>
      <c r="C86" s="47">
        <f>IFERROR(__xludf.DUMMYFUNCTION("""COMPUTED_VALUE"""),45863.6458333333)</f>
        <v>45863.6458333333</v>
      </c>
      <c r="D86" s="48">
        <f>IFERROR(__xludf.DUMMYFUNCTION("""COMPUTED_VALUE"""),815)</f>
        <v>815</v>
      </c>
      <c r="E86" s="47">
        <f>IFERROR(__xludf.DUMMYFUNCTION("""COMPUTED_VALUE"""),45863.6458333333)</f>
        <v>45863.6458333333</v>
      </c>
      <c r="F86" s="48">
        <f>IFERROR(__xludf.DUMMYFUNCTION("""COMPUTED_VALUE"""),6734439)</f>
        <v>6734439</v>
      </c>
      <c r="G86" s="47">
        <f>IFERROR(__xludf.DUMMYFUNCTION("""COMPUTED_VALUE"""),45863.6458333333)</f>
        <v>45863.6458333333</v>
      </c>
      <c r="H86" s="48">
        <f>IFERROR(__xludf.DUMMYFUNCTION("""COMPUTED_VALUE"""),819.2)</f>
        <v>819.2</v>
      </c>
      <c r="I86" s="47">
        <f>IFERROR(__xludf.DUMMYFUNCTION("""COMPUTED_VALUE"""),45863.6458333333)</f>
        <v>45863.6458333333</v>
      </c>
      <c r="J86" s="48">
        <f>IFERROR(__xludf.DUMMYFUNCTION("""COMPUTED_VALUE"""),805.5)</f>
        <v>805.5</v>
      </c>
      <c r="K86" s="3">
        <f t="shared" si="2"/>
        <v>0</v>
      </c>
      <c r="L86" s="3">
        <f t="shared" si="3"/>
        <v>0</v>
      </c>
    </row>
    <row r="87" customHeight="1" spans="1:12">
      <c r="A87" s="47">
        <f>IFERROR(__xludf.DUMMYFUNCTION("""COMPUTED_VALUE"""),45866.6458333333)</f>
        <v>45866.6458333333</v>
      </c>
      <c r="B87" s="48">
        <f>IFERROR(__xludf.DUMMYFUNCTION("""COMPUTED_VALUE"""),797.15)</f>
        <v>797.15</v>
      </c>
      <c r="C87" s="47">
        <f>IFERROR(__xludf.DUMMYFUNCTION("""COMPUTED_VALUE"""),45866.6458333333)</f>
        <v>45866.6458333333</v>
      </c>
      <c r="D87" s="48">
        <f>IFERROR(__xludf.DUMMYFUNCTION("""COMPUTED_VALUE"""),806.55)</f>
        <v>806.55</v>
      </c>
      <c r="E87" s="47">
        <f>IFERROR(__xludf.DUMMYFUNCTION("""COMPUTED_VALUE"""),45866.6458333333)</f>
        <v>45866.6458333333</v>
      </c>
      <c r="F87" s="48">
        <f>IFERROR(__xludf.DUMMYFUNCTION("""COMPUTED_VALUE"""),7734158)</f>
        <v>7734158</v>
      </c>
      <c r="G87" s="47">
        <f>IFERROR(__xludf.DUMMYFUNCTION("""COMPUTED_VALUE"""),45866.6458333333)</f>
        <v>45866.6458333333</v>
      </c>
      <c r="H87" s="48">
        <f>IFERROR(__xludf.DUMMYFUNCTION("""COMPUTED_VALUE"""),808.95)</f>
        <v>808.95</v>
      </c>
      <c r="I87" s="47">
        <f>IFERROR(__xludf.DUMMYFUNCTION("""COMPUTED_VALUE"""),45866.6458333333)</f>
        <v>45866.6458333333</v>
      </c>
      <c r="J87" s="48">
        <f>IFERROR(__xludf.DUMMYFUNCTION("""COMPUTED_VALUE"""),796)</f>
        <v>796</v>
      </c>
      <c r="K87" s="3">
        <f t="shared" si="2"/>
        <v>0</v>
      </c>
      <c r="L87" s="3">
        <f t="shared" si="3"/>
        <v>0</v>
      </c>
    </row>
    <row r="88" customHeight="1" spans="1:12">
      <c r="A88" s="47">
        <f>IFERROR(__xludf.DUMMYFUNCTION("""COMPUTED_VALUE"""),45867.6458333333)</f>
        <v>45867.6458333333</v>
      </c>
      <c r="B88" s="48">
        <f>IFERROR(__xludf.DUMMYFUNCTION("""COMPUTED_VALUE"""),799.2)</f>
        <v>799.2</v>
      </c>
      <c r="C88" s="47">
        <f>IFERROR(__xludf.DUMMYFUNCTION("""COMPUTED_VALUE"""),45867.6458333333)</f>
        <v>45867.6458333333</v>
      </c>
      <c r="D88" s="48">
        <f>IFERROR(__xludf.DUMMYFUNCTION("""COMPUTED_VALUE"""),796.2)</f>
        <v>796.2</v>
      </c>
      <c r="E88" s="47">
        <f>IFERROR(__xludf.DUMMYFUNCTION("""COMPUTED_VALUE"""),45867.6458333333)</f>
        <v>45867.6458333333</v>
      </c>
      <c r="F88" s="48">
        <f>IFERROR(__xludf.DUMMYFUNCTION("""COMPUTED_VALUE"""),7833759)</f>
        <v>7833759</v>
      </c>
      <c r="G88" s="47">
        <f>IFERROR(__xludf.DUMMYFUNCTION("""COMPUTED_VALUE"""),45867.6458333333)</f>
        <v>45867.6458333333</v>
      </c>
      <c r="H88" s="48">
        <f>IFERROR(__xludf.DUMMYFUNCTION("""COMPUTED_VALUE"""),800)</f>
        <v>800</v>
      </c>
      <c r="I88" s="47">
        <f>IFERROR(__xludf.DUMMYFUNCTION("""COMPUTED_VALUE"""),45867.6458333333)</f>
        <v>45867.6458333333</v>
      </c>
      <c r="J88" s="48">
        <f>IFERROR(__xludf.DUMMYFUNCTION("""COMPUTED_VALUE"""),793.1)</f>
        <v>793.1</v>
      </c>
      <c r="K88" s="3">
        <f t="shared" si="2"/>
        <v>0</v>
      </c>
      <c r="L88" s="3">
        <f t="shared" si="3"/>
        <v>0</v>
      </c>
    </row>
    <row r="89" customHeight="1" spans="1:12">
      <c r="A89" s="47">
        <f>IFERROR(__xludf.DUMMYFUNCTION("""COMPUTED_VALUE"""),45868.6458333333)</f>
        <v>45868.6458333333</v>
      </c>
      <c r="B89" s="48">
        <f>IFERROR(__xludf.DUMMYFUNCTION("""COMPUTED_VALUE"""),801.65)</f>
        <v>801.65</v>
      </c>
      <c r="C89" s="47">
        <f>IFERROR(__xludf.DUMMYFUNCTION("""COMPUTED_VALUE"""),45868.6458333333)</f>
        <v>45868.6458333333</v>
      </c>
      <c r="D89" s="48">
        <f>IFERROR(__xludf.DUMMYFUNCTION("""COMPUTED_VALUE"""),798.95)</f>
        <v>798.95</v>
      </c>
      <c r="E89" s="47">
        <f>IFERROR(__xludf.DUMMYFUNCTION("""COMPUTED_VALUE"""),45868.6458333333)</f>
        <v>45868.6458333333</v>
      </c>
      <c r="F89" s="48">
        <f>IFERROR(__xludf.DUMMYFUNCTION("""COMPUTED_VALUE"""),8743723)</f>
        <v>8743723</v>
      </c>
      <c r="G89" s="47">
        <f>IFERROR(__xludf.DUMMYFUNCTION("""COMPUTED_VALUE"""),45868.6458333333)</f>
        <v>45868.6458333333</v>
      </c>
      <c r="H89" s="48">
        <f>IFERROR(__xludf.DUMMYFUNCTION("""COMPUTED_VALUE"""),803.4)</f>
        <v>803.4</v>
      </c>
      <c r="I89" s="47">
        <f>IFERROR(__xludf.DUMMYFUNCTION("""COMPUTED_VALUE"""),45868.6458333333)</f>
        <v>45868.6458333333</v>
      </c>
      <c r="J89" s="48">
        <f>IFERROR(__xludf.DUMMYFUNCTION("""COMPUTED_VALUE"""),796.2)</f>
        <v>796.2</v>
      </c>
      <c r="K89" s="3">
        <f t="shared" si="2"/>
        <v>0</v>
      </c>
      <c r="L89" s="3">
        <f t="shared" si="3"/>
        <v>0</v>
      </c>
    </row>
    <row r="90" customHeight="1" spans="1:12">
      <c r="A90" s="47">
        <f>IFERROR(__xludf.DUMMYFUNCTION("""COMPUTED_VALUE"""),45869.6458333333)</f>
        <v>45869.6458333333</v>
      </c>
      <c r="B90" s="48">
        <f>IFERROR(__xludf.DUMMYFUNCTION("""COMPUTED_VALUE"""),796.55)</f>
        <v>796.55</v>
      </c>
      <c r="C90" s="47">
        <f>IFERROR(__xludf.DUMMYFUNCTION("""COMPUTED_VALUE"""),45869.6458333333)</f>
        <v>45869.6458333333</v>
      </c>
      <c r="D90" s="48">
        <f>IFERROR(__xludf.DUMMYFUNCTION("""COMPUTED_VALUE"""),795.1)</f>
        <v>795.1</v>
      </c>
      <c r="E90" s="47">
        <f>IFERROR(__xludf.DUMMYFUNCTION("""COMPUTED_VALUE"""),45869.6458333333)</f>
        <v>45869.6458333333</v>
      </c>
      <c r="F90" s="48">
        <f>IFERROR(__xludf.DUMMYFUNCTION("""COMPUTED_VALUE"""),11359112)</f>
        <v>11359112</v>
      </c>
      <c r="G90" s="47">
        <f>IFERROR(__xludf.DUMMYFUNCTION("""COMPUTED_VALUE"""),45869.6458333333)</f>
        <v>45869.6458333333</v>
      </c>
      <c r="H90" s="48">
        <f>IFERROR(__xludf.DUMMYFUNCTION("""COMPUTED_VALUE"""),803.8)</f>
        <v>803.8</v>
      </c>
      <c r="I90" s="47">
        <f>IFERROR(__xludf.DUMMYFUNCTION("""COMPUTED_VALUE"""),45869.6458333333)</f>
        <v>45869.6458333333</v>
      </c>
      <c r="J90" s="48">
        <f>IFERROR(__xludf.DUMMYFUNCTION("""COMPUTED_VALUE"""),792.55)</f>
        <v>792.55</v>
      </c>
      <c r="K90" s="3">
        <f t="shared" si="2"/>
        <v>0</v>
      </c>
      <c r="L90" s="3">
        <f t="shared" si="3"/>
        <v>0</v>
      </c>
    </row>
    <row r="91" customHeight="1" spans="1:12">
      <c r="A91" s="47">
        <f>IFERROR(__xludf.DUMMYFUNCTION("""COMPUTED_VALUE"""),45870.6458333333)</f>
        <v>45870.6458333333</v>
      </c>
      <c r="B91" s="48">
        <f>IFERROR(__xludf.DUMMYFUNCTION("""COMPUTED_VALUE"""),794)</f>
        <v>794</v>
      </c>
      <c r="C91" s="47">
        <f>IFERROR(__xludf.DUMMYFUNCTION("""COMPUTED_VALUE"""),45870.6458333333)</f>
        <v>45870.6458333333</v>
      </c>
      <c r="D91" s="48">
        <f>IFERROR(__xludf.DUMMYFUNCTION("""COMPUTED_VALUE"""),795.7)</f>
        <v>795.7</v>
      </c>
      <c r="E91" s="47">
        <f>IFERROR(__xludf.DUMMYFUNCTION("""COMPUTED_VALUE"""),45870.6458333333)</f>
        <v>45870.6458333333</v>
      </c>
      <c r="F91" s="48">
        <f>IFERROR(__xludf.DUMMYFUNCTION("""COMPUTED_VALUE"""),15468391)</f>
        <v>15468391</v>
      </c>
      <c r="G91" s="47">
        <f>IFERROR(__xludf.DUMMYFUNCTION("""COMPUTED_VALUE"""),45870.6458333333)</f>
        <v>45870.6458333333</v>
      </c>
      <c r="H91" s="48">
        <f>IFERROR(__xludf.DUMMYFUNCTION("""COMPUTED_VALUE"""),801)</f>
        <v>801</v>
      </c>
      <c r="I91" s="47">
        <f>IFERROR(__xludf.DUMMYFUNCTION("""COMPUTED_VALUE"""),45870.6458333333)</f>
        <v>45870.6458333333</v>
      </c>
      <c r="J91" s="48">
        <f>IFERROR(__xludf.DUMMYFUNCTION("""COMPUTED_VALUE"""),792)</f>
        <v>792</v>
      </c>
      <c r="K91" s="3">
        <f t="shared" si="2"/>
        <v>0</v>
      </c>
      <c r="L91" s="3">
        <f t="shared" si="3"/>
        <v>794</v>
      </c>
    </row>
    <row r="92" customHeight="1" spans="1:12">
      <c r="A92" s="47">
        <f>IFERROR(__xludf.DUMMYFUNCTION("""COMPUTED_VALUE"""),45873.6458333333)</f>
        <v>45873.6458333333</v>
      </c>
      <c r="B92" s="48">
        <f>IFERROR(__xludf.DUMMYFUNCTION("""COMPUTED_VALUE"""),795.7)</f>
        <v>795.7</v>
      </c>
      <c r="C92" s="47">
        <f>IFERROR(__xludf.DUMMYFUNCTION("""COMPUTED_VALUE"""),45873.6458333333)</f>
        <v>45873.6458333333</v>
      </c>
      <c r="D92" s="48">
        <f>IFERROR(__xludf.DUMMYFUNCTION("""COMPUTED_VALUE"""),794.5)</f>
        <v>794.5</v>
      </c>
      <c r="E92" s="47">
        <f>IFERROR(__xludf.DUMMYFUNCTION("""COMPUTED_VALUE"""),45873.6458333333)</f>
        <v>45873.6458333333</v>
      </c>
      <c r="F92" s="48">
        <f>IFERROR(__xludf.DUMMYFUNCTION("""COMPUTED_VALUE"""),8820724)</f>
        <v>8820724</v>
      </c>
      <c r="G92" s="47">
        <f>IFERROR(__xludf.DUMMYFUNCTION("""COMPUTED_VALUE"""),45873.6458333333)</f>
        <v>45873.6458333333</v>
      </c>
      <c r="H92" s="48">
        <f>IFERROR(__xludf.DUMMYFUNCTION("""COMPUTED_VALUE"""),797.2)</f>
        <v>797.2</v>
      </c>
      <c r="I92" s="47">
        <f>IFERROR(__xludf.DUMMYFUNCTION("""COMPUTED_VALUE"""),45873.6458333333)</f>
        <v>45873.6458333333</v>
      </c>
      <c r="J92" s="48">
        <f>IFERROR(__xludf.DUMMYFUNCTION("""COMPUTED_VALUE"""),786.55)</f>
        <v>786.55</v>
      </c>
      <c r="K92" s="3">
        <f t="shared" si="2"/>
        <v>0</v>
      </c>
      <c r="L92" s="3">
        <f t="shared" si="3"/>
        <v>0</v>
      </c>
    </row>
    <row r="93" customHeight="1" spans="1:12">
      <c r="A93" s="47">
        <f>IFERROR(__xludf.DUMMYFUNCTION("""COMPUTED_VALUE"""),45874.6458333333)</f>
        <v>45874.6458333333</v>
      </c>
      <c r="B93" s="48">
        <f>IFERROR(__xludf.DUMMYFUNCTION("""COMPUTED_VALUE"""),800.6)</f>
        <v>800.6</v>
      </c>
      <c r="C93" s="47">
        <f>IFERROR(__xludf.DUMMYFUNCTION("""COMPUTED_VALUE"""),45874.6458333333)</f>
        <v>45874.6458333333</v>
      </c>
      <c r="D93" s="48">
        <f>IFERROR(__xludf.DUMMYFUNCTION("""COMPUTED_VALUE"""),798)</f>
        <v>798</v>
      </c>
      <c r="E93" s="47">
        <f>IFERROR(__xludf.DUMMYFUNCTION("""COMPUTED_VALUE"""),45874.6458333333)</f>
        <v>45874.6458333333</v>
      </c>
      <c r="F93" s="48">
        <f>IFERROR(__xludf.DUMMYFUNCTION("""COMPUTED_VALUE"""),7381537)</f>
        <v>7381537</v>
      </c>
      <c r="G93" s="47">
        <f>IFERROR(__xludf.DUMMYFUNCTION("""COMPUTED_VALUE"""),45874.6458333333)</f>
        <v>45874.6458333333</v>
      </c>
      <c r="H93" s="48">
        <f>IFERROR(__xludf.DUMMYFUNCTION("""COMPUTED_VALUE"""),804.05)</f>
        <v>804.05</v>
      </c>
      <c r="I93" s="47">
        <f>IFERROR(__xludf.DUMMYFUNCTION("""COMPUTED_VALUE"""),45874.6458333333)</f>
        <v>45874.6458333333</v>
      </c>
      <c r="J93" s="48">
        <f>IFERROR(__xludf.DUMMYFUNCTION("""COMPUTED_VALUE"""),796.3)</f>
        <v>796.3</v>
      </c>
      <c r="K93" s="3">
        <f t="shared" si="2"/>
        <v>0</v>
      </c>
      <c r="L93" s="3">
        <f t="shared" si="3"/>
        <v>0</v>
      </c>
    </row>
    <row r="94" customHeight="1" spans="1:12">
      <c r="A94" s="47">
        <f>IFERROR(__xludf.DUMMYFUNCTION("""COMPUTED_VALUE"""),45875.6458333333)</f>
        <v>45875.6458333333</v>
      </c>
      <c r="B94" s="48">
        <f>IFERROR(__xludf.DUMMYFUNCTION("""COMPUTED_VALUE"""),805.15)</f>
        <v>805.15</v>
      </c>
      <c r="C94" s="47">
        <f>IFERROR(__xludf.DUMMYFUNCTION("""COMPUTED_VALUE"""),45875.6458333333)</f>
        <v>45875.6458333333</v>
      </c>
      <c r="D94" s="48">
        <f>IFERROR(__xludf.DUMMYFUNCTION("""COMPUTED_VALUE"""),800.95)</f>
        <v>800.95</v>
      </c>
      <c r="E94" s="47">
        <f>IFERROR(__xludf.DUMMYFUNCTION("""COMPUTED_VALUE"""),45875.6458333333)</f>
        <v>45875.6458333333</v>
      </c>
      <c r="F94" s="48">
        <f>IFERROR(__xludf.DUMMYFUNCTION("""COMPUTED_VALUE"""),7409396)</f>
        <v>7409396</v>
      </c>
      <c r="G94" s="47">
        <f>IFERROR(__xludf.DUMMYFUNCTION("""COMPUTED_VALUE"""),45875.6458333333)</f>
        <v>45875.6458333333</v>
      </c>
      <c r="H94" s="48">
        <f>IFERROR(__xludf.DUMMYFUNCTION("""COMPUTED_VALUE"""),810.2)</f>
        <v>810.2</v>
      </c>
      <c r="I94" s="47">
        <f>IFERROR(__xludf.DUMMYFUNCTION("""COMPUTED_VALUE"""),45875.6458333333)</f>
        <v>45875.6458333333</v>
      </c>
      <c r="J94" s="48">
        <f>IFERROR(__xludf.DUMMYFUNCTION("""COMPUTED_VALUE"""),799)</f>
        <v>799</v>
      </c>
      <c r="K94" s="3">
        <f t="shared" si="2"/>
        <v>0</v>
      </c>
      <c r="L94" s="3">
        <f t="shared" si="3"/>
        <v>0</v>
      </c>
    </row>
    <row r="95" customHeight="1" spans="1:12">
      <c r="A95" s="47">
        <f>IFERROR(__xludf.DUMMYFUNCTION("""COMPUTED_VALUE"""),45876.6458333333)</f>
        <v>45876.6458333333</v>
      </c>
      <c r="B95" s="48">
        <f>IFERROR(__xludf.DUMMYFUNCTION("""COMPUTED_VALUE"""),805.15)</f>
        <v>805.15</v>
      </c>
      <c r="C95" s="47">
        <f>IFERROR(__xludf.DUMMYFUNCTION("""COMPUTED_VALUE"""),45876.6458333333)</f>
        <v>45876.6458333333</v>
      </c>
      <c r="D95" s="48">
        <f>IFERROR(__xludf.DUMMYFUNCTION("""COMPUTED_VALUE"""),801.1)</f>
        <v>801.1</v>
      </c>
      <c r="E95" s="47">
        <f>IFERROR(__xludf.DUMMYFUNCTION("""COMPUTED_VALUE"""),45876.6458333333)</f>
        <v>45876.6458333333</v>
      </c>
      <c r="F95" s="48">
        <f>IFERROR(__xludf.DUMMYFUNCTION("""COMPUTED_VALUE"""),7091392)</f>
        <v>7091392</v>
      </c>
      <c r="G95" s="47">
        <f>IFERROR(__xludf.DUMMYFUNCTION("""COMPUTED_VALUE"""),45876.6458333333)</f>
        <v>45876.6458333333</v>
      </c>
      <c r="H95" s="48">
        <f>IFERROR(__xludf.DUMMYFUNCTION("""COMPUTED_VALUE"""),806.65)</f>
        <v>806.65</v>
      </c>
      <c r="I95" s="47">
        <f>IFERROR(__xludf.DUMMYFUNCTION("""COMPUTED_VALUE"""),45876.6458333333)</f>
        <v>45876.6458333333</v>
      </c>
      <c r="J95" s="48">
        <f>IFERROR(__xludf.DUMMYFUNCTION("""COMPUTED_VALUE"""),793.4)</f>
        <v>793.4</v>
      </c>
      <c r="K95" s="3">
        <f t="shared" si="2"/>
        <v>0</v>
      </c>
      <c r="L95" s="3">
        <f t="shared" si="3"/>
        <v>0</v>
      </c>
    </row>
    <row r="96" customHeight="1" spans="1:12">
      <c r="A96" s="47">
        <f>IFERROR(__xludf.DUMMYFUNCTION("""COMPUTED_VALUE"""),45877.6458333333)</f>
        <v>45877.6458333333</v>
      </c>
      <c r="B96" s="48">
        <f>IFERROR(__xludf.DUMMYFUNCTION("""COMPUTED_VALUE"""),804.3)</f>
        <v>804.3</v>
      </c>
      <c r="C96" s="47">
        <f>IFERROR(__xludf.DUMMYFUNCTION("""COMPUTED_VALUE"""),45877.6458333333)</f>
        <v>45877.6458333333</v>
      </c>
      <c r="D96" s="48">
        <f>IFERROR(__xludf.DUMMYFUNCTION("""COMPUTED_VALUE"""),805)</f>
        <v>805</v>
      </c>
      <c r="E96" s="47">
        <f>IFERROR(__xludf.DUMMYFUNCTION("""COMPUTED_VALUE"""),45877.6458333333)</f>
        <v>45877.6458333333</v>
      </c>
      <c r="F96" s="48">
        <f>IFERROR(__xludf.DUMMYFUNCTION("""COMPUTED_VALUE"""),15708181)</f>
        <v>15708181</v>
      </c>
      <c r="G96" s="47">
        <f>IFERROR(__xludf.DUMMYFUNCTION("""COMPUTED_VALUE"""),45877.6458333333)</f>
        <v>45877.6458333333</v>
      </c>
      <c r="H96" s="48">
        <f>IFERROR(__xludf.DUMMYFUNCTION("""COMPUTED_VALUE"""),807.8)</f>
        <v>807.8</v>
      </c>
      <c r="I96" s="47">
        <f>IFERROR(__xludf.DUMMYFUNCTION("""COMPUTED_VALUE"""),45877.6458333333)</f>
        <v>45877.6458333333</v>
      </c>
      <c r="J96" s="48">
        <f>IFERROR(__xludf.DUMMYFUNCTION("""COMPUTED_VALUE"""),790)</f>
        <v>790</v>
      </c>
      <c r="K96" s="3">
        <f t="shared" si="2"/>
        <v>0</v>
      </c>
      <c r="L96" s="3">
        <f t="shared" si="3"/>
        <v>0</v>
      </c>
    </row>
    <row r="97" customHeight="1" spans="1:12">
      <c r="A97" s="47">
        <f>IFERROR(__xludf.DUMMYFUNCTION("""COMPUTED_VALUE"""),45880.6458333333)</f>
        <v>45880.6458333333</v>
      </c>
      <c r="B97" s="48">
        <f>IFERROR(__xludf.DUMMYFUNCTION("""COMPUTED_VALUE"""),823.45)</f>
        <v>823.45</v>
      </c>
      <c r="C97" s="47">
        <f>IFERROR(__xludf.DUMMYFUNCTION("""COMPUTED_VALUE"""),45880.6458333333)</f>
        <v>45880.6458333333</v>
      </c>
      <c r="D97" s="48">
        <f>IFERROR(__xludf.DUMMYFUNCTION("""COMPUTED_VALUE"""),808)</f>
        <v>808</v>
      </c>
      <c r="E97" s="47">
        <f>IFERROR(__xludf.DUMMYFUNCTION("""COMPUTED_VALUE"""),45880.6458333333)</f>
        <v>45880.6458333333</v>
      </c>
      <c r="F97" s="48">
        <f>IFERROR(__xludf.DUMMYFUNCTION("""COMPUTED_VALUE"""),15236297)</f>
        <v>15236297</v>
      </c>
      <c r="G97" s="47">
        <f>IFERROR(__xludf.DUMMYFUNCTION("""COMPUTED_VALUE"""),45880.6458333333)</f>
        <v>45880.6458333333</v>
      </c>
      <c r="H97" s="48">
        <f>IFERROR(__xludf.DUMMYFUNCTION("""COMPUTED_VALUE"""),825)</f>
        <v>825</v>
      </c>
      <c r="I97" s="47">
        <f>IFERROR(__xludf.DUMMYFUNCTION("""COMPUTED_VALUE"""),45880.6458333333)</f>
        <v>45880.6458333333</v>
      </c>
      <c r="J97" s="48">
        <f>IFERROR(__xludf.DUMMYFUNCTION("""COMPUTED_VALUE"""),808)</f>
        <v>808</v>
      </c>
      <c r="K97" s="3">
        <f t="shared" si="2"/>
        <v>0</v>
      </c>
      <c r="L97" s="3">
        <f t="shared" si="3"/>
        <v>0</v>
      </c>
    </row>
    <row r="98" customHeight="1" spans="1:12">
      <c r="A98" s="47">
        <f>IFERROR(__xludf.DUMMYFUNCTION("""COMPUTED_VALUE"""),45881.6458333333)</f>
        <v>45881.6458333333</v>
      </c>
      <c r="B98" s="48">
        <f>IFERROR(__xludf.DUMMYFUNCTION("""COMPUTED_VALUE"""),820.6)</f>
        <v>820.6</v>
      </c>
      <c r="C98" s="47">
        <f>IFERROR(__xludf.DUMMYFUNCTION("""COMPUTED_VALUE"""),45881.6458333333)</f>
        <v>45881.6458333333</v>
      </c>
      <c r="D98" s="48">
        <f>IFERROR(__xludf.DUMMYFUNCTION("""COMPUTED_VALUE"""),824.95)</f>
        <v>824.95</v>
      </c>
      <c r="E98" s="47">
        <f>IFERROR(__xludf.DUMMYFUNCTION("""COMPUTED_VALUE"""),45881.6458333333)</f>
        <v>45881.6458333333</v>
      </c>
      <c r="F98" s="48">
        <f>IFERROR(__xludf.DUMMYFUNCTION("""COMPUTED_VALUE"""),7986728)</f>
        <v>7986728</v>
      </c>
      <c r="G98" s="47">
        <f>IFERROR(__xludf.DUMMYFUNCTION("""COMPUTED_VALUE"""),45881.6458333333)</f>
        <v>45881.6458333333</v>
      </c>
      <c r="H98" s="48">
        <f>IFERROR(__xludf.DUMMYFUNCTION("""COMPUTED_VALUE"""),825.5)</f>
        <v>825.5</v>
      </c>
      <c r="I98" s="47">
        <f>IFERROR(__xludf.DUMMYFUNCTION("""COMPUTED_VALUE"""),45881.6458333333)</f>
        <v>45881.6458333333</v>
      </c>
      <c r="J98" s="48">
        <f>IFERROR(__xludf.DUMMYFUNCTION("""COMPUTED_VALUE"""),820)</f>
        <v>820</v>
      </c>
      <c r="K98" s="3">
        <f t="shared" si="2"/>
        <v>0</v>
      </c>
      <c r="L98" s="3">
        <f t="shared" si="3"/>
        <v>0</v>
      </c>
    </row>
    <row r="99" customHeight="1" spans="1:12">
      <c r="A99" s="47">
        <f>IFERROR(__xludf.DUMMYFUNCTION("""COMPUTED_VALUE"""),45882.6458333333)</f>
        <v>45882.6458333333</v>
      </c>
      <c r="B99" s="48">
        <f>IFERROR(__xludf.DUMMYFUNCTION("""COMPUTED_VALUE"""),821.85)</f>
        <v>821.85</v>
      </c>
      <c r="C99" s="47">
        <f>IFERROR(__xludf.DUMMYFUNCTION("""COMPUTED_VALUE"""),45882.6458333333)</f>
        <v>45882.6458333333</v>
      </c>
      <c r="D99" s="48">
        <f>IFERROR(__xludf.DUMMYFUNCTION("""COMPUTED_VALUE"""),822.65)</f>
        <v>822.65</v>
      </c>
      <c r="E99" s="47">
        <f>IFERROR(__xludf.DUMMYFUNCTION("""COMPUTED_VALUE"""),45882.6458333333)</f>
        <v>45882.6458333333</v>
      </c>
      <c r="F99" s="48">
        <f>IFERROR(__xludf.DUMMYFUNCTION("""COMPUTED_VALUE"""),4447508)</f>
        <v>4447508</v>
      </c>
      <c r="G99" s="47">
        <f>IFERROR(__xludf.DUMMYFUNCTION("""COMPUTED_VALUE"""),45882.6458333333)</f>
        <v>45882.6458333333</v>
      </c>
      <c r="H99" s="48">
        <f>IFERROR(__xludf.DUMMYFUNCTION("""COMPUTED_VALUE"""),824.95)</f>
        <v>824.95</v>
      </c>
      <c r="I99" s="47">
        <f>IFERROR(__xludf.DUMMYFUNCTION("""COMPUTED_VALUE"""),45882.6458333333)</f>
        <v>45882.6458333333</v>
      </c>
      <c r="J99" s="48">
        <f>IFERROR(__xludf.DUMMYFUNCTION("""COMPUTED_VALUE"""),820.65)</f>
        <v>820.65</v>
      </c>
      <c r="K99" s="3">
        <f t="shared" si="2"/>
        <v>0</v>
      </c>
      <c r="L99" s="3">
        <f t="shared" si="3"/>
        <v>0</v>
      </c>
    </row>
    <row r="100" customHeight="1" spans="1:12">
      <c r="A100" s="47">
        <f>IFERROR(__xludf.DUMMYFUNCTION("""COMPUTED_VALUE"""),45883.6458333333)</f>
        <v>45883.6458333333</v>
      </c>
      <c r="B100" s="48">
        <f>IFERROR(__xludf.DUMMYFUNCTION("""COMPUTED_VALUE"""),826.55)</f>
        <v>826.55</v>
      </c>
      <c r="C100" s="47">
        <f>IFERROR(__xludf.DUMMYFUNCTION("""COMPUTED_VALUE"""),45883.6458333333)</f>
        <v>45883.6458333333</v>
      </c>
      <c r="D100" s="48">
        <f>IFERROR(__xludf.DUMMYFUNCTION("""COMPUTED_VALUE"""),822)</f>
        <v>822</v>
      </c>
      <c r="E100" s="47">
        <f>IFERROR(__xludf.DUMMYFUNCTION("""COMPUTED_VALUE"""),45883.6458333333)</f>
        <v>45883.6458333333</v>
      </c>
      <c r="F100" s="48">
        <f>IFERROR(__xludf.DUMMYFUNCTION("""COMPUTED_VALUE"""),7087573)</f>
        <v>7087573</v>
      </c>
      <c r="G100" s="47">
        <f>IFERROR(__xludf.DUMMYFUNCTION("""COMPUTED_VALUE"""),45883.6458333333)</f>
        <v>45883.6458333333</v>
      </c>
      <c r="H100" s="48">
        <f>IFERROR(__xludf.DUMMYFUNCTION("""COMPUTED_VALUE"""),828)</f>
        <v>828</v>
      </c>
      <c r="I100" s="47">
        <f>IFERROR(__xludf.DUMMYFUNCTION("""COMPUTED_VALUE"""),45883.6458333333)</f>
        <v>45883.6458333333</v>
      </c>
      <c r="J100" s="48">
        <f>IFERROR(__xludf.DUMMYFUNCTION("""COMPUTED_VALUE"""),819.1)</f>
        <v>819.1</v>
      </c>
      <c r="K100" s="3">
        <f t="shared" si="2"/>
        <v>0</v>
      </c>
      <c r="L100" s="3">
        <f t="shared" si="3"/>
        <v>0</v>
      </c>
    </row>
    <row r="101" customHeight="1" spans="1:12">
      <c r="A101" s="47">
        <f>IFERROR(__xludf.DUMMYFUNCTION("""COMPUTED_VALUE"""),45887.6458333333)</f>
        <v>45887.6458333333</v>
      </c>
      <c r="B101" s="48">
        <f>IFERROR(__xludf.DUMMYFUNCTION("""COMPUTED_VALUE"""),827.65)</f>
        <v>827.65</v>
      </c>
      <c r="C101" s="47">
        <f>IFERROR(__xludf.DUMMYFUNCTION("""COMPUTED_VALUE"""),45887.6458333333)</f>
        <v>45887.6458333333</v>
      </c>
      <c r="D101" s="48">
        <f>IFERROR(__xludf.DUMMYFUNCTION("""COMPUTED_VALUE"""),836)</f>
        <v>836</v>
      </c>
      <c r="E101" s="47">
        <f>IFERROR(__xludf.DUMMYFUNCTION("""COMPUTED_VALUE"""),45887.6458333333)</f>
        <v>45887.6458333333</v>
      </c>
      <c r="F101" s="48">
        <f>IFERROR(__xludf.DUMMYFUNCTION("""COMPUTED_VALUE"""),6138124)</f>
        <v>6138124</v>
      </c>
      <c r="G101" s="47">
        <f>IFERROR(__xludf.DUMMYFUNCTION("""COMPUTED_VALUE"""),45887.6458333333)</f>
        <v>45887.6458333333</v>
      </c>
      <c r="H101" s="48">
        <f>IFERROR(__xludf.DUMMYFUNCTION("""COMPUTED_VALUE"""),838)</f>
        <v>838</v>
      </c>
      <c r="I101" s="47">
        <f>IFERROR(__xludf.DUMMYFUNCTION("""COMPUTED_VALUE"""),45887.6458333333)</f>
        <v>45887.6458333333</v>
      </c>
      <c r="J101" s="48">
        <f>IFERROR(__xludf.DUMMYFUNCTION("""COMPUTED_VALUE"""),825.15)</f>
        <v>825.15</v>
      </c>
      <c r="K101" s="3">
        <f t="shared" si="2"/>
        <v>0</v>
      </c>
      <c r="L101" s="3">
        <f t="shared" si="3"/>
        <v>0</v>
      </c>
    </row>
    <row r="102" customHeight="1" spans="1:12">
      <c r="A102" s="47">
        <f>IFERROR(__xludf.DUMMYFUNCTION("""COMPUTED_VALUE"""),45888.6458333333)</f>
        <v>45888.6458333333</v>
      </c>
      <c r="B102" s="48">
        <f>IFERROR(__xludf.DUMMYFUNCTION("""COMPUTED_VALUE"""),830.4)</f>
        <v>830.4</v>
      </c>
      <c r="C102" s="47">
        <f>IFERROR(__xludf.DUMMYFUNCTION("""COMPUTED_VALUE"""),45888.6458333333)</f>
        <v>45888.6458333333</v>
      </c>
      <c r="D102" s="48">
        <f>IFERROR(__xludf.DUMMYFUNCTION("""COMPUTED_VALUE"""),827.5)</f>
        <v>827.5</v>
      </c>
      <c r="E102" s="47">
        <f>IFERROR(__xludf.DUMMYFUNCTION("""COMPUTED_VALUE"""),45888.6458333333)</f>
        <v>45888.6458333333</v>
      </c>
      <c r="F102" s="48">
        <f>IFERROR(__xludf.DUMMYFUNCTION("""COMPUTED_VALUE"""),5076681)</f>
        <v>5076681</v>
      </c>
      <c r="G102" s="47">
        <f>IFERROR(__xludf.DUMMYFUNCTION("""COMPUTED_VALUE"""),45888.6458333333)</f>
        <v>45888.6458333333</v>
      </c>
      <c r="H102" s="48">
        <f>IFERROR(__xludf.DUMMYFUNCTION("""COMPUTED_VALUE"""),831)</f>
        <v>831</v>
      </c>
      <c r="I102" s="47">
        <f>IFERROR(__xludf.DUMMYFUNCTION("""COMPUTED_VALUE"""),45888.6458333333)</f>
        <v>45888.6458333333</v>
      </c>
      <c r="J102" s="48">
        <f>IFERROR(__xludf.DUMMYFUNCTION("""COMPUTED_VALUE"""),825.8)</f>
        <v>825.8</v>
      </c>
      <c r="K102" s="3">
        <f t="shared" si="2"/>
        <v>830.4</v>
      </c>
      <c r="L102" s="3">
        <f t="shared" si="3"/>
        <v>0</v>
      </c>
    </row>
    <row r="103" customHeight="1" spans="1:12">
      <c r="A103" s="47">
        <f>IFERROR(__xludf.DUMMYFUNCTION("""COMPUTED_VALUE"""),45889.6458333333)</f>
        <v>45889.6458333333</v>
      </c>
      <c r="B103" s="48">
        <f>IFERROR(__xludf.DUMMYFUNCTION("""COMPUTED_VALUE"""),828.95)</f>
        <v>828.95</v>
      </c>
      <c r="C103" s="47">
        <f>IFERROR(__xludf.DUMMYFUNCTION("""COMPUTED_VALUE"""),45889.6458333333)</f>
        <v>45889.6458333333</v>
      </c>
      <c r="D103" s="48">
        <f>IFERROR(__xludf.DUMMYFUNCTION("""COMPUTED_VALUE"""),828.7)</f>
        <v>828.7</v>
      </c>
      <c r="E103" s="47">
        <f>IFERROR(__xludf.DUMMYFUNCTION("""COMPUTED_VALUE"""),45889.6458333333)</f>
        <v>45889.6458333333</v>
      </c>
      <c r="F103" s="48">
        <f>IFERROR(__xludf.DUMMYFUNCTION("""COMPUTED_VALUE"""),4493888)</f>
        <v>4493888</v>
      </c>
      <c r="G103" s="47">
        <f>IFERROR(__xludf.DUMMYFUNCTION("""COMPUTED_VALUE"""),45889.6458333333)</f>
        <v>45889.6458333333</v>
      </c>
      <c r="H103" s="48">
        <f>IFERROR(__xludf.DUMMYFUNCTION("""COMPUTED_VALUE"""),831.9)</f>
        <v>831.9</v>
      </c>
      <c r="I103" s="47">
        <f>IFERROR(__xludf.DUMMYFUNCTION("""COMPUTED_VALUE"""),45889.6458333333)</f>
        <v>45889.6458333333</v>
      </c>
      <c r="J103" s="48">
        <f>IFERROR(__xludf.DUMMYFUNCTION("""COMPUTED_VALUE"""),827.4)</f>
        <v>827.4</v>
      </c>
      <c r="K103" s="3">
        <f t="shared" si="2"/>
        <v>0</v>
      </c>
      <c r="L103" s="3">
        <f t="shared" si="3"/>
        <v>0</v>
      </c>
    </row>
    <row r="104" customHeight="1" spans="1:12">
      <c r="A104" s="47">
        <f>IFERROR(__xludf.DUMMYFUNCTION("""COMPUTED_VALUE"""),45890.6458333333)</f>
        <v>45890.6458333333</v>
      </c>
      <c r="B104" s="48">
        <f>IFERROR(__xludf.DUMMYFUNCTION("""COMPUTED_VALUE"""),825.7)</f>
        <v>825.7</v>
      </c>
      <c r="C104" s="47">
        <f>IFERROR(__xludf.DUMMYFUNCTION("""COMPUTED_VALUE"""),45890.6458333333)</f>
        <v>45890.6458333333</v>
      </c>
      <c r="D104" s="48">
        <f>IFERROR(__xludf.DUMMYFUNCTION("""COMPUTED_VALUE"""),828.95)</f>
        <v>828.95</v>
      </c>
      <c r="E104" s="47">
        <f>IFERROR(__xludf.DUMMYFUNCTION("""COMPUTED_VALUE"""),45890.6458333333)</f>
        <v>45890.6458333333</v>
      </c>
      <c r="F104" s="48">
        <f>IFERROR(__xludf.DUMMYFUNCTION("""COMPUTED_VALUE"""),4402511)</f>
        <v>4402511</v>
      </c>
      <c r="G104" s="47">
        <f>IFERROR(__xludf.DUMMYFUNCTION("""COMPUTED_VALUE"""),45890.6458333333)</f>
        <v>45890.6458333333</v>
      </c>
      <c r="H104" s="48">
        <f>IFERROR(__xludf.DUMMYFUNCTION("""COMPUTED_VALUE"""),833.25)</f>
        <v>833.25</v>
      </c>
      <c r="I104" s="47">
        <f>IFERROR(__xludf.DUMMYFUNCTION("""COMPUTED_VALUE"""),45890.6458333333)</f>
        <v>45890.6458333333</v>
      </c>
      <c r="J104" s="48">
        <f>IFERROR(__xludf.DUMMYFUNCTION("""COMPUTED_VALUE"""),824.05)</f>
        <v>824.05</v>
      </c>
      <c r="K104" s="3">
        <f t="shared" si="2"/>
        <v>0</v>
      </c>
      <c r="L104" s="3">
        <f t="shared" si="3"/>
        <v>0</v>
      </c>
    </row>
    <row r="105" customHeight="1" spans="1:12">
      <c r="A105" s="47">
        <f>IFERROR(__xludf.DUMMYFUNCTION("""COMPUTED_VALUE"""),45891.6458333333)</f>
        <v>45891.6458333333</v>
      </c>
      <c r="B105" s="48">
        <f>IFERROR(__xludf.DUMMYFUNCTION("""COMPUTED_VALUE"""),816.25)</f>
        <v>816.25</v>
      </c>
      <c r="C105" s="47">
        <f>IFERROR(__xludf.DUMMYFUNCTION("""COMPUTED_VALUE"""),45891.6458333333)</f>
        <v>45891.6458333333</v>
      </c>
      <c r="D105" s="48">
        <f>IFERROR(__xludf.DUMMYFUNCTION("""COMPUTED_VALUE"""),824)</f>
        <v>824</v>
      </c>
      <c r="E105" s="47">
        <f>IFERROR(__xludf.DUMMYFUNCTION("""COMPUTED_VALUE"""),45891.6458333333)</f>
        <v>45891.6458333333</v>
      </c>
      <c r="F105" s="48">
        <f>IFERROR(__xludf.DUMMYFUNCTION("""COMPUTED_VALUE"""),5097647)</f>
        <v>5097647</v>
      </c>
      <c r="G105" s="47">
        <f>IFERROR(__xludf.DUMMYFUNCTION("""COMPUTED_VALUE"""),45891.6458333333)</f>
        <v>45891.6458333333</v>
      </c>
      <c r="H105" s="48">
        <f>IFERROR(__xludf.DUMMYFUNCTION("""COMPUTED_VALUE"""),826)</f>
        <v>826</v>
      </c>
      <c r="I105" s="47">
        <f>IFERROR(__xludf.DUMMYFUNCTION("""COMPUTED_VALUE"""),45891.6458333333)</f>
        <v>45891.6458333333</v>
      </c>
      <c r="J105" s="48">
        <f>IFERROR(__xludf.DUMMYFUNCTION("""COMPUTED_VALUE"""),815.7)</f>
        <v>815.7</v>
      </c>
      <c r="K105" s="3">
        <f t="shared" si="2"/>
        <v>0</v>
      </c>
      <c r="L105" s="3">
        <f t="shared" si="3"/>
        <v>0</v>
      </c>
    </row>
    <row r="106" customHeight="1" spans="1:12">
      <c r="A106" s="47">
        <f>IFERROR(__xludf.DUMMYFUNCTION("""COMPUTED_VALUE"""),45894.6458333333)</f>
        <v>45894.6458333333</v>
      </c>
      <c r="B106" s="48">
        <f>IFERROR(__xludf.DUMMYFUNCTION("""COMPUTED_VALUE"""),816.45)</f>
        <v>816.45</v>
      </c>
      <c r="C106" s="47">
        <f>IFERROR(__xludf.DUMMYFUNCTION("""COMPUTED_VALUE"""),45894.6458333333)</f>
        <v>45894.6458333333</v>
      </c>
      <c r="D106" s="48">
        <f>IFERROR(__xludf.DUMMYFUNCTION("""COMPUTED_VALUE"""),817.45)</f>
        <v>817.45</v>
      </c>
      <c r="E106" s="47">
        <f>IFERROR(__xludf.DUMMYFUNCTION("""COMPUTED_VALUE"""),45894.6458333333)</f>
        <v>45894.6458333333</v>
      </c>
      <c r="F106" s="48">
        <f>IFERROR(__xludf.DUMMYFUNCTION("""COMPUTED_VALUE"""),5672898)</f>
        <v>5672898</v>
      </c>
      <c r="G106" s="47">
        <f>IFERROR(__xludf.DUMMYFUNCTION("""COMPUTED_VALUE"""),45894.6458333333)</f>
        <v>45894.6458333333</v>
      </c>
      <c r="H106" s="48">
        <f>IFERROR(__xludf.DUMMYFUNCTION("""COMPUTED_VALUE"""),820.5)</f>
        <v>820.5</v>
      </c>
      <c r="I106" s="47">
        <f>IFERROR(__xludf.DUMMYFUNCTION("""COMPUTED_VALUE"""),45894.6458333333)</f>
        <v>45894.6458333333</v>
      </c>
      <c r="J106" s="48">
        <f>IFERROR(__xludf.DUMMYFUNCTION("""COMPUTED_VALUE"""),814.2)</f>
        <v>814.2</v>
      </c>
      <c r="K106" s="3">
        <f t="shared" si="2"/>
        <v>0</v>
      </c>
      <c r="L106" s="3">
        <f t="shared" si="3"/>
        <v>0</v>
      </c>
    </row>
    <row r="107" customHeight="1" spans="1:12">
      <c r="A107" s="47">
        <f>IFERROR(__xludf.DUMMYFUNCTION("""COMPUTED_VALUE"""),45895.6458333333)</f>
        <v>45895.6458333333</v>
      </c>
      <c r="B107" s="48">
        <f>IFERROR(__xludf.DUMMYFUNCTION("""COMPUTED_VALUE"""),807.85)</f>
        <v>807.85</v>
      </c>
      <c r="C107" s="47">
        <f>IFERROR(__xludf.DUMMYFUNCTION("""COMPUTED_VALUE"""),45895.6458333333)</f>
        <v>45895.6458333333</v>
      </c>
      <c r="D107" s="48">
        <f>IFERROR(__xludf.DUMMYFUNCTION("""COMPUTED_VALUE"""),814.85)</f>
        <v>814.85</v>
      </c>
      <c r="E107" s="47">
        <f>IFERROR(__xludf.DUMMYFUNCTION("""COMPUTED_VALUE"""),45895.6458333333)</f>
        <v>45895.6458333333</v>
      </c>
      <c r="F107" s="48">
        <f>IFERROR(__xludf.DUMMYFUNCTION("""COMPUTED_VALUE"""),6997817)</f>
        <v>6997817</v>
      </c>
      <c r="G107" s="47">
        <f>IFERROR(__xludf.DUMMYFUNCTION("""COMPUTED_VALUE"""),45895.6458333333)</f>
        <v>45895.6458333333</v>
      </c>
      <c r="H107" s="48">
        <f>IFERROR(__xludf.DUMMYFUNCTION("""COMPUTED_VALUE"""),815.85)</f>
        <v>815.85</v>
      </c>
      <c r="I107" s="47">
        <f>IFERROR(__xludf.DUMMYFUNCTION("""COMPUTED_VALUE"""),45895.6458333333)</f>
        <v>45895.6458333333</v>
      </c>
      <c r="J107" s="48">
        <f>IFERROR(__xludf.DUMMYFUNCTION("""COMPUTED_VALUE"""),806.75)</f>
        <v>806.75</v>
      </c>
      <c r="K107" s="3">
        <f t="shared" si="2"/>
        <v>0</v>
      </c>
      <c r="L107" s="3">
        <f t="shared" si="3"/>
        <v>0</v>
      </c>
    </row>
    <row r="108" customHeight="1" spans="1:12">
      <c r="A108" s="47">
        <f>IFERROR(__xludf.DUMMYFUNCTION("""COMPUTED_VALUE"""),45897.6458333333)</f>
        <v>45897.6458333333</v>
      </c>
      <c r="B108" s="48">
        <f>IFERROR(__xludf.DUMMYFUNCTION("""COMPUTED_VALUE"""),801.95)</f>
        <v>801.95</v>
      </c>
      <c r="C108" s="47">
        <f>IFERROR(__xludf.DUMMYFUNCTION("""COMPUTED_VALUE"""),45897.6458333333)</f>
        <v>45897.6458333333</v>
      </c>
      <c r="D108" s="48">
        <f>IFERROR(__xludf.DUMMYFUNCTION("""COMPUTED_VALUE"""),807.25)</f>
        <v>807.25</v>
      </c>
      <c r="E108" s="47">
        <f>IFERROR(__xludf.DUMMYFUNCTION("""COMPUTED_VALUE"""),45897.6458333333)</f>
        <v>45897.6458333333</v>
      </c>
      <c r="F108" s="48">
        <f>IFERROR(__xludf.DUMMYFUNCTION("""COMPUTED_VALUE"""),7898436)</f>
        <v>7898436</v>
      </c>
      <c r="G108" s="47">
        <f>IFERROR(__xludf.DUMMYFUNCTION("""COMPUTED_VALUE"""),45897.6458333333)</f>
        <v>45897.6458333333</v>
      </c>
      <c r="H108" s="48">
        <f>IFERROR(__xludf.DUMMYFUNCTION("""COMPUTED_VALUE"""),811)</f>
        <v>811</v>
      </c>
      <c r="I108" s="47">
        <f>IFERROR(__xludf.DUMMYFUNCTION("""COMPUTED_VALUE"""),45897.6458333333)</f>
        <v>45897.6458333333</v>
      </c>
      <c r="J108" s="48">
        <f>IFERROR(__xludf.DUMMYFUNCTION("""COMPUTED_VALUE"""),800.65)</f>
        <v>800.65</v>
      </c>
      <c r="K108" s="3">
        <f t="shared" si="2"/>
        <v>0</v>
      </c>
      <c r="L108" s="3">
        <f t="shared" si="3"/>
        <v>801.95</v>
      </c>
    </row>
    <row r="109" customHeight="1" spans="1:12">
      <c r="A109" s="47">
        <f>IFERROR(__xludf.DUMMYFUNCTION("""COMPUTED_VALUE"""),45898.6458333333)</f>
        <v>45898.6458333333</v>
      </c>
      <c r="B109" s="48">
        <f>IFERROR(__xludf.DUMMYFUNCTION("""COMPUTED_VALUE"""),802.5)</f>
        <v>802.5</v>
      </c>
      <c r="C109" s="47">
        <f>IFERROR(__xludf.DUMMYFUNCTION("""COMPUTED_VALUE"""),45898.6458333333)</f>
        <v>45898.6458333333</v>
      </c>
      <c r="D109" s="48">
        <f>IFERROR(__xludf.DUMMYFUNCTION("""COMPUTED_VALUE"""),800.7)</f>
        <v>800.7</v>
      </c>
      <c r="E109" s="47">
        <f>IFERROR(__xludf.DUMMYFUNCTION("""COMPUTED_VALUE"""),45898.6458333333)</f>
        <v>45898.6458333333</v>
      </c>
      <c r="F109" s="48">
        <f>IFERROR(__xludf.DUMMYFUNCTION("""COMPUTED_VALUE"""),6861440)</f>
        <v>6861440</v>
      </c>
      <c r="G109" s="47">
        <f>IFERROR(__xludf.DUMMYFUNCTION("""COMPUTED_VALUE"""),45898.6458333333)</f>
        <v>45898.6458333333</v>
      </c>
      <c r="H109" s="48">
        <f>IFERROR(__xludf.DUMMYFUNCTION("""COMPUTED_VALUE"""),806.7)</f>
        <v>806.7</v>
      </c>
      <c r="I109" s="47">
        <f>IFERROR(__xludf.DUMMYFUNCTION("""COMPUTED_VALUE"""),45898.6458333333)</f>
        <v>45898.6458333333</v>
      </c>
      <c r="J109" s="48">
        <f>IFERROR(__xludf.DUMMYFUNCTION("""COMPUTED_VALUE"""),798.5)</f>
        <v>798.5</v>
      </c>
      <c r="K109" s="3">
        <f t="shared" si="2"/>
        <v>0</v>
      </c>
      <c r="L109" s="3">
        <f t="shared" si="3"/>
        <v>0</v>
      </c>
    </row>
    <row r="110" customHeight="1" spans="1:12">
      <c r="A110" s="47">
        <f>IFERROR(__xludf.DUMMYFUNCTION("""COMPUTED_VALUE"""),45901.6458333333)</f>
        <v>45901.6458333333</v>
      </c>
      <c r="B110" s="48">
        <f>IFERROR(__xludf.DUMMYFUNCTION("""COMPUTED_VALUE"""),806.05)</f>
        <v>806.05</v>
      </c>
      <c r="C110" s="47">
        <f>IFERROR(__xludf.DUMMYFUNCTION("""COMPUTED_VALUE"""),45901.6458333333)</f>
        <v>45901.6458333333</v>
      </c>
      <c r="D110" s="48">
        <f>IFERROR(__xludf.DUMMYFUNCTION("""COMPUTED_VALUE"""),803.1)</f>
        <v>803.1</v>
      </c>
      <c r="E110" s="47">
        <f>IFERROR(__xludf.DUMMYFUNCTION("""COMPUTED_VALUE"""),45901.6458333333)</f>
        <v>45901.6458333333</v>
      </c>
      <c r="F110" s="48">
        <f>IFERROR(__xludf.DUMMYFUNCTION("""COMPUTED_VALUE"""),5619805)</f>
        <v>5619805</v>
      </c>
      <c r="G110" s="47">
        <f>IFERROR(__xludf.DUMMYFUNCTION("""COMPUTED_VALUE"""),45901.6458333333)</f>
        <v>45901.6458333333</v>
      </c>
      <c r="H110" s="48">
        <f>IFERROR(__xludf.DUMMYFUNCTION("""COMPUTED_VALUE"""),808.3)</f>
        <v>808.3</v>
      </c>
      <c r="I110" s="47">
        <f>IFERROR(__xludf.DUMMYFUNCTION("""COMPUTED_VALUE"""),45901.6458333333)</f>
        <v>45901.6458333333</v>
      </c>
      <c r="J110" s="48">
        <f>IFERROR(__xludf.DUMMYFUNCTION("""COMPUTED_VALUE"""),802.65)</f>
        <v>802.65</v>
      </c>
      <c r="K110" s="3">
        <f t="shared" si="2"/>
        <v>0</v>
      </c>
      <c r="L110" s="3">
        <f t="shared" si="3"/>
        <v>0</v>
      </c>
    </row>
    <row r="111" customHeight="1" spans="1:12">
      <c r="A111" s="47">
        <f>IFERROR(__xludf.DUMMYFUNCTION("""COMPUTED_VALUE"""),45902.6458333333)</f>
        <v>45902.6458333333</v>
      </c>
      <c r="B111" s="48">
        <f>IFERROR(__xludf.DUMMYFUNCTION("""COMPUTED_VALUE"""),803.9)</f>
        <v>803.9</v>
      </c>
      <c r="C111" s="47">
        <f>IFERROR(__xludf.DUMMYFUNCTION("""COMPUTED_VALUE"""),45902.6458333333)</f>
        <v>45902.6458333333</v>
      </c>
      <c r="D111" s="48">
        <f>IFERROR(__xludf.DUMMYFUNCTION("""COMPUTED_VALUE"""),806.3)</f>
        <v>806.3</v>
      </c>
      <c r="E111" s="47">
        <f>IFERROR(__xludf.DUMMYFUNCTION("""COMPUTED_VALUE"""),45902.6458333333)</f>
        <v>45902.6458333333</v>
      </c>
      <c r="F111" s="48">
        <f>IFERROR(__xludf.DUMMYFUNCTION("""COMPUTED_VALUE"""),5075460)</f>
        <v>5075460</v>
      </c>
      <c r="G111" s="47">
        <f>IFERROR(__xludf.DUMMYFUNCTION("""COMPUTED_VALUE"""),45902.6458333333)</f>
        <v>45902.6458333333</v>
      </c>
      <c r="H111" s="48">
        <f>IFERROR(__xludf.DUMMYFUNCTION("""COMPUTED_VALUE"""),810.5)</f>
        <v>810.5</v>
      </c>
      <c r="I111" s="47">
        <f>IFERROR(__xludf.DUMMYFUNCTION("""COMPUTED_VALUE"""),45902.6458333333)</f>
        <v>45902.6458333333</v>
      </c>
      <c r="J111" s="48">
        <f>IFERROR(__xludf.DUMMYFUNCTION("""COMPUTED_VALUE"""),802.65)</f>
        <v>802.65</v>
      </c>
      <c r="K111" s="3">
        <f t="shared" si="2"/>
        <v>0</v>
      </c>
      <c r="L111" s="3">
        <f t="shared" si="3"/>
        <v>0</v>
      </c>
    </row>
    <row r="112" customHeight="1" spans="1:12">
      <c r="A112" s="47">
        <f>IFERROR(__xludf.DUMMYFUNCTION("""COMPUTED_VALUE"""),45903.6458333333)</f>
        <v>45903.6458333333</v>
      </c>
      <c r="B112" s="48">
        <f>IFERROR(__xludf.DUMMYFUNCTION("""COMPUTED_VALUE"""),812.15)</f>
        <v>812.15</v>
      </c>
      <c r="C112" s="47">
        <f>IFERROR(__xludf.DUMMYFUNCTION("""COMPUTED_VALUE"""),45903.6458333333)</f>
        <v>45903.6458333333</v>
      </c>
      <c r="D112" s="48">
        <f>IFERROR(__xludf.DUMMYFUNCTION("""COMPUTED_VALUE"""),804.3)</f>
        <v>804.3</v>
      </c>
      <c r="E112" s="47">
        <f>IFERROR(__xludf.DUMMYFUNCTION("""COMPUTED_VALUE"""),45903.6458333333)</f>
        <v>45903.6458333333</v>
      </c>
      <c r="F112" s="48">
        <f>IFERROR(__xludf.DUMMYFUNCTION("""COMPUTED_VALUE"""),4261589)</f>
        <v>4261589</v>
      </c>
      <c r="G112" s="47">
        <f>IFERROR(__xludf.DUMMYFUNCTION("""COMPUTED_VALUE"""),45903.6458333333)</f>
        <v>45903.6458333333</v>
      </c>
      <c r="H112" s="48">
        <f>IFERROR(__xludf.DUMMYFUNCTION("""COMPUTED_VALUE"""),813.3)</f>
        <v>813.3</v>
      </c>
      <c r="I112" s="47">
        <f>IFERROR(__xludf.DUMMYFUNCTION("""COMPUTED_VALUE"""),45903.6458333333)</f>
        <v>45903.6458333333</v>
      </c>
      <c r="J112" s="48">
        <f>IFERROR(__xludf.DUMMYFUNCTION("""COMPUTED_VALUE"""),803)</f>
        <v>803</v>
      </c>
      <c r="K112" s="3">
        <f t="shared" si="2"/>
        <v>0</v>
      </c>
      <c r="L112" s="3">
        <f t="shared" si="3"/>
        <v>0</v>
      </c>
    </row>
    <row r="113" customHeight="1" spans="1:12">
      <c r="A113" s="47">
        <f>IFERROR(__xludf.DUMMYFUNCTION("""COMPUTED_VALUE"""),45904.6458333333)</f>
        <v>45904.6458333333</v>
      </c>
      <c r="B113" s="48">
        <f>IFERROR(__xludf.DUMMYFUNCTION("""COMPUTED_VALUE"""),809.4)</f>
        <v>809.4</v>
      </c>
      <c r="C113" s="47">
        <f>IFERROR(__xludf.DUMMYFUNCTION("""COMPUTED_VALUE"""),45904.6458333333)</f>
        <v>45904.6458333333</v>
      </c>
      <c r="D113" s="48">
        <f>IFERROR(__xludf.DUMMYFUNCTION("""COMPUTED_VALUE"""),814.65)</f>
        <v>814.65</v>
      </c>
      <c r="E113" s="47">
        <f>IFERROR(__xludf.DUMMYFUNCTION("""COMPUTED_VALUE"""),45904.6458333333)</f>
        <v>45904.6458333333</v>
      </c>
      <c r="F113" s="48">
        <f>IFERROR(__xludf.DUMMYFUNCTION("""COMPUTED_VALUE"""),4471950)</f>
        <v>4471950</v>
      </c>
      <c r="G113" s="47">
        <f>IFERROR(__xludf.DUMMYFUNCTION("""COMPUTED_VALUE"""),45904.6458333333)</f>
        <v>45904.6458333333</v>
      </c>
      <c r="H113" s="48">
        <f>IFERROR(__xludf.DUMMYFUNCTION("""COMPUTED_VALUE"""),816.75)</f>
        <v>816.75</v>
      </c>
      <c r="I113" s="47">
        <f>IFERROR(__xludf.DUMMYFUNCTION("""COMPUTED_VALUE"""),45904.6458333333)</f>
        <v>45904.6458333333</v>
      </c>
      <c r="J113" s="48">
        <f>IFERROR(__xludf.DUMMYFUNCTION("""COMPUTED_VALUE"""),808)</f>
        <v>808</v>
      </c>
      <c r="K113" s="3">
        <f t="shared" si="2"/>
        <v>0</v>
      </c>
      <c r="L113" s="3">
        <f t="shared" si="3"/>
        <v>0</v>
      </c>
    </row>
    <row r="114" customHeight="1" spans="1:12">
      <c r="A114" s="47">
        <f>IFERROR(__xludf.DUMMYFUNCTION("""COMPUTED_VALUE"""),45905.6458333333)</f>
        <v>45905.6458333333</v>
      </c>
      <c r="B114" s="48">
        <f>IFERROR(__xludf.DUMMYFUNCTION("""COMPUTED_VALUE"""),806.6)</f>
        <v>806.6</v>
      </c>
      <c r="C114" s="47">
        <f>IFERROR(__xludf.DUMMYFUNCTION("""COMPUTED_VALUE"""),45905.6458333333)</f>
        <v>45905.6458333333</v>
      </c>
      <c r="D114" s="48">
        <f>IFERROR(__xludf.DUMMYFUNCTION("""COMPUTED_VALUE"""),811.5)</f>
        <v>811.5</v>
      </c>
      <c r="E114" s="47">
        <f>IFERROR(__xludf.DUMMYFUNCTION("""COMPUTED_VALUE"""),45905.6458333333)</f>
        <v>45905.6458333333</v>
      </c>
      <c r="F114" s="48">
        <f>IFERROR(__xludf.DUMMYFUNCTION("""COMPUTED_VALUE"""),5194842)</f>
        <v>5194842</v>
      </c>
      <c r="G114" s="47">
        <f>IFERROR(__xludf.DUMMYFUNCTION("""COMPUTED_VALUE"""),45905.6458333333)</f>
        <v>45905.6458333333</v>
      </c>
      <c r="H114" s="48">
        <f>IFERROR(__xludf.DUMMYFUNCTION("""COMPUTED_VALUE"""),812.5)</f>
        <v>812.5</v>
      </c>
      <c r="I114" s="47">
        <f>IFERROR(__xludf.DUMMYFUNCTION("""COMPUTED_VALUE"""),45905.6458333333)</f>
        <v>45905.6458333333</v>
      </c>
      <c r="J114" s="48">
        <f>IFERROR(__xludf.DUMMYFUNCTION("""COMPUTED_VALUE"""),803.65)</f>
        <v>803.65</v>
      </c>
      <c r="K114" s="3">
        <f t="shared" si="2"/>
        <v>0</v>
      </c>
      <c r="L114" s="3">
        <f t="shared" si="3"/>
        <v>0</v>
      </c>
    </row>
    <row r="115" customHeight="1" spans="1:12">
      <c r="A115" s="47">
        <f>IFERROR(__xludf.DUMMYFUNCTION("""COMPUTED_VALUE"""),45908.6458333333)</f>
        <v>45908.6458333333</v>
      </c>
      <c r="B115" s="48">
        <f>IFERROR(__xludf.DUMMYFUNCTION("""COMPUTED_VALUE"""),808.8)</f>
        <v>808.8</v>
      </c>
      <c r="C115" s="47">
        <f>IFERROR(__xludf.DUMMYFUNCTION("""COMPUTED_VALUE"""),45908.6458333333)</f>
        <v>45908.6458333333</v>
      </c>
      <c r="D115" s="48">
        <f>IFERROR(__xludf.DUMMYFUNCTION("""COMPUTED_VALUE"""),808)</f>
        <v>808</v>
      </c>
      <c r="E115" s="47">
        <f>IFERROR(__xludf.DUMMYFUNCTION("""COMPUTED_VALUE"""),45908.6458333333)</f>
        <v>45908.6458333333</v>
      </c>
      <c r="F115" s="48">
        <f>IFERROR(__xludf.DUMMYFUNCTION("""COMPUTED_VALUE"""),4614227)</f>
        <v>4614227</v>
      </c>
      <c r="G115" s="47">
        <f>IFERROR(__xludf.DUMMYFUNCTION("""COMPUTED_VALUE"""),45908.6458333333)</f>
        <v>45908.6458333333</v>
      </c>
      <c r="H115" s="48">
        <f>IFERROR(__xludf.DUMMYFUNCTION("""COMPUTED_VALUE"""),813.85)</f>
        <v>813.85</v>
      </c>
      <c r="I115" s="47">
        <f>IFERROR(__xludf.DUMMYFUNCTION("""COMPUTED_VALUE"""),45908.6458333333)</f>
        <v>45908.6458333333</v>
      </c>
      <c r="J115" s="48">
        <f>IFERROR(__xludf.DUMMYFUNCTION("""COMPUTED_VALUE"""),806.8)</f>
        <v>806.8</v>
      </c>
      <c r="K115" s="3">
        <f t="shared" si="2"/>
        <v>0</v>
      </c>
      <c r="L115" s="3">
        <f t="shared" si="3"/>
        <v>0</v>
      </c>
    </row>
    <row r="116" customHeight="1" spans="1:12">
      <c r="A116" s="47">
        <f>IFERROR(__xludf.DUMMYFUNCTION("""COMPUTED_VALUE"""),45909.6458333333)</f>
        <v>45909.6458333333</v>
      </c>
      <c r="B116" s="48">
        <f>IFERROR(__xludf.DUMMYFUNCTION("""COMPUTED_VALUE"""),808.85)</f>
        <v>808.85</v>
      </c>
      <c r="C116" s="47">
        <f>IFERROR(__xludf.DUMMYFUNCTION("""COMPUTED_VALUE"""),45909.6458333333)</f>
        <v>45909.6458333333</v>
      </c>
      <c r="D116" s="48">
        <f>IFERROR(__xludf.DUMMYFUNCTION("""COMPUTED_VALUE"""),812)</f>
        <v>812</v>
      </c>
      <c r="E116" s="47">
        <f>IFERROR(__xludf.DUMMYFUNCTION("""COMPUTED_VALUE"""),45909.6458333333)</f>
        <v>45909.6458333333</v>
      </c>
      <c r="F116" s="48">
        <f>IFERROR(__xludf.DUMMYFUNCTION("""COMPUTED_VALUE"""),4567272)</f>
        <v>4567272</v>
      </c>
      <c r="G116" s="47">
        <f>IFERROR(__xludf.DUMMYFUNCTION("""COMPUTED_VALUE"""),45909.6458333333)</f>
        <v>45909.6458333333</v>
      </c>
      <c r="H116" s="48">
        <f>IFERROR(__xludf.DUMMYFUNCTION("""COMPUTED_VALUE"""),812.35)</f>
        <v>812.35</v>
      </c>
      <c r="I116" s="47">
        <f>IFERROR(__xludf.DUMMYFUNCTION("""COMPUTED_VALUE"""),45909.6458333333)</f>
        <v>45909.6458333333</v>
      </c>
      <c r="J116" s="48">
        <f>IFERROR(__xludf.DUMMYFUNCTION("""COMPUTED_VALUE"""),805.6)</f>
        <v>805.6</v>
      </c>
      <c r="K116" s="3">
        <f t="shared" si="2"/>
        <v>0</v>
      </c>
      <c r="L116" s="3">
        <f t="shared" si="3"/>
        <v>0</v>
      </c>
    </row>
    <row r="117" customHeight="1" spans="1:12">
      <c r="A117" s="47">
        <f>IFERROR(__xludf.DUMMYFUNCTION("""COMPUTED_VALUE"""),45910.6458333333)</f>
        <v>45910.6458333333</v>
      </c>
      <c r="B117" s="48">
        <f>IFERROR(__xludf.DUMMYFUNCTION("""COMPUTED_VALUE"""),818.2)</f>
        <v>818.2</v>
      </c>
      <c r="C117" s="47">
        <f>IFERROR(__xludf.DUMMYFUNCTION("""COMPUTED_VALUE"""),45910.6458333333)</f>
        <v>45910.6458333333</v>
      </c>
      <c r="D117" s="48">
        <f>IFERROR(__xludf.DUMMYFUNCTION("""COMPUTED_VALUE"""),812)</f>
        <v>812</v>
      </c>
      <c r="E117" s="47">
        <f>IFERROR(__xludf.DUMMYFUNCTION("""COMPUTED_VALUE"""),45910.6458333333)</f>
        <v>45910.6458333333</v>
      </c>
      <c r="F117" s="48">
        <f>IFERROR(__xludf.DUMMYFUNCTION("""COMPUTED_VALUE"""),7285853)</f>
        <v>7285853</v>
      </c>
      <c r="G117" s="47">
        <f>IFERROR(__xludf.DUMMYFUNCTION("""COMPUTED_VALUE"""),45910.6458333333)</f>
        <v>45910.6458333333</v>
      </c>
      <c r="H117" s="48">
        <f>IFERROR(__xludf.DUMMYFUNCTION("""COMPUTED_VALUE"""),824.6)</f>
        <v>824.6</v>
      </c>
      <c r="I117" s="47">
        <f>IFERROR(__xludf.DUMMYFUNCTION("""COMPUTED_VALUE"""),45910.6458333333)</f>
        <v>45910.6458333333</v>
      </c>
      <c r="J117" s="48">
        <f>IFERROR(__xludf.DUMMYFUNCTION("""COMPUTED_VALUE"""),810.4)</f>
        <v>810.4</v>
      </c>
      <c r="K117" s="3">
        <f t="shared" si="2"/>
        <v>0</v>
      </c>
      <c r="L117" s="3">
        <f t="shared" si="3"/>
        <v>0</v>
      </c>
    </row>
    <row r="118" customHeight="1" spans="1:12">
      <c r="A118" s="47">
        <f>IFERROR(__xludf.DUMMYFUNCTION("""COMPUTED_VALUE"""),45911.6458333333)</f>
        <v>45911.6458333333</v>
      </c>
      <c r="B118" s="48">
        <f>IFERROR(__xludf.DUMMYFUNCTION("""COMPUTED_VALUE"""),823.65)</f>
        <v>823.65</v>
      </c>
      <c r="C118" s="47">
        <f>IFERROR(__xludf.DUMMYFUNCTION("""COMPUTED_VALUE"""),45911.6458333333)</f>
        <v>45911.6458333333</v>
      </c>
      <c r="D118" s="48">
        <f>IFERROR(__xludf.DUMMYFUNCTION("""COMPUTED_VALUE"""),819.1)</f>
        <v>819.1</v>
      </c>
      <c r="E118" s="47">
        <f>IFERROR(__xludf.DUMMYFUNCTION("""COMPUTED_VALUE"""),45911.6458333333)</f>
        <v>45911.6458333333</v>
      </c>
      <c r="F118" s="48">
        <f>IFERROR(__xludf.DUMMYFUNCTION("""COMPUTED_VALUE"""),7425055)</f>
        <v>7425055</v>
      </c>
      <c r="G118" s="47">
        <f>IFERROR(__xludf.DUMMYFUNCTION("""COMPUTED_VALUE"""),45911.6458333333)</f>
        <v>45911.6458333333</v>
      </c>
      <c r="H118" s="48">
        <f>IFERROR(__xludf.DUMMYFUNCTION("""COMPUTED_VALUE"""),825.7)</f>
        <v>825.7</v>
      </c>
      <c r="I118" s="47">
        <f>IFERROR(__xludf.DUMMYFUNCTION("""COMPUTED_VALUE"""),45911.6458333333)</f>
        <v>45911.6458333333</v>
      </c>
      <c r="J118" s="48">
        <f>IFERROR(__xludf.DUMMYFUNCTION("""COMPUTED_VALUE"""),819)</f>
        <v>819</v>
      </c>
      <c r="K118" s="3">
        <f t="shared" si="2"/>
        <v>0</v>
      </c>
      <c r="L118" s="3">
        <f t="shared" si="3"/>
        <v>0</v>
      </c>
    </row>
    <row r="119" customHeight="1" spans="1:12">
      <c r="A119" s="47">
        <f>IFERROR(__xludf.DUMMYFUNCTION("""COMPUTED_VALUE"""),45912.6458333333)</f>
        <v>45912.6458333333</v>
      </c>
      <c r="B119" s="48">
        <f>IFERROR(__xludf.DUMMYFUNCTION("""COMPUTED_VALUE"""),823.55)</f>
        <v>823.55</v>
      </c>
      <c r="C119" s="47">
        <f>IFERROR(__xludf.DUMMYFUNCTION("""COMPUTED_VALUE"""),45912.6458333333)</f>
        <v>45912.6458333333</v>
      </c>
      <c r="D119" s="48">
        <f>IFERROR(__xludf.DUMMYFUNCTION("""COMPUTED_VALUE"""),824.1)</f>
        <v>824.1</v>
      </c>
      <c r="E119" s="47">
        <f>IFERROR(__xludf.DUMMYFUNCTION("""COMPUTED_VALUE"""),45912.6458333333)</f>
        <v>45912.6458333333</v>
      </c>
      <c r="F119" s="48">
        <f>IFERROR(__xludf.DUMMYFUNCTION("""COMPUTED_VALUE"""),5078018)</f>
        <v>5078018</v>
      </c>
      <c r="G119" s="47">
        <f>IFERROR(__xludf.DUMMYFUNCTION("""COMPUTED_VALUE"""),45912.6458333333)</f>
        <v>45912.6458333333</v>
      </c>
      <c r="H119" s="48">
        <f>IFERROR(__xludf.DUMMYFUNCTION("""COMPUTED_VALUE"""),825.8)</f>
        <v>825.8</v>
      </c>
      <c r="I119" s="47">
        <f>IFERROR(__xludf.DUMMYFUNCTION("""COMPUTED_VALUE"""),45912.6458333333)</f>
        <v>45912.6458333333</v>
      </c>
      <c r="J119" s="48">
        <f>IFERROR(__xludf.DUMMYFUNCTION("""COMPUTED_VALUE"""),819.8)</f>
        <v>819.8</v>
      </c>
      <c r="K119" s="3">
        <f t="shared" si="2"/>
        <v>0</v>
      </c>
      <c r="L119" s="3">
        <f t="shared" si="3"/>
        <v>0</v>
      </c>
    </row>
    <row r="120" customHeight="1" spans="1:12">
      <c r="A120" s="47">
        <f>IFERROR(__xludf.DUMMYFUNCTION("""COMPUTED_VALUE"""),45915.6458333333)</f>
        <v>45915.6458333333</v>
      </c>
      <c r="B120" s="48">
        <f>IFERROR(__xludf.DUMMYFUNCTION("""COMPUTED_VALUE"""),824.75)</f>
        <v>824.75</v>
      </c>
      <c r="C120" s="47">
        <f>IFERROR(__xludf.DUMMYFUNCTION("""COMPUTED_VALUE"""),45915.6458333333)</f>
        <v>45915.6458333333</v>
      </c>
      <c r="D120" s="48">
        <f>IFERROR(__xludf.DUMMYFUNCTION("""COMPUTED_VALUE"""),823.55)</f>
        <v>823.55</v>
      </c>
      <c r="E120" s="47">
        <f>IFERROR(__xludf.DUMMYFUNCTION("""COMPUTED_VALUE"""),45915.6458333333)</f>
        <v>45915.6458333333</v>
      </c>
      <c r="F120" s="48">
        <f>IFERROR(__xludf.DUMMYFUNCTION("""COMPUTED_VALUE"""),3852494)</f>
        <v>3852494</v>
      </c>
      <c r="G120" s="47">
        <f>IFERROR(__xludf.DUMMYFUNCTION("""COMPUTED_VALUE"""),45915.6458333333)</f>
        <v>45915.6458333333</v>
      </c>
      <c r="H120" s="48">
        <f>IFERROR(__xludf.DUMMYFUNCTION("""COMPUTED_VALUE"""),827.8)</f>
        <v>827.8</v>
      </c>
      <c r="I120" s="47">
        <f>IFERROR(__xludf.DUMMYFUNCTION("""COMPUTED_VALUE"""),45915.6458333333)</f>
        <v>45915.6458333333</v>
      </c>
      <c r="J120" s="48">
        <f>IFERROR(__xludf.DUMMYFUNCTION("""COMPUTED_VALUE"""),821.1)</f>
        <v>821.1</v>
      </c>
      <c r="K120" s="3">
        <f t="shared" si="2"/>
        <v>0</v>
      </c>
      <c r="L120" s="3">
        <f t="shared" si="3"/>
        <v>0</v>
      </c>
    </row>
    <row r="121" customHeight="1" spans="1:12">
      <c r="A121" s="47">
        <f>IFERROR(__xludf.DUMMYFUNCTION("""COMPUTED_VALUE"""),45916.6458333333)</f>
        <v>45916.6458333333</v>
      </c>
      <c r="B121" s="48">
        <f>IFERROR(__xludf.DUMMYFUNCTION("""COMPUTED_VALUE"""),831.55)</f>
        <v>831.55</v>
      </c>
      <c r="C121" s="47">
        <f>IFERROR(__xludf.DUMMYFUNCTION("""COMPUTED_VALUE"""),45916.6458333333)</f>
        <v>45916.6458333333</v>
      </c>
      <c r="D121" s="48">
        <f>IFERROR(__xludf.DUMMYFUNCTION("""COMPUTED_VALUE"""),825.1)</f>
        <v>825.1</v>
      </c>
      <c r="E121" s="47">
        <f>IFERROR(__xludf.DUMMYFUNCTION("""COMPUTED_VALUE"""),45916.6458333333)</f>
        <v>45916.6458333333</v>
      </c>
      <c r="F121" s="48">
        <f>IFERROR(__xludf.DUMMYFUNCTION("""COMPUTED_VALUE"""),9467531)</f>
        <v>9467531</v>
      </c>
      <c r="G121" s="47">
        <f>IFERROR(__xludf.DUMMYFUNCTION("""COMPUTED_VALUE"""),45916.6458333333)</f>
        <v>45916.6458333333</v>
      </c>
      <c r="H121" s="48">
        <f>IFERROR(__xludf.DUMMYFUNCTION("""COMPUTED_VALUE"""),833)</f>
        <v>833</v>
      </c>
      <c r="I121" s="47">
        <f>IFERROR(__xludf.DUMMYFUNCTION("""COMPUTED_VALUE"""),45916.6458333333)</f>
        <v>45916.6458333333</v>
      </c>
      <c r="J121" s="48">
        <f>IFERROR(__xludf.DUMMYFUNCTION("""COMPUTED_VALUE"""),821.65)</f>
        <v>821.65</v>
      </c>
      <c r="K121" s="3">
        <f t="shared" si="2"/>
        <v>0</v>
      </c>
      <c r="L121" s="3">
        <f t="shared" si="3"/>
        <v>0</v>
      </c>
    </row>
    <row r="122" customHeight="1" spans="1:12">
      <c r="A122" s="47">
        <f>IFERROR(__xludf.DUMMYFUNCTION("""COMPUTED_VALUE"""),45917.6458333333)</f>
        <v>45917.6458333333</v>
      </c>
      <c r="B122" s="48">
        <f>IFERROR(__xludf.DUMMYFUNCTION("""COMPUTED_VALUE"""),857.15)</f>
        <v>857.15</v>
      </c>
      <c r="C122" s="47">
        <f>IFERROR(__xludf.DUMMYFUNCTION("""COMPUTED_VALUE"""),45917.6458333333)</f>
        <v>45917.6458333333</v>
      </c>
      <c r="D122" s="48">
        <f>IFERROR(__xludf.DUMMYFUNCTION("""COMPUTED_VALUE"""),834.3)</f>
        <v>834.3</v>
      </c>
      <c r="E122" s="47">
        <f>IFERROR(__xludf.DUMMYFUNCTION("""COMPUTED_VALUE"""),45917.6458333333)</f>
        <v>45917.6458333333</v>
      </c>
      <c r="F122" s="48">
        <f>IFERROR(__xludf.DUMMYFUNCTION("""COMPUTED_VALUE"""),17243938)</f>
        <v>17243938</v>
      </c>
      <c r="G122" s="47">
        <f>IFERROR(__xludf.DUMMYFUNCTION("""COMPUTED_VALUE"""),45917.6458333333)</f>
        <v>45917.6458333333</v>
      </c>
      <c r="H122" s="48">
        <f>IFERROR(__xludf.DUMMYFUNCTION("""COMPUTED_VALUE"""),858.15)</f>
        <v>858.15</v>
      </c>
      <c r="I122" s="47">
        <f>IFERROR(__xludf.DUMMYFUNCTION("""COMPUTED_VALUE"""),45917.6458333333)</f>
        <v>45917.6458333333</v>
      </c>
      <c r="J122" s="48">
        <f>IFERROR(__xludf.DUMMYFUNCTION("""COMPUTED_VALUE"""),831)</f>
        <v>831</v>
      </c>
      <c r="K122" s="3">
        <f t="shared" si="2"/>
        <v>0</v>
      </c>
      <c r="L122" s="3">
        <f t="shared" si="3"/>
        <v>0</v>
      </c>
    </row>
    <row r="123" customHeight="1" spans="1:12">
      <c r="A123" s="47">
        <f>IFERROR(__xludf.DUMMYFUNCTION("""COMPUTED_VALUE"""),45918.6458333333)</f>
        <v>45918.6458333333</v>
      </c>
      <c r="B123" s="48">
        <f>IFERROR(__xludf.DUMMYFUNCTION("""COMPUTED_VALUE"""),854.35)</f>
        <v>854.35</v>
      </c>
      <c r="C123" s="47">
        <f>IFERROR(__xludf.DUMMYFUNCTION("""COMPUTED_VALUE"""),45918.6458333333)</f>
        <v>45918.6458333333</v>
      </c>
      <c r="D123" s="48">
        <f>IFERROR(__xludf.DUMMYFUNCTION("""COMPUTED_VALUE"""),858.65)</f>
        <v>858.65</v>
      </c>
      <c r="E123" s="47">
        <f>IFERROR(__xludf.DUMMYFUNCTION("""COMPUTED_VALUE"""),45918.6458333333)</f>
        <v>45918.6458333333</v>
      </c>
      <c r="F123" s="48">
        <f>IFERROR(__xludf.DUMMYFUNCTION("""COMPUTED_VALUE"""),10400847)</f>
        <v>10400847</v>
      </c>
      <c r="G123" s="47">
        <f>IFERROR(__xludf.DUMMYFUNCTION("""COMPUTED_VALUE"""),45918.6458333333)</f>
        <v>45918.6458333333</v>
      </c>
      <c r="H123" s="48">
        <f>IFERROR(__xludf.DUMMYFUNCTION("""COMPUTED_VALUE"""),860.8)</f>
        <v>860.8</v>
      </c>
      <c r="I123" s="47">
        <f>IFERROR(__xludf.DUMMYFUNCTION("""COMPUTED_VALUE"""),45918.6458333333)</f>
        <v>45918.6458333333</v>
      </c>
      <c r="J123" s="48">
        <f>IFERROR(__xludf.DUMMYFUNCTION("""COMPUTED_VALUE"""),851.1)</f>
        <v>851.1</v>
      </c>
      <c r="K123" s="3">
        <f t="shared" si="2"/>
        <v>0</v>
      </c>
      <c r="L123" s="3">
        <f t="shared" si="3"/>
        <v>0</v>
      </c>
    </row>
    <row r="124" customHeight="1" spans="1:12">
      <c r="A124" s="47">
        <f>IFERROR(__xludf.DUMMYFUNCTION("""COMPUTED_VALUE"""),45919.6458333333)</f>
        <v>45919.6458333333</v>
      </c>
      <c r="B124" s="48">
        <f>IFERROR(__xludf.DUMMYFUNCTION("""COMPUTED_VALUE"""),862.35)</f>
        <v>862.35</v>
      </c>
      <c r="C124" s="47">
        <f>IFERROR(__xludf.DUMMYFUNCTION("""COMPUTED_VALUE"""),45919.6458333333)</f>
        <v>45919.6458333333</v>
      </c>
      <c r="D124" s="48">
        <f>IFERROR(__xludf.DUMMYFUNCTION("""COMPUTED_VALUE"""),852)</f>
        <v>852</v>
      </c>
      <c r="E124" s="47">
        <f>IFERROR(__xludf.DUMMYFUNCTION("""COMPUTED_VALUE"""),45919.6458333333)</f>
        <v>45919.6458333333</v>
      </c>
      <c r="F124" s="48">
        <f>IFERROR(__xludf.DUMMYFUNCTION("""COMPUTED_VALUE"""),15206426)</f>
        <v>15206426</v>
      </c>
      <c r="G124" s="47">
        <f>IFERROR(__xludf.DUMMYFUNCTION("""COMPUTED_VALUE"""),45919.6458333333)</f>
        <v>45919.6458333333</v>
      </c>
      <c r="H124" s="48">
        <f>IFERROR(__xludf.DUMMYFUNCTION("""COMPUTED_VALUE"""),864.45)</f>
        <v>864.45</v>
      </c>
      <c r="I124" s="47">
        <f>IFERROR(__xludf.DUMMYFUNCTION("""COMPUTED_VALUE"""),45919.6458333333)</f>
        <v>45919.6458333333</v>
      </c>
      <c r="J124" s="48">
        <f>IFERROR(__xludf.DUMMYFUNCTION("""COMPUTED_VALUE"""),849.3)</f>
        <v>849.3</v>
      </c>
      <c r="K124" s="3">
        <f t="shared" si="2"/>
        <v>0</v>
      </c>
      <c r="L124" s="3">
        <f t="shared" si="3"/>
        <v>0</v>
      </c>
    </row>
    <row r="125" customHeight="1" spans="1:12">
      <c r="A125" s="47">
        <f>IFERROR(__xludf.DUMMYFUNCTION("""COMPUTED_VALUE"""),45922.6458333333)</f>
        <v>45922.6458333333</v>
      </c>
      <c r="B125" s="48">
        <f>IFERROR(__xludf.DUMMYFUNCTION("""COMPUTED_VALUE"""),855.25)</f>
        <v>855.25</v>
      </c>
      <c r="C125" s="47">
        <f>IFERROR(__xludf.DUMMYFUNCTION("""COMPUTED_VALUE"""),45922.6458333333)</f>
        <v>45922.6458333333</v>
      </c>
      <c r="D125" s="48">
        <f>IFERROR(__xludf.DUMMYFUNCTION("""COMPUTED_VALUE"""),862)</f>
        <v>862</v>
      </c>
      <c r="E125" s="47">
        <f>IFERROR(__xludf.DUMMYFUNCTION("""COMPUTED_VALUE"""),45922.6458333333)</f>
        <v>45922.6458333333</v>
      </c>
      <c r="F125" s="48">
        <f>IFERROR(__xludf.DUMMYFUNCTION("""COMPUTED_VALUE"""),6594034)</f>
        <v>6594034</v>
      </c>
      <c r="G125" s="47">
        <f>IFERROR(__xludf.DUMMYFUNCTION("""COMPUTED_VALUE"""),45922.6458333333)</f>
        <v>45922.6458333333</v>
      </c>
      <c r="H125" s="48">
        <f>IFERROR(__xludf.DUMMYFUNCTION("""COMPUTED_VALUE"""),868.2)</f>
        <v>868.2</v>
      </c>
      <c r="I125" s="47">
        <f>IFERROR(__xludf.DUMMYFUNCTION("""COMPUTED_VALUE"""),45922.6458333333)</f>
        <v>45922.6458333333</v>
      </c>
      <c r="J125" s="48">
        <f>IFERROR(__xludf.DUMMYFUNCTION("""COMPUTED_VALUE"""),854)</f>
        <v>854</v>
      </c>
      <c r="K125" s="3">
        <f t="shared" si="2"/>
        <v>0</v>
      </c>
      <c r="L125" s="3">
        <f t="shared" si="3"/>
        <v>0</v>
      </c>
    </row>
    <row r="126" customHeight="1" spans="1:10">
      <c r="A126" s="47">
        <f>IFERROR(__xludf.DUMMYFUNCTION("""COMPUTED_VALUE"""),45923.6458333333)</f>
        <v>45923.6458333333</v>
      </c>
      <c r="B126" s="48">
        <f>IFERROR(__xludf.DUMMYFUNCTION("""COMPUTED_VALUE"""),870.6)</f>
        <v>870.6</v>
      </c>
      <c r="C126" s="47">
        <f>IFERROR(__xludf.DUMMYFUNCTION("""COMPUTED_VALUE"""),45923.6458333333)</f>
        <v>45923.6458333333</v>
      </c>
      <c r="D126" s="48">
        <f>IFERROR(__xludf.DUMMYFUNCTION("""COMPUTED_VALUE"""),854.6)</f>
        <v>854.6</v>
      </c>
      <c r="E126" s="47">
        <f>IFERROR(__xludf.DUMMYFUNCTION("""COMPUTED_VALUE"""),45923.6458333333)</f>
        <v>45923.6458333333</v>
      </c>
      <c r="F126" s="48">
        <f>IFERROR(__xludf.DUMMYFUNCTION("""COMPUTED_VALUE"""),14357863)</f>
        <v>14357863</v>
      </c>
      <c r="G126" s="47">
        <f>IFERROR(__xludf.DUMMYFUNCTION("""COMPUTED_VALUE"""),45923.6458333333)</f>
        <v>45923.6458333333</v>
      </c>
      <c r="H126" s="48">
        <f>IFERROR(__xludf.DUMMYFUNCTION("""COMPUTED_VALUE"""),874.25)</f>
        <v>874.25</v>
      </c>
      <c r="I126" s="47">
        <f>IFERROR(__xludf.DUMMYFUNCTION("""COMPUTED_VALUE"""),45923.6458333333)</f>
        <v>45923.6458333333</v>
      </c>
      <c r="J126" s="48">
        <f>IFERROR(__xludf.DUMMYFUNCTION("""COMPUTED_VALUE"""),851.2)</f>
        <v>851.2</v>
      </c>
    </row>
    <row r="127" customHeight="1" spans="1:10">
      <c r="A127" s="47">
        <f>IFERROR(__xludf.DUMMYFUNCTION("""COMPUTED_VALUE"""),45924.6458333333)</f>
        <v>45924.6458333333</v>
      </c>
      <c r="B127" s="48">
        <f>IFERROR(__xludf.DUMMYFUNCTION("""COMPUTED_VALUE"""),866.2)</f>
        <v>866.2</v>
      </c>
      <c r="C127" s="47">
        <f>IFERROR(__xludf.DUMMYFUNCTION("""COMPUTED_VALUE"""),45924.6458333333)</f>
        <v>45924.6458333333</v>
      </c>
      <c r="D127" s="48">
        <f>IFERROR(__xludf.DUMMYFUNCTION("""COMPUTED_VALUE"""),876)</f>
        <v>876</v>
      </c>
      <c r="E127" s="47">
        <f>IFERROR(__xludf.DUMMYFUNCTION("""COMPUTED_VALUE"""),45924.6458333333)</f>
        <v>45924.6458333333</v>
      </c>
      <c r="F127" s="48">
        <f>IFERROR(__xludf.DUMMYFUNCTION("""COMPUTED_VALUE"""),12840160)</f>
        <v>12840160</v>
      </c>
      <c r="G127" s="47">
        <f>IFERROR(__xludf.DUMMYFUNCTION("""COMPUTED_VALUE"""),45924.6458333333)</f>
        <v>45924.6458333333</v>
      </c>
      <c r="H127" s="48">
        <f>IFERROR(__xludf.DUMMYFUNCTION("""COMPUTED_VALUE"""),880.5)</f>
        <v>880.5</v>
      </c>
      <c r="I127" s="47">
        <f>IFERROR(__xludf.DUMMYFUNCTION("""COMPUTED_VALUE"""),45924.6458333333)</f>
        <v>45924.6458333333</v>
      </c>
      <c r="J127" s="48">
        <f>IFERROR(__xludf.DUMMYFUNCTION("""COMPUTED_VALUE"""),864.45)</f>
        <v>864.45</v>
      </c>
    </row>
    <row r="128" customHeight="1" spans="1:10">
      <c r="A128" s="47">
        <f>IFERROR(__xludf.DUMMYFUNCTION("""COMPUTED_VALUE"""),45925.6458333333)</f>
        <v>45925.6458333333</v>
      </c>
      <c r="B128" s="48">
        <f>IFERROR(__xludf.DUMMYFUNCTION("""COMPUTED_VALUE"""),861.15)</f>
        <v>861.15</v>
      </c>
      <c r="C128" s="47">
        <f>IFERROR(__xludf.DUMMYFUNCTION("""COMPUTED_VALUE"""),45925.6458333333)</f>
        <v>45925.6458333333</v>
      </c>
      <c r="D128" s="48">
        <f>IFERROR(__xludf.DUMMYFUNCTION("""COMPUTED_VALUE"""),866.55)</f>
        <v>866.55</v>
      </c>
      <c r="E128" s="47">
        <f>IFERROR(__xludf.DUMMYFUNCTION("""COMPUTED_VALUE"""),45925.6458333333)</f>
        <v>45925.6458333333</v>
      </c>
      <c r="F128" s="48">
        <f>IFERROR(__xludf.DUMMYFUNCTION("""COMPUTED_VALUE"""),8678821)</f>
        <v>8678821</v>
      </c>
      <c r="G128" s="47">
        <f>IFERROR(__xludf.DUMMYFUNCTION("""COMPUTED_VALUE"""),45925.6458333333)</f>
        <v>45925.6458333333</v>
      </c>
      <c r="H128" s="48">
        <f>IFERROR(__xludf.DUMMYFUNCTION("""COMPUTED_VALUE"""),870.15)</f>
        <v>870.15</v>
      </c>
      <c r="I128" s="47">
        <f>IFERROR(__xludf.DUMMYFUNCTION("""COMPUTED_VALUE"""),45925.6458333333)</f>
        <v>45925.6458333333</v>
      </c>
      <c r="J128" s="48">
        <f>IFERROR(__xludf.DUMMYFUNCTION("""COMPUTED_VALUE"""),859.95)</f>
        <v>859.95</v>
      </c>
    </row>
    <row r="129" customHeight="1" spans="1:10">
      <c r="A129" s="47">
        <f>IFERROR(__xludf.DUMMYFUNCTION("""COMPUTED_VALUE"""),45926.6458333333)</f>
        <v>45926.6458333333</v>
      </c>
      <c r="B129" s="48">
        <f>IFERROR(__xludf.DUMMYFUNCTION("""COMPUTED_VALUE"""),856.95)</f>
        <v>856.95</v>
      </c>
      <c r="C129" s="47">
        <f>IFERROR(__xludf.DUMMYFUNCTION("""COMPUTED_VALUE"""),45926.6458333333)</f>
        <v>45926.6458333333</v>
      </c>
      <c r="D129" s="48">
        <f>IFERROR(__xludf.DUMMYFUNCTION("""COMPUTED_VALUE"""),862)</f>
        <v>862</v>
      </c>
      <c r="E129" s="47">
        <f>IFERROR(__xludf.DUMMYFUNCTION("""COMPUTED_VALUE"""),45926.6458333333)</f>
        <v>45926.6458333333</v>
      </c>
      <c r="F129" s="48">
        <f>IFERROR(__xludf.DUMMYFUNCTION("""COMPUTED_VALUE"""),6959545)</f>
        <v>6959545</v>
      </c>
      <c r="G129" s="47">
        <f>IFERROR(__xludf.DUMMYFUNCTION("""COMPUTED_VALUE"""),45926.6458333333)</f>
        <v>45926.6458333333</v>
      </c>
      <c r="H129" s="48">
        <f>IFERROR(__xludf.DUMMYFUNCTION("""COMPUTED_VALUE"""),864.35)</f>
        <v>864.35</v>
      </c>
      <c r="I129" s="47">
        <f>IFERROR(__xludf.DUMMYFUNCTION("""COMPUTED_VALUE"""),45926.6458333333)</f>
        <v>45926.6458333333</v>
      </c>
      <c r="J129" s="48">
        <f>IFERROR(__xludf.DUMMYFUNCTION("""COMPUTED_VALUE"""),853)</f>
        <v>853</v>
      </c>
    </row>
  </sheetData>
  <mergeCells count="3">
    <mergeCell ref="M1:P1"/>
    <mergeCell ref="A3:F3"/>
    <mergeCell ref="AB4:AE4"/>
  </mergeCells>
  <conditionalFormatting sqref="A1:A2 A4">
    <cfRule type="notContainsBlanks" dxfId="0" priority="1">
      <formula>LEN(TRIM(A1))&gt;0</formula>
    </cfRule>
  </conditionalFormatting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76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""price"")"),28860)</f>
        <v>28860</v>
      </c>
      <c r="I3" s="22" t="s">
        <v>269</v>
      </c>
      <c r="J3" s="23">
        <f>IFERROR(__xludf.DUMMYFUNCTION("GOOGLEFINANCE(L3, ""volume"")"),20857)</f>
        <v>20857</v>
      </c>
      <c r="K3" s="24" t="s">
        <v>270</v>
      </c>
      <c r="L3" s="25" t="str">
        <f>Mastersheet!B34</f>
        <v>NSE:SHREECEM</v>
      </c>
      <c r="M3" s="26">
        <f>IFERROR(__xludf.DUMMYFUNCTION("""COMPUTED_VALUE"""),45926.6458333333)</f>
        <v>45926.6458333333</v>
      </c>
      <c r="N3" s="27">
        <f>IFERROR(__xludf.DUMMYFUNCTION("""COMPUTED_VALUE"""),28910)</f>
        <v>28910</v>
      </c>
      <c r="O3" s="26">
        <f>IFERROR(__xludf.DUMMYFUNCTION("""COMPUTED_VALUE"""),45926.6458333333)</f>
        <v>45926.6458333333</v>
      </c>
      <c r="P3" s="27">
        <f>IFERROR(__xludf.DUMMYFUNCTION("""COMPUTED_VALUE"""),29515)</f>
        <v>29515</v>
      </c>
      <c r="Q3" s="16">
        <f>IFERROR(__xludf.DUMMYFUNCTION("""COMPUTED_VALUE"""),45926.6458333333)</f>
        <v>45926.6458333333</v>
      </c>
      <c r="R3" s="17">
        <f>IFERROR(__xludf.DUMMYFUNCTION("""COMPUTED_VALUE"""),29635)</f>
        <v>29635</v>
      </c>
      <c r="S3" s="16">
        <f>IFERROR(__xludf.DUMMYFUNCTION("""COMPUTED_VALUE"""),45926.6458333333)</f>
        <v>45926.6458333333</v>
      </c>
      <c r="T3" s="17">
        <f>IFERROR(__xludf.DUMMYFUNCTION("""COMPUTED_VALUE"""),28795)</f>
        <v>28795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IFERROR(__xludf.DUMMYFUNCTION("""COMPUTED_VALUE"""),30146.45)</f>
        <v>30146.45</v>
      </c>
      <c r="C5" s="14">
        <f>IFERROR(__xludf.DUMMYFUNCTION("""COMPUTED_VALUE"""),45743.6458333333)</f>
        <v>45743.6458333333</v>
      </c>
      <c r="D5" s="15">
        <f>IFERROR(__xludf.DUMMYFUNCTION("""COMPUTED_VALUE"""),29931.1)</f>
        <v>29931.1</v>
      </c>
      <c r="E5" s="14">
        <f>IFERROR(__xludf.DUMMYFUNCTION("""COMPUTED_VALUE"""),45743.6458333333)</f>
        <v>45743.6458333333</v>
      </c>
      <c r="F5" s="15">
        <f>IFERROR(__xludf.DUMMYFUNCTION("""COMPUTED_VALUE"""),71437)</f>
        <v>71437</v>
      </c>
      <c r="G5" s="14">
        <f>IFERROR(__xludf.DUMMYFUNCTION("""COMPUTED_VALUE"""),45743.6458333333)</f>
        <v>45743.6458333333</v>
      </c>
      <c r="H5" s="15">
        <f>IFERROR(__xludf.DUMMYFUNCTION("""COMPUTED_VALUE"""),30498)</f>
        <v>30498</v>
      </c>
      <c r="I5" s="30">
        <f>IFERROR(__xludf.DUMMYFUNCTION("""COMPUTED_VALUE"""),45743.6458333333)</f>
        <v>45743.6458333333</v>
      </c>
      <c r="J5" s="3">
        <f>IFERROR(__xludf.DUMMYFUNCTION("""COMPUTED_VALUE"""),29731.1)</f>
        <v>29731.1</v>
      </c>
      <c r="K5" s="5"/>
      <c r="L5" s="5"/>
      <c r="M5" s="3">
        <f t="array" ref="M5">INDEX(K11:K124,MATCH(SMALL(ABS(K11:K124-H3),1),ABS(K11:K124-H3),0))</f>
        <v>29830</v>
      </c>
      <c r="N5" s="3">
        <f t="array" ref="N5">INDEX(K11:K124,MATCH(SMALL(ABS(K11:K124-H3),2),ABS(K11:K124-H3),0))</f>
        <v>29960</v>
      </c>
      <c r="O5" s="3">
        <f t="array" ref="O5">INDEX(L11:L124,MATCH(SMALL(ABS(L11:L124-H3),1),ABS(L11:L124-H3),0))</f>
        <v>28505</v>
      </c>
      <c r="P5" s="3">
        <f t="array" ref="P5">INDEX(L11:L124,MATCH(SMALL(ABS(L11:L124-H3),2),ABS(L11:L124-H3),0))</f>
        <v>29230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26019.65</v>
      </c>
      <c r="T5" s="17">
        <f ca="1">IF(AND(H3&gt;=Mastersheet!I3*S5,H3&lt;=Mastersheet!J3*S5),1,0)</f>
        <v>0</v>
      </c>
      <c r="U5" s="36">
        <f>(N3+P3)/2</f>
        <v>29212.5</v>
      </c>
      <c r="V5" s="17">
        <f>(N3+P3+R3+T3)/4</f>
        <v>29213.75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IFERROR(__xludf.DUMMYFUNCTION("""COMPUTED_VALUE"""),30502.95)</f>
        <v>30502.95</v>
      </c>
      <c r="C6" s="16">
        <f>IFERROR(__xludf.DUMMYFUNCTION("""COMPUTED_VALUE"""),45744.6458333333)</f>
        <v>45744.6458333333</v>
      </c>
      <c r="D6" s="17">
        <f>IFERROR(__xludf.DUMMYFUNCTION("""COMPUTED_VALUE"""),30700)</f>
        <v>30700</v>
      </c>
      <c r="E6" s="16">
        <f>IFERROR(__xludf.DUMMYFUNCTION("""COMPUTED_VALUE"""),45744.6458333333)</f>
        <v>45744.6458333333</v>
      </c>
      <c r="F6" s="17">
        <f>IFERROR(__xludf.DUMMYFUNCTION("""COMPUTED_VALUE"""),58593)</f>
        <v>58593</v>
      </c>
      <c r="G6" s="16">
        <f>IFERROR(__xludf.DUMMYFUNCTION("""COMPUTED_VALUE"""),45744.6458333333)</f>
        <v>45744.6458333333</v>
      </c>
      <c r="H6" s="17">
        <f>IFERROR(__xludf.DUMMYFUNCTION("""COMPUTED_VALUE"""),31237.95)</f>
        <v>31237.95</v>
      </c>
      <c r="I6" s="16">
        <f>IFERROR(__xludf.DUMMYFUNCTION("""COMPUTED_VALUE"""),45744.6458333333)</f>
        <v>45744.6458333333</v>
      </c>
      <c r="J6" s="17">
        <f>IFERROR(__xludf.DUMMYFUNCTION("""COMPUTED_VALUE"""),30438.55)</f>
        <v>30438.55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IFERROR(__xludf.DUMMYFUNCTION("""COMPUTED_VALUE"""),30246.4)</f>
        <v>30246.4</v>
      </c>
      <c r="C7" s="16">
        <f>IFERROR(__xludf.DUMMYFUNCTION("""COMPUTED_VALUE"""),45748.6458333333)</f>
        <v>45748.6458333333</v>
      </c>
      <c r="D7" s="17">
        <f>IFERROR(__xludf.DUMMYFUNCTION("""COMPUTED_VALUE"""),30546.15)</f>
        <v>30546.15</v>
      </c>
      <c r="E7" s="16">
        <f>IFERROR(__xludf.DUMMYFUNCTION("""COMPUTED_VALUE"""),45748.6458333333)</f>
        <v>45748.6458333333</v>
      </c>
      <c r="F7" s="17">
        <f>IFERROR(__xludf.DUMMYFUNCTION("""COMPUTED_VALUE"""),19571)</f>
        <v>19571</v>
      </c>
      <c r="G7" s="16">
        <f>IFERROR(__xludf.DUMMYFUNCTION("""COMPUTED_VALUE"""),45748.6458333333)</f>
        <v>45748.6458333333</v>
      </c>
      <c r="H7" s="17">
        <f>IFERROR(__xludf.DUMMYFUNCTION("""COMPUTED_VALUE"""),30609.45)</f>
        <v>30609.45</v>
      </c>
      <c r="I7" s="16">
        <f>IFERROR(__xludf.DUMMYFUNCTION("""COMPUTED_VALUE"""),45748.6458333333)</f>
        <v>45748.6458333333</v>
      </c>
      <c r="J7" s="17">
        <f>IFERROR(__xludf.DUMMYFUNCTION("""COMPUTED_VALUE"""),30057.15)</f>
        <v>30057.15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IFERROR(__xludf.DUMMYFUNCTION("""COMPUTED_VALUE"""),30273.4)</f>
        <v>30273.4</v>
      </c>
      <c r="C8" s="16">
        <f>IFERROR(__xludf.DUMMYFUNCTION("""COMPUTED_VALUE"""),45749.6458333333)</f>
        <v>45749.6458333333</v>
      </c>
      <c r="D8" s="17">
        <f>IFERROR(__xludf.DUMMYFUNCTION("""COMPUTED_VALUE"""),30498.8)</f>
        <v>30498.8</v>
      </c>
      <c r="E8" s="16">
        <f>IFERROR(__xludf.DUMMYFUNCTION("""COMPUTED_VALUE"""),45749.6458333333)</f>
        <v>45749.6458333333</v>
      </c>
      <c r="F8" s="17">
        <f>IFERROR(__xludf.DUMMYFUNCTION("""COMPUTED_VALUE"""),52150)</f>
        <v>52150</v>
      </c>
      <c r="G8" s="16">
        <f>IFERROR(__xludf.DUMMYFUNCTION("""COMPUTED_VALUE"""),45749.6458333333)</f>
        <v>45749.6458333333</v>
      </c>
      <c r="H8" s="17">
        <f>IFERROR(__xludf.DUMMYFUNCTION("""COMPUTED_VALUE"""),30499)</f>
        <v>30499</v>
      </c>
      <c r="I8" s="16">
        <f>IFERROR(__xludf.DUMMYFUNCTION("""COMPUTED_VALUE"""),45749.6458333333)</f>
        <v>45749.6458333333</v>
      </c>
      <c r="J8" s="17">
        <f>IFERROR(__xludf.DUMMYFUNCTION("""COMPUTED_VALUE"""),30037.05)</f>
        <v>30037.05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IFERROR(__xludf.DUMMYFUNCTION("""COMPUTED_VALUE"""),30902)</f>
        <v>30902</v>
      </c>
      <c r="C9" s="16">
        <f>IFERROR(__xludf.DUMMYFUNCTION("""COMPUTED_VALUE"""),45750.6458333333)</f>
        <v>45750.6458333333</v>
      </c>
      <c r="D9" s="17">
        <f>IFERROR(__xludf.DUMMYFUNCTION("""COMPUTED_VALUE"""),30000)</f>
        <v>30000</v>
      </c>
      <c r="E9" s="16">
        <f>IFERROR(__xludf.DUMMYFUNCTION("""COMPUTED_VALUE"""),45750.6458333333)</f>
        <v>45750.6458333333</v>
      </c>
      <c r="F9" s="17">
        <f>IFERROR(__xludf.DUMMYFUNCTION("""COMPUTED_VALUE"""),26224)</f>
        <v>26224</v>
      </c>
      <c r="G9" s="16">
        <f>IFERROR(__xludf.DUMMYFUNCTION("""COMPUTED_VALUE"""),45750.6458333333)</f>
        <v>45750.6458333333</v>
      </c>
      <c r="H9" s="17">
        <f>IFERROR(__xludf.DUMMYFUNCTION("""COMPUTED_VALUE"""),31139.95)</f>
        <v>31139.95</v>
      </c>
      <c r="I9" s="16">
        <f>IFERROR(__xludf.DUMMYFUNCTION("""COMPUTED_VALUE"""),45750.6458333333)</f>
        <v>45750.6458333333</v>
      </c>
      <c r="J9" s="17">
        <f>IFERROR(__xludf.DUMMYFUNCTION("""COMPUTED_VALUE"""),29900.05)</f>
        <v>29900.05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IFERROR(__xludf.DUMMYFUNCTION("""COMPUTED_VALUE"""),30694.5)</f>
        <v>30694.5</v>
      </c>
      <c r="C10" s="16">
        <f>IFERROR(__xludf.DUMMYFUNCTION("""COMPUTED_VALUE"""),45751.6458333333)</f>
        <v>45751.6458333333</v>
      </c>
      <c r="D10" s="17">
        <f>IFERROR(__xludf.DUMMYFUNCTION("""COMPUTED_VALUE"""),30902)</f>
        <v>30902</v>
      </c>
      <c r="E10" s="16">
        <f>IFERROR(__xludf.DUMMYFUNCTION("""COMPUTED_VALUE"""),45751.6458333333)</f>
        <v>45751.6458333333</v>
      </c>
      <c r="F10" s="17">
        <f>IFERROR(__xludf.DUMMYFUNCTION("""COMPUTED_VALUE"""),14821)</f>
        <v>14821</v>
      </c>
      <c r="G10" s="16">
        <f>IFERROR(__xludf.DUMMYFUNCTION("""COMPUTED_VALUE"""),45751.6458333333)</f>
        <v>45751.6458333333</v>
      </c>
      <c r="H10" s="17">
        <f>IFERROR(__xludf.DUMMYFUNCTION("""COMPUTED_VALUE"""),31000)</f>
        <v>31000</v>
      </c>
      <c r="I10" s="16">
        <f>IFERROR(__xludf.DUMMYFUNCTION("""COMPUTED_VALUE"""),45751.6458333333)</f>
        <v>45751.6458333333</v>
      </c>
      <c r="J10" s="17">
        <f>IFERROR(__xludf.DUMMYFUNCTION("""COMPUTED_VALUE"""),30513.5)</f>
        <v>30513.5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IFERROR(__xludf.DUMMYFUNCTION("""COMPUTED_VALUE"""),29751.55)</f>
        <v>29751.55</v>
      </c>
      <c r="C11" s="16">
        <f>IFERROR(__xludf.DUMMYFUNCTION("""COMPUTED_VALUE"""),45754.6458333333)</f>
        <v>45754.6458333333</v>
      </c>
      <c r="D11" s="17">
        <f>IFERROR(__xludf.DUMMYFUNCTION("""COMPUTED_VALUE"""),29600.3)</f>
        <v>29600.3</v>
      </c>
      <c r="E11" s="16">
        <f>IFERROR(__xludf.DUMMYFUNCTION("""COMPUTED_VALUE"""),45754.6458333333)</f>
        <v>45754.6458333333</v>
      </c>
      <c r="F11" s="17">
        <f>IFERROR(__xludf.DUMMYFUNCTION("""COMPUTED_VALUE"""),54086)</f>
        <v>54086</v>
      </c>
      <c r="G11" s="16">
        <f>IFERROR(__xludf.DUMMYFUNCTION("""COMPUTED_VALUE"""),45754.6458333333)</f>
        <v>45754.6458333333</v>
      </c>
      <c r="H11" s="17">
        <f>IFERROR(__xludf.DUMMYFUNCTION("""COMPUTED_VALUE"""),30247.9)</f>
        <v>30247.9</v>
      </c>
      <c r="I11" s="16">
        <f>IFERROR(__xludf.DUMMYFUNCTION("""COMPUTED_VALUE"""),45754.6458333333)</f>
        <v>45754.6458333333</v>
      </c>
      <c r="J11" s="17">
        <f>IFERROR(__xludf.DUMMYFUNCTION("""COMPUTED_VALUE"""),29390)</f>
        <v>29390</v>
      </c>
      <c r="K11" s="3">
        <f t="shared" ref="K11:K125" si="2">IF(B11=MAX(B5:B17),B11,0)</f>
        <v>0</v>
      </c>
      <c r="L11" s="3">
        <f t="shared" ref="L11:L125" si="3">IF(B11=MIN(B5:B17),B11,0)</f>
        <v>29751.55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IFERROR(__xludf.DUMMYFUNCTION("""COMPUTED_VALUE"""),30433.2)</f>
        <v>30433.2</v>
      </c>
      <c r="C12" s="16">
        <f>IFERROR(__xludf.DUMMYFUNCTION("""COMPUTED_VALUE"""),45755.6458333333)</f>
        <v>45755.6458333333</v>
      </c>
      <c r="D12" s="17">
        <f>IFERROR(__xludf.DUMMYFUNCTION("""COMPUTED_VALUE"""),30247)</f>
        <v>30247</v>
      </c>
      <c r="E12" s="16">
        <f>IFERROR(__xludf.DUMMYFUNCTION("""COMPUTED_VALUE"""),45755.6458333333)</f>
        <v>45755.6458333333</v>
      </c>
      <c r="F12" s="17">
        <f>IFERROR(__xludf.DUMMYFUNCTION("""COMPUTED_VALUE"""),42775)</f>
        <v>42775</v>
      </c>
      <c r="G12" s="16">
        <f>IFERROR(__xludf.DUMMYFUNCTION("""COMPUTED_VALUE"""),45755.6458333333)</f>
        <v>45755.6458333333</v>
      </c>
      <c r="H12" s="17">
        <f>IFERROR(__xludf.DUMMYFUNCTION("""COMPUTED_VALUE"""),30594.95)</f>
        <v>30594.95</v>
      </c>
      <c r="I12" s="16">
        <f>IFERROR(__xludf.DUMMYFUNCTION("""COMPUTED_VALUE"""),45755.6458333333)</f>
        <v>45755.6458333333</v>
      </c>
      <c r="J12" s="17">
        <f>IFERROR(__xludf.DUMMYFUNCTION("""COMPUTED_VALUE"""),30165.8)</f>
        <v>30165.8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IFERROR(__xludf.DUMMYFUNCTION("""COMPUTED_VALUE"""),30370.25)</f>
        <v>30370.25</v>
      </c>
      <c r="C13" s="16">
        <f>IFERROR(__xludf.DUMMYFUNCTION("""COMPUTED_VALUE"""),45756.6458333333)</f>
        <v>45756.6458333333</v>
      </c>
      <c r="D13" s="17">
        <f>IFERROR(__xludf.DUMMYFUNCTION("""COMPUTED_VALUE"""),30409.05)</f>
        <v>30409.05</v>
      </c>
      <c r="E13" s="16">
        <f>IFERROR(__xludf.DUMMYFUNCTION("""COMPUTED_VALUE"""),45756.6458333333)</f>
        <v>45756.6458333333</v>
      </c>
      <c r="F13" s="17">
        <f>IFERROR(__xludf.DUMMYFUNCTION("""COMPUTED_VALUE"""),39073)</f>
        <v>39073</v>
      </c>
      <c r="G13" s="16">
        <f>IFERROR(__xludf.DUMMYFUNCTION("""COMPUTED_VALUE"""),45756.6458333333)</f>
        <v>45756.6458333333</v>
      </c>
      <c r="H13" s="17">
        <f>IFERROR(__xludf.DUMMYFUNCTION("""COMPUTED_VALUE"""),30638.05)</f>
        <v>30638.05</v>
      </c>
      <c r="I13" s="16">
        <f>IFERROR(__xludf.DUMMYFUNCTION("""COMPUTED_VALUE"""),45756.6458333333)</f>
        <v>45756.6458333333</v>
      </c>
      <c r="J13" s="17">
        <f>IFERROR(__xludf.DUMMYFUNCTION("""COMPUTED_VALUE"""),30128.95)</f>
        <v>30128.95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IFERROR(__xludf.DUMMYFUNCTION("""COMPUTED_VALUE"""),30107.95)</f>
        <v>30107.95</v>
      </c>
      <c r="C14" s="16">
        <f>IFERROR(__xludf.DUMMYFUNCTION("""COMPUTED_VALUE"""),45758.6458333333)</f>
        <v>45758.6458333333</v>
      </c>
      <c r="D14" s="17">
        <f>IFERROR(__xludf.DUMMYFUNCTION("""COMPUTED_VALUE"""),30638)</f>
        <v>30638</v>
      </c>
      <c r="E14" s="16">
        <f>IFERROR(__xludf.DUMMYFUNCTION("""COMPUTED_VALUE"""),45758.6458333333)</f>
        <v>45758.6458333333</v>
      </c>
      <c r="F14" s="17">
        <f>IFERROR(__xludf.DUMMYFUNCTION("""COMPUTED_VALUE"""),32572)</f>
        <v>32572</v>
      </c>
      <c r="G14" s="16">
        <f>IFERROR(__xludf.DUMMYFUNCTION("""COMPUTED_VALUE"""),45758.6458333333)</f>
        <v>45758.6458333333</v>
      </c>
      <c r="H14" s="17">
        <f>IFERROR(__xludf.DUMMYFUNCTION("""COMPUTED_VALUE"""),30709.95)</f>
        <v>30709.95</v>
      </c>
      <c r="I14" s="16">
        <f>IFERROR(__xludf.DUMMYFUNCTION("""COMPUTED_VALUE"""),45758.6458333333)</f>
        <v>45758.6458333333</v>
      </c>
      <c r="J14" s="17">
        <f>IFERROR(__xludf.DUMMYFUNCTION("""COMPUTED_VALUE"""),29755)</f>
        <v>29755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IFERROR(__xludf.DUMMYFUNCTION("""COMPUTED_VALUE"""),31125)</f>
        <v>31125</v>
      </c>
      <c r="C15" s="16">
        <f>IFERROR(__xludf.DUMMYFUNCTION("""COMPUTED_VALUE"""),45762.6458333333)</f>
        <v>45762.6458333333</v>
      </c>
      <c r="D15" s="17">
        <f>IFERROR(__xludf.DUMMYFUNCTION("""COMPUTED_VALUE"""),31000)</f>
        <v>31000</v>
      </c>
      <c r="E15" s="16">
        <f>IFERROR(__xludf.DUMMYFUNCTION("""COMPUTED_VALUE"""),45762.6458333333)</f>
        <v>45762.6458333333</v>
      </c>
      <c r="F15" s="17">
        <f>IFERROR(__xludf.DUMMYFUNCTION("""COMPUTED_VALUE"""),39498)</f>
        <v>39498</v>
      </c>
      <c r="G15" s="16">
        <f>IFERROR(__xludf.DUMMYFUNCTION("""COMPUTED_VALUE"""),45762.6458333333)</f>
        <v>45762.6458333333</v>
      </c>
      <c r="H15" s="17">
        <f>IFERROR(__xludf.DUMMYFUNCTION("""COMPUTED_VALUE"""),31245)</f>
        <v>31245</v>
      </c>
      <c r="I15" s="16">
        <f>IFERROR(__xludf.DUMMYFUNCTION("""COMPUTED_VALUE"""),45762.6458333333)</f>
        <v>45762.6458333333</v>
      </c>
      <c r="J15" s="17">
        <f>IFERROR(__xludf.DUMMYFUNCTION("""COMPUTED_VALUE"""),30155)</f>
        <v>30155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IFERROR(__xludf.DUMMYFUNCTION("""COMPUTED_VALUE"""),30800)</f>
        <v>30800</v>
      </c>
      <c r="C16" s="16">
        <f>IFERROR(__xludf.DUMMYFUNCTION("""COMPUTED_VALUE"""),45763.6458333333)</f>
        <v>45763.6458333333</v>
      </c>
      <c r="D16" s="17">
        <f>IFERROR(__xludf.DUMMYFUNCTION("""COMPUTED_VALUE"""),31000)</f>
        <v>31000</v>
      </c>
      <c r="E16" s="16">
        <f>IFERROR(__xludf.DUMMYFUNCTION("""COMPUTED_VALUE"""),45763.6458333333)</f>
        <v>45763.6458333333</v>
      </c>
      <c r="F16" s="17">
        <f>IFERROR(__xludf.DUMMYFUNCTION("""COMPUTED_VALUE"""),25525)</f>
        <v>25525</v>
      </c>
      <c r="G16" s="16">
        <f>IFERROR(__xludf.DUMMYFUNCTION("""COMPUTED_VALUE"""),45763.6458333333)</f>
        <v>45763.6458333333</v>
      </c>
      <c r="H16" s="17">
        <f>IFERROR(__xludf.DUMMYFUNCTION("""COMPUTED_VALUE"""),31290)</f>
        <v>31290</v>
      </c>
      <c r="I16" s="16">
        <f>IFERROR(__xludf.DUMMYFUNCTION("""COMPUTED_VALUE"""),45763.6458333333)</f>
        <v>45763.6458333333</v>
      </c>
      <c r="J16" s="17">
        <f>IFERROR(__xludf.DUMMYFUNCTION("""COMPUTED_VALUE"""),30590)</f>
        <v>30590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IFERROR(__xludf.DUMMYFUNCTION("""COMPUTED_VALUE"""),31000)</f>
        <v>31000</v>
      </c>
      <c r="C17" s="16">
        <f>IFERROR(__xludf.DUMMYFUNCTION("""COMPUTED_VALUE"""),45764.6458333333)</f>
        <v>45764.6458333333</v>
      </c>
      <c r="D17" s="17">
        <f>IFERROR(__xludf.DUMMYFUNCTION("""COMPUTED_VALUE"""),30795)</f>
        <v>30795</v>
      </c>
      <c r="E17" s="16">
        <f>IFERROR(__xludf.DUMMYFUNCTION("""COMPUTED_VALUE"""),45764.6458333333)</f>
        <v>45764.6458333333</v>
      </c>
      <c r="F17" s="17">
        <f>IFERROR(__xludf.DUMMYFUNCTION("""COMPUTED_VALUE"""),36538)</f>
        <v>36538</v>
      </c>
      <c r="G17" s="16">
        <f>IFERROR(__xludf.DUMMYFUNCTION("""COMPUTED_VALUE"""),45764.6458333333)</f>
        <v>45764.6458333333</v>
      </c>
      <c r="H17" s="17">
        <f>IFERROR(__xludf.DUMMYFUNCTION("""COMPUTED_VALUE"""),31090)</f>
        <v>31090</v>
      </c>
      <c r="I17" s="16">
        <f>IFERROR(__xludf.DUMMYFUNCTION("""COMPUTED_VALUE"""),45764.6458333333)</f>
        <v>45764.6458333333</v>
      </c>
      <c r="J17" s="17">
        <f>IFERROR(__xludf.DUMMYFUNCTION("""COMPUTED_VALUE"""),30525)</f>
        <v>30525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IFERROR(__xludf.DUMMYFUNCTION("""COMPUTED_VALUE"""),31155)</f>
        <v>31155</v>
      </c>
      <c r="C18" s="16">
        <f>IFERROR(__xludf.DUMMYFUNCTION("""COMPUTED_VALUE"""),45768.6458333333)</f>
        <v>45768.6458333333</v>
      </c>
      <c r="D18" s="17">
        <f>IFERROR(__xludf.DUMMYFUNCTION("""COMPUTED_VALUE"""),31000)</f>
        <v>31000</v>
      </c>
      <c r="E18" s="16">
        <f>IFERROR(__xludf.DUMMYFUNCTION("""COMPUTED_VALUE"""),45768.6458333333)</f>
        <v>45768.6458333333</v>
      </c>
      <c r="F18" s="17">
        <f>IFERROR(__xludf.DUMMYFUNCTION("""COMPUTED_VALUE"""),28359)</f>
        <v>28359</v>
      </c>
      <c r="G18" s="16">
        <f>IFERROR(__xludf.DUMMYFUNCTION("""COMPUTED_VALUE"""),45768.6458333333)</f>
        <v>45768.6458333333</v>
      </c>
      <c r="H18" s="17">
        <f>IFERROR(__xludf.DUMMYFUNCTION("""COMPUTED_VALUE"""),31415)</f>
        <v>31415</v>
      </c>
      <c r="I18" s="16">
        <f>IFERROR(__xludf.DUMMYFUNCTION("""COMPUTED_VALUE"""),45768.6458333333)</f>
        <v>45768.6458333333</v>
      </c>
      <c r="J18" s="17">
        <f>IFERROR(__xludf.DUMMYFUNCTION("""COMPUTED_VALUE"""),30720)</f>
        <v>30720</v>
      </c>
      <c r="K18" s="3">
        <f t="shared" si="2"/>
        <v>31155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IFERROR(__xludf.DUMMYFUNCTION("""COMPUTED_VALUE"""),30910)</f>
        <v>30910</v>
      </c>
      <c r="C19" s="16">
        <f>IFERROR(__xludf.DUMMYFUNCTION("""COMPUTED_VALUE"""),45769.6458333333)</f>
        <v>45769.6458333333</v>
      </c>
      <c r="D19" s="17">
        <f>IFERROR(__xludf.DUMMYFUNCTION("""COMPUTED_VALUE"""),31290)</f>
        <v>31290</v>
      </c>
      <c r="E19" s="16">
        <f>IFERROR(__xludf.DUMMYFUNCTION("""COMPUTED_VALUE"""),45769.6458333333)</f>
        <v>45769.6458333333</v>
      </c>
      <c r="F19" s="17">
        <f>IFERROR(__xludf.DUMMYFUNCTION("""COMPUTED_VALUE"""),45981)</f>
        <v>45981</v>
      </c>
      <c r="G19" s="16">
        <f>IFERROR(__xludf.DUMMYFUNCTION("""COMPUTED_VALUE"""),45769.6458333333)</f>
        <v>45769.6458333333</v>
      </c>
      <c r="H19" s="17">
        <f>IFERROR(__xludf.DUMMYFUNCTION("""COMPUTED_VALUE"""),31385)</f>
        <v>31385</v>
      </c>
      <c r="I19" s="16">
        <f>IFERROR(__xludf.DUMMYFUNCTION("""COMPUTED_VALUE"""),45769.6458333333)</f>
        <v>45769.6458333333</v>
      </c>
      <c r="J19" s="17">
        <f>IFERROR(__xludf.DUMMYFUNCTION("""COMPUTED_VALUE"""),30800)</f>
        <v>30800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IFERROR(__xludf.DUMMYFUNCTION("""COMPUTED_VALUE"""),30365)</f>
        <v>30365</v>
      </c>
      <c r="C20" s="16">
        <f>IFERROR(__xludf.DUMMYFUNCTION("""COMPUTED_VALUE"""),45770.6458333333)</f>
        <v>45770.6458333333</v>
      </c>
      <c r="D20" s="17">
        <f>IFERROR(__xludf.DUMMYFUNCTION("""COMPUTED_VALUE"""),30910)</f>
        <v>30910</v>
      </c>
      <c r="E20" s="16">
        <f>IFERROR(__xludf.DUMMYFUNCTION("""COMPUTED_VALUE"""),45770.6458333333)</f>
        <v>45770.6458333333</v>
      </c>
      <c r="F20" s="17">
        <f>IFERROR(__xludf.DUMMYFUNCTION("""COMPUTED_VALUE"""),27170)</f>
        <v>27170</v>
      </c>
      <c r="G20" s="16">
        <f>IFERROR(__xludf.DUMMYFUNCTION("""COMPUTED_VALUE"""),45770.6458333333)</f>
        <v>45770.6458333333</v>
      </c>
      <c r="H20" s="17">
        <f>IFERROR(__xludf.DUMMYFUNCTION("""COMPUTED_VALUE"""),31135)</f>
        <v>31135</v>
      </c>
      <c r="I20" s="16">
        <f>IFERROR(__xludf.DUMMYFUNCTION("""COMPUTED_VALUE"""),45770.6458333333)</f>
        <v>45770.6458333333</v>
      </c>
      <c r="J20" s="17">
        <f>IFERROR(__xludf.DUMMYFUNCTION("""COMPUTED_VALUE"""),30280)</f>
        <v>30280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IFERROR(__xludf.DUMMYFUNCTION("""COMPUTED_VALUE"""),30705)</f>
        <v>30705</v>
      </c>
      <c r="C21" s="16">
        <f>IFERROR(__xludf.DUMMYFUNCTION("""COMPUTED_VALUE"""),45771.6458333333)</f>
        <v>45771.6458333333</v>
      </c>
      <c r="D21" s="17">
        <f>IFERROR(__xludf.DUMMYFUNCTION("""COMPUTED_VALUE"""),30535)</f>
        <v>30535</v>
      </c>
      <c r="E21" s="16">
        <f>IFERROR(__xludf.DUMMYFUNCTION("""COMPUTED_VALUE"""),45771.6458333333)</f>
        <v>45771.6458333333</v>
      </c>
      <c r="F21" s="17">
        <f>IFERROR(__xludf.DUMMYFUNCTION("""COMPUTED_VALUE"""),55566)</f>
        <v>55566</v>
      </c>
      <c r="G21" s="16">
        <f>IFERROR(__xludf.DUMMYFUNCTION("""COMPUTED_VALUE"""),45771.6458333333)</f>
        <v>45771.6458333333</v>
      </c>
      <c r="H21" s="17">
        <f>IFERROR(__xludf.DUMMYFUNCTION("""COMPUTED_VALUE"""),30850)</f>
        <v>30850</v>
      </c>
      <c r="I21" s="16">
        <f>IFERROR(__xludf.DUMMYFUNCTION("""COMPUTED_VALUE"""),45771.6458333333)</f>
        <v>45771.6458333333</v>
      </c>
      <c r="J21" s="17">
        <f>IFERROR(__xludf.DUMMYFUNCTION("""COMPUTED_VALUE"""),30260)</f>
        <v>30260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IFERROR(__xludf.DUMMYFUNCTION("""COMPUTED_VALUE"""),30540)</f>
        <v>30540</v>
      </c>
      <c r="C22" s="16">
        <f>IFERROR(__xludf.DUMMYFUNCTION("""COMPUTED_VALUE"""),45772.6458333333)</f>
        <v>45772.6458333333</v>
      </c>
      <c r="D22" s="17">
        <f>IFERROR(__xludf.DUMMYFUNCTION("""COMPUTED_VALUE"""),30990)</f>
        <v>30990</v>
      </c>
      <c r="E22" s="16">
        <f>IFERROR(__xludf.DUMMYFUNCTION("""COMPUTED_VALUE"""),45772.6458333333)</f>
        <v>45772.6458333333</v>
      </c>
      <c r="F22" s="17">
        <f>IFERROR(__xludf.DUMMYFUNCTION("""COMPUTED_VALUE"""),26946)</f>
        <v>26946</v>
      </c>
      <c r="G22" s="16">
        <f>IFERROR(__xludf.DUMMYFUNCTION("""COMPUTED_VALUE"""),45772.6458333333)</f>
        <v>45772.6458333333</v>
      </c>
      <c r="H22" s="17">
        <f>IFERROR(__xludf.DUMMYFUNCTION("""COMPUTED_VALUE"""),30990)</f>
        <v>30990</v>
      </c>
      <c r="I22" s="16">
        <f>IFERROR(__xludf.DUMMYFUNCTION("""COMPUTED_VALUE"""),45772.6458333333)</f>
        <v>45772.6458333333</v>
      </c>
      <c r="J22" s="17">
        <f>IFERROR(__xludf.DUMMYFUNCTION("""COMPUTED_VALUE"""),29955)</f>
        <v>29955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IFERROR(__xludf.DUMMYFUNCTION("""COMPUTED_VALUE"""),30400)</f>
        <v>30400</v>
      </c>
      <c r="C23" s="16">
        <f>IFERROR(__xludf.DUMMYFUNCTION("""COMPUTED_VALUE"""),45775.6458333333)</f>
        <v>45775.6458333333</v>
      </c>
      <c r="D23" s="17">
        <f>IFERROR(__xludf.DUMMYFUNCTION("""COMPUTED_VALUE"""),30540)</f>
        <v>30540</v>
      </c>
      <c r="E23" s="16">
        <f>IFERROR(__xludf.DUMMYFUNCTION("""COMPUTED_VALUE"""),45775.6458333333)</f>
        <v>45775.6458333333</v>
      </c>
      <c r="F23" s="17">
        <f>IFERROR(__xludf.DUMMYFUNCTION("""COMPUTED_VALUE"""),22491)</f>
        <v>22491</v>
      </c>
      <c r="G23" s="16">
        <f>IFERROR(__xludf.DUMMYFUNCTION("""COMPUTED_VALUE"""),45775.6458333333)</f>
        <v>45775.6458333333</v>
      </c>
      <c r="H23" s="17">
        <f>IFERROR(__xludf.DUMMYFUNCTION("""COMPUTED_VALUE"""),30830)</f>
        <v>30830</v>
      </c>
      <c r="I23" s="16">
        <f>IFERROR(__xludf.DUMMYFUNCTION("""COMPUTED_VALUE"""),45775.6458333333)</f>
        <v>45775.6458333333</v>
      </c>
      <c r="J23" s="17">
        <f>IFERROR(__xludf.DUMMYFUNCTION("""COMPUTED_VALUE"""),30330)</f>
        <v>30330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IFERROR(__xludf.DUMMYFUNCTION("""COMPUTED_VALUE"""),30025)</f>
        <v>30025</v>
      </c>
      <c r="C24" s="16">
        <f>IFERROR(__xludf.DUMMYFUNCTION("""COMPUTED_VALUE"""),45776.6458333333)</f>
        <v>45776.6458333333</v>
      </c>
      <c r="D24" s="17">
        <f>IFERROR(__xludf.DUMMYFUNCTION("""COMPUTED_VALUE"""),30780)</f>
        <v>30780</v>
      </c>
      <c r="E24" s="16">
        <f>IFERROR(__xludf.DUMMYFUNCTION("""COMPUTED_VALUE"""),45776.6458333333)</f>
        <v>45776.6458333333</v>
      </c>
      <c r="F24" s="17">
        <f>IFERROR(__xludf.DUMMYFUNCTION("""COMPUTED_VALUE"""),25432)</f>
        <v>25432</v>
      </c>
      <c r="G24" s="16">
        <f>IFERROR(__xludf.DUMMYFUNCTION("""COMPUTED_VALUE"""),45776.6458333333)</f>
        <v>45776.6458333333</v>
      </c>
      <c r="H24" s="17">
        <f>IFERROR(__xludf.DUMMYFUNCTION("""COMPUTED_VALUE"""),30780)</f>
        <v>30780</v>
      </c>
      <c r="I24" s="16">
        <f>IFERROR(__xludf.DUMMYFUNCTION("""COMPUTED_VALUE"""),45776.6458333333)</f>
        <v>45776.6458333333</v>
      </c>
      <c r="J24" s="17">
        <f>IFERROR(__xludf.DUMMYFUNCTION("""COMPUTED_VALUE"""),29690)</f>
        <v>29690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IFERROR(__xludf.DUMMYFUNCTION("""COMPUTED_VALUE"""),29710)</f>
        <v>29710</v>
      </c>
      <c r="C25" s="16">
        <f>IFERROR(__xludf.DUMMYFUNCTION("""COMPUTED_VALUE"""),45777.6458333333)</f>
        <v>45777.6458333333</v>
      </c>
      <c r="D25" s="17">
        <f>IFERROR(__xludf.DUMMYFUNCTION("""COMPUTED_VALUE"""),30190)</f>
        <v>30190</v>
      </c>
      <c r="E25" s="16">
        <f>IFERROR(__xludf.DUMMYFUNCTION("""COMPUTED_VALUE"""),45777.6458333333)</f>
        <v>45777.6458333333</v>
      </c>
      <c r="F25" s="17">
        <f>IFERROR(__xludf.DUMMYFUNCTION("""COMPUTED_VALUE"""),22258)</f>
        <v>22258</v>
      </c>
      <c r="G25" s="16">
        <f>IFERROR(__xludf.DUMMYFUNCTION("""COMPUTED_VALUE"""),45777.6458333333)</f>
        <v>45777.6458333333</v>
      </c>
      <c r="H25" s="17">
        <f>IFERROR(__xludf.DUMMYFUNCTION("""COMPUTED_VALUE"""),30430)</f>
        <v>30430</v>
      </c>
      <c r="I25" s="16">
        <f>IFERROR(__xludf.DUMMYFUNCTION("""COMPUTED_VALUE"""),45777.6458333333)</f>
        <v>45777.6458333333</v>
      </c>
      <c r="J25" s="17">
        <f>IFERROR(__xludf.DUMMYFUNCTION("""COMPUTED_VALUE"""),29540)</f>
        <v>29540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IFERROR(__xludf.DUMMYFUNCTION("""COMPUTED_VALUE"""),29335)</f>
        <v>29335</v>
      </c>
      <c r="C26" s="16">
        <f>IFERROR(__xludf.DUMMYFUNCTION("""COMPUTED_VALUE"""),45779.6458333333)</f>
        <v>45779.6458333333</v>
      </c>
      <c r="D26" s="17">
        <f>IFERROR(__xludf.DUMMYFUNCTION("""COMPUTED_VALUE"""),29710)</f>
        <v>29710</v>
      </c>
      <c r="E26" s="16">
        <f>IFERROR(__xludf.DUMMYFUNCTION("""COMPUTED_VALUE"""),45779.6458333333)</f>
        <v>45779.6458333333</v>
      </c>
      <c r="F26" s="17">
        <f>IFERROR(__xludf.DUMMYFUNCTION("""COMPUTED_VALUE"""),17300)</f>
        <v>17300</v>
      </c>
      <c r="G26" s="16">
        <f>IFERROR(__xludf.DUMMYFUNCTION("""COMPUTED_VALUE"""),45779.6458333333)</f>
        <v>45779.6458333333</v>
      </c>
      <c r="H26" s="17">
        <f>IFERROR(__xludf.DUMMYFUNCTION("""COMPUTED_VALUE"""),29825)</f>
        <v>29825</v>
      </c>
      <c r="I26" s="16">
        <f>IFERROR(__xludf.DUMMYFUNCTION("""COMPUTED_VALUE"""),45779.6458333333)</f>
        <v>45779.6458333333</v>
      </c>
      <c r="J26" s="17">
        <f>IFERROR(__xludf.DUMMYFUNCTION("""COMPUTED_VALUE"""),28980)</f>
        <v>28980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IFERROR(__xludf.DUMMYFUNCTION("""COMPUTED_VALUE"""),29470)</f>
        <v>29470</v>
      </c>
      <c r="C27" s="16">
        <f>IFERROR(__xludf.DUMMYFUNCTION("""COMPUTED_VALUE"""),45782.6458333333)</f>
        <v>45782.6458333333</v>
      </c>
      <c r="D27" s="17">
        <f>IFERROR(__xludf.DUMMYFUNCTION("""COMPUTED_VALUE"""),29340)</f>
        <v>29340</v>
      </c>
      <c r="E27" s="16">
        <f>IFERROR(__xludf.DUMMYFUNCTION("""COMPUTED_VALUE"""),45782.6458333333)</f>
        <v>45782.6458333333</v>
      </c>
      <c r="F27" s="17">
        <f>IFERROR(__xludf.DUMMYFUNCTION("""COMPUTED_VALUE"""),14607)</f>
        <v>14607</v>
      </c>
      <c r="G27" s="16">
        <f>IFERROR(__xludf.DUMMYFUNCTION("""COMPUTED_VALUE"""),45782.6458333333)</f>
        <v>45782.6458333333</v>
      </c>
      <c r="H27" s="17">
        <f>IFERROR(__xludf.DUMMYFUNCTION("""COMPUTED_VALUE"""),29625)</f>
        <v>29625</v>
      </c>
      <c r="I27" s="16">
        <f>IFERROR(__xludf.DUMMYFUNCTION("""COMPUTED_VALUE"""),45782.6458333333)</f>
        <v>45782.6458333333</v>
      </c>
      <c r="J27" s="17">
        <f>IFERROR(__xludf.DUMMYFUNCTION("""COMPUTED_VALUE"""),29335)</f>
        <v>29335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IFERROR(__xludf.DUMMYFUNCTION("""COMPUTED_VALUE"""),29485)</f>
        <v>29485</v>
      </c>
      <c r="C28" s="16">
        <f>IFERROR(__xludf.DUMMYFUNCTION("""COMPUTED_VALUE"""),45783.6458333333)</f>
        <v>45783.6458333333</v>
      </c>
      <c r="D28" s="17">
        <f>IFERROR(__xludf.DUMMYFUNCTION("""COMPUTED_VALUE"""),29620)</f>
        <v>29620</v>
      </c>
      <c r="E28" s="16">
        <f>IFERROR(__xludf.DUMMYFUNCTION("""COMPUTED_VALUE"""),45783.6458333333)</f>
        <v>45783.6458333333</v>
      </c>
      <c r="F28" s="17">
        <f>IFERROR(__xludf.DUMMYFUNCTION("""COMPUTED_VALUE"""),28266)</f>
        <v>28266</v>
      </c>
      <c r="G28" s="16">
        <f>IFERROR(__xludf.DUMMYFUNCTION("""COMPUTED_VALUE"""),45783.6458333333)</f>
        <v>45783.6458333333</v>
      </c>
      <c r="H28" s="17">
        <f>IFERROR(__xludf.DUMMYFUNCTION("""COMPUTED_VALUE"""),29925)</f>
        <v>29925</v>
      </c>
      <c r="I28" s="16">
        <f>IFERROR(__xludf.DUMMYFUNCTION("""COMPUTED_VALUE"""),45783.6458333333)</f>
        <v>45783.6458333333</v>
      </c>
      <c r="J28" s="17">
        <f>IFERROR(__xludf.DUMMYFUNCTION("""COMPUTED_VALUE"""),29370)</f>
        <v>29370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IFERROR(__xludf.DUMMYFUNCTION("""COMPUTED_VALUE"""),29570)</f>
        <v>29570</v>
      </c>
      <c r="C29" s="16">
        <f>IFERROR(__xludf.DUMMYFUNCTION("""COMPUTED_VALUE"""),45784.6458333333)</f>
        <v>45784.6458333333</v>
      </c>
      <c r="D29" s="17">
        <f>IFERROR(__xludf.DUMMYFUNCTION("""COMPUTED_VALUE"""),29035)</f>
        <v>29035</v>
      </c>
      <c r="E29" s="16">
        <f>IFERROR(__xludf.DUMMYFUNCTION("""COMPUTED_VALUE"""),45784.6458333333)</f>
        <v>45784.6458333333</v>
      </c>
      <c r="F29" s="17">
        <f>IFERROR(__xludf.DUMMYFUNCTION("""COMPUTED_VALUE"""),11379)</f>
        <v>11379</v>
      </c>
      <c r="G29" s="16">
        <f>IFERROR(__xludf.DUMMYFUNCTION("""COMPUTED_VALUE"""),45784.6458333333)</f>
        <v>45784.6458333333</v>
      </c>
      <c r="H29" s="17">
        <f>IFERROR(__xludf.DUMMYFUNCTION("""COMPUTED_VALUE"""),29620)</f>
        <v>29620</v>
      </c>
      <c r="I29" s="16">
        <f>IFERROR(__xludf.DUMMYFUNCTION("""COMPUTED_VALUE"""),45784.6458333333)</f>
        <v>45784.6458333333</v>
      </c>
      <c r="J29" s="17">
        <f>IFERROR(__xludf.DUMMYFUNCTION("""COMPUTED_VALUE"""),29035)</f>
        <v>29035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IFERROR(__xludf.DUMMYFUNCTION("""COMPUTED_VALUE"""),29410)</f>
        <v>29410</v>
      </c>
      <c r="C30" s="16">
        <f>IFERROR(__xludf.DUMMYFUNCTION("""COMPUTED_VALUE"""),45785.6458333333)</f>
        <v>45785.6458333333</v>
      </c>
      <c r="D30" s="17">
        <f>IFERROR(__xludf.DUMMYFUNCTION("""COMPUTED_VALUE"""),29695)</f>
        <v>29695</v>
      </c>
      <c r="E30" s="16">
        <f>IFERROR(__xludf.DUMMYFUNCTION("""COMPUTED_VALUE"""),45785.6458333333)</f>
        <v>45785.6458333333</v>
      </c>
      <c r="F30" s="17">
        <f>IFERROR(__xludf.DUMMYFUNCTION("""COMPUTED_VALUE"""),44201)</f>
        <v>44201</v>
      </c>
      <c r="G30" s="16">
        <f>IFERROR(__xludf.DUMMYFUNCTION("""COMPUTED_VALUE"""),45785.6458333333)</f>
        <v>45785.6458333333</v>
      </c>
      <c r="H30" s="17">
        <f>IFERROR(__xludf.DUMMYFUNCTION("""COMPUTED_VALUE"""),29750)</f>
        <v>29750</v>
      </c>
      <c r="I30" s="16">
        <f>IFERROR(__xludf.DUMMYFUNCTION("""COMPUTED_VALUE"""),45785.6458333333)</f>
        <v>45785.6458333333</v>
      </c>
      <c r="J30" s="17">
        <f>IFERROR(__xludf.DUMMYFUNCTION("""COMPUTED_VALUE"""),29100)</f>
        <v>29100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IFERROR(__xludf.DUMMYFUNCTION("""COMPUTED_VALUE"""),29230)</f>
        <v>29230</v>
      </c>
      <c r="C31" s="16">
        <f>IFERROR(__xludf.DUMMYFUNCTION("""COMPUTED_VALUE"""),45786.6458333333)</f>
        <v>45786.6458333333</v>
      </c>
      <c r="D31" s="17">
        <f>IFERROR(__xludf.DUMMYFUNCTION("""COMPUTED_VALUE"""),29075)</f>
        <v>29075</v>
      </c>
      <c r="E31" s="16">
        <f>IFERROR(__xludf.DUMMYFUNCTION("""COMPUTED_VALUE"""),45786.6458333333)</f>
        <v>45786.6458333333</v>
      </c>
      <c r="F31" s="17">
        <f>IFERROR(__xludf.DUMMYFUNCTION("""COMPUTED_VALUE"""),24760)</f>
        <v>24760</v>
      </c>
      <c r="G31" s="16">
        <f>IFERROR(__xludf.DUMMYFUNCTION("""COMPUTED_VALUE"""),45786.6458333333)</f>
        <v>45786.6458333333</v>
      </c>
      <c r="H31" s="17">
        <f>IFERROR(__xludf.DUMMYFUNCTION("""COMPUTED_VALUE"""),29580)</f>
        <v>29580</v>
      </c>
      <c r="I31" s="16">
        <f>IFERROR(__xludf.DUMMYFUNCTION("""COMPUTED_VALUE"""),45786.6458333333)</f>
        <v>45786.6458333333</v>
      </c>
      <c r="J31" s="17">
        <f>IFERROR(__xludf.DUMMYFUNCTION("""COMPUTED_VALUE"""),28720)</f>
        <v>28720</v>
      </c>
      <c r="K31" s="3">
        <f t="shared" si="2"/>
        <v>0</v>
      </c>
      <c r="L31" s="3">
        <f t="shared" si="3"/>
        <v>29230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IFERROR(__xludf.DUMMYFUNCTION("""COMPUTED_VALUE"""),30135)</f>
        <v>30135</v>
      </c>
      <c r="C32" s="16">
        <f>IFERROR(__xludf.DUMMYFUNCTION("""COMPUTED_VALUE"""),45789.6458333333)</f>
        <v>45789.6458333333</v>
      </c>
      <c r="D32" s="17">
        <f>IFERROR(__xludf.DUMMYFUNCTION("""COMPUTED_VALUE"""),29610)</f>
        <v>29610</v>
      </c>
      <c r="E32" s="16">
        <f>IFERROR(__xludf.DUMMYFUNCTION("""COMPUTED_VALUE"""),45789.6458333333)</f>
        <v>45789.6458333333</v>
      </c>
      <c r="F32" s="17">
        <f>IFERROR(__xludf.DUMMYFUNCTION("""COMPUTED_VALUE"""),13032)</f>
        <v>13032</v>
      </c>
      <c r="G32" s="16">
        <f>IFERROR(__xludf.DUMMYFUNCTION("""COMPUTED_VALUE"""),45789.6458333333)</f>
        <v>45789.6458333333</v>
      </c>
      <c r="H32" s="17">
        <f>IFERROR(__xludf.DUMMYFUNCTION("""COMPUTED_VALUE"""),30240)</f>
        <v>30240</v>
      </c>
      <c r="I32" s="16">
        <f>IFERROR(__xludf.DUMMYFUNCTION("""COMPUTED_VALUE"""),45789.6458333333)</f>
        <v>45789.6458333333</v>
      </c>
      <c r="J32" s="17">
        <f>IFERROR(__xludf.DUMMYFUNCTION("""COMPUTED_VALUE"""),29610)</f>
        <v>29610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IFERROR(__xludf.DUMMYFUNCTION("""COMPUTED_VALUE"""),30145)</f>
        <v>30145</v>
      </c>
      <c r="C33" s="16">
        <f>IFERROR(__xludf.DUMMYFUNCTION("""COMPUTED_VALUE"""),45790.6458333333)</f>
        <v>45790.6458333333</v>
      </c>
      <c r="D33" s="17">
        <f>IFERROR(__xludf.DUMMYFUNCTION("""COMPUTED_VALUE"""),30210)</f>
        <v>30210</v>
      </c>
      <c r="E33" s="16">
        <f>IFERROR(__xludf.DUMMYFUNCTION("""COMPUTED_VALUE"""),45790.6458333333)</f>
        <v>45790.6458333333</v>
      </c>
      <c r="F33" s="17">
        <f>IFERROR(__xludf.DUMMYFUNCTION("""COMPUTED_VALUE"""),39445)</f>
        <v>39445</v>
      </c>
      <c r="G33" s="16">
        <f>IFERROR(__xludf.DUMMYFUNCTION("""COMPUTED_VALUE"""),45790.6458333333)</f>
        <v>45790.6458333333</v>
      </c>
      <c r="H33" s="17">
        <f>IFERROR(__xludf.DUMMYFUNCTION("""COMPUTED_VALUE"""),30445)</f>
        <v>30445</v>
      </c>
      <c r="I33" s="16">
        <f>IFERROR(__xludf.DUMMYFUNCTION("""COMPUTED_VALUE"""),45790.6458333333)</f>
        <v>45790.6458333333</v>
      </c>
      <c r="J33" s="17">
        <f>IFERROR(__xludf.DUMMYFUNCTION("""COMPUTED_VALUE"""),29650)</f>
        <v>29650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IFERROR(__xludf.DUMMYFUNCTION("""COMPUTED_VALUE"""),30620)</f>
        <v>30620</v>
      </c>
      <c r="C34" s="16">
        <f>IFERROR(__xludf.DUMMYFUNCTION("""COMPUTED_VALUE"""),45791.6458333333)</f>
        <v>45791.6458333333</v>
      </c>
      <c r="D34" s="17">
        <f>IFERROR(__xludf.DUMMYFUNCTION("""COMPUTED_VALUE"""),30295)</f>
        <v>30295</v>
      </c>
      <c r="E34" s="16">
        <f>IFERROR(__xludf.DUMMYFUNCTION("""COMPUTED_VALUE"""),45791.6458333333)</f>
        <v>45791.6458333333</v>
      </c>
      <c r="F34" s="17">
        <f>IFERROR(__xludf.DUMMYFUNCTION("""COMPUTED_VALUE"""),98120)</f>
        <v>98120</v>
      </c>
      <c r="G34" s="16">
        <f>IFERROR(__xludf.DUMMYFUNCTION("""COMPUTED_VALUE"""),45791.6458333333)</f>
        <v>45791.6458333333</v>
      </c>
      <c r="H34" s="17">
        <f>IFERROR(__xludf.DUMMYFUNCTION("""COMPUTED_VALUE"""),30910)</f>
        <v>30910</v>
      </c>
      <c r="I34" s="16">
        <f>IFERROR(__xludf.DUMMYFUNCTION("""COMPUTED_VALUE"""),45791.6458333333)</f>
        <v>45791.6458333333</v>
      </c>
      <c r="J34" s="17">
        <f>IFERROR(__xludf.DUMMYFUNCTION("""COMPUTED_VALUE"""),30110)</f>
        <v>30110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IFERROR(__xludf.DUMMYFUNCTION("""COMPUTED_VALUE"""),31400)</f>
        <v>31400</v>
      </c>
      <c r="C35" s="16">
        <f>IFERROR(__xludf.DUMMYFUNCTION("""COMPUTED_VALUE"""),45792.6458333333)</f>
        <v>45792.6458333333</v>
      </c>
      <c r="D35" s="17">
        <f>IFERROR(__xludf.DUMMYFUNCTION("""COMPUTED_VALUE"""),30990)</f>
        <v>30990</v>
      </c>
      <c r="E35" s="16">
        <f>IFERROR(__xludf.DUMMYFUNCTION("""COMPUTED_VALUE"""),45792.6458333333)</f>
        <v>45792.6458333333</v>
      </c>
      <c r="F35" s="17">
        <f>IFERROR(__xludf.DUMMYFUNCTION("""COMPUTED_VALUE"""),172193)</f>
        <v>172193</v>
      </c>
      <c r="G35" s="16">
        <f>IFERROR(__xludf.DUMMYFUNCTION("""COMPUTED_VALUE"""),45792.6458333333)</f>
        <v>45792.6458333333</v>
      </c>
      <c r="H35" s="17">
        <f>IFERROR(__xludf.DUMMYFUNCTION("""COMPUTED_VALUE"""),31835)</f>
        <v>31835</v>
      </c>
      <c r="I35" s="16">
        <f>IFERROR(__xludf.DUMMYFUNCTION("""COMPUTED_VALUE"""),45792.6458333333)</f>
        <v>45792.6458333333</v>
      </c>
      <c r="J35" s="17">
        <f>IFERROR(__xludf.DUMMYFUNCTION("""COMPUTED_VALUE"""),30895)</f>
        <v>30895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IFERROR(__xludf.DUMMYFUNCTION("""COMPUTED_VALUE"""),31615)</f>
        <v>31615</v>
      </c>
      <c r="C36" s="16">
        <f>IFERROR(__xludf.DUMMYFUNCTION("""COMPUTED_VALUE"""),45793.6458333333)</f>
        <v>45793.6458333333</v>
      </c>
      <c r="D36" s="17">
        <f>IFERROR(__xludf.DUMMYFUNCTION("""COMPUTED_VALUE"""),31400)</f>
        <v>31400</v>
      </c>
      <c r="E36" s="16">
        <f>IFERROR(__xludf.DUMMYFUNCTION("""COMPUTED_VALUE"""),45793.6458333333)</f>
        <v>45793.6458333333</v>
      </c>
      <c r="F36" s="17">
        <f>IFERROR(__xludf.DUMMYFUNCTION("""COMPUTED_VALUE"""),34222)</f>
        <v>34222</v>
      </c>
      <c r="G36" s="16">
        <f>IFERROR(__xludf.DUMMYFUNCTION("""COMPUTED_VALUE"""),45793.6458333333)</f>
        <v>45793.6458333333</v>
      </c>
      <c r="H36" s="17">
        <f>IFERROR(__xludf.DUMMYFUNCTION("""COMPUTED_VALUE"""),31720)</f>
        <v>31720</v>
      </c>
      <c r="I36" s="16">
        <f>IFERROR(__xludf.DUMMYFUNCTION("""COMPUTED_VALUE"""),45793.6458333333)</f>
        <v>45793.6458333333</v>
      </c>
      <c r="J36" s="17">
        <f>IFERROR(__xludf.DUMMYFUNCTION("""COMPUTED_VALUE"""),31005)</f>
        <v>31005</v>
      </c>
      <c r="K36" s="3">
        <f t="shared" si="2"/>
        <v>31615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IFERROR(__xludf.DUMMYFUNCTION("""COMPUTED_VALUE"""),31600)</f>
        <v>31600</v>
      </c>
      <c r="C37" s="16">
        <f>IFERROR(__xludf.DUMMYFUNCTION("""COMPUTED_VALUE"""),45796.6458333333)</f>
        <v>45796.6458333333</v>
      </c>
      <c r="D37" s="17">
        <f>IFERROR(__xludf.DUMMYFUNCTION("""COMPUTED_VALUE"""),31615)</f>
        <v>31615</v>
      </c>
      <c r="E37" s="16">
        <f>IFERROR(__xludf.DUMMYFUNCTION("""COMPUTED_VALUE"""),45796.6458333333)</f>
        <v>45796.6458333333</v>
      </c>
      <c r="F37" s="17">
        <f>IFERROR(__xludf.DUMMYFUNCTION("""COMPUTED_VALUE"""),28500)</f>
        <v>28500</v>
      </c>
      <c r="G37" s="16">
        <f>IFERROR(__xludf.DUMMYFUNCTION("""COMPUTED_VALUE"""),45796.6458333333)</f>
        <v>45796.6458333333</v>
      </c>
      <c r="H37" s="17">
        <f>IFERROR(__xludf.DUMMYFUNCTION("""COMPUTED_VALUE"""),31650)</f>
        <v>31650</v>
      </c>
      <c r="I37" s="16">
        <f>IFERROR(__xludf.DUMMYFUNCTION("""COMPUTED_VALUE"""),45796.6458333333)</f>
        <v>45796.6458333333</v>
      </c>
      <c r="J37" s="17">
        <f>IFERROR(__xludf.DUMMYFUNCTION("""COMPUTED_VALUE"""),31190)</f>
        <v>31190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IFERROR(__xludf.DUMMYFUNCTION("""COMPUTED_VALUE"""),31525)</f>
        <v>31525</v>
      </c>
      <c r="C38" s="16">
        <f>IFERROR(__xludf.DUMMYFUNCTION("""COMPUTED_VALUE"""),45797.6458333333)</f>
        <v>45797.6458333333</v>
      </c>
      <c r="D38" s="17">
        <f>IFERROR(__xludf.DUMMYFUNCTION("""COMPUTED_VALUE"""),31310)</f>
        <v>31310</v>
      </c>
      <c r="E38" s="16">
        <f>IFERROR(__xludf.DUMMYFUNCTION("""COMPUTED_VALUE"""),45797.6458333333)</f>
        <v>45797.6458333333</v>
      </c>
      <c r="F38" s="17">
        <f>IFERROR(__xludf.DUMMYFUNCTION("""COMPUTED_VALUE"""),29706)</f>
        <v>29706</v>
      </c>
      <c r="G38" s="16">
        <f>IFERROR(__xludf.DUMMYFUNCTION("""COMPUTED_VALUE"""),45797.6458333333)</f>
        <v>45797.6458333333</v>
      </c>
      <c r="H38" s="17">
        <f>IFERROR(__xludf.DUMMYFUNCTION("""COMPUTED_VALUE"""),31920)</f>
        <v>31920</v>
      </c>
      <c r="I38" s="16">
        <f>IFERROR(__xludf.DUMMYFUNCTION("""COMPUTED_VALUE"""),45797.6458333333)</f>
        <v>45797.6458333333</v>
      </c>
      <c r="J38" s="17">
        <f>IFERROR(__xludf.DUMMYFUNCTION("""COMPUTED_VALUE"""),31310)</f>
        <v>31310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IFERROR(__xludf.DUMMYFUNCTION("""COMPUTED_VALUE"""),31490)</f>
        <v>31490</v>
      </c>
      <c r="C39" s="16">
        <f>IFERROR(__xludf.DUMMYFUNCTION("""COMPUTED_VALUE"""),45798.6458333333)</f>
        <v>45798.6458333333</v>
      </c>
      <c r="D39" s="17">
        <f>IFERROR(__xludf.DUMMYFUNCTION("""COMPUTED_VALUE"""),31500)</f>
        <v>31500</v>
      </c>
      <c r="E39" s="16">
        <f>IFERROR(__xludf.DUMMYFUNCTION("""COMPUTED_VALUE"""),45798.6458333333)</f>
        <v>45798.6458333333</v>
      </c>
      <c r="F39" s="17">
        <f>IFERROR(__xludf.DUMMYFUNCTION("""COMPUTED_VALUE"""),31519)</f>
        <v>31519</v>
      </c>
      <c r="G39" s="16">
        <f>IFERROR(__xludf.DUMMYFUNCTION("""COMPUTED_VALUE"""),45798.6458333333)</f>
        <v>45798.6458333333</v>
      </c>
      <c r="H39" s="17">
        <f>IFERROR(__xludf.DUMMYFUNCTION("""COMPUTED_VALUE"""),31800)</f>
        <v>31800</v>
      </c>
      <c r="I39" s="16">
        <f>IFERROR(__xludf.DUMMYFUNCTION("""COMPUTED_VALUE"""),45798.6458333333)</f>
        <v>45798.6458333333</v>
      </c>
      <c r="J39" s="17">
        <f>IFERROR(__xludf.DUMMYFUNCTION("""COMPUTED_VALUE"""),31385)</f>
        <v>31385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IFERROR(__xludf.DUMMYFUNCTION("""COMPUTED_VALUE"""),31410)</f>
        <v>31410</v>
      </c>
      <c r="C40" s="16">
        <f>IFERROR(__xludf.DUMMYFUNCTION("""COMPUTED_VALUE"""),45799.6458333333)</f>
        <v>45799.6458333333</v>
      </c>
      <c r="D40" s="17">
        <f>IFERROR(__xludf.DUMMYFUNCTION("""COMPUTED_VALUE"""),31490)</f>
        <v>31490</v>
      </c>
      <c r="E40" s="16">
        <f>IFERROR(__xludf.DUMMYFUNCTION("""COMPUTED_VALUE"""),45799.6458333333)</f>
        <v>45799.6458333333</v>
      </c>
      <c r="F40" s="17">
        <f>IFERROR(__xludf.DUMMYFUNCTION("""COMPUTED_VALUE"""),34673)</f>
        <v>34673</v>
      </c>
      <c r="G40" s="16">
        <f>IFERROR(__xludf.DUMMYFUNCTION("""COMPUTED_VALUE"""),45799.6458333333)</f>
        <v>45799.6458333333</v>
      </c>
      <c r="H40" s="17">
        <f>IFERROR(__xludf.DUMMYFUNCTION("""COMPUTED_VALUE"""),31650)</f>
        <v>31650</v>
      </c>
      <c r="I40" s="16">
        <f>IFERROR(__xludf.DUMMYFUNCTION("""COMPUTED_VALUE"""),45799.6458333333)</f>
        <v>45799.6458333333</v>
      </c>
      <c r="J40" s="17">
        <f>IFERROR(__xludf.DUMMYFUNCTION("""COMPUTED_VALUE"""),31305)</f>
        <v>31305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IFERROR(__xludf.DUMMYFUNCTION("""COMPUTED_VALUE"""),31495)</f>
        <v>31495</v>
      </c>
      <c r="C41" s="16">
        <f>IFERROR(__xludf.DUMMYFUNCTION("""COMPUTED_VALUE"""),45800.6458333333)</f>
        <v>45800.6458333333</v>
      </c>
      <c r="D41" s="17">
        <f>IFERROR(__xludf.DUMMYFUNCTION("""COMPUTED_VALUE"""),31430)</f>
        <v>31430</v>
      </c>
      <c r="E41" s="16">
        <f>IFERROR(__xludf.DUMMYFUNCTION("""COMPUTED_VALUE"""),45800.6458333333)</f>
        <v>45800.6458333333</v>
      </c>
      <c r="F41" s="17">
        <f>IFERROR(__xludf.DUMMYFUNCTION("""COMPUTED_VALUE"""),19027)</f>
        <v>19027</v>
      </c>
      <c r="G41" s="16">
        <f>IFERROR(__xludf.DUMMYFUNCTION("""COMPUTED_VALUE"""),45800.6458333333)</f>
        <v>45800.6458333333</v>
      </c>
      <c r="H41" s="17">
        <f>IFERROR(__xludf.DUMMYFUNCTION("""COMPUTED_VALUE"""),31820)</f>
        <v>31820</v>
      </c>
      <c r="I41" s="16">
        <f>IFERROR(__xludf.DUMMYFUNCTION("""COMPUTED_VALUE"""),45800.6458333333)</f>
        <v>45800.6458333333</v>
      </c>
      <c r="J41" s="17">
        <f>IFERROR(__xludf.DUMMYFUNCTION("""COMPUTED_VALUE"""),31390)</f>
        <v>31390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IFERROR(__xludf.DUMMYFUNCTION("""COMPUTED_VALUE"""),31100)</f>
        <v>31100</v>
      </c>
      <c r="C42" s="16">
        <f>IFERROR(__xludf.DUMMYFUNCTION("""COMPUTED_VALUE"""),45803.6458333333)</f>
        <v>45803.6458333333</v>
      </c>
      <c r="D42" s="17">
        <f>IFERROR(__xludf.DUMMYFUNCTION("""COMPUTED_VALUE"""),31495)</f>
        <v>31495</v>
      </c>
      <c r="E42" s="16">
        <f>IFERROR(__xludf.DUMMYFUNCTION("""COMPUTED_VALUE"""),45803.6458333333)</f>
        <v>45803.6458333333</v>
      </c>
      <c r="F42" s="17">
        <f>IFERROR(__xludf.DUMMYFUNCTION("""COMPUTED_VALUE"""),15503)</f>
        <v>15503</v>
      </c>
      <c r="G42" s="16">
        <f>IFERROR(__xludf.DUMMYFUNCTION("""COMPUTED_VALUE"""),45803.6458333333)</f>
        <v>45803.6458333333</v>
      </c>
      <c r="H42" s="17">
        <f>IFERROR(__xludf.DUMMYFUNCTION("""COMPUTED_VALUE"""),31695)</f>
        <v>31695</v>
      </c>
      <c r="I42" s="16">
        <f>IFERROR(__xludf.DUMMYFUNCTION("""COMPUTED_VALUE"""),45803.6458333333)</f>
        <v>45803.6458333333</v>
      </c>
      <c r="J42" s="17">
        <f>IFERROR(__xludf.DUMMYFUNCTION("""COMPUTED_VALUE"""),31000)</f>
        <v>31000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IFERROR(__xludf.DUMMYFUNCTION("""COMPUTED_VALUE"""),30950)</f>
        <v>30950</v>
      </c>
      <c r="C43" s="16">
        <f>IFERROR(__xludf.DUMMYFUNCTION("""COMPUTED_VALUE"""),45804.6458333333)</f>
        <v>45804.6458333333</v>
      </c>
      <c r="D43" s="17">
        <f>IFERROR(__xludf.DUMMYFUNCTION("""COMPUTED_VALUE"""),31330)</f>
        <v>31330</v>
      </c>
      <c r="E43" s="16">
        <f>IFERROR(__xludf.DUMMYFUNCTION("""COMPUTED_VALUE"""),45804.6458333333)</f>
        <v>45804.6458333333</v>
      </c>
      <c r="F43" s="17">
        <f>IFERROR(__xludf.DUMMYFUNCTION("""COMPUTED_VALUE"""),37923)</f>
        <v>37923</v>
      </c>
      <c r="G43" s="16">
        <f>IFERROR(__xludf.DUMMYFUNCTION("""COMPUTED_VALUE"""),45804.6458333333)</f>
        <v>45804.6458333333</v>
      </c>
      <c r="H43" s="17">
        <f>IFERROR(__xludf.DUMMYFUNCTION("""COMPUTED_VALUE"""),31330)</f>
        <v>31330</v>
      </c>
      <c r="I43" s="16">
        <f>IFERROR(__xludf.DUMMYFUNCTION("""COMPUTED_VALUE"""),45804.6458333333)</f>
        <v>45804.6458333333</v>
      </c>
      <c r="J43" s="17">
        <f>IFERROR(__xludf.DUMMYFUNCTION("""COMPUTED_VALUE"""),30760)</f>
        <v>30760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IFERROR(__xludf.DUMMYFUNCTION("""COMPUTED_VALUE"""),29895)</f>
        <v>29895</v>
      </c>
      <c r="C44" s="16">
        <f>IFERROR(__xludf.DUMMYFUNCTION("""COMPUTED_VALUE"""),45805.6458333333)</f>
        <v>45805.6458333333</v>
      </c>
      <c r="D44" s="17">
        <f>IFERROR(__xludf.DUMMYFUNCTION("""COMPUTED_VALUE"""),31230)</f>
        <v>31230</v>
      </c>
      <c r="E44" s="16">
        <f>IFERROR(__xludf.DUMMYFUNCTION("""COMPUTED_VALUE"""),45805.6458333333)</f>
        <v>45805.6458333333</v>
      </c>
      <c r="F44" s="17">
        <f>IFERROR(__xludf.DUMMYFUNCTION("""COMPUTED_VALUE"""),34686)</f>
        <v>34686</v>
      </c>
      <c r="G44" s="16">
        <f>IFERROR(__xludf.DUMMYFUNCTION("""COMPUTED_VALUE"""),45805.6458333333)</f>
        <v>45805.6458333333</v>
      </c>
      <c r="H44" s="17">
        <f>IFERROR(__xludf.DUMMYFUNCTION("""COMPUTED_VALUE"""),31230)</f>
        <v>31230</v>
      </c>
      <c r="I44" s="16">
        <f>IFERROR(__xludf.DUMMYFUNCTION("""COMPUTED_VALUE"""),45805.6458333333)</f>
        <v>45805.6458333333</v>
      </c>
      <c r="J44" s="17">
        <f>IFERROR(__xludf.DUMMYFUNCTION("""COMPUTED_VALUE"""),29825)</f>
        <v>29825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IFERROR(__xludf.DUMMYFUNCTION("""COMPUTED_VALUE"""),29915)</f>
        <v>29915</v>
      </c>
      <c r="C45" s="16">
        <f>IFERROR(__xludf.DUMMYFUNCTION("""COMPUTED_VALUE"""),45806.6458333333)</f>
        <v>45806.6458333333</v>
      </c>
      <c r="D45" s="17">
        <f>IFERROR(__xludf.DUMMYFUNCTION("""COMPUTED_VALUE"""),29900)</f>
        <v>29900</v>
      </c>
      <c r="E45" s="16">
        <f>IFERROR(__xludf.DUMMYFUNCTION("""COMPUTED_VALUE"""),45806.6458333333)</f>
        <v>45806.6458333333</v>
      </c>
      <c r="F45" s="17">
        <f>IFERROR(__xludf.DUMMYFUNCTION("""COMPUTED_VALUE"""),50069)</f>
        <v>50069</v>
      </c>
      <c r="G45" s="16">
        <f>IFERROR(__xludf.DUMMYFUNCTION("""COMPUTED_VALUE"""),45806.6458333333)</f>
        <v>45806.6458333333</v>
      </c>
      <c r="H45" s="17">
        <f>IFERROR(__xludf.DUMMYFUNCTION("""COMPUTED_VALUE"""),30020)</f>
        <v>30020</v>
      </c>
      <c r="I45" s="16">
        <f>IFERROR(__xludf.DUMMYFUNCTION("""COMPUTED_VALUE"""),45806.6458333333)</f>
        <v>45806.6458333333</v>
      </c>
      <c r="J45" s="17">
        <f>IFERROR(__xludf.DUMMYFUNCTION("""COMPUTED_VALUE"""),29615)</f>
        <v>29615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IFERROR(__xludf.DUMMYFUNCTION("""COMPUTED_VALUE"""),29595)</f>
        <v>29595</v>
      </c>
      <c r="C46" s="16">
        <f>IFERROR(__xludf.DUMMYFUNCTION("""COMPUTED_VALUE"""),45807.6458333333)</f>
        <v>45807.6458333333</v>
      </c>
      <c r="D46" s="17">
        <f>IFERROR(__xludf.DUMMYFUNCTION("""COMPUTED_VALUE"""),29950)</f>
        <v>29950</v>
      </c>
      <c r="E46" s="16">
        <f>IFERROR(__xludf.DUMMYFUNCTION("""COMPUTED_VALUE"""),45807.6458333333)</f>
        <v>45807.6458333333</v>
      </c>
      <c r="F46" s="17">
        <f>IFERROR(__xludf.DUMMYFUNCTION("""COMPUTED_VALUE"""),65782)</f>
        <v>65782</v>
      </c>
      <c r="G46" s="16">
        <f>IFERROR(__xludf.DUMMYFUNCTION("""COMPUTED_VALUE"""),45807.6458333333)</f>
        <v>45807.6458333333</v>
      </c>
      <c r="H46" s="17">
        <f>IFERROR(__xludf.DUMMYFUNCTION("""COMPUTED_VALUE"""),30075)</f>
        <v>30075</v>
      </c>
      <c r="I46" s="16">
        <f>IFERROR(__xludf.DUMMYFUNCTION("""COMPUTED_VALUE"""),45807.6458333333)</f>
        <v>45807.6458333333</v>
      </c>
      <c r="J46" s="17">
        <f>IFERROR(__xludf.DUMMYFUNCTION("""COMPUTED_VALUE"""),29480)</f>
        <v>29480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IFERROR(__xludf.DUMMYFUNCTION("""COMPUTED_VALUE"""),29410)</f>
        <v>29410</v>
      </c>
      <c r="C47" s="16">
        <f>IFERROR(__xludf.DUMMYFUNCTION("""COMPUTED_VALUE"""),45810.6458333333)</f>
        <v>45810.6458333333</v>
      </c>
      <c r="D47" s="17">
        <f>IFERROR(__xludf.DUMMYFUNCTION("""COMPUTED_VALUE"""),29785)</f>
        <v>29785</v>
      </c>
      <c r="E47" s="16">
        <f>IFERROR(__xludf.DUMMYFUNCTION("""COMPUTED_VALUE"""),45810.6458333333)</f>
        <v>45810.6458333333</v>
      </c>
      <c r="F47" s="17">
        <f>IFERROR(__xludf.DUMMYFUNCTION("""COMPUTED_VALUE"""),25260)</f>
        <v>25260</v>
      </c>
      <c r="G47" s="16">
        <f>IFERROR(__xludf.DUMMYFUNCTION("""COMPUTED_VALUE"""),45810.6458333333)</f>
        <v>45810.6458333333</v>
      </c>
      <c r="H47" s="17">
        <f>IFERROR(__xludf.DUMMYFUNCTION("""COMPUTED_VALUE"""),29785)</f>
        <v>29785</v>
      </c>
      <c r="I47" s="16">
        <f>IFERROR(__xludf.DUMMYFUNCTION("""COMPUTED_VALUE"""),45810.6458333333)</f>
        <v>45810.6458333333</v>
      </c>
      <c r="J47" s="17">
        <f>IFERROR(__xludf.DUMMYFUNCTION("""COMPUTED_VALUE"""),29190)</f>
        <v>29190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IFERROR(__xludf.DUMMYFUNCTION("""COMPUTED_VALUE"""),29375)</f>
        <v>29375</v>
      </c>
      <c r="C48" s="16">
        <f>IFERROR(__xludf.DUMMYFUNCTION("""COMPUTED_VALUE"""),45811.6458333333)</f>
        <v>45811.6458333333</v>
      </c>
      <c r="D48" s="17">
        <f>IFERROR(__xludf.DUMMYFUNCTION("""COMPUTED_VALUE"""),29400)</f>
        <v>29400</v>
      </c>
      <c r="E48" s="16">
        <f>IFERROR(__xludf.DUMMYFUNCTION("""COMPUTED_VALUE"""),45811.6458333333)</f>
        <v>45811.6458333333</v>
      </c>
      <c r="F48" s="17">
        <f>IFERROR(__xludf.DUMMYFUNCTION("""COMPUTED_VALUE"""),26184)</f>
        <v>26184</v>
      </c>
      <c r="G48" s="16">
        <f>IFERROR(__xludf.DUMMYFUNCTION("""COMPUTED_VALUE"""),45811.6458333333)</f>
        <v>45811.6458333333</v>
      </c>
      <c r="H48" s="17">
        <f>IFERROR(__xludf.DUMMYFUNCTION("""COMPUTED_VALUE"""),29635)</f>
        <v>29635</v>
      </c>
      <c r="I48" s="16">
        <f>IFERROR(__xludf.DUMMYFUNCTION("""COMPUTED_VALUE"""),45811.6458333333)</f>
        <v>45811.6458333333</v>
      </c>
      <c r="J48" s="17">
        <f>IFERROR(__xludf.DUMMYFUNCTION("""COMPUTED_VALUE"""),29250)</f>
        <v>29250</v>
      </c>
      <c r="K48" s="3">
        <f t="shared" si="2"/>
        <v>0</v>
      </c>
      <c r="L48" s="3">
        <f t="shared" si="3"/>
        <v>29375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IFERROR(__xludf.DUMMYFUNCTION("""COMPUTED_VALUE"""),29440)</f>
        <v>29440</v>
      </c>
      <c r="C49" s="16">
        <f>IFERROR(__xludf.DUMMYFUNCTION("""COMPUTED_VALUE"""),45812.6458333333)</f>
        <v>45812.6458333333</v>
      </c>
      <c r="D49" s="17">
        <f>IFERROR(__xludf.DUMMYFUNCTION("""COMPUTED_VALUE"""),29350)</f>
        <v>29350</v>
      </c>
      <c r="E49" s="16">
        <f>IFERROR(__xludf.DUMMYFUNCTION("""COMPUTED_VALUE"""),45812.6458333333)</f>
        <v>45812.6458333333</v>
      </c>
      <c r="F49" s="17">
        <f>IFERROR(__xludf.DUMMYFUNCTION("""COMPUTED_VALUE"""),16028)</f>
        <v>16028</v>
      </c>
      <c r="G49" s="16">
        <f>IFERROR(__xludf.DUMMYFUNCTION("""COMPUTED_VALUE"""),45812.6458333333)</f>
        <v>45812.6458333333</v>
      </c>
      <c r="H49" s="17">
        <f>IFERROR(__xludf.DUMMYFUNCTION("""COMPUTED_VALUE"""),29700)</f>
        <v>29700</v>
      </c>
      <c r="I49" s="16">
        <f>IFERROR(__xludf.DUMMYFUNCTION("""COMPUTED_VALUE"""),45812.6458333333)</f>
        <v>45812.6458333333</v>
      </c>
      <c r="J49" s="17">
        <f>IFERROR(__xludf.DUMMYFUNCTION("""COMPUTED_VALUE"""),29215)</f>
        <v>29215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IFERROR(__xludf.DUMMYFUNCTION("""COMPUTED_VALUE"""),29515)</f>
        <v>29515</v>
      </c>
      <c r="C50" s="16">
        <f>IFERROR(__xludf.DUMMYFUNCTION("""COMPUTED_VALUE"""),45813.6458333333)</f>
        <v>45813.6458333333</v>
      </c>
      <c r="D50" s="17">
        <f>IFERROR(__xludf.DUMMYFUNCTION("""COMPUTED_VALUE"""),29460)</f>
        <v>29460</v>
      </c>
      <c r="E50" s="16">
        <f>IFERROR(__xludf.DUMMYFUNCTION("""COMPUTED_VALUE"""),45813.6458333333)</f>
        <v>45813.6458333333</v>
      </c>
      <c r="F50" s="17">
        <f>IFERROR(__xludf.DUMMYFUNCTION("""COMPUTED_VALUE"""),27504)</f>
        <v>27504</v>
      </c>
      <c r="G50" s="16">
        <f>IFERROR(__xludf.DUMMYFUNCTION("""COMPUTED_VALUE"""),45813.6458333333)</f>
        <v>45813.6458333333</v>
      </c>
      <c r="H50" s="17">
        <f>IFERROR(__xludf.DUMMYFUNCTION("""COMPUTED_VALUE"""),29615)</f>
        <v>29615</v>
      </c>
      <c r="I50" s="16">
        <f>IFERROR(__xludf.DUMMYFUNCTION("""COMPUTED_VALUE"""),45813.6458333333)</f>
        <v>45813.6458333333</v>
      </c>
      <c r="J50" s="17">
        <f>IFERROR(__xludf.DUMMYFUNCTION("""COMPUTED_VALUE"""),29340)</f>
        <v>29340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IFERROR(__xludf.DUMMYFUNCTION("""COMPUTED_VALUE"""),29600)</f>
        <v>29600</v>
      </c>
      <c r="C51" s="16">
        <f>IFERROR(__xludf.DUMMYFUNCTION("""COMPUTED_VALUE"""),45814.6458333333)</f>
        <v>45814.6458333333</v>
      </c>
      <c r="D51" s="17">
        <f>IFERROR(__xludf.DUMMYFUNCTION("""COMPUTED_VALUE"""),29695)</f>
        <v>29695</v>
      </c>
      <c r="E51" s="16">
        <f>IFERROR(__xludf.DUMMYFUNCTION("""COMPUTED_VALUE"""),45814.6458333333)</f>
        <v>45814.6458333333</v>
      </c>
      <c r="F51" s="17">
        <f>IFERROR(__xludf.DUMMYFUNCTION("""COMPUTED_VALUE"""),28546)</f>
        <v>28546</v>
      </c>
      <c r="G51" s="16">
        <f>IFERROR(__xludf.DUMMYFUNCTION("""COMPUTED_VALUE"""),45814.6458333333)</f>
        <v>45814.6458333333</v>
      </c>
      <c r="H51" s="17">
        <f>IFERROR(__xludf.DUMMYFUNCTION("""COMPUTED_VALUE"""),29840)</f>
        <v>29840</v>
      </c>
      <c r="I51" s="16">
        <f>IFERROR(__xludf.DUMMYFUNCTION("""COMPUTED_VALUE"""),45814.6458333333)</f>
        <v>45814.6458333333</v>
      </c>
      <c r="J51" s="17">
        <f>IFERROR(__xludf.DUMMYFUNCTION("""COMPUTED_VALUE"""),29450)</f>
        <v>29450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IFERROR(__xludf.DUMMYFUNCTION("""COMPUTED_VALUE"""),29825)</f>
        <v>29825</v>
      </c>
      <c r="C52" s="16">
        <f>IFERROR(__xludf.DUMMYFUNCTION("""COMPUTED_VALUE"""),45817.6458333333)</f>
        <v>45817.6458333333</v>
      </c>
      <c r="D52" s="17">
        <f>IFERROR(__xludf.DUMMYFUNCTION("""COMPUTED_VALUE"""),29700)</f>
        <v>29700</v>
      </c>
      <c r="E52" s="16">
        <f>IFERROR(__xludf.DUMMYFUNCTION("""COMPUTED_VALUE"""),45817.6458333333)</f>
        <v>45817.6458333333</v>
      </c>
      <c r="F52" s="17">
        <f>IFERROR(__xludf.DUMMYFUNCTION("""COMPUTED_VALUE"""),26404)</f>
        <v>26404</v>
      </c>
      <c r="G52" s="16">
        <f>IFERROR(__xludf.DUMMYFUNCTION("""COMPUTED_VALUE"""),45817.6458333333)</f>
        <v>45817.6458333333</v>
      </c>
      <c r="H52" s="17">
        <f>IFERROR(__xludf.DUMMYFUNCTION("""COMPUTED_VALUE"""),29890)</f>
        <v>29890</v>
      </c>
      <c r="I52" s="16">
        <f>IFERROR(__xludf.DUMMYFUNCTION("""COMPUTED_VALUE"""),45817.6458333333)</f>
        <v>45817.6458333333</v>
      </c>
      <c r="J52" s="17">
        <f>IFERROR(__xludf.DUMMYFUNCTION("""COMPUTED_VALUE"""),29345)</f>
        <v>29345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IFERROR(__xludf.DUMMYFUNCTION("""COMPUTED_VALUE"""),29825)</f>
        <v>29825</v>
      </c>
      <c r="C53" s="16">
        <f>IFERROR(__xludf.DUMMYFUNCTION("""COMPUTED_VALUE"""),45818.6458333333)</f>
        <v>45818.6458333333</v>
      </c>
      <c r="D53" s="17">
        <f>IFERROR(__xludf.DUMMYFUNCTION("""COMPUTED_VALUE"""),30000)</f>
        <v>30000</v>
      </c>
      <c r="E53" s="16">
        <f>IFERROR(__xludf.DUMMYFUNCTION("""COMPUTED_VALUE"""),45818.6458333333)</f>
        <v>45818.6458333333</v>
      </c>
      <c r="F53" s="17">
        <f>IFERROR(__xludf.DUMMYFUNCTION("""COMPUTED_VALUE"""),22926)</f>
        <v>22926</v>
      </c>
      <c r="G53" s="16">
        <f>IFERROR(__xludf.DUMMYFUNCTION("""COMPUTED_VALUE"""),45818.6458333333)</f>
        <v>45818.6458333333</v>
      </c>
      <c r="H53" s="17">
        <f>IFERROR(__xludf.DUMMYFUNCTION("""COMPUTED_VALUE"""),30145)</f>
        <v>30145</v>
      </c>
      <c r="I53" s="16">
        <f>IFERROR(__xludf.DUMMYFUNCTION("""COMPUTED_VALUE"""),45818.6458333333)</f>
        <v>45818.6458333333</v>
      </c>
      <c r="J53" s="17">
        <f>IFERROR(__xludf.DUMMYFUNCTION("""COMPUTED_VALUE"""),29735)</f>
        <v>29735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IFERROR(__xludf.DUMMYFUNCTION("""COMPUTED_VALUE"""),29830)</f>
        <v>29830</v>
      </c>
      <c r="C54" s="16">
        <f>IFERROR(__xludf.DUMMYFUNCTION("""COMPUTED_VALUE"""),45819.6458333333)</f>
        <v>45819.6458333333</v>
      </c>
      <c r="D54" s="17">
        <f>IFERROR(__xludf.DUMMYFUNCTION("""COMPUTED_VALUE"""),29950)</f>
        <v>29950</v>
      </c>
      <c r="E54" s="16">
        <f>IFERROR(__xludf.DUMMYFUNCTION("""COMPUTED_VALUE"""),45819.6458333333)</f>
        <v>45819.6458333333</v>
      </c>
      <c r="F54" s="17">
        <f>IFERROR(__xludf.DUMMYFUNCTION("""COMPUTED_VALUE"""),35659)</f>
        <v>35659</v>
      </c>
      <c r="G54" s="16">
        <f>IFERROR(__xludf.DUMMYFUNCTION("""COMPUTED_VALUE"""),45819.6458333333)</f>
        <v>45819.6458333333</v>
      </c>
      <c r="H54" s="17">
        <f>IFERROR(__xludf.DUMMYFUNCTION("""COMPUTED_VALUE"""),30200)</f>
        <v>30200</v>
      </c>
      <c r="I54" s="16">
        <f>IFERROR(__xludf.DUMMYFUNCTION("""COMPUTED_VALUE"""),45819.6458333333)</f>
        <v>45819.6458333333</v>
      </c>
      <c r="J54" s="17">
        <f>IFERROR(__xludf.DUMMYFUNCTION("""COMPUTED_VALUE"""),29655)</f>
        <v>29655</v>
      </c>
      <c r="K54" s="3">
        <f t="shared" si="2"/>
        <v>29830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IFERROR(__xludf.DUMMYFUNCTION("""COMPUTED_VALUE"""),29690)</f>
        <v>29690</v>
      </c>
      <c r="C55" s="16">
        <f>IFERROR(__xludf.DUMMYFUNCTION("""COMPUTED_VALUE"""),45820.6458333333)</f>
        <v>45820.6458333333</v>
      </c>
      <c r="D55" s="17">
        <f>IFERROR(__xludf.DUMMYFUNCTION("""COMPUTED_VALUE"""),29985)</f>
        <v>29985</v>
      </c>
      <c r="E55" s="16">
        <f>IFERROR(__xludf.DUMMYFUNCTION("""COMPUTED_VALUE"""),45820.6458333333)</f>
        <v>45820.6458333333</v>
      </c>
      <c r="F55" s="17">
        <f>IFERROR(__xludf.DUMMYFUNCTION("""COMPUTED_VALUE"""),36013)</f>
        <v>36013</v>
      </c>
      <c r="G55" s="16">
        <f>IFERROR(__xludf.DUMMYFUNCTION("""COMPUTED_VALUE"""),45820.6458333333)</f>
        <v>45820.6458333333</v>
      </c>
      <c r="H55" s="17">
        <f>IFERROR(__xludf.DUMMYFUNCTION("""COMPUTED_VALUE"""),30045)</f>
        <v>30045</v>
      </c>
      <c r="I55" s="16">
        <f>IFERROR(__xludf.DUMMYFUNCTION("""COMPUTED_VALUE"""),45820.6458333333)</f>
        <v>45820.6458333333</v>
      </c>
      <c r="J55" s="17">
        <f>IFERROR(__xludf.DUMMYFUNCTION("""COMPUTED_VALUE"""),29530)</f>
        <v>29530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IFERROR(__xludf.DUMMYFUNCTION("""COMPUTED_VALUE"""),29610)</f>
        <v>29610</v>
      </c>
      <c r="C56" s="16">
        <f>IFERROR(__xludf.DUMMYFUNCTION("""COMPUTED_VALUE"""),45821.6458333333)</f>
        <v>45821.6458333333</v>
      </c>
      <c r="D56" s="17">
        <f>IFERROR(__xludf.DUMMYFUNCTION("""COMPUTED_VALUE"""),29590)</f>
        <v>29590</v>
      </c>
      <c r="E56" s="16">
        <f>IFERROR(__xludf.DUMMYFUNCTION("""COMPUTED_VALUE"""),45821.6458333333)</f>
        <v>45821.6458333333</v>
      </c>
      <c r="F56" s="17">
        <f>IFERROR(__xludf.DUMMYFUNCTION("""COMPUTED_VALUE"""),16460)</f>
        <v>16460</v>
      </c>
      <c r="G56" s="16">
        <f>IFERROR(__xludf.DUMMYFUNCTION("""COMPUTED_VALUE"""),45821.6458333333)</f>
        <v>45821.6458333333</v>
      </c>
      <c r="H56" s="17">
        <f>IFERROR(__xludf.DUMMYFUNCTION("""COMPUTED_VALUE"""),29695)</f>
        <v>29695</v>
      </c>
      <c r="I56" s="16">
        <f>IFERROR(__xludf.DUMMYFUNCTION("""COMPUTED_VALUE"""),45821.6458333333)</f>
        <v>45821.6458333333</v>
      </c>
      <c r="J56" s="17">
        <f>IFERROR(__xludf.DUMMYFUNCTION("""COMPUTED_VALUE"""),29240)</f>
        <v>29240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IFERROR(__xludf.DUMMYFUNCTION("""COMPUTED_VALUE"""),29805)</f>
        <v>29805</v>
      </c>
      <c r="C57" s="16">
        <f>IFERROR(__xludf.DUMMYFUNCTION("""COMPUTED_VALUE"""),45824.6458333333)</f>
        <v>45824.6458333333</v>
      </c>
      <c r="D57" s="17">
        <f>IFERROR(__xludf.DUMMYFUNCTION("""COMPUTED_VALUE"""),29700)</f>
        <v>29700</v>
      </c>
      <c r="E57" s="16">
        <f>IFERROR(__xludf.DUMMYFUNCTION("""COMPUTED_VALUE"""),45824.6458333333)</f>
        <v>45824.6458333333</v>
      </c>
      <c r="F57" s="17">
        <f>IFERROR(__xludf.DUMMYFUNCTION("""COMPUTED_VALUE"""),19409)</f>
        <v>19409</v>
      </c>
      <c r="G57" s="16">
        <f>IFERROR(__xludf.DUMMYFUNCTION("""COMPUTED_VALUE"""),45824.6458333333)</f>
        <v>45824.6458333333</v>
      </c>
      <c r="H57" s="17">
        <f>IFERROR(__xludf.DUMMYFUNCTION("""COMPUTED_VALUE"""),29905)</f>
        <v>29905</v>
      </c>
      <c r="I57" s="16">
        <f>IFERROR(__xludf.DUMMYFUNCTION("""COMPUTED_VALUE"""),45824.6458333333)</f>
        <v>45824.6458333333</v>
      </c>
      <c r="J57" s="17">
        <f>IFERROR(__xludf.DUMMYFUNCTION("""COMPUTED_VALUE"""),29545)</f>
        <v>29545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IFERROR(__xludf.DUMMYFUNCTION("""COMPUTED_VALUE"""),29620)</f>
        <v>29620</v>
      </c>
      <c r="C58" s="16">
        <f>IFERROR(__xludf.DUMMYFUNCTION("""COMPUTED_VALUE"""),45825.6458333333)</f>
        <v>45825.6458333333</v>
      </c>
      <c r="D58" s="17">
        <f>IFERROR(__xludf.DUMMYFUNCTION("""COMPUTED_VALUE"""),29850)</f>
        <v>29850</v>
      </c>
      <c r="E58" s="16">
        <f>IFERROR(__xludf.DUMMYFUNCTION("""COMPUTED_VALUE"""),45825.6458333333)</f>
        <v>45825.6458333333</v>
      </c>
      <c r="F58" s="17">
        <f>IFERROR(__xludf.DUMMYFUNCTION("""COMPUTED_VALUE"""),17595)</f>
        <v>17595</v>
      </c>
      <c r="G58" s="16">
        <f>IFERROR(__xludf.DUMMYFUNCTION("""COMPUTED_VALUE"""),45825.6458333333)</f>
        <v>45825.6458333333</v>
      </c>
      <c r="H58" s="17">
        <f>IFERROR(__xludf.DUMMYFUNCTION("""COMPUTED_VALUE"""),29900)</f>
        <v>29900</v>
      </c>
      <c r="I58" s="16">
        <f>IFERROR(__xludf.DUMMYFUNCTION("""COMPUTED_VALUE"""),45825.6458333333)</f>
        <v>45825.6458333333</v>
      </c>
      <c r="J58" s="17">
        <f>IFERROR(__xludf.DUMMYFUNCTION("""COMPUTED_VALUE"""),29505)</f>
        <v>29505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IFERROR(__xludf.DUMMYFUNCTION("""COMPUTED_VALUE"""),29305)</f>
        <v>29305</v>
      </c>
      <c r="C59" s="16">
        <f>IFERROR(__xludf.DUMMYFUNCTION("""COMPUTED_VALUE"""),45826.6458333333)</f>
        <v>45826.6458333333</v>
      </c>
      <c r="D59" s="17">
        <f>IFERROR(__xludf.DUMMYFUNCTION("""COMPUTED_VALUE"""),29780)</f>
        <v>29780</v>
      </c>
      <c r="E59" s="16">
        <f>IFERROR(__xludf.DUMMYFUNCTION("""COMPUTED_VALUE"""),45826.6458333333)</f>
        <v>45826.6458333333</v>
      </c>
      <c r="F59" s="17">
        <f>IFERROR(__xludf.DUMMYFUNCTION("""COMPUTED_VALUE"""),13011)</f>
        <v>13011</v>
      </c>
      <c r="G59" s="16">
        <f>IFERROR(__xludf.DUMMYFUNCTION("""COMPUTED_VALUE"""),45826.6458333333)</f>
        <v>45826.6458333333</v>
      </c>
      <c r="H59" s="17">
        <f>IFERROR(__xludf.DUMMYFUNCTION("""COMPUTED_VALUE"""),29780)</f>
        <v>29780</v>
      </c>
      <c r="I59" s="16">
        <f>IFERROR(__xludf.DUMMYFUNCTION("""COMPUTED_VALUE"""),45826.6458333333)</f>
        <v>45826.6458333333</v>
      </c>
      <c r="J59" s="17">
        <f>IFERROR(__xludf.DUMMYFUNCTION("""COMPUTED_VALUE"""),29225)</f>
        <v>29225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IFERROR(__xludf.DUMMYFUNCTION("""COMPUTED_VALUE"""),29310)</f>
        <v>29310</v>
      </c>
      <c r="C60" s="16">
        <f>IFERROR(__xludf.DUMMYFUNCTION("""COMPUTED_VALUE"""),45827.6458333333)</f>
        <v>45827.6458333333</v>
      </c>
      <c r="D60" s="17">
        <f>IFERROR(__xludf.DUMMYFUNCTION("""COMPUTED_VALUE"""),29470)</f>
        <v>29470</v>
      </c>
      <c r="E60" s="16">
        <f>IFERROR(__xludf.DUMMYFUNCTION("""COMPUTED_VALUE"""),45827.6458333333)</f>
        <v>45827.6458333333</v>
      </c>
      <c r="F60" s="17">
        <f>IFERROR(__xludf.DUMMYFUNCTION("""COMPUTED_VALUE"""),15605)</f>
        <v>15605</v>
      </c>
      <c r="G60" s="16">
        <f>IFERROR(__xludf.DUMMYFUNCTION("""COMPUTED_VALUE"""),45827.6458333333)</f>
        <v>45827.6458333333</v>
      </c>
      <c r="H60" s="17">
        <f>IFERROR(__xludf.DUMMYFUNCTION("""COMPUTED_VALUE"""),29470)</f>
        <v>29470</v>
      </c>
      <c r="I60" s="16">
        <f>IFERROR(__xludf.DUMMYFUNCTION("""COMPUTED_VALUE"""),45827.6458333333)</f>
        <v>45827.6458333333</v>
      </c>
      <c r="J60" s="17">
        <f>IFERROR(__xludf.DUMMYFUNCTION("""COMPUTED_VALUE"""),29095)</f>
        <v>29095</v>
      </c>
      <c r="K60" s="3">
        <f t="shared" si="2"/>
        <v>0</v>
      </c>
      <c r="L60" s="3">
        <f t="shared" si="3"/>
        <v>0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IFERROR(__xludf.DUMMYFUNCTION("""COMPUTED_VALUE"""),28875)</f>
        <v>28875</v>
      </c>
      <c r="C61" s="16">
        <f>IFERROR(__xludf.DUMMYFUNCTION("""COMPUTED_VALUE"""),45828.6458333333)</f>
        <v>45828.6458333333</v>
      </c>
      <c r="D61" s="17">
        <f>IFERROR(__xludf.DUMMYFUNCTION("""COMPUTED_VALUE"""),29420)</f>
        <v>29420</v>
      </c>
      <c r="E61" s="16">
        <f>IFERROR(__xludf.DUMMYFUNCTION("""COMPUTED_VALUE"""),45828.6458333333)</f>
        <v>45828.6458333333</v>
      </c>
      <c r="F61" s="17">
        <f>IFERROR(__xludf.DUMMYFUNCTION("""COMPUTED_VALUE"""),296684)</f>
        <v>296684</v>
      </c>
      <c r="G61" s="16">
        <f>IFERROR(__xludf.DUMMYFUNCTION("""COMPUTED_VALUE"""),45828.6458333333)</f>
        <v>45828.6458333333</v>
      </c>
      <c r="H61" s="17">
        <f>IFERROR(__xludf.DUMMYFUNCTION("""COMPUTED_VALUE"""),29555)</f>
        <v>29555</v>
      </c>
      <c r="I61" s="16">
        <f>IFERROR(__xludf.DUMMYFUNCTION("""COMPUTED_VALUE"""),45828.6458333333)</f>
        <v>45828.6458333333</v>
      </c>
      <c r="J61" s="17">
        <f>IFERROR(__xludf.DUMMYFUNCTION("""COMPUTED_VALUE"""),28590)</f>
        <v>28590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IFERROR(__xludf.DUMMYFUNCTION("""COMPUTED_VALUE"""),28565)</f>
        <v>28565</v>
      </c>
      <c r="C62" s="16">
        <f>IFERROR(__xludf.DUMMYFUNCTION("""COMPUTED_VALUE"""),45831.6458333333)</f>
        <v>45831.6458333333</v>
      </c>
      <c r="D62" s="17">
        <f>IFERROR(__xludf.DUMMYFUNCTION("""COMPUTED_VALUE"""),28755)</f>
        <v>28755</v>
      </c>
      <c r="E62" s="16">
        <f>IFERROR(__xludf.DUMMYFUNCTION("""COMPUTED_VALUE"""),45831.6458333333)</f>
        <v>45831.6458333333</v>
      </c>
      <c r="F62" s="17">
        <f>IFERROR(__xludf.DUMMYFUNCTION("""COMPUTED_VALUE"""),35494)</f>
        <v>35494</v>
      </c>
      <c r="G62" s="16">
        <f>IFERROR(__xludf.DUMMYFUNCTION("""COMPUTED_VALUE"""),45831.6458333333)</f>
        <v>45831.6458333333</v>
      </c>
      <c r="H62" s="17">
        <f>IFERROR(__xludf.DUMMYFUNCTION("""COMPUTED_VALUE"""),28915)</f>
        <v>28915</v>
      </c>
      <c r="I62" s="16">
        <f>IFERROR(__xludf.DUMMYFUNCTION("""COMPUTED_VALUE"""),45831.6458333333)</f>
        <v>45831.6458333333</v>
      </c>
      <c r="J62" s="17">
        <f>IFERROR(__xludf.DUMMYFUNCTION("""COMPUTED_VALUE"""),28450)</f>
        <v>28450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IFERROR(__xludf.DUMMYFUNCTION("""COMPUTED_VALUE"""),28505)</f>
        <v>28505</v>
      </c>
      <c r="C63" s="16">
        <f>IFERROR(__xludf.DUMMYFUNCTION("""COMPUTED_VALUE"""),45832.6458333333)</f>
        <v>45832.6458333333</v>
      </c>
      <c r="D63" s="17">
        <f>IFERROR(__xludf.DUMMYFUNCTION("""COMPUTED_VALUE"""),28735)</f>
        <v>28735</v>
      </c>
      <c r="E63" s="16">
        <f>IFERROR(__xludf.DUMMYFUNCTION("""COMPUTED_VALUE"""),45832.6458333333)</f>
        <v>45832.6458333333</v>
      </c>
      <c r="F63" s="17">
        <f>IFERROR(__xludf.DUMMYFUNCTION("""COMPUTED_VALUE"""),79141)</f>
        <v>79141</v>
      </c>
      <c r="G63" s="16">
        <f>IFERROR(__xludf.DUMMYFUNCTION("""COMPUTED_VALUE"""),45832.6458333333)</f>
        <v>45832.6458333333</v>
      </c>
      <c r="H63" s="17">
        <f>IFERROR(__xludf.DUMMYFUNCTION("""COMPUTED_VALUE"""),28770)</f>
        <v>28770</v>
      </c>
      <c r="I63" s="16">
        <f>IFERROR(__xludf.DUMMYFUNCTION("""COMPUTED_VALUE"""),45832.6458333333)</f>
        <v>45832.6458333333</v>
      </c>
      <c r="J63" s="17">
        <f>IFERROR(__xludf.DUMMYFUNCTION("""COMPUTED_VALUE"""),28355)</f>
        <v>28355</v>
      </c>
      <c r="K63" s="3">
        <f t="shared" si="2"/>
        <v>0</v>
      </c>
      <c r="L63" s="3">
        <f t="shared" si="3"/>
        <v>28505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IFERROR(__xludf.DUMMYFUNCTION("""COMPUTED_VALUE"""),29075)</f>
        <v>29075</v>
      </c>
      <c r="C64" s="16">
        <f>IFERROR(__xludf.DUMMYFUNCTION("""COMPUTED_VALUE"""),45833.6458333333)</f>
        <v>45833.6458333333</v>
      </c>
      <c r="D64" s="17">
        <f>IFERROR(__xludf.DUMMYFUNCTION("""COMPUTED_VALUE"""),28645)</f>
        <v>28645</v>
      </c>
      <c r="E64" s="16">
        <f>IFERROR(__xludf.DUMMYFUNCTION("""COMPUTED_VALUE"""),45833.6458333333)</f>
        <v>45833.6458333333</v>
      </c>
      <c r="F64" s="17">
        <f>IFERROR(__xludf.DUMMYFUNCTION("""COMPUTED_VALUE"""),92269)</f>
        <v>92269</v>
      </c>
      <c r="G64" s="16">
        <f>IFERROR(__xludf.DUMMYFUNCTION("""COMPUTED_VALUE"""),45833.6458333333)</f>
        <v>45833.6458333333</v>
      </c>
      <c r="H64" s="17">
        <f>IFERROR(__xludf.DUMMYFUNCTION("""COMPUTED_VALUE"""),29185)</f>
        <v>29185</v>
      </c>
      <c r="I64" s="16">
        <f>IFERROR(__xludf.DUMMYFUNCTION("""COMPUTED_VALUE"""),45833.6458333333)</f>
        <v>45833.6458333333</v>
      </c>
      <c r="J64" s="17">
        <f>IFERROR(__xludf.DUMMYFUNCTION("""COMPUTED_VALUE"""),28475)</f>
        <v>28475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IFERROR(__xludf.DUMMYFUNCTION("""COMPUTED_VALUE"""),30105)</f>
        <v>30105</v>
      </c>
      <c r="C65" s="16">
        <f>IFERROR(__xludf.DUMMYFUNCTION("""COMPUTED_VALUE"""),45834.6458333333)</f>
        <v>45834.6458333333</v>
      </c>
      <c r="D65" s="17">
        <f>IFERROR(__xludf.DUMMYFUNCTION("""COMPUTED_VALUE"""),29130)</f>
        <v>29130</v>
      </c>
      <c r="E65" s="16">
        <f>IFERROR(__xludf.DUMMYFUNCTION("""COMPUTED_VALUE"""),45834.6458333333)</f>
        <v>45834.6458333333</v>
      </c>
      <c r="F65" s="17">
        <f>IFERROR(__xludf.DUMMYFUNCTION("""COMPUTED_VALUE"""),98924)</f>
        <v>98924</v>
      </c>
      <c r="G65" s="16">
        <f>IFERROR(__xludf.DUMMYFUNCTION("""COMPUTED_VALUE"""),45834.6458333333)</f>
        <v>45834.6458333333</v>
      </c>
      <c r="H65" s="17">
        <f>IFERROR(__xludf.DUMMYFUNCTION("""COMPUTED_VALUE"""),30150)</f>
        <v>30150</v>
      </c>
      <c r="I65" s="16">
        <f>IFERROR(__xludf.DUMMYFUNCTION("""COMPUTED_VALUE"""),45834.6458333333)</f>
        <v>45834.6458333333</v>
      </c>
      <c r="J65" s="17">
        <f>IFERROR(__xludf.DUMMYFUNCTION("""COMPUTED_VALUE"""),29130)</f>
        <v>29130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IFERROR(__xludf.DUMMYFUNCTION("""COMPUTED_VALUE"""),31030)</f>
        <v>31030</v>
      </c>
      <c r="C66" s="16">
        <f>IFERROR(__xludf.DUMMYFUNCTION("""COMPUTED_VALUE"""),45835.6458333333)</f>
        <v>45835.6458333333</v>
      </c>
      <c r="D66" s="17">
        <f>IFERROR(__xludf.DUMMYFUNCTION("""COMPUTED_VALUE"""),30005)</f>
        <v>30005</v>
      </c>
      <c r="E66" s="16">
        <f>IFERROR(__xludf.DUMMYFUNCTION("""COMPUTED_VALUE"""),45835.6458333333)</f>
        <v>45835.6458333333</v>
      </c>
      <c r="F66" s="17">
        <f>IFERROR(__xludf.DUMMYFUNCTION("""COMPUTED_VALUE"""),218128)</f>
        <v>218128</v>
      </c>
      <c r="G66" s="16">
        <f>IFERROR(__xludf.DUMMYFUNCTION("""COMPUTED_VALUE"""),45835.6458333333)</f>
        <v>45835.6458333333</v>
      </c>
      <c r="H66" s="17">
        <f>IFERROR(__xludf.DUMMYFUNCTION("""COMPUTED_VALUE"""),31280)</f>
        <v>31280</v>
      </c>
      <c r="I66" s="16">
        <f>IFERROR(__xludf.DUMMYFUNCTION("""COMPUTED_VALUE"""),45835.6458333333)</f>
        <v>45835.6458333333</v>
      </c>
      <c r="J66" s="17">
        <f>IFERROR(__xludf.DUMMYFUNCTION("""COMPUTED_VALUE"""),30000)</f>
        <v>30000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IFERROR(__xludf.DUMMYFUNCTION("""COMPUTED_VALUE"""),31030)</f>
        <v>31030</v>
      </c>
      <c r="C67" s="16">
        <f>IFERROR(__xludf.DUMMYFUNCTION("""COMPUTED_VALUE"""),45838.6458333333)</f>
        <v>45838.6458333333</v>
      </c>
      <c r="D67" s="17">
        <f>IFERROR(__xludf.DUMMYFUNCTION("""COMPUTED_VALUE"""),30895)</f>
        <v>30895</v>
      </c>
      <c r="E67" s="16">
        <f>IFERROR(__xludf.DUMMYFUNCTION("""COMPUTED_VALUE"""),45838.6458333333)</f>
        <v>45838.6458333333</v>
      </c>
      <c r="F67" s="17">
        <f>IFERROR(__xludf.DUMMYFUNCTION("""COMPUTED_VALUE"""),42009)</f>
        <v>42009</v>
      </c>
      <c r="G67" s="16">
        <f>IFERROR(__xludf.DUMMYFUNCTION("""COMPUTED_VALUE"""),45838.6458333333)</f>
        <v>45838.6458333333</v>
      </c>
      <c r="H67" s="17">
        <f>IFERROR(__xludf.DUMMYFUNCTION("""COMPUTED_VALUE"""),31125)</f>
        <v>31125</v>
      </c>
      <c r="I67" s="16">
        <f>IFERROR(__xludf.DUMMYFUNCTION("""COMPUTED_VALUE"""),45838.6458333333)</f>
        <v>45838.6458333333</v>
      </c>
      <c r="J67" s="17">
        <f>IFERROR(__xludf.DUMMYFUNCTION("""COMPUTED_VALUE"""),30595)</f>
        <v>30595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IFERROR(__xludf.DUMMYFUNCTION("""COMPUTED_VALUE"""),31185)</f>
        <v>31185</v>
      </c>
      <c r="C68" s="16">
        <f>IFERROR(__xludf.DUMMYFUNCTION("""COMPUTED_VALUE"""),45839.6458333333)</f>
        <v>45839.6458333333</v>
      </c>
      <c r="D68" s="17">
        <f>IFERROR(__xludf.DUMMYFUNCTION("""COMPUTED_VALUE"""),31105)</f>
        <v>31105</v>
      </c>
      <c r="E68" s="16">
        <f>IFERROR(__xludf.DUMMYFUNCTION("""COMPUTED_VALUE"""),45839.6458333333)</f>
        <v>45839.6458333333</v>
      </c>
      <c r="F68" s="17">
        <f>IFERROR(__xludf.DUMMYFUNCTION("""COMPUTED_VALUE"""),46618)</f>
        <v>46618</v>
      </c>
      <c r="G68" s="16">
        <f>IFERROR(__xludf.DUMMYFUNCTION("""COMPUTED_VALUE"""),45839.6458333333)</f>
        <v>45839.6458333333</v>
      </c>
      <c r="H68" s="17">
        <f>IFERROR(__xludf.DUMMYFUNCTION("""COMPUTED_VALUE"""),31650)</f>
        <v>31650</v>
      </c>
      <c r="I68" s="16">
        <f>IFERROR(__xludf.DUMMYFUNCTION("""COMPUTED_VALUE"""),45839.6458333333)</f>
        <v>45839.6458333333</v>
      </c>
      <c r="J68" s="17">
        <f>IFERROR(__xludf.DUMMYFUNCTION("""COMPUTED_VALUE"""),31105)</f>
        <v>31105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IFERROR(__xludf.DUMMYFUNCTION("""COMPUTED_VALUE"""),31640)</f>
        <v>31640</v>
      </c>
      <c r="C69" s="16">
        <f>IFERROR(__xludf.DUMMYFUNCTION("""COMPUTED_VALUE"""),45840.6458333333)</f>
        <v>45840.6458333333</v>
      </c>
      <c r="D69" s="17">
        <f>IFERROR(__xludf.DUMMYFUNCTION("""COMPUTED_VALUE"""),31435)</f>
        <v>31435</v>
      </c>
      <c r="E69" s="16">
        <f>IFERROR(__xludf.DUMMYFUNCTION("""COMPUTED_VALUE"""),45840.6458333333)</f>
        <v>45840.6458333333</v>
      </c>
      <c r="F69" s="17">
        <f>IFERROR(__xludf.DUMMYFUNCTION("""COMPUTED_VALUE"""),20945)</f>
        <v>20945</v>
      </c>
      <c r="G69" s="16">
        <f>IFERROR(__xludf.DUMMYFUNCTION("""COMPUTED_VALUE"""),45840.6458333333)</f>
        <v>45840.6458333333</v>
      </c>
      <c r="H69" s="17">
        <f>IFERROR(__xludf.DUMMYFUNCTION("""COMPUTED_VALUE"""),31700)</f>
        <v>31700</v>
      </c>
      <c r="I69" s="16">
        <f>IFERROR(__xludf.DUMMYFUNCTION("""COMPUTED_VALUE"""),45840.6458333333)</f>
        <v>45840.6458333333</v>
      </c>
      <c r="J69" s="17">
        <f>IFERROR(__xludf.DUMMYFUNCTION("""COMPUTED_VALUE"""),31030)</f>
        <v>31030</v>
      </c>
      <c r="K69" s="3">
        <f t="shared" si="2"/>
        <v>31640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IFERROR(__xludf.DUMMYFUNCTION("""COMPUTED_VALUE"""),31420)</f>
        <v>31420</v>
      </c>
      <c r="C70" s="16">
        <f>IFERROR(__xludf.DUMMYFUNCTION("""COMPUTED_VALUE"""),45841.6458333333)</f>
        <v>45841.6458333333</v>
      </c>
      <c r="D70" s="17">
        <f>IFERROR(__xludf.DUMMYFUNCTION("""COMPUTED_VALUE"""),31640)</f>
        <v>31640</v>
      </c>
      <c r="E70" s="16">
        <f>IFERROR(__xludf.DUMMYFUNCTION("""COMPUTED_VALUE"""),45841.6458333333)</f>
        <v>45841.6458333333</v>
      </c>
      <c r="F70" s="17">
        <f>IFERROR(__xludf.DUMMYFUNCTION("""COMPUTED_VALUE"""),26592)</f>
        <v>26592</v>
      </c>
      <c r="G70" s="16">
        <f>IFERROR(__xludf.DUMMYFUNCTION("""COMPUTED_VALUE"""),45841.6458333333)</f>
        <v>45841.6458333333</v>
      </c>
      <c r="H70" s="17">
        <f>IFERROR(__xludf.DUMMYFUNCTION("""COMPUTED_VALUE"""),31885)</f>
        <v>31885</v>
      </c>
      <c r="I70" s="16">
        <f>IFERROR(__xludf.DUMMYFUNCTION("""COMPUTED_VALUE"""),45841.6458333333)</f>
        <v>45841.6458333333</v>
      </c>
      <c r="J70" s="17">
        <f>IFERROR(__xludf.DUMMYFUNCTION("""COMPUTED_VALUE"""),31340)</f>
        <v>31340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IFERROR(__xludf.DUMMYFUNCTION("""COMPUTED_VALUE"""),31315)</f>
        <v>31315</v>
      </c>
      <c r="C71" s="16">
        <f>IFERROR(__xludf.DUMMYFUNCTION("""COMPUTED_VALUE"""),45842.6458333333)</f>
        <v>45842.6458333333</v>
      </c>
      <c r="D71" s="17">
        <f>IFERROR(__xludf.DUMMYFUNCTION("""COMPUTED_VALUE"""),31550)</f>
        <v>31550</v>
      </c>
      <c r="E71" s="16">
        <f>IFERROR(__xludf.DUMMYFUNCTION("""COMPUTED_VALUE"""),45842.6458333333)</f>
        <v>45842.6458333333</v>
      </c>
      <c r="F71" s="17">
        <f>IFERROR(__xludf.DUMMYFUNCTION("""COMPUTED_VALUE"""),12514)</f>
        <v>12514</v>
      </c>
      <c r="G71" s="16">
        <f>IFERROR(__xludf.DUMMYFUNCTION("""COMPUTED_VALUE"""),45842.6458333333)</f>
        <v>45842.6458333333</v>
      </c>
      <c r="H71" s="17">
        <f>IFERROR(__xludf.DUMMYFUNCTION("""COMPUTED_VALUE"""),31575)</f>
        <v>31575</v>
      </c>
      <c r="I71" s="16">
        <f>IFERROR(__xludf.DUMMYFUNCTION("""COMPUTED_VALUE"""),45842.6458333333)</f>
        <v>45842.6458333333</v>
      </c>
      <c r="J71" s="17">
        <f>IFERROR(__xludf.DUMMYFUNCTION("""COMPUTED_VALUE"""),31175)</f>
        <v>31175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IFERROR(__xludf.DUMMYFUNCTION("""COMPUTED_VALUE"""),31105)</f>
        <v>31105</v>
      </c>
      <c r="C72" s="16">
        <f>IFERROR(__xludf.DUMMYFUNCTION("""COMPUTED_VALUE"""),45845.6458333333)</f>
        <v>45845.6458333333</v>
      </c>
      <c r="D72" s="17">
        <f>IFERROR(__xludf.DUMMYFUNCTION("""COMPUTED_VALUE"""),31315)</f>
        <v>31315</v>
      </c>
      <c r="E72" s="16">
        <f>IFERROR(__xludf.DUMMYFUNCTION("""COMPUTED_VALUE"""),45845.6458333333)</f>
        <v>45845.6458333333</v>
      </c>
      <c r="F72" s="17">
        <f>IFERROR(__xludf.DUMMYFUNCTION("""COMPUTED_VALUE"""),15768)</f>
        <v>15768</v>
      </c>
      <c r="G72" s="16">
        <f>IFERROR(__xludf.DUMMYFUNCTION("""COMPUTED_VALUE"""),45845.6458333333)</f>
        <v>45845.6458333333</v>
      </c>
      <c r="H72" s="17">
        <f>IFERROR(__xludf.DUMMYFUNCTION("""COMPUTED_VALUE"""),31385)</f>
        <v>31385</v>
      </c>
      <c r="I72" s="16">
        <f>IFERROR(__xludf.DUMMYFUNCTION("""COMPUTED_VALUE"""),45845.6458333333)</f>
        <v>45845.6458333333</v>
      </c>
      <c r="J72" s="17">
        <f>IFERROR(__xludf.DUMMYFUNCTION("""COMPUTED_VALUE"""),30825)</f>
        <v>30825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IFERROR(__xludf.DUMMYFUNCTION("""COMPUTED_VALUE"""),31300)</f>
        <v>31300</v>
      </c>
      <c r="C73" s="16">
        <f>IFERROR(__xludf.DUMMYFUNCTION("""COMPUTED_VALUE"""),45846.6458333333)</f>
        <v>45846.6458333333</v>
      </c>
      <c r="D73" s="17">
        <f>IFERROR(__xludf.DUMMYFUNCTION("""COMPUTED_VALUE"""),31270)</f>
        <v>31270</v>
      </c>
      <c r="E73" s="16">
        <f>IFERROR(__xludf.DUMMYFUNCTION("""COMPUTED_VALUE"""),45846.6458333333)</f>
        <v>45846.6458333333</v>
      </c>
      <c r="F73" s="17">
        <f>IFERROR(__xludf.DUMMYFUNCTION("""COMPUTED_VALUE"""),27148)</f>
        <v>27148</v>
      </c>
      <c r="G73" s="16">
        <f>IFERROR(__xludf.DUMMYFUNCTION("""COMPUTED_VALUE"""),45846.6458333333)</f>
        <v>45846.6458333333</v>
      </c>
      <c r="H73" s="17">
        <f>IFERROR(__xludf.DUMMYFUNCTION("""COMPUTED_VALUE"""),31350)</f>
        <v>31350</v>
      </c>
      <c r="I73" s="16">
        <f>IFERROR(__xludf.DUMMYFUNCTION("""COMPUTED_VALUE"""),45846.6458333333)</f>
        <v>45846.6458333333</v>
      </c>
      <c r="J73" s="17">
        <f>IFERROR(__xludf.DUMMYFUNCTION("""COMPUTED_VALUE"""),30955)</f>
        <v>30955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IFERROR(__xludf.DUMMYFUNCTION("""COMPUTED_VALUE"""),31615)</f>
        <v>31615</v>
      </c>
      <c r="C74" s="16">
        <f>IFERROR(__xludf.DUMMYFUNCTION("""COMPUTED_VALUE"""),45847.6458333333)</f>
        <v>45847.6458333333</v>
      </c>
      <c r="D74" s="17">
        <f>IFERROR(__xludf.DUMMYFUNCTION("""COMPUTED_VALUE"""),31260)</f>
        <v>31260</v>
      </c>
      <c r="E74" s="16">
        <f>IFERROR(__xludf.DUMMYFUNCTION("""COMPUTED_VALUE"""),45847.6458333333)</f>
        <v>45847.6458333333</v>
      </c>
      <c r="F74" s="17">
        <f>IFERROR(__xludf.DUMMYFUNCTION("""COMPUTED_VALUE"""),25101)</f>
        <v>25101</v>
      </c>
      <c r="G74" s="16">
        <f>IFERROR(__xludf.DUMMYFUNCTION("""COMPUTED_VALUE"""),45847.6458333333)</f>
        <v>45847.6458333333</v>
      </c>
      <c r="H74" s="17">
        <f>IFERROR(__xludf.DUMMYFUNCTION("""COMPUTED_VALUE"""),31675)</f>
        <v>31675</v>
      </c>
      <c r="I74" s="16">
        <f>IFERROR(__xludf.DUMMYFUNCTION("""COMPUTED_VALUE"""),45847.6458333333)</f>
        <v>45847.6458333333</v>
      </c>
      <c r="J74" s="17">
        <f>IFERROR(__xludf.DUMMYFUNCTION("""COMPUTED_VALUE"""),31150)</f>
        <v>31150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IFERROR(__xludf.DUMMYFUNCTION("""COMPUTED_VALUE"""),31175)</f>
        <v>31175</v>
      </c>
      <c r="C75" s="16">
        <f>IFERROR(__xludf.DUMMYFUNCTION("""COMPUTED_VALUE"""),45848.6458333333)</f>
        <v>45848.6458333333</v>
      </c>
      <c r="D75" s="17">
        <f>IFERROR(__xludf.DUMMYFUNCTION("""COMPUTED_VALUE"""),31610)</f>
        <v>31610</v>
      </c>
      <c r="E75" s="16">
        <f>IFERROR(__xludf.DUMMYFUNCTION("""COMPUTED_VALUE"""),45848.6458333333)</f>
        <v>45848.6458333333</v>
      </c>
      <c r="F75" s="17">
        <f>IFERROR(__xludf.DUMMYFUNCTION("""COMPUTED_VALUE"""),31524)</f>
        <v>31524</v>
      </c>
      <c r="G75" s="16">
        <f>IFERROR(__xludf.DUMMYFUNCTION("""COMPUTED_VALUE"""),45848.6458333333)</f>
        <v>45848.6458333333</v>
      </c>
      <c r="H75" s="17">
        <f>IFERROR(__xludf.DUMMYFUNCTION("""COMPUTED_VALUE"""),31660)</f>
        <v>31660</v>
      </c>
      <c r="I75" s="16">
        <f>IFERROR(__xludf.DUMMYFUNCTION("""COMPUTED_VALUE"""),45848.6458333333)</f>
        <v>45848.6458333333</v>
      </c>
      <c r="J75" s="17">
        <f>IFERROR(__xludf.DUMMYFUNCTION("""COMPUTED_VALUE"""),30970)</f>
        <v>30970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IFERROR(__xludf.DUMMYFUNCTION("""COMPUTED_VALUE"""),31210)</f>
        <v>31210</v>
      </c>
      <c r="C76" s="16">
        <f>IFERROR(__xludf.DUMMYFUNCTION("""COMPUTED_VALUE"""),45849.6458333333)</f>
        <v>45849.6458333333</v>
      </c>
      <c r="D76" s="17">
        <f>IFERROR(__xludf.DUMMYFUNCTION("""COMPUTED_VALUE"""),31330)</f>
        <v>31330</v>
      </c>
      <c r="E76" s="16">
        <f>IFERROR(__xludf.DUMMYFUNCTION("""COMPUTED_VALUE"""),45849.6458333333)</f>
        <v>45849.6458333333</v>
      </c>
      <c r="F76" s="17">
        <f>IFERROR(__xludf.DUMMYFUNCTION("""COMPUTED_VALUE"""),26485)</f>
        <v>26485</v>
      </c>
      <c r="G76" s="16">
        <f>IFERROR(__xludf.DUMMYFUNCTION("""COMPUTED_VALUE"""),45849.6458333333)</f>
        <v>45849.6458333333</v>
      </c>
      <c r="H76" s="17">
        <f>IFERROR(__xludf.DUMMYFUNCTION("""COMPUTED_VALUE"""),31570)</f>
        <v>31570</v>
      </c>
      <c r="I76" s="16">
        <f>IFERROR(__xludf.DUMMYFUNCTION("""COMPUTED_VALUE"""),45849.6458333333)</f>
        <v>45849.6458333333</v>
      </c>
      <c r="J76" s="17">
        <f>IFERROR(__xludf.DUMMYFUNCTION("""COMPUTED_VALUE"""),31060)</f>
        <v>31060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IFERROR(__xludf.DUMMYFUNCTION("""COMPUTED_VALUE"""),31100)</f>
        <v>31100</v>
      </c>
      <c r="C77" s="16">
        <f>IFERROR(__xludf.DUMMYFUNCTION("""COMPUTED_VALUE"""),45852.6458333333)</f>
        <v>45852.6458333333</v>
      </c>
      <c r="D77" s="17">
        <f>IFERROR(__xludf.DUMMYFUNCTION("""COMPUTED_VALUE"""),31210)</f>
        <v>31210</v>
      </c>
      <c r="E77" s="16">
        <f>IFERROR(__xludf.DUMMYFUNCTION("""COMPUTED_VALUE"""),45852.6458333333)</f>
        <v>45852.6458333333</v>
      </c>
      <c r="F77" s="17">
        <f>IFERROR(__xludf.DUMMYFUNCTION("""COMPUTED_VALUE"""),24794)</f>
        <v>24794</v>
      </c>
      <c r="G77" s="16">
        <f>IFERROR(__xludf.DUMMYFUNCTION("""COMPUTED_VALUE"""),45852.6458333333)</f>
        <v>45852.6458333333</v>
      </c>
      <c r="H77" s="17">
        <f>IFERROR(__xludf.DUMMYFUNCTION("""COMPUTED_VALUE"""),31470)</f>
        <v>31470</v>
      </c>
      <c r="I77" s="16">
        <f>IFERROR(__xludf.DUMMYFUNCTION("""COMPUTED_VALUE"""),45852.6458333333)</f>
        <v>45852.6458333333</v>
      </c>
      <c r="J77" s="17">
        <f>IFERROR(__xludf.DUMMYFUNCTION("""COMPUTED_VALUE"""),30895)</f>
        <v>30895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IFERROR(__xludf.DUMMYFUNCTION("""COMPUTED_VALUE"""),31080)</f>
        <v>31080</v>
      </c>
      <c r="C78" s="16">
        <f>IFERROR(__xludf.DUMMYFUNCTION("""COMPUTED_VALUE"""),45853.6458333333)</f>
        <v>45853.6458333333</v>
      </c>
      <c r="D78" s="17">
        <f>IFERROR(__xludf.DUMMYFUNCTION("""COMPUTED_VALUE"""),31150)</f>
        <v>31150</v>
      </c>
      <c r="E78" s="16">
        <f>IFERROR(__xludf.DUMMYFUNCTION("""COMPUTED_VALUE"""),45853.6458333333)</f>
        <v>45853.6458333333</v>
      </c>
      <c r="F78" s="17">
        <f>IFERROR(__xludf.DUMMYFUNCTION("""COMPUTED_VALUE"""),13064)</f>
        <v>13064</v>
      </c>
      <c r="G78" s="16">
        <f>IFERROR(__xludf.DUMMYFUNCTION("""COMPUTED_VALUE"""),45853.6458333333)</f>
        <v>45853.6458333333</v>
      </c>
      <c r="H78" s="17">
        <f>IFERROR(__xludf.DUMMYFUNCTION("""COMPUTED_VALUE"""),31195)</f>
        <v>31195</v>
      </c>
      <c r="I78" s="16">
        <f>IFERROR(__xludf.DUMMYFUNCTION("""COMPUTED_VALUE"""),45853.6458333333)</f>
        <v>45853.6458333333</v>
      </c>
      <c r="J78" s="17">
        <f>IFERROR(__xludf.DUMMYFUNCTION("""COMPUTED_VALUE"""),30830)</f>
        <v>30830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IFERROR(__xludf.DUMMYFUNCTION("""COMPUTED_VALUE"""),30955)</f>
        <v>30955</v>
      </c>
      <c r="C79" s="16">
        <f>IFERROR(__xludf.DUMMYFUNCTION("""COMPUTED_VALUE"""),45854.6458333333)</f>
        <v>45854.6458333333</v>
      </c>
      <c r="D79" s="17">
        <f>IFERROR(__xludf.DUMMYFUNCTION("""COMPUTED_VALUE"""),31190)</f>
        <v>31190</v>
      </c>
      <c r="E79" s="16">
        <f>IFERROR(__xludf.DUMMYFUNCTION("""COMPUTED_VALUE"""),45854.6458333333)</f>
        <v>45854.6458333333</v>
      </c>
      <c r="F79" s="17">
        <f>IFERROR(__xludf.DUMMYFUNCTION("""COMPUTED_VALUE"""),15939)</f>
        <v>15939</v>
      </c>
      <c r="G79" s="16">
        <f>IFERROR(__xludf.DUMMYFUNCTION("""COMPUTED_VALUE"""),45854.6458333333)</f>
        <v>45854.6458333333</v>
      </c>
      <c r="H79" s="17">
        <f>IFERROR(__xludf.DUMMYFUNCTION("""COMPUTED_VALUE"""),31190)</f>
        <v>31190</v>
      </c>
      <c r="I79" s="16">
        <f>IFERROR(__xludf.DUMMYFUNCTION("""COMPUTED_VALUE"""),45854.6458333333)</f>
        <v>45854.6458333333</v>
      </c>
      <c r="J79" s="17">
        <f>IFERROR(__xludf.DUMMYFUNCTION("""COMPUTED_VALUE"""),30600)</f>
        <v>30600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IFERROR(__xludf.DUMMYFUNCTION("""COMPUTED_VALUE"""),30845)</f>
        <v>30845</v>
      </c>
      <c r="C80" s="16">
        <f>IFERROR(__xludf.DUMMYFUNCTION("""COMPUTED_VALUE"""),45855.6458333333)</f>
        <v>45855.6458333333</v>
      </c>
      <c r="D80" s="17">
        <f>IFERROR(__xludf.DUMMYFUNCTION("""COMPUTED_VALUE"""),31000)</f>
        <v>31000</v>
      </c>
      <c r="E80" s="16">
        <f>IFERROR(__xludf.DUMMYFUNCTION("""COMPUTED_VALUE"""),45855.6458333333)</f>
        <v>45855.6458333333</v>
      </c>
      <c r="F80" s="17">
        <f>IFERROR(__xludf.DUMMYFUNCTION("""COMPUTED_VALUE"""),10121)</f>
        <v>10121</v>
      </c>
      <c r="G80" s="16">
        <f>IFERROR(__xludf.DUMMYFUNCTION("""COMPUTED_VALUE"""),45855.6458333333)</f>
        <v>45855.6458333333</v>
      </c>
      <c r="H80" s="17">
        <f>IFERROR(__xludf.DUMMYFUNCTION("""COMPUTED_VALUE"""),31000)</f>
        <v>31000</v>
      </c>
      <c r="I80" s="16">
        <f>IFERROR(__xludf.DUMMYFUNCTION("""COMPUTED_VALUE"""),45855.6458333333)</f>
        <v>45855.6458333333</v>
      </c>
      <c r="J80" s="17">
        <f>IFERROR(__xludf.DUMMYFUNCTION("""COMPUTED_VALUE"""),30700)</f>
        <v>30700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IFERROR(__xludf.DUMMYFUNCTION("""COMPUTED_VALUE"""),30790)</f>
        <v>30790</v>
      </c>
      <c r="C81" s="16">
        <f>IFERROR(__xludf.DUMMYFUNCTION("""COMPUTED_VALUE"""),45856.6458333333)</f>
        <v>45856.6458333333</v>
      </c>
      <c r="D81" s="17">
        <f>IFERROR(__xludf.DUMMYFUNCTION("""COMPUTED_VALUE"""),30895)</f>
        <v>30895</v>
      </c>
      <c r="E81" s="16">
        <f>IFERROR(__xludf.DUMMYFUNCTION("""COMPUTED_VALUE"""),45856.6458333333)</f>
        <v>45856.6458333333</v>
      </c>
      <c r="F81" s="17">
        <f>IFERROR(__xludf.DUMMYFUNCTION("""COMPUTED_VALUE"""),21051)</f>
        <v>21051</v>
      </c>
      <c r="G81" s="16">
        <f>IFERROR(__xludf.DUMMYFUNCTION("""COMPUTED_VALUE"""),45856.6458333333)</f>
        <v>45856.6458333333</v>
      </c>
      <c r="H81" s="17">
        <f>IFERROR(__xludf.DUMMYFUNCTION("""COMPUTED_VALUE"""),31090)</f>
        <v>31090</v>
      </c>
      <c r="I81" s="16">
        <f>IFERROR(__xludf.DUMMYFUNCTION("""COMPUTED_VALUE"""),45856.6458333333)</f>
        <v>45856.6458333333</v>
      </c>
      <c r="J81" s="17">
        <f>IFERROR(__xludf.DUMMYFUNCTION("""COMPUTED_VALUE"""),30725)</f>
        <v>30725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IFERROR(__xludf.DUMMYFUNCTION("""COMPUTED_VALUE"""),31535)</f>
        <v>31535</v>
      </c>
      <c r="C82" s="16">
        <f>IFERROR(__xludf.DUMMYFUNCTION("""COMPUTED_VALUE"""),45859.6458333333)</f>
        <v>45859.6458333333</v>
      </c>
      <c r="D82" s="17">
        <f>IFERROR(__xludf.DUMMYFUNCTION("""COMPUTED_VALUE"""),30900)</f>
        <v>30900</v>
      </c>
      <c r="E82" s="16">
        <f>IFERROR(__xludf.DUMMYFUNCTION("""COMPUTED_VALUE"""),45859.6458333333)</f>
        <v>45859.6458333333</v>
      </c>
      <c r="F82" s="17">
        <f>IFERROR(__xludf.DUMMYFUNCTION("""COMPUTED_VALUE"""),48993)</f>
        <v>48993</v>
      </c>
      <c r="G82" s="16">
        <f>IFERROR(__xludf.DUMMYFUNCTION("""COMPUTED_VALUE"""),45859.6458333333)</f>
        <v>45859.6458333333</v>
      </c>
      <c r="H82" s="17">
        <f>IFERROR(__xludf.DUMMYFUNCTION("""COMPUTED_VALUE"""),31595)</f>
        <v>31595</v>
      </c>
      <c r="I82" s="16">
        <f>IFERROR(__xludf.DUMMYFUNCTION("""COMPUTED_VALUE"""),45859.6458333333)</f>
        <v>45859.6458333333</v>
      </c>
      <c r="J82" s="17">
        <f>IFERROR(__xludf.DUMMYFUNCTION("""COMPUTED_VALUE"""),30880)</f>
        <v>30880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IFERROR(__xludf.DUMMYFUNCTION("""COMPUTED_VALUE"""),32345)</f>
        <v>32345</v>
      </c>
      <c r="C83" s="16">
        <f>IFERROR(__xludf.DUMMYFUNCTION("""COMPUTED_VALUE"""),45860.6458333333)</f>
        <v>45860.6458333333</v>
      </c>
      <c r="D83" s="17">
        <f>IFERROR(__xludf.DUMMYFUNCTION("""COMPUTED_VALUE"""),31535)</f>
        <v>31535</v>
      </c>
      <c r="E83" s="16">
        <f>IFERROR(__xludf.DUMMYFUNCTION("""COMPUTED_VALUE"""),45860.6458333333)</f>
        <v>45860.6458333333</v>
      </c>
      <c r="F83" s="17">
        <f>IFERROR(__xludf.DUMMYFUNCTION("""COMPUTED_VALUE"""),59832)</f>
        <v>59832</v>
      </c>
      <c r="G83" s="16">
        <f>IFERROR(__xludf.DUMMYFUNCTION("""COMPUTED_VALUE"""),45860.6458333333)</f>
        <v>45860.6458333333</v>
      </c>
      <c r="H83" s="17">
        <f>IFERROR(__xludf.DUMMYFUNCTION("""COMPUTED_VALUE"""),32490)</f>
        <v>32490</v>
      </c>
      <c r="I83" s="16">
        <f>IFERROR(__xludf.DUMMYFUNCTION("""COMPUTED_VALUE"""),45860.6458333333)</f>
        <v>45860.6458333333</v>
      </c>
      <c r="J83" s="17">
        <f>IFERROR(__xludf.DUMMYFUNCTION("""COMPUTED_VALUE"""),31500)</f>
        <v>31500</v>
      </c>
      <c r="K83" s="3">
        <f t="shared" si="2"/>
        <v>32345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IFERROR(__xludf.DUMMYFUNCTION("""COMPUTED_VALUE"""),32115)</f>
        <v>32115</v>
      </c>
      <c r="C84" s="16">
        <f>IFERROR(__xludf.DUMMYFUNCTION("""COMPUTED_VALUE"""),45861.6458333333)</f>
        <v>45861.6458333333</v>
      </c>
      <c r="D84" s="17">
        <f>IFERROR(__xludf.DUMMYFUNCTION("""COMPUTED_VALUE"""),32490)</f>
        <v>32490</v>
      </c>
      <c r="E84" s="16">
        <f>IFERROR(__xludf.DUMMYFUNCTION("""COMPUTED_VALUE"""),45861.6458333333)</f>
        <v>45861.6458333333</v>
      </c>
      <c r="F84" s="17">
        <f>IFERROR(__xludf.DUMMYFUNCTION("""COMPUTED_VALUE"""),34639)</f>
        <v>34639</v>
      </c>
      <c r="G84" s="16">
        <f>IFERROR(__xludf.DUMMYFUNCTION("""COMPUTED_VALUE"""),45861.6458333333)</f>
        <v>45861.6458333333</v>
      </c>
      <c r="H84" s="17">
        <f>IFERROR(__xludf.DUMMYFUNCTION("""COMPUTED_VALUE"""),32490)</f>
        <v>32490</v>
      </c>
      <c r="I84" s="16">
        <f>IFERROR(__xludf.DUMMYFUNCTION("""COMPUTED_VALUE"""),45861.6458333333)</f>
        <v>45861.6458333333</v>
      </c>
      <c r="J84" s="17">
        <f>IFERROR(__xludf.DUMMYFUNCTION("""COMPUTED_VALUE"""),31555)</f>
        <v>31555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IFERROR(__xludf.DUMMYFUNCTION("""COMPUTED_VALUE"""),31745)</f>
        <v>31745</v>
      </c>
      <c r="C85" s="16">
        <f>IFERROR(__xludf.DUMMYFUNCTION("""COMPUTED_VALUE"""),45862.6458333333)</f>
        <v>45862.6458333333</v>
      </c>
      <c r="D85" s="17">
        <f>IFERROR(__xludf.DUMMYFUNCTION("""COMPUTED_VALUE"""),32115)</f>
        <v>32115</v>
      </c>
      <c r="E85" s="16">
        <f>IFERROR(__xludf.DUMMYFUNCTION("""COMPUTED_VALUE"""),45862.6458333333)</f>
        <v>45862.6458333333</v>
      </c>
      <c r="F85" s="17">
        <f>IFERROR(__xludf.DUMMYFUNCTION("""COMPUTED_VALUE"""),20833)</f>
        <v>20833</v>
      </c>
      <c r="G85" s="16">
        <f>IFERROR(__xludf.DUMMYFUNCTION("""COMPUTED_VALUE"""),45862.6458333333)</f>
        <v>45862.6458333333</v>
      </c>
      <c r="H85" s="17">
        <f>IFERROR(__xludf.DUMMYFUNCTION("""COMPUTED_VALUE"""),32270)</f>
        <v>32270</v>
      </c>
      <c r="I85" s="16">
        <f>IFERROR(__xludf.DUMMYFUNCTION("""COMPUTED_VALUE"""),45862.6458333333)</f>
        <v>45862.6458333333</v>
      </c>
      <c r="J85" s="17">
        <f>IFERROR(__xludf.DUMMYFUNCTION("""COMPUTED_VALUE"""),31665)</f>
        <v>31665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IFERROR(__xludf.DUMMYFUNCTION("""COMPUTED_VALUE"""),30950)</f>
        <v>30950</v>
      </c>
      <c r="C86" s="16">
        <f>IFERROR(__xludf.DUMMYFUNCTION("""COMPUTED_VALUE"""),45863.6458333333)</f>
        <v>45863.6458333333</v>
      </c>
      <c r="D86" s="17">
        <f>IFERROR(__xludf.DUMMYFUNCTION("""COMPUTED_VALUE"""),31745)</f>
        <v>31745</v>
      </c>
      <c r="E86" s="16">
        <f>IFERROR(__xludf.DUMMYFUNCTION("""COMPUTED_VALUE"""),45863.6458333333)</f>
        <v>45863.6458333333</v>
      </c>
      <c r="F86" s="17">
        <f>IFERROR(__xludf.DUMMYFUNCTION("""COMPUTED_VALUE"""),16681)</f>
        <v>16681</v>
      </c>
      <c r="G86" s="16">
        <f>IFERROR(__xludf.DUMMYFUNCTION("""COMPUTED_VALUE"""),45863.6458333333)</f>
        <v>45863.6458333333</v>
      </c>
      <c r="H86" s="17">
        <f>IFERROR(__xludf.DUMMYFUNCTION("""COMPUTED_VALUE"""),31745)</f>
        <v>31745</v>
      </c>
      <c r="I86" s="16">
        <f>IFERROR(__xludf.DUMMYFUNCTION("""COMPUTED_VALUE"""),45863.6458333333)</f>
        <v>45863.6458333333</v>
      </c>
      <c r="J86" s="17">
        <f>IFERROR(__xludf.DUMMYFUNCTION("""COMPUTED_VALUE"""),30770)</f>
        <v>30770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IFERROR(__xludf.DUMMYFUNCTION("""COMPUTED_VALUE"""),30695)</f>
        <v>30695</v>
      </c>
      <c r="C87" s="16">
        <f>IFERROR(__xludf.DUMMYFUNCTION("""COMPUTED_VALUE"""),45866.6458333333)</f>
        <v>45866.6458333333</v>
      </c>
      <c r="D87" s="17">
        <f>IFERROR(__xludf.DUMMYFUNCTION("""COMPUTED_VALUE"""),31080)</f>
        <v>31080</v>
      </c>
      <c r="E87" s="16">
        <f>IFERROR(__xludf.DUMMYFUNCTION("""COMPUTED_VALUE"""),45866.6458333333)</f>
        <v>45866.6458333333</v>
      </c>
      <c r="F87" s="17">
        <f>IFERROR(__xludf.DUMMYFUNCTION("""COMPUTED_VALUE"""),27460)</f>
        <v>27460</v>
      </c>
      <c r="G87" s="16">
        <f>IFERROR(__xludf.DUMMYFUNCTION("""COMPUTED_VALUE"""),45866.6458333333)</f>
        <v>45866.6458333333</v>
      </c>
      <c r="H87" s="17">
        <f>IFERROR(__xludf.DUMMYFUNCTION("""COMPUTED_VALUE"""),31505)</f>
        <v>31505</v>
      </c>
      <c r="I87" s="16">
        <f>IFERROR(__xludf.DUMMYFUNCTION("""COMPUTED_VALUE"""),45866.6458333333)</f>
        <v>45866.6458333333</v>
      </c>
      <c r="J87" s="17">
        <f>IFERROR(__xludf.DUMMYFUNCTION("""COMPUTED_VALUE"""),30455)</f>
        <v>30455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IFERROR(__xludf.DUMMYFUNCTION("""COMPUTED_VALUE"""),30410)</f>
        <v>30410</v>
      </c>
      <c r="C88" s="16">
        <f>IFERROR(__xludf.DUMMYFUNCTION("""COMPUTED_VALUE"""),45867.6458333333)</f>
        <v>45867.6458333333</v>
      </c>
      <c r="D88" s="17">
        <f>IFERROR(__xludf.DUMMYFUNCTION("""COMPUTED_VALUE"""),30695)</f>
        <v>30695</v>
      </c>
      <c r="E88" s="16">
        <f>IFERROR(__xludf.DUMMYFUNCTION("""COMPUTED_VALUE"""),45867.6458333333)</f>
        <v>45867.6458333333</v>
      </c>
      <c r="F88" s="17">
        <f>IFERROR(__xludf.DUMMYFUNCTION("""COMPUTED_VALUE"""),20699)</f>
        <v>20699</v>
      </c>
      <c r="G88" s="16">
        <f>IFERROR(__xludf.DUMMYFUNCTION("""COMPUTED_VALUE"""),45867.6458333333)</f>
        <v>45867.6458333333</v>
      </c>
      <c r="H88" s="17">
        <f>IFERROR(__xludf.DUMMYFUNCTION("""COMPUTED_VALUE"""),30710)</f>
        <v>30710</v>
      </c>
      <c r="I88" s="16">
        <f>IFERROR(__xludf.DUMMYFUNCTION("""COMPUTED_VALUE"""),45867.6458333333)</f>
        <v>45867.6458333333</v>
      </c>
      <c r="J88" s="17">
        <f>IFERROR(__xludf.DUMMYFUNCTION("""COMPUTED_VALUE"""),30110)</f>
        <v>30110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IFERROR(__xludf.DUMMYFUNCTION("""COMPUTED_VALUE"""),30590)</f>
        <v>30590</v>
      </c>
      <c r="C89" s="16">
        <f>IFERROR(__xludf.DUMMYFUNCTION("""COMPUTED_VALUE"""),45868.6458333333)</f>
        <v>45868.6458333333</v>
      </c>
      <c r="D89" s="17">
        <f>IFERROR(__xludf.DUMMYFUNCTION("""COMPUTED_VALUE"""),30500)</f>
        <v>30500</v>
      </c>
      <c r="E89" s="16">
        <f>IFERROR(__xludf.DUMMYFUNCTION("""COMPUTED_VALUE"""),45868.6458333333)</f>
        <v>45868.6458333333</v>
      </c>
      <c r="F89" s="17">
        <f>IFERROR(__xludf.DUMMYFUNCTION("""COMPUTED_VALUE"""),18682)</f>
        <v>18682</v>
      </c>
      <c r="G89" s="16">
        <f>IFERROR(__xludf.DUMMYFUNCTION("""COMPUTED_VALUE"""),45868.6458333333)</f>
        <v>45868.6458333333</v>
      </c>
      <c r="H89" s="17">
        <f>IFERROR(__xludf.DUMMYFUNCTION("""COMPUTED_VALUE"""),30780)</f>
        <v>30780</v>
      </c>
      <c r="I89" s="16">
        <f>IFERROR(__xludf.DUMMYFUNCTION("""COMPUTED_VALUE"""),45868.6458333333)</f>
        <v>45868.6458333333</v>
      </c>
      <c r="J89" s="17">
        <f>IFERROR(__xludf.DUMMYFUNCTION("""COMPUTED_VALUE"""),30225)</f>
        <v>30225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IFERROR(__xludf.DUMMYFUNCTION("""COMPUTED_VALUE"""),30810)</f>
        <v>30810</v>
      </c>
      <c r="C90" s="16">
        <f>IFERROR(__xludf.DUMMYFUNCTION("""COMPUTED_VALUE"""),45869.6458333333)</f>
        <v>45869.6458333333</v>
      </c>
      <c r="D90" s="17">
        <f>IFERROR(__xludf.DUMMYFUNCTION("""COMPUTED_VALUE"""),30400)</f>
        <v>30400</v>
      </c>
      <c r="E90" s="16">
        <f>IFERROR(__xludf.DUMMYFUNCTION("""COMPUTED_VALUE"""),45869.6458333333)</f>
        <v>45869.6458333333</v>
      </c>
      <c r="F90" s="17">
        <f>IFERROR(__xludf.DUMMYFUNCTION("""COMPUTED_VALUE"""),15010)</f>
        <v>15010</v>
      </c>
      <c r="G90" s="16">
        <f>IFERROR(__xludf.DUMMYFUNCTION("""COMPUTED_VALUE"""),45869.6458333333)</f>
        <v>45869.6458333333</v>
      </c>
      <c r="H90" s="17">
        <f>IFERROR(__xludf.DUMMYFUNCTION("""COMPUTED_VALUE"""),31020)</f>
        <v>31020</v>
      </c>
      <c r="I90" s="16">
        <f>IFERROR(__xludf.DUMMYFUNCTION("""COMPUTED_VALUE"""),45869.6458333333)</f>
        <v>45869.6458333333</v>
      </c>
      <c r="J90" s="17">
        <f>IFERROR(__xludf.DUMMYFUNCTION("""COMPUTED_VALUE"""),30390)</f>
        <v>30390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IFERROR(__xludf.DUMMYFUNCTION("""COMPUTED_VALUE"""),30675)</f>
        <v>30675</v>
      </c>
      <c r="C91" s="16">
        <f>IFERROR(__xludf.DUMMYFUNCTION("""COMPUTED_VALUE"""),45870.6458333333)</f>
        <v>45870.6458333333</v>
      </c>
      <c r="D91" s="17">
        <f>IFERROR(__xludf.DUMMYFUNCTION("""COMPUTED_VALUE"""),30990)</f>
        <v>30990</v>
      </c>
      <c r="E91" s="16">
        <f>IFERROR(__xludf.DUMMYFUNCTION("""COMPUTED_VALUE"""),45870.6458333333)</f>
        <v>45870.6458333333</v>
      </c>
      <c r="F91" s="17">
        <f>IFERROR(__xludf.DUMMYFUNCTION("""COMPUTED_VALUE"""),29448)</f>
        <v>29448</v>
      </c>
      <c r="G91" s="16">
        <f>IFERROR(__xludf.DUMMYFUNCTION("""COMPUTED_VALUE"""),45870.6458333333)</f>
        <v>45870.6458333333</v>
      </c>
      <c r="H91" s="17">
        <f>IFERROR(__xludf.DUMMYFUNCTION("""COMPUTED_VALUE"""),31035)</f>
        <v>31035</v>
      </c>
      <c r="I91" s="16">
        <f>IFERROR(__xludf.DUMMYFUNCTION("""COMPUTED_VALUE"""),45870.6458333333)</f>
        <v>45870.6458333333</v>
      </c>
      <c r="J91" s="17">
        <f>IFERROR(__xludf.DUMMYFUNCTION("""COMPUTED_VALUE"""),30540)</f>
        <v>30540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IFERROR(__xludf.DUMMYFUNCTION("""COMPUTED_VALUE"""),30645)</f>
        <v>30645</v>
      </c>
      <c r="C92" s="16">
        <f>IFERROR(__xludf.DUMMYFUNCTION("""COMPUTED_VALUE"""),45873.6458333333)</f>
        <v>45873.6458333333</v>
      </c>
      <c r="D92" s="17">
        <f>IFERROR(__xludf.DUMMYFUNCTION("""COMPUTED_VALUE"""),30725)</f>
        <v>30725</v>
      </c>
      <c r="E92" s="16">
        <f>IFERROR(__xludf.DUMMYFUNCTION("""COMPUTED_VALUE"""),45873.6458333333)</f>
        <v>45873.6458333333</v>
      </c>
      <c r="F92" s="17">
        <f>IFERROR(__xludf.DUMMYFUNCTION("""COMPUTED_VALUE"""),91108)</f>
        <v>91108</v>
      </c>
      <c r="G92" s="16">
        <f>IFERROR(__xludf.DUMMYFUNCTION("""COMPUTED_VALUE"""),45873.6458333333)</f>
        <v>45873.6458333333</v>
      </c>
      <c r="H92" s="17">
        <f>IFERROR(__xludf.DUMMYFUNCTION("""COMPUTED_VALUE"""),31110)</f>
        <v>31110</v>
      </c>
      <c r="I92" s="16">
        <f>IFERROR(__xludf.DUMMYFUNCTION("""COMPUTED_VALUE"""),45873.6458333333)</f>
        <v>45873.6458333333</v>
      </c>
      <c r="J92" s="17">
        <f>IFERROR(__xludf.DUMMYFUNCTION("""COMPUTED_VALUE"""),30120)</f>
        <v>30120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IFERROR(__xludf.DUMMYFUNCTION("""COMPUTED_VALUE"""),30205)</f>
        <v>30205</v>
      </c>
      <c r="C93" s="16">
        <f>IFERROR(__xludf.DUMMYFUNCTION("""COMPUTED_VALUE"""),45874.6458333333)</f>
        <v>45874.6458333333</v>
      </c>
      <c r="D93" s="17">
        <f>IFERROR(__xludf.DUMMYFUNCTION("""COMPUTED_VALUE"""),30880)</f>
        <v>30880</v>
      </c>
      <c r="E93" s="16">
        <f>IFERROR(__xludf.DUMMYFUNCTION("""COMPUTED_VALUE"""),45874.6458333333)</f>
        <v>45874.6458333333</v>
      </c>
      <c r="F93" s="17">
        <f>IFERROR(__xludf.DUMMYFUNCTION("""COMPUTED_VALUE"""),38269)</f>
        <v>38269</v>
      </c>
      <c r="G93" s="16">
        <f>IFERROR(__xludf.DUMMYFUNCTION("""COMPUTED_VALUE"""),45874.6458333333)</f>
        <v>45874.6458333333</v>
      </c>
      <c r="H93" s="17">
        <f>IFERROR(__xludf.DUMMYFUNCTION("""COMPUTED_VALUE"""),30880)</f>
        <v>30880</v>
      </c>
      <c r="I93" s="16">
        <f>IFERROR(__xludf.DUMMYFUNCTION("""COMPUTED_VALUE"""),45874.6458333333)</f>
        <v>45874.6458333333</v>
      </c>
      <c r="J93" s="17">
        <f>IFERROR(__xludf.DUMMYFUNCTION("""COMPUTED_VALUE"""),30000)</f>
        <v>30000</v>
      </c>
      <c r="K93" s="3">
        <f t="shared" si="2"/>
        <v>0</v>
      </c>
      <c r="L93" s="3">
        <f t="shared" si="3"/>
        <v>30205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IFERROR(__xludf.DUMMYFUNCTION("""COMPUTED_VALUE"""),30570)</f>
        <v>30570</v>
      </c>
      <c r="C94" s="16">
        <f>IFERROR(__xludf.DUMMYFUNCTION("""COMPUTED_VALUE"""),45875.6458333333)</f>
        <v>45875.6458333333</v>
      </c>
      <c r="D94" s="17">
        <f>IFERROR(__xludf.DUMMYFUNCTION("""COMPUTED_VALUE"""),30300)</f>
        <v>30300</v>
      </c>
      <c r="E94" s="16">
        <f>IFERROR(__xludf.DUMMYFUNCTION("""COMPUTED_VALUE"""),45875.6458333333)</f>
        <v>45875.6458333333</v>
      </c>
      <c r="F94" s="17">
        <f>IFERROR(__xludf.DUMMYFUNCTION("""COMPUTED_VALUE"""),45369)</f>
        <v>45369</v>
      </c>
      <c r="G94" s="16">
        <f>IFERROR(__xludf.DUMMYFUNCTION("""COMPUTED_VALUE"""),45875.6458333333)</f>
        <v>45875.6458333333</v>
      </c>
      <c r="H94" s="17">
        <f>IFERROR(__xludf.DUMMYFUNCTION("""COMPUTED_VALUE"""),30675)</f>
        <v>30675</v>
      </c>
      <c r="I94" s="16">
        <f>IFERROR(__xludf.DUMMYFUNCTION("""COMPUTED_VALUE"""),45875.6458333333)</f>
        <v>45875.6458333333</v>
      </c>
      <c r="J94" s="17">
        <f>IFERROR(__xludf.DUMMYFUNCTION("""COMPUTED_VALUE"""),30100)</f>
        <v>30100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IFERROR(__xludf.DUMMYFUNCTION("""COMPUTED_VALUE"""),30655)</f>
        <v>30655</v>
      </c>
      <c r="C95" s="16">
        <f>IFERROR(__xludf.DUMMYFUNCTION("""COMPUTED_VALUE"""),45876.6458333333)</f>
        <v>45876.6458333333</v>
      </c>
      <c r="D95" s="17">
        <f>IFERROR(__xludf.DUMMYFUNCTION("""COMPUTED_VALUE"""),30300)</f>
        <v>30300</v>
      </c>
      <c r="E95" s="16">
        <f>IFERROR(__xludf.DUMMYFUNCTION("""COMPUTED_VALUE"""),45876.6458333333)</f>
        <v>45876.6458333333</v>
      </c>
      <c r="F95" s="17">
        <f>IFERROR(__xludf.DUMMYFUNCTION("""COMPUTED_VALUE"""),13398)</f>
        <v>13398</v>
      </c>
      <c r="G95" s="16">
        <f>IFERROR(__xludf.DUMMYFUNCTION("""COMPUTED_VALUE"""),45876.6458333333)</f>
        <v>45876.6458333333</v>
      </c>
      <c r="H95" s="17">
        <f>IFERROR(__xludf.DUMMYFUNCTION("""COMPUTED_VALUE"""),30710)</f>
        <v>30710</v>
      </c>
      <c r="I95" s="16">
        <f>IFERROR(__xludf.DUMMYFUNCTION("""COMPUTED_VALUE"""),45876.6458333333)</f>
        <v>45876.6458333333</v>
      </c>
      <c r="J95" s="17">
        <f>IFERROR(__xludf.DUMMYFUNCTION("""COMPUTED_VALUE"""),30180)</f>
        <v>30180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IFERROR(__xludf.DUMMYFUNCTION("""COMPUTED_VALUE"""),30415)</f>
        <v>30415</v>
      </c>
      <c r="C96" s="16">
        <f>IFERROR(__xludf.DUMMYFUNCTION("""COMPUTED_VALUE"""),45877.6458333333)</f>
        <v>45877.6458333333</v>
      </c>
      <c r="D96" s="17">
        <f>IFERROR(__xludf.DUMMYFUNCTION("""COMPUTED_VALUE"""),30560)</f>
        <v>30560</v>
      </c>
      <c r="E96" s="16">
        <f>IFERROR(__xludf.DUMMYFUNCTION("""COMPUTED_VALUE"""),45877.6458333333)</f>
        <v>45877.6458333333</v>
      </c>
      <c r="F96" s="17">
        <f>IFERROR(__xludf.DUMMYFUNCTION("""COMPUTED_VALUE"""),14155)</f>
        <v>14155</v>
      </c>
      <c r="G96" s="16">
        <f>IFERROR(__xludf.DUMMYFUNCTION("""COMPUTED_VALUE"""),45877.6458333333)</f>
        <v>45877.6458333333</v>
      </c>
      <c r="H96" s="17">
        <f>IFERROR(__xludf.DUMMYFUNCTION("""COMPUTED_VALUE"""),30935)</f>
        <v>30935</v>
      </c>
      <c r="I96" s="16">
        <f>IFERROR(__xludf.DUMMYFUNCTION("""COMPUTED_VALUE"""),45877.6458333333)</f>
        <v>45877.6458333333</v>
      </c>
      <c r="J96" s="17">
        <f>IFERROR(__xludf.DUMMYFUNCTION("""COMPUTED_VALUE"""),30330)</f>
        <v>30330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IFERROR(__xludf.DUMMYFUNCTION("""COMPUTED_VALUE"""),30640)</f>
        <v>30640</v>
      </c>
      <c r="C97" s="16">
        <f>IFERROR(__xludf.DUMMYFUNCTION("""COMPUTED_VALUE"""),45880.6458333333)</f>
        <v>45880.6458333333</v>
      </c>
      <c r="D97" s="17">
        <f>IFERROR(__xludf.DUMMYFUNCTION("""COMPUTED_VALUE"""),30435)</f>
        <v>30435</v>
      </c>
      <c r="E97" s="16">
        <f>IFERROR(__xludf.DUMMYFUNCTION("""COMPUTED_VALUE"""),45880.6458333333)</f>
        <v>45880.6458333333</v>
      </c>
      <c r="F97" s="17">
        <f>IFERROR(__xludf.DUMMYFUNCTION("""COMPUTED_VALUE"""),18515)</f>
        <v>18515</v>
      </c>
      <c r="G97" s="16">
        <f>IFERROR(__xludf.DUMMYFUNCTION("""COMPUTED_VALUE"""),45880.6458333333)</f>
        <v>45880.6458333333</v>
      </c>
      <c r="H97" s="17">
        <f>IFERROR(__xludf.DUMMYFUNCTION("""COMPUTED_VALUE"""),30845)</f>
        <v>30845</v>
      </c>
      <c r="I97" s="16">
        <f>IFERROR(__xludf.DUMMYFUNCTION("""COMPUTED_VALUE"""),45880.6458333333)</f>
        <v>45880.6458333333</v>
      </c>
      <c r="J97" s="17">
        <f>IFERROR(__xludf.DUMMYFUNCTION("""COMPUTED_VALUE"""),30350)</f>
        <v>30350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IFERROR(__xludf.DUMMYFUNCTION("""COMPUTED_VALUE"""),30410)</f>
        <v>30410</v>
      </c>
      <c r="C98" s="16">
        <f>IFERROR(__xludf.DUMMYFUNCTION("""COMPUTED_VALUE"""),45881.6458333333)</f>
        <v>45881.6458333333</v>
      </c>
      <c r="D98" s="17">
        <f>IFERROR(__xludf.DUMMYFUNCTION("""COMPUTED_VALUE"""),30640)</f>
        <v>30640</v>
      </c>
      <c r="E98" s="16">
        <f>IFERROR(__xludf.DUMMYFUNCTION("""COMPUTED_VALUE"""),45881.6458333333)</f>
        <v>45881.6458333333</v>
      </c>
      <c r="F98" s="17">
        <f>IFERROR(__xludf.DUMMYFUNCTION("""COMPUTED_VALUE"""),19839)</f>
        <v>19839</v>
      </c>
      <c r="G98" s="16">
        <f>IFERROR(__xludf.DUMMYFUNCTION("""COMPUTED_VALUE"""),45881.6458333333)</f>
        <v>45881.6458333333</v>
      </c>
      <c r="H98" s="17">
        <f>IFERROR(__xludf.DUMMYFUNCTION("""COMPUTED_VALUE"""),30700)</f>
        <v>30700</v>
      </c>
      <c r="I98" s="16">
        <f>IFERROR(__xludf.DUMMYFUNCTION("""COMPUTED_VALUE"""),45881.6458333333)</f>
        <v>45881.6458333333</v>
      </c>
      <c r="J98" s="17">
        <f>IFERROR(__xludf.DUMMYFUNCTION("""COMPUTED_VALUE"""),30355)</f>
        <v>30355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IFERROR(__xludf.DUMMYFUNCTION("""COMPUTED_VALUE"""),30410)</f>
        <v>30410</v>
      </c>
      <c r="C99" s="16">
        <f>IFERROR(__xludf.DUMMYFUNCTION("""COMPUTED_VALUE"""),45882.6458333333)</f>
        <v>45882.6458333333</v>
      </c>
      <c r="D99" s="17">
        <f>IFERROR(__xludf.DUMMYFUNCTION("""COMPUTED_VALUE"""),30450)</f>
        <v>30450</v>
      </c>
      <c r="E99" s="16">
        <f>IFERROR(__xludf.DUMMYFUNCTION("""COMPUTED_VALUE"""),45882.6458333333)</f>
        <v>45882.6458333333</v>
      </c>
      <c r="F99" s="17">
        <f>IFERROR(__xludf.DUMMYFUNCTION("""COMPUTED_VALUE"""),47546)</f>
        <v>47546</v>
      </c>
      <c r="G99" s="16">
        <f>IFERROR(__xludf.DUMMYFUNCTION("""COMPUTED_VALUE"""),45882.6458333333)</f>
        <v>45882.6458333333</v>
      </c>
      <c r="H99" s="17">
        <f>IFERROR(__xludf.DUMMYFUNCTION("""COMPUTED_VALUE"""),30735)</f>
        <v>30735</v>
      </c>
      <c r="I99" s="16">
        <f>IFERROR(__xludf.DUMMYFUNCTION("""COMPUTED_VALUE"""),45882.6458333333)</f>
        <v>45882.6458333333</v>
      </c>
      <c r="J99" s="17">
        <f>IFERROR(__xludf.DUMMYFUNCTION("""COMPUTED_VALUE"""),30250)</f>
        <v>30250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IFERROR(__xludf.DUMMYFUNCTION("""COMPUTED_VALUE"""),30400)</f>
        <v>30400</v>
      </c>
      <c r="C100" s="16">
        <f>IFERROR(__xludf.DUMMYFUNCTION("""COMPUTED_VALUE"""),45883.6458333333)</f>
        <v>45883.6458333333</v>
      </c>
      <c r="D100" s="17">
        <f>IFERROR(__xludf.DUMMYFUNCTION("""COMPUTED_VALUE"""),30610)</f>
        <v>30610</v>
      </c>
      <c r="E100" s="16">
        <f>IFERROR(__xludf.DUMMYFUNCTION("""COMPUTED_VALUE"""),45883.6458333333)</f>
        <v>45883.6458333333</v>
      </c>
      <c r="F100" s="17">
        <f>IFERROR(__xludf.DUMMYFUNCTION("""COMPUTED_VALUE"""),34703)</f>
        <v>34703</v>
      </c>
      <c r="G100" s="16">
        <f>IFERROR(__xludf.DUMMYFUNCTION("""COMPUTED_VALUE"""),45883.6458333333)</f>
        <v>45883.6458333333</v>
      </c>
      <c r="H100" s="17">
        <f>IFERROR(__xludf.DUMMYFUNCTION("""COMPUTED_VALUE"""),30610)</f>
        <v>30610</v>
      </c>
      <c r="I100" s="16">
        <f>IFERROR(__xludf.DUMMYFUNCTION("""COMPUTED_VALUE"""),45883.6458333333)</f>
        <v>45883.6458333333</v>
      </c>
      <c r="J100" s="17">
        <f>IFERROR(__xludf.DUMMYFUNCTION("""COMPUTED_VALUE"""),30230)</f>
        <v>30230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IFERROR(__xludf.DUMMYFUNCTION("""COMPUTED_VALUE"""),31340)</f>
        <v>31340</v>
      </c>
      <c r="C101" s="16">
        <f>IFERROR(__xludf.DUMMYFUNCTION("""COMPUTED_VALUE"""),45887.6458333333)</f>
        <v>45887.6458333333</v>
      </c>
      <c r="D101" s="17">
        <f>IFERROR(__xludf.DUMMYFUNCTION("""COMPUTED_VALUE"""),31000)</f>
        <v>31000</v>
      </c>
      <c r="E101" s="16">
        <f>IFERROR(__xludf.DUMMYFUNCTION("""COMPUTED_VALUE"""),45887.6458333333)</f>
        <v>45887.6458333333</v>
      </c>
      <c r="F101" s="17">
        <f>IFERROR(__xludf.DUMMYFUNCTION("""COMPUTED_VALUE"""),40018)</f>
        <v>40018</v>
      </c>
      <c r="G101" s="16">
        <f>IFERROR(__xludf.DUMMYFUNCTION("""COMPUTED_VALUE"""),45887.6458333333)</f>
        <v>45887.6458333333</v>
      </c>
      <c r="H101" s="17">
        <f>IFERROR(__xludf.DUMMYFUNCTION("""COMPUTED_VALUE"""),31920)</f>
        <v>31920</v>
      </c>
      <c r="I101" s="16">
        <f>IFERROR(__xludf.DUMMYFUNCTION("""COMPUTED_VALUE"""),45887.6458333333)</f>
        <v>45887.6458333333</v>
      </c>
      <c r="J101" s="17">
        <f>IFERROR(__xludf.DUMMYFUNCTION("""COMPUTED_VALUE"""),30755)</f>
        <v>30755</v>
      </c>
      <c r="K101" s="3">
        <f t="shared" si="2"/>
        <v>31340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IFERROR(__xludf.DUMMYFUNCTION("""COMPUTED_VALUE"""),30905)</f>
        <v>30905</v>
      </c>
      <c r="C102" s="16">
        <f>IFERROR(__xludf.DUMMYFUNCTION("""COMPUTED_VALUE"""),45888.6458333333)</f>
        <v>45888.6458333333</v>
      </c>
      <c r="D102" s="17">
        <f>IFERROR(__xludf.DUMMYFUNCTION("""COMPUTED_VALUE"""),31495)</f>
        <v>31495</v>
      </c>
      <c r="E102" s="16">
        <f>IFERROR(__xludf.DUMMYFUNCTION("""COMPUTED_VALUE"""),45888.6458333333)</f>
        <v>45888.6458333333</v>
      </c>
      <c r="F102" s="17">
        <f>IFERROR(__xludf.DUMMYFUNCTION("""COMPUTED_VALUE"""),44452)</f>
        <v>44452</v>
      </c>
      <c r="G102" s="16">
        <f>IFERROR(__xludf.DUMMYFUNCTION("""COMPUTED_VALUE"""),45888.6458333333)</f>
        <v>45888.6458333333</v>
      </c>
      <c r="H102" s="17">
        <f>IFERROR(__xludf.DUMMYFUNCTION("""COMPUTED_VALUE"""),31600)</f>
        <v>31600</v>
      </c>
      <c r="I102" s="16">
        <f>IFERROR(__xludf.DUMMYFUNCTION("""COMPUTED_VALUE"""),45888.6458333333)</f>
        <v>45888.6458333333</v>
      </c>
      <c r="J102" s="17">
        <f>IFERROR(__xludf.DUMMYFUNCTION("""COMPUTED_VALUE"""),30640)</f>
        <v>30640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IFERROR(__xludf.DUMMYFUNCTION("""COMPUTED_VALUE"""),30690)</f>
        <v>30690</v>
      </c>
      <c r="C103" s="16">
        <f>IFERROR(__xludf.DUMMYFUNCTION("""COMPUTED_VALUE"""),45889.6458333333)</f>
        <v>45889.6458333333</v>
      </c>
      <c r="D103" s="17">
        <f>IFERROR(__xludf.DUMMYFUNCTION("""COMPUTED_VALUE"""),31025)</f>
        <v>31025</v>
      </c>
      <c r="E103" s="16">
        <f>IFERROR(__xludf.DUMMYFUNCTION("""COMPUTED_VALUE"""),45889.6458333333)</f>
        <v>45889.6458333333</v>
      </c>
      <c r="F103" s="17">
        <f>IFERROR(__xludf.DUMMYFUNCTION("""COMPUTED_VALUE"""),29464)</f>
        <v>29464</v>
      </c>
      <c r="G103" s="16">
        <f>IFERROR(__xludf.DUMMYFUNCTION("""COMPUTED_VALUE"""),45889.6458333333)</f>
        <v>45889.6458333333</v>
      </c>
      <c r="H103" s="17">
        <f>IFERROR(__xludf.DUMMYFUNCTION("""COMPUTED_VALUE"""),31225)</f>
        <v>31225</v>
      </c>
      <c r="I103" s="16">
        <f>IFERROR(__xludf.DUMMYFUNCTION("""COMPUTED_VALUE"""),45889.6458333333)</f>
        <v>45889.6458333333</v>
      </c>
      <c r="J103" s="17">
        <f>IFERROR(__xludf.DUMMYFUNCTION("""COMPUTED_VALUE"""),30620)</f>
        <v>30620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IFERROR(__xludf.DUMMYFUNCTION("""COMPUTED_VALUE"""),30605)</f>
        <v>30605</v>
      </c>
      <c r="C104" s="16">
        <f>IFERROR(__xludf.DUMMYFUNCTION("""COMPUTED_VALUE"""),45890.6458333333)</f>
        <v>45890.6458333333</v>
      </c>
      <c r="D104" s="17">
        <f>IFERROR(__xludf.DUMMYFUNCTION("""COMPUTED_VALUE"""),30790)</f>
        <v>30790</v>
      </c>
      <c r="E104" s="16">
        <f>IFERROR(__xludf.DUMMYFUNCTION("""COMPUTED_VALUE"""),45890.6458333333)</f>
        <v>45890.6458333333</v>
      </c>
      <c r="F104" s="17">
        <f>IFERROR(__xludf.DUMMYFUNCTION("""COMPUTED_VALUE"""),12148)</f>
        <v>12148</v>
      </c>
      <c r="G104" s="16">
        <f>IFERROR(__xludf.DUMMYFUNCTION("""COMPUTED_VALUE"""),45890.6458333333)</f>
        <v>45890.6458333333</v>
      </c>
      <c r="H104" s="17">
        <f>IFERROR(__xludf.DUMMYFUNCTION("""COMPUTED_VALUE"""),30950)</f>
        <v>30950</v>
      </c>
      <c r="I104" s="16">
        <f>IFERROR(__xludf.DUMMYFUNCTION("""COMPUTED_VALUE"""),45890.6458333333)</f>
        <v>45890.6458333333</v>
      </c>
      <c r="J104" s="17">
        <f>IFERROR(__xludf.DUMMYFUNCTION("""COMPUTED_VALUE"""),30400)</f>
        <v>30400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IFERROR(__xludf.DUMMYFUNCTION("""COMPUTED_VALUE"""),30005)</f>
        <v>30005</v>
      </c>
      <c r="C105" s="16">
        <f>IFERROR(__xludf.DUMMYFUNCTION("""COMPUTED_VALUE"""),45891.6458333333)</f>
        <v>45891.6458333333</v>
      </c>
      <c r="D105" s="17">
        <f>IFERROR(__xludf.DUMMYFUNCTION("""COMPUTED_VALUE"""),30800)</f>
        <v>30800</v>
      </c>
      <c r="E105" s="16">
        <f>IFERROR(__xludf.DUMMYFUNCTION("""COMPUTED_VALUE"""),45891.6458333333)</f>
        <v>45891.6458333333</v>
      </c>
      <c r="F105" s="17">
        <f>IFERROR(__xludf.DUMMYFUNCTION("""COMPUTED_VALUE"""),23082)</f>
        <v>23082</v>
      </c>
      <c r="G105" s="16">
        <f>IFERROR(__xludf.DUMMYFUNCTION("""COMPUTED_VALUE"""),45891.6458333333)</f>
        <v>45891.6458333333</v>
      </c>
      <c r="H105" s="17">
        <f>IFERROR(__xludf.DUMMYFUNCTION("""COMPUTED_VALUE"""),30800)</f>
        <v>30800</v>
      </c>
      <c r="I105" s="16">
        <f>IFERROR(__xludf.DUMMYFUNCTION("""COMPUTED_VALUE"""),45891.6458333333)</f>
        <v>45891.6458333333</v>
      </c>
      <c r="J105" s="17">
        <f>IFERROR(__xludf.DUMMYFUNCTION("""COMPUTED_VALUE"""),29910)</f>
        <v>29910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IFERROR(__xludf.DUMMYFUNCTION("""COMPUTED_VALUE"""),30015)</f>
        <v>30015</v>
      </c>
      <c r="C106" s="16">
        <f>IFERROR(__xludf.DUMMYFUNCTION("""COMPUTED_VALUE"""),45894.6458333333)</f>
        <v>45894.6458333333</v>
      </c>
      <c r="D106" s="17">
        <f>IFERROR(__xludf.DUMMYFUNCTION("""COMPUTED_VALUE"""),30150)</f>
        <v>30150</v>
      </c>
      <c r="E106" s="16">
        <f>IFERROR(__xludf.DUMMYFUNCTION("""COMPUTED_VALUE"""),45894.6458333333)</f>
        <v>45894.6458333333</v>
      </c>
      <c r="F106" s="17">
        <f>IFERROR(__xludf.DUMMYFUNCTION("""COMPUTED_VALUE"""),36110)</f>
        <v>36110</v>
      </c>
      <c r="G106" s="16">
        <f>IFERROR(__xludf.DUMMYFUNCTION("""COMPUTED_VALUE"""),45894.6458333333)</f>
        <v>45894.6458333333</v>
      </c>
      <c r="H106" s="17">
        <f>IFERROR(__xludf.DUMMYFUNCTION("""COMPUTED_VALUE"""),30380)</f>
        <v>30380</v>
      </c>
      <c r="I106" s="16">
        <f>IFERROR(__xludf.DUMMYFUNCTION("""COMPUTED_VALUE"""),45894.6458333333)</f>
        <v>45894.6458333333</v>
      </c>
      <c r="J106" s="17">
        <f>IFERROR(__xludf.DUMMYFUNCTION("""COMPUTED_VALUE"""),29940)</f>
        <v>29940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IFERROR(__xludf.DUMMYFUNCTION("""COMPUTED_VALUE"""),30110)</f>
        <v>30110</v>
      </c>
      <c r="C107" s="16">
        <f>IFERROR(__xludf.DUMMYFUNCTION("""COMPUTED_VALUE"""),45895.6458333333)</f>
        <v>45895.6458333333</v>
      </c>
      <c r="D107" s="17">
        <f>IFERROR(__xludf.DUMMYFUNCTION("""COMPUTED_VALUE"""),30000)</f>
        <v>30000</v>
      </c>
      <c r="E107" s="16">
        <f>IFERROR(__xludf.DUMMYFUNCTION("""COMPUTED_VALUE"""),45895.6458333333)</f>
        <v>45895.6458333333</v>
      </c>
      <c r="F107" s="17">
        <f>IFERROR(__xludf.DUMMYFUNCTION("""COMPUTED_VALUE"""),27970)</f>
        <v>27970</v>
      </c>
      <c r="G107" s="16">
        <f>IFERROR(__xludf.DUMMYFUNCTION("""COMPUTED_VALUE"""),45895.6458333333)</f>
        <v>45895.6458333333</v>
      </c>
      <c r="H107" s="17">
        <f>IFERROR(__xludf.DUMMYFUNCTION("""COMPUTED_VALUE"""),30500)</f>
        <v>30500</v>
      </c>
      <c r="I107" s="16">
        <f>IFERROR(__xludf.DUMMYFUNCTION("""COMPUTED_VALUE"""),45895.6458333333)</f>
        <v>45895.6458333333</v>
      </c>
      <c r="J107" s="17">
        <f>IFERROR(__xludf.DUMMYFUNCTION("""COMPUTED_VALUE"""),29680)</f>
        <v>29680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IFERROR(__xludf.DUMMYFUNCTION("""COMPUTED_VALUE"""),29675)</f>
        <v>29675</v>
      </c>
      <c r="C108" s="16">
        <f>IFERROR(__xludf.DUMMYFUNCTION("""COMPUTED_VALUE"""),45897.6458333333)</f>
        <v>45897.6458333333</v>
      </c>
      <c r="D108" s="17">
        <f>IFERROR(__xludf.DUMMYFUNCTION("""COMPUTED_VALUE"""),30150)</f>
        <v>30150</v>
      </c>
      <c r="E108" s="16">
        <f>IFERROR(__xludf.DUMMYFUNCTION("""COMPUTED_VALUE"""),45897.6458333333)</f>
        <v>45897.6458333333</v>
      </c>
      <c r="F108" s="17">
        <f>IFERROR(__xludf.DUMMYFUNCTION("""COMPUTED_VALUE"""),32689)</f>
        <v>32689</v>
      </c>
      <c r="G108" s="16">
        <f>IFERROR(__xludf.DUMMYFUNCTION("""COMPUTED_VALUE"""),45897.6458333333)</f>
        <v>45897.6458333333</v>
      </c>
      <c r="H108" s="17">
        <f>IFERROR(__xludf.DUMMYFUNCTION("""COMPUTED_VALUE"""),30155)</f>
        <v>30155</v>
      </c>
      <c r="I108" s="16">
        <f>IFERROR(__xludf.DUMMYFUNCTION("""COMPUTED_VALUE"""),45897.6458333333)</f>
        <v>45897.6458333333</v>
      </c>
      <c r="J108" s="17">
        <f>IFERROR(__xludf.DUMMYFUNCTION("""COMPUTED_VALUE"""),29630)</f>
        <v>29630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IFERROR(__xludf.DUMMYFUNCTION("""COMPUTED_VALUE"""),29275)</f>
        <v>29275</v>
      </c>
      <c r="C109" s="16">
        <f>IFERROR(__xludf.DUMMYFUNCTION("""COMPUTED_VALUE"""),45898.6458333333)</f>
        <v>45898.6458333333</v>
      </c>
      <c r="D109" s="17">
        <f>IFERROR(__xludf.DUMMYFUNCTION("""COMPUTED_VALUE"""),29795)</f>
        <v>29795</v>
      </c>
      <c r="E109" s="16">
        <f>IFERROR(__xludf.DUMMYFUNCTION("""COMPUTED_VALUE"""),45898.6458333333)</f>
        <v>45898.6458333333</v>
      </c>
      <c r="F109" s="17">
        <f>IFERROR(__xludf.DUMMYFUNCTION("""COMPUTED_VALUE"""),63260)</f>
        <v>63260</v>
      </c>
      <c r="G109" s="16">
        <f>IFERROR(__xludf.DUMMYFUNCTION("""COMPUTED_VALUE"""),45898.6458333333)</f>
        <v>45898.6458333333</v>
      </c>
      <c r="H109" s="17">
        <f>IFERROR(__xludf.DUMMYFUNCTION("""COMPUTED_VALUE"""),29930)</f>
        <v>29930</v>
      </c>
      <c r="I109" s="16">
        <f>IFERROR(__xludf.DUMMYFUNCTION("""COMPUTED_VALUE"""),45898.6458333333)</f>
        <v>45898.6458333333</v>
      </c>
      <c r="J109" s="17">
        <f>IFERROR(__xludf.DUMMYFUNCTION("""COMPUTED_VALUE"""),29210)</f>
        <v>29210</v>
      </c>
      <c r="K109" s="3">
        <f t="shared" si="2"/>
        <v>0</v>
      </c>
      <c r="L109" s="3">
        <f t="shared" si="3"/>
        <v>29275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IFERROR(__xludf.DUMMYFUNCTION("""COMPUTED_VALUE"""),29870)</f>
        <v>29870</v>
      </c>
      <c r="C110" s="16">
        <f>IFERROR(__xludf.DUMMYFUNCTION("""COMPUTED_VALUE"""),45901.6458333333)</f>
        <v>45901.6458333333</v>
      </c>
      <c r="D110" s="17">
        <f>IFERROR(__xludf.DUMMYFUNCTION("""COMPUTED_VALUE"""),29350)</f>
        <v>29350</v>
      </c>
      <c r="E110" s="16">
        <f>IFERROR(__xludf.DUMMYFUNCTION("""COMPUTED_VALUE"""),45901.6458333333)</f>
        <v>45901.6458333333</v>
      </c>
      <c r="F110" s="17">
        <f>IFERROR(__xludf.DUMMYFUNCTION("""COMPUTED_VALUE"""),37442)</f>
        <v>37442</v>
      </c>
      <c r="G110" s="16">
        <f>IFERROR(__xludf.DUMMYFUNCTION("""COMPUTED_VALUE"""),45901.6458333333)</f>
        <v>45901.6458333333</v>
      </c>
      <c r="H110" s="17">
        <f>IFERROR(__xludf.DUMMYFUNCTION("""COMPUTED_VALUE"""),29975)</f>
        <v>29975</v>
      </c>
      <c r="I110" s="16">
        <f>IFERROR(__xludf.DUMMYFUNCTION("""COMPUTED_VALUE"""),45901.6458333333)</f>
        <v>45901.6458333333</v>
      </c>
      <c r="J110" s="17">
        <f>IFERROR(__xludf.DUMMYFUNCTION("""COMPUTED_VALUE"""),29305)</f>
        <v>29305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IFERROR(__xludf.DUMMYFUNCTION("""COMPUTED_VALUE"""),29995)</f>
        <v>29995</v>
      </c>
      <c r="C111" s="16">
        <f>IFERROR(__xludf.DUMMYFUNCTION("""COMPUTED_VALUE"""),45902.6458333333)</f>
        <v>45902.6458333333</v>
      </c>
      <c r="D111" s="17">
        <f>IFERROR(__xludf.DUMMYFUNCTION("""COMPUTED_VALUE"""),29900)</f>
        <v>29900</v>
      </c>
      <c r="E111" s="16">
        <f>IFERROR(__xludf.DUMMYFUNCTION("""COMPUTED_VALUE"""),45902.6458333333)</f>
        <v>45902.6458333333</v>
      </c>
      <c r="F111" s="17">
        <f>IFERROR(__xludf.DUMMYFUNCTION("""COMPUTED_VALUE"""),23155)</f>
        <v>23155</v>
      </c>
      <c r="G111" s="16">
        <f>IFERROR(__xludf.DUMMYFUNCTION("""COMPUTED_VALUE"""),45902.6458333333)</f>
        <v>45902.6458333333</v>
      </c>
      <c r="H111" s="17">
        <f>IFERROR(__xludf.DUMMYFUNCTION("""COMPUTED_VALUE"""),30155)</f>
        <v>30155</v>
      </c>
      <c r="I111" s="16">
        <f>IFERROR(__xludf.DUMMYFUNCTION("""COMPUTED_VALUE"""),45902.6458333333)</f>
        <v>45902.6458333333</v>
      </c>
      <c r="J111" s="17">
        <f>IFERROR(__xludf.DUMMYFUNCTION("""COMPUTED_VALUE"""),29745)</f>
        <v>29745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IFERROR(__xludf.DUMMYFUNCTION("""COMPUTED_VALUE"""),29940)</f>
        <v>29940</v>
      </c>
      <c r="C112" s="16">
        <f>IFERROR(__xludf.DUMMYFUNCTION("""COMPUTED_VALUE"""),45903.6458333333)</f>
        <v>45903.6458333333</v>
      </c>
      <c r="D112" s="17">
        <f>IFERROR(__xludf.DUMMYFUNCTION("""COMPUTED_VALUE"""),30100)</f>
        <v>30100</v>
      </c>
      <c r="E112" s="16">
        <f>IFERROR(__xludf.DUMMYFUNCTION("""COMPUTED_VALUE"""),45903.6458333333)</f>
        <v>45903.6458333333</v>
      </c>
      <c r="F112" s="17">
        <f>IFERROR(__xludf.DUMMYFUNCTION("""COMPUTED_VALUE"""),23539)</f>
        <v>23539</v>
      </c>
      <c r="G112" s="16">
        <f>IFERROR(__xludf.DUMMYFUNCTION("""COMPUTED_VALUE"""),45903.6458333333)</f>
        <v>45903.6458333333</v>
      </c>
      <c r="H112" s="17">
        <f>IFERROR(__xludf.DUMMYFUNCTION("""COMPUTED_VALUE"""),30275)</f>
        <v>30275</v>
      </c>
      <c r="I112" s="16">
        <f>IFERROR(__xludf.DUMMYFUNCTION("""COMPUTED_VALUE"""),45903.6458333333)</f>
        <v>45903.6458333333</v>
      </c>
      <c r="J112" s="17">
        <f>IFERROR(__xludf.DUMMYFUNCTION("""COMPUTED_VALUE"""),29880)</f>
        <v>29880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IFERROR(__xludf.DUMMYFUNCTION("""COMPUTED_VALUE"""),29945)</f>
        <v>29945</v>
      </c>
      <c r="C113" s="16">
        <f>IFERROR(__xludf.DUMMYFUNCTION("""COMPUTED_VALUE"""),45904.6458333333)</f>
        <v>45904.6458333333</v>
      </c>
      <c r="D113" s="17">
        <f>IFERROR(__xludf.DUMMYFUNCTION("""COMPUTED_VALUE"""),30380)</f>
        <v>30380</v>
      </c>
      <c r="E113" s="16">
        <f>IFERROR(__xludf.DUMMYFUNCTION("""COMPUTED_VALUE"""),45904.6458333333)</f>
        <v>45904.6458333333</v>
      </c>
      <c r="F113" s="17">
        <f>IFERROR(__xludf.DUMMYFUNCTION("""COMPUTED_VALUE"""),25439)</f>
        <v>25439</v>
      </c>
      <c r="G113" s="16">
        <f>IFERROR(__xludf.DUMMYFUNCTION("""COMPUTED_VALUE"""),45904.6458333333)</f>
        <v>45904.6458333333</v>
      </c>
      <c r="H113" s="17">
        <f>IFERROR(__xludf.DUMMYFUNCTION("""COMPUTED_VALUE"""),30750)</f>
        <v>30750</v>
      </c>
      <c r="I113" s="16">
        <f>IFERROR(__xludf.DUMMYFUNCTION("""COMPUTED_VALUE"""),45904.6458333333)</f>
        <v>45904.6458333333</v>
      </c>
      <c r="J113" s="17">
        <f>IFERROR(__xludf.DUMMYFUNCTION("""COMPUTED_VALUE"""),29845)</f>
        <v>29845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IFERROR(__xludf.DUMMYFUNCTION("""COMPUTED_VALUE"""),30040)</f>
        <v>30040</v>
      </c>
      <c r="C114" s="16">
        <f>IFERROR(__xludf.DUMMYFUNCTION("""COMPUTED_VALUE"""),45905.6458333333)</f>
        <v>45905.6458333333</v>
      </c>
      <c r="D114" s="17">
        <f>IFERROR(__xludf.DUMMYFUNCTION("""COMPUTED_VALUE"""),30100)</f>
        <v>30100</v>
      </c>
      <c r="E114" s="16">
        <f>IFERROR(__xludf.DUMMYFUNCTION("""COMPUTED_VALUE"""),45905.6458333333)</f>
        <v>45905.6458333333</v>
      </c>
      <c r="F114" s="17">
        <f>IFERROR(__xludf.DUMMYFUNCTION("""COMPUTED_VALUE"""),16653)</f>
        <v>16653</v>
      </c>
      <c r="G114" s="16">
        <f>IFERROR(__xludf.DUMMYFUNCTION("""COMPUTED_VALUE"""),45905.6458333333)</f>
        <v>45905.6458333333</v>
      </c>
      <c r="H114" s="17">
        <f>IFERROR(__xludf.DUMMYFUNCTION("""COMPUTED_VALUE"""),30100)</f>
        <v>30100</v>
      </c>
      <c r="I114" s="16">
        <f>IFERROR(__xludf.DUMMYFUNCTION("""COMPUTED_VALUE"""),45905.6458333333)</f>
        <v>45905.6458333333</v>
      </c>
      <c r="J114" s="17">
        <f>IFERROR(__xludf.DUMMYFUNCTION("""COMPUTED_VALUE"""),29670)</f>
        <v>29670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IFERROR(__xludf.DUMMYFUNCTION("""COMPUTED_VALUE"""),30485)</f>
        <v>30485</v>
      </c>
      <c r="C115" s="16">
        <f>IFERROR(__xludf.DUMMYFUNCTION("""COMPUTED_VALUE"""),45908.6458333333)</f>
        <v>45908.6458333333</v>
      </c>
      <c r="D115" s="17">
        <f>IFERROR(__xludf.DUMMYFUNCTION("""COMPUTED_VALUE"""),30000)</f>
        <v>30000</v>
      </c>
      <c r="E115" s="16">
        <f>IFERROR(__xludf.DUMMYFUNCTION("""COMPUTED_VALUE"""),45908.6458333333)</f>
        <v>45908.6458333333</v>
      </c>
      <c r="F115" s="17">
        <f>IFERROR(__xludf.DUMMYFUNCTION("""COMPUTED_VALUE"""),12239)</f>
        <v>12239</v>
      </c>
      <c r="G115" s="16">
        <f>IFERROR(__xludf.DUMMYFUNCTION("""COMPUTED_VALUE"""),45908.6458333333)</f>
        <v>45908.6458333333</v>
      </c>
      <c r="H115" s="17">
        <f>IFERROR(__xludf.DUMMYFUNCTION("""COMPUTED_VALUE"""),30655)</f>
        <v>30655</v>
      </c>
      <c r="I115" s="16">
        <f>IFERROR(__xludf.DUMMYFUNCTION("""COMPUTED_VALUE"""),45908.6458333333)</f>
        <v>45908.6458333333</v>
      </c>
      <c r="J115" s="17">
        <f>IFERROR(__xludf.DUMMYFUNCTION("""COMPUTED_VALUE"""),29995)</f>
        <v>29995</v>
      </c>
      <c r="K115" s="3">
        <f t="shared" si="2"/>
        <v>30485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IFERROR(__xludf.DUMMYFUNCTION("""COMPUTED_VALUE"""),30190)</f>
        <v>30190</v>
      </c>
      <c r="C116" s="16">
        <f>IFERROR(__xludf.DUMMYFUNCTION("""COMPUTED_VALUE"""),45909.6458333333)</f>
        <v>45909.6458333333</v>
      </c>
      <c r="D116" s="17">
        <f>IFERROR(__xludf.DUMMYFUNCTION("""COMPUTED_VALUE"""),30500)</f>
        <v>30500</v>
      </c>
      <c r="E116" s="16">
        <f>IFERROR(__xludf.DUMMYFUNCTION("""COMPUTED_VALUE"""),45909.6458333333)</f>
        <v>45909.6458333333</v>
      </c>
      <c r="F116" s="17">
        <f>IFERROR(__xludf.DUMMYFUNCTION("""COMPUTED_VALUE"""),22879)</f>
        <v>22879</v>
      </c>
      <c r="G116" s="16">
        <f>IFERROR(__xludf.DUMMYFUNCTION("""COMPUTED_VALUE"""),45909.6458333333)</f>
        <v>45909.6458333333</v>
      </c>
      <c r="H116" s="17">
        <f>IFERROR(__xludf.DUMMYFUNCTION("""COMPUTED_VALUE"""),30660)</f>
        <v>30660</v>
      </c>
      <c r="I116" s="16">
        <f>IFERROR(__xludf.DUMMYFUNCTION("""COMPUTED_VALUE"""),45909.6458333333)</f>
        <v>45909.6458333333</v>
      </c>
      <c r="J116" s="17">
        <f>IFERROR(__xludf.DUMMYFUNCTION("""COMPUTED_VALUE"""),30115)</f>
        <v>30115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IFERROR(__xludf.DUMMYFUNCTION("""COMPUTED_VALUE"""),29890)</f>
        <v>29890</v>
      </c>
      <c r="C117" s="16">
        <f>IFERROR(__xludf.DUMMYFUNCTION("""COMPUTED_VALUE"""),45910.6458333333)</f>
        <v>45910.6458333333</v>
      </c>
      <c r="D117" s="17">
        <f>IFERROR(__xludf.DUMMYFUNCTION("""COMPUTED_VALUE"""),30300)</f>
        <v>30300</v>
      </c>
      <c r="E117" s="16">
        <f>IFERROR(__xludf.DUMMYFUNCTION("""COMPUTED_VALUE"""),45910.6458333333)</f>
        <v>45910.6458333333</v>
      </c>
      <c r="F117" s="17">
        <f>IFERROR(__xludf.DUMMYFUNCTION("""COMPUTED_VALUE"""),34161)</f>
        <v>34161</v>
      </c>
      <c r="G117" s="16">
        <f>IFERROR(__xludf.DUMMYFUNCTION("""COMPUTED_VALUE"""),45910.6458333333)</f>
        <v>45910.6458333333</v>
      </c>
      <c r="H117" s="17">
        <f>IFERROR(__xludf.DUMMYFUNCTION("""COMPUTED_VALUE"""),30520)</f>
        <v>30520</v>
      </c>
      <c r="I117" s="16">
        <f>IFERROR(__xludf.DUMMYFUNCTION("""COMPUTED_VALUE"""),45910.6458333333)</f>
        <v>45910.6458333333</v>
      </c>
      <c r="J117" s="17">
        <f>IFERROR(__xludf.DUMMYFUNCTION("""COMPUTED_VALUE"""),29750)</f>
        <v>29750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IFERROR(__xludf.DUMMYFUNCTION("""COMPUTED_VALUE"""),29830)</f>
        <v>29830</v>
      </c>
      <c r="C118" s="16">
        <f>IFERROR(__xludf.DUMMYFUNCTION("""COMPUTED_VALUE"""),45911.6458333333)</f>
        <v>45911.6458333333</v>
      </c>
      <c r="D118" s="17">
        <f>IFERROR(__xludf.DUMMYFUNCTION("""COMPUTED_VALUE"""),29925)</f>
        <v>29925</v>
      </c>
      <c r="E118" s="16">
        <f>IFERROR(__xludf.DUMMYFUNCTION("""COMPUTED_VALUE"""),45911.6458333333)</f>
        <v>45911.6458333333</v>
      </c>
      <c r="F118" s="17">
        <f>IFERROR(__xludf.DUMMYFUNCTION("""COMPUTED_VALUE"""),20878)</f>
        <v>20878</v>
      </c>
      <c r="G118" s="16">
        <f>IFERROR(__xludf.DUMMYFUNCTION("""COMPUTED_VALUE"""),45911.6458333333)</f>
        <v>45911.6458333333</v>
      </c>
      <c r="H118" s="17">
        <f>IFERROR(__xludf.DUMMYFUNCTION("""COMPUTED_VALUE"""),30100)</f>
        <v>30100</v>
      </c>
      <c r="I118" s="16">
        <f>IFERROR(__xludf.DUMMYFUNCTION("""COMPUTED_VALUE"""),45911.6458333333)</f>
        <v>45911.6458333333</v>
      </c>
      <c r="J118" s="17">
        <f>IFERROR(__xludf.DUMMYFUNCTION("""COMPUTED_VALUE"""),29625)</f>
        <v>29625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IFERROR(__xludf.DUMMYFUNCTION("""COMPUTED_VALUE"""),29580)</f>
        <v>29580</v>
      </c>
      <c r="C119" s="16">
        <f>IFERROR(__xludf.DUMMYFUNCTION("""COMPUTED_VALUE"""),45912.6458333333)</f>
        <v>45912.6458333333</v>
      </c>
      <c r="D119" s="17">
        <f>IFERROR(__xludf.DUMMYFUNCTION("""COMPUTED_VALUE"""),29850)</f>
        <v>29850</v>
      </c>
      <c r="E119" s="16">
        <f>IFERROR(__xludf.DUMMYFUNCTION("""COMPUTED_VALUE"""),45912.6458333333)</f>
        <v>45912.6458333333</v>
      </c>
      <c r="F119" s="17">
        <f>IFERROR(__xludf.DUMMYFUNCTION("""COMPUTED_VALUE"""),21104)</f>
        <v>21104</v>
      </c>
      <c r="G119" s="16">
        <f>IFERROR(__xludf.DUMMYFUNCTION("""COMPUTED_VALUE"""),45912.6458333333)</f>
        <v>45912.6458333333</v>
      </c>
      <c r="H119" s="17">
        <f>IFERROR(__xludf.DUMMYFUNCTION("""COMPUTED_VALUE"""),29935)</f>
        <v>29935</v>
      </c>
      <c r="I119" s="16">
        <f>IFERROR(__xludf.DUMMYFUNCTION("""COMPUTED_VALUE"""),45912.6458333333)</f>
        <v>45912.6458333333</v>
      </c>
      <c r="J119" s="17">
        <f>IFERROR(__xludf.DUMMYFUNCTION("""COMPUTED_VALUE"""),29500)</f>
        <v>29500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IFERROR(__xludf.DUMMYFUNCTION("""COMPUTED_VALUE"""),29275)</f>
        <v>29275</v>
      </c>
      <c r="C120" s="16">
        <f>IFERROR(__xludf.DUMMYFUNCTION("""COMPUTED_VALUE"""),45915.6458333333)</f>
        <v>45915.6458333333</v>
      </c>
      <c r="D120" s="17">
        <f>IFERROR(__xludf.DUMMYFUNCTION("""COMPUTED_VALUE"""),29800)</f>
        <v>29800</v>
      </c>
      <c r="E120" s="16">
        <f>IFERROR(__xludf.DUMMYFUNCTION("""COMPUTED_VALUE"""),45915.6458333333)</f>
        <v>45915.6458333333</v>
      </c>
      <c r="F120" s="17">
        <f>IFERROR(__xludf.DUMMYFUNCTION("""COMPUTED_VALUE"""),25565)</f>
        <v>25565</v>
      </c>
      <c r="G120" s="16">
        <f>IFERROR(__xludf.DUMMYFUNCTION("""COMPUTED_VALUE"""),45915.6458333333)</f>
        <v>45915.6458333333</v>
      </c>
      <c r="H120" s="17">
        <f>IFERROR(__xludf.DUMMYFUNCTION("""COMPUTED_VALUE"""),29800)</f>
        <v>29800</v>
      </c>
      <c r="I120" s="16">
        <f>IFERROR(__xludf.DUMMYFUNCTION("""COMPUTED_VALUE"""),45915.6458333333)</f>
        <v>45915.6458333333</v>
      </c>
      <c r="J120" s="17">
        <f>IFERROR(__xludf.DUMMYFUNCTION("""COMPUTED_VALUE"""),29230)</f>
        <v>29230</v>
      </c>
      <c r="K120" s="3">
        <f t="shared" si="2"/>
        <v>0</v>
      </c>
      <c r="L120" s="3">
        <f t="shared" si="3"/>
        <v>29275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IFERROR(__xludf.DUMMYFUNCTION("""COMPUTED_VALUE"""),29575)</f>
        <v>29575</v>
      </c>
      <c r="C121" s="16">
        <f>IFERROR(__xludf.DUMMYFUNCTION("""COMPUTED_VALUE"""),45916.6458333333)</f>
        <v>45916.6458333333</v>
      </c>
      <c r="D121" s="17">
        <f>IFERROR(__xludf.DUMMYFUNCTION("""COMPUTED_VALUE"""),29500)</f>
        <v>29500</v>
      </c>
      <c r="E121" s="16">
        <f>IFERROR(__xludf.DUMMYFUNCTION("""COMPUTED_VALUE"""),45916.6458333333)</f>
        <v>45916.6458333333</v>
      </c>
      <c r="F121" s="17">
        <f>IFERROR(__xludf.DUMMYFUNCTION("""COMPUTED_VALUE"""),40795)</f>
        <v>40795</v>
      </c>
      <c r="G121" s="16">
        <f>IFERROR(__xludf.DUMMYFUNCTION("""COMPUTED_VALUE"""),45916.6458333333)</f>
        <v>45916.6458333333</v>
      </c>
      <c r="H121" s="17">
        <f>IFERROR(__xludf.DUMMYFUNCTION("""COMPUTED_VALUE"""),29900)</f>
        <v>29900</v>
      </c>
      <c r="I121" s="16">
        <f>IFERROR(__xludf.DUMMYFUNCTION("""COMPUTED_VALUE"""),45916.6458333333)</f>
        <v>45916.6458333333</v>
      </c>
      <c r="J121" s="17">
        <f>IFERROR(__xludf.DUMMYFUNCTION("""COMPUTED_VALUE"""),29430)</f>
        <v>29430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IFERROR(__xludf.DUMMYFUNCTION("""COMPUTED_VALUE"""),29685)</f>
        <v>29685</v>
      </c>
      <c r="C122" s="16">
        <f>IFERROR(__xludf.DUMMYFUNCTION("""COMPUTED_VALUE"""),45917.6458333333)</f>
        <v>45917.6458333333</v>
      </c>
      <c r="D122" s="17">
        <f>IFERROR(__xludf.DUMMYFUNCTION("""COMPUTED_VALUE"""),29780)</f>
        <v>29780</v>
      </c>
      <c r="E122" s="16">
        <f>IFERROR(__xludf.DUMMYFUNCTION("""COMPUTED_VALUE"""),45917.6458333333)</f>
        <v>45917.6458333333</v>
      </c>
      <c r="F122" s="17">
        <f>IFERROR(__xludf.DUMMYFUNCTION("""COMPUTED_VALUE"""),47492)</f>
        <v>47492</v>
      </c>
      <c r="G122" s="16">
        <f>IFERROR(__xludf.DUMMYFUNCTION("""COMPUTED_VALUE"""),45917.6458333333)</f>
        <v>45917.6458333333</v>
      </c>
      <c r="H122" s="17">
        <f>IFERROR(__xludf.DUMMYFUNCTION("""COMPUTED_VALUE"""),30190)</f>
        <v>30190</v>
      </c>
      <c r="I122" s="16">
        <f>IFERROR(__xludf.DUMMYFUNCTION("""COMPUTED_VALUE"""),45917.6458333333)</f>
        <v>45917.6458333333</v>
      </c>
      <c r="J122" s="17">
        <f>IFERROR(__xludf.DUMMYFUNCTION("""COMPUTED_VALUE"""),29540)</f>
        <v>29540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IFERROR(__xludf.DUMMYFUNCTION("""COMPUTED_VALUE"""),29960)</f>
        <v>29960</v>
      </c>
      <c r="C123" s="16">
        <f>IFERROR(__xludf.DUMMYFUNCTION("""COMPUTED_VALUE"""),45918.6458333333)</f>
        <v>45918.6458333333</v>
      </c>
      <c r="D123" s="17">
        <f>IFERROR(__xludf.DUMMYFUNCTION("""COMPUTED_VALUE"""),29880)</f>
        <v>29880</v>
      </c>
      <c r="E123" s="16">
        <f>IFERROR(__xludf.DUMMYFUNCTION("""COMPUTED_VALUE"""),45918.6458333333)</f>
        <v>45918.6458333333</v>
      </c>
      <c r="F123" s="17">
        <f>IFERROR(__xludf.DUMMYFUNCTION("""COMPUTED_VALUE"""),36221)</f>
        <v>36221</v>
      </c>
      <c r="G123" s="16">
        <f>IFERROR(__xludf.DUMMYFUNCTION("""COMPUTED_VALUE"""),45918.6458333333)</f>
        <v>45918.6458333333</v>
      </c>
      <c r="H123" s="17">
        <f>IFERROR(__xludf.DUMMYFUNCTION("""COMPUTED_VALUE"""),30025)</f>
        <v>30025</v>
      </c>
      <c r="I123" s="16">
        <f>IFERROR(__xludf.DUMMYFUNCTION("""COMPUTED_VALUE"""),45918.6458333333)</f>
        <v>45918.6458333333</v>
      </c>
      <c r="J123" s="17">
        <f>IFERROR(__xludf.DUMMYFUNCTION("""COMPUTED_VALUE"""),29650)</f>
        <v>29650</v>
      </c>
      <c r="K123" s="3">
        <f t="shared" si="2"/>
        <v>29960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IFERROR(__xludf.DUMMYFUNCTION("""COMPUTED_VALUE"""),29880)</f>
        <v>29880</v>
      </c>
      <c r="C124" s="16">
        <f>IFERROR(__xludf.DUMMYFUNCTION("""COMPUTED_VALUE"""),45919.6458333333)</f>
        <v>45919.6458333333</v>
      </c>
      <c r="D124" s="17">
        <f>IFERROR(__xludf.DUMMYFUNCTION("""COMPUTED_VALUE"""),30145)</f>
        <v>30145</v>
      </c>
      <c r="E124" s="16">
        <f>IFERROR(__xludf.DUMMYFUNCTION("""COMPUTED_VALUE"""),45919.6458333333)</f>
        <v>45919.6458333333</v>
      </c>
      <c r="F124" s="17">
        <f>IFERROR(__xludf.DUMMYFUNCTION("""COMPUTED_VALUE"""),62728)</f>
        <v>62728</v>
      </c>
      <c r="G124" s="16">
        <f>IFERROR(__xludf.DUMMYFUNCTION("""COMPUTED_VALUE"""),45919.6458333333)</f>
        <v>45919.6458333333</v>
      </c>
      <c r="H124" s="17">
        <f>IFERROR(__xludf.DUMMYFUNCTION("""COMPUTED_VALUE"""),30145)</f>
        <v>30145</v>
      </c>
      <c r="I124" s="16">
        <f>IFERROR(__xludf.DUMMYFUNCTION("""COMPUTED_VALUE"""),45919.6458333333)</f>
        <v>45919.6458333333</v>
      </c>
      <c r="J124" s="17">
        <f>IFERROR(__xludf.DUMMYFUNCTION("""COMPUTED_VALUE"""),29685)</f>
        <v>29685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IFERROR(__xludf.DUMMYFUNCTION("""COMPUTED_VALUE"""),29705)</f>
        <v>29705</v>
      </c>
      <c r="C125" s="16">
        <f>IFERROR(__xludf.DUMMYFUNCTION("""COMPUTED_VALUE"""),45922.6458333333)</f>
        <v>45922.6458333333</v>
      </c>
      <c r="D125" s="17">
        <f>IFERROR(__xludf.DUMMYFUNCTION("""COMPUTED_VALUE"""),30000)</f>
        <v>30000</v>
      </c>
      <c r="E125" s="16">
        <f>IFERROR(__xludf.DUMMYFUNCTION("""COMPUTED_VALUE"""),45922.6458333333)</f>
        <v>45922.6458333333</v>
      </c>
      <c r="F125" s="17">
        <f>IFERROR(__xludf.DUMMYFUNCTION("""COMPUTED_VALUE"""),42575)</f>
        <v>42575</v>
      </c>
      <c r="G125" s="16">
        <f>IFERROR(__xludf.DUMMYFUNCTION("""COMPUTED_VALUE"""),45922.6458333333)</f>
        <v>45922.6458333333</v>
      </c>
      <c r="H125" s="17">
        <f>IFERROR(__xludf.DUMMYFUNCTION("""COMPUTED_VALUE"""),30000)</f>
        <v>30000</v>
      </c>
      <c r="I125" s="16">
        <f>IFERROR(__xludf.DUMMYFUNCTION("""COMPUTED_VALUE"""),45922.6458333333)</f>
        <v>45922.6458333333</v>
      </c>
      <c r="J125" s="17">
        <f>IFERROR(__xludf.DUMMYFUNCTION("""COMPUTED_VALUE"""),29650)</f>
        <v>29650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IFERROR(__xludf.DUMMYFUNCTION("""COMPUTED_VALUE"""),29790)</f>
        <v>29790</v>
      </c>
      <c r="C126" s="16">
        <f>IFERROR(__xludf.DUMMYFUNCTION("""COMPUTED_VALUE"""),45923.6458333333)</f>
        <v>45923.6458333333</v>
      </c>
      <c r="D126" s="17">
        <f>IFERROR(__xludf.DUMMYFUNCTION("""COMPUTED_VALUE"""),29895)</f>
        <v>29895</v>
      </c>
      <c r="E126" s="16">
        <f>IFERROR(__xludf.DUMMYFUNCTION("""COMPUTED_VALUE"""),45923.6458333333)</f>
        <v>45923.6458333333</v>
      </c>
      <c r="F126" s="17">
        <f>IFERROR(__xludf.DUMMYFUNCTION("""COMPUTED_VALUE"""),33031)</f>
        <v>33031</v>
      </c>
      <c r="G126" s="16">
        <f>IFERROR(__xludf.DUMMYFUNCTION("""COMPUTED_VALUE"""),45923.6458333333)</f>
        <v>45923.6458333333</v>
      </c>
      <c r="H126" s="17">
        <f>IFERROR(__xludf.DUMMYFUNCTION("""COMPUTED_VALUE"""),30115)</f>
        <v>30115</v>
      </c>
      <c r="I126" s="16">
        <f>IFERROR(__xludf.DUMMYFUNCTION("""COMPUTED_VALUE"""),45923.6458333333)</f>
        <v>45923.6458333333</v>
      </c>
      <c r="J126" s="17">
        <f>IFERROR(__xludf.DUMMYFUNCTION("""COMPUTED_VALUE"""),29690)</f>
        <v>29690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IFERROR(__xludf.DUMMYFUNCTION("""COMPUTED_VALUE"""),29650)</f>
        <v>29650</v>
      </c>
      <c r="C127" s="16">
        <f>IFERROR(__xludf.DUMMYFUNCTION("""COMPUTED_VALUE"""),45924.6458333333)</f>
        <v>45924.6458333333</v>
      </c>
      <c r="D127" s="17">
        <f>IFERROR(__xludf.DUMMYFUNCTION("""COMPUTED_VALUE"""),30000)</f>
        <v>30000</v>
      </c>
      <c r="E127" s="16">
        <f>IFERROR(__xludf.DUMMYFUNCTION("""COMPUTED_VALUE"""),45924.6458333333)</f>
        <v>45924.6458333333</v>
      </c>
      <c r="F127" s="17">
        <f>IFERROR(__xludf.DUMMYFUNCTION("""COMPUTED_VALUE"""),35863)</f>
        <v>35863</v>
      </c>
      <c r="G127" s="16">
        <f>IFERROR(__xludf.DUMMYFUNCTION("""COMPUTED_VALUE"""),45924.6458333333)</f>
        <v>45924.6458333333</v>
      </c>
      <c r="H127" s="17">
        <f>IFERROR(__xludf.DUMMYFUNCTION("""COMPUTED_VALUE"""),30000)</f>
        <v>30000</v>
      </c>
      <c r="I127" s="16">
        <f>IFERROR(__xludf.DUMMYFUNCTION("""COMPUTED_VALUE"""),45924.6458333333)</f>
        <v>45924.6458333333</v>
      </c>
      <c r="J127" s="17">
        <f>IFERROR(__xludf.DUMMYFUNCTION("""COMPUTED_VALUE"""),29555)</f>
        <v>29555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IFERROR(__xludf.DUMMYFUNCTION("""COMPUTED_VALUE"""),29515)</f>
        <v>29515</v>
      </c>
      <c r="C128" s="16">
        <f>IFERROR(__xludf.DUMMYFUNCTION("""COMPUTED_VALUE"""),45925.6458333333)</f>
        <v>45925.6458333333</v>
      </c>
      <c r="D128" s="17">
        <f>IFERROR(__xludf.DUMMYFUNCTION("""COMPUTED_VALUE"""),29705)</f>
        <v>29705</v>
      </c>
      <c r="E128" s="16">
        <f>IFERROR(__xludf.DUMMYFUNCTION("""COMPUTED_VALUE"""),45925.6458333333)</f>
        <v>45925.6458333333</v>
      </c>
      <c r="F128" s="17">
        <f>IFERROR(__xludf.DUMMYFUNCTION("""COMPUTED_VALUE"""),31286)</f>
        <v>31286</v>
      </c>
      <c r="G128" s="16">
        <f>IFERROR(__xludf.DUMMYFUNCTION("""COMPUTED_VALUE"""),45925.6458333333)</f>
        <v>45925.6458333333</v>
      </c>
      <c r="H128" s="17">
        <f>IFERROR(__xludf.DUMMYFUNCTION("""COMPUTED_VALUE"""),29915)</f>
        <v>29915</v>
      </c>
      <c r="I128" s="16">
        <f>IFERROR(__xludf.DUMMYFUNCTION("""COMPUTED_VALUE"""),45925.6458333333)</f>
        <v>45925.6458333333</v>
      </c>
      <c r="J128" s="17">
        <f>IFERROR(__xludf.DUMMYFUNCTION("""COMPUTED_VALUE"""),29430)</f>
        <v>29430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IFERROR(__xludf.DUMMYFUNCTION("""COMPUTED_VALUE"""),28910)</f>
        <v>28910</v>
      </c>
      <c r="C129" s="16">
        <f>IFERROR(__xludf.DUMMYFUNCTION("""COMPUTED_VALUE"""),45926.6458333333)</f>
        <v>45926.6458333333</v>
      </c>
      <c r="D129" s="17">
        <f>IFERROR(__xludf.DUMMYFUNCTION("""COMPUTED_VALUE"""),29515)</f>
        <v>29515</v>
      </c>
      <c r="E129" s="16">
        <f>IFERROR(__xludf.DUMMYFUNCTION("""COMPUTED_VALUE"""),45926.6458333333)</f>
        <v>45926.6458333333</v>
      </c>
      <c r="F129" s="17">
        <f>IFERROR(__xludf.DUMMYFUNCTION("""COMPUTED_VALUE"""),20857)</f>
        <v>20857</v>
      </c>
      <c r="G129" s="16">
        <f>IFERROR(__xludf.DUMMYFUNCTION("""COMPUTED_VALUE"""),45926.6458333333)</f>
        <v>45926.6458333333</v>
      </c>
      <c r="H129" s="17">
        <f>IFERROR(__xludf.DUMMYFUNCTION("""COMPUTED_VALUE"""),29635)</f>
        <v>29635</v>
      </c>
      <c r="I129" s="16">
        <f>IFERROR(__xludf.DUMMYFUNCTION("""COMPUTED_VALUE"""),45926.6458333333)</f>
        <v>45926.6458333333</v>
      </c>
      <c r="J129" s="17">
        <f>IFERROR(__xludf.DUMMYFUNCTION("""COMPUTED_VALUE"""),28795)</f>
        <v>28795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78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""price"")"),1585)</f>
        <v>1585</v>
      </c>
      <c r="I3" s="22" t="s">
        <v>269</v>
      </c>
      <c r="J3" s="23">
        <f>IFERROR(__xludf.DUMMYFUNCTION("GOOGLEFINANCE(L3, ""volume"")"),7256759)</f>
        <v>7256759</v>
      </c>
      <c r="K3" s="24" t="s">
        <v>270</v>
      </c>
      <c r="L3" s="25" t="str">
        <f>Mastersheet!B35</f>
        <v>NSE:SUNPHARMA</v>
      </c>
      <c r="M3" s="26">
        <f>IFERROR(__xludf.DUMMYFUNCTION("""COMPUTED_VALUE"""),45926.6458333333)</f>
        <v>45926.6458333333</v>
      </c>
      <c r="N3" s="27">
        <f>IFERROR(__xludf.DUMMYFUNCTION("""COMPUTED_VALUE"""),1586.7)</f>
        <v>1586.7</v>
      </c>
      <c r="O3" s="26">
        <f>IFERROR(__xludf.DUMMYFUNCTION("""COMPUTED_VALUE"""),45926.6458333333)</f>
        <v>45926.6458333333</v>
      </c>
      <c r="P3" s="27">
        <f>IFERROR(__xludf.DUMMYFUNCTION("""COMPUTED_VALUE"""),1585)</f>
        <v>1585</v>
      </c>
      <c r="Q3" s="16">
        <f>IFERROR(__xludf.DUMMYFUNCTION("""COMPUTED_VALUE"""),45926.6458333333)</f>
        <v>45926.6458333333</v>
      </c>
      <c r="R3" s="17">
        <f>IFERROR(__xludf.DUMMYFUNCTION("""COMPUTED_VALUE"""),1602.9)</f>
        <v>1602.9</v>
      </c>
      <c r="S3" s="16">
        <f>IFERROR(__xludf.DUMMYFUNCTION("""COMPUTED_VALUE"""),45926.6458333333)</f>
        <v>45926.6458333333</v>
      </c>
      <c r="T3" s="17">
        <f>IFERROR(__xludf.DUMMYFUNCTION("""COMPUTED_VALUE"""),1548)</f>
        <v>1548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IFERROR(__xludf.DUMMYFUNCTION("""COMPUTED_VALUE"""),1731.45)</f>
        <v>1731.45</v>
      </c>
      <c r="C5" s="14">
        <f>IFERROR(__xludf.DUMMYFUNCTION("""COMPUTED_VALUE"""),45743.6458333333)</f>
        <v>45743.6458333333</v>
      </c>
      <c r="D5" s="15">
        <f>IFERROR(__xludf.DUMMYFUNCTION("""COMPUTED_VALUE"""),1751)</f>
        <v>1751</v>
      </c>
      <c r="E5" s="14">
        <f>IFERROR(__xludf.DUMMYFUNCTION("""COMPUTED_VALUE"""),45743.6458333333)</f>
        <v>45743.6458333333</v>
      </c>
      <c r="F5" s="15">
        <f>IFERROR(__xludf.DUMMYFUNCTION("""COMPUTED_VALUE"""),3279881)</f>
        <v>3279881</v>
      </c>
      <c r="G5" s="14">
        <f>IFERROR(__xludf.DUMMYFUNCTION("""COMPUTED_VALUE"""),45743.6458333333)</f>
        <v>45743.6458333333</v>
      </c>
      <c r="H5" s="15">
        <f>IFERROR(__xludf.DUMMYFUNCTION("""COMPUTED_VALUE"""),1752.3)</f>
        <v>1752.3</v>
      </c>
      <c r="I5" s="30">
        <f>IFERROR(__xludf.DUMMYFUNCTION("""COMPUTED_VALUE"""),45743.6458333333)</f>
        <v>45743.6458333333</v>
      </c>
      <c r="J5" s="3">
        <f>IFERROR(__xludf.DUMMYFUNCTION("""COMPUTED_VALUE"""),1720)</f>
        <v>1720</v>
      </c>
      <c r="K5" s="5"/>
      <c r="L5" s="5"/>
      <c r="M5" s="3">
        <f t="array" ref="M5">INDEX(K11:K124,MATCH(SMALL(ABS(K11:K124-H3),1),ABS(K11:K124-H3),0))</f>
        <v>1656</v>
      </c>
      <c r="N5" s="3">
        <f t="array" ref="N5">INDEX(K11:K124,MATCH(SMALL(ABS(K11:K124-H3),2),ABS(K11:K124-H3),0))</f>
        <v>1656.7</v>
      </c>
      <c r="O5" s="3">
        <f t="array" ref="O5">INDEX(L11:L124,MATCH(SMALL(ABS(L11:L124-H3),1),ABS(L11:L124-H3),0))</f>
        <v>1586.9</v>
      </c>
      <c r="P5" s="3">
        <f t="array" ref="P5">INDEX(L11:L124,MATCH(SMALL(ABS(L11:L124-H3),2),ABS(L11:L124-H3),0))</f>
        <v>1563.3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1833.6</v>
      </c>
      <c r="T5" s="17">
        <f ca="1">IF(AND(H3&gt;=Mastersheet!I3*S5,H3&lt;=Mastersheet!J3*S5),1,0)</f>
        <v>0</v>
      </c>
      <c r="U5" s="36">
        <f>(N3+P3)/2</f>
        <v>1585.85</v>
      </c>
      <c r="V5" s="17">
        <f>(N3+P3+R3+T3)/4</f>
        <v>1580.65</v>
      </c>
      <c r="W5" s="17">
        <f>IF(V5&gt;U5,1,0)</f>
        <v>0</v>
      </c>
      <c r="X5" s="17">
        <f>IF(V5&gt;U5,0,1)</f>
        <v>1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IFERROR(__xludf.DUMMYFUNCTION("""COMPUTED_VALUE"""),1734.7)</f>
        <v>1734.7</v>
      </c>
      <c r="C6" s="16">
        <f>IFERROR(__xludf.DUMMYFUNCTION("""COMPUTED_VALUE"""),45744.6458333333)</f>
        <v>45744.6458333333</v>
      </c>
      <c r="D6" s="17">
        <f>IFERROR(__xludf.DUMMYFUNCTION("""COMPUTED_VALUE"""),1731.45)</f>
        <v>1731.45</v>
      </c>
      <c r="E6" s="16">
        <f>IFERROR(__xludf.DUMMYFUNCTION("""COMPUTED_VALUE"""),45744.6458333333)</f>
        <v>45744.6458333333</v>
      </c>
      <c r="F6" s="17">
        <f>IFERROR(__xludf.DUMMYFUNCTION("""COMPUTED_VALUE"""),1956781)</f>
        <v>1956781</v>
      </c>
      <c r="G6" s="16">
        <f>IFERROR(__xludf.DUMMYFUNCTION("""COMPUTED_VALUE"""),45744.6458333333)</f>
        <v>45744.6458333333</v>
      </c>
      <c r="H6" s="17">
        <f>IFERROR(__xludf.DUMMYFUNCTION("""COMPUTED_VALUE"""),1741.35)</f>
        <v>1741.35</v>
      </c>
      <c r="I6" s="16">
        <f>IFERROR(__xludf.DUMMYFUNCTION("""COMPUTED_VALUE"""),45744.6458333333)</f>
        <v>45744.6458333333</v>
      </c>
      <c r="J6" s="17">
        <f>IFERROR(__xludf.DUMMYFUNCTION("""COMPUTED_VALUE"""),1705.2)</f>
        <v>1705.2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1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IFERROR(__xludf.DUMMYFUNCTION("""COMPUTED_VALUE"""),1698.35)</f>
        <v>1698.35</v>
      </c>
      <c r="C7" s="16">
        <f>IFERROR(__xludf.DUMMYFUNCTION("""COMPUTED_VALUE"""),45748.6458333333)</f>
        <v>45748.6458333333</v>
      </c>
      <c r="D7" s="17">
        <f>IFERROR(__xludf.DUMMYFUNCTION("""COMPUTED_VALUE"""),1731)</f>
        <v>1731</v>
      </c>
      <c r="E7" s="16">
        <f>IFERROR(__xludf.DUMMYFUNCTION("""COMPUTED_VALUE"""),45748.6458333333)</f>
        <v>45748.6458333333</v>
      </c>
      <c r="F7" s="17">
        <f>IFERROR(__xludf.DUMMYFUNCTION("""COMPUTED_VALUE"""),4142445)</f>
        <v>4142445</v>
      </c>
      <c r="G7" s="16">
        <f>IFERROR(__xludf.DUMMYFUNCTION("""COMPUTED_VALUE"""),45748.6458333333)</f>
        <v>45748.6458333333</v>
      </c>
      <c r="H7" s="17">
        <f>IFERROR(__xludf.DUMMYFUNCTION("""COMPUTED_VALUE"""),1733.95)</f>
        <v>1733.95</v>
      </c>
      <c r="I7" s="16">
        <f>IFERROR(__xludf.DUMMYFUNCTION("""COMPUTED_VALUE"""),45748.6458333333)</f>
        <v>45748.6458333333</v>
      </c>
      <c r="J7" s="17">
        <f>IFERROR(__xludf.DUMMYFUNCTION("""COMPUTED_VALUE"""),1681.6)</f>
        <v>1681.6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IFERROR(__xludf.DUMMYFUNCTION("""COMPUTED_VALUE"""),1713.65)</f>
        <v>1713.65</v>
      </c>
      <c r="C8" s="16">
        <f>IFERROR(__xludf.DUMMYFUNCTION("""COMPUTED_VALUE"""),45749.6458333333)</f>
        <v>45749.6458333333</v>
      </c>
      <c r="D8" s="17">
        <f>IFERROR(__xludf.DUMMYFUNCTION("""COMPUTED_VALUE"""),1695)</f>
        <v>1695</v>
      </c>
      <c r="E8" s="16">
        <f>IFERROR(__xludf.DUMMYFUNCTION("""COMPUTED_VALUE"""),45749.6458333333)</f>
        <v>45749.6458333333</v>
      </c>
      <c r="F8" s="17">
        <f>IFERROR(__xludf.DUMMYFUNCTION("""COMPUTED_VALUE"""),3369489)</f>
        <v>3369489</v>
      </c>
      <c r="G8" s="16">
        <f>IFERROR(__xludf.DUMMYFUNCTION("""COMPUTED_VALUE"""),45749.6458333333)</f>
        <v>45749.6458333333</v>
      </c>
      <c r="H8" s="17">
        <f>IFERROR(__xludf.DUMMYFUNCTION("""COMPUTED_VALUE"""),1718.45)</f>
        <v>1718.45</v>
      </c>
      <c r="I8" s="16">
        <f>IFERROR(__xludf.DUMMYFUNCTION("""COMPUTED_VALUE"""),45749.6458333333)</f>
        <v>45749.6458333333</v>
      </c>
      <c r="J8" s="17">
        <f>IFERROR(__xludf.DUMMYFUNCTION("""COMPUTED_VALUE"""),1685.9)</f>
        <v>1685.9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IFERROR(__xludf.DUMMYFUNCTION("""COMPUTED_VALUE"""),1770)</f>
        <v>1770</v>
      </c>
      <c r="C9" s="16">
        <f>IFERROR(__xludf.DUMMYFUNCTION("""COMPUTED_VALUE"""),45750.6458333333)</f>
        <v>45750.6458333333</v>
      </c>
      <c r="D9" s="17">
        <f>IFERROR(__xludf.DUMMYFUNCTION("""COMPUTED_VALUE"""),1755)</f>
        <v>1755</v>
      </c>
      <c r="E9" s="16">
        <f>IFERROR(__xludf.DUMMYFUNCTION("""COMPUTED_VALUE"""),45750.6458333333)</f>
        <v>45750.6458333333</v>
      </c>
      <c r="F9" s="17">
        <f>IFERROR(__xludf.DUMMYFUNCTION("""COMPUTED_VALUE"""),5715573)</f>
        <v>5715573</v>
      </c>
      <c r="G9" s="16">
        <f>IFERROR(__xludf.DUMMYFUNCTION("""COMPUTED_VALUE"""),45750.6458333333)</f>
        <v>45750.6458333333</v>
      </c>
      <c r="H9" s="17">
        <f>IFERROR(__xludf.DUMMYFUNCTION("""COMPUTED_VALUE"""),1812.7)</f>
        <v>1812.7</v>
      </c>
      <c r="I9" s="16">
        <f>IFERROR(__xludf.DUMMYFUNCTION("""COMPUTED_VALUE"""),45750.6458333333)</f>
        <v>45750.6458333333</v>
      </c>
      <c r="J9" s="17">
        <f>IFERROR(__xludf.DUMMYFUNCTION("""COMPUTED_VALUE"""),1750)</f>
        <v>1750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IFERROR(__xludf.DUMMYFUNCTION("""COMPUTED_VALUE"""),1709.35)</f>
        <v>1709.35</v>
      </c>
      <c r="C10" s="16">
        <f>IFERROR(__xludf.DUMMYFUNCTION("""COMPUTED_VALUE"""),45751.6458333333)</f>
        <v>45751.6458333333</v>
      </c>
      <c r="D10" s="17">
        <f>IFERROR(__xludf.DUMMYFUNCTION("""COMPUTED_VALUE"""),1778.85)</f>
        <v>1778.85</v>
      </c>
      <c r="E10" s="16">
        <f>IFERROR(__xludf.DUMMYFUNCTION("""COMPUTED_VALUE"""),45751.6458333333)</f>
        <v>45751.6458333333</v>
      </c>
      <c r="F10" s="17">
        <f>IFERROR(__xludf.DUMMYFUNCTION("""COMPUTED_VALUE"""),5345276)</f>
        <v>5345276</v>
      </c>
      <c r="G10" s="16">
        <f>IFERROR(__xludf.DUMMYFUNCTION("""COMPUTED_VALUE"""),45751.6458333333)</f>
        <v>45751.6458333333</v>
      </c>
      <c r="H10" s="17">
        <f>IFERROR(__xludf.DUMMYFUNCTION("""COMPUTED_VALUE"""),1778.85)</f>
        <v>1778.85</v>
      </c>
      <c r="I10" s="16">
        <f>IFERROR(__xludf.DUMMYFUNCTION("""COMPUTED_VALUE"""),45751.6458333333)</f>
        <v>45751.6458333333</v>
      </c>
      <c r="J10" s="17">
        <f>IFERROR(__xludf.DUMMYFUNCTION("""COMPUTED_VALUE"""),1658.05)</f>
        <v>1658.05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IFERROR(__xludf.DUMMYFUNCTION("""COMPUTED_VALUE"""),1666.35)</f>
        <v>1666.35</v>
      </c>
      <c r="C11" s="16">
        <f>IFERROR(__xludf.DUMMYFUNCTION("""COMPUTED_VALUE"""),45754.6458333333)</f>
        <v>45754.6458333333</v>
      </c>
      <c r="D11" s="17">
        <f>IFERROR(__xludf.DUMMYFUNCTION("""COMPUTED_VALUE"""),1620.1)</f>
        <v>1620.1</v>
      </c>
      <c r="E11" s="16">
        <f>IFERROR(__xludf.DUMMYFUNCTION("""COMPUTED_VALUE"""),45754.6458333333)</f>
        <v>45754.6458333333</v>
      </c>
      <c r="F11" s="17">
        <f>IFERROR(__xludf.DUMMYFUNCTION("""COMPUTED_VALUE"""),5715334)</f>
        <v>5715334</v>
      </c>
      <c r="G11" s="16">
        <f>IFERROR(__xludf.DUMMYFUNCTION("""COMPUTED_VALUE"""),45754.6458333333)</f>
        <v>45754.6458333333</v>
      </c>
      <c r="H11" s="17">
        <f>IFERROR(__xludf.DUMMYFUNCTION("""COMPUTED_VALUE"""),1692)</f>
        <v>1692</v>
      </c>
      <c r="I11" s="16">
        <f>IFERROR(__xludf.DUMMYFUNCTION("""COMPUTED_VALUE"""),45754.6458333333)</f>
        <v>45754.6458333333</v>
      </c>
      <c r="J11" s="17">
        <f>IFERROR(__xludf.DUMMYFUNCTION("""COMPUTED_VALUE"""),1620.1)</f>
        <v>1620.1</v>
      </c>
      <c r="K11" s="3">
        <f t="shared" ref="K11:K125" si="2">IF(B11=MAX(B5:B17),B11,0)</f>
        <v>0</v>
      </c>
      <c r="L11" s="3">
        <f t="shared" ref="L11:L125" si="3">IF(B11=MIN(B5:B17),B11,0)</f>
        <v>0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IFERROR(__xludf.DUMMYFUNCTION("""COMPUTED_VALUE"""),1688.35)</f>
        <v>1688.35</v>
      </c>
      <c r="C12" s="16">
        <f>IFERROR(__xludf.DUMMYFUNCTION("""COMPUTED_VALUE"""),45755.6458333333)</f>
        <v>45755.6458333333</v>
      </c>
      <c r="D12" s="17">
        <f>IFERROR(__xludf.DUMMYFUNCTION("""COMPUTED_VALUE"""),1645)</f>
        <v>1645</v>
      </c>
      <c r="E12" s="16">
        <f>IFERROR(__xludf.DUMMYFUNCTION("""COMPUTED_VALUE"""),45755.6458333333)</f>
        <v>45755.6458333333</v>
      </c>
      <c r="F12" s="17">
        <f>IFERROR(__xludf.DUMMYFUNCTION("""COMPUTED_VALUE"""),2807382)</f>
        <v>2807382</v>
      </c>
      <c r="G12" s="16">
        <f>IFERROR(__xludf.DUMMYFUNCTION("""COMPUTED_VALUE"""),45755.6458333333)</f>
        <v>45755.6458333333</v>
      </c>
      <c r="H12" s="17">
        <f>IFERROR(__xludf.DUMMYFUNCTION("""COMPUTED_VALUE"""),1709.85)</f>
        <v>1709.85</v>
      </c>
      <c r="I12" s="16">
        <f>IFERROR(__xludf.DUMMYFUNCTION("""COMPUTED_VALUE"""),45755.6458333333)</f>
        <v>45755.6458333333</v>
      </c>
      <c r="J12" s="17">
        <f>IFERROR(__xludf.DUMMYFUNCTION("""COMPUTED_VALUE"""),1645)</f>
        <v>1645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IFERROR(__xludf.DUMMYFUNCTION("""COMPUTED_VALUE"""),1652.2)</f>
        <v>1652.2</v>
      </c>
      <c r="C13" s="16">
        <f>IFERROR(__xludf.DUMMYFUNCTION("""COMPUTED_VALUE"""),45756.6458333333)</f>
        <v>45756.6458333333</v>
      </c>
      <c r="D13" s="17">
        <f>IFERROR(__xludf.DUMMYFUNCTION("""COMPUTED_VALUE"""),1650)</f>
        <v>1650</v>
      </c>
      <c r="E13" s="16">
        <f>IFERROR(__xludf.DUMMYFUNCTION("""COMPUTED_VALUE"""),45756.6458333333)</f>
        <v>45756.6458333333</v>
      </c>
      <c r="F13" s="17">
        <f>IFERROR(__xludf.DUMMYFUNCTION("""COMPUTED_VALUE"""),3481864)</f>
        <v>3481864</v>
      </c>
      <c r="G13" s="16">
        <f>IFERROR(__xludf.DUMMYFUNCTION("""COMPUTED_VALUE"""),45756.6458333333)</f>
        <v>45756.6458333333</v>
      </c>
      <c r="H13" s="17">
        <f>IFERROR(__xludf.DUMMYFUNCTION("""COMPUTED_VALUE"""),1679.75)</f>
        <v>1679.75</v>
      </c>
      <c r="I13" s="16">
        <f>IFERROR(__xludf.DUMMYFUNCTION("""COMPUTED_VALUE"""),45756.6458333333)</f>
        <v>45756.6458333333</v>
      </c>
      <c r="J13" s="17">
        <f>IFERROR(__xludf.DUMMYFUNCTION("""COMPUTED_VALUE"""),1640)</f>
        <v>1640</v>
      </c>
      <c r="K13" s="3">
        <f t="shared" si="2"/>
        <v>0</v>
      </c>
      <c r="L13" s="3">
        <f t="shared" si="3"/>
        <v>1652.2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IFERROR(__xludf.DUMMYFUNCTION("""COMPUTED_VALUE"""),1687.55)</f>
        <v>1687.55</v>
      </c>
      <c r="C14" s="16">
        <f>IFERROR(__xludf.DUMMYFUNCTION("""COMPUTED_VALUE"""),45758.6458333333)</f>
        <v>45758.6458333333</v>
      </c>
      <c r="D14" s="17">
        <f>IFERROR(__xludf.DUMMYFUNCTION("""COMPUTED_VALUE"""),1710)</f>
        <v>1710</v>
      </c>
      <c r="E14" s="16">
        <f>IFERROR(__xludf.DUMMYFUNCTION("""COMPUTED_VALUE"""),45758.6458333333)</f>
        <v>45758.6458333333</v>
      </c>
      <c r="F14" s="17">
        <f>IFERROR(__xludf.DUMMYFUNCTION("""COMPUTED_VALUE"""),3801939)</f>
        <v>3801939</v>
      </c>
      <c r="G14" s="16">
        <f>IFERROR(__xludf.DUMMYFUNCTION("""COMPUTED_VALUE"""),45758.6458333333)</f>
        <v>45758.6458333333</v>
      </c>
      <c r="H14" s="17">
        <f>IFERROR(__xludf.DUMMYFUNCTION("""COMPUTED_VALUE"""),1737)</f>
        <v>1737</v>
      </c>
      <c r="I14" s="16">
        <f>IFERROR(__xludf.DUMMYFUNCTION("""COMPUTED_VALUE"""),45758.6458333333)</f>
        <v>45758.6458333333</v>
      </c>
      <c r="J14" s="17">
        <f>IFERROR(__xludf.DUMMYFUNCTION("""COMPUTED_VALUE"""),1682.1)</f>
        <v>1682.1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IFERROR(__xludf.DUMMYFUNCTION("""COMPUTED_VALUE"""),1705)</f>
        <v>1705</v>
      </c>
      <c r="C15" s="16">
        <f>IFERROR(__xludf.DUMMYFUNCTION("""COMPUTED_VALUE"""),45762.6458333333)</f>
        <v>45762.6458333333</v>
      </c>
      <c r="D15" s="17">
        <f>IFERROR(__xludf.DUMMYFUNCTION("""COMPUTED_VALUE"""),1720)</f>
        <v>1720</v>
      </c>
      <c r="E15" s="16">
        <f>IFERROR(__xludf.DUMMYFUNCTION("""COMPUTED_VALUE"""),45762.6458333333)</f>
        <v>45762.6458333333</v>
      </c>
      <c r="F15" s="17">
        <f>IFERROR(__xludf.DUMMYFUNCTION("""COMPUTED_VALUE"""),1993085)</f>
        <v>1993085</v>
      </c>
      <c r="G15" s="16">
        <f>IFERROR(__xludf.DUMMYFUNCTION("""COMPUTED_VALUE"""),45762.6458333333)</f>
        <v>45762.6458333333</v>
      </c>
      <c r="H15" s="17">
        <f>IFERROR(__xludf.DUMMYFUNCTION("""COMPUTED_VALUE"""),1724.5)</f>
        <v>1724.5</v>
      </c>
      <c r="I15" s="16">
        <f>IFERROR(__xludf.DUMMYFUNCTION("""COMPUTED_VALUE"""),45762.6458333333)</f>
        <v>45762.6458333333</v>
      </c>
      <c r="J15" s="17">
        <f>IFERROR(__xludf.DUMMYFUNCTION("""COMPUTED_VALUE"""),1696.8)</f>
        <v>1696.8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IFERROR(__xludf.DUMMYFUNCTION("""COMPUTED_VALUE"""),1693.1)</f>
        <v>1693.1</v>
      </c>
      <c r="C16" s="16">
        <f>IFERROR(__xludf.DUMMYFUNCTION("""COMPUTED_VALUE"""),45763.6458333333)</f>
        <v>45763.6458333333</v>
      </c>
      <c r="D16" s="17">
        <f>IFERROR(__xludf.DUMMYFUNCTION("""COMPUTED_VALUE"""),1691.1)</f>
        <v>1691.1</v>
      </c>
      <c r="E16" s="16">
        <f>IFERROR(__xludf.DUMMYFUNCTION("""COMPUTED_VALUE"""),45763.6458333333)</f>
        <v>45763.6458333333</v>
      </c>
      <c r="F16" s="17">
        <f>IFERROR(__xludf.DUMMYFUNCTION("""COMPUTED_VALUE"""),2205374)</f>
        <v>2205374</v>
      </c>
      <c r="G16" s="16">
        <f>IFERROR(__xludf.DUMMYFUNCTION("""COMPUTED_VALUE"""),45763.6458333333)</f>
        <v>45763.6458333333</v>
      </c>
      <c r="H16" s="17">
        <f>IFERROR(__xludf.DUMMYFUNCTION("""COMPUTED_VALUE"""),1702.7)</f>
        <v>1702.7</v>
      </c>
      <c r="I16" s="16">
        <f>IFERROR(__xludf.DUMMYFUNCTION("""COMPUTED_VALUE"""),45763.6458333333)</f>
        <v>45763.6458333333</v>
      </c>
      <c r="J16" s="17">
        <f>IFERROR(__xludf.DUMMYFUNCTION("""COMPUTED_VALUE"""),1682.1)</f>
        <v>1682.1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IFERROR(__xludf.DUMMYFUNCTION("""COMPUTED_VALUE"""),1751.5)</f>
        <v>1751.5</v>
      </c>
      <c r="C17" s="16">
        <f>IFERROR(__xludf.DUMMYFUNCTION("""COMPUTED_VALUE"""),45764.6458333333)</f>
        <v>45764.6458333333</v>
      </c>
      <c r="D17" s="17">
        <f>IFERROR(__xludf.DUMMYFUNCTION("""COMPUTED_VALUE"""),1695)</f>
        <v>1695</v>
      </c>
      <c r="E17" s="16">
        <f>IFERROR(__xludf.DUMMYFUNCTION("""COMPUTED_VALUE"""),45764.6458333333)</f>
        <v>45764.6458333333</v>
      </c>
      <c r="F17" s="17">
        <f>IFERROR(__xludf.DUMMYFUNCTION("""COMPUTED_VALUE"""),2683908)</f>
        <v>2683908</v>
      </c>
      <c r="G17" s="16">
        <f>IFERROR(__xludf.DUMMYFUNCTION("""COMPUTED_VALUE"""),45764.6458333333)</f>
        <v>45764.6458333333</v>
      </c>
      <c r="H17" s="17">
        <f>IFERROR(__xludf.DUMMYFUNCTION("""COMPUTED_VALUE"""),1758)</f>
        <v>1758</v>
      </c>
      <c r="I17" s="16">
        <f>IFERROR(__xludf.DUMMYFUNCTION("""COMPUTED_VALUE"""),45764.6458333333)</f>
        <v>45764.6458333333</v>
      </c>
      <c r="J17" s="17">
        <f>IFERROR(__xludf.DUMMYFUNCTION("""COMPUTED_VALUE"""),1687.4)</f>
        <v>1687.4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IFERROR(__xludf.DUMMYFUNCTION("""COMPUTED_VALUE"""),1744.9)</f>
        <v>1744.9</v>
      </c>
      <c r="C18" s="16">
        <f>IFERROR(__xludf.DUMMYFUNCTION("""COMPUTED_VALUE"""),45768.6458333333)</f>
        <v>45768.6458333333</v>
      </c>
      <c r="D18" s="17">
        <f>IFERROR(__xludf.DUMMYFUNCTION("""COMPUTED_VALUE"""),1761)</f>
        <v>1761</v>
      </c>
      <c r="E18" s="16">
        <f>IFERROR(__xludf.DUMMYFUNCTION("""COMPUTED_VALUE"""),45768.6458333333)</f>
        <v>45768.6458333333</v>
      </c>
      <c r="F18" s="17">
        <f>IFERROR(__xludf.DUMMYFUNCTION("""COMPUTED_VALUE"""),1539511)</f>
        <v>1539511</v>
      </c>
      <c r="G18" s="16">
        <f>IFERROR(__xludf.DUMMYFUNCTION("""COMPUTED_VALUE"""),45768.6458333333)</f>
        <v>45768.6458333333</v>
      </c>
      <c r="H18" s="17">
        <f>IFERROR(__xludf.DUMMYFUNCTION("""COMPUTED_VALUE"""),1761)</f>
        <v>1761</v>
      </c>
      <c r="I18" s="16">
        <f>IFERROR(__xludf.DUMMYFUNCTION("""COMPUTED_VALUE"""),45768.6458333333)</f>
        <v>45768.6458333333</v>
      </c>
      <c r="J18" s="17">
        <f>IFERROR(__xludf.DUMMYFUNCTION("""COMPUTED_VALUE"""),1731.3)</f>
        <v>1731.3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IFERROR(__xludf.DUMMYFUNCTION("""COMPUTED_VALUE"""),1747.4)</f>
        <v>1747.4</v>
      </c>
      <c r="C19" s="16">
        <f>IFERROR(__xludf.DUMMYFUNCTION("""COMPUTED_VALUE"""),45769.6458333333)</f>
        <v>45769.6458333333</v>
      </c>
      <c r="D19" s="17">
        <f>IFERROR(__xludf.DUMMYFUNCTION("""COMPUTED_VALUE"""),1751)</f>
        <v>1751</v>
      </c>
      <c r="E19" s="16">
        <f>IFERROR(__xludf.DUMMYFUNCTION("""COMPUTED_VALUE"""),45769.6458333333)</f>
        <v>45769.6458333333</v>
      </c>
      <c r="F19" s="17">
        <f>IFERROR(__xludf.DUMMYFUNCTION("""COMPUTED_VALUE"""),961907)</f>
        <v>961907</v>
      </c>
      <c r="G19" s="16">
        <f>IFERROR(__xludf.DUMMYFUNCTION("""COMPUTED_VALUE"""),45769.6458333333)</f>
        <v>45769.6458333333</v>
      </c>
      <c r="H19" s="17">
        <f>IFERROR(__xludf.DUMMYFUNCTION("""COMPUTED_VALUE"""),1755)</f>
        <v>1755</v>
      </c>
      <c r="I19" s="16">
        <f>IFERROR(__xludf.DUMMYFUNCTION("""COMPUTED_VALUE"""),45769.6458333333)</f>
        <v>45769.6458333333</v>
      </c>
      <c r="J19" s="17">
        <f>IFERROR(__xludf.DUMMYFUNCTION("""COMPUTED_VALUE"""),1734.5)</f>
        <v>1734.5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IFERROR(__xludf.DUMMYFUNCTION("""COMPUTED_VALUE"""),1788.8)</f>
        <v>1788.8</v>
      </c>
      <c r="C20" s="16">
        <f>IFERROR(__xludf.DUMMYFUNCTION("""COMPUTED_VALUE"""),45770.6458333333)</f>
        <v>45770.6458333333</v>
      </c>
      <c r="D20" s="17">
        <f>IFERROR(__xludf.DUMMYFUNCTION("""COMPUTED_VALUE"""),1754.2)</f>
        <v>1754.2</v>
      </c>
      <c r="E20" s="16">
        <f>IFERROR(__xludf.DUMMYFUNCTION("""COMPUTED_VALUE"""),45770.6458333333)</f>
        <v>45770.6458333333</v>
      </c>
      <c r="F20" s="17">
        <f>IFERROR(__xludf.DUMMYFUNCTION("""COMPUTED_VALUE"""),1471029)</f>
        <v>1471029</v>
      </c>
      <c r="G20" s="16">
        <f>IFERROR(__xludf.DUMMYFUNCTION("""COMPUTED_VALUE"""),45770.6458333333)</f>
        <v>45770.6458333333</v>
      </c>
      <c r="H20" s="17">
        <f>IFERROR(__xludf.DUMMYFUNCTION("""COMPUTED_VALUE"""),1791.3)</f>
        <v>1791.3</v>
      </c>
      <c r="I20" s="16">
        <f>IFERROR(__xludf.DUMMYFUNCTION("""COMPUTED_VALUE"""),45770.6458333333)</f>
        <v>45770.6458333333</v>
      </c>
      <c r="J20" s="17">
        <f>IFERROR(__xludf.DUMMYFUNCTION("""COMPUTED_VALUE"""),1742.1)</f>
        <v>1742.1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IFERROR(__xludf.DUMMYFUNCTION("""COMPUTED_VALUE"""),1803.9)</f>
        <v>1803.9</v>
      </c>
      <c r="C21" s="16">
        <f>IFERROR(__xludf.DUMMYFUNCTION("""COMPUTED_VALUE"""),45771.6458333333)</f>
        <v>45771.6458333333</v>
      </c>
      <c r="D21" s="17">
        <f>IFERROR(__xludf.DUMMYFUNCTION("""COMPUTED_VALUE"""),1790)</f>
        <v>1790</v>
      </c>
      <c r="E21" s="16">
        <f>IFERROR(__xludf.DUMMYFUNCTION("""COMPUTED_VALUE"""),45771.6458333333)</f>
        <v>45771.6458333333</v>
      </c>
      <c r="F21" s="17">
        <f>IFERROR(__xludf.DUMMYFUNCTION("""COMPUTED_VALUE"""),2101177)</f>
        <v>2101177</v>
      </c>
      <c r="G21" s="16">
        <f>IFERROR(__xludf.DUMMYFUNCTION("""COMPUTED_VALUE"""),45771.6458333333)</f>
        <v>45771.6458333333</v>
      </c>
      <c r="H21" s="17">
        <f>IFERROR(__xludf.DUMMYFUNCTION("""COMPUTED_VALUE"""),1807.9)</f>
        <v>1807.9</v>
      </c>
      <c r="I21" s="16">
        <f>IFERROR(__xludf.DUMMYFUNCTION("""COMPUTED_VALUE"""),45771.6458333333)</f>
        <v>45771.6458333333</v>
      </c>
      <c r="J21" s="17">
        <f>IFERROR(__xludf.DUMMYFUNCTION("""COMPUTED_VALUE"""),1773.9)</f>
        <v>1773.9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IFERROR(__xludf.DUMMYFUNCTION("""COMPUTED_VALUE"""),1787.4)</f>
        <v>1787.4</v>
      </c>
      <c r="C22" s="16">
        <f>IFERROR(__xludf.DUMMYFUNCTION("""COMPUTED_VALUE"""),45772.6458333333)</f>
        <v>45772.6458333333</v>
      </c>
      <c r="D22" s="17">
        <f>IFERROR(__xludf.DUMMYFUNCTION("""COMPUTED_VALUE"""),1806)</f>
        <v>1806</v>
      </c>
      <c r="E22" s="16">
        <f>IFERROR(__xludf.DUMMYFUNCTION("""COMPUTED_VALUE"""),45772.6458333333)</f>
        <v>45772.6458333333</v>
      </c>
      <c r="F22" s="17">
        <f>IFERROR(__xludf.DUMMYFUNCTION("""COMPUTED_VALUE"""),2036801)</f>
        <v>2036801</v>
      </c>
      <c r="G22" s="16">
        <f>IFERROR(__xludf.DUMMYFUNCTION("""COMPUTED_VALUE"""),45772.6458333333)</f>
        <v>45772.6458333333</v>
      </c>
      <c r="H22" s="17">
        <f>IFERROR(__xludf.DUMMYFUNCTION("""COMPUTED_VALUE"""),1815.5)</f>
        <v>1815.5</v>
      </c>
      <c r="I22" s="16">
        <f>IFERROR(__xludf.DUMMYFUNCTION("""COMPUTED_VALUE"""),45772.6458333333)</f>
        <v>45772.6458333333</v>
      </c>
      <c r="J22" s="17">
        <f>IFERROR(__xludf.DUMMYFUNCTION("""COMPUTED_VALUE"""),1764.2)</f>
        <v>1764.2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IFERROR(__xludf.DUMMYFUNCTION("""COMPUTED_VALUE"""),1841.6)</f>
        <v>1841.6</v>
      </c>
      <c r="C23" s="16">
        <f>IFERROR(__xludf.DUMMYFUNCTION("""COMPUTED_VALUE"""),45775.6458333333)</f>
        <v>45775.6458333333</v>
      </c>
      <c r="D23" s="17">
        <f>IFERROR(__xludf.DUMMYFUNCTION("""COMPUTED_VALUE"""),1787.4)</f>
        <v>1787.4</v>
      </c>
      <c r="E23" s="16">
        <f>IFERROR(__xludf.DUMMYFUNCTION("""COMPUTED_VALUE"""),45775.6458333333)</f>
        <v>45775.6458333333</v>
      </c>
      <c r="F23" s="17">
        <f>IFERROR(__xludf.DUMMYFUNCTION("""COMPUTED_VALUE"""),3216482)</f>
        <v>3216482</v>
      </c>
      <c r="G23" s="16">
        <f>IFERROR(__xludf.DUMMYFUNCTION("""COMPUTED_VALUE"""),45775.6458333333)</f>
        <v>45775.6458333333</v>
      </c>
      <c r="H23" s="17">
        <f>IFERROR(__xludf.DUMMYFUNCTION("""COMPUTED_VALUE"""),1846)</f>
        <v>1846</v>
      </c>
      <c r="I23" s="16">
        <f>IFERROR(__xludf.DUMMYFUNCTION("""COMPUTED_VALUE"""),45775.6458333333)</f>
        <v>45775.6458333333</v>
      </c>
      <c r="J23" s="17">
        <f>IFERROR(__xludf.DUMMYFUNCTION("""COMPUTED_VALUE"""),1781.2)</f>
        <v>1781.2</v>
      </c>
      <c r="K23" s="3">
        <f t="shared" si="2"/>
        <v>1841.6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IFERROR(__xludf.DUMMYFUNCTION("""COMPUTED_VALUE"""),1805.5)</f>
        <v>1805.5</v>
      </c>
      <c r="C24" s="16">
        <f>IFERROR(__xludf.DUMMYFUNCTION("""COMPUTED_VALUE"""),45776.6458333333)</f>
        <v>45776.6458333333</v>
      </c>
      <c r="D24" s="17">
        <f>IFERROR(__xludf.DUMMYFUNCTION("""COMPUTED_VALUE"""),1845)</f>
        <v>1845</v>
      </c>
      <c r="E24" s="16">
        <f>IFERROR(__xludf.DUMMYFUNCTION("""COMPUTED_VALUE"""),45776.6458333333)</f>
        <v>45776.6458333333</v>
      </c>
      <c r="F24" s="17">
        <f>IFERROR(__xludf.DUMMYFUNCTION("""COMPUTED_VALUE"""),2886160)</f>
        <v>2886160</v>
      </c>
      <c r="G24" s="16">
        <f>IFERROR(__xludf.DUMMYFUNCTION("""COMPUTED_VALUE"""),45776.6458333333)</f>
        <v>45776.6458333333</v>
      </c>
      <c r="H24" s="17">
        <f>IFERROR(__xludf.DUMMYFUNCTION("""COMPUTED_VALUE"""),1846)</f>
        <v>1846</v>
      </c>
      <c r="I24" s="16">
        <f>IFERROR(__xludf.DUMMYFUNCTION("""COMPUTED_VALUE"""),45776.6458333333)</f>
        <v>45776.6458333333</v>
      </c>
      <c r="J24" s="17">
        <f>IFERROR(__xludf.DUMMYFUNCTION("""COMPUTED_VALUE"""),1797)</f>
        <v>1797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IFERROR(__xludf.DUMMYFUNCTION("""COMPUTED_VALUE"""),1832.3)</f>
        <v>1832.3</v>
      </c>
      <c r="C25" s="16">
        <f>IFERROR(__xludf.DUMMYFUNCTION("""COMPUTED_VALUE"""),45777.6458333333)</f>
        <v>45777.6458333333</v>
      </c>
      <c r="D25" s="17">
        <f>IFERROR(__xludf.DUMMYFUNCTION("""COMPUTED_VALUE"""),1810)</f>
        <v>1810</v>
      </c>
      <c r="E25" s="16">
        <f>IFERROR(__xludf.DUMMYFUNCTION("""COMPUTED_VALUE"""),45777.6458333333)</f>
        <v>45777.6458333333</v>
      </c>
      <c r="F25" s="17">
        <f>IFERROR(__xludf.DUMMYFUNCTION("""COMPUTED_VALUE"""),2667314)</f>
        <v>2667314</v>
      </c>
      <c r="G25" s="16">
        <f>IFERROR(__xludf.DUMMYFUNCTION("""COMPUTED_VALUE"""),45777.6458333333)</f>
        <v>45777.6458333333</v>
      </c>
      <c r="H25" s="17">
        <f>IFERROR(__xludf.DUMMYFUNCTION("""COMPUTED_VALUE"""),1838.9)</f>
        <v>1838.9</v>
      </c>
      <c r="I25" s="16">
        <f>IFERROR(__xludf.DUMMYFUNCTION("""COMPUTED_VALUE"""),45777.6458333333)</f>
        <v>45777.6458333333</v>
      </c>
      <c r="J25" s="17">
        <f>IFERROR(__xludf.DUMMYFUNCTION("""COMPUTED_VALUE"""),1803.3)</f>
        <v>1803.3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IFERROR(__xludf.DUMMYFUNCTION("""COMPUTED_VALUE"""),1829.4)</f>
        <v>1829.4</v>
      </c>
      <c r="C26" s="16">
        <f>IFERROR(__xludf.DUMMYFUNCTION("""COMPUTED_VALUE"""),45779.6458333333)</f>
        <v>45779.6458333333</v>
      </c>
      <c r="D26" s="17">
        <f>IFERROR(__xludf.DUMMYFUNCTION("""COMPUTED_VALUE"""),1832.3)</f>
        <v>1832.3</v>
      </c>
      <c r="E26" s="16">
        <f>IFERROR(__xludf.DUMMYFUNCTION("""COMPUTED_VALUE"""),45779.6458333333)</f>
        <v>45779.6458333333</v>
      </c>
      <c r="F26" s="17">
        <f>IFERROR(__xludf.DUMMYFUNCTION("""COMPUTED_VALUE"""),1885257)</f>
        <v>1885257</v>
      </c>
      <c r="G26" s="16">
        <f>IFERROR(__xludf.DUMMYFUNCTION("""COMPUTED_VALUE"""),45779.6458333333)</f>
        <v>45779.6458333333</v>
      </c>
      <c r="H26" s="17">
        <f>IFERROR(__xludf.DUMMYFUNCTION("""COMPUTED_VALUE"""),1851.2)</f>
        <v>1851.2</v>
      </c>
      <c r="I26" s="16">
        <f>IFERROR(__xludf.DUMMYFUNCTION("""COMPUTED_VALUE"""),45779.6458333333)</f>
        <v>45779.6458333333</v>
      </c>
      <c r="J26" s="17">
        <f>IFERROR(__xludf.DUMMYFUNCTION("""COMPUTED_VALUE"""),1813.8)</f>
        <v>1813.8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IFERROR(__xludf.DUMMYFUNCTION("""COMPUTED_VALUE"""),1836.6)</f>
        <v>1836.6</v>
      </c>
      <c r="C27" s="16">
        <f>IFERROR(__xludf.DUMMYFUNCTION("""COMPUTED_VALUE"""),45782.6458333333)</f>
        <v>45782.6458333333</v>
      </c>
      <c r="D27" s="17">
        <f>IFERROR(__xludf.DUMMYFUNCTION("""COMPUTED_VALUE"""),1827.8)</f>
        <v>1827.8</v>
      </c>
      <c r="E27" s="16">
        <f>IFERROR(__xludf.DUMMYFUNCTION("""COMPUTED_VALUE"""),45782.6458333333)</f>
        <v>45782.6458333333</v>
      </c>
      <c r="F27" s="17">
        <f>IFERROR(__xludf.DUMMYFUNCTION("""COMPUTED_VALUE"""),1219830)</f>
        <v>1219830</v>
      </c>
      <c r="G27" s="16">
        <f>IFERROR(__xludf.DUMMYFUNCTION("""COMPUTED_VALUE"""),45782.6458333333)</f>
        <v>45782.6458333333</v>
      </c>
      <c r="H27" s="17">
        <f>IFERROR(__xludf.DUMMYFUNCTION("""COMPUTED_VALUE"""),1843.3)</f>
        <v>1843.3</v>
      </c>
      <c r="I27" s="16">
        <f>IFERROR(__xludf.DUMMYFUNCTION("""COMPUTED_VALUE"""),45782.6458333333)</f>
        <v>45782.6458333333</v>
      </c>
      <c r="J27" s="17">
        <f>IFERROR(__xludf.DUMMYFUNCTION("""COMPUTED_VALUE"""),1821.4)</f>
        <v>1821.4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IFERROR(__xludf.DUMMYFUNCTION("""COMPUTED_VALUE"""),1819.1)</f>
        <v>1819.1</v>
      </c>
      <c r="C28" s="16">
        <f>IFERROR(__xludf.DUMMYFUNCTION("""COMPUTED_VALUE"""),45783.6458333333)</f>
        <v>45783.6458333333</v>
      </c>
      <c r="D28" s="17">
        <f>IFERROR(__xludf.DUMMYFUNCTION("""COMPUTED_VALUE"""),1820)</f>
        <v>1820</v>
      </c>
      <c r="E28" s="16">
        <f>IFERROR(__xludf.DUMMYFUNCTION("""COMPUTED_VALUE"""),45783.6458333333)</f>
        <v>45783.6458333333</v>
      </c>
      <c r="F28" s="17">
        <f>IFERROR(__xludf.DUMMYFUNCTION("""COMPUTED_VALUE"""),1414772)</f>
        <v>1414772</v>
      </c>
      <c r="G28" s="16">
        <f>IFERROR(__xludf.DUMMYFUNCTION("""COMPUTED_VALUE"""),45783.6458333333)</f>
        <v>45783.6458333333</v>
      </c>
      <c r="H28" s="17">
        <f>IFERROR(__xludf.DUMMYFUNCTION("""COMPUTED_VALUE"""),1827.9)</f>
        <v>1827.9</v>
      </c>
      <c r="I28" s="16">
        <f>IFERROR(__xludf.DUMMYFUNCTION("""COMPUTED_VALUE"""),45783.6458333333)</f>
        <v>45783.6458333333</v>
      </c>
      <c r="J28" s="17">
        <f>IFERROR(__xludf.DUMMYFUNCTION("""COMPUTED_VALUE"""),1799)</f>
        <v>1799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IFERROR(__xludf.DUMMYFUNCTION("""COMPUTED_VALUE"""),1781.3)</f>
        <v>1781.3</v>
      </c>
      <c r="C29" s="16">
        <f>IFERROR(__xludf.DUMMYFUNCTION("""COMPUTED_VALUE"""),45784.6458333333)</f>
        <v>45784.6458333333</v>
      </c>
      <c r="D29" s="17">
        <f>IFERROR(__xludf.DUMMYFUNCTION("""COMPUTED_VALUE"""),1817.9)</f>
        <v>1817.9</v>
      </c>
      <c r="E29" s="16">
        <f>IFERROR(__xludf.DUMMYFUNCTION("""COMPUTED_VALUE"""),45784.6458333333)</f>
        <v>45784.6458333333</v>
      </c>
      <c r="F29" s="17">
        <f>IFERROR(__xludf.DUMMYFUNCTION("""COMPUTED_VALUE"""),2015237)</f>
        <v>2015237</v>
      </c>
      <c r="G29" s="16">
        <f>IFERROR(__xludf.DUMMYFUNCTION("""COMPUTED_VALUE"""),45784.6458333333)</f>
        <v>45784.6458333333</v>
      </c>
      <c r="H29" s="17">
        <f>IFERROR(__xludf.DUMMYFUNCTION("""COMPUTED_VALUE"""),1826.4)</f>
        <v>1826.4</v>
      </c>
      <c r="I29" s="16">
        <f>IFERROR(__xludf.DUMMYFUNCTION("""COMPUTED_VALUE"""),45784.6458333333)</f>
        <v>45784.6458333333</v>
      </c>
      <c r="J29" s="17">
        <f>IFERROR(__xludf.DUMMYFUNCTION("""COMPUTED_VALUE"""),1778.7)</f>
        <v>1778.7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IFERROR(__xludf.DUMMYFUNCTION("""COMPUTED_VALUE"""),1767.2)</f>
        <v>1767.2</v>
      </c>
      <c r="C30" s="16">
        <f>IFERROR(__xludf.DUMMYFUNCTION("""COMPUTED_VALUE"""),45785.6458333333)</f>
        <v>45785.6458333333</v>
      </c>
      <c r="D30" s="17">
        <f>IFERROR(__xludf.DUMMYFUNCTION("""COMPUTED_VALUE"""),1781.3)</f>
        <v>1781.3</v>
      </c>
      <c r="E30" s="16">
        <f>IFERROR(__xludf.DUMMYFUNCTION("""COMPUTED_VALUE"""),45785.6458333333)</f>
        <v>45785.6458333333</v>
      </c>
      <c r="F30" s="17">
        <f>IFERROR(__xludf.DUMMYFUNCTION("""COMPUTED_VALUE"""),2647871)</f>
        <v>2647871</v>
      </c>
      <c r="G30" s="16">
        <f>IFERROR(__xludf.DUMMYFUNCTION("""COMPUTED_VALUE"""),45785.6458333333)</f>
        <v>45785.6458333333</v>
      </c>
      <c r="H30" s="17">
        <f>IFERROR(__xludf.DUMMYFUNCTION("""COMPUTED_VALUE"""),1788.9)</f>
        <v>1788.9</v>
      </c>
      <c r="I30" s="16">
        <f>IFERROR(__xludf.DUMMYFUNCTION("""COMPUTED_VALUE"""),45785.6458333333)</f>
        <v>45785.6458333333</v>
      </c>
      <c r="J30" s="17">
        <f>IFERROR(__xludf.DUMMYFUNCTION("""COMPUTED_VALUE"""),1755)</f>
        <v>1755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IFERROR(__xludf.DUMMYFUNCTION("""COMPUTED_VALUE"""),1744.8)</f>
        <v>1744.8</v>
      </c>
      <c r="C31" s="16">
        <f>IFERROR(__xludf.DUMMYFUNCTION("""COMPUTED_VALUE"""),45786.6458333333)</f>
        <v>45786.6458333333</v>
      </c>
      <c r="D31" s="17">
        <f>IFERROR(__xludf.DUMMYFUNCTION("""COMPUTED_VALUE"""),1751.9)</f>
        <v>1751.9</v>
      </c>
      <c r="E31" s="16">
        <f>IFERROR(__xludf.DUMMYFUNCTION("""COMPUTED_VALUE"""),45786.6458333333)</f>
        <v>45786.6458333333</v>
      </c>
      <c r="F31" s="17">
        <f>IFERROR(__xludf.DUMMYFUNCTION("""COMPUTED_VALUE"""),1148956)</f>
        <v>1148956</v>
      </c>
      <c r="G31" s="16">
        <f>IFERROR(__xludf.DUMMYFUNCTION("""COMPUTED_VALUE"""),45786.6458333333)</f>
        <v>45786.6458333333</v>
      </c>
      <c r="H31" s="17">
        <f>IFERROR(__xludf.DUMMYFUNCTION("""COMPUTED_VALUE"""),1766.3)</f>
        <v>1766.3</v>
      </c>
      <c r="I31" s="16">
        <f>IFERROR(__xludf.DUMMYFUNCTION("""COMPUTED_VALUE"""),45786.6458333333)</f>
        <v>45786.6458333333</v>
      </c>
      <c r="J31" s="17">
        <f>IFERROR(__xludf.DUMMYFUNCTION("""COMPUTED_VALUE"""),1731.7)</f>
        <v>1731.7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IFERROR(__xludf.DUMMYFUNCTION("""COMPUTED_VALUE"""),1686.2)</f>
        <v>1686.2</v>
      </c>
      <c r="C32" s="16">
        <f>IFERROR(__xludf.DUMMYFUNCTION("""COMPUTED_VALUE"""),45789.6458333333)</f>
        <v>45789.6458333333</v>
      </c>
      <c r="D32" s="17">
        <f>IFERROR(__xludf.DUMMYFUNCTION("""COMPUTED_VALUE"""),1695.7)</f>
        <v>1695.7</v>
      </c>
      <c r="E32" s="16">
        <f>IFERROR(__xludf.DUMMYFUNCTION("""COMPUTED_VALUE"""),45789.6458333333)</f>
        <v>45789.6458333333</v>
      </c>
      <c r="F32" s="17">
        <f>IFERROR(__xludf.DUMMYFUNCTION("""COMPUTED_VALUE"""),9221075)</f>
        <v>9221075</v>
      </c>
      <c r="G32" s="16">
        <f>IFERROR(__xludf.DUMMYFUNCTION("""COMPUTED_VALUE"""),45789.6458333333)</f>
        <v>45789.6458333333</v>
      </c>
      <c r="H32" s="17">
        <f>IFERROR(__xludf.DUMMYFUNCTION("""COMPUTED_VALUE"""),1712.4)</f>
        <v>1712.4</v>
      </c>
      <c r="I32" s="16">
        <f>IFERROR(__xludf.DUMMYFUNCTION("""COMPUTED_VALUE"""),45789.6458333333)</f>
        <v>45789.6458333333</v>
      </c>
      <c r="J32" s="17">
        <f>IFERROR(__xludf.DUMMYFUNCTION("""COMPUTED_VALUE"""),1623.6)</f>
        <v>1623.6</v>
      </c>
      <c r="K32" s="3">
        <f t="shared" si="2"/>
        <v>0</v>
      </c>
      <c r="L32" s="3">
        <f t="shared" si="3"/>
        <v>1686.2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IFERROR(__xludf.DUMMYFUNCTION("""COMPUTED_VALUE"""),1700)</f>
        <v>1700</v>
      </c>
      <c r="C33" s="16">
        <f>IFERROR(__xludf.DUMMYFUNCTION("""COMPUTED_VALUE"""),45790.6458333333)</f>
        <v>45790.6458333333</v>
      </c>
      <c r="D33" s="17">
        <f>IFERROR(__xludf.DUMMYFUNCTION("""COMPUTED_VALUE"""),1711)</f>
        <v>1711</v>
      </c>
      <c r="E33" s="16">
        <f>IFERROR(__xludf.DUMMYFUNCTION("""COMPUTED_VALUE"""),45790.6458333333)</f>
        <v>45790.6458333333</v>
      </c>
      <c r="F33" s="17">
        <f>IFERROR(__xludf.DUMMYFUNCTION("""COMPUTED_VALUE"""),6988329)</f>
        <v>6988329</v>
      </c>
      <c r="G33" s="16">
        <f>IFERROR(__xludf.DUMMYFUNCTION("""COMPUTED_VALUE"""),45790.6458333333)</f>
        <v>45790.6458333333</v>
      </c>
      <c r="H33" s="17">
        <f>IFERROR(__xludf.DUMMYFUNCTION("""COMPUTED_VALUE"""),1748.5)</f>
        <v>1748.5</v>
      </c>
      <c r="I33" s="16">
        <f>IFERROR(__xludf.DUMMYFUNCTION("""COMPUTED_VALUE"""),45790.6458333333)</f>
        <v>45790.6458333333</v>
      </c>
      <c r="J33" s="17">
        <f>IFERROR(__xludf.DUMMYFUNCTION("""COMPUTED_VALUE"""),1691.3)</f>
        <v>1691.3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IFERROR(__xludf.DUMMYFUNCTION("""COMPUTED_VALUE"""),1708.2)</f>
        <v>1708.2</v>
      </c>
      <c r="C34" s="16">
        <f>IFERROR(__xludf.DUMMYFUNCTION("""COMPUTED_VALUE"""),45791.6458333333)</f>
        <v>45791.6458333333</v>
      </c>
      <c r="D34" s="17">
        <f>IFERROR(__xludf.DUMMYFUNCTION("""COMPUTED_VALUE"""),1702)</f>
        <v>1702</v>
      </c>
      <c r="E34" s="16">
        <f>IFERROR(__xludf.DUMMYFUNCTION("""COMPUTED_VALUE"""),45791.6458333333)</f>
        <v>45791.6458333333</v>
      </c>
      <c r="F34" s="17">
        <f>IFERROR(__xludf.DUMMYFUNCTION("""COMPUTED_VALUE"""),1639324)</f>
        <v>1639324</v>
      </c>
      <c r="G34" s="16">
        <f>IFERROR(__xludf.DUMMYFUNCTION("""COMPUTED_VALUE"""),45791.6458333333)</f>
        <v>45791.6458333333</v>
      </c>
      <c r="H34" s="17">
        <f>IFERROR(__xludf.DUMMYFUNCTION("""COMPUTED_VALUE"""),1711.4)</f>
        <v>1711.4</v>
      </c>
      <c r="I34" s="16">
        <f>IFERROR(__xludf.DUMMYFUNCTION("""COMPUTED_VALUE"""),45791.6458333333)</f>
        <v>45791.6458333333</v>
      </c>
      <c r="J34" s="17">
        <f>IFERROR(__xludf.DUMMYFUNCTION("""COMPUTED_VALUE"""),1692.1)</f>
        <v>1692.1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IFERROR(__xludf.DUMMYFUNCTION("""COMPUTED_VALUE"""),1740.1)</f>
        <v>1740.1</v>
      </c>
      <c r="C35" s="16">
        <f>IFERROR(__xludf.DUMMYFUNCTION("""COMPUTED_VALUE"""),45792.6458333333)</f>
        <v>45792.6458333333</v>
      </c>
      <c r="D35" s="17">
        <f>IFERROR(__xludf.DUMMYFUNCTION("""COMPUTED_VALUE"""),1701.1)</f>
        <v>1701.1</v>
      </c>
      <c r="E35" s="16">
        <f>IFERROR(__xludf.DUMMYFUNCTION("""COMPUTED_VALUE"""),45792.6458333333)</f>
        <v>45792.6458333333</v>
      </c>
      <c r="F35" s="17">
        <f>IFERROR(__xludf.DUMMYFUNCTION("""COMPUTED_VALUE"""),3880385)</f>
        <v>3880385</v>
      </c>
      <c r="G35" s="16">
        <f>IFERROR(__xludf.DUMMYFUNCTION("""COMPUTED_VALUE"""),45792.6458333333)</f>
        <v>45792.6458333333</v>
      </c>
      <c r="H35" s="17">
        <f>IFERROR(__xludf.DUMMYFUNCTION("""COMPUTED_VALUE"""),1744.4)</f>
        <v>1744.4</v>
      </c>
      <c r="I35" s="16">
        <f>IFERROR(__xludf.DUMMYFUNCTION("""COMPUTED_VALUE"""),45792.6458333333)</f>
        <v>45792.6458333333</v>
      </c>
      <c r="J35" s="17">
        <f>IFERROR(__xludf.DUMMYFUNCTION("""COMPUTED_VALUE"""),1684.1)</f>
        <v>1684.1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IFERROR(__xludf.DUMMYFUNCTION("""COMPUTED_VALUE"""),1734.9)</f>
        <v>1734.9</v>
      </c>
      <c r="C36" s="16">
        <f>IFERROR(__xludf.DUMMYFUNCTION("""COMPUTED_VALUE"""),45793.6458333333)</f>
        <v>45793.6458333333</v>
      </c>
      <c r="D36" s="17">
        <f>IFERROR(__xludf.DUMMYFUNCTION("""COMPUTED_VALUE"""),1740)</f>
        <v>1740</v>
      </c>
      <c r="E36" s="16">
        <f>IFERROR(__xludf.DUMMYFUNCTION("""COMPUTED_VALUE"""),45793.6458333333)</f>
        <v>45793.6458333333</v>
      </c>
      <c r="F36" s="17">
        <f>IFERROR(__xludf.DUMMYFUNCTION("""COMPUTED_VALUE"""),1448249)</f>
        <v>1448249</v>
      </c>
      <c r="G36" s="16">
        <f>IFERROR(__xludf.DUMMYFUNCTION("""COMPUTED_VALUE"""),45793.6458333333)</f>
        <v>45793.6458333333</v>
      </c>
      <c r="H36" s="17">
        <f>IFERROR(__xludf.DUMMYFUNCTION("""COMPUTED_VALUE"""),1741.6)</f>
        <v>1741.6</v>
      </c>
      <c r="I36" s="16">
        <f>IFERROR(__xludf.DUMMYFUNCTION("""COMPUTED_VALUE"""),45793.6458333333)</f>
        <v>45793.6458333333</v>
      </c>
      <c r="J36" s="17">
        <f>IFERROR(__xludf.DUMMYFUNCTION("""COMPUTED_VALUE"""),1719)</f>
        <v>1719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IFERROR(__xludf.DUMMYFUNCTION("""COMPUTED_VALUE"""),1730.2)</f>
        <v>1730.2</v>
      </c>
      <c r="C37" s="16">
        <f>IFERROR(__xludf.DUMMYFUNCTION("""COMPUTED_VALUE"""),45796.6458333333)</f>
        <v>45796.6458333333</v>
      </c>
      <c r="D37" s="17">
        <f>IFERROR(__xludf.DUMMYFUNCTION("""COMPUTED_VALUE"""),1745)</f>
        <v>1745</v>
      </c>
      <c r="E37" s="16">
        <f>IFERROR(__xludf.DUMMYFUNCTION("""COMPUTED_VALUE"""),45796.6458333333)</f>
        <v>45796.6458333333</v>
      </c>
      <c r="F37" s="17">
        <f>IFERROR(__xludf.DUMMYFUNCTION("""COMPUTED_VALUE"""),2074023)</f>
        <v>2074023</v>
      </c>
      <c r="G37" s="16">
        <f>IFERROR(__xludf.DUMMYFUNCTION("""COMPUTED_VALUE"""),45796.6458333333)</f>
        <v>45796.6458333333</v>
      </c>
      <c r="H37" s="17">
        <f>IFERROR(__xludf.DUMMYFUNCTION("""COMPUTED_VALUE"""),1765)</f>
        <v>1765</v>
      </c>
      <c r="I37" s="16">
        <f>IFERROR(__xludf.DUMMYFUNCTION("""COMPUTED_VALUE"""),45796.6458333333)</f>
        <v>45796.6458333333</v>
      </c>
      <c r="J37" s="17">
        <f>IFERROR(__xludf.DUMMYFUNCTION("""COMPUTED_VALUE"""),1726.6)</f>
        <v>1726.6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IFERROR(__xludf.DUMMYFUNCTION("""COMPUTED_VALUE"""),1707.8)</f>
        <v>1707.8</v>
      </c>
      <c r="C38" s="16">
        <f>IFERROR(__xludf.DUMMYFUNCTION("""COMPUTED_VALUE"""),45797.6458333333)</f>
        <v>45797.6458333333</v>
      </c>
      <c r="D38" s="17">
        <f>IFERROR(__xludf.DUMMYFUNCTION("""COMPUTED_VALUE"""),1743.8)</f>
        <v>1743.8</v>
      </c>
      <c r="E38" s="16">
        <f>IFERROR(__xludf.DUMMYFUNCTION("""COMPUTED_VALUE"""),45797.6458333333)</f>
        <v>45797.6458333333</v>
      </c>
      <c r="F38" s="17">
        <f>IFERROR(__xludf.DUMMYFUNCTION("""COMPUTED_VALUE"""),2706777)</f>
        <v>2706777</v>
      </c>
      <c r="G38" s="16">
        <f>IFERROR(__xludf.DUMMYFUNCTION("""COMPUTED_VALUE"""),45797.6458333333)</f>
        <v>45797.6458333333</v>
      </c>
      <c r="H38" s="17">
        <f>IFERROR(__xludf.DUMMYFUNCTION("""COMPUTED_VALUE"""),1748)</f>
        <v>1748</v>
      </c>
      <c r="I38" s="16">
        <f>IFERROR(__xludf.DUMMYFUNCTION("""COMPUTED_VALUE"""),45797.6458333333)</f>
        <v>45797.6458333333</v>
      </c>
      <c r="J38" s="17">
        <f>IFERROR(__xludf.DUMMYFUNCTION("""COMPUTED_VALUE"""),1703.3)</f>
        <v>1703.3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IFERROR(__xludf.DUMMYFUNCTION("""COMPUTED_VALUE"""),1731.8)</f>
        <v>1731.8</v>
      </c>
      <c r="C39" s="16">
        <f>IFERROR(__xludf.DUMMYFUNCTION("""COMPUTED_VALUE"""),45798.6458333333)</f>
        <v>45798.6458333333</v>
      </c>
      <c r="D39" s="17">
        <f>IFERROR(__xludf.DUMMYFUNCTION("""COMPUTED_VALUE"""),1716.4)</f>
        <v>1716.4</v>
      </c>
      <c r="E39" s="16">
        <f>IFERROR(__xludf.DUMMYFUNCTION("""COMPUTED_VALUE"""),45798.6458333333)</f>
        <v>45798.6458333333</v>
      </c>
      <c r="F39" s="17">
        <f>IFERROR(__xludf.DUMMYFUNCTION("""COMPUTED_VALUE"""),2754306)</f>
        <v>2754306</v>
      </c>
      <c r="G39" s="16">
        <f>IFERROR(__xludf.DUMMYFUNCTION("""COMPUTED_VALUE"""),45798.6458333333)</f>
        <v>45798.6458333333</v>
      </c>
      <c r="H39" s="17">
        <f>IFERROR(__xludf.DUMMYFUNCTION("""COMPUTED_VALUE"""),1758.7)</f>
        <v>1758.7</v>
      </c>
      <c r="I39" s="16">
        <f>IFERROR(__xludf.DUMMYFUNCTION("""COMPUTED_VALUE"""),45798.6458333333)</f>
        <v>45798.6458333333</v>
      </c>
      <c r="J39" s="17">
        <f>IFERROR(__xludf.DUMMYFUNCTION("""COMPUTED_VALUE"""),1707.8)</f>
        <v>1707.8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IFERROR(__xludf.DUMMYFUNCTION("""COMPUTED_VALUE"""),1718.7)</f>
        <v>1718.7</v>
      </c>
      <c r="C40" s="16">
        <f>IFERROR(__xludf.DUMMYFUNCTION("""COMPUTED_VALUE"""),45799.6458333333)</f>
        <v>45799.6458333333</v>
      </c>
      <c r="D40" s="17">
        <f>IFERROR(__xludf.DUMMYFUNCTION("""COMPUTED_VALUE"""),1734.2)</f>
        <v>1734.2</v>
      </c>
      <c r="E40" s="16">
        <f>IFERROR(__xludf.DUMMYFUNCTION("""COMPUTED_VALUE"""),45799.6458333333)</f>
        <v>45799.6458333333</v>
      </c>
      <c r="F40" s="17">
        <f>IFERROR(__xludf.DUMMYFUNCTION("""COMPUTED_VALUE"""),2670554)</f>
        <v>2670554</v>
      </c>
      <c r="G40" s="16">
        <f>IFERROR(__xludf.DUMMYFUNCTION("""COMPUTED_VALUE"""),45799.6458333333)</f>
        <v>45799.6458333333</v>
      </c>
      <c r="H40" s="17">
        <f>IFERROR(__xludf.DUMMYFUNCTION("""COMPUTED_VALUE"""),1740)</f>
        <v>1740</v>
      </c>
      <c r="I40" s="16">
        <f>IFERROR(__xludf.DUMMYFUNCTION("""COMPUTED_VALUE"""),45799.6458333333)</f>
        <v>45799.6458333333</v>
      </c>
      <c r="J40" s="17">
        <f>IFERROR(__xludf.DUMMYFUNCTION("""COMPUTED_VALUE"""),1707.2)</f>
        <v>1707.2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IFERROR(__xludf.DUMMYFUNCTION("""COMPUTED_VALUE"""),1683.6)</f>
        <v>1683.6</v>
      </c>
      <c r="C41" s="16">
        <f>IFERROR(__xludf.DUMMYFUNCTION("""COMPUTED_VALUE"""),45800.6458333333)</f>
        <v>45800.6458333333</v>
      </c>
      <c r="D41" s="17">
        <f>IFERROR(__xludf.DUMMYFUNCTION("""COMPUTED_VALUE"""),1658)</f>
        <v>1658</v>
      </c>
      <c r="E41" s="16">
        <f>IFERROR(__xludf.DUMMYFUNCTION("""COMPUTED_VALUE"""),45800.6458333333)</f>
        <v>45800.6458333333</v>
      </c>
      <c r="F41" s="17">
        <f>IFERROR(__xludf.DUMMYFUNCTION("""COMPUTED_VALUE"""),8339783)</f>
        <v>8339783</v>
      </c>
      <c r="G41" s="16">
        <f>IFERROR(__xludf.DUMMYFUNCTION("""COMPUTED_VALUE"""),45800.6458333333)</f>
        <v>45800.6458333333</v>
      </c>
      <c r="H41" s="17">
        <f>IFERROR(__xludf.DUMMYFUNCTION("""COMPUTED_VALUE"""),1689.5)</f>
        <v>1689.5</v>
      </c>
      <c r="I41" s="16">
        <f>IFERROR(__xludf.DUMMYFUNCTION("""COMPUTED_VALUE"""),45800.6458333333)</f>
        <v>45800.6458333333</v>
      </c>
      <c r="J41" s="17">
        <f>IFERROR(__xludf.DUMMYFUNCTION("""COMPUTED_VALUE"""),1636.6)</f>
        <v>1636.6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IFERROR(__xludf.DUMMYFUNCTION("""COMPUTED_VALUE"""),1676.1)</f>
        <v>1676.1</v>
      </c>
      <c r="C42" s="16">
        <f>IFERROR(__xludf.DUMMYFUNCTION("""COMPUTED_VALUE"""),45803.6458333333)</f>
        <v>45803.6458333333</v>
      </c>
      <c r="D42" s="17">
        <f>IFERROR(__xludf.DUMMYFUNCTION("""COMPUTED_VALUE"""),1693.1)</f>
        <v>1693.1</v>
      </c>
      <c r="E42" s="16">
        <f>IFERROR(__xludf.DUMMYFUNCTION("""COMPUTED_VALUE"""),45803.6458333333)</f>
        <v>45803.6458333333</v>
      </c>
      <c r="F42" s="17">
        <f>IFERROR(__xludf.DUMMYFUNCTION("""COMPUTED_VALUE"""),2282131)</f>
        <v>2282131</v>
      </c>
      <c r="G42" s="16">
        <f>IFERROR(__xludf.DUMMYFUNCTION("""COMPUTED_VALUE"""),45803.6458333333)</f>
        <v>45803.6458333333</v>
      </c>
      <c r="H42" s="17">
        <f>IFERROR(__xludf.DUMMYFUNCTION("""COMPUTED_VALUE"""),1702.4)</f>
        <v>1702.4</v>
      </c>
      <c r="I42" s="16">
        <f>IFERROR(__xludf.DUMMYFUNCTION("""COMPUTED_VALUE"""),45803.6458333333)</f>
        <v>45803.6458333333</v>
      </c>
      <c r="J42" s="17">
        <f>IFERROR(__xludf.DUMMYFUNCTION("""COMPUTED_VALUE"""),1667)</f>
        <v>1667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IFERROR(__xludf.DUMMYFUNCTION("""COMPUTED_VALUE"""),1683.4)</f>
        <v>1683.4</v>
      </c>
      <c r="C43" s="16">
        <f>IFERROR(__xludf.DUMMYFUNCTION("""COMPUTED_VALUE"""),45804.6458333333)</f>
        <v>45804.6458333333</v>
      </c>
      <c r="D43" s="17">
        <f>IFERROR(__xludf.DUMMYFUNCTION("""COMPUTED_VALUE"""),1676.1)</f>
        <v>1676.1</v>
      </c>
      <c r="E43" s="16">
        <f>IFERROR(__xludf.DUMMYFUNCTION("""COMPUTED_VALUE"""),45804.6458333333)</f>
        <v>45804.6458333333</v>
      </c>
      <c r="F43" s="17">
        <f>IFERROR(__xludf.DUMMYFUNCTION("""COMPUTED_VALUE"""),2800622)</f>
        <v>2800622</v>
      </c>
      <c r="G43" s="16">
        <f>IFERROR(__xludf.DUMMYFUNCTION("""COMPUTED_VALUE"""),45804.6458333333)</f>
        <v>45804.6458333333</v>
      </c>
      <c r="H43" s="17">
        <f>IFERROR(__xludf.DUMMYFUNCTION("""COMPUTED_VALUE"""),1692)</f>
        <v>1692</v>
      </c>
      <c r="I43" s="16">
        <f>IFERROR(__xludf.DUMMYFUNCTION("""COMPUTED_VALUE"""),45804.6458333333)</f>
        <v>45804.6458333333</v>
      </c>
      <c r="J43" s="17">
        <f>IFERROR(__xludf.DUMMYFUNCTION("""COMPUTED_VALUE"""),1661.1)</f>
        <v>1661.1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IFERROR(__xludf.DUMMYFUNCTION("""COMPUTED_VALUE"""),1666.4)</f>
        <v>1666.4</v>
      </c>
      <c r="C44" s="16">
        <f>IFERROR(__xludf.DUMMYFUNCTION("""COMPUTED_VALUE"""),45805.6458333333)</f>
        <v>45805.6458333333</v>
      </c>
      <c r="D44" s="17">
        <f>IFERROR(__xludf.DUMMYFUNCTION("""COMPUTED_VALUE"""),1683.4)</f>
        <v>1683.4</v>
      </c>
      <c r="E44" s="16">
        <f>IFERROR(__xludf.DUMMYFUNCTION("""COMPUTED_VALUE"""),45805.6458333333)</f>
        <v>45805.6458333333</v>
      </c>
      <c r="F44" s="17">
        <f>IFERROR(__xludf.DUMMYFUNCTION("""COMPUTED_VALUE"""),2657712)</f>
        <v>2657712</v>
      </c>
      <c r="G44" s="16">
        <f>IFERROR(__xludf.DUMMYFUNCTION("""COMPUTED_VALUE"""),45805.6458333333)</f>
        <v>45805.6458333333</v>
      </c>
      <c r="H44" s="17">
        <f>IFERROR(__xludf.DUMMYFUNCTION("""COMPUTED_VALUE"""),1686.9)</f>
        <v>1686.9</v>
      </c>
      <c r="I44" s="16">
        <f>IFERROR(__xludf.DUMMYFUNCTION("""COMPUTED_VALUE"""),45805.6458333333)</f>
        <v>45805.6458333333</v>
      </c>
      <c r="J44" s="17">
        <f>IFERROR(__xludf.DUMMYFUNCTION("""COMPUTED_VALUE"""),1663)</f>
        <v>1663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IFERROR(__xludf.DUMMYFUNCTION("""COMPUTED_VALUE"""),1699.8)</f>
        <v>1699.8</v>
      </c>
      <c r="C45" s="16">
        <f>IFERROR(__xludf.DUMMYFUNCTION("""COMPUTED_VALUE"""),45806.6458333333)</f>
        <v>45806.6458333333</v>
      </c>
      <c r="D45" s="17">
        <f>IFERROR(__xludf.DUMMYFUNCTION("""COMPUTED_VALUE"""),1675)</f>
        <v>1675</v>
      </c>
      <c r="E45" s="16">
        <f>IFERROR(__xludf.DUMMYFUNCTION("""COMPUTED_VALUE"""),45806.6458333333)</f>
        <v>45806.6458333333</v>
      </c>
      <c r="F45" s="17">
        <f>IFERROR(__xludf.DUMMYFUNCTION("""COMPUTED_VALUE"""),2377583)</f>
        <v>2377583</v>
      </c>
      <c r="G45" s="16">
        <f>IFERROR(__xludf.DUMMYFUNCTION("""COMPUTED_VALUE"""),45806.6458333333)</f>
        <v>45806.6458333333</v>
      </c>
      <c r="H45" s="17">
        <f>IFERROR(__xludf.DUMMYFUNCTION("""COMPUTED_VALUE"""),1703.3)</f>
        <v>1703.3</v>
      </c>
      <c r="I45" s="16">
        <f>IFERROR(__xludf.DUMMYFUNCTION("""COMPUTED_VALUE"""),45806.6458333333)</f>
        <v>45806.6458333333</v>
      </c>
      <c r="J45" s="17">
        <f>IFERROR(__xludf.DUMMYFUNCTION("""COMPUTED_VALUE"""),1670.4)</f>
        <v>1670.4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IFERROR(__xludf.DUMMYFUNCTION("""COMPUTED_VALUE"""),1677.6)</f>
        <v>1677.6</v>
      </c>
      <c r="C46" s="16">
        <f>IFERROR(__xludf.DUMMYFUNCTION("""COMPUTED_VALUE"""),45807.6458333333)</f>
        <v>45807.6458333333</v>
      </c>
      <c r="D46" s="17">
        <f>IFERROR(__xludf.DUMMYFUNCTION("""COMPUTED_VALUE"""),1702)</f>
        <v>1702</v>
      </c>
      <c r="E46" s="16">
        <f>IFERROR(__xludf.DUMMYFUNCTION("""COMPUTED_VALUE"""),45807.6458333333)</f>
        <v>45807.6458333333</v>
      </c>
      <c r="F46" s="17">
        <f>IFERROR(__xludf.DUMMYFUNCTION("""COMPUTED_VALUE"""),3640641)</f>
        <v>3640641</v>
      </c>
      <c r="G46" s="16">
        <f>IFERROR(__xludf.DUMMYFUNCTION("""COMPUTED_VALUE"""),45807.6458333333)</f>
        <v>45807.6458333333</v>
      </c>
      <c r="H46" s="17">
        <f>IFERROR(__xludf.DUMMYFUNCTION("""COMPUTED_VALUE"""),1713.6)</f>
        <v>1713.6</v>
      </c>
      <c r="I46" s="16">
        <f>IFERROR(__xludf.DUMMYFUNCTION("""COMPUTED_VALUE"""),45807.6458333333)</f>
        <v>45807.6458333333</v>
      </c>
      <c r="J46" s="17">
        <f>IFERROR(__xludf.DUMMYFUNCTION("""COMPUTED_VALUE"""),1669.1)</f>
        <v>1669.1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IFERROR(__xludf.DUMMYFUNCTION("""COMPUTED_VALUE"""),1674.6)</f>
        <v>1674.6</v>
      </c>
      <c r="C47" s="16">
        <f>IFERROR(__xludf.DUMMYFUNCTION("""COMPUTED_VALUE"""),45810.6458333333)</f>
        <v>45810.6458333333</v>
      </c>
      <c r="D47" s="17">
        <f>IFERROR(__xludf.DUMMYFUNCTION("""COMPUTED_VALUE"""),1679)</f>
        <v>1679</v>
      </c>
      <c r="E47" s="16">
        <f>IFERROR(__xludf.DUMMYFUNCTION("""COMPUTED_VALUE"""),45810.6458333333)</f>
        <v>45810.6458333333</v>
      </c>
      <c r="F47" s="17">
        <f>IFERROR(__xludf.DUMMYFUNCTION("""COMPUTED_VALUE"""),1819538)</f>
        <v>1819538</v>
      </c>
      <c r="G47" s="16">
        <f>IFERROR(__xludf.DUMMYFUNCTION("""COMPUTED_VALUE"""),45810.6458333333)</f>
        <v>45810.6458333333</v>
      </c>
      <c r="H47" s="17">
        <f>IFERROR(__xludf.DUMMYFUNCTION("""COMPUTED_VALUE"""),1683.5)</f>
        <v>1683.5</v>
      </c>
      <c r="I47" s="16">
        <f>IFERROR(__xludf.DUMMYFUNCTION("""COMPUTED_VALUE"""),45810.6458333333)</f>
        <v>45810.6458333333</v>
      </c>
      <c r="J47" s="17">
        <f>IFERROR(__xludf.DUMMYFUNCTION("""COMPUTED_VALUE"""),1660.5)</f>
        <v>1660.5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IFERROR(__xludf.DUMMYFUNCTION("""COMPUTED_VALUE"""),1667.5)</f>
        <v>1667.5</v>
      </c>
      <c r="C48" s="16">
        <f>IFERROR(__xludf.DUMMYFUNCTION("""COMPUTED_VALUE"""),45811.6458333333)</f>
        <v>45811.6458333333</v>
      </c>
      <c r="D48" s="17">
        <f>IFERROR(__xludf.DUMMYFUNCTION("""COMPUTED_VALUE"""),1695)</f>
        <v>1695</v>
      </c>
      <c r="E48" s="16">
        <f>IFERROR(__xludf.DUMMYFUNCTION("""COMPUTED_VALUE"""),45811.6458333333)</f>
        <v>45811.6458333333</v>
      </c>
      <c r="F48" s="17">
        <f>IFERROR(__xludf.DUMMYFUNCTION("""COMPUTED_VALUE"""),2556920)</f>
        <v>2556920</v>
      </c>
      <c r="G48" s="16">
        <f>IFERROR(__xludf.DUMMYFUNCTION("""COMPUTED_VALUE"""),45811.6458333333)</f>
        <v>45811.6458333333</v>
      </c>
      <c r="H48" s="17">
        <f>IFERROR(__xludf.DUMMYFUNCTION("""COMPUTED_VALUE"""),1695)</f>
        <v>1695</v>
      </c>
      <c r="I48" s="16">
        <f>IFERROR(__xludf.DUMMYFUNCTION("""COMPUTED_VALUE"""),45811.6458333333)</f>
        <v>45811.6458333333</v>
      </c>
      <c r="J48" s="17">
        <f>IFERROR(__xludf.DUMMYFUNCTION("""COMPUTED_VALUE"""),1657.6)</f>
        <v>1657.6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IFERROR(__xludf.DUMMYFUNCTION("""COMPUTED_VALUE"""),1664.9)</f>
        <v>1664.9</v>
      </c>
      <c r="C49" s="16">
        <f>IFERROR(__xludf.DUMMYFUNCTION("""COMPUTED_VALUE"""),45812.6458333333)</f>
        <v>45812.6458333333</v>
      </c>
      <c r="D49" s="17">
        <f>IFERROR(__xludf.DUMMYFUNCTION("""COMPUTED_VALUE"""),1656)</f>
        <v>1656</v>
      </c>
      <c r="E49" s="16">
        <f>IFERROR(__xludf.DUMMYFUNCTION("""COMPUTED_VALUE"""),45812.6458333333)</f>
        <v>45812.6458333333</v>
      </c>
      <c r="F49" s="17">
        <f>IFERROR(__xludf.DUMMYFUNCTION("""COMPUTED_VALUE"""),1700482)</f>
        <v>1700482</v>
      </c>
      <c r="G49" s="16">
        <f>IFERROR(__xludf.DUMMYFUNCTION("""COMPUTED_VALUE"""),45812.6458333333)</f>
        <v>45812.6458333333</v>
      </c>
      <c r="H49" s="17">
        <f>IFERROR(__xludf.DUMMYFUNCTION("""COMPUTED_VALUE"""),1669)</f>
        <v>1669</v>
      </c>
      <c r="I49" s="16">
        <f>IFERROR(__xludf.DUMMYFUNCTION("""COMPUTED_VALUE"""),45812.6458333333)</f>
        <v>45812.6458333333</v>
      </c>
      <c r="J49" s="17">
        <f>IFERROR(__xludf.DUMMYFUNCTION("""COMPUTED_VALUE"""),1649)</f>
        <v>1649</v>
      </c>
      <c r="K49" s="3">
        <f t="shared" si="2"/>
        <v>0</v>
      </c>
      <c r="L49" s="3">
        <f t="shared" si="3"/>
        <v>1664.9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IFERROR(__xludf.DUMMYFUNCTION("""COMPUTED_VALUE"""),1683.1)</f>
        <v>1683.1</v>
      </c>
      <c r="C50" s="16">
        <f>IFERROR(__xludf.DUMMYFUNCTION("""COMPUTED_VALUE"""),45813.6458333333)</f>
        <v>45813.6458333333</v>
      </c>
      <c r="D50" s="17">
        <f>IFERROR(__xludf.DUMMYFUNCTION("""COMPUTED_VALUE"""),1662)</f>
        <v>1662</v>
      </c>
      <c r="E50" s="16">
        <f>IFERROR(__xludf.DUMMYFUNCTION("""COMPUTED_VALUE"""),45813.6458333333)</f>
        <v>45813.6458333333</v>
      </c>
      <c r="F50" s="17">
        <f>IFERROR(__xludf.DUMMYFUNCTION("""COMPUTED_VALUE"""),2037073)</f>
        <v>2037073</v>
      </c>
      <c r="G50" s="16">
        <f>IFERROR(__xludf.DUMMYFUNCTION("""COMPUTED_VALUE"""),45813.6458333333)</f>
        <v>45813.6458333333</v>
      </c>
      <c r="H50" s="17">
        <f>IFERROR(__xludf.DUMMYFUNCTION("""COMPUTED_VALUE"""),1694.3)</f>
        <v>1694.3</v>
      </c>
      <c r="I50" s="16">
        <f>IFERROR(__xludf.DUMMYFUNCTION("""COMPUTED_VALUE"""),45813.6458333333)</f>
        <v>45813.6458333333</v>
      </c>
      <c r="J50" s="17">
        <f>IFERROR(__xludf.DUMMYFUNCTION("""COMPUTED_VALUE"""),1662)</f>
        <v>1662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IFERROR(__xludf.DUMMYFUNCTION("""COMPUTED_VALUE"""),1679.2)</f>
        <v>1679.2</v>
      </c>
      <c r="C51" s="16">
        <f>IFERROR(__xludf.DUMMYFUNCTION("""COMPUTED_VALUE"""),45814.6458333333)</f>
        <v>45814.6458333333</v>
      </c>
      <c r="D51" s="17">
        <f>IFERROR(__xludf.DUMMYFUNCTION("""COMPUTED_VALUE"""),1685)</f>
        <v>1685</v>
      </c>
      <c r="E51" s="16">
        <f>IFERROR(__xludf.DUMMYFUNCTION("""COMPUTED_VALUE"""),45814.6458333333)</f>
        <v>45814.6458333333</v>
      </c>
      <c r="F51" s="17">
        <f>IFERROR(__xludf.DUMMYFUNCTION("""COMPUTED_VALUE"""),2500047)</f>
        <v>2500047</v>
      </c>
      <c r="G51" s="16">
        <f>IFERROR(__xludf.DUMMYFUNCTION("""COMPUTED_VALUE"""),45814.6458333333)</f>
        <v>45814.6458333333</v>
      </c>
      <c r="H51" s="17">
        <f>IFERROR(__xludf.DUMMYFUNCTION("""COMPUTED_VALUE"""),1689)</f>
        <v>1689</v>
      </c>
      <c r="I51" s="16">
        <f>IFERROR(__xludf.DUMMYFUNCTION("""COMPUTED_VALUE"""),45814.6458333333)</f>
        <v>45814.6458333333</v>
      </c>
      <c r="J51" s="17">
        <f>IFERROR(__xludf.DUMMYFUNCTION("""COMPUTED_VALUE"""),1669)</f>
        <v>1669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IFERROR(__xludf.DUMMYFUNCTION("""COMPUTED_VALUE"""),1694.4)</f>
        <v>1694.4</v>
      </c>
      <c r="C52" s="16">
        <f>IFERROR(__xludf.DUMMYFUNCTION("""COMPUTED_VALUE"""),45817.6458333333)</f>
        <v>45817.6458333333</v>
      </c>
      <c r="D52" s="17">
        <f>IFERROR(__xludf.DUMMYFUNCTION("""COMPUTED_VALUE"""),1679.9)</f>
        <v>1679.9</v>
      </c>
      <c r="E52" s="16">
        <f>IFERROR(__xludf.DUMMYFUNCTION("""COMPUTED_VALUE"""),45817.6458333333)</f>
        <v>45817.6458333333</v>
      </c>
      <c r="F52" s="17">
        <f>IFERROR(__xludf.DUMMYFUNCTION("""COMPUTED_VALUE"""),2589656)</f>
        <v>2589656</v>
      </c>
      <c r="G52" s="16">
        <f>IFERROR(__xludf.DUMMYFUNCTION("""COMPUTED_VALUE"""),45817.6458333333)</f>
        <v>45817.6458333333</v>
      </c>
      <c r="H52" s="17">
        <f>IFERROR(__xludf.DUMMYFUNCTION("""COMPUTED_VALUE"""),1698.8)</f>
        <v>1698.8</v>
      </c>
      <c r="I52" s="16">
        <f>IFERROR(__xludf.DUMMYFUNCTION("""COMPUTED_VALUE"""),45817.6458333333)</f>
        <v>45817.6458333333</v>
      </c>
      <c r="J52" s="17">
        <f>IFERROR(__xludf.DUMMYFUNCTION("""COMPUTED_VALUE"""),1673.3)</f>
        <v>1673.3</v>
      </c>
      <c r="K52" s="3">
        <f t="shared" si="2"/>
        <v>1694.4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IFERROR(__xludf.DUMMYFUNCTION("""COMPUTED_VALUE"""),1688.8)</f>
        <v>1688.8</v>
      </c>
      <c r="C53" s="16">
        <f>IFERROR(__xludf.DUMMYFUNCTION("""COMPUTED_VALUE"""),45818.6458333333)</f>
        <v>45818.6458333333</v>
      </c>
      <c r="D53" s="17">
        <f>IFERROR(__xludf.DUMMYFUNCTION("""COMPUTED_VALUE"""),1701.8)</f>
        <v>1701.8</v>
      </c>
      <c r="E53" s="16">
        <f>IFERROR(__xludf.DUMMYFUNCTION("""COMPUTED_VALUE"""),45818.6458333333)</f>
        <v>45818.6458333333</v>
      </c>
      <c r="F53" s="17">
        <f>IFERROR(__xludf.DUMMYFUNCTION("""COMPUTED_VALUE"""),2369135)</f>
        <v>2369135</v>
      </c>
      <c r="G53" s="16">
        <f>IFERROR(__xludf.DUMMYFUNCTION("""COMPUTED_VALUE"""),45818.6458333333)</f>
        <v>45818.6458333333</v>
      </c>
      <c r="H53" s="17">
        <f>IFERROR(__xludf.DUMMYFUNCTION("""COMPUTED_VALUE"""),1706.9)</f>
        <v>1706.9</v>
      </c>
      <c r="I53" s="16">
        <f>IFERROR(__xludf.DUMMYFUNCTION("""COMPUTED_VALUE"""),45818.6458333333)</f>
        <v>45818.6458333333</v>
      </c>
      <c r="J53" s="17">
        <f>IFERROR(__xludf.DUMMYFUNCTION("""COMPUTED_VALUE"""),1677.7)</f>
        <v>1677.7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IFERROR(__xludf.DUMMYFUNCTION("""COMPUTED_VALUE"""),1690.6)</f>
        <v>1690.6</v>
      </c>
      <c r="C54" s="16">
        <f>IFERROR(__xludf.DUMMYFUNCTION("""COMPUTED_VALUE"""),45819.6458333333)</f>
        <v>45819.6458333333</v>
      </c>
      <c r="D54" s="17">
        <f>IFERROR(__xludf.DUMMYFUNCTION("""COMPUTED_VALUE"""),1694.8)</f>
        <v>1694.8</v>
      </c>
      <c r="E54" s="16">
        <f>IFERROR(__xludf.DUMMYFUNCTION("""COMPUTED_VALUE"""),45819.6458333333)</f>
        <v>45819.6458333333</v>
      </c>
      <c r="F54" s="17">
        <f>IFERROR(__xludf.DUMMYFUNCTION("""COMPUTED_VALUE"""),1999978)</f>
        <v>1999978</v>
      </c>
      <c r="G54" s="16">
        <f>IFERROR(__xludf.DUMMYFUNCTION("""COMPUTED_VALUE"""),45819.6458333333)</f>
        <v>45819.6458333333</v>
      </c>
      <c r="H54" s="17">
        <f>IFERROR(__xludf.DUMMYFUNCTION("""COMPUTED_VALUE"""),1695)</f>
        <v>1695</v>
      </c>
      <c r="I54" s="16">
        <f>IFERROR(__xludf.DUMMYFUNCTION("""COMPUTED_VALUE"""),45819.6458333333)</f>
        <v>45819.6458333333</v>
      </c>
      <c r="J54" s="17">
        <f>IFERROR(__xludf.DUMMYFUNCTION("""COMPUTED_VALUE"""),1679.3)</f>
        <v>1679.3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IFERROR(__xludf.DUMMYFUNCTION("""COMPUTED_VALUE"""),1687.4)</f>
        <v>1687.4</v>
      </c>
      <c r="C55" s="16">
        <f>IFERROR(__xludf.DUMMYFUNCTION("""COMPUTED_VALUE"""),45820.6458333333)</f>
        <v>45820.6458333333</v>
      </c>
      <c r="D55" s="17">
        <f>IFERROR(__xludf.DUMMYFUNCTION("""COMPUTED_VALUE"""),1694.9)</f>
        <v>1694.9</v>
      </c>
      <c r="E55" s="16">
        <f>IFERROR(__xludf.DUMMYFUNCTION("""COMPUTED_VALUE"""),45820.6458333333)</f>
        <v>45820.6458333333</v>
      </c>
      <c r="F55" s="17">
        <f>IFERROR(__xludf.DUMMYFUNCTION("""COMPUTED_VALUE"""),3588365)</f>
        <v>3588365</v>
      </c>
      <c r="G55" s="16">
        <f>IFERROR(__xludf.DUMMYFUNCTION("""COMPUTED_VALUE"""),45820.6458333333)</f>
        <v>45820.6458333333</v>
      </c>
      <c r="H55" s="17">
        <f>IFERROR(__xludf.DUMMYFUNCTION("""COMPUTED_VALUE"""),1727.5)</f>
        <v>1727.5</v>
      </c>
      <c r="I55" s="16">
        <f>IFERROR(__xludf.DUMMYFUNCTION("""COMPUTED_VALUE"""),45820.6458333333)</f>
        <v>45820.6458333333</v>
      </c>
      <c r="J55" s="17">
        <f>IFERROR(__xludf.DUMMYFUNCTION("""COMPUTED_VALUE"""),1681.1)</f>
        <v>1681.1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IFERROR(__xludf.DUMMYFUNCTION("""COMPUTED_VALUE"""),1687.8)</f>
        <v>1687.8</v>
      </c>
      <c r="C56" s="16">
        <f>IFERROR(__xludf.DUMMYFUNCTION("""COMPUTED_VALUE"""),45821.6458333333)</f>
        <v>45821.6458333333</v>
      </c>
      <c r="D56" s="17">
        <f>IFERROR(__xludf.DUMMYFUNCTION("""COMPUTED_VALUE"""),1666.8)</f>
        <v>1666.8</v>
      </c>
      <c r="E56" s="16">
        <f>IFERROR(__xludf.DUMMYFUNCTION("""COMPUTED_VALUE"""),45821.6458333333)</f>
        <v>45821.6458333333</v>
      </c>
      <c r="F56" s="17">
        <f>IFERROR(__xludf.DUMMYFUNCTION("""COMPUTED_VALUE"""),2404272)</f>
        <v>2404272</v>
      </c>
      <c r="G56" s="16">
        <f>IFERROR(__xludf.DUMMYFUNCTION("""COMPUTED_VALUE"""),45821.6458333333)</f>
        <v>45821.6458333333</v>
      </c>
      <c r="H56" s="17">
        <f>IFERROR(__xludf.DUMMYFUNCTION("""COMPUTED_VALUE"""),1700)</f>
        <v>1700</v>
      </c>
      <c r="I56" s="16">
        <f>IFERROR(__xludf.DUMMYFUNCTION("""COMPUTED_VALUE"""),45821.6458333333)</f>
        <v>45821.6458333333</v>
      </c>
      <c r="J56" s="17">
        <f>IFERROR(__xludf.DUMMYFUNCTION("""COMPUTED_VALUE"""),1661.1)</f>
        <v>1661.1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IFERROR(__xludf.DUMMYFUNCTION("""COMPUTED_VALUE"""),1685.3)</f>
        <v>1685.3</v>
      </c>
      <c r="C57" s="16">
        <f>IFERROR(__xludf.DUMMYFUNCTION("""COMPUTED_VALUE"""),45824.6458333333)</f>
        <v>45824.6458333333</v>
      </c>
      <c r="D57" s="17">
        <f>IFERROR(__xludf.DUMMYFUNCTION("""COMPUTED_VALUE"""),1665)</f>
        <v>1665</v>
      </c>
      <c r="E57" s="16">
        <f>IFERROR(__xludf.DUMMYFUNCTION("""COMPUTED_VALUE"""),45824.6458333333)</f>
        <v>45824.6458333333</v>
      </c>
      <c r="F57" s="17">
        <f>IFERROR(__xludf.DUMMYFUNCTION("""COMPUTED_VALUE"""),2249326)</f>
        <v>2249326</v>
      </c>
      <c r="G57" s="16">
        <f>IFERROR(__xludf.DUMMYFUNCTION("""COMPUTED_VALUE"""),45824.6458333333)</f>
        <v>45824.6458333333</v>
      </c>
      <c r="H57" s="17">
        <f>IFERROR(__xludf.DUMMYFUNCTION("""COMPUTED_VALUE"""),1689.8)</f>
        <v>1689.8</v>
      </c>
      <c r="I57" s="16">
        <f>IFERROR(__xludf.DUMMYFUNCTION("""COMPUTED_VALUE"""),45824.6458333333)</f>
        <v>45824.6458333333</v>
      </c>
      <c r="J57" s="17">
        <f>IFERROR(__xludf.DUMMYFUNCTION("""COMPUTED_VALUE"""),1655.7)</f>
        <v>1655.7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IFERROR(__xludf.DUMMYFUNCTION("""COMPUTED_VALUE"""),1650.2)</f>
        <v>1650.2</v>
      </c>
      <c r="C58" s="16">
        <f>IFERROR(__xludf.DUMMYFUNCTION("""COMPUTED_VALUE"""),45825.6458333333)</f>
        <v>45825.6458333333</v>
      </c>
      <c r="D58" s="17">
        <f>IFERROR(__xludf.DUMMYFUNCTION("""COMPUTED_VALUE"""),1680)</f>
        <v>1680</v>
      </c>
      <c r="E58" s="16">
        <f>IFERROR(__xludf.DUMMYFUNCTION("""COMPUTED_VALUE"""),45825.6458333333)</f>
        <v>45825.6458333333</v>
      </c>
      <c r="F58" s="17">
        <f>IFERROR(__xludf.DUMMYFUNCTION("""COMPUTED_VALUE"""),5408285)</f>
        <v>5408285</v>
      </c>
      <c r="G58" s="16">
        <f>IFERROR(__xludf.DUMMYFUNCTION("""COMPUTED_VALUE"""),45825.6458333333)</f>
        <v>45825.6458333333</v>
      </c>
      <c r="H58" s="17">
        <f>IFERROR(__xludf.DUMMYFUNCTION("""COMPUTED_VALUE"""),1681.7)</f>
        <v>1681.7</v>
      </c>
      <c r="I58" s="16">
        <f>IFERROR(__xludf.DUMMYFUNCTION("""COMPUTED_VALUE"""),45825.6458333333)</f>
        <v>45825.6458333333</v>
      </c>
      <c r="J58" s="17">
        <f>IFERROR(__xludf.DUMMYFUNCTION("""COMPUTED_VALUE"""),1641.1)</f>
        <v>1641.1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IFERROR(__xludf.DUMMYFUNCTION("""COMPUTED_VALUE"""),1648)</f>
        <v>1648</v>
      </c>
      <c r="C59" s="16">
        <f>IFERROR(__xludf.DUMMYFUNCTION("""COMPUTED_VALUE"""),45826.6458333333)</f>
        <v>45826.6458333333</v>
      </c>
      <c r="D59" s="17">
        <f>IFERROR(__xludf.DUMMYFUNCTION("""COMPUTED_VALUE"""),1645)</f>
        <v>1645</v>
      </c>
      <c r="E59" s="16">
        <f>IFERROR(__xludf.DUMMYFUNCTION("""COMPUTED_VALUE"""),45826.6458333333)</f>
        <v>45826.6458333333</v>
      </c>
      <c r="F59" s="17">
        <f>IFERROR(__xludf.DUMMYFUNCTION("""COMPUTED_VALUE"""),1455885)</f>
        <v>1455885</v>
      </c>
      <c r="G59" s="16">
        <f>IFERROR(__xludf.DUMMYFUNCTION("""COMPUTED_VALUE"""),45826.6458333333)</f>
        <v>45826.6458333333</v>
      </c>
      <c r="H59" s="17">
        <f>IFERROR(__xludf.DUMMYFUNCTION("""COMPUTED_VALUE"""),1661.3)</f>
        <v>1661.3</v>
      </c>
      <c r="I59" s="16">
        <f>IFERROR(__xludf.DUMMYFUNCTION("""COMPUTED_VALUE"""),45826.6458333333)</f>
        <v>45826.6458333333</v>
      </c>
      <c r="J59" s="17">
        <f>IFERROR(__xludf.DUMMYFUNCTION("""COMPUTED_VALUE"""),1638.5)</f>
        <v>1638.5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IFERROR(__xludf.DUMMYFUNCTION("""COMPUTED_VALUE"""),1647.6)</f>
        <v>1647.6</v>
      </c>
      <c r="C60" s="16">
        <f>IFERROR(__xludf.DUMMYFUNCTION("""COMPUTED_VALUE"""),45827.6458333333)</f>
        <v>45827.6458333333</v>
      </c>
      <c r="D60" s="17">
        <f>IFERROR(__xludf.DUMMYFUNCTION("""COMPUTED_VALUE"""),1648.1)</f>
        <v>1648.1</v>
      </c>
      <c r="E60" s="16">
        <f>IFERROR(__xludf.DUMMYFUNCTION("""COMPUTED_VALUE"""),45827.6458333333)</f>
        <v>45827.6458333333</v>
      </c>
      <c r="F60" s="17">
        <f>IFERROR(__xludf.DUMMYFUNCTION("""COMPUTED_VALUE"""),1696525)</f>
        <v>1696525</v>
      </c>
      <c r="G60" s="16">
        <f>IFERROR(__xludf.DUMMYFUNCTION("""COMPUTED_VALUE"""),45827.6458333333)</f>
        <v>45827.6458333333</v>
      </c>
      <c r="H60" s="17">
        <f>IFERROR(__xludf.DUMMYFUNCTION("""COMPUTED_VALUE"""),1655.3)</f>
        <v>1655.3</v>
      </c>
      <c r="I60" s="16">
        <f>IFERROR(__xludf.DUMMYFUNCTION("""COMPUTED_VALUE"""),45827.6458333333)</f>
        <v>45827.6458333333</v>
      </c>
      <c r="J60" s="17">
        <f>IFERROR(__xludf.DUMMYFUNCTION("""COMPUTED_VALUE"""),1636)</f>
        <v>1636</v>
      </c>
      <c r="K60" s="3">
        <f t="shared" si="2"/>
        <v>0</v>
      </c>
      <c r="L60" s="3">
        <f t="shared" si="3"/>
        <v>1647.6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IFERROR(__xludf.DUMMYFUNCTION("""COMPUTED_VALUE"""),1665.1)</f>
        <v>1665.1</v>
      </c>
      <c r="C61" s="16">
        <f>IFERROR(__xludf.DUMMYFUNCTION("""COMPUTED_VALUE"""),45828.6458333333)</f>
        <v>45828.6458333333</v>
      </c>
      <c r="D61" s="17">
        <f>IFERROR(__xludf.DUMMYFUNCTION("""COMPUTED_VALUE"""),1647.6)</f>
        <v>1647.6</v>
      </c>
      <c r="E61" s="16">
        <f>IFERROR(__xludf.DUMMYFUNCTION("""COMPUTED_VALUE"""),45828.6458333333)</f>
        <v>45828.6458333333</v>
      </c>
      <c r="F61" s="17">
        <f>IFERROR(__xludf.DUMMYFUNCTION("""COMPUTED_VALUE"""),2567882)</f>
        <v>2567882</v>
      </c>
      <c r="G61" s="16">
        <f>IFERROR(__xludf.DUMMYFUNCTION("""COMPUTED_VALUE"""),45828.6458333333)</f>
        <v>45828.6458333333</v>
      </c>
      <c r="H61" s="17">
        <f>IFERROR(__xludf.DUMMYFUNCTION("""COMPUTED_VALUE"""),1670)</f>
        <v>1670</v>
      </c>
      <c r="I61" s="16">
        <f>IFERROR(__xludf.DUMMYFUNCTION("""COMPUTED_VALUE"""),45828.6458333333)</f>
        <v>45828.6458333333</v>
      </c>
      <c r="J61" s="17">
        <f>IFERROR(__xludf.DUMMYFUNCTION("""COMPUTED_VALUE"""),1645.6)</f>
        <v>1645.6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IFERROR(__xludf.DUMMYFUNCTION("""COMPUTED_VALUE"""),1662.5)</f>
        <v>1662.5</v>
      </c>
      <c r="C62" s="16">
        <f>IFERROR(__xludf.DUMMYFUNCTION("""COMPUTED_VALUE"""),45831.6458333333)</f>
        <v>45831.6458333333</v>
      </c>
      <c r="D62" s="17">
        <f>IFERROR(__xludf.DUMMYFUNCTION("""COMPUTED_VALUE"""),1663.2)</f>
        <v>1663.2</v>
      </c>
      <c r="E62" s="16">
        <f>IFERROR(__xludf.DUMMYFUNCTION("""COMPUTED_VALUE"""),45831.6458333333)</f>
        <v>45831.6458333333</v>
      </c>
      <c r="F62" s="17">
        <f>IFERROR(__xludf.DUMMYFUNCTION("""COMPUTED_VALUE"""),840643)</f>
        <v>840643</v>
      </c>
      <c r="G62" s="16">
        <f>IFERROR(__xludf.DUMMYFUNCTION("""COMPUTED_VALUE"""),45831.6458333333)</f>
        <v>45831.6458333333</v>
      </c>
      <c r="H62" s="17">
        <f>IFERROR(__xludf.DUMMYFUNCTION("""COMPUTED_VALUE"""),1667)</f>
        <v>1667</v>
      </c>
      <c r="I62" s="16">
        <f>IFERROR(__xludf.DUMMYFUNCTION("""COMPUTED_VALUE"""),45831.6458333333)</f>
        <v>45831.6458333333</v>
      </c>
      <c r="J62" s="17">
        <f>IFERROR(__xludf.DUMMYFUNCTION("""COMPUTED_VALUE"""),1647.2)</f>
        <v>1647.2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IFERROR(__xludf.DUMMYFUNCTION("""COMPUTED_VALUE"""),1661.7)</f>
        <v>1661.7</v>
      </c>
      <c r="C63" s="16">
        <f>IFERROR(__xludf.DUMMYFUNCTION("""COMPUTED_VALUE"""),45832.6458333333)</f>
        <v>45832.6458333333</v>
      </c>
      <c r="D63" s="17">
        <f>IFERROR(__xludf.DUMMYFUNCTION("""COMPUTED_VALUE"""),1670.5)</f>
        <v>1670.5</v>
      </c>
      <c r="E63" s="16">
        <f>IFERROR(__xludf.DUMMYFUNCTION("""COMPUTED_VALUE"""),45832.6458333333)</f>
        <v>45832.6458333333</v>
      </c>
      <c r="F63" s="17">
        <f>IFERROR(__xludf.DUMMYFUNCTION("""COMPUTED_VALUE"""),2066326)</f>
        <v>2066326</v>
      </c>
      <c r="G63" s="16">
        <f>IFERROR(__xludf.DUMMYFUNCTION("""COMPUTED_VALUE"""),45832.6458333333)</f>
        <v>45832.6458333333</v>
      </c>
      <c r="H63" s="17">
        <f>IFERROR(__xludf.DUMMYFUNCTION("""COMPUTED_VALUE"""),1686.4)</f>
        <v>1686.4</v>
      </c>
      <c r="I63" s="16">
        <f>IFERROR(__xludf.DUMMYFUNCTION("""COMPUTED_VALUE"""),45832.6458333333)</f>
        <v>45832.6458333333</v>
      </c>
      <c r="J63" s="17">
        <f>IFERROR(__xludf.DUMMYFUNCTION("""COMPUTED_VALUE"""),1658.8)</f>
        <v>1658.8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IFERROR(__xludf.DUMMYFUNCTION("""COMPUTED_VALUE"""),1669.6)</f>
        <v>1669.6</v>
      </c>
      <c r="C64" s="16">
        <f>IFERROR(__xludf.DUMMYFUNCTION("""COMPUTED_VALUE"""),45833.6458333333)</f>
        <v>45833.6458333333</v>
      </c>
      <c r="D64" s="17">
        <f>IFERROR(__xludf.DUMMYFUNCTION("""COMPUTED_VALUE"""),1661.7)</f>
        <v>1661.7</v>
      </c>
      <c r="E64" s="16">
        <f>IFERROR(__xludf.DUMMYFUNCTION("""COMPUTED_VALUE"""),45833.6458333333)</f>
        <v>45833.6458333333</v>
      </c>
      <c r="F64" s="17">
        <f>IFERROR(__xludf.DUMMYFUNCTION("""COMPUTED_VALUE"""),1372945)</f>
        <v>1372945</v>
      </c>
      <c r="G64" s="16">
        <f>IFERROR(__xludf.DUMMYFUNCTION("""COMPUTED_VALUE"""),45833.6458333333)</f>
        <v>45833.6458333333</v>
      </c>
      <c r="H64" s="17">
        <f>IFERROR(__xludf.DUMMYFUNCTION("""COMPUTED_VALUE"""),1678.8)</f>
        <v>1678.8</v>
      </c>
      <c r="I64" s="16">
        <f>IFERROR(__xludf.DUMMYFUNCTION("""COMPUTED_VALUE"""),45833.6458333333)</f>
        <v>45833.6458333333</v>
      </c>
      <c r="J64" s="17">
        <f>IFERROR(__xludf.DUMMYFUNCTION("""COMPUTED_VALUE"""),1658.1)</f>
        <v>1658.1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IFERROR(__xludf.DUMMYFUNCTION("""COMPUTED_VALUE"""),1669.8)</f>
        <v>1669.8</v>
      </c>
      <c r="C65" s="16">
        <f>IFERROR(__xludf.DUMMYFUNCTION("""COMPUTED_VALUE"""),45834.6458333333)</f>
        <v>45834.6458333333</v>
      </c>
      <c r="D65" s="17">
        <f>IFERROR(__xludf.DUMMYFUNCTION("""COMPUTED_VALUE"""),1674.8)</f>
        <v>1674.8</v>
      </c>
      <c r="E65" s="16">
        <f>IFERROR(__xludf.DUMMYFUNCTION("""COMPUTED_VALUE"""),45834.6458333333)</f>
        <v>45834.6458333333</v>
      </c>
      <c r="F65" s="17">
        <f>IFERROR(__xludf.DUMMYFUNCTION("""COMPUTED_VALUE"""),2102627)</f>
        <v>2102627</v>
      </c>
      <c r="G65" s="16">
        <f>IFERROR(__xludf.DUMMYFUNCTION("""COMPUTED_VALUE"""),45834.6458333333)</f>
        <v>45834.6458333333</v>
      </c>
      <c r="H65" s="17">
        <f>IFERROR(__xludf.DUMMYFUNCTION("""COMPUTED_VALUE"""),1678.9)</f>
        <v>1678.9</v>
      </c>
      <c r="I65" s="16">
        <f>IFERROR(__xludf.DUMMYFUNCTION("""COMPUTED_VALUE"""),45834.6458333333)</f>
        <v>45834.6458333333</v>
      </c>
      <c r="J65" s="17">
        <f>IFERROR(__xludf.DUMMYFUNCTION("""COMPUTED_VALUE"""),1650.4)</f>
        <v>1650.4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IFERROR(__xludf.DUMMYFUNCTION("""COMPUTED_VALUE"""),1687.6)</f>
        <v>1687.6</v>
      </c>
      <c r="C66" s="16">
        <f>IFERROR(__xludf.DUMMYFUNCTION("""COMPUTED_VALUE"""),45835.6458333333)</f>
        <v>45835.6458333333</v>
      </c>
      <c r="D66" s="17">
        <f>IFERROR(__xludf.DUMMYFUNCTION("""COMPUTED_VALUE"""),1670.2)</f>
        <v>1670.2</v>
      </c>
      <c r="E66" s="16">
        <f>IFERROR(__xludf.DUMMYFUNCTION("""COMPUTED_VALUE"""),45835.6458333333)</f>
        <v>45835.6458333333</v>
      </c>
      <c r="F66" s="17">
        <f>IFERROR(__xludf.DUMMYFUNCTION("""COMPUTED_VALUE"""),5313904)</f>
        <v>5313904</v>
      </c>
      <c r="G66" s="16">
        <f>IFERROR(__xludf.DUMMYFUNCTION("""COMPUTED_VALUE"""),45835.6458333333)</f>
        <v>45835.6458333333</v>
      </c>
      <c r="H66" s="17">
        <f>IFERROR(__xludf.DUMMYFUNCTION("""COMPUTED_VALUE"""),1695.7)</f>
        <v>1695.7</v>
      </c>
      <c r="I66" s="16">
        <f>IFERROR(__xludf.DUMMYFUNCTION("""COMPUTED_VALUE"""),45835.6458333333)</f>
        <v>45835.6458333333</v>
      </c>
      <c r="J66" s="17">
        <f>IFERROR(__xludf.DUMMYFUNCTION("""COMPUTED_VALUE"""),1668.2)</f>
        <v>1668.2</v>
      </c>
      <c r="K66" s="3">
        <f t="shared" si="2"/>
        <v>1687.6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IFERROR(__xludf.DUMMYFUNCTION("""COMPUTED_VALUE"""),1675.7)</f>
        <v>1675.7</v>
      </c>
      <c r="C67" s="16">
        <f>IFERROR(__xludf.DUMMYFUNCTION("""COMPUTED_VALUE"""),45838.6458333333)</f>
        <v>45838.6458333333</v>
      </c>
      <c r="D67" s="17">
        <f>IFERROR(__xludf.DUMMYFUNCTION("""COMPUTED_VALUE"""),1696)</f>
        <v>1696</v>
      </c>
      <c r="E67" s="16">
        <f>IFERROR(__xludf.DUMMYFUNCTION("""COMPUTED_VALUE"""),45838.6458333333)</f>
        <v>45838.6458333333</v>
      </c>
      <c r="F67" s="17">
        <f>IFERROR(__xludf.DUMMYFUNCTION("""COMPUTED_VALUE"""),2160184)</f>
        <v>2160184</v>
      </c>
      <c r="G67" s="16">
        <f>IFERROR(__xludf.DUMMYFUNCTION("""COMPUTED_VALUE"""),45838.6458333333)</f>
        <v>45838.6458333333</v>
      </c>
      <c r="H67" s="17">
        <f>IFERROR(__xludf.DUMMYFUNCTION("""COMPUTED_VALUE"""),1704.5)</f>
        <v>1704.5</v>
      </c>
      <c r="I67" s="16">
        <f>IFERROR(__xludf.DUMMYFUNCTION("""COMPUTED_VALUE"""),45838.6458333333)</f>
        <v>45838.6458333333</v>
      </c>
      <c r="J67" s="17">
        <f>IFERROR(__xludf.DUMMYFUNCTION("""COMPUTED_VALUE"""),1671.6)</f>
        <v>1671.6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IFERROR(__xludf.DUMMYFUNCTION("""COMPUTED_VALUE"""),1667.2)</f>
        <v>1667.2</v>
      </c>
      <c r="C68" s="16">
        <f>IFERROR(__xludf.DUMMYFUNCTION("""COMPUTED_VALUE"""),45839.6458333333)</f>
        <v>45839.6458333333</v>
      </c>
      <c r="D68" s="17">
        <f>IFERROR(__xludf.DUMMYFUNCTION("""COMPUTED_VALUE"""),1675.7)</f>
        <v>1675.7</v>
      </c>
      <c r="E68" s="16">
        <f>IFERROR(__xludf.DUMMYFUNCTION("""COMPUTED_VALUE"""),45839.6458333333)</f>
        <v>45839.6458333333</v>
      </c>
      <c r="F68" s="17">
        <f>IFERROR(__xludf.DUMMYFUNCTION("""COMPUTED_VALUE"""),3298070)</f>
        <v>3298070</v>
      </c>
      <c r="G68" s="16">
        <f>IFERROR(__xludf.DUMMYFUNCTION("""COMPUTED_VALUE"""),45839.6458333333)</f>
        <v>45839.6458333333</v>
      </c>
      <c r="H68" s="17">
        <f>IFERROR(__xludf.DUMMYFUNCTION("""COMPUTED_VALUE"""),1684.3)</f>
        <v>1684.3</v>
      </c>
      <c r="I68" s="16">
        <f>IFERROR(__xludf.DUMMYFUNCTION("""COMPUTED_VALUE"""),45839.6458333333)</f>
        <v>45839.6458333333</v>
      </c>
      <c r="J68" s="17">
        <f>IFERROR(__xludf.DUMMYFUNCTION("""COMPUTED_VALUE"""),1657.5)</f>
        <v>1657.5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IFERROR(__xludf.DUMMYFUNCTION("""COMPUTED_VALUE"""),1677.5)</f>
        <v>1677.5</v>
      </c>
      <c r="C69" s="16">
        <f>IFERROR(__xludf.DUMMYFUNCTION("""COMPUTED_VALUE"""),45840.6458333333)</f>
        <v>45840.6458333333</v>
      </c>
      <c r="D69" s="17">
        <f>IFERROR(__xludf.DUMMYFUNCTION("""COMPUTED_VALUE"""),1656)</f>
        <v>1656</v>
      </c>
      <c r="E69" s="16">
        <f>IFERROR(__xludf.DUMMYFUNCTION("""COMPUTED_VALUE"""),45840.6458333333)</f>
        <v>45840.6458333333</v>
      </c>
      <c r="F69" s="17">
        <f>IFERROR(__xludf.DUMMYFUNCTION("""COMPUTED_VALUE"""),1611046)</f>
        <v>1611046</v>
      </c>
      <c r="G69" s="16">
        <f>IFERROR(__xludf.DUMMYFUNCTION("""COMPUTED_VALUE"""),45840.6458333333)</f>
        <v>45840.6458333333</v>
      </c>
      <c r="H69" s="17">
        <f>IFERROR(__xludf.DUMMYFUNCTION("""COMPUTED_VALUE"""),1682)</f>
        <v>1682</v>
      </c>
      <c r="I69" s="16">
        <f>IFERROR(__xludf.DUMMYFUNCTION("""COMPUTED_VALUE"""),45840.6458333333)</f>
        <v>45840.6458333333</v>
      </c>
      <c r="J69" s="17">
        <f>IFERROR(__xludf.DUMMYFUNCTION("""COMPUTED_VALUE"""),1656)</f>
        <v>1656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IFERROR(__xludf.DUMMYFUNCTION("""COMPUTED_VALUE"""),1679.7)</f>
        <v>1679.7</v>
      </c>
      <c r="C70" s="16">
        <f>IFERROR(__xludf.DUMMYFUNCTION("""COMPUTED_VALUE"""),45841.6458333333)</f>
        <v>45841.6458333333</v>
      </c>
      <c r="D70" s="17">
        <f>IFERROR(__xludf.DUMMYFUNCTION("""COMPUTED_VALUE"""),1677.5)</f>
        <v>1677.5</v>
      </c>
      <c r="E70" s="16">
        <f>IFERROR(__xludf.DUMMYFUNCTION("""COMPUTED_VALUE"""),45841.6458333333)</f>
        <v>45841.6458333333</v>
      </c>
      <c r="F70" s="17">
        <f>IFERROR(__xludf.DUMMYFUNCTION("""COMPUTED_VALUE"""),1553777)</f>
        <v>1553777</v>
      </c>
      <c r="G70" s="16">
        <f>IFERROR(__xludf.DUMMYFUNCTION("""COMPUTED_VALUE"""),45841.6458333333)</f>
        <v>45841.6458333333</v>
      </c>
      <c r="H70" s="17">
        <f>IFERROR(__xludf.DUMMYFUNCTION("""COMPUTED_VALUE"""),1692.8)</f>
        <v>1692.8</v>
      </c>
      <c r="I70" s="16">
        <f>IFERROR(__xludf.DUMMYFUNCTION("""COMPUTED_VALUE"""),45841.6458333333)</f>
        <v>45841.6458333333</v>
      </c>
      <c r="J70" s="17">
        <f>IFERROR(__xludf.DUMMYFUNCTION("""COMPUTED_VALUE"""),1674.5)</f>
        <v>1674.5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IFERROR(__xludf.DUMMYFUNCTION("""COMPUTED_VALUE"""),1676.3)</f>
        <v>1676.3</v>
      </c>
      <c r="C71" s="16">
        <f>IFERROR(__xludf.DUMMYFUNCTION("""COMPUTED_VALUE"""),45842.6458333333)</f>
        <v>45842.6458333333</v>
      </c>
      <c r="D71" s="17">
        <f>IFERROR(__xludf.DUMMYFUNCTION("""COMPUTED_VALUE"""),1686.7)</f>
        <v>1686.7</v>
      </c>
      <c r="E71" s="16">
        <f>IFERROR(__xludf.DUMMYFUNCTION("""COMPUTED_VALUE"""),45842.6458333333)</f>
        <v>45842.6458333333</v>
      </c>
      <c r="F71" s="17">
        <f>IFERROR(__xludf.DUMMYFUNCTION("""COMPUTED_VALUE"""),1264399)</f>
        <v>1264399</v>
      </c>
      <c r="G71" s="16">
        <f>IFERROR(__xludf.DUMMYFUNCTION("""COMPUTED_VALUE"""),45842.6458333333)</f>
        <v>45842.6458333333</v>
      </c>
      <c r="H71" s="17">
        <f>IFERROR(__xludf.DUMMYFUNCTION("""COMPUTED_VALUE"""),1686.7)</f>
        <v>1686.7</v>
      </c>
      <c r="I71" s="16">
        <f>IFERROR(__xludf.DUMMYFUNCTION("""COMPUTED_VALUE"""),45842.6458333333)</f>
        <v>45842.6458333333</v>
      </c>
      <c r="J71" s="17">
        <f>IFERROR(__xludf.DUMMYFUNCTION("""COMPUTED_VALUE"""),1671.6)</f>
        <v>1671.6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IFERROR(__xludf.DUMMYFUNCTION("""COMPUTED_VALUE"""),1679.9)</f>
        <v>1679.9</v>
      </c>
      <c r="C72" s="16">
        <f>IFERROR(__xludf.DUMMYFUNCTION("""COMPUTED_VALUE"""),45845.6458333333)</f>
        <v>45845.6458333333</v>
      </c>
      <c r="D72" s="17">
        <f>IFERROR(__xludf.DUMMYFUNCTION("""COMPUTED_VALUE"""),1674.7)</f>
        <v>1674.7</v>
      </c>
      <c r="E72" s="16">
        <f>IFERROR(__xludf.DUMMYFUNCTION("""COMPUTED_VALUE"""),45845.6458333333)</f>
        <v>45845.6458333333</v>
      </c>
      <c r="F72" s="17">
        <f>IFERROR(__xludf.DUMMYFUNCTION("""COMPUTED_VALUE"""),1550620)</f>
        <v>1550620</v>
      </c>
      <c r="G72" s="16">
        <f>IFERROR(__xludf.DUMMYFUNCTION("""COMPUTED_VALUE"""),45845.6458333333)</f>
        <v>45845.6458333333</v>
      </c>
      <c r="H72" s="17">
        <f>IFERROR(__xludf.DUMMYFUNCTION("""COMPUTED_VALUE"""),1682.4)</f>
        <v>1682.4</v>
      </c>
      <c r="I72" s="16">
        <f>IFERROR(__xludf.DUMMYFUNCTION("""COMPUTED_VALUE"""),45845.6458333333)</f>
        <v>45845.6458333333</v>
      </c>
      <c r="J72" s="17">
        <f>IFERROR(__xludf.DUMMYFUNCTION("""COMPUTED_VALUE"""),1663)</f>
        <v>1663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IFERROR(__xludf.DUMMYFUNCTION("""COMPUTED_VALUE"""),1672.5)</f>
        <v>1672.5</v>
      </c>
      <c r="C73" s="16">
        <f>IFERROR(__xludf.DUMMYFUNCTION("""COMPUTED_VALUE"""),45846.6458333333)</f>
        <v>45846.6458333333</v>
      </c>
      <c r="D73" s="17">
        <f>IFERROR(__xludf.DUMMYFUNCTION("""COMPUTED_VALUE"""),1680)</f>
        <v>1680</v>
      </c>
      <c r="E73" s="16">
        <f>IFERROR(__xludf.DUMMYFUNCTION("""COMPUTED_VALUE"""),45846.6458333333)</f>
        <v>45846.6458333333</v>
      </c>
      <c r="F73" s="17">
        <f>IFERROR(__xludf.DUMMYFUNCTION("""COMPUTED_VALUE"""),1860328)</f>
        <v>1860328</v>
      </c>
      <c r="G73" s="16">
        <f>IFERROR(__xludf.DUMMYFUNCTION("""COMPUTED_VALUE"""),45846.6458333333)</f>
        <v>45846.6458333333</v>
      </c>
      <c r="H73" s="17">
        <f>IFERROR(__xludf.DUMMYFUNCTION("""COMPUTED_VALUE"""),1682)</f>
        <v>1682</v>
      </c>
      <c r="I73" s="16">
        <f>IFERROR(__xludf.DUMMYFUNCTION("""COMPUTED_VALUE"""),45846.6458333333)</f>
        <v>45846.6458333333</v>
      </c>
      <c r="J73" s="17">
        <f>IFERROR(__xludf.DUMMYFUNCTION("""COMPUTED_VALUE"""),1649.1)</f>
        <v>1649.1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IFERROR(__xludf.DUMMYFUNCTION("""COMPUTED_VALUE"""),1669.4)</f>
        <v>1669.4</v>
      </c>
      <c r="C74" s="16">
        <f>IFERROR(__xludf.DUMMYFUNCTION("""COMPUTED_VALUE"""),45847.6458333333)</f>
        <v>45847.6458333333</v>
      </c>
      <c r="D74" s="17">
        <f>IFERROR(__xludf.DUMMYFUNCTION("""COMPUTED_VALUE"""),1660)</f>
        <v>1660</v>
      </c>
      <c r="E74" s="16">
        <f>IFERROR(__xludf.DUMMYFUNCTION("""COMPUTED_VALUE"""),45847.6458333333)</f>
        <v>45847.6458333333</v>
      </c>
      <c r="F74" s="17">
        <f>IFERROR(__xludf.DUMMYFUNCTION("""COMPUTED_VALUE"""),2178705)</f>
        <v>2178705</v>
      </c>
      <c r="G74" s="16">
        <f>IFERROR(__xludf.DUMMYFUNCTION("""COMPUTED_VALUE"""),45847.6458333333)</f>
        <v>45847.6458333333</v>
      </c>
      <c r="H74" s="17">
        <f>IFERROR(__xludf.DUMMYFUNCTION("""COMPUTED_VALUE"""),1680.8)</f>
        <v>1680.8</v>
      </c>
      <c r="I74" s="16">
        <f>IFERROR(__xludf.DUMMYFUNCTION("""COMPUTED_VALUE"""),45847.6458333333)</f>
        <v>45847.6458333333</v>
      </c>
      <c r="J74" s="17">
        <f>IFERROR(__xludf.DUMMYFUNCTION("""COMPUTED_VALUE"""),1647)</f>
        <v>1647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IFERROR(__xludf.DUMMYFUNCTION("""COMPUTED_VALUE"""),1662.5)</f>
        <v>1662.5</v>
      </c>
      <c r="C75" s="16">
        <f>IFERROR(__xludf.DUMMYFUNCTION("""COMPUTED_VALUE"""),45848.6458333333)</f>
        <v>45848.6458333333</v>
      </c>
      <c r="D75" s="17">
        <f>IFERROR(__xludf.DUMMYFUNCTION("""COMPUTED_VALUE"""),1662)</f>
        <v>1662</v>
      </c>
      <c r="E75" s="16">
        <f>IFERROR(__xludf.DUMMYFUNCTION("""COMPUTED_VALUE"""),45848.6458333333)</f>
        <v>45848.6458333333</v>
      </c>
      <c r="F75" s="17">
        <f>IFERROR(__xludf.DUMMYFUNCTION("""COMPUTED_VALUE"""),1741718)</f>
        <v>1741718</v>
      </c>
      <c r="G75" s="16">
        <f>IFERROR(__xludf.DUMMYFUNCTION("""COMPUTED_VALUE"""),45848.6458333333)</f>
        <v>45848.6458333333</v>
      </c>
      <c r="H75" s="17">
        <f>IFERROR(__xludf.DUMMYFUNCTION("""COMPUTED_VALUE"""),1670.6)</f>
        <v>1670.6</v>
      </c>
      <c r="I75" s="16">
        <f>IFERROR(__xludf.DUMMYFUNCTION("""COMPUTED_VALUE"""),45848.6458333333)</f>
        <v>45848.6458333333</v>
      </c>
      <c r="J75" s="17">
        <f>IFERROR(__xludf.DUMMYFUNCTION("""COMPUTED_VALUE"""),1647.2)</f>
        <v>1647.2</v>
      </c>
      <c r="K75" s="3">
        <f t="shared" si="2"/>
        <v>0</v>
      </c>
      <c r="L75" s="3">
        <f t="shared" si="3"/>
        <v>1662.5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IFERROR(__xludf.DUMMYFUNCTION("""COMPUTED_VALUE"""),1672)</f>
        <v>1672</v>
      </c>
      <c r="C76" s="16">
        <f>IFERROR(__xludf.DUMMYFUNCTION("""COMPUTED_VALUE"""),45849.6458333333)</f>
        <v>45849.6458333333</v>
      </c>
      <c r="D76" s="17">
        <f>IFERROR(__xludf.DUMMYFUNCTION("""COMPUTED_VALUE"""),1665.8)</f>
        <v>1665.8</v>
      </c>
      <c r="E76" s="16">
        <f>IFERROR(__xludf.DUMMYFUNCTION("""COMPUTED_VALUE"""),45849.6458333333)</f>
        <v>45849.6458333333</v>
      </c>
      <c r="F76" s="17">
        <f>IFERROR(__xludf.DUMMYFUNCTION("""COMPUTED_VALUE"""),1298302)</f>
        <v>1298302</v>
      </c>
      <c r="G76" s="16">
        <f>IFERROR(__xludf.DUMMYFUNCTION("""COMPUTED_VALUE"""),45849.6458333333)</f>
        <v>45849.6458333333</v>
      </c>
      <c r="H76" s="17">
        <f>IFERROR(__xludf.DUMMYFUNCTION("""COMPUTED_VALUE"""),1679.9)</f>
        <v>1679.9</v>
      </c>
      <c r="I76" s="16">
        <f>IFERROR(__xludf.DUMMYFUNCTION("""COMPUTED_VALUE"""),45849.6458333333)</f>
        <v>45849.6458333333</v>
      </c>
      <c r="J76" s="17">
        <f>IFERROR(__xludf.DUMMYFUNCTION("""COMPUTED_VALUE"""),1662.2)</f>
        <v>1662.2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IFERROR(__xludf.DUMMYFUNCTION("""COMPUTED_VALUE"""),1682.6)</f>
        <v>1682.6</v>
      </c>
      <c r="C77" s="16">
        <f>IFERROR(__xludf.DUMMYFUNCTION("""COMPUTED_VALUE"""),45852.6458333333)</f>
        <v>45852.6458333333</v>
      </c>
      <c r="D77" s="17">
        <f>IFERROR(__xludf.DUMMYFUNCTION("""COMPUTED_VALUE"""),1680.4)</f>
        <v>1680.4</v>
      </c>
      <c r="E77" s="16">
        <f>IFERROR(__xludf.DUMMYFUNCTION("""COMPUTED_VALUE"""),45852.6458333333)</f>
        <v>45852.6458333333</v>
      </c>
      <c r="F77" s="17">
        <f>IFERROR(__xludf.DUMMYFUNCTION("""COMPUTED_VALUE"""),1309704)</f>
        <v>1309704</v>
      </c>
      <c r="G77" s="16">
        <f>IFERROR(__xludf.DUMMYFUNCTION("""COMPUTED_VALUE"""),45852.6458333333)</f>
        <v>45852.6458333333</v>
      </c>
      <c r="H77" s="17">
        <f>IFERROR(__xludf.DUMMYFUNCTION("""COMPUTED_VALUE"""),1696.9)</f>
        <v>1696.9</v>
      </c>
      <c r="I77" s="16">
        <f>IFERROR(__xludf.DUMMYFUNCTION("""COMPUTED_VALUE"""),45852.6458333333)</f>
        <v>45852.6458333333</v>
      </c>
      <c r="J77" s="17">
        <f>IFERROR(__xludf.DUMMYFUNCTION("""COMPUTED_VALUE"""),1675.5)</f>
        <v>1675.5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IFERROR(__xludf.DUMMYFUNCTION("""COMPUTED_VALUE"""),1727.5)</f>
        <v>1727.5</v>
      </c>
      <c r="C78" s="16">
        <f>IFERROR(__xludf.DUMMYFUNCTION("""COMPUTED_VALUE"""),45853.6458333333)</f>
        <v>45853.6458333333</v>
      </c>
      <c r="D78" s="17">
        <f>IFERROR(__xludf.DUMMYFUNCTION("""COMPUTED_VALUE"""),1705)</f>
        <v>1705</v>
      </c>
      <c r="E78" s="16">
        <f>IFERROR(__xludf.DUMMYFUNCTION("""COMPUTED_VALUE"""),45853.6458333333)</f>
        <v>45853.6458333333</v>
      </c>
      <c r="F78" s="17">
        <f>IFERROR(__xludf.DUMMYFUNCTION("""COMPUTED_VALUE"""),3332578)</f>
        <v>3332578</v>
      </c>
      <c r="G78" s="16">
        <f>IFERROR(__xludf.DUMMYFUNCTION("""COMPUTED_VALUE"""),45853.6458333333)</f>
        <v>45853.6458333333</v>
      </c>
      <c r="H78" s="17">
        <f>IFERROR(__xludf.DUMMYFUNCTION("""COMPUTED_VALUE"""),1730.9)</f>
        <v>1730.9</v>
      </c>
      <c r="I78" s="16">
        <f>IFERROR(__xludf.DUMMYFUNCTION("""COMPUTED_VALUE"""),45853.6458333333)</f>
        <v>45853.6458333333</v>
      </c>
      <c r="J78" s="17">
        <f>IFERROR(__xludf.DUMMYFUNCTION("""COMPUTED_VALUE"""),1687.9)</f>
        <v>1687.9</v>
      </c>
      <c r="K78" s="3">
        <f t="shared" si="2"/>
        <v>1727.5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IFERROR(__xludf.DUMMYFUNCTION("""COMPUTED_VALUE"""),1701)</f>
        <v>1701</v>
      </c>
      <c r="C79" s="16">
        <f>IFERROR(__xludf.DUMMYFUNCTION("""COMPUTED_VALUE"""),45854.6458333333)</f>
        <v>45854.6458333333</v>
      </c>
      <c r="D79" s="17">
        <f>IFERROR(__xludf.DUMMYFUNCTION("""COMPUTED_VALUE"""),1730)</f>
        <v>1730</v>
      </c>
      <c r="E79" s="16">
        <f>IFERROR(__xludf.DUMMYFUNCTION("""COMPUTED_VALUE"""),45854.6458333333)</f>
        <v>45854.6458333333</v>
      </c>
      <c r="F79" s="17">
        <f>IFERROR(__xludf.DUMMYFUNCTION("""COMPUTED_VALUE"""),2285143)</f>
        <v>2285143</v>
      </c>
      <c r="G79" s="16">
        <f>IFERROR(__xludf.DUMMYFUNCTION("""COMPUTED_VALUE"""),45854.6458333333)</f>
        <v>45854.6458333333</v>
      </c>
      <c r="H79" s="17">
        <f>IFERROR(__xludf.DUMMYFUNCTION("""COMPUTED_VALUE"""),1731.3)</f>
        <v>1731.3</v>
      </c>
      <c r="I79" s="16">
        <f>IFERROR(__xludf.DUMMYFUNCTION("""COMPUTED_VALUE"""),45854.6458333333)</f>
        <v>45854.6458333333</v>
      </c>
      <c r="J79" s="17">
        <f>IFERROR(__xludf.DUMMYFUNCTION("""COMPUTED_VALUE"""),1698)</f>
        <v>1698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IFERROR(__xludf.DUMMYFUNCTION("""COMPUTED_VALUE"""),1703.4)</f>
        <v>1703.4</v>
      </c>
      <c r="C80" s="16">
        <f>IFERROR(__xludf.DUMMYFUNCTION("""COMPUTED_VALUE"""),45855.6458333333)</f>
        <v>45855.6458333333</v>
      </c>
      <c r="D80" s="17">
        <f>IFERROR(__xludf.DUMMYFUNCTION("""COMPUTED_VALUE"""),1704)</f>
        <v>1704</v>
      </c>
      <c r="E80" s="16">
        <f>IFERROR(__xludf.DUMMYFUNCTION("""COMPUTED_VALUE"""),45855.6458333333)</f>
        <v>45855.6458333333</v>
      </c>
      <c r="F80" s="17">
        <f>IFERROR(__xludf.DUMMYFUNCTION("""COMPUTED_VALUE"""),1461039)</f>
        <v>1461039</v>
      </c>
      <c r="G80" s="16">
        <f>IFERROR(__xludf.DUMMYFUNCTION("""COMPUTED_VALUE"""),45855.6458333333)</f>
        <v>45855.6458333333</v>
      </c>
      <c r="H80" s="17">
        <f>IFERROR(__xludf.DUMMYFUNCTION("""COMPUTED_VALUE"""),1717)</f>
        <v>1717</v>
      </c>
      <c r="I80" s="16">
        <f>IFERROR(__xludf.DUMMYFUNCTION("""COMPUTED_VALUE"""),45855.6458333333)</f>
        <v>45855.6458333333</v>
      </c>
      <c r="J80" s="17">
        <f>IFERROR(__xludf.DUMMYFUNCTION("""COMPUTED_VALUE"""),1696)</f>
        <v>1696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IFERROR(__xludf.DUMMYFUNCTION("""COMPUTED_VALUE"""),1693.6)</f>
        <v>1693.6</v>
      </c>
      <c r="C81" s="16">
        <f>IFERROR(__xludf.DUMMYFUNCTION("""COMPUTED_VALUE"""),45856.6458333333)</f>
        <v>45856.6458333333</v>
      </c>
      <c r="D81" s="17">
        <f>IFERROR(__xludf.DUMMYFUNCTION("""COMPUTED_VALUE"""),1709)</f>
        <v>1709</v>
      </c>
      <c r="E81" s="16">
        <f>IFERROR(__xludf.DUMMYFUNCTION("""COMPUTED_VALUE"""),45856.6458333333)</f>
        <v>45856.6458333333</v>
      </c>
      <c r="F81" s="17">
        <f>IFERROR(__xludf.DUMMYFUNCTION("""COMPUTED_VALUE"""),1253929)</f>
        <v>1253929</v>
      </c>
      <c r="G81" s="16">
        <f>IFERROR(__xludf.DUMMYFUNCTION("""COMPUTED_VALUE"""),45856.6458333333)</f>
        <v>45856.6458333333</v>
      </c>
      <c r="H81" s="17">
        <f>IFERROR(__xludf.DUMMYFUNCTION("""COMPUTED_VALUE"""),1709.4)</f>
        <v>1709.4</v>
      </c>
      <c r="I81" s="16">
        <f>IFERROR(__xludf.DUMMYFUNCTION("""COMPUTED_VALUE"""),45856.6458333333)</f>
        <v>45856.6458333333</v>
      </c>
      <c r="J81" s="17">
        <f>IFERROR(__xludf.DUMMYFUNCTION("""COMPUTED_VALUE"""),1686.7)</f>
        <v>1686.7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IFERROR(__xludf.DUMMYFUNCTION("""COMPUTED_VALUE"""),1692.3)</f>
        <v>1692.3</v>
      </c>
      <c r="C82" s="16">
        <f>IFERROR(__xludf.DUMMYFUNCTION("""COMPUTED_VALUE"""),45859.6458333333)</f>
        <v>45859.6458333333</v>
      </c>
      <c r="D82" s="17">
        <f>IFERROR(__xludf.DUMMYFUNCTION("""COMPUTED_VALUE"""),1681.1)</f>
        <v>1681.1</v>
      </c>
      <c r="E82" s="16">
        <f>IFERROR(__xludf.DUMMYFUNCTION("""COMPUTED_VALUE"""),45859.6458333333)</f>
        <v>45859.6458333333</v>
      </c>
      <c r="F82" s="17">
        <f>IFERROR(__xludf.DUMMYFUNCTION("""COMPUTED_VALUE"""),2390289)</f>
        <v>2390289</v>
      </c>
      <c r="G82" s="16">
        <f>IFERROR(__xludf.DUMMYFUNCTION("""COMPUTED_VALUE"""),45859.6458333333)</f>
        <v>45859.6458333333</v>
      </c>
      <c r="H82" s="17">
        <f>IFERROR(__xludf.DUMMYFUNCTION("""COMPUTED_VALUE"""),1701.4)</f>
        <v>1701.4</v>
      </c>
      <c r="I82" s="16">
        <f>IFERROR(__xludf.DUMMYFUNCTION("""COMPUTED_VALUE"""),45859.6458333333)</f>
        <v>45859.6458333333</v>
      </c>
      <c r="J82" s="17">
        <f>IFERROR(__xludf.DUMMYFUNCTION("""COMPUTED_VALUE"""),1677.5)</f>
        <v>1677.5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IFERROR(__xludf.DUMMYFUNCTION("""COMPUTED_VALUE"""),1678)</f>
        <v>1678</v>
      </c>
      <c r="C83" s="16">
        <f>IFERROR(__xludf.DUMMYFUNCTION("""COMPUTED_VALUE"""),45860.6458333333)</f>
        <v>45860.6458333333</v>
      </c>
      <c r="D83" s="17">
        <f>IFERROR(__xludf.DUMMYFUNCTION("""COMPUTED_VALUE"""),1686.1)</f>
        <v>1686.1</v>
      </c>
      <c r="E83" s="16">
        <f>IFERROR(__xludf.DUMMYFUNCTION("""COMPUTED_VALUE"""),45860.6458333333)</f>
        <v>45860.6458333333</v>
      </c>
      <c r="F83" s="17">
        <f>IFERROR(__xludf.DUMMYFUNCTION("""COMPUTED_VALUE"""),1244491)</f>
        <v>1244491</v>
      </c>
      <c r="G83" s="16">
        <f>IFERROR(__xludf.DUMMYFUNCTION("""COMPUTED_VALUE"""),45860.6458333333)</f>
        <v>45860.6458333333</v>
      </c>
      <c r="H83" s="17">
        <f>IFERROR(__xludf.DUMMYFUNCTION("""COMPUTED_VALUE"""),1693.1)</f>
        <v>1693.1</v>
      </c>
      <c r="I83" s="16">
        <f>IFERROR(__xludf.DUMMYFUNCTION("""COMPUTED_VALUE"""),45860.6458333333)</f>
        <v>45860.6458333333</v>
      </c>
      <c r="J83" s="17">
        <f>IFERROR(__xludf.DUMMYFUNCTION("""COMPUTED_VALUE"""),1672.8)</f>
        <v>1672.8</v>
      </c>
      <c r="K83" s="3">
        <f t="shared" si="2"/>
        <v>0</v>
      </c>
      <c r="L83" s="3">
        <f t="shared" si="3"/>
        <v>1678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IFERROR(__xludf.DUMMYFUNCTION("""COMPUTED_VALUE"""),1682.5)</f>
        <v>1682.5</v>
      </c>
      <c r="C84" s="16">
        <f>IFERROR(__xludf.DUMMYFUNCTION("""COMPUTED_VALUE"""),45861.6458333333)</f>
        <v>45861.6458333333</v>
      </c>
      <c r="D84" s="17">
        <f>IFERROR(__xludf.DUMMYFUNCTION("""COMPUTED_VALUE"""),1678.5)</f>
        <v>1678.5</v>
      </c>
      <c r="E84" s="16">
        <f>IFERROR(__xludf.DUMMYFUNCTION("""COMPUTED_VALUE"""),45861.6458333333)</f>
        <v>45861.6458333333</v>
      </c>
      <c r="F84" s="17">
        <f>IFERROR(__xludf.DUMMYFUNCTION("""COMPUTED_VALUE"""),1229173)</f>
        <v>1229173</v>
      </c>
      <c r="G84" s="16">
        <f>IFERROR(__xludf.DUMMYFUNCTION("""COMPUTED_VALUE"""),45861.6458333333)</f>
        <v>45861.6458333333</v>
      </c>
      <c r="H84" s="17">
        <f>IFERROR(__xludf.DUMMYFUNCTION("""COMPUTED_VALUE"""),1689.6)</f>
        <v>1689.6</v>
      </c>
      <c r="I84" s="16">
        <f>IFERROR(__xludf.DUMMYFUNCTION("""COMPUTED_VALUE"""),45861.6458333333)</f>
        <v>45861.6458333333</v>
      </c>
      <c r="J84" s="17">
        <f>IFERROR(__xludf.DUMMYFUNCTION("""COMPUTED_VALUE"""),1671.4)</f>
        <v>1671.4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IFERROR(__xludf.DUMMYFUNCTION("""COMPUTED_VALUE"""),1692)</f>
        <v>1692</v>
      </c>
      <c r="C85" s="16">
        <f>IFERROR(__xludf.DUMMYFUNCTION("""COMPUTED_VALUE"""),45862.6458333333)</f>
        <v>45862.6458333333</v>
      </c>
      <c r="D85" s="17">
        <f>IFERROR(__xludf.DUMMYFUNCTION("""COMPUTED_VALUE"""),1682.5)</f>
        <v>1682.5</v>
      </c>
      <c r="E85" s="16">
        <f>IFERROR(__xludf.DUMMYFUNCTION("""COMPUTED_VALUE"""),45862.6458333333)</f>
        <v>45862.6458333333</v>
      </c>
      <c r="F85" s="17">
        <f>IFERROR(__xludf.DUMMYFUNCTION("""COMPUTED_VALUE"""),1079045)</f>
        <v>1079045</v>
      </c>
      <c r="G85" s="16">
        <f>IFERROR(__xludf.DUMMYFUNCTION("""COMPUTED_VALUE"""),45862.6458333333)</f>
        <v>45862.6458333333</v>
      </c>
      <c r="H85" s="17">
        <f>IFERROR(__xludf.DUMMYFUNCTION("""COMPUTED_VALUE"""),1696)</f>
        <v>1696</v>
      </c>
      <c r="I85" s="16">
        <f>IFERROR(__xludf.DUMMYFUNCTION("""COMPUTED_VALUE"""),45862.6458333333)</f>
        <v>45862.6458333333</v>
      </c>
      <c r="J85" s="17">
        <f>IFERROR(__xludf.DUMMYFUNCTION("""COMPUTED_VALUE"""),1680.1)</f>
        <v>1680.1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IFERROR(__xludf.DUMMYFUNCTION("""COMPUTED_VALUE"""),1699)</f>
        <v>1699</v>
      </c>
      <c r="C86" s="16">
        <f>IFERROR(__xludf.DUMMYFUNCTION("""COMPUTED_VALUE"""),45863.6458333333)</f>
        <v>45863.6458333333</v>
      </c>
      <c r="D86" s="17">
        <f>IFERROR(__xludf.DUMMYFUNCTION("""COMPUTED_VALUE"""),1690)</f>
        <v>1690</v>
      </c>
      <c r="E86" s="16">
        <f>IFERROR(__xludf.DUMMYFUNCTION("""COMPUTED_VALUE"""),45863.6458333333)</f>
        <v>45863.6458333333</v>
      </c>
      <c r="F86" s="17">
        <f>IFERROR(__xludf.DUMMYFUNCTION("""COMPUTED_VALUE"""),1088592)</f>
        <v>1088592</v>
      </c>
      <c r="G86" s="16">
        <f>IFERROR(__xludf.DUMMYFUNCTION("""COMPUTED_VALUE"""),45863.6458333333)</f>
        <v>45863.6458333333</v>
      </c>
      <c r="H86" s="17">
        <f>IFERROR(__xludf.DUMMYFUNCTION("""COMPUTED_VALUE"""),1702)</f>
        <v>1702</v>
      </c>
      <c r="I86" s="16">
        <f>IFERROR(__xludf.DUMMYFUNCTION("""COMPUTED_VALUE"""),45863.6458333333)</f>
        <v>45863.6458333333</v>
      </c>
      <c r="J86" s="17">
        <f>IFERROR(__xludf.DUMMYFUNCTION("""COMPUTED_VALUE"""),1682.2)</f>
        <v>1682.2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IFERROR(__xludf.DUMMYFUNCTION("""COMPUTED_VALUE"""),1702.2)</f>
        <v>1702.2</v>
      </c>
      <c r="C87" s="16">
        <f>IFERROR(__xludf.DUMMYFUNCTION("""COMPUTED_VALUE"""),45866.6458333333)</f>
        <v>45866.6458333333</v>
      </c>
      <c r="D87" s="17">
        <f>IFERROR(__xludf.DUMMYFUNCTION("""COMPUTED_VALUE"""),1702.1)</f>
        <v>1702.1</v>
      </c>
      <c r="E87" s="16">
        <f>IFERROR(__xludf.DUMMYFUNCTION("""COMPUTED_VALUE"""),45866.6458333333)</f>
        <v>45866.6458333333</v>
      </c>
      <c r="F87" s="17">
        <f>IFERROR(__xludf.DUMMYFUNCTION("""COMPUTED_VALUE"""),2168507)</f>
        <v>2168507</v>
      </c>
      <c r="G87" s="16">
        <f>IFERROR(__xludf.DUMMYFUNCTION("""COMPUTED_VALUE"""),45866.6458333333)</f>
        <v>45866.6458333333</v>
      </c>
      <c r="H87" s="17">
        <f>IFERROR(__xludf.DUMMYFUNCTION("""COMPUTED_VALUE"""),1710.1)</f>
        <v>1710.1</v>
      </c>
      <c r="I87" s="16">
        <f>IFERROR(__xludf.DUMMYFUNCTION("""COMPUTED_VALUE"""),45866.6458333333)</f>
        <v>45866.6458333333</v>
      </c>
      <c r="J87" s="17">
        <f>IFERROR(__xludf.DUMMYFUNCTION("""COMPUTED_VALUE"""),1693.9)</f>
        <v>1693.9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IFERROR(__xludf.DUMMYFUNCTION("""COMPUTED_VALUE"""),1710.5)</f>
        <v>1710.5</v>
      </c>
      <c r="C88" s="16">
        <f>IFERROR(__xludf.DUMMYFUNCTION("""COMPUTED_VALUE"""),45867.6458333333)</f>
        <v>45867.6458333333</v>
      </c>
      <c r="D88" s="17">
        <f>IFERROR(__xludf.DUMMYFUNCTION("""COMPUTED_VALUE"""),1698)</f>
        <v>1698</v>
      </c>
      <c r="E88" s="16">
        <f>IFERROR(__xludf.DUMMYFUNCTION("""COMPUTED_VALUE"""),45867.6458333333)</f>
        <v>45867.6458333333</v>
      </c>
      <c r="F88" s="17">
        <f>IFERROR(__xludf.DUMMYFUNCTION("""COMPUTED_VALUE"""),1325544)</f>
        <v>1325544</v>
      </c>
      <c r="G88" s="16">
        <f>IFERROR(__xludf.DUMMYFUNCTION("""COMPUTED_VALUE"""),45867.6458333333)</f>
        <v>45867.6458333333</v>
      </c>
      <c r="H88" s="17">
        <f>IFERROR(__xludf.DUMMYFUNCTION("""COMPUTED_VALUE"""),1718)</f>
        <v>1718</v>
      </c>
      <c r="I88" s="16">
        <f>IFERROR(__xludf.DUMMYFUNCTION("""COMPUTED_VALUE"""),45867.6458333333)</f>
        <v>45867.6458333333</v>
      </c>
      <c r="J88" s="17">
        <f>IFERROR(__xludf.DUMMYFUNCTION("""COMPUTED_VALUE"""),1697.1)</f>
        <v>1697.1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IFERROR(__xludf.DUMMYFUNCTION("""COMPUTED_VALUE"""),1733.8)</f>
        <v>1733.8</v>
      </c>
      <c r="C89" s="16">
        <f>IFERROR(__xludf.DUMMYFUNCTION("""COMPUTED_VALUE"""),45868.6458333333)</f>
        <v>45868.6458333333</v>
      </c>
      <c r="D89" s="17">
        <f>IFERROR(__xludf.DUMMYFUNCTION("""COMPUTED_VALUE"""),1720)</f>
        <v>1720</v>
      </c>
      <c r="E89" s="16">
        <f>IFERROR(__xludf.DUMMYFUNCTION("""COMPUTED_VALUE"""),45868.6458333333)</f>
        <v>45868.6458333333</v>
      </c>
      <c r="F89" s="17">
        <f>IFERROR(__xludf.DUMMYFUNCTION("""COMPUTED_VALUE"""),2318723)</f>
        <v>2318723</v>
      </c>
      <c r="G89" s="16">
        <f>IFERROR(__xludf.DUMMYFUNCTION("""COMPUTED_VALUE"""),45868.6458333333)</f>
        <v>45868.6458333333</v>
      </c>
      <c r="H89" s="17">
        <f>IFERROR(__xludf.DUMMYFUNCTION("""COMPUTED_VALUE"""),1740.5)</f>
        <v>1740.5</v>
      </c>
      <c r="I89" s="16">
        <f>IFERROR(__xludf.DUMMYFUNCTION("""COMPUTED_VALUE"""),45868.6458333333)</f>
        <v>45868.6458333333</v>
      </c>
      <c r="J89" s="17">
        <f>IFERROR(__xludf.DUMMYFUNCTION("""COMPUTED_VALUE"""),1712.1)</f>
        <v>1712.1</v>
      </c>
      <c r="K89" s="3">
        <f t="shared" si="2"/>
        <v>1733.8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IFERROR(__xludf.DUMMYFUNCTION("""COMPUTED_VALUE"""),1706.7)</f>
        <v>1706.7</v>
      </c>
      <c r="C90" s="16">
        <f>IFERROR(__xludf.DUMMYFUNCTION("""COMPUTED_VALUE"""),45869.6458333333)</f>
        <v>45869.6458333333</v>
      </c>
      <c r="D90" s="17">
        <f>IFERROR(__xludf.DUMMYFUNCTION("""COMPUTED_VALUE"""),1715.5)</f>
        <v>1715.5</v>
      </c>
      <c r="E90" s="16">
        <f>IFERROR(__xludf.DUMMYFUNCTION("""COMPUTED_VALUE"""),45869.6458333333)</f>
        <v>45869.6458333333</v>
      </c>
      <c r="F90" s="17">
        <f>IFERROR(__xludf.DUMMYFUNCTION("""COMPUTED_VALUE"""),3233087)</f>
        <v>3233087</v>
      </c>
      <c r="G90" s="16">
        <f>IFERROR(__xludf.DUMMYFUNCTION("""COMPUTED_VALUE"""),45869.6458333333)</f>
        <v>45869.6458333333</v>
      </c>
      <c r="H90" s="17">
        <f>IFERROR(__xludf.DUMMYFUNCTION("""COMPUTED_VALUE"""),1748)</f>
        <v>1748</v>
      </c>
      <c r="I90" s="16">
        <f>IFERROR(__xludf.DUMMYFUNCTION("""COMPUTED_VALUE"""),45869.6458333333)</f>
        <v>45869.6458333333</v>
      </c>
      <c r="J90" s="17">
        <f>IFERROR(__xludf.DUMMYFUNCTION("""COMPUTED_VALUE"""),1694)</f>
        <v>1694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IFERROR(__xludf.DUMMYFUNCTION("""COMPUTED_VALUE"""),1629.7)</f>
        <v>1629.7</v>
      </c>
      <c r="C91" s="16">
        <f>IFERROR(__xludf.DUMMYFUNCTION("""COMPUTED_VALUE"""),45870.6458333333)</f>
        <v>45870.6458333333</v>
      </c>
      <c r="D91" s="17">
        <f>IFERROR(__xludf.DUMMYFUNCTION("""COMPUTED_VALUE"""),1690)</f>
        <v>1690</v>
      </c>
      <c r="E91" s="16">
        <f>IFERROR(__xludf.DUMMYFUNCTION("""COMPUTED_VALUE"""),45870.6458333333)</f>
        <v>45870.6458333333</v>
      </c>
      <c r="F91" s="17">
        <f>IFERROR(__xludf.DUMMYFUNCTION("""COMPUTED_VALUE"""),8774548)</f>
        <v>8774548</v>
      </c>
      <c r="G91" s="16">
        <f>IFERROR(__xludf.DUMMYFUNCTION("""COMPUTED_VALUE"""),45870.6458333333)</f>
        <v>45870.6458333333</v>
      </c>
      <c r="H91" s="17">
        <f>IFERROR(__xludf.DUMMYFUNCTION("""COMPUTED_VALUE"""),1695)</f>
        <v>1695</v>
      </c>
      <c r="I91" s="16">
        <f>IFERROR(__xludf.DUMMYFUNCTION("""COMPUTED_VALUE"""),45870.6458333333)</f>
        <v>45870.6458333333</v>
      </c>
      <c r="J91" s="17">
        <f>IFERROR(__xludf.DUMMYFUNCTION("""COMPUTED_VALUE"""),1608)</f>
        <v>1608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IFERROR(__xludf.DUMMYFUNCTION("""COMPUTED_VALUE"""),1641.6)</f>
        <v>1641.6</v>
      </c>
      <c r="C92" s="16">
        <f>IFERROR(__xludf.DUMMYFUNCTION("""COMPUTED_VALUE"""),45873.6458333333)</f>
        <v>45873.6458333333</v>
      </c>
      <c r="D92" s="17">
        <f>IFERROR(__xludf.DUMMYFUNCTION("""COMPUTED_VALUE"""),1629.8)</f>
        <v>1629.8</v>
      </c>
      <c r="E92" s="16">
        <f>IFERROR(__xludf.DUMMYFUNCTION("""COMPUTED_VALUE"""),45873.6458333333)</f>
        <v>45873.6458333333</v>
      </c>
      <c r="F92" s="17">
        <f>IFERROR(__xludf.DUMMYFUNCTION("""COMPUTED_VALUE"""),1898762)</f>
        <v>1898762</v>
      </c>
      <c r="G92" s="16">
        <f>IFERROR(__xludf.DUMMYFUNCTION("""COMPUTED_VALUE"""),45873.6458333333)</f>
        <v>45873.6458333333</v>
      </c>
      <c r="H92" s="17">
        <f>IFERROR(__xludf.DUMMYFUNCTION("""COMPUTED_VALUE"""),1647.4)</f>
        <v>1647.4</v>
      </c>
      <c r="I92" s="16">
        <f>IFERROR(__xludf.DUMMYFUNCTION("""COMPUTED_VALUE"""),45873.6458333333)</f>
        <v>45873.6458333333</v>
      </c>
      <c r="J92" s="17">
        <f>IFERROR(__xludf.DUMMYFUNCTION("""COMPUTED_VALUE"""),1613.6)</f>
        <v>1613.6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IFERROR(__xludf.DUMMYFUNCTION("""COMPUTED_VALUE"""),1632.1)</f>
        <v>1632.1</v>
      </c>
      <c r="C93" s="16">
        <f>IFERROR(__xludf.DUMMYFUNCTION("""COMPUTED_VALUE"""),45874.6458333333)</f>
        <v>45874.6458333333</v>
      </c>
      <c r="D93" s="17">
        <f>IFERROR(__xludf.DUMMYFUNCTION("""COMPUTED_VALUE"""),1640.9)</f>
        <v>1640.9</v>
      </c>
      <c r="E93" s="16">
        <f>IFERROR(__xludf.DUMMYFUNCTION("""COMPUTED_VALUE"""),45874.6458333333)</f>
        <v>45874.6458333333</v>
      </c>
      <c r="F93" s="17">
        <f>IFERROR(__xludf.DUMMYFUNCTION("""COMPUTED_VALUE"""),1622897)</f>
        <v>1622897</v>
      </c>
      <c r="G93" s="16">
        <f>IFERROR(__xludf.DUMMYFUNCTION("""COMPUTED_VALUE"""),45874.6458333333)</f>
        <v>45874.6458333333</v>
      </c>
      <c r="H93" s="17">
        <f>IFERROR(__xludf.DUMMYFUNCTION("""COMPUTED_VALUE"""),1644.6)</f>
        <v>1644.6</v>
      </c>
      <c r="I93" s="16">
        <f>IFERROR(__xludf.DUMMYFUNCTION("""COMPUTED_VALUE"""),45874.6458333333)</f>
        <v>45874.6458333333</v>
      </c>
      <c r="J93" s="17">
        <f>IFERROR(__xludf.DUMMYFUNCTION("""COMPUTED_VALUE"""),1620.1)</f>
        <v>1620.1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IFERROR(__xludf.DUMMYFUNCTION("""COMPUTED_VALUE"""),1595.2)</f>
        <v>1595.2</v>
      </c>
      <c r="C94" s="16">
        <f>IFERROR(__xludf.DUMMYFUNCTION("""COMPUTED_VALUE"""),45875.6458333333)</f>
        <v>45875.6458333333</v>
      </c>
      <c r="D94" s="17">
        <f>IFERROR(__xludf.DUMMYFUNCTION("""COMPUTED_VALUE"""),1629.7)</f>
        <v>1629.7</v>
      </c>
      <c r="E94" s="16">
        <f>IFERROR(__xludf.DUMMYFUNCTION("""COMPUTED_VALUE"""),45875.6458333333)</f>
        <v>45875.6458333333</v>
      </c>
      <c r="F94" s="17">
        <f>IFERROR(__xludf.DUMMYFUNCTION("""COMPUTED_VALUE"""),2376257)</f>
        <v>2376257</v>
      </c>
      <c r="G94" s="16">
        <f>IFERROR(__xludf.DUMMYFUNCTION("""COMPUTED_VALUE"""),45875.6458333333)</f>
        <v>45875.6458333333</v>
      </c>
      <c r="H94" s="17">
        <f>IFERROR(__xludf.DUMMYFUNCTION("""COMPUTED_VALUE"""),1629.7)</f>
        <v>1629.7</v>
      </c>
      <c r="I94" s="16">
        <f>IFERROR(__xludf.DUMMYFUNCTION("""COMPUTED_VALUE"""),45875.6458333333)</f>
        <v>45875.6458333333</v>
      </c>
      <c r="J94" s="17">
        <f>IFERROR(__xludf.DUMMYFUNCTION("""COMPUTED_VALUE"""),1591)</f>
        <v>1591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IFERROR(__xludf.DUMMYFUNCTION("""COMPUTED_VALUE"""),1598.4)</f>
        <v>1598.4</v>
      </c>
      <c r="C95" s="16">
        <f>IFERROR(__xludf.DUMMYFUNCTION("""COMPUTED_VALUE"""),45876.6458333333)</f>
        <v>45876.6458333333</v>
      </c>
      <c r="D95" s="17">
        <f>IFERROR(__xludf.DUMMYFUNCTION("""COMPUTED_VALUE"""),1581)</f>
        <v>1581</v>
      </c>
      <c r="E95" s="16">
        <f>IFERROR(__xludf.DUMMYFUNCTION("""COMPUTED_VALUE"""),45876.6458333333)</f>
        <v>45876.6458333333</v>
      </c>
      <c r="F95" s="17">
        <f>IFERROR(__xludf.DUMMYFUNCTION("""COMPUTED_VALUE"""),3435674)</f>
        <v>3435674</v>
      </c>
      <c r="G95" s="16">
        <f>IFERROR(__xludf.DUMMYFUNCTION("""COMPUTED_VALUE"""),45876.6458333333)</f>
        <v>45876.6458333333</v>
      </c>
      <c r="H95" s="17">
        <f>IFERROR(__xludf.DUMMYFUNCTION("""COMPUTED_VALUE"""),1605.4)</f>
        <v>1605.4</v>
      </c>
      <c r="I95" s="16">
        <f>IFERROR(__xludf.DUMMYFUNCTION("""COMPUTED_VALUE"""),45876.6458333333)</f>
        <v>45876.6458333333</v>
      </c>
      <c r="J95" s="17">
        <f>IFERROR(__xludf.DUMMYFUNCTION("""COMPUTED_VALUE"""),1571)</f>
        <v>1571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IFERROR(__xludf.DUMMYFUNCTION("""COMPUTED_VALUE"""),1586.9)</f>
        <v>1586.9</v>
      </c>
      <c r="C96" s="16">
        <f>IFERROR(__xludf.DUMMYFUNCTION("""COMPUTED_VALUE"""),45877.6458333333)</f>
        <v>45877.6458333333</v>
      </c>
      <c r="D96" s="17">
        <f>IFERROR(__xludf.DUMMYFUNCTION("""COMPUTED_VALUE"""),1590)</f>
        <v>1590</v>
      </c>
      <c r="E96" s="16">
        <f>IFERROR(__xludf.DUMMYFUNCTION("""COMPUTED_VALUE"""),45877.6458333333)</f>
        <v>45877.6458333333</v>
      </c>
      <c r="F96" s="17">
        <f>IFERROR(__xludf.DUMMYFUNCTION("""COMPUTED_VALUE"""),1654424)</f>
        <v>1654424</v>
      </c>
      <c r="G96" s="16">
        <f>IFERROR(__xludf.DUMMYFUNCTION("""COMPUTED_VALUE"""),45877.6458333333)</f>
        <v>45877.6458333333</v>
      </c>
      <c r="H96" s="17">
        <f>IFERROR(__xludf.DUMMYFUNCTION("""COMPUTED_VALUE"""),1602)</f>
        <v>1602</v>
      </c>
      <c r="I96" s="16">
        <f>IFERROR(__xludf.DUMMYFUNCTION("""COMPUTED_VALUE"""),45877.6458333333)</f>
        <v>45877.6458333333</v>
      </c>
      <c r="J96" s="17">
        <f>IFERROR(__xludf.DUMMYFUNCTION("""COMPUTED_VALUE"""),1580.9)</f>
        <v>1580.9</v>
      </c>
      <c r="K96" s="3">
        <f t="shared" si="2"/>
        <v>0</v>
      </c>
      <c r="L96" s="3">
        <f t="shared" si="3"/>
        <v>1586.9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IFERROR(__xludf.DUMMYFUNCTION("""COMPUTED_VALUE"""),1608.4)</f>
        <v>1608.4</v>
      </c>
      <c r="C97" s="16">
        <f>IFERROR(__xludf.DUMMYFUNCTION("""COMPUTED_VALUE"""),45880.6458333333)</f>
        <v>45880.6458333333</v>
      </c>
      <c r="D97" s="17">
        <f>IFERROR(__xludf.DUMMYFUNCTION("""COMPUTED_VALUE"""),1586.9)</f>
        <v>1586.9</v>
      </c>
      <c r="E97" s="16">
        <f>IFERROR(__xludf.DUMMYFUNCTION("""COMPUTED_VALUE"""),45880.6458333333)</f>
        <v>45880.6458333333</v>
      </c>
      <c r="F97" s="17">
        <f>IFERROR(__xludf.DUMMYFUNCTION("""COMPUTED_VALUE"""),1140902)</f>
        <v>1140902</v>
      </c>
      <c r="G97" s="16">
        <f>IFERROR(__xludf.DUMMYFUNCTION("""COMPUTED_VALUE"""),45880.6458333333)</f>
        <v>45880.6458333333</v>
      </c>
      <c r="H97" s="17">
        <f>IFERROR(__xludf.DUMMYFUNCTION("""COMPUTED_VALUE"""),1660)</f>
        <v>1660</v>
      </c>
      <c r="I97" s="16">
        <f>IFERROR(__xludf.DUMMYFUNCTION("""COMPUTED_VALUE"""),45880.6458333333)</f>
        <v>45880.6458333333</v>
      </c>
      <c r="J97" s="17">
        <f>IFERROR(__xludf.DUMMYFUNCTION("""COMPUTED_VALUE"""),1584.2)</f>
        <v>1584.2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IFERROR(__xludf.DUMMYFUNCTION("""COMPUTED_VALUE"""),1622.2)</f>
        <v>1622.2</v>
      </c>
      <c r="C98" s="16">
        <f>IFERROR(__xludf.DUMMYFUNCTION("""COMPUTED_VALUE"""),45881.6458333333)</f>
        <v>45881.6458333333</v>
      </c>
      <c r="D98" s="17">
        <f>IFERROR(__xludf.DUMMYFUNCTION("""COMPUTED_VALUE"""),1611.7)</f>
        <v>1611.7</v>
      </c>
      <c r="E98" s="16">
        <f>IFERROR(__xludf.DUMMYFUNCTION("""COMPUTED_VALUE"""),45881.6458333333)</f>
        <v>45881.6458333333</v>
      </c>
      <c r="F98" s="17">
        <f>IFERROR(__xludf.DUMMYFUNCTION("""COMPUTED_VALUE"""),1679088)</f>
        <v>1679088</v>
      </c>
      <c r="G98" s="16">
        <f>IFERROR(__xludf.DUMMYFUNCTION("""COMPUTED_VALUE"""),45881.6458333333)</f>
        <v>45881.6458333333</v>
      </c>
      <c r="H98" s="17">
        <f>IFERROR(__xludf.DUMMYFUNCTION("""COMPUTED_VALUE"""),1636.7)</f>
        <v>1636.7</v>
      </c>
      <c r="I98" s="16">
        <f>IFERROR(__xludf.DUMMYFUNCTION("""COMPUTED_VALUE"""),45881.6458333333)</f>
        <v>45881.6458333333</v>
      </c>
      <c r="J98" s="17">
        <f>IFERROR(__xludf.DUMMYFUNCTION("""COMPUTED_VALUE"""),1610.1)</f>
        <v>1610.1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IFERROR(__xludf.DUMMYFUNCTION("""COMPUTED_VALUE"""),1639.8)</f>
        <v>1639.8</v>
      </c>
      <c r="C99" s="16">
        <f>IFERROR(__xludf.DUMMYFUNCTION("""COMPUTED_VALUE"""),45882.6458333333)</f>
        <v>45882.6458333333</v>
      </c>
      <c r="D99" s="17">
        <f>IFERROR(__xludf.DUMMYFUNCTION("""COMPUTED_VALUE"""),1624.2)</f>
        <v>1624.2</v>
      </c>
      <c r="E99" s="16">
        <f>IFERROR(__xludf.DUMMYFUNCTION("""COMPUTED_VALUE"""),45882.6458333333)</f>
        <v>45882.6458333333</v>
      </c>
      <c r="F99" s="17">
        <f>IFERROR(__xludf.DUMMYFUNCTION("""COMPUTED_VALUE"""),1313668)</f>
        <v>1313668</v>
      </c>
      <c r="G99" s="16">
        <f>IFERROR(__xludf.DUMMYFUNCTION("""COMPUTED_VALUE"""),45882.6458333333)</f>
        <v>45882.6458333333</v>
      </c>
      <c r="H99" s="17">
        <f>IFERROR(__xludf.DUMMYFUNCTION("""COMPUTED_VALUE"""),1643.5)</f>
        <v>1643.5</v>
      </c>
      <c r="I99" s="16">
        <f>IFERROR(__xludf.DUMMYFUNCTION("""COMPUTED_VALUE"""),45882.6458333333)</f>
        <v>45882.6458333333</v>
      </c>
      <c r="J99" s="17">
        <f>IFERROR(__xludf.DUMMYFUNCTION("""COMPUTED_VALUE"""),1617.3)</f>
        <v>1617.3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IFERROR(__xludf.DUMMYFUNCTION("""COMPUTED_VALUE"""),1641.4)</f>
        <v>1641.4</v>
      </c>
      <c r="C100" s="16">
        <f>IFERROR(__xludf.DUMMYFUNCTION("""COMPUTED_VALUE"""),45883.6458333333)</f>
        <v>45883.6458333333</v>
      </c>
      <c r="D100" s="17">
        <f>IFERROR(__xludf.DUMMYFUNCTION("""COMPUTED_VALUE"""),1639.8)</f>
        <v>1639.8</v>
      </c>
      <c r="E100" s="16">
        <f>IFERROR(__xludf.DUMMYFUNCTION("""COMPUTED_VALUE"""),45883.6458333333)</f>
        <v>45883.6458333333</v>
      </c>
      <c r="F100" s="17">
        <f>IFERROR(__xludf.DUMMYFUNCTION("""COMPUTED_VALUE"""),1738094)</f>
        <v>1738094</v>
      </c>
      <c r="G100" s="16">
        <f>IFERROR(__xludf.DUMMYFUNCTION("""COMPUTED_VALUE"""),45883.6458333333)</f>
        <v>45883.6458333333</v>
      </c>
      <c r="H100" s="17">
        <f>IFERROR(__xludf.DUMMYFUNCTION("""COMPUTED_VALUE"""),1651.1)</f>
        <v>1651.1</v>
      </c>
      <c r="I100" s="16">
        <f>IFERROR(__xludf.DUMMYFUNCTION("""COMPUTED_VALUE"""),45883.6458333333)</f>
        <v>45883.6458333333</v>
      </c>
      <c r="J100" s="17">
        <f>IFERROR(__xludf.DUMMYFUNCTION("""COMPUTED_VALUE"""),1632.2)</f>
        <v>1632.2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IFERROR(__xludf.DUMMYFUNCTION("""COMPUTED_VALUE"""),1632.7)</f>
        <v>1632.7</v>
      </c>
      <c r="C101" s="16">
        <f>IFERROR(__xludf.DUMMYFUNCTION("""COMPUTED_VALUE"""),45887.6458333333)</f>
        <v>45887.6458333333</v>
      </c>
      <c r="D101" s="17">
        <f>IFERROR(__xludf.DUMMYFUNCTION("""COMPUTED_VALUE"""),1649.6)</f>
        <v>1649.6</v>
      </c>
      <c r="E101" s="16">
        <f>IFERROR(__xludf.DUMMYFUNCTION("""COMPUTED_VALUE"""),45887.6458333333)</f>
        <v>45887.6458333333</v>
      </c>
      <c r="F101" s="17">
        <f>IFERROR(__xludf.DUMMYFUNCTION("""COMPUTED_VALUE"""),3080173)</f>
        <v>3080173</v>
      </c>
      <c r="G101" s="16">
        <f>IFERROR(__xludf.DUMMYFUNCTION("""COMPUTED_VALUE"""),45887.6458333333)</f>
        <v>45887.6458333333</v>
      </c>
      <c r="H101" s="17">
        <f>IFERROR(__xludf.DUMMYFUNCTION("""COMPUTED_VALUE"""),1649.6)</f>
        <v>1649.6</v>
      </c>
      <c r="I101" s="16">
        <f>IFERROR(__xludf.DUMMYFUNCTION("""COMPUTED_VALUE"""),45887.6458333333)</f>
        <v>45887.6458333333</v>
      </c>
      <c r="J101" s="17">
        <f>IFERROR(__xludf.DUMMYFUNCTION("""COMPUTED_VALUE"""),1625.4)</f>
        <v>1625.4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IFERROR(__xludf.DUMMYFUNCTION("""COMPUTED_VALUE"""),1626.6)</f>
        <v>1626.6</v>
      </c>
      <c r="C102" s="16">
        <f>IFERROR(__xludf.DUMMYFUNCTION("""COMPUTED_VALUE"""),45888.6458333333)</f>
        <v>45888.6458333333</v>
      </c>
      <c r="D102" s="17">
        <f>IFERROR(__xludf.DUMMYFUNCTION("""COMPUTED_VALUE"""),1632.8)</f>
        <v>1632.8</v>
      </c>
      <c r="E102" s="16">
        <f>IFERROR(__xludf.DUMMYFUNCTION("""COMPUTED_VALUE"""),45888.6458333333)</f>
        <v>45888.6458333333</v>
      </c>
      <c r="F102" s="17">
        <f>IFERROR(__xludf.DUMMYFUNCTION("""COMPUTED_VALUE"""),2656391)</f>
        <v>2656391</v>
      </c>
      <c r="G102" s="16">
        <f>IFERROR(__xludf.DUMMYFUNCTION("""COMPUTED_VALUE"""),45888.6458333333)</f>
        <v>45888.6458333333</v>
      </c>
      <c r="H102" s="17">
        <f>IFERROR(__xludf.DUMMYFUNCTION("""COMPUTED_VALUE"""),1638)</f>
        <v>1638</v>
      </c>
      <c r="I102" s="16">
        <f>IFERROR(__xludf.DUMMYFUNCTION("""COMPUTED_VALUE"""),45888.6458333333)</f>
        <v>45888.6458333333</v>
      </c>
      <c r="J102" s="17">
        <f>IFERROR(__xludf.DUMMYFUNCTION("""COMPUTED_VALUE"""),1619.1)</f>
        <v>1619.1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IFERROR(__xludf.DUMMYFUNCTION("""COMPUTED_VALUE"""),1633.1)</f>
        <v>1633.1</v>
      </c>
      <c r="C103" s="16">
        <f>IFERROR(__xludf.DUMMYFUNCTION("""COMPUTED_VALUE"""),45889.6458333333)</f>
        <v>45889.6458333333</v>
      </c>
      <c r="D103" s="17">
        <f>IFERROR(__xludf.DUMMYFUNCTION("""COMPUTED_VALUE"""),1634)</f>
        <v>1634</v>
      </c>
      <c r="E103" s="16">
        <f>IFERROR(__xludf.DUMMYFUNCTION("""COMPUTED_VALUE"""),45889.6458333333)</f>
        <v>45889.6458333333</v>
      </c>
      <c r="F103" s="17">
        <f>IFERROR(__xludf.DUMMYFUNCTION("""COMPUTED_VALUE"""),1831706)</f>
        <v>1831706</v>
      </c>
      <c r="G103" s="16">
        <f>IFERROR(__xludf.DUMMYFUNCTION("""COMPUTED_VALUE"""),45889.6458333333)</f>
        <v>45889.6458333333</v>
      </c>
      <c r="H103" s="17">
        <f>IFERROR(__xludf.DUMMYFUNCTION("""COMPUTED_VALUE"""),1636.5)</f>
        <v>1636.5</v>
      </c>
      <c r="I103" s="16">
        <f>IFERROR(__xludf.DUMMYFUNCTION("""COMPUTED_VALUE"""),45889.6458333333)</f>
        <v>45889.6458333333</v>
      </c>
      <c r="J103" s="17">
        <f>IFERROR(__xludf.DUMMYFUNCTION("""COMPUTED_VALUE"""),1616)</f>
        <v>1616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IFERROR(__xludf.DUMMYFUNCTION("""COMPUTED_VALUE"""),1640.2)</f>
        <v>1640.2</v>
      </c>
      <c r="C104" s="16">
        <f>IFERROR(__xludf.DUMMYFUNCTION("""COMPUTED_VALUE"""),45890.6458333333)</f>
        <v>45890.6458333333</v>
      </c>
      <c r="D104" s="17">
        <f>IFERROR(__xludf.DUMMYFUNCTION("""COMPUTED_VALUE"""),1630.8)</f>
        <v>1630.8</v>
      </c>
      <c r="E104" s="16">
        <f>IFERROR(__xludf.DUMMYFUNCTION("""COMPUTED_VALUE"""),45890.6458333333)</f>
        <v>45890.6458333333</v>
      </c>
      <c r="F104" s="17">
        <f>IFERROR(__xludf.DUMMYFUNCTION("""COMPUTED_VALUE"""),1727099)</f>
        <v>1727099</v>
      </c>
      <c r="G104" s="16">
        <f>IFERROR(__xludf.DUMMYFUNCTION("""COMPUTED_VALUE"""),45890.6458333333)</f>
        <v>45890.6458333333</v>
      </c>
      <c r="H104" s="17">
        <f>IFERROR(__xludf.DUMMYFUNCTION("""COMPUTED_VALUE"""),1652.5)</f>
        <v>1652.5</v>
      </c>
      <c r="I104" s="16">
        <f>IFERROR(__xludf.DUMMYFUNCTION("""COMPUTED_VALUE"""),45890.6458333333)</f>
        <v>45890.6458333333</v>
      </c>
      <c r="J104" s="17">
        <f>IFERROR(__xludf.DUMMYFUNCTION("""COMPUTED_VALUE"""),1623.9)</f>
        <v>1623.9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IFERROR(__xludf.DUMMYFUNCTION("""COMPUTED_VALUE"""),1641.8)</f>
        <v>1641.8</v>
      </c>
      <c r="C105" s="16">
        <f>IFERROR(__xludf.DUMMYFUNCTION("""COMPUTED_VALUE"""),45891.6458333333)</f>
        <v>45891.6458333333</v>
      </c>
      <c r="D105" s="17">
        <f>IFERROR(__xludf.DUMMYFUNCTION("""COMPUTED_VALUE"""),1642)</f>
        <v>1642</v>
      </c>
      <c r="E105" s="16">
        <f>IFERROR(__xludf.DUMMYFUNCTION("""COMPUTED_VALUE"""),45891.6458333333)</f>
        <v>45891.6458333333</v>
      </c>
      <c r="F105" s="17">
        <f>IFERROR(__xludf.DUMMYFUNCTION("""COMPUTED_VALUE"""),2098310)</f>
        <v>2098310</v>
      </c>
      <c r="G105" s="16">
        <f>IFERROR(__xludf.DUMMYFUNCTION("""COMPUTED_VALUE"""),45891.6458333333)</f>
        <v>45891.6458333333</v>
      </c>
      <c r="H105" s="17">
        <f>IFERROR(__xludf.DUMMYFUNCTION("""COMPUTED_VALUE"""),1651.4)</f>
        <v>1651.4</v>
      </c>
      <c r="I105" s="16">
        <f>IFERROR(__xludf.DUMMYFUNCTION("""COMPUTED_VALUE"""),45891.6458333333)</f>
        <v>45891.6458333333</v>
      </c>
      <c r="J105" s="17">
        <f>IFERROR(__xludf.DUMMYFUNCTION("""COMPUTED_VALUE"""),1635.1)</f>
        <v>1635.1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IFERROR(__xludf.DUMMYFUNCTION("""COMPUTED_VALUE"""),1656.7)</f>
        <v>1656.7</v>
      </c>
      <c r="C106" s="16">
        <f>IFERROR(__xludf.DUMMYFUNCTION("""COMPUTED_VALUE"""),45894.6458333333)</f>
        <v>45894.6458333333</v>
      </c>
      <c r="D106" s="17">
        <f>IFERROR(__xludf.DUMMYFUNCTION("""COMPUTED_VALUE"""),1649.2)</f>
        <v>1649.2</v>
      </c>
      <c r="E106" s="16">
        <f>IFERROR(__xludf.DUMMYFUNCTION("""COMPUTED_VALUE"""),45894.6458333333)</f>
        <v>45894.6458333333</v>
      </c>
      <c r="F106" s="17">
        <f>IFERROR(__xludf.DUMMYFUNCTION("""COMPUTED_VALUE"""),1904984)</f>
        <v>1904984</v>
      </c>
      <c r="G106" s="16">
        <f>IFERROR(__xludf.DUMMYFUNCTION("""COMPUTED_VALUE"""),45894.6458333333)</f>
        <v>45894.6458333333</v>
      </c>
      <c r="H106" s="17">
        <f>IFERROR(__xludf.DUMMYFUNCTION("""COMPUTED_VALUE"""),1660.5)</f>
        <v>1660.5</v>
      </c>
      <c r="I106" s="16">
        <f>IFERROR(__xludf.DUMMYFUNCTION("""COMPUTED_VALUE"""),45894.6458333333)</f>
        <v>45894.6458333333</v>
      </c>
      <c r="J106" s="17">
        <f>IFERROR(__xludf.DUMMYFUNCTION("""COMPUTED_VALUE"""),1634)</f>
        <v>1634</v>
      </c>
      <c r="K106" s="3">
        <f t="shared" si="2"/>
        <v>1656.7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IFERROR(__xludf.DUMMYFUNCTION("""COMPUTED_VALUE"""),1600.3)</f>
        <v>1600.3</v>
      </c>
      <c r="C107" s="16">
        <f>IFERROR(__xludf.DUMMYFUNCTION("""COMPUTED_VALUE"""),45895.6458333333)</f>
        <v>45895.6458333333</v>
      </c>
      <c r="D107" s="17">
        <f>IFERROR(__xludf.DUMMYFUNCTION("""COMPUTED_VALUE"""),1645)</f>
        <v>1645</v>
      </c>
      <c r="E107" s="16">
        <f>IFERROR(__xludf.DUMMYFUNCTION("""COMPUTED_VALUE"""),45895.6458333333)</f>
        <v>45895.6458333333</v>
      </c>
      <c r="F107" s="17">
        <f>IFERROR(__xludf.DUMMYFUNCTION("""COMPUTED_VALUE"""),4502371)</f>
        <v>4502371</v>
      </c>
      <c r="G107" s="16">
        <f>IFERROR(__xludf.DUMMYFUNCTION("""COMPUTED_VALUE"""),45895.6458333333)</f>
        <v>45895.6458333333</v>
      </c>
      <c r="H107" s="17">
        <f>IFERROR(__xludf.DUMMYFUNCTION("""COMPUTED_VALUE"""),1647.4)</f>
        <v>1647.4</v>
      </c>
      <c r="I107" s="16">
        <f>IFERROR(__xludf.DUMMYFUNCTION("""COMPUTED_VALUE"""),45895.6458333333)</f>
        <v>45895.6458333333</v>
      </c>
      <c r="J107" s="17">
        <f>IFERROR(__xludf.DUMMYFUNCTION("""COMPUTED_VALUE"""),1596.2)</f>
        <v>1596.2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IFERROR(__xludf.DUMMYFUNCTION("""COMPUTED_VALUE"""),1585.7)</f>
        <v>1585.7</v>
      </c>
      <c r="C108" s="16">
        <f>IFERROR(__xludf.DUMMYFUNCTION("""COMPUTED_VALUE"""),45897.6458333333)</f>
        <v>45897.6458333333</v>
      </c>
      <c r="D108" s="17">
        <f>IFERROR(__xludf.DUMMYFUNCTION("""COMPUTED_VALUE"""),1593.1)</f>
        <v>1593.1</v>
      </c>
      <c r="E108" s="16">
        <f>IFERROR(__xludf.DUMMYFUNCTION("""COMPUTED_VALUE"""),45897.6458333333)</f>
        <v>45897.6458333333</v>
      </c>
      <c r="F108" s="17">
        <f>IFERROR(__xludf.DUMMYFUNCTION("""COMPUTED_VALUE"""),4993739)</f>
        <v>4993739</v>
      </c>
      <c r="G108" s="16">
        <f>IFERROR(__xludf.DUMMYFUNCTION("""COMPUTED_VALUE"""),45897.6458333333)</f>
        <v>45897.6458333333</v>
      </c>
      <c r="H108" s="17">
        <f>IFERROR(__xludf.DUMMYFUNCTION("""COMPUTED_VALUE"""),1600)</f>
        <v>1600</v>
      </c>
      <c r="I108" s="16">
        <f>IFERROR(__xludf.DUMMYFUNCTION("""COMPUTED_VALUE"""),45897.6458333333)</f>
        <v>45897.6458333333</v>
      </c>
      <c r="J108" s="17">
        <f>IFERROR(__xludf.DUMMYFUNCTION("""COMPUTED_VALUE"""),1567.6)</f>
        <v>1567.6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IFERROR(__xludf.DUMMYFUNCTION("""COMPUTED_VALUE"""),1594.5)</f>
        <v>1594.5</v>
      </c>
      <c r="C109" s="16">
        <f>IFERROR(__xludf.DUMMYFUNCTION("""COMPUTED_VALUE"""),45898.6458333333)</f>
        <v>45898.6458333333</v>
      </c>
      <c r="D109" s="17">
        <f>IFERROR(__xludf.DUMMYFUNCTION("""COMPUTED_VALUE"""),1581)</f>
        <v>1581</v>
      </c>
      <c r="E109" s="16">
        <f>IFERROR(__xludf.DUMMYFUNCTION("""COMPUTED_VALUE"""),45898.6458333333)</f>
        <v>45898.6458333333</v>
      </c>
      <c r="F109" s="17">
        <f>IFERROR(__xludf.DUMMYFUNCTION("""COMPUTED_VALUE"""),3176534)</f>
        <v>3176534</v>
      </c>
      <c r="G109" s="16">
        <f>IFERROR(__xludf.DUMMYFUNCTION("""COMPUTED_VALUE"""),45898.6458333333)</f>
        <v>45898.6458333333</v>
      </c>
      <c r="H109" s="17">
        <f>IFERROR(__xludf.DUMMYFUNCTION("""COMPUTED_VALUE"""),1601.7)</f>
        <v>1601.7</v>
      </c>
      <c r="I109" s="16">
        <f>IFERROR(__xludf.DUMMYFUNCTION("""COMPUTED_VALUE"""),45898.6458333333)</f>
        <v>45898.6458333333</v>
      </c>
      <c r="J109" s="17">
        <f>IFERROR(__xludf.DUMMYFUNCTION("""COMPUTED_VALUE"""),1575.8)</f>
        <v>1575.8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IFERROR(__xludf.DUMMYFUNCTION("""COMPUTED_VALUE"""),1563.3)</f>
        <v>1563.3</v>
      </c>
      <c r="C110" s="16">
        <f>IFERROR(__xludf.DUMMYFUNCTION("""COMPUTED_VALUE"""),45901.6458333333)</f>
        <v>45901.6458333333</v>
      </c>
      <c r="D110" s="17">
        <f>IFERROR(__xludf.DUMMYFUNCTION("""COMPUTED_VALUE"""),1599)</f>
        <v>1599</v>
      </c>
      <c r="E110" s="16">
        <f>IFERROR(__xludf.DUMMYFUNCTION("""COMPUTED_VALUE"""),45901.6458333333)</f>
        <v>45901.6458333333</v>
      </c>
      <c r="F110" s="17">
        <f>IFERROR(__xludf.DUMMYFUNCTION("""COMPUTED_VALUE"""),9366820)</f>
        <v>9366820</v>
      </c>
      <c r="G110" s="16">
        <f>IFERROR(__xludf.DUMMYFUNCTION("""COMPUTED_VALUE"""),45901.6458333333)</f>
        <v>45901.6458333333</v>
      </c>
      <c r="H110" s="17">
        <f>IFERROR(__xludf.DUMMYFUNCTION("""COMPUTED_VALUE"""),1600.2)</f>
        <v>1600.2</v>
      </c>
      <c r="I110" s="16">
        <f>IFERROR(__xludf.DUMMYFUNCTION("""COMPUTED_VALUE"""),45901.6458333333)</f>
        <v>45901.6458333333</v>
      </c>
      <c r="J110" s="17">
        <f>IFERROR(__xludf.DUMMYFUNCTION("""COMPUTED_VALUE"""),1556.2)</f>
        <v>1556.2</v>
      </c>
      <c r="K110" s="3">
        <f t="shared" si="2"/>
        <v>0</v>
      </c>
      <c r="L110" s="3">
        <f t="shared" si="3"/>
        <v>1563.3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IFERROR(__xludf.DUMMYFUNCTION("""COMPUTED_VALUE"""),1565.2)</f>
        <v>1565.2</v>
      </c>
      <c r="C111" s="16">
        <f>IFERROR(__xludf.DUMMYFUNCTION("""COMPUTED_VALUE"""),45902.6458333333)</f>
        <v>45902.6458333333</v>
      </c>
      <c r="D111" s="17">
        <f>IFERROR(__xludf.DUMMYFUNCTION("""COMPUTED_VALUE"""),1566)</f>
        <v>1566</v>
      </c>
      <c r="E111" s="16">
        <f>IFERROR(__xludf.DUMMYFUNCTION("""COMPUTED_VALUE"""),45902.6458333333)</f>
        <v>45902.6458333333</v>
      </c>
      <c r="F111" s="17">
        <f>IFERROR(__xludf.DUMMYFUNCTION("""COMPUTED_VALUE"""),2855840)</f>
        <v>2855840</v>
      </c>
      <c r="G111" s="16">
        <f>IFERROR(__xludf.DUMMYFUNCTION("""COMPUTED_VALUE"""),45902.6458333333)</f>
        <v>45902.6458333333</v>
      </c>
      <c r="H111" s="17">
        <f>IFERROR(__xludf.DUMMYFUNCTION("""COMPUTED_VALUE"""),1570.3)</f>
        <v>1570.3</v>
      </c>
      <c r="I111" s="16">
        <f>IFERROR(__xludf.DUMMYFUNCTION("""COMPUTED_VALUE"""),45902.6458333333)</f>
        <v>45902.6458333333</v>
      </c>
      <c r="J111" s="17">
        <f>IFERROR(__xludf.DUMMYFUNCTION("""COMPUTED_VALUE"""),1558)</f>
        <v>1558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IFERROR(__xludf.DUMMYFUNCTION("""COMPUTED_VALUE"""),1578.7)</f>
        <v>1578.7</v>
      </c>
      <c r="C112" s="16">
        <f>IFERROR(__xludf.DUMMYFUNCTION("""COMPUTED_VALUE"""),45903.6458333333)</f>
        <v>45903.6458333333</v>
      </c>
      <c r="D112" s="17">
        <f>IFERROR(__xludf.DUMMYFUNCTION("""COMPUTED_VALUE"""),1562.1)</f>
        <v>1562.1</v>
      </c>
      <c r="E112" s="16">
        <f>IFERROR(__xludf.DUMMYFUNCTION("""COMPUTED_VALUE"""),45903.6458333333)</f>
        <v>45903.6458333333</v>
      </c>
      <c r="F112" s="17">
        <f>IFERROR(__xludf.DUMMYFUNCTION("""COMPUTED_VALUE"""),2091370)</f>
        <v>2091370</v>
      </c>
      <c r="G112" s="16">
        <f>IFERROR(__xludf.DUMMYFUNCTION("""COMPUTED_VALUE"""),45903.6458333333)</f>
        <v>45903.6458333333</v>
      </c>
      <c r="H112" s="17">
        <f>IFERROR(__xludf.DUMMYFUNCTION("""COMPUTED_VALUE"""),1581.1)</f>
        <v>1581.1</v>
      </c>
      <c r="I112" s="16">
        <f>IFERROR(__xludf.DUMMYFUNCTION("""COMPUTED_VALUE"""),45903.6458333333)</f>
        <v>45903.6458333333</v>
      </c>
      <c r="J112" s="17">
        <f>IFERROR(__xludf.DUMMYFUNCTION("""COMPUTED_VALUE"""),1558.3)</f>
        <v>1558.3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IFERROR(__xludf.DUMMYFUNCTION("""COMPUTED_VALUE"""),1582.3)</f>
        <v>1582.3</v>
      </c>
      <c r="C113" s="16">
        <f>IFERROR(__xludf.DUMMYFUNCTION("""COMPUTED_VALUE"""),45904.6458333333)</f>
        <v>45904.6458333333</v>
      </c>
      <c r="D113" s="17">
        <f>IFERROR(__xludf.DUMMYFUNCTION("""COMPUTED_VALUE"""),1597)</f>
        <v>1597</v>
      </c>
      <c r="E113" s="16">
        <f>IFERROR(__xludf.DUMMYFUNCTION("""COMPUTED_VALUE"""),45904.6458333333)</f>
        <v>45904.6458333333</v>
      </c>
      <c r="F113" s="17">
        <f>IFERROR(__xludf.DUMMYFUNCTION("""COMPUTED_VALUE"""),2298657)</f>
        <v>2298657</v>
      </c>
      <c r="G113" s="16">
        <f>IFERROR(__xludf.DUMMYFUNCTION("""COMPUTED_VALUE"""),45904.6458333333)</f>
        <v>45904.6458333333</v>
      </c>
      <c r="H113" s="17">
        <f>IFERROR(__xludf.DUMMYFUNCTION("""COMPUTED_VALUE"""),1597)</f>
        <v>1597</v>
      </c>
      <c r="I113" s="16">
        <f>IFERROR(__xludf.DUMMYFUNCTION("""COMPUTED_VALUE"""),45904.6458333333)</f>
        <v>45904.6458333333</v>
      </c>
      <c r="J113" s="17">
        <f>IFERROR(__xludf.DUMMYFUNCTION("""COMPUTED_VALUE"""),1561)</f>
        <v>1561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IFERROR(__xludf.DUMMYFUNCTION("""COMPUTED_VALUE"""),1593.6)</f>
        <v>1593.6</v>
      </c>
      <c r="C114" s="16">
        <f>IFERROR(__xludf.DUMMYFUNCTION("""COMPUTED_VALUE"""),45905.6458333333)</f>
        <v>45905.6458333333</v>
      </c>
      <c r="D114" s="17">
        <f>IFERROR(__xludf.DUMMYFUNCTION("""COMPUTED_VALUE"""),1582.4)</f>
        <v>1582.4</v>
      </c>
      <c r="E114" s="16">
        <f>IFERROR(__xludf.DUMMYFUNCTION("""COMPUTED_VALUE"""),45905.6458333333)</f>
        <v>45905.6458333333</v>
      </c>
      <c r="F114" s="17">
        <f>IFERROR(__xludf.DUMMYFUNCTION("""COMPUTED_VALUE"""),1814479)</f>
        <v>1814479</v>
      </c>
      <c r="G114" s="16">
        <f>IFERROR(__xludf.DUMMYFUNCTION("""COMPUTED_VALUE"""),45905.6458333333)</f>
        <v>45905.6458333333</v>
      </c>
      <c r="H114" s="17">
        <f>IFERROR(__xludf.DUMMYFUNCTION("""COMPUTED_VALUE"""),1599.3)</f>
        <v>1599.3</v>
      </c>
      <c r="I114" s="16">
        <f>IFERROR(__xludf.DUMMYFUNCTION("""COMPUTED_VALUE"""),45905.6458333333)</f>
        <v>45905.6458333333</v>
      </c>
      <c r="J114" s="17">
        <f>IFERROR(__xludf.DUMMYFUNCTION("""COMPUTED_VALUE"""),1575.5)</f>
        <v>1575.5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IFERROR(__xludf.DUMMYFUNCTION("""COMPUTED_VALUE"""),1581)</f>
        <v>1581</v>
      </c>
      <c r="C115" s="16">
        <f>IFERROR(__xludf.DUMMYFUNCTION("""COMPUTED_VALUE"""),45908.6458333333)</f>
        <v>45908.6458333333</v>
      </c>
      <c r="D115" s="17">
        <f>IFERROR(__xludf.DUMMYFUNCTION("""COMPUTED_VALUE"""),1597.6)</f>
        <v>1597.6</v>
      </c>
      <c r="E115" s="16">
        <f>IFERROR(__xludf.DUMMYFUNCTION("""COMPUTED_VALUE"""),45908.6458333333)</f>
        <v>45908.6458333333</v>
      </c>
      <c r="F115" s="17">
        <f>IFERROR(__xludf.DUMMYFUNCTION("""COMPUTED_VALUE"""),1369139)</f>
        <v>1369139</v>
      </c>
      <c r="G115" s="16">
        <f>IFERROR(__xludf.DUMMYFUNCTION("""COMPUTED_VALUE"""),45908.6458333333)</f>
        <v>45908.6458333333</v>
      </c>
      <c r="H115" s="17">
        <f>IFERROR(__xludf.DUMMYFUNCTION("""COMPUTED_VALUE"""),1604.5)</f>
        <v>1604.5</v>
      </c>
      <c r="I115" s="16">
        <f>IFERROR(__xludf.DUMMYFUNCTION("""COMPUTED_VALUE"""),45908.6458333333)</f>
        <v>45908.6458333333</v>
      </c>
      <c r="J115" s="17">
        <f>IFERROR(__xludf.DUMMYFUNCTION("""COMPUTED_VALUE"""),1578.2)</f>
        <v>1578.2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IFERROR(__xludf.DUMMYFUNCTION("""COMPUTED_VALUE"""),1591.7)</f>
        <v>1591.7</v>
      </c>
      <c r="C116" s="16">
        <f>IFERROR(__xludf.DUMMYFUNCTION("""COMPUTED_VALUE"""),45909.6458333333)</f>
        <v>45909.6458333333</v>
      </c>
      <c r="D116" s="17">
        <f>IFERROR(__xludf.DUMMYFUNCTION("""COMPUTED_VALUE"""),1580)</f>
        <v>1580</v>
      </c>
      <c r="E116" s="16">
        <f>IFERROR(__xludf.DUMMYFUNCTION("""COMPUTED_VALUE"""),45909.6458333333)</f>
        <v>45909.6458333333</v>
      </c>
      <c r="F116" s="17">
        <f>IFERROR(__xludf.DUMMYFUNCTION("""COMPUTED_VALUE"""),1709406)</f>
        <v>1709406</v>
      </c>
      <c r="G116" s="16">
        <f>IFERROR(__xludf.DUMMYFUNCTION("""COMPUTED_VALUE"""),45909.6458333333)</f>
        <v>45909.6458333333</v>
      </c>
      <c r="H116" s="17">
        <f>IFERROR(__xludf.DUMMYFUNCTION("""COMPUTED_VALUE"""),1597)</f>
        <v>1597</v>
      </c>
      <c r="I116" s="16">
        <f>IFERROR(__xludf.DUMMYFUNCTION("""COMPUTED_VALUE"""),45909.6458333333)</f>
        <v>45909.6458333333</v>
      </c>
      <c r="J116" s="17">
        <f>IFERROR(__xludf.DUMMYFUNCTION("""COMPUTED_VALUE"""),1577.5)</f>
        <v>1577.5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IFERROR(__xludf.DUMMYFUNCTION("""COMPUTED_VALUE"""),1593.4)</f>
        <v>1593.4</v>
      </c>
      <c r="C117" s="16">
        <f>IFERROR(__xludf.DUMMYFUNCTION("""COMPUTED_VALUE"""),45910.6458333333)</f>
        <v>45910.6458333333</v>
      </c>
      <c r="D117" s="17">
        <f>IFERROR(__xludf.DUMMYFUNCTION("""COMPUTED_VALUE"""),1592.1)</f>
        <v>1592.1</v>
      </c>
      <c r="E117" s="16">
        <f>IFERROR(__xludf.DUMMYFUNCTION("""COMPUTED_VALUE"""),45910.6458333333)</f>
        <v>45910.6458333333</v>
      </c>
      <c r="F117" s="17">
        <f>IFERROR(__xludf.DUMMYFUNCTION("""COMPUTED_VALUE"""),2408379)</f>
        <v>2408379</v>
      </c>
      <c r="G117" s="16">
        <f>IFERROR(__xludf.DUMMYFUNCTION("""COMPUTED_VALUE"""),45910.6458333333)</f>
        <v>45910.6458333333</v>
      </c>
      <c r="H117" s="17">
        <f>IFERROR(__xludf.DUMMYFUNCTION("""COMPUTED_VALUE"""),1601.6)</f>
        <v>1601.6</v>
      </c>
      <c r="I117" s="16">
        <f>IFERROR(__xludf.DUMMYFUNCTION("""COMPUTED_VALUE"""),45910.6458333333)</f>
        <v>45910.6458333333</v>
      </c>
      <c r="J117" s="17">
        <f>IFERROR(__xludf.DUMMYFUNCTION("""COMPUTED_VALUE"""),1582.4)</f>
        <v>1582.4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IFERROR(__xludf.DUMMYFUNCTION("""COMPUTED_VALUE"""),1609.7)</f>
        <v>1609.7</v>
      </c>
      <c r="C118" s="16">
        <f>IFERROR(__xludf.DUMMYFUNCTION("""COMPUTED_VALUE"""),45911.6458333333)</f>
        <v>45911.6458333333</v>
      </c>
      <c r="D118" s="17">
        <f>IFERROR(__xludf.DUMMYFUNCTION("""COMPUTED_VALUE"""),1592.5)</f>
        <v>1592.5</v>
      </c>
      <c r="E118" s="16">
        <f>IFERROR(__xludf.DUMMYFUNCTION("""COMPUTED_VALUE"""),45911.6458333333)</f>
        <v>45911.6458333333</v>
      </c>
      <c r="F118" s="17">
        <f>IFERROR(__xludf.DUMMYFUNCTION("""COMPUTED_VALUE"""),1762484)</f>
        <v>1762484</v>
      </c>
      <c r="G118" s="16">
        <f>IFERROR(__xludf.DUMMYFUNCTION("""COMPUTED_VALUE"""),45911.6458333333)</f>
        <v>45911.6458333333</v>
      </c>
      <c r="H118" s="17">
        <f>IFERROR(__xludf.DUMMYFUNCTION("""COMPUTED_VALUE"""),1617)</f>
        <v>1617</v>
      </c>
      <c r="I118" s="16">
        <f>IFERROR(__xludf.DUMMYFUNCTION("""COMPUTED_VALUE"""),45911.6458333333)</f>
        <v>45911.6458333333</v>
      </c>
      <c r="J118" s="17">
        <f>IFERROR(__xludf.DUMMYFUNCTION("""COMPUTED_VALUE"""),1591)</f>
        <v>1591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IFERROR(__xludf.DUMMYFUNCTION("""COMPUTED_VALUE"""),1616.6)</f>
        <v>1616.6</v>
      </c>
      <c r="C119" s="16">
        <f>IFERROR(__xludf.DUMMYFUNCTION("""COMPUTED_VALUE"""),45912.6458333333)</f>
        <v>45912.6458333333</v>
      </c>
      <c r="D119" s="17">
        <f>IFERROR(__xludf.DUMMYFUNCTION("""COMPUTED_VALUE"""),1610)</f>
        <v>1610</v>
      </c>
      <c r="E119" s="16">
        <f>IFERROR(__xludf.DUMMYFUNCTION("""COMPUTED_VALUE"""),45912.6458333333)</f>
        <v>45912.6458333333</v>
      </c>
      <c r="F119" s="17">
        <f>IFERROR(__xludf.DUMMYFUNCTION("""COMPUTED_VALUE"""),1878894)</f>
        <v>1878894</v>
      </c>
      <c r="G119" s="16">
        <f>IFERROR(__xludf.DUMMYFUNCTION("""COMPUTED_VALUE"""),45912.6458333333)</f>
        <v>45912.6458333333</v>
      </c>
      <c r="H119" s="17">
        <f>IFERROR(__xludf.DUMMYFUNCTION("""COMPUTED_VALUE"""),1622.5)</f>
        <v>1622.5</v>
      </c>
      <c r="I119" s="16">
        <f>IFERROR(__xludf.DUMMYFUNCTION("""COMPUTED_VALUE"""),45912.6458333333)</f>
        <v>45912.6458333333</v>
      </c>
      <c r="J119" s="17">
        <f>IFERROR(__xludf.DUMMYFUNCTION("""COMPUTED_VALUE"""),1603.1)</f>
        <v>1603.1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IFERROR(__xludf.DUMMYFUNCTION("""COMPUTED_VALUE"""),1602)</f>
        <v>1602</v>
      </c>
      <c r="C120" s="16">
        <f>IFERROR(__xludf.DUMMYFUNCTION("""COMPUTED_VALUE"""),45915.6458333333)</f>
        <v>45915.6458333333</v>
      </c>
      <c r="D120" s="17">
        <f>IFERROR(__xludf.DUMMYFUNCTION("""COMPUTED_VALUE"""),1616.6)</f>
        <v>1616.6</v>
      </c>
      <c r="E120" s="16">
        <f>IFERROR(__xludf.DUMMYFUNCTION("""COMPUTED_VALUE"""),45915.6458333333)</f>
        <v>45915.6458333333</v>
      </c>
      <c r="F120" s="17">
        <f>IFERROR(__xludf.DUMMYFUNCTION("""COMPUTED_VALUE"""),2005917)</f>
        <v>2005917</v>
      </c>
      <c r="G120" s="16">
        <f>IFERROR(__xludf.DUMMYFUNCTION("""COMPUTED_VALUE"""),45915.6458333333)</f>
        <v>45915.6458333333</v>
      </c>
      <c r="H120" s="17">
        <f>IFERROR(__xludf.DUMMYFUNCTION("""COMPUTED_VALUE"""),1617.1)</f>
        <v>1617.1</v>
      </c>
      <c r="I120" s="16">
        <f>IFERROR(__xludf.DUMMYFUNCTION("""COMPUTED_VALUE"""),45915.6458333333)</f>
        <v>45915.6458333333</v>
      </c>
      <c r="J120" s="17">
        <f>IFERROR(__xludf.DUMMYFUNCTION("""COMPUTED_VALUE"""),1595.4)</f>
        <v>1595.4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IFERROR(__xludf.DUMMYFUNCTION("""COMPUTED_VALUE"""),1610.5)</f>
        <v>1610.5</v>
      </c>
      <c r="C121" s="16">
        <f>IFERROR(__xludf.DUMMYFUNCTION("""COMPUTED_VALUE"""),45916.6458333333)</f>
        <v>45916.6458333333</v>
      </c>
      <c r="D121" s="17">
        <f>IFERROR(__xludf.DUMMYFUNCTION("""COMPUTED_VALUE"""),1602.5)</f>
        <v>1602.5</v>
      </c>
      <c r="E121" s="16">
        <f>IFERROR(__xludf.DUMMYFUNCTION("""COMPUTED_VALUE"""),45916.6458333333)</f>
        <v>45916.6458333333</v>
      </c>
      <c r="F121" s="17">
        <f>IFERROR(__xludf.DUMMYFUNCTION("""COMPUTED_VALUE"""),1480567)</f>
        <v>1480567</v>
      </c>
      <c r="G121" s="16">
        <f>IFERROR(__xludf.DUMMYFUNCTION("""COMPUTED_VALUE"""),45916.6458333333)</f>
        <v>45916.6458333333</v>
      </c>
      <c r="H121" s="17">
        <f>IFERROR(__xludf.DUMMYFUNCTION("""COMPUTED_VALUE"""),1615)</f>
        <v>1615</v>
      </c>
      <c r="I121" s="16">
        <f>IFERROR(__xludf.DUMMYFUNCTION("""COMPUTED_VALUE"""),45916.6458333333)</f>
        <v>45916.6458333333</v>
      </c>
      <c r="J121" s="17">
        <f>IFERROR(__xludf.DUMMYFUNCTION("""COMPUTED_VALUE"""),1600)</f>
        <v>1600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IFERROR(__xludf.DUMMYFUNCTION("""COMPUTED_VALUE"""),1620.2)</f>
        <v>1620.2</v>
      </c>
      <c r="C122" s="16">
        <f>IFERROR(__xludf.DUMMYFUNCTION("""COMPUTED_VALUE"""),45917.6458333333)</f>
        <v>45917.6458333333</v>
      </c>
      <c r="D122" s="17">
        <f>IFERROR(__xludf.DUMMYFUNCTION("""COMPUTED_VALUE"""),1612.6)</f>
        <v>1612.6</v>
      </c>
      <c r="E122" s="16">
        <f>IFERROR(__xludf.DUMMYFUNCTION("""COMPUTED_VALUE"""),45917.6458333333)</f>
        <v>45917.6458333333</v>
      </c>
      <c r="F122" s="17">
        <f>IFERROR(__xludf.DUMMYFUNCTION("""COMPUTED_VALUE"""),2128406)</f>
        <v>2128406</v>
      </c>
      <c r="G122" s="16">
        <f>IFERROR(__xludf.DUMMYFUNCTION("""COMPUTED_VALUE"""),45917.6458333333)</f>
        <v>45917.6458333333</v>
      </c>
      <c r="H122" s="17">
        <f>IFERROR(__xludf.DUMMYFUNCTION("""COMPUTED_VALUE"""),1622.1)</f>
        <v>1622.1</v>
      </c>
      <c r="I122" s="16">
        <f>IFERROR(__xludf.DUMMYFUNCTION("""COMPUTED_VALUE"""),45917.6458333333)</f>
        <v>45917.6458333333</v>
      </c>
      <c r="J122" s="17">
        <f>IFERROR(__xludf.DUMMYFUNCTION("""COMPUTED_VALUE"""),1607.4)</f>
        <v>1607.4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IFERROR(__xludf.DUMMYFUNCTION("""COMPUTED_VALUE"""),1648.6)</f>
        <v>1648.6</v>
      </c>
      <c r="C123" s="16">
        <f>IFERROR(__xludf.DUMMYFUNCTION("""COMPUTED_VALUE"""),45918.6458333333)</f>
        <v>45918.6458333333</v>
      </c>
      <c r="D123" s="17">
        <f>IFERROR(__xludf.DUMMYFUNCTION("""COMPUTED_VALUE"""),1635.1)</f>
        <v>1635.1</v>
      </c>
      <c r="E123" s="16">
        <f>IFERROR(__xludf.DUMMYFUNCTION("""COMPUTED_VALUE"""),45918.6458333333)</f>
        <v>45918.6458333333</v>
      </c>
      <c r="F123" s="17">
        <f>IFERROR(__xludf.DUMMYFUNCTION("""COMPUTED_VALUE"""),1832386)</f>
        <v>1832386</v>
      </c>
      <c r="G123" s="16">
        <f>IFERROR(__xludf.DUMMYFUNCTION("""COMPUTED_VALUE"""),45918.6458333333)</f>
        <v>45918.6458333333</v>
      </c>
      <c r="H123" s="17">
        <f>IFERROR(__xludf.DUMMYFUNCTION("""COMPUTED_VALUE"""),1651.3)</f>
        <v>1651.3</v>
      </c>
      <c r="I123" s="16">
        <f>IFERROR(__xludf.DUMMYFUNCTION("""COMPUTED_VALUE"""),45918.6458333333)</f>
        <v>45918.6458333333</v>
      </c>
      <c r="J123" s="17">
        <f>IFERROR(__xludf.DUMMYFUNCTION("""COMPUTED_VALUE"""),1627.7)</f>
        <v>1627.7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IFERROR(__xludf.DUMMYFUNCTION("""COMPUTED_VALUE"""),1656)</f>
        <v>1656</v>
      </c>
      <c r="C124" s="16">
        <f>IFERROR(__xludf.DUMMYFUNCTION("""COMPUTED_VALUE"""),45919.6458333333)</f>
        <v>45919.6458333333</v>
      </c>
      <c r="D124" s="17">
        <f>IFERROR(__xludf.DUMMYFUNCTION("""COMPUTED_VALUE"""),1648.6)</f>
        <v>1648.6</v>
      </c>
      <c r="E124" s="16">
        <f>IFERROR(__xludf.DUMMYFUNCTION("""COMPUTED_VALUE"""),45919.6458333333)</f>
        <v>45919.6458333333</v>
      </c>
      <c r="F124" s="17">
        <f>IFERROR(__xludf.DUMMYFUNCTION("""COMPUTED_VALUE"""),3191406)</f>
        <v>3191406</v>
      </c>
      <c r="G124" s="16">
        <f>IFERROR(__xludf.DUMMYFUNCTION("""COMPUTED_VALUE"""),45919.6458333333)</f>
        <v>45919.6458333333</v>
      </c>
      <c r="H124" s="17">
        <f>IFERROR(__xludf.DUMMYFUNCTION("""COMPUTED_VALUE"""),1668.1)</f>
        <v>1668.1</v>
      </c>
      <c r="I124" s="16">
        <f>IFERROR(__xludf.DUMMYFUNCTION("""COMPUTED_VALUE"""),45919.6458333333)</f>
        <v>45919.6458333333</v>
      </c>
      <c r="J124" s="17">
        <f>IFERROR(__xludf.DUMMYFUNCTION("""COMPUTED_VALUE"""),1643.1)</f>
        <v>1643.1</v>
      </c>
      <c r="K124" s="3">
        <f t="shared" si="2"/>
        <v>1656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IFERROR(__xludf.DUMMYFUNCTION("""COMPUTED_VALUE"""),1644)</f>
        <v>1644</v>
      </c>
      <c r="C125" s="16">
        <f>IFERROR(__xludf.DUMMYFUNCTION("""COMPUTED_VALUE"""),45922.6458333333)</f>
        <v>45922.6458333333</v>
      </c>
      <c r="D125" s="17">
        <f>IFERROR(__xludf.DUMMYFUNCTION("""COMPUTED_VALUE"""),1650)</f>
        <v>1650</v>
      </c>
      <c r="E125" s="16">
        <f>IFERROR(__xludf.DUMMYFUNCTION("""COMPUTED_VALUE"""),45922.6458333333)</f>
        <v>45922.6458333333</v>
      </c>
      <c r="F125" s="17">
        <f>IFERROR(__xludf.DUMMYFUNCTION("""COMPUTED_VALUE"""),1785320)</f>
        <v>1785320</v>
      </c>
      <c r="G125" s="16">
        <f>IFERROR(__xludf.DUMMYFUNCTION("""COMPUTED_VALUE"""),45922.6458333333)</f>
        <v>45922.6458333333</v>
      </c>
      <c r="H125" s="17">
        <f>IFERROR(__xludf.DUMMYFUNCTION("""COMPUTED_VALUE"""),1657.9)</f>
        <v>1657.9</v>
      </c>
      <c r="I125" s="16">
        <f>IFERROR(__xludf.DUMMYFUNCTION("""COMPUTED_VALUE"""),45922.6458333333)</f>
        <v>45922.6458333333</v>
      </c>
      <c r="J125" s="17">
        <f>IFERROR(__xludf.DUMMYFUNCTION("""COMPUTED_VALUE"""),1635.3)</f>
        <v>1635.3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IFERROR(__xludf.DUMMYFUNCTION("""COMPUTED_VALUE"""),1631.2)</f>
        <v>1631.2</v>
      </c>
      <c r="C126" s="16">
        <f>IFERROR(__xludf.DUMMYFUNCTION("""COMPUTED_VALUE"""),45923.6458333333)</f>
        <v>45923.6458333333</v>
      </c>
      <c r="D126" s="17">
        <f>IFERROR(__xludf.DUMMYFUNCTION("""COMPUTED_VALUE"""),1643.2)</f>
        <v>1643.2</v>
      </c>
      <c r="E126" s="16">
        <f>IFERROR(__xludf.DUMMYFUNCTION("""COMPUTED_VALUE"""),45923.6458333333)</f>
        <v>45923.6458333333</v>
      </c>
      <c r="F126" s="17">
        <f>IFERROR(__xludf.DUMMYFUNCTION("""COMPUTED_VALUE"""),1967731)</f>
        <v>1967731</v>
      </c>
      <c r="G126" s="16">
        <f>IFERROR(__xludf.DUMMYFUNCTION("""COMPUTED_VALUE"""),45923.6458333333)</f>
        <v>45923.6458333333</v>
      </c>
      <c r="H126" s="17">
        <f>IFERROR(__xludf.DUMMYFUNCTION("""COMPUTED_VALUE"""),1644)</f>
        <v>1644</v>
      </c>
      <c r="I126" s="16">
        <f>IFERROR(__xludf.DUMMYFUNCTION("""COMPUTED_VALUE"""),45923.6458333333)</f>
        <v>45923.6458333333</v>
      </c>
      <c r="J126" s="17">
        <f>IFERROR(__xludf.DUMMYFUNCTION("""COMPUTED_VALUE"""),1625.1)</f>
        <v>1625.1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IFERROR(__xludf.DUMMYFUNCTION("""COMPUTED_VALUE"""),1627.1)</f>
        <v>1627.1</v>
      </c>
      <c r="C127" s="16">
        <f>IFERROR(__xludf.DUMMYFUNCTION("""COMPUTED_VALUE"""),45924.6458333333)</f>
        <v>45924.6458333333</v>
      </c>
      <c r="D127" s="17">
        <f>IFERROR(__xludf.DUMMYFUNCTION("""COMPUTED_VALUE"""),1630)</f>
        <v>1630</v>
      </c>
      <c r="E127" s="16">
        <f>IFERROR(__xludf.DUMMYFUNCTION("""COMPUTED_VALUE"""),45924.6458333333)</f>
        <v>45924.6458333333</v>
      </c>
      <c r="F127" s="17">
        <f>IFERROR(__xludf.DUMMYFUNCTION("""COMPUTED_VALUE"""),1131058)</f>
        <v>1131058</v>
      </c>
      <c r="G127" s="16">
        <f>IFERROR(__xludf.DUMMYFUNCTION("""COMPUTED_VALUE"""),45924.6458333333)</f>
        <v>45924.6458333333</v>
      </c>
      <c r="H127" s="17">
        <f>IFERROR(__xludf.DUMMYFUNCTION("""COMPUTED_VALUE"""),1635.9)</f>
        <v>1635.9</v>
      </c>
      <c r="I127" s="16">
        <f>IFERROR(__xludf.DUMMYFUNCTION("""COMPUTED_VALUE"""),45924.6458333333)</f>
        <v>45924.6458333333</v>
      </c>
      <c r="J127" s="17">
        <f>IFERROR(__xludf.DUMMYFUNCTION("""COMPUTED_VALUE"""),1625)</f>
        <v>1625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IFERROR(__xludf.DUMMYFUNCTION("""COMPUTED_VALUE"""),1627.4)</f>
        <v>1627.4</v>
      </c>
      <c r="C128" s="16">
        <f>IFERROR(__xludf.DUMMYFUNCTION("""COMPUTED_VALUE"""),45925.6458333333)</f>
        <v>45925.6458333333</v>
      </c>
      <c r="D128" s="17">
        <f>IFERROR(__xludf.DUMMYFUNCTION("""COMPUTED_VALUE"""),1627.9)</f>
        <v>1627.9</v>
      </c>
      <c r="E128" s="16">
        <f>IFERROR(__xludf.DUMMYFUNCTION("""COMPUTED_VALUE"""),45925.6458333333)</f>
        <v>45925.6458333333</v>
      </c>
      <c r="F128" s="17">
        <f>IFERROR(__xludf.DUMMYFUNCTION("""COMPUTED_VALUE"""),2762750)</f>
        <v>2762750</v>
      </c>
      <c r="G128" s="16">
        <f>IFERROR(__xludf.DUMMYFUNCTION("""COMPUTED_VALUE"""),45925.6458333333)</f>
        <v>45925.6458333333</v>
      </c>
      <c r="H128" s="17">
        <f>IFERROR(__xludf.DUMMYFUNCTION("""COMPUTED_VALUE"""),1642.8)</f>
        <v>1642.8</v>
      </c>
      <c r="I128" s="16">
        <f>IFERROR(__xludf.DUMMYFUNCTION("""COMPUTED_VALUE"""),45925.6458333333)</f>
        <v>45925.6458333333</v>
      </c>
      <c r="J128" s="17">
        <f>IFERROR(__xludf.DUMMYFUNCTION("""COMPUTED_VALUE"""),1622.7)</f>
        <v>1622.7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IFERROR(__xludf.DUMMYFUNCTION("""COMPUTED_VALUE"""),1586.7)</f>
        <v>1586.7</v>
      </c>
      <c r="C129" s="16">
        <f>IFERROR(__xludf.DUMMYFUNCTION("""COMPUTED_VALUE"""),45926.6458333333)</f>
        <v>45926.6458333333</v>
      </c>
      <c r="D129" s="17">
        <f>IFERROR(__xludf.DUMMYFUNCTION("""COMPUTED_VALUE"""),1585)</f>
        <v>1585</v>
      </c>
      <c r="E129" s="16">
        <f>IFERROR(__xludf.DUMMYFUNCTION("""COMPUTED_VALUE"""),45926.6458333333)</f>
        <v>45926.6458333333</v>
      </c>
      <c r="F129" s="17">
        <f>IFERROR(__xludf.DUMMYFUNCTION("""COMPUTED_VALUE"""),7256759)</f>
        <v>7256759</v>
      </c>
      <c r="G129" s="16">
        <f>IFERROR(__xludf.DUMMYFUNCTION("""COMPUTED_VALUE"""),45926.6458333333)</f>
        <v>45926.6458333333</v>
      </c>
      <c r="H129" s="17">
        <f>IFERROR(__xludf.DUMMYFUNCTION("""COMPUTED_VALUE"""),1602.9)</f>
        <v>1602.9</v>
      </c>
      <c r="I129" s="16">
        <f>IFERROR(__xludf.DUMMYFUNCTION("""COMPUTED_VALUE"""),45926.6458333333)</f>
        <v>45926.6458333333</v>
      </c>
      <c r="J129" s="17">
        <f>IFERROR(__xludf.DUMMYFUNCTION("""COMPUTED_VALUE"""),1548)</f>
        <v>1548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80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""price"")"),1120)</f>
        <v>1120</v>
      </c>
      <c r="I3" s="22" t="s">
        <v>269</v>
      </c>
      <c r="J3" s="23">
        <f>IFERROR(__xludf.DUMMYFUNCTION("GOOGLEFINANCE(L3, ""volume"")"),565909)</f>
        <v>565909</v>
      </c>
      <c r="K3" s="24" t="s">
        <v>270</v>
      </c>
      <c r="L3" s="25" t="str">
        <f>Mastersheet!B36</f>
        <v>NSE:TATACONSUM</v>
      </c>
      <c r="M3" s="26">
        <f>IFERROR(__xludf.DUMMYFUNCTION("""COMPUTED_VALUE"""),45926.6458333333)</f>
        <v>45926.6458333333</v>
      </c>
      <c r="N3" s="27">
        <f>IFERROR(__xludf.DUMMYFUNCTION("""COMPUTED_VALUE"""),1119)</f>
        <v>1119</v>
      </c>
      <c r="O3" s="26">
        <f>IFERROR(__xludf.DUMMYFUNCTION("""COMPUTED_VALUE"""),45926.6458333333)</f>
        <v>45926.6458333333</v>
      </c>
      <c r="P3" s="27">
        <f>IFERROR(__xludf.DUMMYFUNCTION("""COMPUTED_VALUE"""),1126)</f>
        <v>1126</v>
      </c>
      <c r="Q3" s="16">
        <f>IFERROR(__xludf.DUMMYFUNCTION("""COMPUTED_VALUE"""),45926.6458333333)</f>
        <v>45926.6458333333</v>
      </c>
      <c r="R3" s="17">
        <f>IFERROR(__xludf.DUMMYFUNCTION("""COMPUTED_VALUE"""),1136.9)</f>
        <v>1136.9</v>
      </c>
      <c r="S3" s="16">
        <f>IFERROR(__xludf.DUMMYFUNCTION("""COMPUTED_VALUE"""),45926.6458333333)</f>
        <v>45926.6458333333</v>
      </c>
      <c r="T3" s="17">
        <f>IFERROR(__xludf.DUMMYFUNCTION("""COMPUTED_VALUE"""),1117.2)</f>
        <v>1117.2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IFERROR(__xludf.DUMMYFUNCTION("""COMPUTED_VALUE"""),973.55)</f>
        <v>973.55</v>
      </c>
      <c r="C5" s="14">
        <f>IFERROR(__xludf.DUMMYFUNCTION("""COMPUTED_VALUE"""),45743.6458333333)</f>
        <v>45743.6458333333</v>
      </c>
      <c r="D5" s="15">
        <f>IFERROR(__xludf.DUMMYFUNCTION("""COMPUTED_VALUE"""),963)</f>
        <v>963</v>
      </c>
      <c r="E5" s="14">
        <f>IFERROR(__xludf.DUMMYFUNCTION("""COMPUTED_VALUE"""),45743.6458333333)</f>
        <v>45743.6458333333</v>
      </c>
      <c r="F5" s="15">
        <f>IFERROR(__xludf.DUMMYFUNCTION("""COMPUTED_VALUE"""),2585170)</f>
        <v>2585170</v>
      </c>
      <c r="G5" s="14">
        <f>IFERROR(__xludf.DUMMYFUNCTION("""COMPUTED_VALUE"""),45743.6458333333)</f>
        <v>45743.6458333333</v>
      </c>
      <c r="H5" s="15">
        <f>IFERROR(__xludf.DUMMYFUNCTION("""COMPUTED_VALUE"""),980.4)</f>
        <v>980.4</v>
      </c>
      <c r="I5" s="30">
        <f>IFERROR(__xludf.DUMMYFUNCTION("""COMPUTED_VALUE"""),45743.6458333333)</f>
        <v>45743.6458333333</v>
      </c>
      <c r="J5" s="3">
        <f>IFERROR(__xludf.DUMMYFUNCTION("""COMPUTED_VALUE"""),952.5)</f>
        <v>952.5</v>
      </c>
      <c r="K5" s="5"/>
      <c r="L5" s="5"/>
      <c r="M5" s="3">
        <f t="array" ref="M5">INDEX(K11:K124,MATCH(SMALL(ABS(K11:K124-H3),1),ABS(K11:K124-H3),0))</f>
        <v>1105.8</v>
      </c>
      <c r="N5" s="3">
        <f t="array" ref="N5">INDEX(K11:K124,MATCH(SMALL(ABS(K11:K124-H3),2),ABS(K11:K124-H3),0))</f>
        <v>1105.3</v>
      </c>
      <c r="O5" s="3">
        <f t="array" ref="O5">INDEX(L11:L124,MATCH(SMALL(ABS(L11:L124-H3),1),ABS(L11:L124-H3),0))</f>
        <v>1113.7</v>
      </c>
      <c r="P5" s="3">
        <f t="array" ref="P5">INDEX(L11:L124,MATCH(SMALL(ABS(L11:L124-H3),2),ABS(L11:L124-H3),0))</f>
        <v>1106.3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1054.4</v>
      </c>
      <c r="T5" s="17">
        <f ca="1">IF(AND(H3&gt;=Mastersheet!I3*S5,H3&lt;=Mastersheet!J3*S5),1,0)</f>
        <v>1</v>
      </c>
      <c r="U5" s="36">
        <f>(N3+P3)/2</f>
        <v>1122.5</v>
      </c>
      <c r="V5" s="17">
        <f>(N3+P3+R3+T3)/4</f>
        <v>1124.775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1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IFERROR(__xludf.DUMMYFUNCTION("""COMPUTED_VALUE"""),1001.9)</f>
        <v>1001.9</v>
      </c>
      <c r="C6" s="16">
        <f>IFERROR(__xludf.DUMMYFUNCTION("""COMPUTED_VALUE"""),45744.6458333333)</f>
        <v>45744.6458333333</v>
      </c>
      <c r="D6" s="17">
        <f>IFERROR(__xludf.DUMMYFUNCTION("""COMPUTED_VALUE"""),975.5)</f>
        <v>975.5</v>
      </c>
      <c r="E6" s="16">
        <f>IFERROR(__xludf.DUMMYFUNCTION("""COMPUTED_VALUE"""),45744.6458333333)</f>
        <v>45744.6458333333</v>
      </c>
      <c r="F6" s="17">
        <f>IFERROR(__xludf.DUMMYFUNCTION("""COMPUTED_VALUE"""),2313101)</f>
        <v>2313101</v>
      </c>
      <c r="G6" s="16">
        <f>IFERROR(__xludf.DUMMYFUNCTION("""COMPUTED_VALUE"""),45744.6458333333)</f>
        <v>45744.6458333333</v>
      </c>
      <c r="H6" s="17">
        <f>IFERROR(__xludf.DUMMYFUNCTION("""COMPUTED_VALUE"""),1015)</f>
        <v>1015</v>
      </c>
      <c r="I6" s="16">
        <f>IFERROR(__xludf.DUMMYFUNCTION("""COMPUTED_VALUE"""),45744.6458333333)</f>
        <v>45744.6458333333</v>
      </c>
      <c r="J6" s="17">
        <f>IFERROR(__xludf.DUMMYFUNCTION("""COMPUTED_VALUE"""),975)</f>
        <v>975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IFERROR(__xludf.DUMMYFUNCTION("""COMPUTED_VALUE"""),992.25)</f>
        <v>992.25</v>
      </c>
      <c r="C7" s="16">
        <f>IFERROR(__xludf.DUMMYFUNCTION("""COMPUTED_VALUE"""),45748.6458333333)</f>
        <v>45748.6458333333</v>
      </c>
      <c r="D7" s="17">
        <f>IFERROR(__xludf.DUMMYFUNCTION("""COMPUTED_VALUE"""),1003)</f>
        <v>1003</v>
      </c>
      <c r="E7" s="16">
        <f>IFERROR(__xludf.DUMMYFUNCTION("""COMPUTED_VALUE"""),45748.6458333333)</f>
        <v>45748.6458333333</v>
      </c>
      <c r="F7" s="17">
        <f>IFERROR(__xludf.DUMMYFUNCTION("""COMPUTED_VALUE"""),1045548)</f>
        <v>1045548</v>
      </c>
      <c r="G7" s="16">
        <f>IFERROR(__xludf.DUMMYFUNCTION("""COMPUTED_VALUE"""),45748.6458333333)</f>
        <v>45748.6458333333</v>
      </c>
      <c r="H7" s="17">
        <f>IFERROR(__xludf.DUMMYFUNCTION("""COMPUTED_VALUE"""),1014.55)</f>
        <v>1014.55</v>
      </c>
      <c r="I7" s="16">
        <f>IFERROR(__xludf.DUMMYFUNCTION("""COMPUTED_VALUE"""),45748.6458333333)</f>
        <v>45748.6458333333</v>
      </c>
      <c r="J7" s="17">
        <f>IFERROR(__xludf.DUMMYFUNCTION("""COMPUTED_VALUE"""),989.25)</f>
        <v>989.25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IFERROR(__xludf.DUMMYFUNCTION("""COMPUTED_VALUE"""),1062.7)</f>
        <v>1062.7</v>
      </c>
      <c r="C8" s="16">
        <f>IFERROR(__xludf.DUMMYFUNCTION("""COMPUTED_VALUE"""),45749.6458333333)</f>
        <v>45749.6458333333</v>
      </c>
      <c r="D8" s="17">
        <f>IFERROR(__xludf.DUMMYFUNCTION("""COMPUTED_VALUE"""),1018)</f>
        <v>1018</v>
      </c>
      <c r="E8" s="16">
        <f>IFERROR(__xludf.DUMMYFUNCTION("""COMPUTED_VALUE"""),45749.6458333333)</f>
        <v>45749.6458333333</v>
      </c>
      <c r="F8" s="17">
        <f>IFERROR(__xludf.DUMMYFUNCTION("""COMPUTED_VALUE"""),8717812)</f>
        <v>8717812</v>
      </c>
      <c r="G8" s="16">
        <f>IFERROR(__xludf.DUMMYFUNCTION("""COMPUTED_VALUE"""),45749.6458333333)</f>
        <v>45749.6458333333</v>
      </c>
      <c r="H8" s="17">
        <f>IFERROR(__xludf.DUMMYFUNCTION("""COMPUTED_VALUE"""),1073.15)</f>
        <v>1073.15</v>
      </c>
      <c r="I8" s="16">
        <f>IFERROR(__xludf.DUMMYFUNCTION("""COMPUTED_VALUE"""),45749.6458333333)</f>
        <v>45749.6458333333</v>
      </c>
      <c r="J8" s="17">
        <f>IFERROR(__xludf.DUMMYFUNCTION("""COMPUTED_VALUE"""),1015)</f>
        <v>1015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IFERROR(__xludf.DUMMYFUNCTION("""COMPUTED_VALUE"""),1071)</f>
        <v>1071</v>
      </c>
      <c r="C9" s="16">
        <f>IFERROR(__xludf.DUMMYFUNCTION("""COMPUTED_VALUE"""),45750.6458333333)</f>
        <v>45750.6458333333</v>
      </c>
      <c r="D9" s="17">
        <f>IFERROR(__xludf.DUMMYFUNCTION("""COMPUTED_VALUE"""),1049.9)</f>
        <v>1049.9</v>
      </c>
      <c r="E9" s="16">
        <f>IFERROR(__xludf.DUMMYFUNCTION("""COMPUTED_VALUE"""),45750.6458333333)</f>
        <v>45750.6458333333</v>
      </c>
      <c r="F9" s="17">
        <f>IFERROR(__xludf.DUMMYFUNCTION("""COMPUTED_VALUE"""),1595000)</f>
        <v>1595000</v>
      </c>
      <c r="G9" s="16">
        <f>IFERROR(__xludf.DUMMYFUNCTION("""COMPUTED_VALUE"""),45750.6458333333)</f>
        <v>45750.6458333333</v>
      </c>
      <c r="H9" s="17">
        <f>IFERROR(__xludf.DUMMYFUNCTION("""COMPUTED_VALUE"""),1075.25)</f>
        <v>1075.25</v>
      </c>
      <c r="I9" s="16">
        <f>IFERROR(__xludf.DUMMYFUNCTION("""COMPUTED_VALUE"""),45750.6458333333)</f>
        <v>45750.6458333333</v>
      </c>
      <c r="J9" s="17">
        <f>IFERROR(__xludf.DUMMYFUNCTION("""COMPUTED_VALUE"""),1048.1)</f>
        <v>1048.1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IFERROR(__xludf.DUMMYFUNCTION("""COMPUTED_VALUE"""),1087.85)</f>
        <v>1087.85</v>
      </c>
      <c r="C10" s="16">
        <f>IFERROR(__xludf.DUMMYFUNCTION("""COMPUTED_VALUE"""),45751.6458333333)</f>
        <v>45751.6458333333</v>
      </c>
      <c r="D10" s="17">
        <f>IFERROR(__xludf.DUMMYFUNCTION("""COMPUTED_VALUE"""),1065.45)</f>
        <v>1065.45</v>
      </c>
      <c r="E10" s="16">
        <f>IFERROR(__xludf.DUMMYFUNCTION("""COMPUTED_VALUE"""),45751.6458333333)</f>
        <v>45751.6458333333</v>
      </c>
      <c r="F10" s="17">
        <f>IFERROR(__xludf.DUMMYFUNCTION("""COMPUTED_VALUE"""),4089261)</f>
        <v>4089261</v>
      </c>
      <c r="G10" s="16">
        <f>IFERROR(__xludf.DUMMYFUNCTION("""COMPUTED_VALUE"""),45751.6458333333)</f>
        <v>45751.6458333333</v>
      </c>
      <c r="H10" s="17">
        <f>IFERROR(__xludf.DUMMYFUNCTION("""COMPUTED_VALUE"""),1095.55)</f>
        <v>1095.55</v>
      </c>
      <c r="I10" s="16">
        <f>IFERROR(__xludf.DUMMYFUNCTION("""COMPUTED_VALUE"""),45751.6458333333)</f>
        <v>45751.6458333333</v>
      </c>
      <c r="J10" s="17">
        <f>IFERROR(__xludf.DUMMYFUNCTION("""COMPUTED_VALUE"""),1062.9)</f>
        <v>1062.9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IFERROR(__xludf.DUMMYFUNCTION("""COMPUTED_VALUE"""),1047.35)</f>
        <v>1047.35</v>
      </c>
      <c r="C11" s="16">
        <f>IFERROR(__xludf.DUMMYFUNCTION("""COMPUTED_VALUE"""),45754.6458333333)</f>
        <v>45754.6458333333</v>
      </c>
      <c r="D11" s="17">
        <f>IFERROR(__xludf.DUMMYFUNCTION("""COMPUTED_VALUE"""),1019)</f>
        <v>1019</v>
      </c>
      <c r="E11" s="16">
        <f>IFERROR(__xludf.DUMMYFUNCTION("""COMPUTED_VALUE"""),45754.6458333333)</f>
        <v>45754.6458333333</v>
      </c>
      <c r="F11" s="17">
        <f>IFERROR(__xludf.DUMMYFUNCTION("""COMPUTED_VALUE"""),3200820)</f>
        <v>3200820</v>
      </c>
      <c r="G11" s="16">
        <f>IFERROR(__xludf.DUMMYFUNCTION("""COMPUTED_VALUE"""),45754.6458333333)</f>
        <v>45754.6458333333</v>
      </c>
      <c r="H11" s="17">
        <f>IFERROR(__xludf.DUMMYFUNCTION("""COMPUTED_VALUE"""),1077.7)</f>
        <v>1077.7</v>
      </c>
      <c r="I11" s="16">
        <f>IFERROR(__xludf.DUMMYFUNCTION("""COMPUTED_VALUE"""),45754.6458333333)</f>
        <v>45754.6458333333</v>
      </c>
      <c r="J11" s="17">
        <f>IFERROR(__xludf.DUMMYFUNCTION("""COMPUTED_VALUE"""),1019)</f>
        <v>1019</v>
      </c>
      <c r="K11" s="3">
        <f t="shared" ref="K11:K125" si="2">IF(B11=MAX(B5:B17),B11,0)</f>
        <v>0</v>
      </c>
      <c r="L11" s="3">
        <f t="shared" ref="L11:L125" si="3">IF(B11=MIN(B5:B17),B11,0)</f>
        <v>0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IFERROR(__xludf.DUMMYFUNCTION("""COMPUTED_VALUE"""),1069.75)</f>
        <v>1069.75</v>
      </c>
      <c r="C12" s="16">
        <f>IFERROR(__xludf.DUMMYFUNCTION("""COMPUTED_VALUE"""),45755.6458333333)</f>
        <v>45755.6458333333</v>
      </c>
      <c r="D12" s="17">
        <f>IFERROR(__xludf.DUMMYFUNCTION("""COMPUTED_VALUE"""),1056)</f>
        <v>1056</v>
      </c>
      <c r="E12" s="16">
        <f>IFERROR(__xludf.DUMMYFUNCTION("""COMPUTED_VALUE"""),45755.6458333333)</f>
        <v>45755.6458333333</v>
      </c>
      <c r="F12" s="17">
        <f>IFERROR(__xludf.DUMMYFUNCTION("""COMPUTED_VALUE"""),1444712)</f>
        <v>1444712</v>
      </c>
      <c r="G12" s="16">
        <f>IFERROR(__xludf.DUMMYFUNCTION("""COMPUTED_VALUE"""),45755.6458333333)</f>
        <v>45755.6458333333</v>
      </c>
      <c r="H12" s="17">
        <f>IFERROR(__xludf.DUMMYFUNCTION("""COMPUTED_VALUE"""),1073.5)</f>
        <v>1073.5</v>
      </c>
      <c r="I12" s="16">
        <f>IFERROR(__xludf.DUMMYFUNCTION("""COMPUTED_VALUE"""),45755.6458333333)</f>
        <v>45755.6458333333</v>
      </c>
      <c r="J12" s="17">
        <f>IFERROR(__xludf.DUMMYFUNCTION("""COMPUTED_VALUE"""),1044.75)</f>
        <v>1044.75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IFERROR(__xludf.DUMMYFUNCTION("""COMPUTED_VALUE"""),1089.75)</f>
        <v>1089.75</v>
      </c>
      <c r="C13" s="16">
        <f>IFERROR(__xludf.DUMMYFUNCTION("""COMPUTED_VALUE"""),45756.6458333333)</f>
        <v>45756.6458333333</v>
      </c>
      <c r="D13" s="17">
        <f>IFERROR(__xludf.DUMMYFUNCTION("""COMPUTED_VALUE"""),1062)</f>
        <v>1062</v>
      </c>
      <c r="E13" s="16">
        <f>IFERROR(__xludf.DUMMYFUNCTION("""COMPUTED_VALUE"""),45756.6458333333)</f>
        <v>45756.6458333333</v>
      </c>
      <c r="F13" s="17">
        <f>IFERROR(__xludf.DUMMYFUNCTION("""COMPUTED_VALUE"""),2274161)</f>
        <v>2274161</v>
      </c>
      <c r="G13" s="16">
        <f>IFERROR(__xludf.DUMMYFUNCTION("""COMPUTED_VALUE"""),45756.6458333333)</f>
        <v>45756.6458333333</v>
      </c>
      <c r="H13" s="17">
        <f>IFERROR(__xludf.DUMMYFUNCTION("""COMPUTED_VALUE"""),1092.95)</f>
        <v>1092.95</v>
      </c>
      <c r="I13" s="16">
        <f>IFERROR(__xludf.DUMMYFUNCTION("""COMPUTED_VALUE"""),45756.6458333333)</f>
        <v>45756.6458333333</v>
      </c>
      <c r="J13" s="17">
        <f>IFERROR(__xludf.DUMMYFUNCTION("""COMPUTED_VALUE"""),1060.05)</f>
        <v>1060.05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IFERROR(__xludf.DUMMYFUNCTION("""COMPUTED_VALUE"""),1097.9)</f>
        <v>1097.9</v>
      </c>
      <c r="C14" s="16">
        <f>IFERROR(__xludf.DUMMYFUNCTION("""COMPUTED_VALUE"""),45758.6458333333)</f>
        <v>45758.6458333333</v>
      </c>
      <c r="D14" s="17">
        <f>IFERROR(__xludf.DUMMYFUNCTION("""COMPUTED_VALUE"""),1125)</f>
        <v>1125</v>
      </c>
      <c r="E14" s="16">
        <f>IFERROR(__xludf.DUMMYFUNCTION("""COMPUTED_VALUE"""),45758.6458333333)</f>
        <v>45758.6458333333</v>
      </c>
      <c r="F14" s="17">
        <f>IFERROR(__xludf.DUMMYFUNCTION("""COMPUTED_VALUE"""),1888677)</f>
        <v>1888677</v>
      </c>
      <c r="G14" s="16">
        <f>IFERROR(__xludf.DUMMYFUNCTION("""COMPUTED_VALUE"""),45758.6458333333)</f>
        <v>45758.6458333333</v>
      </c>
      <c r="H14" s="17">
        <f>IFERROR(__xludf.DUMMYFUNCTION("""COMPUTED_VALUE"""),1126)</f>
        <v>1126</v>
      </c>
      <c r="I14" s="16">
        <f>IFERROR(__xludf.DUMMYFUNCTION("""COMPUTED_VALUE"""),45758.6458333333)</f>
        <v>45758.6458333333</v>
      </c>
      <c r="J14" s="17">
        <f>IFERROR(__xludf.DUMMYFUNCTION("""COMPUTED_VALUE"""),1093.75)</f>
        <v>1093.75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IFERROR(__xludf.DUMMYFUNCTION("""COMPUTED_VALUE"""),1103.4)</f>
        <v>1103.4</v>
      </c>
      <c r="C15" s="16">
        <f>IFERROR(__xludf.DUMMYFUNCTION("""COMPUTED_VALUE"""),45762.6458333333)</f>
        <v>45762.6458333333</v>
      </c>
      <c r="D15" s="17">
        <f>IFERROR(__xludf.DUMMYFUNCTION("""COMPUTED_VALUE"""),1108.3)</f>
        <v>1108.3</v>
      </c>
      <c r="E15" s="16">
        <f>IFERROR(__xludf.DUMMYFUNCTION("""COMPUTED_VALUE"""),45762.6458333333)</f>
        <v>45762.6458333333</v>
      </c>
      <c r="F15" s="17">
        <f>IFERROR(__xludf.DUMMYFUNCTION("""COMPUTED_VALUE"""),1023355)</f>
        <v>1023355</v>
      </c>
      <c r="G15" s="16">
        <f>IFERROR(__xludf.DUMMYFUNCTION("""COMPUTED_VALUE"""),45762.6458333333)</f>
        <v>45762.6458333333</v>
      </c>
      <c r="H15" s="17">
        <f>IFERROR(__xludf.DUMMYFUNCTION("""COMPUTED_VALUE"""),1111)</f>
        <v>1111</v>
      </c>
      <c r="I15" s="16">
        <f>IFERROR(__xludf.DUMMYFUNCTION("""COMPUTED_VALUE"""),45762.6458333333)</f>
        <v>45762.6458333333</v>
      </c>
      <c r="J15" s="17">
        <f>IFERROR(__xludf.DUMMYFUNCTION("""COMPUTED_VALUE"""),1094.1)</f>
        <v>1094.1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IFERROR(__xludf.DUMMYFUNCTION("""COMPUTED_VALUE"""),1105.9)</f>
        <v>1105.9</v>
      </c>
      <c r="C16" s="16">
        <f>IFERROR(__xludf.DUMMYFUNCTION("""COMPUTED_VALUE"""),45763.6458333333)</f>
        <v>45763.6458333333</v>
      </c>
      <c r="D16" s="17">
        <f>IFERROR(__xludf.DUMMYFUNCTION("""COMPUTED_VALUE"""),1094.1)</f>
        <v>1094.1</v>
      </c>
      <c r="E16" s="16">
        <f>IFERROR(__xludf.DUMMYFUNCTION("""COMPUTED_VALUE"""),45763.6458333333)</f>
        <v>45763.6458333333</v>
      </c>
      <c r="F16" s="17">
        <f>IFERROR(__xludf.DUMMYFUNCTION("""COMPUTED_VALUE"""),679360)</f>
        <v>679360</v>
      </c>
      <c r="G16" s="16">
        <f>IFERROR(__xludf.DUMMYFUNCTION("""COMPUTED_VALUE"""),45763.6458333333)</f>
        <v>45763.6458333333</v>
      </c>
      <c r="H16" s="17">
        <f>IFERROR(__xludf.DUMMYFUNCTION("""COMPUTED_VALUE"""),1108.9)</f>
        <v>1108.9</v>
      </c>
      <c r="I16" s="16">
        <f>IFERROR(__xludf.DUMMYFUNCTION("""COMPUTED_VALUE"""),45763.6458333333)</f>
        <v>45763.6458333333</v>
      </c>
      <c r="J16" s="17">
        <f>IFERROR(__xludf.DUMMYFUNCTION("""COMPUTED_VALUE"""),1086.8)</f>
        <v>1086.8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IFERROR(__xludf.DUMMYFUNCTION("""COMPUTED_VALUE"""),1120.2)</f>
        <v>1120.2</v>
      </c>
      <c r="C17" s="16">
        <f>IFERROR(__xludf.DUMMYFUNCTION("""COMPUTED_VALUE"""),45764.6458333333)</f>
        <v>45764.6458333333</v>
      </c>
      <c r="D17" s="17">
        <f>IFERROR(__xludf.DUMMYFUNCTION("""COMPUTED_VALUE"""),1104)</f>
        <v>1104</v>
      </c>
      <c r="E17" s="16">
        <f>IFERROR(__xludf.DUMMYFUNCTION("""COMPUTED_VALUE"""),45764.6458333333)</f>
        <v>45764.6458333333</v>
      </c>
      <c r="F17" s="17">
        <f>IFERROR(__xludf.DUMMYFUNCTION("""COMPUTED_VALUE"""),1541674)</f>
        <v>1541674</v>
      </c>
      <c r="G17" s="16">
        <f>IFERROR(__xludf.DUMMYFUNCTION("""COMPUTED_VALUE"""),45764.6458333333)</f>
        <v>45764.6458333333</v>
      </c>
      <c r="H17" s="17">
        <f>IFERROR(__xludf.DUMMYFUNCTION("""COMPUTED_VALUE"""),1133.8)</f>
        <v>1133.8</v>
      </c>
      <c r="I17" s="16">
        <f>IFERROR(__xludf.DUMMYFUNCTION("""COMPUTED_VALUE"""),45764.6458333333)</f>
        <v>45764.6458333333</v>
      </c>
      <c r="J17" s="17">
        <f>IFERROR(__xludf.DUMMYFUNCTION("""COMPUTED_VALUE"""),1094.5)</f>
        <v>1094.5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IFERROR(__xludf.DUMMYFUNCTION("""COMPUTED_VALUE"""),1121)</f>
        <v>1121</v>
      </c>
      <c r="C18" s="16">
        <f>IFERROR(__xludf.DUMMYFUNCTION("""COMPUTED_VALUE"""),45768.6458333333)</f>
        <v>45768.6458333333</v>
      </c>
      <c r="D18" s="17">
        <f>IFERROR(__xludf.DUMMYFUNCTION("""COMPUTED_VALUE"""),1120.2)</f>
        <v>1120.2</v>
      </c>
      <c r="E18" s="16">
        <f>IFERROR(__xludf.DUMMYFUNCTION("""COMPUTED_VALUE"""),45768.6458333333)</f>
        <v>45768.6458333333</v>
      </c>
      <c r="F18" s="17">
        <f>IFERROR(__xludf.DUMMYFUNCTION("""COMPUTED_VALUE"""),692767)</f>
        <v>692767</v>
      </c>
      <c r="G18" s="16">
        <f>IFERROR(__xludf.DUMMYFUNCTION("""COMPUTED_VALUE"""),45768.6458333333)</f>
        <v>45768.6458333333</v>
      </c>
      <c r="H18" s="17">
        <f>IFERROR(__xludf.DUMMYFUNCTION("""COMPUTED_VALUE"""),1129.5)</f>
        <v>1129.5</v>
      </c>
      <c r="I18" s="16">
        <f>IFERROR(__xludf.DUMMYFUNCTION("""COMPUTED_VALUE"""),45768.6458333333)</f>
        <v>45768.6458333333</v>
      </c>
      <c r="J18" s="17">
        <f>IFERROR(__xludf.DUMMYFUNCTION("""COMPUTED_VALUE"""),1102.4)</f>
        <v>1102.4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IFERROR(__xludf.DUMMYFUNCTION("""COMPUTED_VALUE"""),1136.7)</f>
        <v>1136.7</v>
      </c>
      <c r="C19" s="16">
        <f>IFERROR(__xludf.DUMMYFUNCTION("""COMPUTED_VALUE"""),45769.6458333333)</f>
        <v>45769.6458333333</v>
      </c>
      <c r="D19" s="17">
        <f>IFERROR(__xludf.DUMMYFUNCTION("""COMPUTED_VALUE"""),1121.7)</f>
        <v>1121.7</v>
      </c>
      <c r="E19" s="16">
        <f>IFERROR(__xludf.DUMMYFUNCTION("""COMPUTED_VALUE"""),45769.6458333333)</f>
        <v>45769.6458333333</v>
      </c>
      <c r="F19" s="17">
        <f>IFERROR(__xludf.DUMMYFUNCTION("""COMPUTED_VALUE"""),1231830)</f>
        <v>1231830</v>
      </c>
      <c r="G19" s="16">
        <f>IFERROR(__xludf.DUMMYFUNCTION("""COMPUTED_VALUE"""),45769.6458333333)</f>
        <v>45769.6458333333</v>
      </c>
      <c r="H19" s="17">
        <f>IFERROR(__xludf.DUMMYFUNCTION("""COMPUTED_VALUE"""),1149)</f>
        <v>1149</v>
      </c>
      <c r="I19" s="16">
        <f>IFERROR(__xludf.DUMMYFUNCTION("""COMPUTED_VALUE"""),45769.6458333333)</f>
        <v>45769.6458333333</v>
      </c>
      <c r="J19" s="17">
        <f>IFERROR(__xludf.DUMMYFUNCTION("""COMPUTED_VALUE"""),1118.2)</f>
        <v>1118.2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IFERROR(__xludf.DUMMYFUNCTION("""COMPUTED_VALUE"""),1150.1)</f>
        <v>1150.1</v>
      </c>
      <c r="C20" s="16">
        <f>IFERROR(__xludf.DUMMYFUNCTION("""COMPUTED_VALUE"""),45770.6458333333)</f>
        <v>45770.6458333333</v>
      </c>
      <c r="D20" s="17">
        <f>IFERROR(__xludf.DUMMYFUNCTION("""COMPUTED_VALUE"""),1143)</f>
        <v>1143</v>
      </c>
      <c r="E20" s="16">
        <f>IFERROR(__xludf.DUMMYFUNCTION("""COMPUTED_VALUE"""),45770.6458333333)</f>
        <v>45770.6458333333</v>
      </c>
      <c r="F20" s="17">
        <f>IFERROR(__xludf.DUMMYFUNCTION("""COMPUTED_VALUE"""),1760325)</f>
        <v>1760325</v>
      </c>
      <c r="G20" s="16">
        <f>IFERROR(__xludf.DUMMYFUNCTION("""COMPUTED_VALUE"""),45770.6458333333)</f>
        <v>45770.6458333333</v>
      </c>
      <c r="H20" s="17">
        <f>IFERROR(__xludf.DUMMYFUNCTION("""COMPUTED_VALUE"""),1156.6)</f>
        <v>1156.6</v>
      </c>
      <c r="I20" s="16">
        <f>IFERROR(__xludf.DUMMYFUNCTION("""COMPUTED_VALUE"""),45770.6458333333)</f>
        <v>45770.6458333333</v>
      </c>
      <c r="J20" s="17">
        <f>IFERROR(__xludf.DUMMYFUNCTION("""COMPUTED_VALUE"""),1132.6)</f>
        <v>1132.6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IFERROR(__xludf.DUMMYFUNCTION("""COMPUTED_VALUE"""),1161.3)</f>
        <v>1161.3</v>
      </c>
      <c r="C21" s="16">
        <f>IFERROR(__xludf.DUMMYFUNCTION("""COMPUTED_VALUE"""),45771.6458333333)</f>
        <v>45771.6458333333</v>
      </c>
      <c r="D21" s="17">
        <f>IFERROR(__xludf.DUMMYFUNCTION("""COMPUTED_VALUE"""),1151)</f>
        <v>1151</v>
      </c>
      <c r="E21" s="16">
        <f>IFERROR(__xludf.DUMMYFUNCTION("""COMPUTED_VALUE"""),45771.6458333333)</f>
        <v>45771.6458333333</v>
      </c>
      <c r="F21" s="17">
        <f>IFERROR(__xludf.DUMMYFUNCTION("""COMPUTED_VALUE"""),5766752)</f>
        <v>5766752</v>
      </c>
      <c r="G21" s="16">
        <f>IFERROR(__xludf.DUMMYFUNCTION("""COMPUTED_VALUE"""),45771.6458333333)</f>
        <v>45771.6458333333</v>
      </c>
      <c r="H21" s="17">
        <f>IFERROR(__xludf.DUMMYFUNCTION("""COMPUTED_VALUE"""),1168.9)</f>
        <v>1168.9</v>
      </c>
      <c r="I21" s="16">
        <f>IFERROR(__xludf.DUMMYFUNCTION("""COMPUTED_VALUE"""),45771.6458333333)</f>
        <v>45771.6458333333</v>
      </c>
      <c r="J21" s="17">
        <f>IFERROR(__xludf.DUMMYFUNCTION("""COMPUTED_VALUE"""),1098.3)</f>
        <v>1098.3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IFERROR(__xludf.DUMMYFUNCTION("""COMPUTED_VALUE"""),1155.7)</f>
        <v>1155.7</v>
      </c>
      <c r="C22" s="16">
        <f>IFERROR(__xludf.DUMMYFUNCTION("""COMPUTED_VALUE"""),45772.6458333333)</f>
        <v>45772.6458333333</v>
      </c>
      <c r="D22" s="17">
        <f>IFERROR(__xludf.DUMMYFUNCTION("""COMPUTED_VALUE"""),1160.2)</f>
        <v>1160.2</v>
      </c>
      <c r="E22" s="16">
        <f>IFERROR(__xludf.DUMMYFUNCTION("""COMPUTED_VALUE"""),45772.6458333333)</f>
        <v>45772.6458333333</v>
      </c>
      <c r="F22" s="17">
        <f>IFERROR(__xludf.DUMMYFUNCTION("""COMPUTED_VALUE"""),1451946)</f>
        <v>1451946</v>
      </c>
      <c r="G22" s="16">
        <f>IFERROR(__xludf.DUMMYFUNCTION("""COMPUTED_VALUE"""),45772.6458333333)</f>
        <v>45772.6458333333</v>
      </c>
      <c r="H22" s="17">
        <f>IFERROR(__xludf.DUMMYFUNCTION("""COMPUTED_VALUE"""),1165)</f>
        <v>1165</v>
      </c>
      <c r="I22" s="16">
        <f>IFERROR(__xludf.DUMMYFUNCTION("""COMPUTED_VALUE"""),45772.6458333333)</f>
        <v>45772.6458333333</v>
      </c>
      <c r="J22" s="17">
        <f>IFERROR(__xludf.DUMMYFUNCTION("""COMPUTED_VALUE"""),1130.7)</f>
        <v>1130.7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IFERROR(__xludf.DUMMYFUNCTION("""COMPUTED_VALUE"""),1155.2)</f>
        <v>1155.2</v>
      </c>
      <c r="C23" s="16">
        <f>IFERROR(__xludf.DUMMYFUNCTION("""COMPUTED_VALUE"""),45775.6458333333)</f>
        <v>45775.6458333333</v>
      </c>
      <c r="D23" s="17">
        <f>IFERROR(__xludf.DUMMYFUNCTION("""COMPUTED_VALUE"""),1146.1)</f>
        <v>1146.1</v>
      </c>
      <c r="E23" s="16">
        <f>IFERROR(__xludf.DUMMYFUNCTION("""COMPUTED_VALUE"""),45775.6458333333)</f>
        <v>45775.6458333333</v>
      </c>
      <c r="F23" s="17">
        <f>IFERROR(__xludf.DUMMYFUNCTION("""COMPUTED_VALUE"""),663435)</f>
        <v>663435</v>
      </c>
      <c r="G23" s="16">
        <f>IFERROR(__xludf.DUMMYFUNCTION("""COMPUTED_VALUE"""),45775.6458333333)</f>
        <v>45775.6458333333</v>
      </c>
      <c r="H23" s="17">
        <f>IFERROR(__xludf.DUMMYFUNCTION("""COMPUTED_VALUE"""),1162.5)</f>
        <v>1162.5</v>
      </c>
      <c r="I23" s="16">
        <f>IFERROR(__xludf.DUMMYFUNCTION("""COMPUTED_VALUE"""),45775.6458333333)</f>
        <v>45775.6458333333</v>
      </c>
      <c r="J23" s="17">
        <f>IFERROR(__xludf.DUMMYFUNCTION("""COMPUTED_VALUE"""),1145)</f>
        <v>1145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IFERROR(__xludf.DUMMYFUNCTION("""COMPUTED_VALUE"""),1168.9)</f>
        <v>1168.9</v>
      </c>
      <c r="C24" s="16">
        <f>IFERROR(__xludf.DUMMYFUNCTION("""COMPUTED_VALUE"""),45776.6458333333)</f>
        <v>45776.6458333333</v>
      </c>
      <c r="D24" s="17">
        <f>IFERROR(__xludf.DUMMYFUNCTION("""COMPUTED_VALUE"""),1155.2)</f>
        <v>1155.2</v>
      </c>
      <c r="E24" s="16">
        <f>IFERROR(__xludf.DUMMYFUNCTION("""COMPUTED_VALUE"""),45776.6458333333)</f>
        <v>45776.6458333333</v>
      </c>
      <c r="F24" s="17">
        <f>IFERROR(__xludf.DUMMYFUNCTION("""COMPUTED_VALUE"""),1439143)</f>
        <v>1439143</v>
      </c>
      <c r="G24" s="16">
        <f>IFERROR(__xludf.DUMMYFUNCTION("""COMPUTED_VALUE"""),45776.6458333333)</f>
        <v>45776.6458333333</v>
      </c>
      <c r="H24" s="17">
        <f>IFERROR(__xludf.DUMMYFUNCTION("""COMPUTED_VALUE"""),1174.1)</f>
        <v>1174.1</v>
      </c>
      <c r="I24" s="16">
        <f>IFERROR(__xludf.DUMMYFUNCTION("""COMPUTED_VALUE"""),45776.6458333333)</f>
        <v>45776.6458333333</v>
      </c>
      <c r="J24" s="17">
        <f>IFERROR(__xludf.DUMMYFUNCTION("""COMPUTED_VALUE"""),1149.9)</f>
        <v>1149.9</v>
      </c>
      <c r="K24" s="3">
        <f t="shared" si="2"/>
        <v>1168.9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IFERROR(__xludf.DUMMYFUNCTION("""COMPUTED_VALUE"""),1165.8)</f>
        <v>1165.8</v>
      </c>
      <c r="C25" s="16">
        <f>IFERROR(__xludf.DUMMYFUNCTION("""COMPUTED_VALUE"""),45777.6458333333)</f>
        <v>45777.6458333333</v>
      </c>
      <c r="D25" s="17">
        <f>IFERROR(__xludf.DUMMYFUNCTION("""COMPUTED_VALUE"""),1174.7)</f>
        <v>1174.7</v>
      </c>
      <c r="E25" s="16">
        <f>IFERROR(__xludf.DUMMYFUNCTION("""COMPUTED_VALUE"""),45777.6458333333)</f>
        <v>45777.6458333333</v>
      </c>
      <c r="F25" s="17">
        <f>IFERROR(__xludf.DUMMYFUNCTION("""COMPUTED_VALUE"""),1477319)</f>
        <v>1477319</v>
      </c>
      <c r="G25" s="16">
        <f>IFERROR(__xludf.DUMMYFUNCTION("""COMPUTED_VALUE"""),45777.6458333333)</f>
        <v>45777.6458333333</v>
      </c>
      <c r="H25" s="17">
        <f>IFERROR(__xludf.DUMMYFUNCTION("""COMPUTED_VALUE"""),1180.5)</f>
        <v>1180.5</v>
      </c>
      <c r="I25" s="16">
        <f>IFERROR(__xludf.DUMMYFUNCTION("""COMPUTED_VALUE"""),45777.6458333333)</f>
        <v>45777.6458333333</v>
      </c>
      <c r="J25" s="17">
        <f>IFERROR(__xludf.DUMMYFUNCTION("""COMPUTED_VALUE"""),1152.4)</f>
        <v>1152.4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IFERROR(__xludf.DUMMYFUNCTION("""COMPUTED_VALUE"""),1156.8)</f>
        <v>1156.8</v>
      </c>
      <c r="C26" s="16">
        <f>IFERROR(__xludf.DUMMYFUNCTION("""COMPUTED_VALUE"""),45779.6458333333)</f>
        <v>45779.6458333333</v>
      </c>
      <c r="D26" s="17">
        <f>IFERROR(__xludf.DUMMYFUNCTION("""COMPUTED_VALUE"""),1157)</f>
        <v>1157</v>
      </c>
      <c r="E26" s="16">
        <f>IFERROR(__xludf.DUMMYFUNCTION("""COMPUTED_VALUE"""),45779.6458333333)</f>
        <v>45779.6458333333</v>
      </c>
      <c r="F26" s="17">
        <f>IFERROR(__xludf.DUMMYFUNCTION("""COMPUTED_VALUE"""),825657)</f>
        <v>825657</v>
      </c>
      <c r="G26" s="16">
        <f>IFERROR(__xludf.DUMMYFUNCTION("""COMPUTED_VALUE"""),45779.6458333333)</f>
        <v>45779.6458333333</v>
      </c>
      <c r="H26" s="17">
        <f>IFERROR(__xludf.DUMMYFUNCTION("""COMPUTED_VALUE"""),1176.2)</f>
        <v>1176.2</v>
      </c>
      <c r="I26" s="16">
        <f>IFERROR(__xludf.DUMMYFUNCTION("""COMPUTED_VALUE"""),45779.6458333333)</f>
        <v>45779.6458333333</v>
      </c>
      <c r="J26" s="17">
        <f>IFERROR(__xludf.DUMMYFUNCTION("""COMPUTED_VALUE"""),1151)</f>
        <v>1151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IFERROR(__xludf.DUMMYFUNCTION("""COMPUTED_VALUE"""),1161.5)</f>
        <v>1161.5</v>
      </c>
      <c r="C27" s="16">
        <f>IFERROR(__xludf.DUMMYFUNCTION("""COMPUTED_VALUE"""),45782.6458333333)</f>
        <v>45782.6458333333</v>
      </c>
      <c r="D27" s="17">
        <f>IFERROR(__xludf.DUMMYFUNCTION("""COMPUTED_VALUE"""),1155.5)</f>
        <v>1155.5</v>
      </c>
      <c r="E27" s="16">
        <f>IFERROR(__xludf.DUMMYFUNCTION("""COMPUTED_VALUE"""),45782.6458333333)</f>
        <v>45782.6458333333</v>
      </c>
      <c r="F27" s="17">
        <f>IFERROR(__xludf.DUMMYFUNCTION("""COMPUTED_VALUE"""),1359727)</f>
        <v>1359727</v>
      </c>
      <c r="G27" s="16">
        <f>IFERROR(__xludf.DUMMYFUNCTION("""COMPUTED_VALUE"""),45782.6458333333)</f>
        <v>45782.6458333333</v>
      </c>
      <c r="H27" s="17">
        <f>IFERROR(__xludf.DUMMYFUNCTION("""COMPUTED_VALUE"""),1173.6)</f>
        <v>1173.6</v>
      </c>
      <c r="I27" s="16">
        <f>IFERROR(__xludf.DUMMYFUNCTION("""COMPUTED_VALUE"""),45782.6458333333)</f>
        <v>45782.6458333333</v>
      </c>
      <c r="J27" s="17">
        <f>IFERROR(__xludf.DUMMYFUNCTION("""COMPUTED_VALUE"""),1153)</f>
        <v>1153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IFERROR(__xludf.DUMMYFUNCTION("""COMPUTED_VALUE"""),1155.3)</f>
        <v>1155.3</v>
      </c>
      <c r="C28" s="16">
        <f>IFERROR(__xludf.DUMMYFUNCTION("""COMPUTED_VALUE"""),45783.6458333333)</f>
        <v>45783.6458333333</v>
      </c>
      <c r="D28" s="17">
        <f>IFERROR(__xludf.DUMMYFUNCTION("""COMPUTED_VALUE"""),1161.5)</f>
        <v>1161.5</v>
      </c>
      <c r="E28" s="16">
        <f>IFERROR(__xludf.DUMMYFUNCTION("""COMPUTED_VALUE"""),45783.6458333333)</f>
        <v>45783.6458333333</v>
      </c>
      <c r="F28" s="17">
        <f>IFERROR(__xludf.DUMMYFUNCTION("""COMPUTED_VALUE"""),1382140)</f>
        <v>1382140</v>
      </c>
      <c r="G28" s="16">
        <f>IFERROR(__xludf.DUMMYFUNCTION("""COMPUTED_VALUE"""),45783.6458333333)</f>
        <v>45783.6458333333</v>
      </c>
      <c r="H28" s="17">
        <f>IFERROR(__xludf.DUMMYFUNCTION("""COMPUTED_VALUE"""),1173.5)</f>
        <v>1173.5</v>
      </c>
      <c r="I28" s="16">
        <f>IFERROR(__xludf.DUMMYFUNCTION("""COMPUTED_VALUE"""),45783.6458333333)</f>
        <v>45783.6458333333</v>
      </c>
      <c r="J28" s="17">
        <f>IFERROR(__xludf.DUMMYFUNCTION("""COMPUTED_VALUE"""),1152.6)</f>
        <v>1152.6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IFERROR(__xludf.DUMMYFUNCTION("""COMPUTED_VALUE"""),1146)</f>
        <v>1146</v>
      </c>
      <c r="C29" s="16">
        <f>IFERROR(__xludf.DUMMYFUNCTION("""COMPUTED_VALUE"""),45784.6458333333)</f>
        <v>45784.6458333333</v>
      </c>
      <c r="D29" s="17">
        <f>IFERROR(__xludf.DUMMYFUNCTION("""COMPUTED_VALUE"""),1140)</f>
        <v>1140</v>
      </c>
      <c r="E29" s="16">
        <f>IFERROR(__xludf.DUMMYFUNCTION("""COMPUTED_VALUE"""),45784.6458333333)</f>
        <v>45784.6458333333</v>
      </c>
      <c r="F29" s="17">
        <f>IFERROR(__xludf.DUMMYFUNCTION("""COMPUTED_VALUE"""),1792683)</f>
        <v>1792683</v>
      </c>
      <c r="G29" s="16">
        <f>IFERROR(__xludf.DUMMYFUNCTION("""COMPUTED_VALUE"""),45784.6458333333)</f>
        <v>45784.6458333333</v>
      </c>
      <c r="H29" s="17">
        <f>IFERROR(__xludf.DUMMYFUNCTION("""COMPUTED_VALUE"""),1162.3)</f>
        <v>1162.3</v>
      </c>
      <c r="I29" s="16">
        <f>IFERROR(__xludf.DUMMYFUNCTION("""COMPUTED_VALUE"""),45784.6458333333)</f>
        <v>45784.6458333333</v>
      </c>
      <c r="J29" s="17">
        <f>IFERROR(__xludf.DUMMYFUNCTION("""COMPUTED_VALUE"""),1136.4)</f>
        <v>1136.4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IFERROR(__xludf.DUMMYFUNCTION("""COMPUTED_VALUE"""),1116)</f>
        <v>1116</v>
      </c>
      <c r="C30" s="16">
        <f>IFERROR(__xludf.DUMMYFUNCTION("""COMPUTED_VALUE"""),45785.6458333333)</f>
        <v>45785.6458333333</v>
      </c>
      <c r="D30" s="17">
        <f>IFERROR(__xludf.DUMMYFUNCTION("""COMPUTED_VALUE"""),1136)</f>
        <v>1136</v>
      </c>
      <c r="E30" s="16">
        <f>IFERROR(__xludf.DUMMYFUNCTION("""COMPUTED_VALUE"""),45785.6458333333)</f>
        <v>45785.6458333333</v>
      </c>
      <c r="F30" s="17">
        <f>IFERROR(__xludf.DUMMYFUNCTION("""COMPUTED_VALUE"""),2692162)</f>
        <v>2692162</v>
      </c>
      <c r="G30" s="16">
        <f>IFERROR(__xludf.DUMMYFUNCTION("""COMPUTED_VALUE"""),45785.6458333333)</f>
        <v>45785.6458333333</v>
      </c>
      <c r="H30" s="17">
        <f>IFERROR(__xludf.DUMMYFUNCTION("""COMPUTED_VALUE"""),1140)</f>
        <v>1140</v>
      </c>
      <c r="I30" s="16">
        <f>IFERROR(__xludf.DUMMYFUNCTION("""COMPUTED_VALUE"""),45785.6458333333)</f>
        <v>45785.6458333333</v>
      </c>
      <c r="J30" s="17">
        <f>IFERROR(__xludf.DUMMYFUNCTION("""COMPUTED_VALUE"""),1107.5)</f>
        <v>1107.5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IFERROR(__xludf.DUMMYFUNCTION("""COMPUTED_VALUE"""),1113.7)</f>
        <v>1113.7</v>
      </c>
      <c r="C31" s="16">
        <f>IFERROR(__xludf.DUMMYFUNCTION("""COMPUTED_VALUE"""),45786.6458333333)</f>
        <v>45786.6458333333</v>
      </c>
      <c r="D31" s="17">
        <f>IFERROR(__xludf.DUMMYFUNCTION("""COMPUTED_VALUE"""),1098)</f>
        <v>1098</v>
      </c>
      <c r="E31" s="16">
        <f>IFERROR(__xludf.DUMMYFUNCTION("""COMPUTED_VALUE"""),45786.6458333333)</f>
        <v>45786.6458333333</v>
      </c>
      <c r="F31" s="17">
        <f>IFERROR(__xludf.DUMMYFUNCTION("""COMPUTED_VALUE"""),815694)</f>
        <v>815694</v>
      </c>
      <c r="G31" s="16">
        <f>IFERROR(__xludf.DUMMYFUNCTION("""COMPUTED_VALUE"""),45786.6458333333)</f>
        <v>45786.6458333333</v>
      </c>
      <c r="H31" s="17">
        <f>IFERROR(__xludf.DUMMYFUNCTION("""COMPUTED_VALUE"""),1118.6)</f>
        <v>1118.6</v>
      </c>
      <c r="I31" s="16">
        <f>IFERROR(__xludf.DUMMYFUNCTION("""COMPUTED_VALUE"""),45786.6458333333)</f>
        <v>45786.6458333333</v>
      </c>
      <c r="J31" s="17">
        <f>IFERROR(__xludf.DUMMYFUNCTION("""COMPUTED_VALUE"""),1086.4)</f>
        <v>1086.4</v>
      </c>
      <c r="K31" s="3">
        <f t="shared" si="2"/>
        <v>0</v>
      </c>
      <c r="L31" s="3">
        <f t="shared" si="3"/>
        <v>1113.7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IFERROR(__xludf.DUMMYFUNCTION("""COMPUTED_VALUE"""),1145.6)</f>
        <v>1145.6</v>
      </c>
      <c r="C32" s="16">
        <f>IFERROR(__xludf.DUMMYFUNCTION("""COMPUTED_VALUE"""),45789.6458333333)</f>
        <v>45789.6458333333</v>
      </c>
      <c r="D32" s="17">
        <f>IFERROR(__xludf.DUMMYFUNCTION("""COMPUTED_VALUE"""),1123)</f>
        <v>1123</v>
      </c>
      <c r="E32" s="16">
        <f>IFERROR(__xludf.DUMMYFUNCTION("""COMPUTED_VALUE"""),45789.6458333333)</f>
        <v>45789.6458333333</v>
      </c>
      <c r="F32" s="17">
        <f>IFERROR(__xludf.DUMMYFUNCTION("""COMPUTED_VALUE"""),748637)</f>
        <v>748637</v>
      </c>
      <c r="G32" s="16">
        <f>IFERROR(__xludf.DUMMYFUNCTION("""COMPUTED_VALUE"""),45789.6458333333)</f>
        <v>45789.6458333333</v>
      </c>
      <c r="H32" s="17">
        <f>IFERROR(__xludf.DUMMYFUNCTION("""COMPUTED_VALUE"""),1155)</f>
        <v>1155</v>
      </c>
      <c r="I32" s="16">
        <f>IFERROR(__xludf.DUMMYFUNCTION("""COMPUTED_VALUE"""),45789.6458333333)</f>
        <v>45789.6458333333</v>
      </c>
      <c r="J32" s="17">
        <f>IFERROR(__xludf.DUMMYFUNCTION("""COMPUTED_VALUE"""),1123)</f>
        <v>1123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IFERROR(__xludf.DUMMYFUNCTION("""COMPUTED_VALUE"""),1118.6)</f>
        <v>1118.6</v>
      </c>
      <c r="C33" s="16">
        <f>IFERROR(__xludf.DUMMYFUNCTION("""COMPUTED_VALUE"""),45790.6458333333)</f>
        <v>45790.6458333333</v>
      </c>
      <c r="D33" s="17">
        <f>IFERROR(__xludf.DUMMYFUNCTION("""COMPUTED_VALUE"""),1145.3)</f>
        <v>1145.3</v>
      </c>
      <c r="E33" s="16">
        <f>IFERROR(__xludf.DUMMYFUNCTION("""COMPUTED_VALUE"""),45790.6458333333)</f>
        <v>45790.6458333333</v>
      </c>
      <c r="F33" s="17">
        <f>IFERROR(__xludf.DUMMYFUNCTION("""COMPUTED_VALUE"""),1096797)</f>
        <v>1096797</v>
      </c>
      <c r="G33" s="16">
        <f>IFERROR(__xludf.DUMMYFUNCTION("""COMPUTED_VALUE"""),45790.6458333333)</f>
        <v>45790.6458333333</v>
      </c>
      <c r="H33" s="17">
        <f>IFERROR(__xludf.DUMMYFUNCTION("""COMPUTED_VALUE"""),1150.3)</f>
        <v>1150.3</v>
      </c>
      <c r="I33" s="16">
        <f>IFERROR(__xludf.DUMMYFUNCTION("""COMPUTED_VALUE"""),45790.6458333333)</f>
        <v>45790.6458333333</v>
      </c>
      <c r="J33" s="17">
        <f>IFERROR(__xludf.DUMMYFUNCTION("""COMPUTED_VALUE"""),1116.2)</f>
        <v>1116.2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IFERROR(__xludf.DUMMYFUNCTION("""COMPUTED_VALUE"""),1120.4)</f>
        <v>1120.4</v>
      </c>
      <c r="C34" s="16">
        <f>IFERROR(__xludf.DUMMYFUNCTION("""COMPUTED_VALUE"""),45791.6458333333)</f>
        <v>45791.6458333333</v>
      </c>
      <c r="D34" s="17">
        <f>IFERROR(__xludf.DUMMYFUNCTION("""COMPUTED_VALUE"""),1118.6)</f>
        <v>1118.6</v>
      </c>
      <c r="E34" s="16">
        <f>IFERROR(__xludf.DUMMYFUNCTION("""COMPUTED_VALUE"""),45791.6458333333)</f>
        <v>45791.6458333333</v>
      </c>
      <c r="F34" s="17">
        <f>IFERROR(__xludf.DUMMYFUNCTION("""COMPUTED_VALUE"""),1386813)</f>
        <v>1386813</v>
      </c>
      <c r="G34" s="16">
        <f>IFERROR(__xludf.DUMMYFUNCTION("""COMPUTED_VALUE"""),45791.6458333333)</f>
        <v>45791.6458333333</v>
      </c>
      <c r="H34" s="17">
        <f>IFERROR(__xludf.DUMMYFUNCTION("""COMPUTED_VALUE"""),1128.9)</f>
        <v>1128.9</v>
      </c>
      <c r="I34" s="16">
        <f>IFERROR(__xludf.DUMMYFUNCTION("""COMPUTED_VALUE"""),45791.6458333333)</f>
        <v>45791.6458333333</v>
      </c>
      <c r="J34" s="17">
        <f>IFERROR(__xludf.DUMMYFUNCTION("""COMPUTED_VALUE"""),1115.8)</f>
        <v>1115.8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IFERROR(__xludf.DUMMYFUNCTION("""COMPUTED_VALUE"""),1147.2)</f>
        <v>1147.2</v>
      </c>
      <c r="C35" s="16">
        <f>IFERROR(__xludf.DUMMYFUNCTION("""COMPUTED_VALUE"""),45792.6458333333)</f>
        <v>45792.6458333333</v>
      </c>
      <c r="D35" s="17">
        <f>IFERROR(__xludf.DUMMYFUNCTION("""COMPUTED_VALUE"""),1120.4)</f>
        <v>1120.4</v>
      </c>
      <c r="E35" s="16">
        <f>IFERROR(__xludf.DUMMYFUNCTION("""COMPUTED_VALUE"""),45792.6458333333)</f>
        <v>45792.6458333333</v>
      </c>
      <c r="F35" s="17">
        <f>IFERROR(__xludf.DUMMYFUNCTION("""COMPUTED_VALUE"""),2064096)</f>
        <v>2064096</v>
      </c>
      <c r="G35" s="16">
        <f>IFERROR(__xludf.DUMMYFUNCTION("""COMPUTED_VALUE"""),45792.6458333333)</f>
        <v>45792.6458333333</v>
      </c>
      <c r="H35" s="17">
        <f>IFERROR(__xludf.DUMMYFUNCTION("""COMPUTED_VALUE"""),1159.2)</f>
        <v>1159.2</v>
      </c>
      <c r="I35" s="16">
        <f>IFERROR(__xludf.DUMMYFUNCTION("""COMPUTED_VALUE"""),45792.6458333333)</f>
        <v>45792.6458333333</v>
      </c>
      <c r="J35" s="17">
        <f>IFERROR(__xludf.DUMMYFUNCTION("""COMPUTED_VALUE"""),1105.5)</f>
        <v>1105.5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IFERROR(__xludf.DUMMYFUNCTION("""COMPUTED_VALUE"""),1168)</f>
        <v>1168</v>
      </c>
      <c r="C36" s="16">
        <f>IFERROR(__xludf.DUMMYFUNCTION("""COMPUTED_VALUE"""),45793.6458333333)</f>
        <v>45793.6458333333</v>
      </c>
      <c r="D36" s="17">
        <f>IFERROR(__xludf.DUMMYFUNCTION("""COMPUTED_VALUE"""),1154.9)</f>
        <v>1154.9</v>
      </c>
      <c r="E36" s="16">
        <f>IFERROR(__xludf.DUMMYFUNCTION("""COMPUTED_VALUE"""),45793.6458333333)</f>
        <v>45793.6458333333</v>
      </c>
      <c r="F36" s="17">
        <f>IFERROR(__xludf.DUMMYFUNCTION("""COMPUTED_VALUE"""),1336653)</f>
        <v>1336653</v>
      </c>
      <c r="G36" s="16">
        <f>IFERROR(__xludf.DUMMYFUNCTION("""COMPUTED_VALUE"""),45793.6458333333)</f>
        <v>45793.6458333333</v>
      </c>
      <c r="H36" s="17">
        <f>IFERROR(__xludf.DUMMYFUNCTION("""COMPUTED_VALUE"""),1173.5)</f>
        <v>1173.5</v>
      </c>
      <c r="I36" s="16">
        <f>IFERROR(__xludf.DUMMYFUNCTION("""COMPUTED_VALUE"""),45793.6458333333)</f>
        <v>45793.6458333333</v>
      </c>
      <c r="J36" s="17">
        <f>IFERROR(__xludf.DUMMYFUNCTION("""COMPUTED_VALUE"""),1144)</f>
        <v>1144</v>
      </c>
      <c r="K36" s="3">
        <f t="shared" si="2"/>
        <v>1168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IFERROR(__xludf.DUMMYFUNCTION("""COMPUTED_VALUE"""),1149.3)</f>
        <v>1149.3</v>
      </c>
      <c r="C37" s="16">
        <f>IFERROR(__xludf.DUMMYFUNCTION("""COMPUTED_VALUE"""),45796.6458333333)</f>
        <v>45796.6458333333</v>
      </c>
      <c r="D37" s="17">
        <f>IFERROR(__xludf.DUMMYFUNCTION("""COMPUTED_VALUE"""),1168)</f>
        <v>1168</v>
      </c>
      <c r="E37" s="16">
        <f>IFERROR(__xludf.DUMMYFUNCTION("""COMPUTED_VALUE"""),45796.6458333333)</f>
        <v>45796.6458333333</v>
      </c>
      <c r="F37" s="17">
        <f>IFERROR(__xludf.DUMMYFUNCTION("""COMPUTED_VALUE"""),786128)</f>
        <v>786128</v>
      </c>
      <c r="G37" s="16">
        <f>IFERROR(__xludf.DUMMYFUNCTION("""COMPUTED_VALUE"""),45796.6458333333)</f>
        <v>45796.6458333333</v>
      </c>
      <c r="H37" s="17">
        <f>IFERROR(__xludf.DUMMYFUNCTION("""COMPUTED_VALUE"""),1169.7)</f>
        <v>1169.7</v>
      </c>
      <c r="I37" s="16">
        <f>IFERROR(__xludf.DUMMYFUNCTION("""COMPUTED_VALUE"""),45796.6458333333)</f>
        <v>45796.6458333333</v>
      </c>
      <c r="J37" s="17">
        <f>IFERROR(__xludf.DUMMYFUNCTION("""COMPUTED_VALUE"""),1143)</f>
        <v>1143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IFERROR(__xludf.DUMMYFUNCTION("""COMPUTED_VALUE"""),1128.5)</f>
        <v>1128.5</v>
      </c>
      <c r="C38" s="16">
        <f>IFERROR(__xludf.DUMMYFUNCTION("""COMPUTED_VALUE"""),45797.6458333333)</f>
        <v>45797.6458333333</v>
      </c>
      <c r="D38" s="17">
        <f>IFERROR(__xludf.DUMMYFUNCTION("""COMPUTED_VALUE"""),1149)</f>
        <v>1149</v>
      </c>
      <c r="E38" s="16">
        <f>IFERROR(__xludf.DUMMYFUNCTION("""COMPUTED_VALUE"""),45797.6458333333)</f>
        <v>45797.6458333333</v>
      </c>
      <c r="F38" s="17">
        <f>IFERROR(__xludf.DUMMYFUNCTION("""COMPUTED_VALUE"""),825451)</f>
        <v>825451</v>
      </c>
      <c r="G38" s="16">
        <f>IFERROR(__xludf.DUMMYFUNCTION("""COMPUTED_VALUE"""),45797.6458333333)</f>
        <v>45797.6458333333</v>
      </c>
      <c r="H38" s="17">
        <f>IFERROR(__xludf.DUMMYFUNCTION("""COMPUTED_VALUE"""),1155.2)</f>
        <v>1155.2</v>
      </c>
      <c r="I38" s="16">
        <f>IFERROR(__xludf.DUMMYFUNCTION("""COMPUTED_VALUE"""),45797.6458333333)</f>
        <v>45797.6458333333</v>
      </c>
      <c r="J38" s="17">
        <f>IFERROR(__xludf.DUMMYFUNCTION("""COMPUTED_VALUE"""),1126.8)</f>
        <v>1126.8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IFERROR(__xludf.DUMMYFUNCTION("""COMPUTED_VALUE"""),1138.8)</f>
        <v>1138.8</v>
      </c>
      <c r="C39" s="16">
        <f>IFERROR(__xludf.DUMMYFUNCTION("""COMPUTED_VALUE"""),45798.6458333333)</f>
        <v>45798.6458333333</v>
      </c>
      <c r="D39" s="17">
        <f>IFERROR(__xludf.DUMMYFUNCTION("""COMPUTED_VALUE"""),1128.5)</f>
        <v>1128.5</v>
      </c>
      <c r="E39" s="16">
        <f>IFERROR(__xludf.DUMMYFUNCTION("""COMPUTED_VALUE"""),45798.6458333333)</f>
        <v>45798.6458333333</v>
      </c>
      <c r="F39" s="17">
        <f>IFERROR(__xludf.DUMMYFUNCTION("""COMPUTED_VALUE"""),619421)</f>
        <v>619421</v>
      </c>
      <c r="G39" s="16">
        <f>IFERROR(__xludf.DUMMYFUNCTION("""COMPUTED_VALUE"""),45798.6458333333)</f>
        <v>45798.6458333333</v>
      </c>
      <c r="H39" s="17">
        <f>IFERROR(__xludf.DUMMYFUNCTION("""COMPUTED_VALUE"""),1153.5)</f>
        <v>1153.5</v>
      </c>
      <c r="I39" s="16">
        <f>IFERROR(__xludf.DUMMYFUNCTION("""COMPUTED_VALUE"""),45798.6458333333)</f>
        <v>45798.6458333333</v>
      </c>
      <c r="J39" s="17">
        <f>IFERROR(__xludf.DUMMYFUNCTION("""COMPUTED_VALUE"""),1123.8)</f>
        <v>1123.8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IFERROR(__xludf.DUMMYFUNCTION("""COMPUTED_VALUE"""),1126.7)</f>
        <v>1126.7</v>
      </c>
      <c r="C40" s="16">
        <f>IFERROR(__xludf.DUMMYFUNCTION("""COMPUTED_VALUE"""),45799.6458333333)</f>
        <v>45799.6458333333</v>
      </c>
      <c r="D40" s="17">
        <f>IFERROR(__xludf.DUMMYFUNCTION("""COMPUTED_VALUE"""),1138.8)</f>
        <v>1138.8</v>
      </c>
      <c r="E40" s="16">
        <f>IFERROR(__xludf.DUMMYFUNCTION("""COMPUTED_VALUE"""),45799.6458333333)</f>
        <v>45799.6458333333</v>
      </c>
      <c r="F40" s="17">
        <f>IFERROR(__xludf.DUMMYFUNCTION("""COMPUTED_VALUE"""),1414277)</f>
        <v>1414277</v>
      </c>
      <c r="G40" s="16">
        <f>IFERROR(__xludf.DUMMYFUNCTION("""COMPUTED_VALUE"""),45799.6458333333)</f>
        <v>45799.6458333333</v>
      </c>
      <c r="H40" s="17">
        <f>IFERROR(__xludf.DUMMYFUNCTION("""COMPUTED_VALUE"""),1138.8)</f>
        <v>1138.8</v>
      </c>
      <c r="I40" s="16">
        <f>IFERROR(__xludf.DUMMYFUNCTION("""COMPUTED_VALUE"""),45799.6458333333)</f>
        <v>45799.6458333333</v>
      </c>
      <c r="J40" s="17">
        <f>IFERROR(__xludf.DUMMYFUNCTION("""COMPUTED_VALUE"""),1115.5)</f>
        <v>1115.5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IFERROR(__xludf.DUMMYFUNCTION("""COMPUTED_VALUE"""),1140.8)</f>
        <v>1140.8</v>
      </c>
      <c r="C41" s="16">
        <f>IFERROR(__xludf.DUMMYFUNCTION("""COMPUTED_VALUE"""),45800.6458333333)</f>
        <v>45800.6458333333</v>
      </c>
      <c r="D41" s="17">
        <f>IFERROR(__xludf.DUMMYFUNCTION("""COMPUTED_VALUE"""),1126.5)</f>
        <v>1126.5</v>
      </c>
      <c r="E41" s="16">
        <f>IFERROR(__xludf.DUMMYFUNCTION("""COMPUTED_VALUE"""),45800.6458333333)</f>
        <v>45800.6458333333</v>
      </c>
      <c r="F41" s="17">
        <f>IFERROR(__xludf.DUMMYFUNCTION("""COMPUTED_VALUE"""),897235)</f>
        <v>897235</v>
      </c>
      <c r="G41" s="16">
        <f>IFERROR(__xludf.DUMMYFUNCTION("""COMPUTED_VALUE"""),45800.6458333333)</f>
        <v>45800.6458333333</v>
      </c>
      <c r="H41" s="17">
        <f>IFERROR(__xludf.DUMMYFUNCTION("""COMPUTED_VALUE"""),1152)</f>
        <v>1152</v>
      </c>
      <c r="I41" s="16">
        <f>IFERROR(__xludf.DUMMYFUNCTION("""COMPUTED_VALUE"""),45800.6458333333)</f>
        <v>45800.6458333333</v>
      </c>
      <c r="J41" s="17">
        <f>IFERROR(__xludf.DUMMYFUNCTION("""COMPUTED_VALUE"""),1124)</f>
        <v>1124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IFERROR(__xludf.DUMMYFUNCTION("""COMPUTED_VALUE"""),1146.3)</f>
        <v>1146.3</v>
      </c>
      <c r="C42" s="16">
        <f>IFERROR(__xludf.DUMMYFUNCTION("""COMPUTED_VALUE"""),45803.6458333333)</f>
        <v>45803.6458333333</v>
      </c>
      <c r="D42" s="17">
        <f>IFERROR(__xludf.DUMMYFUNCTION("""COMPUTED_VALUE"""),1137)</f>
        <v>1137</v>
      </c>
      <c r="E42" s="16">
        <f>IFERROR(__xludf.DUMMYFUNCTION("""COMPUTED_VALUE"""),45803.6458333333)</f>
        <v>45803.6458333333</v>
      </c>
      <c r="F42" s="17">
        <f>IFERROR(__xludf.DUMMYFUNCTION("""COMPUTED_VALUE"""),616370)</f>
        <v>616370</v>
      </c>
      <c r="G42" s="16">
        <f>IFERROR(__xludf.DUMMYFUNCTION("""COMPUTED_VALUE"""),45803.6458333333)</f>
        <v>45803.6458333333</v>
      </c>
      <c r="H42" s="17">
        <f>IFERROR(__xludf.DUMMYFUNCTION("""COMPUTED_VALUE"""),1153.4)</f>
        <v>1153.4</v>
      </c>
      <c r="I42" s="16">
        <f>IFERROR(__xludf.DUMMYFUNCTION("""COMPUTED_VALUE"""),45803.6458333333)</f>
        <v>45803.6458333333</v>
      </c>
      <c r="J42" s="17">
        <f>IFERROR(__xludf.DUMMYFUNCTION("""COMPUTED_VALUE"""),1137)</f>
        <v>1137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IFERROR(__xludf.DUMMYFUNCTION("""COMPUTED_VALUE"""),1138.4)</f>
        <v>1138.4</v>
      </c>
      <c r="C43" s="16">
        <f>IFERROR(__xludf.DUMMYFUNCTION("""COMPUTED_VALUE"""),45804.6458333333)</f>
        <v>45804.6458333333</v>
      </c>
      <c r="D43" s="17">
        <f>IFERROR(__xludf.DUMMYFUNCTION("""COMPUTED_VALUE"""),1146.6)</f>
        <v>1146.6</v>
      </c>
      <c r="E43" s="16">
        <f>IFERROR(__xludf.DUMMYFUNCTION("""COMPUTED_VALUE"""),45804.6458333333)</f>
        <v>45804.6458333333</v>
      </c>
      <c r="F43" s="17">
        <f>IFERROR(__xludf.DUMMYFUNCTION("""COMPUTED_VALUE"""),901912)</f>
        <v>901912</v>
      </c>
      <c r="G43" s="16">
        <f>IFERROR(__xludf.DUMMYFUNCTION("""COMPUTED_VALUE"""),45804.6458333333)</f>
        <v>45804.6458333333</v>
      </c>
      <c r="H43" s="17">
        <f>IFERROR(__xludf.DUMMYFUNCTION("""COMPUTED_VALUE"""),1149.8)</f>
        <v>1149.8</v>
      </c>
      <c r="I43" s="16">
        <f>IFERROR(__xludf.DUMMYFUNCTION("""COMPUTED_VALUE"""),45804.6458333333)</f>
        <v>45804.6458333333</v>
      </c>
      <c r="J43" s="17">
        <f>IFERROR(__xludf.DUMMYFUNCTION("""COMPUTED_VALUE"""),1127.2)</f>
        <v>1127.2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IFERROR(__xludf.DUMMYFUNCTION("""COMPUTED_VALUE"""),1121.4)</f>
        <v>1121.4</v>
      </c>
      <c r="C44" s="16">
        <f>IFERROR(__xludf.DUMMYFUNCTION("""COMPUTED_VALUE"""),45805.6458333333)</f>
        <v>45805.6458333333</v>
      </c>
      <c r="D44" s="17">
        <f>IFERROR(__xludf.DUMMYFUNCTION("""COMPUTED_VALUE"""),1138.4)</f>
        <v>1138.4</v>
      </c>
      <c r="E44" s="16">
        <f>IFERROR(__xludf.DUMMYFUNCTION("""COMPUTED_VALUE"""),45805.6458333333)</f>
        <v>45805.6458333333</v>
      </c>
      <c r="F44" s="17">
        <f>IFERROR(__xludf.DUMMYFUNCTION("""COMPUTED_VALUE"""),492483)</f>
        <v>492483</v>
      </c>
      <c r="G44" s="16">
        <f>IFERROR(__xludf.DUMMYFUNCTION("""COMPUTED_VALUE"""),45805.6458333333)</f>
        <v>45805.6458333333</v>
      </c>
      <c r="H44" s="17">
        <f>IFERROR(__xludf.DUMMYFUNCTION("""COMPUTED_VALUE"""),1138.8)</f>
        <v>1138.8</v>
      </c>
      <c r="I44" s="16">
        <f>IFERROR(__xludf.DUMMYFUNCTION("""COMPUTED_VALUE"""),45805.6458333333)</f>
        <v>45805.6458333333</v>
      </c>
      <c r="J44" s="17">
        <f>IFERROR(__xludf.DUMMYFUNCTION("""COMPUTED_VALUE"""),1119)</f>
        <v>1119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IFERROR(__xludf.DUMMYFUNCTION("""COMPUTED_VALUE"""),1109.8)</f>
        <v>1109.8</v>
      </c>
      <c r="C45" s="16">
        <f>IFERROR(__xludf.DUMMYFUNCTION("""COMPUTED_VALUE"""),45806.6458333333)</f>
        <v>45806.6458333333</v>
      </c>
      <c r="D45" s="17">
        <f>IFERROR(__xludf.DUMMYFUNCTION("""COMPUTED_VALUE"""),1115.7)</f>
        <v>1115.7</v>
      </c>
      <c r="E45" s="16">
        <f>IFERROR(__xludf.DUMMYFUNCTION("""COMPUTED_VALUE"""),45806.6458333333)</f>
        <v>45806.6458333333</v>
      </c>
      <c r="F45" s="17">
        <f>IFERROR(__xludf.DUMMYFUNCTION("""COMPUTED_VALUE"""),2556089)</f>
        <v>2556089</v>
      </c>
      <c r="G45" s="16">
        <f>IFERROR(__xludf.DUMMYFUNCTION("""COMPUTED_VALUE"""),45806.6458333333)</f>
        <v>45806.6458333333</v>
      </c>
      <c r="H45" s="17">
        <f>IFERROR(__xludf.DUMMYFUNCTION("""COMPUTED_VALUE"""),1118.1)</f>
        <v>1118.1</v>
      </c>
      <c r="I45" s="16">
        <f>IFERROR(__xludf.DUMMYFUNCTION("""COMPUTED_VALUE"""),45806.6458333333)</f>
        <v>45806.6458333333</v>
      </c>
      <c r="J45" s="17">
        <f>IFERROR(__xludf.DUMMYFUNCTION("""COMPUTED_VALUE"""),1098.2)</f>
        <v>1098.2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IFERROR(__xludf.DUMMYFUNCTION("""COMPUTED_VALUE"""),1106.3)</f>
        <v>1106.3</v>
      </c>
      <c r="C46" s="16">
        <f>IFERROR(__xludf.DUMMYFUNCTION("""COMPUTED_VALUE"""),45807.6458333333)</f>
        <v>45807.6458333333</v>
      </c>
      <c r="D46" s="17">
        <f>IFERROR(__xludf.DUMMYFUNCTION("""COMPUTED_VALUE"""),1109.8)</f>
        <v>1109.8</v>
      </c>
      <c r="E46" s="16">
        <f>IFERROR(__xludf.DUMMYFUNCTION("""COMPUTED_VALUE"""),45807.6458333333)</f>
        <v>45807.6458333333</v>
      </c>
      <c r="F46" s="17">
        <f>IFERROR(__xludf.DUMMYFUNCTION("""COMPUTED_VALUE"""),2475644)</f>
        <v>2475644</v>
      </c>
      <c r="G46" s="16">
        <f>IFERROR(__xludf.DUMMYFUNCTION("""COMPUTED_VALUE"""),45807.6458333333)</f>
        <v>45807.6458333333</v>
      </c>
      <c r="H46" s="17">
        <f>IFERROR(__xludf.DUMMYFUNCTION("""COMPUTED_VALUE"""),1119.8)</f>
        <v>1119.8</v>
      </c>
      <c r="I46" s="16">
        <f>IFERROR(__xludf.DUMMYFUNCTION("""COMPUTED_VALUE"""),45807.6458333333)</f>
        <v>45807.6458333333</v>
      </c>
      <c r="J46" s="17">
        <f>IFERROR(__xludf.DUMMYFUNCTION("""COMPUTED_VALUE"""),1101.6)</f>
        <v>1101.6</v>
      </c>
      <c r="K46" s="3">
        <f t="shared" si="2"/>
        <v>0</v>
      </c>
      <c r="L46" s="3">
        <f t="shared" si="3"/>
        <v>1106.3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IFERROR(__xludf.DUMMYFUNCTION("""COMPUTED_VALUE"""),1120.4)</f>
        <v>1120.4</v>
      </c>
      <c r="C47" s="16">
        <f>IFERROR(__xludf.DUMMYFUNCTION("""COMPUTED_VALUE"""),45810.6458333333)</f>
        <v>45810.6458333333</v>
      </c>
      <c r="D47" s="17">
        <f>IFERROR(__xludf.DUMMYFUNCTION("""COMPUTED_VALUE"""),1100)</f>
        <v>1100</v>
      </c>
      <c r="E47" s="16">
        <f>IFERROR(__xludf.DUMMYFUNCTION("""COMPUTED_VALUE"""),45810.6458333333)</f>
        <v>45810.6458333333</v>
      </c>
      <c r="F47" s="17">
        <f>IFERROR(__xludf.DUMMYFUNCTION("""COMPUTED_VALUE"""),907133)</f>
        <v>907133</v>
      </c>
      <c r="G47" s="16">
        <f>IFERROR(__xludf.DUMMYFUNCTION("""COMPUTED_VALUE"""),45810.6458333333)</f>
        <v>45810.6458333333</v>
      </c>
      <c r="H47" s="17">
        <f>IFERROR(__xludf.DUMMYFUNCTION("""COMPUTED_VALUE"""),1125)</f>
        <v>1125</v>
      </c>
      <c r="I47" s="16">
        <f>IFERROR(__xludf.DUMMYFUNCTION("""COMPUTED_VALUE"""),45810.6458333333)</f>
        <v>45810.6458333333</v>
      </c>
      <c r="J47" s="17">
        <f>IFERROR(__xludf.DUMMYFUNCTION("""COMPUTED_VALUE"""),1099.2)</f>
        <v>1099.2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IFERROR(__xludf.DUMMYFUNCTION("""COMPUTED_VALUE"""),1114.6)</f>
        <v>1114.6</v>
      </c>
      <c r="C48" s="16">
        <f>IFERROR(__xludf.DUMMYFUNCTION("""COMPUTED_VALUE"""),45811.6458333333)</f>
        <v>45811.6458333333</v>
      </c>
      <c r="D48" s="17">
        <f>IFERROR(__xludf.DUMMYFUNCTION("""COMPUTED_VALUE"""),1116.1)</f>
        <v>1116.1</v>
      </c>
      <c r="E48" s="16">
        <f>IFERROR(__xludf.DUMMYFUNCTION("""COMPUTED_VALUE"""),45811.6458333333)</f>
        <v>45811.6458333333</v>
      </c>
      <c r="F48" s="17">
        <f>IFERROR(__xludf.DUMMYFUNCTION("""COMPUTED_VALUE"""),795876)</f>
        <v>795876</v>
      </c>
      <c r="G48" s="16">
        <f>IFERROR(__xludf.DUMMYFUNCTION("""COMPUTED_VALUE"""),45811.6458333333)</f>
        <v>45811.6458333333</v>
      </c>
      <c r="H48" s="17">
        <f>IFERROR(__xludf.DUMMYFUNCTION("""COMPUTED_VALUE"""),1123.2)</f>
        <v>1123.2</v>
      </c>
      <c r="I48" s="16">
        <f>IFERROR(__xludf.DUMMYFUNCTION("""COMPUTED_VALUE"""),45811.6458333333)</f>
        <v>45811.6458333333</v>
      </c>
      <c r="J48" s="17">
        <f>IFERROR(__xludf.DUMMYFUNCTION("""COMPUTED_VALUE"""),1110.1)</f>
        <v>1110.1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IFERROR(__xludf.DUMMYFUNCTION("""COMPUTED_VALUE"""),1124.4)</f>
        <v>1124.4</v>
      </c>
      <c r="C49" s="16">
        <f>IFERROR(__xludf.DUMMYFUNCTION("""COMPUTED_VALUE"""),45812.6458333333)</f>
        <v>45812.6458333333</v>
      </c>
      <c r="D49" s="17">
        <f>IFERROR(__xludf.DUMMYFUNCTION("""COMPUTED_VALUE"""),1110)</f>
        <v>1110</v>
      </c>
      <c r="E49" s="16">
        <f>IFERROR(__xludf.DUMMYFUNCTION("""COMPUTED_VALUE"""),45812.6458333333)</f>
        <v>45812.6458333333</v>
      </c>
      <c r="F49" s="17">
        <f>IFERROR(__xludf.DUMMYFUNCTION("""COMPUTED_VALUE"""),635699)</f>
        <v>635699</v>
      </c>
      <c r="G49" s="16">
        <f>IFERROR(__xludf.DUMMYFUNCTION("""COMPUTED_VALUE"""),45812.6458333333)</f>
        <v>45812.6458333333</v>
      </c>
      <c r="H49" s="17">
        <f>IFERROR(__xludf.DUMMYFUNCTION("""COMPUTED_VALUE"""),1125.9)</f>
        <v>1125.9</v>
      </c>
      <c r="I49" s="16">
        <f>IFERROR(__xludf.DUMMYFUNCTION("""COMPUTED_VALUE"""),45812.6458333333)</f>
        <v>45812.6458333333</v>
      </c>
      <c r="J49" s="17">
        <f>IFERROR(__xludf.DUMMYFUNCTION("""COMPUTED_VALUE"""),1110)</f>
        <v>1110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IFERROR(__xludf.DUMMYFUNCTION("""COMPUTED_VALUE"""),1111.9)</f>
        <v>1111.9</v>
      </c>
      <c r="C50" s="16">
        <f>IFERROR(__xludf.DUMMYFUNCTION("""COMPUTED_VALUE"""),45813.6458333333)</f>
        <v>45813.6458333333</v>
      </c>
      <c r="D50" s="17">
        <f>IFERROR(__xludf.DUMMYFUNCTION("""COMPUTED_VALUE"""),1124.5)</f>
        <v>1124.5</v>
      </c>
      <c r="E50" s="16">
        <f>IFERROR(__xludf.DUMMYFUNCTION("""COMPUTED_VALUE"""),45813.6458333333)</f>
        <v>45813.6458333333</v>
      </c>
      <c r="F50" s="17">
        <f>IFERROR(__xludf.DUMMYFUNCTION("""COMPUTED_VALUE"""),1044950)</f>
        <v>1044950</v>
      </c>
      <c r="G50" s="16">
        <f>IFERROR(__xludf.DUMMYFUNCTION("""COMPUTED_VALUE"""),45813.6458333333)</f>
        <v>45813.6458333333</v>
      </c>
      <c r="H50" s="17">
        <f>IFERROR(__xludf.DUMMYFUNCTION("""COMPUTED_VALUE"""),1127.1)</f>
        <v>1127.1</v>
      </c>
      <c r="I50" s="16">
        <f>IFERROR(__xludf.DUMMYFUNCTION("""COMPUTED_VALUE"""),45813.6458333333)</f>
        <v>45813.6458333333</v>
      </c>
      <c r="J50" s="17">
        <f>IFERROR(__xludf.DUMMYFUNCTION("""COMPUTED_VALUE"""),1108.2)</f>
        <v>1108.2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IFERROR(__xludf.DUMMYFUNCTION("""COMPUTED_VALUE"""),1115.6)</f>
        <v>1115.6</v>
      </c>
      <c r="C51" s="16">
        <f>IFERROR(__xludf.DUMMYFUNCTION("""COMPUTED_VALUE"""),45814.6458333333)</f>
        <v>45814.6458333333</v>
      </c>
      <c r="D51" s="17">
        <f>IFERROR(__xludf.DUMMYFUNCTION("""COMPUTED_VALUE"""),1111.9)</f>
        <v>1111.9</v>
      </c>
      <c r="E51" s="16">
        <f>IFERROR(__xludf.DUMMYFUNCTION("""COMPUTED_VALUE"""),45814.6458333333)</f>
        <v>45814.6458333333</v>
      </c>
      <c r="F51" s="17">
        <f>IFERROR(__xludf.DUMMYFUNCTION("""COMPUTED_VALUE"""),503186)</f>
        <v>503186</v>
      </c>
      <c r="G51" s="16">
        <f>IFERROR(__xludf.DUMMYFUNCTION("""COMPUTED_VALUE"""),45814.6458333333)</f>
        <v>45814.6458333333</v>
      </c>
      <c r="H51" s="17">
        <f>IFERROR(__xludf.DUMMYFUNCTION("""COMPUTED_VALUE"""),1123.9)</f>
        <v>1123.9</v>
      </c>
      <c r="I51" s="16">
        <f>IFERROR(__xludf.DUMMYFUNCTION("""COMPUTED_VALUE"""),45814.6458333333)</f>
        <v>45814.6458333333</v>
      </c>
      <c r="J51" s="17">
        <f>IFERROR(__xludf.DUMMYFUNCTION("""COMPUTED_VALUE"""),1109.4)</f>
        <v>1109.4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IFERROR(__xludf.DUMMYFUNCTION("""COMPUTED_VALUE"""),1121.2)</f>
        <v>1121.2</v>
      </c>
      <c r="C52" s="16">
        <f>IFERROR(__xludf.DUMMYFUNCTION("""COMPUTED_VALUE"""),45817.6458333333)</f>
        <v>45817.6458333333</v>
      </c>
      <c r="D52" s="17">
        <f>IFERROR(__xludf.DUMMYFUNCTION("""COMPUTED_VALUE"""),1115.6)</f>
        <v>1115.6</v>
      </c>
      <c r="E52" s="16">
        <f>IFERROR(__xludf.DUMMYFUNCTION("""COMPUTED_VALUE"""),45817.6458333333)</f>
        <v>45817.6458333333</v>
      </c>
      <c r="F52" s="17">
        <f>IFERROR(__xludf.DUMMYFUNCTION("""COMPUTED_VALUE"""),467790)</f>
        <v>467790</v>
      </c>
      <c r="G52" s="16">
        <f>IFERROR(__xludf.DUMMYFUNCTION("""COMPUTED_VALUE"""),45817.6458333333)</f>
        <v>45817.6458333333</v>
      </c>
      <c r="H52" s="17">
        <f>IFERROR(__xludf.DUMMYFUNCTION("""COMPUTED_VALUE"""),1122.5)</f>
        <v>1122.5</v>
      </c>
      <c r="I52" s="16">
        <f>IFERROR(__xludf.DUMMYFUNCTION("""COMPUTED_VALUE"""),45817.6458333333)</f>
        <v>45817.6458333333</v>
      </c>
      <c r="J52" s="17">
        <f>IFERROR(__xludf.DUMMYFUNCTION("""COMPUTED_VALUE"""),1110.2)</f>
        <v>1110.2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IFERROR(__xludf.DUMMYFUNCTION("""COMPUTED_VALUE"""),1115.1)</f>
        <v>1115.1</v>
      </c>
      <c r="C53" s="16">
        <f>IFERROR(__xludf.DUMMYFUNCTION("""COMPUTED_VALUE"""),45818.6458333333)</f>
        <v>45818.6458333333</v>
      </c>
      <c r="D53" s="17">
        <f>IFERROR(__xludf.DUMMYFUNCTION("""COMPUTED_VALUE"""),1121.2)</f>
        <v>1121.2</v>
      </c>
      <c r="E53" s="16">
        <f>IFERROR(__xludf.DUMMYFUNCTION("""COMPUTED_VALUE"""),45818.6458333333)</f>
        <v>45818.6458333333</v>
      </c>
      <c r="F53" s="17">
        <f>IFERROR(__xludf.DUMMYFUNCTION("""COMPUTED_VALUE"""),460271)</f>
        <v>460271</v>
      </c>
      <c r="G53" s="16">
        <f>IFERROR(__xludf.DUMMYFUNCTION("""COMPUTED_VALUE"""),45818.6458333333)</f>
        <v>45818.6458333333</v>
      </c>
      <c r="H53" s="17">
        <f>IFERROR(__xludf.DUMMYFUNCTION("""COMPUTED_VALUE"""),1128.6)</f>
        <v>1128.6</v>
      </c>
      <c r="I53" s="16">
        <f>IFERROR(__xludf.DUMMYFUNCTION("""COMPUTED_VALUE"""),45818.6458333333)</f>
        <v>45818.6458333333</v>
      </c>
      <c r="J53" s="17">
        <f>IFERROR(__xludf.DUMMYFUNCTION("""COMPUTED_VALUE"""),1112.7)</f>
        <v>1112.7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IFERROR(__xludf.DUMMYFUNCTION("""COMPUTED_VALUE"""),1104.3)</f>
        <v>1104.3</v>
      </c>
      <c r="C54" s="16">
        <f>IFERROR(__xludf.DUMMYFUNCTION("""COMPUTED_VALUE"""),45819.6458333333)</f>
        <v>45819.6458333333</v>
      </c>
      <c r="D54" s="17">
        <f>IFERROR(__xludf.DUMMYFUNCTION("""COMPUTED_VALUE"""),1115.2)</f>
        <v>1115.2</v>
      </c>
      <c r="E54" s="16">
        <f>IFERROR(__xludf.DUMMYFUNCTION("""COMPUTED_VALUE"""),45819.6458333333)</f>
        <v>45819.6458333333</v>
      </c>
      <c r="F54" s="17">
        <f>IFERROR(__xludf.DUMMYFUNCTION("""COMPUTED_VALUE"""),862130)</f>
        <v>862130</v>
      </c>
      <c r="G54" s="16">
        <f>IFERROR(__xludf.DUMMYFUNCTION("""COMPUTED_VALUE"""),45819.6458333333)</f>
        <v>45819.6458333333</v>
      </c>
      <c r="H54" s="17">
        <f>IFERROR(__xludf.DUMMYFUNCTION("""COMPUTED_VALUE"""),1119)</f>
        <v>1119</v>
      </c>
      <c r="I54" s="16">
        <f>IFERROR(__xludf.DUMMYFUNCTION("""COMPUTED_VALUE"""),45819.6458333333)</f>
        <v>45819.6458333333</v>
      </c>
      <c r="J54" s="17">
        <f>IFERROR(__xludf.DUMMYFUNCTION("""COMPUTED_VALUE"""),1102)</f>
        <v>1102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IFERROR(__xludf.DUMMYFUNCTION("""COMPUTED_VALUE"""),1085.1)</f>
        <v>1085.1</v>
      </c>
      <c r="C55" s="16">
        <f>IFERROR(__xludf.DUMMYFUNCTION("""COMPUTED_VALUE"""),45820.6458333333)</f>
        <v>45820.6458333333</v>
      </c>
      <c r="D55" s="17">
        <f>IFERROR(__xludf.DUMMYFUNCTION("""COMPUTED_VALUE"""),1108.9)</f>
        <v>1108.9</v>
      </c>
      <c r="E55" s="16">
        <f>IFERROR(__xludf.DUMMYFUNCTION("""COMPUTED_VALUE"""),45820.6458333333)</f>
        <v>45820.6458333333</v>
      </c>
      <c r="F55" s="17">
        <f>IFERROR(__xludf.DUMMYFUNCTION("""COMPUTED_VALUE"""),941294)</f>
        <v>941294</v>
      </c>
      <c r="G55" s="16">
        <f>IFERROR(__xludf.DUMMYFUNCTION("""COMPUTED_VALUE"""),45820.6458333333)</f>
        <v>45820.6458333333</v>
      </c>
      <c r="H55" s="17">
        <f>IFERROR(__xludf.DUMMYFUNCTION("""COMPUTED_VALUE"""),1108.9)</f>
        <v>1108.9</v>
      </c>
      <c r="I55" s="16">
        <f>IFERROR(__xludf.DUMMYFUNCTION("""COMPUTED_VALUE"""),45820.6458333333)</f>
        <v>45820.6458333333</v>
      </c>
      <c r="J55" s="17">
        <f>IFERROR(__xludf.DUMMYFUNCTION("""COMPUTED_VALUE"""),1080)</f>
        <v>1080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IFERROR(__xludf.DUMMYFUNCTION("""COMPUTED_VALUE"""),1078.4)</f>
        <v>1078.4</v>
      </c>
      <c r="C56" s="16">
        <f>IFERROR(__xludf.DUMMYFUNCTION("""COMPUTED_VALUE"""),45821.6458333333)</f>
        <v>45821.6458333333</v>
      </c>
      <c r="D56" s="17">
        <f>IFERROR(__xludf.DUMMYFUNCTION("""COMPUTED_VALUE"""),1066.6)</f>
        <v>1066.6</v>
      </c>
      <c r="E56" s="16">
        <f>IFERROR(__xludf.DUMMYFUNCTION("""COMPUTED_VALUE"""),45821.6458333333)</f>
        <v>45821.6458333333</v>
      </c>
      <c r="F56" s="17">
        <f>IFERROR(__xludf.DUMMYFUNCTION("""COMPUTED_VALUE"""),614108)</f>
        <v>614108</v>
      </c>
      <c r="G56" s="16">
        <f>IFERROR(__xludf.DUMMYFUNCTION("""COMPUTED_VALUE"""),45821.6458333333)</f>
        <v>45821.6458333333</v>
      </c>
      <c r="H56" s="17">
        <f>IFERROR(__xludf.DUMMYFUNCTION("""COMPUTED_VALUE"""),1080.6)</f>
        <v>1080.6</v>
      </c>
      <c r="I56" s="16">
        <f>IFERROR(__xludf.DUMMYFUNCTION("""COMPUTED_VALUE"""),45821.6458333333)</f>
        <v>45821.6458333333</v>
      </c>
      <c r="J56" s="17">
        <f>IFERROR(__xludf.DUMMYFUNCTION("""COMPUTED_VALUE"""),1066.6)</f>
        <v>1066.6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IFERROR(__xludf.DUMMYFUNCTION("""COMPUTED_VALUE"""),1083.4)</f>
        <v>1083.4</v>
      </c>
      <c r="C57" s="16">
        <f>IFERROR(__xludf.DUMMYFUNCTION("""COMPUTED_VALUE"""),45824.6458333333)</f>
        <v>45824.6458333333</v>
      </c>
      <c r="D57" s="17">
        <f>IFERROR(__xludf.DUMMYFUNCTION("""COMPUTED_VALUE"""),1074)</f>
        <v>1074</v>
      </c>
      <c r="E57" s="16">
        <f>IFERROR(__xludf.DUMMYFUNCTION("""COMPUTED_VALUE"""),45824.6458333333)</f>
        <v>45824.6458333333</v>
      </c>
      <c r="F57" s="17">
        <f>IFERROR(__xludf.DUMMYFUNCTION("""COMPUTED_VALUE"""),439929)</f>
        <v>439929</v>
      </c>
      <c r="G57" s="16">
        <f>IFERROR(__xludf.DUMMYFUNCTION("""COMPUTED_VALUE"""),45824.6458333333)</f>
        <v>45824.6458333333</v>
      </c>
      <c r="H57" s="17">
        <f>IFERROR(__xludf.DUMMYFUNCTION("""COMPUTED_VALUE"""),1085)</f>
        <v>1085</v>
      </c>
      <c r="I57" s="16">
        <f>IFERROR(__xludf.DUMMYFUNCTION("""COMPUTED_VALUE"""),45824.6458333333)</f>
        <v>45824.6458333333</v>
      </c>
      <c r="J57" s="17">
        <f>IFERROR(__xludf.DUMMYFUNCTION("""COMPUTED_VALUE"""),1073.6)</f>
        <v>1073.6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IFERROR(__xludf.DUMMYFUNCTION("""COMPUTED_VALUE"""),1071.6)</f>
        <v>1071.6</v>
      </c>
      <c r="C58" s="16">
        <f>IFERROR(__xludf.DUMMYFUNCTION("""COMPUTED_VALUE"""),45825.6458333333)</f>
        <v>45825.6458333333</v>
      </c>
      <c r="D58" s="17">
        <f>IFERROR(__xludf.DUMMYFUNCTION("""COMPUTED_VALUE"""),1083.4)</f>
        <v>1083.4</v>
      </c>
      <c r="E58" s="16">
        <f>IFERROR(__xludf.DUMMYFUNCTION("""COMPUTED_VALUE"""),45825.6458333333)</f>
        <v>45825.6458333333</v>
      </c>
      <c r="F58" s="17">
        <f>IFERROR(__xludf.DUMMYFUNCTION("""COMPUTED_VALUE"""),664517)</f>
        <v>664517</v>
      </c>
      <c r="G58" s="16">
        <f>IFERROR(__xludf.DUMMYFUNCTION("""COMPUTED_VALUE"""),45825.6458333333)</f>
        <v>45825.6458333333</v>
      </c>
      <c r="H58" s="17">
        <f>IFERROR(__xludf.DUMMYFUNCTION("""COMPUTED_VALUE"""),1094)</f>
        <v>1094</v>
      </c>
      <c r="I58" s="16">
        <f>IFERROR(__xludf.DUMMYFUNCTION("""COMPUTED_VALUE"""),45825.6458333333)</f>
        <v>45825.6458333333</v>
      </c>
      <c r="J58" s="17">
        <f>IFERROR(__xludf.DUMMYFUNCTION("""COMPUTED_VALUE"""),1065.5)</f>
        <v>1065.5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IFERROR(__xludf.DUMMYFUNCTION("""COMPUTED_VALUE"""),1065.2)</f>
        <v>1065.2</v>
      </c>
      <c r="C59" s="16">
        <f>IFERROR(__xludf.DUMMYFUNCTION("""COMPUTED_VALUE"""),45826.6458333333)</f>
        <v>45826.6458333333</v>
      </c>
      <c r="D59" s="17">
        <f>IFERROR(__xludf.DUMMYFUNCTION("""COMPUTED_VALUE"""),1066.4)</f>
        <v>1066.4</v>
      </c>
      <c r="E59" s="16">
        <f>IFERROR(__xludf.DUMMYFUNCTION("""COMPUTED_VALUE"""),45826.6458333333)</f>
        <v>45826.6458333333</v>
      </c>
      <c r="F59" s="17">
        <f>IFERROR(__xludf.DUMMYFUNCTION("""COMPUTED_VALUE"""),545933)</f>
        <v>545933</v>
      </c>
      <c r="G59" s="16">
        <f>IFERROR(__xludf.DUMMYFUNCTION("""COMPUTED_VALUE"""),45826.6458333333)</f>
        <v>45826.6458333333</v>
      </c>
      <c r="H59" s="17">
        <f>IFERROR(__xludf.DUMMYFUNCTION("""COMPUTED_VALUE"""),1075.8)</f>
        <v>1075.8</v>
      </c>
      <c r="I59" s="16">
        <f>IFERROR(__xludf.DUMMYFUNCTION("""COMPUTED_VALUE"""),45826.6458333333)</f>
        <v>45826.6458333333</v>
      </c>
      <c r="J59" s="17">
        <f>IFERROR(__xludf.DUMMYFUNCTION("""COMPUTED_VALUE"""),1059)</f>
        <v>1059</v>
      </c>
      <c r="K59" s="3">
        <f t="shared" si="2"/>
        <v>0</v>
      </c>
      <c r="L59" s="3">
        <f t="shared" si="3"/>
        <v>1065.2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IFERROR(__xludf.DUMMYFUNCTION("""COMPUTED_VALUE"""),1088.3)</f>
        <v>1088.3</v>
      </c>
      <c r="C60" s="16">
        <f>IFERROR(__xludf.DUMMYFUNCTION("""COMPUTED_VALUE"""),45827.6458333333)</f>
        <v>45827.6458333333</v>
      </c>
      <c r="D60" s="17">
        <f>IFERROR(__xludf.DUMMYFUNCTION("""COMPUTED_VALUE"""),1065.2)</f>
        <v>1065.2</v>
      </c>
      <c r="E60" s="16">
        <f>IFERROR(__xludf.DUMMYFUNCTION("""COMPUTED_VALUE"""),45827.6458333333)</f>
        <v>45827.6458333333</v>
      </c>
      <c r="F60" s="17">
        <f>IFERROR(__xludf.DUMMYFUNCTION("""COMPUTED_VALUE"""),2816398)</f>
        <v>2816398</v>
      </c>
      <c r="G60" s="16">
        <f>IFERROR(__xludf.DUMMYFUNCTION("""COMPUTED_VALUE"""),45827.6458333333)</f>
        <v>45827.6458333333</v>
      </c>
      <c r="H60" s="17">
        <f>IFERROR(__xludf.DUMMYFUNCTION("""COMPUTED_VALUE"""),1091.6)</f>
        <v>1091.6</v>
      </c>
      <c r="I60" s="16">
        <f>IFERROR(__xludf.DUMMYFUNCTION("""COMPUTED_VALUE"""),45827.6458333333)</f>
        <v>45827.6458333333</v>
      </c>
      <c r="J60" s="17">
        <f>IFERROR(__xludf.DUMMYFUNCTION("""COMPUTED_VALUE"""),1061.6)</f>
        <v>1061.6</v>
      </c>
      <c r="K60" s="3">
        <f t="shared" si="2"/>
        <v>0</v>
      </c>
      <c r="L60" s="3">
        <f t="shared" si="3"/>
        <v>0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IFERROR(__xludf.DUMMYFUNCTION("""COMPUTED_VALUE"""),1100.2)</f>
        <v>1100.2</v>
      </c>
      <c r="C61" s="16">
        <f>IFERROR(__xludf.DUMMYFUNCTION("""COMPUTED_VALUE"""),45828.6458333333)</f>
        <v>45828.6458333333</v>
      </c>
      <c r="D61" s="17">
        <f>IFERROR(__xludf.DUMMYFUNCTION("""COMPUTED_VALUE"""),1088.3)</f>
        <v>1088.3</v>
      </c>
      <c r="E61" s="16">
        <f>IFERROR(__xludf.DUMMYFUNCTION("""COMPUTED_VALUE"""),45828.6458333333)</f>
        <v>45828.6458333333</v>
      </c>
      <c r="F61" s="17">
        <f>IFERROR(__xludf.DUMMYFUNCTION("""COMPUTED_VALUE"""),2084108)</f>
        <v>2084108</v>
      </c>
      <c r="G61" s="16">
        <f>IFERROR(__xludf.DUMMYFUNCTION("""COMPUTED_VALUE"""),45828.6458333333)</f>
        <v>45828.6458333333</v>
      </c>
      <c r="H61" s="17">
        <f>IFERROR(__xludf.DUMMYFUNCTION("""COMPUTED_VALUE"""),1103)</f>
        <v>1103</v>
      </c>
      <c r="I61" s="16">
        <f>IFERROR(__xludf.DUMMYFUNCTION("""COMPUTED_VALUE"""),45828.6458333333)</f>
        <v>45828.6458333333</v>
      </c>
      <c r="J61" s="17">
        <f>IFERROR(__xludf.DUMMYFUNCTION("""COMPUTED_VALUE"""),1082.7)</f>
        <v>1082.7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IFERROR(__xludf.DUMMYFUNCTION("""COMPUTED_VALUE"""),1109.4)</f>
        <v>1109.4</v>
      </c>
      <c r="C62" s="16">
        <f>IFERROR(__xludf.DUMMYFUNCTION("""COMPUTED_VALUE"""),45831.6458333333)</f>
        <v>45831.6458333333</v>
      </c>
      <c r="D62" s="17">
        <f>IFERROR(__xludf.DUMMYFUNCTION("""COMPUTED_VALUE"""),1090)</f>
        <v>1090</v>
      </c>
      <c r="E62" s="16">
        <f>IFERROR(__xludf.DUMMYFUNCTION("""COMPUTED_VALUE"""),45831.6458333333)</f>
        <v>45831.6458333333</v>
      </c>
      <c r="F62" s="17">
        <f>IFERROR(__xludf.DUMMYFUNCTION("""COMPUTED_VALUE"""),758904)</f>
        <v>758904</v>
      </c>
      <c r="G62" s="16">
        <f>IFERROR(__xludf.DUMMYFUNCTION("""COMPUTED_VALUE"""),45831.6458333333)</f>
        <v>45831.6458333333</v>
      </c>
      <c r="H62" s="17">
        <f>IFERROR(__xludf.DUMMYFUNCTION("""COMPUTED_VALUE"""),1112)</f>
        <v>1112</v>
      </c>
      <c r="I62" s="16">
        <f>IFERROR(__xludf.DUMMYFUNCTION("""COMPUTED_VALUE"""),45831.6458333333)</f>
        <v>45831.6458333333</v>
      </c>
      <c r="J62" s="17">
        <f>IFERROR(__xludf.DUMMYFUNCTION("""COMPUTED_VALUE"""),1090)</f>
        <v>1090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IFERROR(__xludf.DUMMYFUNCTION("""COMPUTED_VALUE"""),1107.7)</f>
        <v>1107.7</v>
      </c>
      <c r="C63" s="16">
        <f>IFERROR(__xludf.DUMMYFUNCTION("""COMPUTED_VALUE"""),45832.6458333333)</f>
        <v>45832.6458333333</v>
      </c>
      <c r="D63" s="17">
        <f>IFERROR(__xludf.DUMMYFUNCTION("""COMPUTED_VALUE"""),1112)</f>
        <v>1112</v>
      </c>
      <c r="E63" s="16">
        <f>IFERROR(__xludf.DUMMYFUNCTION("""COMPUTED_VALUE"""),45832.6458333333)</f>
        <v>45832.6458333333</v>
      </c>
      <c r="F63" s="17">
        <f>IFERROR(__xludf.DUMMYFUNCTION("""COMPUTED_VALUE"""),1134930)</f>
        <v>1134930</v>
      </c>
      <c r="G63" s="16">
        <f>IFERROR(__xludf.DUMMYFUNCTION("""COMPUTED_VALUE"""),45832.6458333333)</f>
        <v>45832.6458333333</v>
      </c>
      <c r="H63" s="17">
        <f>IFERROR(__xludf.DUMMYFUNCTION("""COMPUTED_VALUE"""),1116.9)</f>
        <v>1116.9</v>
      </c>
      <c r="I63" s="16">
        <f>IFERROR(__xludf.DUMMYFUNCTION("""COMPUTED_VALUE"""),45832.6458333333)</f>
        <v>45832.6458333333</v>
      </c>
      <c r="J63" s="17">
        <f>IFERROR(__xludf.DUMMYFUNCTION("""COMPUTED_VALUE"""),1104.4)</f>
        <v>1104.4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IFERROR(__xludf.DUMMYFUNCTION("""COMPUTED_VALUE"""),1126.5)</f>
        <v>1126.5</v>
      </c>
      <c r="C64" s="16">
        <f>IFERROR(__xludf.DUMMYFUNCTION("""COMPUTED_VALUE"""),45833.6458333333)</f>
        <v>45833.6458333333</v>
      </c>
      <c r="D64" s="17">
        <f>IFERROR(__xludf.DUMMYFUNCTION("""COMPUTED_VALUE"""),1107.7)</f>
        <v>1107.7</v>
      </c>
      <c r="E64" s="16">
        <f>IFERROR(__xludf.DUMMYFUNCTION("""COMPUTED_VALUE"""),45833.6458333333)</f>
        <v>45833.6458333333</v>
      </c>
      <c r="F64" s="17">
        <f>IFERROR(__xludf.DUMMYFUNCTION("""COMPUTED_VALUE"""),1564437)</f>
        <v>1564437</v>
      </c>
      <c r="G64" s="16">
        <f>IFERROR(__xludf.DUMMYFUNCTION("""COMPUTED_VALUE"""),45833.6458333333)</f>
        <v>45833.6458333333</v>
      </c>
      <c r="H64" s="17">
        <f>IFERROR(__xludf.DUMMYFUNCTION("""COMPUTED_VALUE"""),1133.9)</f>
        <v>1133.9</v>
      </c>
      <c r="I64" s="16">
        <f>IFERROR(__xludf.DUMMYFUNCTION("""COMPUTED_VALUE"""),45833.6458333333)</f>
        <v>45833.6458333333</v>
      </c>
      <c r="J64" s="17">
        <f>IFERROR(__xludf.DUMMYFUNCTION("""COMPUTED_VALUE"""),1106.6)</f>
        <v>1106.6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IFERROR(__xludf.DUMMYFUNCTION("""COMPUTED_VALUE"""),1145.4)</f>
        <v>1145.4</v>
      </c>
      <c r="C65" s="16">
        <f>IFERROR(__xludf.DUMMYFUNCTION("""COMPUTED_VALUE"""),45834.6458333333)</f>
        <v>45834.6458333333</v>
      </c>
      <c r="D65" s="17">
        <f>IFERROR(__xludf.DUMMYFUNCTION("""COMPUTED_VALUE"""),1122)</f>
        <v>1122</v>
      </c>
      <c r="E65" s="16">
        <f>IFERROR(__xludf.DUMMYFUNCTION("""COMPUTED_VALUE"""),45834.6458333333)</f>
        <v>45834.6458333333</v>
      </c>
      <c r="F65" s="17">
        <f>IFERROR(__xludf.DUMMYFUNCTION("""COMPUTED_VALUE"""),2236678)</f>
        <v>2236678</v>
      </c>
      <c r="G65" s="16">
        <f>IFERROR(__xludf.DUMMYFUNCTION("""COMPUTED_VALUE"""),45834.6458333333)</f>
        <v>45834.6458333333</v>
      </c>
      <c r="H65" s="17">
        <f>IFERROR(__xludf.DUMMYFUNCTION("""COMPUTED_VALUE"""),1150)</f>
        <v>1150</v>
      </c>
      <c r="I65" s="16">
        <f>IFERROR(__xludf.DUMMYFUNCTION("""COMPUTED_VALUE"""),45834.6458333333)</f>
        <v>45834.6458333333</v>
      </c>
      <c r="J65" s="17">
        <f>IFERROR(__xludf.DUMMYFUNCTION("""COMPUTED_VALUE"""),1119.1)</f>
        <v>1119.1</v>
      </c>
      <c r="K65" s="3">
        <f t="shared" si="2"/>
        <v>1145.4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IFERROR(__xludf.DUMMYFUNCTION("""COMPUTED_VALUE"""),1124.3)</f>
        <v>1124.3</v>
      </c>
      <c r="C66" s="16">
        <f>IFERROR(__xludf.DUMMYFUNCTION("""COMPUTED_VALUE"""),45835.6458333333)</f>
        <v>45835.6458333333</v>
      </c>
      <c r="D66" s="17">
        <f>IFERROR(__xludf.DUMMYFUNCTION("""COMPUTED_VALUE"""),1144)</f>
        <v>1144</v>
      </c>
      <c r="E66" s="16">
        <f>IFERROR(__xludf.DUMMYFUNCTION("""COMPUTED_VALUE"""),45835.6458333333)</f>
        <v>45835.6458333333</v>
      </c>
      <c r="F66" s="17">
        <f>IFERROR(__xludf.DUMMYFUNCTION("""COMPUTED_VALUE"""),622376)</f>
        <v>622376</v>
      </c>
      <c r="G66" s="16">
        <f>IFERROR(__xludf.DUMMYFUNCTION("""COMPUTED_VALUE"""),45835.6458333333)</f>
        <v>45835.6458333333</v>
      </c>
      <c r="H66" s="17">
        <f>IFERROR(__xludf.DUMMYFUNCTION("""COMPUTED_VALUE"""),1147.2)</f>
        <v>1147.2</v>
      </c>
      <c r="I66" s="16">
        <f>IFERROR(__xludf.DUMMYFUNCTION("""COMPUTED_VALUE"""),45835.6458333333)</f>
        <v>45835.6458333333</v>
      </c>
      <c r="J66" s="17">
        <f>IFERROR(__xludf.DUMMYFUNCTION("""COMPUTED_VALUE"""),1120)</f>
        <v>1120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IFERROR(__xludf.DUMMYFUNCTION("""COMPUTED_VALUE"""),1098.9)</f>
        <v>1098.9</v>
      </c>
      <c r="C67" s="16">
        <f>IFERROR(__xludf.DUMMYFUNCTION("""COMPUTED_VALUE"""),45838.6458333333)</f>
        <v>45838.6458333333</v>
      </c>
      <c r="D67" s="17">
        <f>IFERROR(__xludf.DUMMYFUNCTION("""COMPUTED_VALUE"""),1124)</f>
        <v>1124</v>
      </c>
      <c r="E67" s="16">
        <f>IFERROR(__xludf.DUMMYFUNCTION("""COMPUTED_VALUE"""),45838.6458333333)</f>
        <v>45838.6458333333</v>
      </c>
      <c r="F67" s="17">
        <f>IFERROR(__xludf.DUMMYFUNCTION("""COMPUTED_VALUE"""),1836286)</f>
        <v>1836286</v>
      </c>
      <c r="G67" s="16">
        <f>IFERROR(__xludf.DUMMYFUNCTION("""COMPUTED_VALUE"""),45838.6458333333)</f>
        <v>45838.6458333333</v>
      </c>
      <c r="H67" s="17">
        <f>IFERROR(__xludf.DUMMYFUNCTION("""COMPUTED_VALUE"""),1126.7)</f>
        <v>1126.7</v>
      </c>
      <c r="I67" s="16">
        <f>IFERROR(__xludf.DUMMYFUNCTION("""COMPUTED_VALUE"""),45838.6458333333)</f>
        <v>45838.6458333333</v>
      </c>
      <c r="J67" s="17">
        <f>IFERROR(__xludf.DUMMYFUNCTION("""COMPUTED_VALUE"""),1090.6)</f>
        <v>1090.6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IFERROR(__xludf.DUMMYFUNCTION("""COMPUTED_VALUE"""),1095.6)</f>
        <v>1095.6</v>
      </c>
      <c r="C68" s="16">
        <f>IFERROR(__xludf.DUMMYFUNCTION("""COMPUTED_VALUE"""),45839.6458333333)</f>
        <v>45839.6458333333</v>
      </c>
      <c r="D68" s="17">
        <f>IFERROR(__xludf.DUMMYFUNCTION("""COMPUTED_VALUE"""),1098.9)</f>
        <v>1098.9</v>
      </c>
      <c r="E68" s="16">
        <f>IFERROR(__xludf.DUMMYFUNCTION("""COMPUTED_VALUE"""),45839.6458333333)</f>
        <v>45839.6458333333</v>
      </c>
      <c r="F68" s="17">
        <f>IFERROR(__xludf.DUMMYFUNCTION("""COMPUTED_VALUE"""),971874)</f>
        <v>971874</v>
      </c>
      <c r="G68" s="16">
        <f>IFERROR(__xludf.DUMMYFUNCTION("""COMPUTED_VALUE"""),45839.6458333333)</f>
        <v>45839.6458333333</v>
      </c>
      <c r="H68" s="17">
        <f>IFERROR(__xludf.DUMMYFUNCTION("""COMPUTED_VALUE"""),1100.7)</f>
        <v>1100.7</v>
      </c>
      <c r="I68" s="16">
        <f>IFERROR(__xludf.DUMMYFUNCTION("""COMPUTED_VALUE"""),45839.6458333333)</f>
        <v>45839.6458333333</v>
      </c>
      <c r="J68" s="17">
        <f>IFERROR(__xludf.DUMMYFUNCTION("""COMPUTED_VALUE"""),1085.9)</f>
        <v>1085.9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IFERROR(__xludf.DUMMYFUNCTION("""COMPUTED_VALUE"""),1095.8)</f>
        <v>1095.8</v>
      </c>
      <c r="C69" s="16">
        <f>IFERROR(__xludf.DUMMYFUNCTION("""COMPUTED_VALUE"""),45840.6458333333)</f>
        <v>45840.6458333333</v>
      </c>
      <c r="D69" s="17">
        <f>IFERROR(__xludf.DUMMYFUNCTION("""COMPUTED_VALUE"""),1094)</f>
        <v>1094</v>
      </c>
      <c r="E69" s="16">
        <f>IFERROR(__xludf.DUMMYFUNCTION("""COMPUTED_VALUE"""),45840.6458333333)</f>
        <v>45840.6458333333</v>
      </c>
      <c r="F69" s="17">
        <f>IFERROR(__xludf.DUMMYFUNCTION("""COMPUTED_VALUE"""),1230645)</f>
        <v>1230645</v>
      </c>
      <c r="G69" s="16">
        <f>IFERROR(__xludf.DUMMYFUNCTION("""COMPUTED_VALUE"""),45840.6458333333)</f>
        <v>45840.6458333333</v>
      </c>
      <c r="H69" s="17">
        <f>IFERROR(__xludf.DUMMYFUNCTION("""COMPUTED_VALUE"""),1098.3)</f>
        <v>1098.3</v>
      </c>
      <c r="I69" s="16">
        <f>IFERROR(__xludf.DUMMYFUNCTION("""COMPUTED_VALUE"""),45840.6458333333)</f>
        <v>45840.6458333333</v>
      </c>
      <c r="J69" s="17">
        <f>IFERROR(__xludf.DUMMYFUNCTION("""COMPUTED_VALUE"""),1084)</f>
        <v>1084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IFERROR(__xludf.DUMMYFUNCTION("""COMPUTED_VALUE"""),1089.4)</f>
        <v>1089.4</v>
      </c>
      <c r="C70" s="16">
        <f>IFERROR(__xludf.DUMMYFUNCTION("""COMPUTED_VALUE"""),45841.6458333333)</f>
        <v>45841.6458333333</v>
      </c>
      <c r="D70" s="17">
        <f>IFERROR(__xludf.DUMMYFUNCTION("""COMPUTED_VALUE"""),1096)</f>
        <v>1096</v>
      </c>
      <c r="E70" s="16">
        <f>IFERROR(__xludf.DUMMYFUNCTION("""COMPUTED_VALUE"""),45841.6458333333)</f>
        <v>45841.6458333333</v>
      </c>
      <c r="F70" s="17">
        <f>IFERROR(__xludf.DUMMYFUNCTION("""COMPUTED_VALUE"""),730322)</f>
        <v>730322</v>
      </c>
      <c r="G70" s="16">
        <f>IFERROR(__xludf.DUMMYFUNCTION("""COMPUTED_VALUE"""),45841.6458333333)</f>
        <v>45841.6458333333</v>
      </c>
      <c r="H70" s="17">
        <f>IFERROR(__xludf.DUMMYFUNCTION("""COMPUTED_VALUE"""),1105.8)</f>
        <v>1105.8</v>
      </c>
      <c r="I70" s="16">
        <f>IFERROR(__xludf.DUMMYFUNCTION("""COMPUTED_VALUE"""),45841.6458333333)</f>
        <v>45841.6458333333</v>
      </c>
      <c r="J70" s="17">
        <f>IFERROR(__xludf.DUMMYFUNCTION("""COMPUTED_VALUE"""),1086.7)</f>
        <v>1086.7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IFERROR(__xludf.DUMMYFUNCTION("""COMPUTED_VALUE"""),1089.7)</f>
        <v>1089.7</v>
      </c>
      <c r="C71" s="16">
        <f>IFERROR(__xludf.DUMMYFUNCTION("""COMPUTED_VALUE"""),45842.6458333333)</f>
        <v>45842.6458333333</v>
      </c>
      <c r="D71" s="17">
        <f>IFERROR(__xludf.DUMMYFUNCTION("""COMPUTED_VALUE"""),1091)</f>
        <v>1091</v>
      </c>
      <c r="E71" s="16">
        <f>IFERROR(__xludf.DUMMYFUNCTION("""COMPUTED_VALUE"""),45842.6458333333)</f>
        <v>45842.6458333333</v>
      </c>
      <c r="F71" s="17">
        <f>IFERROR(__xludf.DUMMYFUNCTION("""COMPUTED_VALUE"""),573351)</f>
        <v>573351</v>
      </c>
      <c r="G71" s="16">
        <f>IFERROR(__xludf.DUMMYFUNCTION("""COMPUTED_VALUE"""),45842.6458333333)</f>
        <v>45842.6458333333</v>
      </c>
      <c r="H71" s="17">
        <f>IFERROR(__xludf.DUMMYFUNCTION("""COMPUTED_VALUE"""),1095)</f>
        <v>1095</v>
      </c>
      <c r="I71" s="16">
        <f>IFERROR(__xludf.DUMMYFUNCTION("""COMPUTED_VALUE"""),45842.6458333333)</f>
        <v>45842.6458333333</v>
      </c>
      <c r="J71" s="17">
        <f>IFERROR(__xludf.DUMMYFUNCTION("""COMPUTED_VALUE"""),1082)</f>
        <v>1082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IFERROR(__xludf.DUMMYFUNCTION("""COMPUTED_VALUE"""),1101.9)</f>
        <v>1101.9</v>
      </c>
      <c r="C72" s="16">
        <f>IFERROR(__xludf.DUMMYFUNCTION("""COMPUTED_VALUE"""),45845.6458333333)</f>
        <v>45845.6458333333</v>
      </c>
      <c r="D72" s="17">
        <f>IFERROR(__xludf.DUMMYFUNCTION("""COMPUTED_VALUE"""),1085)</f>
        <v>1085</v>
      </c>
      <c r="E72" s="16">
        <f>IFERROR(__xludf.DUMMYFUNCTION("""COMPUTED_VALUE"""),45845.6458333333)</f>
        <v>45845.6458333333</v>
      </c>
      <c r="F72" s="17">
        <f>IFERROR(__xludf.DUMMYFUNCTION("""COMPUTED_VALUE"""),1152136)</f>
        <v>1152136</v>
      </c>
      <c r="G72" s="16">
        <f>IFERROR(__xludf.DUMMYFUNCTION("""COMPUTED_VALUE"""),45845.6458333333)</f>
        <v>45845.6458333333</v>
      </c>
      <c r="H72" s="17">
        <f>IFERROR(__xludf.DUMMYFUNCTION("""COMPUTED_VALUE"""),1108.2)</f>
        <v>1108.2</v>
      </c>
      <c r="I72" s="16">
        <f>IFERROR(__xludf.DUMMYFUNCTION("""COMPUTED_VALUE"""),45845.6458333333)</f>
        <v>45845.6458333333</v>
      </c>
      <c r="J72" s="17">
        <f>IFERROR(__xludf.DUMMYFUNCTION("""COMPUTED_VALUE"""),1085)</f>
        <v>1085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IFERROR(__xludf.DUMMYFUNCTION("""COMPUTED_VALUE"""),1099.9)</f>
        <v>1099.9</v>
      </c>
      <c r="C73" s="16">
        <f>IFERROR(__xludf.DUMMYFUNCTION("""COMPUTED_VALUE"""),45846.6458333333)</f>
        <v>45846.6458333333</v>
      </c>
      <c r="D73" s="17">
        <f>IFERROR(__xludf.DUMMYFUNCTION("""COMPUTED_VALUE"""),1108)</f>
        <v>1108</v>
      </c>
      <c r="E73" s="16">
        <f>IFERROR(__xludf.DUMMYFUNCTION("""COMPUTED_VALUE"""),45846.6458333333)</f>
        <v>45846.6458333333</v>
      </c>
      <c r="F73" s="17">
        <f>IFERROR(__xludf.DUMMYFUNCTION("""COMPUTED_VALUE"""),605639)</f>
        <v>605639</v>
      </c>
      <c r="G73" s="16">
        <f>IFERROR(__xludf.DUMMYFUNCTION("""COMPUTED_VALUE"""),45846.6458333333)</f>
        <v>45846.6458333333</v>
      </c>
      <c r="H73" s="17">
        <f>IFERROR(__xludf.DUMMYFUNCTION("""COMPUTED_VALUE"""),1108.6)</f>
        <v>1108.6</v>
      </c>
      <c r="I73" s="16">
        <f>IFERROR(__xludf.DUMMYFUNCTION("""COMPUTED_VALUE"""),45846.6458333333)</f>
        <v>45846.6458333333</v>
      </c>
      <c r="J73" s="17">
        <f>IFERROR(__xludf.DUMMYFUNCTION("""COMPUTED_VALUE"""),1093.5)</f>
        <v>1093.5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IFERROR(__xludf.DUMMYFUNCTION("""COMPUTED_VALUE"""),1097.9)</f>
        <v>1097.9</v>
      </c>
      <c r="C74" s="16">
        <f>IFERROR(__xludf.DUMMYFUNCTION("""COMPUTED_VALUE"""),45847.6458333333)</f>
        <v>45847.6458333333</v>
      </c>
      <c r="D74" s="17">
        <f>IFERROR(__xludf.DUMMYFUNCTION("""COMPUTED_VALUE"""),1100)</f>
        <v>1100</v>
      </c>
      <c r="E74" s="16">
        <f>IFERROR(__xludf.DUMMYFUNCTION("""COMPUTED_VALUE"""),45847.6458333333)</f>
        <v>45847.6458333333</v>
      </c>
      <c r="F74" s="17">
        <f>IFERROR(__xludf.DUMMYFUNCTION("""COMPUTED_VALUE"""),752158)</f>
        <v>752158</v>
      </c>
      <c r="G74" s="16">
        <f>IFERROR(__xludf.DUMMYFUNCTION("""COMPUTED_VALUE"""),45847.6458333333)</f>
        <v>45847.6458333333</v>
      </c>
      <c r="H74" s="17">
        <f>IFERROR(__xludf.DUMMYFUNCTION("""COMPUTED_VALUE"""),1107.4)</f>
        <v>1107.4</v>
      </c>
      <c r="I74" s="16">
        <f>IFERROR(__xludf.DUMMYFUNCTION("""COMPUTED_VALUE"""),45847.6458333333)</f>
        <v>45847.6458333333</v>
      </c>
      <c r="J74" s="17">
        <f>IFERROR(__xludf.DUMMYFUNCTION("""COMPUTED_VALUE"""),1091.6)</f>
        <v>1091.6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IFERROR(__xludf.DUMMYFUNCTION("""COMPUTED_VALUE"""),1088.9)</f>
        <v>1088.9</v>
      </c>
      <c r="C75" s="16">
        <f>IFERROR(__xludf.DUMMYFUNCTION("""COMPUTED_VALUE"""),45848.6458333333)</f>
        <v>45848.6458333333</v>
      </c>
      <c r="D75" s="17">
        <f>IFERROR(__xludf.DUMMYFUNCTION("""COMPUTED_VALUE"""),1097.9)</f>
        <v>1097.9</v>
      </c>
      <c r="E75" s="16">
        <f>IFERROR(__xludf.DUMMYFUNCTION("""COMPUTED_VALUE"""),45848.6458333333)</f>
        <v>45848.6458333333</v>
      </c>
      <c r="F75" s="17">
        <f>IFERROR(__xludf.DUMMYFUNCTION("""COMPUTED_VALUE"""),533377)</f>
        <v>533377</v>
      </c>
      <c r="G75" s="16">
        <f>IFERROR(__xludf.DUMMYFUNCTION("""COMPUTED_VALUE"""),45848.6458333333)</f>
        <v>45848.6458333333</v>
      </c>
      <c r="H75" s="17">
        <f>IFERROR(__xludf.DUMMYFUNCTION("""COMPUTED_VALUE"""),1103.7)</f>
        <v>1103.7</v>
      </c>
      <c r="I75" s="16">
        <f>IFERROR(__xludf.DUMMYFUNCTION("""COMPUTED_VALUE"""),45848.6458333333)</f>
        <v>45848.6458333333</v>
      </c>
      <c r="J75" s="17">
        <f>IFERROR(__xludf.DUMMYFUNCTION("""COMPUTED_VALUE"""),1080.1)</f>
        <v>1080.1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IFERROR(__xludf.DUMMYFUNCTION("""COMPUTED_VALUE"""),1076.8)</f>
        <v>1076.8</v>
      </c>
      <c r="C76" s="16">
        <f>IFERROR(__xludf.DUMMYFUNCTION("""COMPUTED_VALUE"""),45849.6458333333)</f>
        <v>45849.6458333333</v>
      </c>
      <c r="D76" s="17">
        <f>IFERROR(__xludf.DUMMYFUNCTION("""COMPUTED_VALUE"""),1083.9)</f>
        <v>1083.9</v>
      </c>
      <c r="E76" s="16">
        <f>IFERROR(__xludf.DUMMYFUNCTION("""COMPUTED_VALUE"""),45849.6458333333)</f>
        <v>45849.6458333333</v>
      </c>
      <c r="F76" s="17">
        <f>IFERROR(__xludf.DUMMYFUNCTION("""COMPUTED_VALUE"""),983485)</f>
        <v>983485</v>
      </c>
      <c r="G76" s="16">
        <f>IFERROR(__xludf.DUMMYFUNCTION("""COMPUTED_VALUE"""),45849.6458333333)</f>
        <v>45849.6458333333</v>
      </c>
      <c r="H76" s="17">
        <f>IFERROR(__xludf.DUMMYFUNCTION("""COMPUTED_VALUE"""),1101.8)</f>
        <v>1101.8</v>
      </c>
      <c r="I76" s="16">
        <f>IFERROR(__xludf.DUMMYFUNCTION("""COMPUTED_VALUE"""),45849.6458333333)</f>
        <v>45849.6458333333</v>
      </c>
      <c r="J76" s="17">
        <f>IFERROR(__xludf.DUMMYFUNCTION("""COMPUTED_VALUE"""),1074)</f>
        <v>1074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IFERROR(__xludf.DUMMYFUNCTION("""COMPUTED_VALUE"""),1071.8)</f>
        <v>1071.8</v>
      </c>
      <c r="C77" s="16">
        <f>IFERROR(__xludf.DUMMYFUNCTION("""COMPUTED_VALUE"""),45852.6458333333)</f>
        <v>45852.6458333333</v>
      </c>
      <c r="D77" s="17">
        <f>IFERROR(__xludf.DUMMYFUNCTION("""COMPUTED_VALUE"""),1076.8)</f>
        <v>1076.8</v>
      </c>
      <c r="E77" s="16">
        <f>IFERROR(__xludf.DUMMYFUNCTION("""COMPUTED_VALUE"""),45852.6458333333)</f>
        <v>45852.6458333333</v>
      </c>
      <c r="F77" s="17">
        <f>IFERROR(__xludf.DUMMYFUNCTION("""COMPUTED_VALUE"""),770739)</f>
        <v>770739</v>
      </c>
      <c r="G77" s="16">
        <f>IFERROR(__xludf.DUMMYFUNCTION("""COMPUTED_VALUE"""),45852.6458333333)</f>
        <v>45852.6458333333</v>
      </c>
      <c r="H77" s="17">
        <f>IFERROR(__xludf.DUMMYFUNCTION("""COMPUTED_VALUE"""),1083.5)</f>
        <v>1083.5</v>
      </c>
      <c r="I77" s="16">
        <f>IFERROR(__xludf.DUMMYFUNCTION("""COMPUTED_VALUE"""),45852.6458333333)</f>
        <v>45852.6458333333</v>
      </c>
      <c r="J77" s="17">
        <f>IFERROR(__xludf.DUMMYFUNCTION("""COMPUTED_VALUE"""),1070)</f>
        <v>1070</v>
      </c>
      <c r="K77" s="3">
        <f t="shared" si="2"/>
        <v>0</v>
      </c>
      <c r="L77" s="3">
        <f t="shared" si="3"/>
        <v>1071.8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IFERROR(__xludf.DUMMYFUNCTION("""COMPUTED_VALUE"""),1081.8)</f>
        <v>1081.8</v>
      </c>
      <c r="C78" s="16">
        <f>IFERROR(__xludf.DUMMYFUNCTION("""COMPUTED_VALUE"""),45853.6458333333)</f>
        <v>45853.6458333333</v>
      </c>
      <c r="D78" s="17">
        <f>IFERROR(__xludf.DUMMYFUNCTION("""COMPUTED_VALUE"""),1071.8)</f>
        <v>1071.8</v>
      </c>
      <c r="E78" s="16">
        <f>IFERROR(__xludf.DUMMYFUNCTION("""COMPUTED_VALUE"""),45853.6458333333)</f>
        <v>45853.6458333333</v>
      </c>
      <c r="F78" s="17">
        <f>IFERROR(__xludf.DUMMYFUNCTION("""COMPUTED_VALUE"""),538506)</f>
        <v>538506</v>
      </c>
      <c r="G78" s="16">
        <f>IFERROR(__xludf.DUMMYFUNCTION("""COMPUTED_VALUE"""),45853.6458333333)</f>
        <v>45853.6458333333</v>
      </c>
      <c r="H78" s="17">
        <f>IFERROR(__xludf.DUMMYFUNCTION("""COMPUTED_VALUE"""),1085)</f>
        <v>1085</v>
      </c>
      <c r="I78" s="16">
        <f>IFERROR(__xludf.DUMMYFUNCTION("""COMPUTED_VALUE"""),45853.6458333333)</f>
        <v>45853.6458333333</v>
      </c>
      <c r="J78" s="17">
        <f>IFERROR(__xludf.DUMMYFUNCTION("""COMPUTED_VALUE"""),1067.5)</f>
        <v>1067.5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IFERROR(__xludf.DUMMYFUNCTION("""COMPUTED_VALUE"""),1081.5)</f>
        <v>1081.5</v>
      </c>
      <c r="C79" s="16">
        <f>IFERROR(__xludf.DUMMYFUNCTION("""COMPUTED_VALUE"""),45854.6458333333)</f>
        <v>45854.6458333333</v>
      </c>
      <c r="D79" s="17">
        <f>IFERROR(__xludf.DUMMYFUNCTION("""COMPUTED_VALUE"""),1081.8)</f>
        <v>1081.8</v>
      </c>
      <c r="E79" s="16">
        <f>IFERROR(__xludf.DUMMYFUNCTION("""COMPUTED_VALUE"""),45854.6458333333)</f>
        <v>45854.6458333333</v>
      </c>
      <c r="F79" s="17">
        <f>IFERROR(__xludf.DUMMYFUNCTION("""COMPUTED_VALUE"""),1753658)</f>
        <v>1753658</v>
      </c>
      <c r="G79" s="16">
        <f>IFERROR(__xludf.DUMMYFUNCTION("""COMPUTED_VALUE"""),45854.6458333333)</f>
        <v>45854.6458333333</v>
      </c>
      <c r="H79" s="17">
        <f>IFERROR(__xludf.DUMMYFUNCTION("""COMPUTED_VALUE"""),1089.9)</f>
        <v>1089.9</v>
      </c>
      <c r="I79" s="16">
        <f>IFERROR(__xludf.DUMMYFUNCTION("""COMPUTED_VALUE"""),45854.6458333333)</f>
        <v>45854.6458333333</v>
      </c>
      <c r="J79" s="17">
        <f>IFERROR(__xludf.DUMMYFUNCTION("""COMPUTED_VALUE"""),1068.2)</f>
        <v>1068.2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IFERROR(__xludf.DUMMYFUNCTION("""COMPUTED_VALUE"""),1105.8)</f>
        <v>1105.8</v>
      </c>
      <c r="C80" s="16">
        <f>IFERROR(__xludf.DUMMYFUNCTION("""COMPUTED_VALUE"""),45855.6458333333)</f>
        <v>45855.6458333333</v>
      </c>
      <c r="D80" s="17">
        <f>IFERROR(__xludf.DUMMYFUNCTION("""COMPUTED_VALUE"""),1081.5)</f>
        <v>1081.5</v>
      </c>
      <c r="E80" s="16">
        <f>IFERROR(__xludf.DUMMYFUNCTION("""COMPUTED_VALUE"""),45855.6458333333)</f>
        <v>45855.6458333333</v>
      </c>
      <c r="F80" s="17">
        <f>IFERROR(__xludf.DUMMYFUNCTION("""COMPUTED_VALUE"""),1193262)</f>
        <v>1193262</v>
      </c>
      <c r="G80" s="16">
        <f>IFERROR(__xludf.DUMMYFUNCTION("""COMPUTED_VALUE"""),45855.6458333333)</f>
        <v>45855.6458333333</v>
      </c>
      <c r="H80" s="17">
        <f>IFERROR(__xludf.DUMMYFUNCTION("""COMPUTED_VALUE"""),1109.7)</f>
        <v>1109.7</v>
      </c>
      <c r="I80" s="16">
        <f>IFERROR(__xludf.DUMMYFUNCTION("""COMPUTED_VALUE"""),45855.6458333333)</f>
        <v>45855.6458333333</v>
      </c>
      <c r="J80" s="17">
        <f>IFERROR(__xludf.DUMMYFUNCTION("""COMPUTED_VALUE"""),1080)</f>
        <v>1080</v>
      </c>
      <c r="K80" s="3">
        <f t="shared" si="2"/>
        <v>1105.8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IFERROR(__xludf.DUMMYFUNCTION("""COMPUTED_VALUE"""),1095.9)</f>
        <v>1095.9</v>
      </c>
      <c r="C81" s="16">
        <f>IFERROR(__xludf.DUMMYFUNCTION("""COMPUTED_VALUE"""),45856.6458333333)</f>
        <v>45856.6458333333</v>
      </c>
      <c r="D81" s="17">
        <f>IFERROR(__xludf.DUMMYFUNCTION("""COMPUTED_VALUE"""),1106)</f>
        <v>1106</v>
      </c>
      <c r="E81" s="16">
        <f>IFERROR(__xludf.DUMMYFUNCTION("""COMPUTED_VALUE"""),45856.6458333333)</f>
        <v>45856.6458333333</v>
      </c>
      <c r="F81" s="17">
        <f>IFERROR(__xludf.DUMMYFUNCTION("""COMPUTED_VALUE"""),844437)</f>
        <v>844437</v>
      </c>
      <c r="G81" s="16">
        <f>IFERROR(__xludf.DUMMYFUNCTION("""COMPUTED_VALUE"""),45856.6458333333)</f>
        <v>45856.6458333333</v>
      </c>
      <c r="H81" s="17">
        <f>IFERROR(__xludf.DUMMYFUNCTION("""COMPUTED_VALUE"""),1108.3)</f>
        <v>1108.3</v>
      </c>
      <c r="I81" s="16">
        <f>IFERROR(__xludf.DUMMYFUNCTION("""COMPUTED_VALUE"""),45856.6458333333)</f>
        <v>45856.6458333333</v>
      </c>
      <c r="J81" s="17">
        <f>IFERROR(__xludf.DUMMYFUNCTION("""COMPUTED_VALUE"""),1093.5)</f>
        <v>1093.5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IFERROR(__xludf.DUMMYFUNCTION("""COMPUTED_VALUE"""),1090.3)</f>
        <v>1090.3</v>
      </c>
      <c r="C82" s="16">
        <f>IFERROR(__xludf.DUMMYFUNCTION("""COMPUTED_VALUE"""),45859.6458333333)</f>
        <v>45859.6458333333</v>
      </c>
      <c r="D82" s="17">
        <f>IFERROR(__xludf.DUMMYFUNCTION("""COMPUTED_VALUE"""),1095.8)</f>
        <v>1095.8</v>
      </c>
      <c r="E82" s="16">
        <f>IFERROR(__xludf.DUMMYFUNCTION("""COMPUTED_VALUE"""),45859.6458333333)</f>
        <v>45859.6458333333</v>
      </c>
      <c r="F82" s="17">
        <f>IFERROR(__xludf.DUMMYFUNCTION("""COMPUTED_VALUE"""),805610)</f>
        <v>805610</v>
      </c>
      <c r="G82" s="16">
        <f>IFERROR(__xludf.DUMMYFUNCTION("""COMPUTED_VALUE"""),45859.6458333333)</f>
        <v>45859.6458333333</v>
      </c>
      <c r="H82" s="17">
        <f>IFERROR(__xludf.DUMMYFUNCTION("""COMPUTED_VALUE"""),1095.8)</f>
        <v>1095.8</v>
      </c>
      <c r="I82" s="16">
        <f>IFERROR(__xludf.DUMMYFUNCTION("""COMPUTED_VALUE"""),45859.6458333333)</f>
        <v>45859.6458333333</v>
      </c>
      <c r="J82" s="17">
        <f>IFERROR(__xludf.DUMMYFUNCTION("""COMPUTED_VALUE"""),1077)</f>
        <v>1077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IFERROR(__xludf.DUMMYFUNCTION("""COMPUTED_VALUE"""),1084.8)</f>
        <v>1084.8</v>
      </c>
      <c r="C83" s="16">
        <f>IFERROR(__xludf.DUMMYFUNCTION("""COMPUTED_VALUE"""),45860.6458333333)</f>
        <v>45860.6458333333</v>
      </c>
      <c r="D83" s="17">
        <f>IFERROR(__xludf.DUMMYFUNCTION("""COMPUTED_VALUE"""),1089.9)</f>
        <v>1089.9</v>
      </c>
      <c r="E83" s="16">
        <f>IFERROR(__xludf.DUMMYFUNCTION("""COMPUTED_VALUE"""),45860.6458333333)</f>
        <v>45860.6458333333</v>
      </c>
      <c r="F83" s="17">
        <f>IFERROR(__xludf.DUMMYFUNCTION("""COMPUTED_VALUE"""),961735)</f>
        <v>961735</v>
      </c>
      <c r="G83" s="16">
        <f>IFERROR(__xludf.DUMMYFUNCTION("""COMPUTED_VALUE"""),45860.6458333333)</f>
        <v>45860.6458333333</v>
      </c>
      <c r="H83" s="17">
        <f>IFERROR(__xludf.DUMMYFUNCTION("""COMPUTED_VALUE"""),1090.3)</f>
        <v>1090.3</v>
      </c>
      <c r="I83" s="16">
        <f>IFERROR(__xludf.DUMMYFUNCTION("""COMPUTED_VALUE"""),45860.6458333333)</f>
        <v>45860.6458333333</v>
      </c>
      <c r="J83" s="17">
        <f>IFERROR(__xludf.DUMMYFUNCTION("""COMPUTED_VALUE"""),1075.3)</f>
        <v>1075.3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IFERROR(__xludf.DUMMYFUNCTION("""COMPUTED_VALUE"""),1062.6)</f>
        <v>1062.6</v>
      </c>
      <c r="C84" s="16">
        <f>IFERROR(__xludf.DUMMYFUNCTION("""COMPUTED_VALUE"""),45861.6458333333)</f>
        <v>45861.6458333333</v>
      </c>
      <c r="D84" s="17">
        <f>IFERROR(__xludf.DUMMYFUNCTION("""COMPUTED_VALUE"""),1085)</f>
        <v>1085</v>
      </c>
      <c r="E84" s="16">
        <f>IFERROR(__xludf.DUMMYFUNCTION("""COMPUTED_VALUE"""),45861.6458333333)</f>
        <v>45861.6458333333</v>
      </c>
      <c r="F84" s="17">
        <f>IFERROR(__xludf.DUMMYFUNCTION("""COMPUTED_VALUE"""),1508414)</f>
        <v>1508414</v>
      </c>
      <c r="G84" s="16">
        <f>IFERROR(__xludf.DUMMYFUNCTION("""COMPUTED_VALUE"""),45861.6458333333)</f>
        <v>45861.6458333333</v>
      </c>
      <c r="H84" s="17">
        <f>IFERROR(__xludf.DUMMYFUNCTION("""COMPUTED_VALUE"""),1087)</f>
        <v>1087</v>
      </c>
      <c r="I84" s="16">
        <f>IFERROR(__xludf.DUMMYFUNCTION("""COMPUTED_VALUE"""),45861.6458333333)</f>
        <v>45861.6458333333</v>
      </c>
      <c r="J84" s="17">
        <f>IFERROR(__xludf.DUMMYFUNCTION("""COMPUTED_VALUE"""),1051)</f>
        <v>1051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IFERROR(__xludf.DUMMYFUNCTION("""COMPUTED_VALUE"""),1072.8)</f>
        <v>1072.8</v>
      </c>
      <c r="C85" s="16">
        <f>IFERROR(__xludf.DUMMYFUNCTION("""COMPUTED_VALUE"""),45862.6458333333)</f>
        <v>45862.6458333333</v>
      </c>
      <c r="D85" s="17">
        <f>IFERROR(__xludf.DUMMYFUNCTION("""COMPUTED_VALUE"""),1084)</f>
        <v>1084</v>
      </c>
      <c r="E85" s="16">
        <f>IFERROR(__xludf.DUMMYFUNCTION("""COMPUTED_VALUE"""),45862.6458333333)</f>
        <v>45862.6458333333</v>
      </c>
      <c r="F85" s="17">
        <f>IFERROR(__xludf.DUMMYFUNCTION("""COMPUTED_VALUE"""),6264546)</f>
        <v>6264546</v>
      </c>
      <c r="G85" s="16">
        <f>IFERROR(__xludf.DUMMYFUNCTION("""COMPUTED_VALUE"""),45862.6458333333)</f>
        <v>45862.6458333333</v>
      </c>
      <c r="H85" s="17">
        <f>IFERROR(__xludf.DUMMYFUNCTION("""COMPUTED_VALUE"""),1104.5)</f>
        <v>1104.5</v>
      </c>
      <c r="I85" s="16">
        <f>IFERROR(__xludf.DUMMYFUNCTION("""COMPUTED_VALUE"""),45862.6458333333)</f>
        <v>45862.6458333333</v>
      </c>
      <c r="J85" s="17">
        <f>IFERROR(__xludf.DUMMYFUNCTION("""COMPUTED_VALUE"""),1065.5)</f>
        <v>1065.5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IFERROR(__xludf.DUMMYFUNCTION("""COMPUTED_VALUE"""),1054.4)</f>
        <v>1054.4</v>
      </c>
      <c r="C86" s="16">
        <f>IFERROR(__xludf.DUMMYFUNCTION("""COMPUTED_VALUE"""),45863.6458333333)</f>
        <v>45863.6458333333</v>
      </c>
      <c r="D86" s="17">
        <f>IFERROR(__xludf.DUMMYFUNCTION("""COMPUTED_VALUE"""),1078)</f>
        <v>1078</v>
      </c>
      <c r="E86" s="16">
        <f>IFERROR(__xludf.DUMMYFUNCTION("""COMPUTED_VALUE"""),45863.6458333333)</f>
        <v>45863.6458333333</v>
      </c>
      <c r="F86" s="17">
        <f>IFERROR(__xludf.DUMMYFUNCTION("""COMPUTED_VALUE"""),1180451)</f>
        <v>1180451</v>
      </c>
      <c r="G86" s="16">
        <f>IFERROR(__xludf.DUMMYFUNCTION("""COMPUTED_VALUE"""),45863.6458333333)</f>
        <v>45863.6458333333</v>
      </c>
      <c r="H86" s="17">
        <f>IFERROR(__xludf.DUMMYFUNCTION("""COMPUTED_VALUE"""),1079.8)</f>
        <v>1079.8</v>
      </c>
      <c r="I86" s="16">
        <f>IFERROR(__xludf.DUMMYFUNCTION("""COMPUTED_VALUE"""),45863.6458333333)</f>
        <v>45863.6458333333</v>
      </c>
      <c r="J86" s="17">
        <f>IFERROR(__xludf.DUMMYFUNCTION("""COMPUTED_VALUE"""),1050)</f>
        <v>1050</v>
      </c>
      <c r="K86" s="3">
        <f t="shared" si="2"/>
        <v>0</v>
      </c>
      <c r="L86" s="3">
        <f t="shared" si="3"/>
        <v>1054.4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IFERROR(__xludf.DUMMYFUNCTION("""COMPUTED_VALUE"""),1059.9)</f>
        <v>1059.9</v>
      </c>
      <c r="C87" s="16">
        <f>IFERROR(__xludf.DUMMYFUNCTION("""COMPUTED_VALUE"""),45866.6458333333)</f>
        <v>45866.6458333333</v>
      </c>
      <c r="D87" s="17">
        <f>IFERROR(__xludf.DUMMYFUNCTION("""COMPUTED_VALUE"""),1048)</f>
        <v>1048</v>
      </c>
      <c r="E87" s="16">
        <f>IFERROR(__xludf.DUMMYFUNCTION("""COMPUTED_VALUE"""),45866.6458333333)</f>
        <v>45866.6458333333</v>
      </c>
      <c r="F87" s="17">
        <f>IFERROR(__xludf.DUMMYFUNCTION("""COMPUTED_VALUE"""),1219854)</f>
        <v>1219854</v>
      </c>
      <c r="G87" s="16">
        <f>IFERROR(__xludf.DUMMYFUNCTION("""COMPUTED_VALUE"""),45866.6458333333)</f>
        <v>45866.6458333333</v>
      </c>
      <c r="H87" s="17">
        <f>IFERROR(__xludf.DUMMYFUNCTION("""COMPUTED_VALUE"""),1071)</f>
        <v>1071</v>
      </c>
      <c r="I87" s="16">
        <f>IFERROR(__xludf.DUMMYFUNCTION("""COMPUTED_VALUE"""),45866.6458333333)</f>
        <v>45866.6458333333</v>
      </c>
      <c r="J87" s="17">
        <f>IFERROR(__xludf.DUMMYFUNCTION("""COMPUTED_VALUE"""),1044.4)</f>
        <v>1044.4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IFERROR(__xludf.DUMMYFUNCTION("""COMPUTED_VALUE"""),1061.6)</f>
        <v>1061.6</v>
      </c>
      <c r="C88" s="16">
        <f>IFERROR(__xludf.DUMMYFUNCTION("""COMPUTED_VALUE"""),45867.6458333333)</f>
        <v>45867.6458333333</v>
      </c>
      <c r="D88" s="17">
        <f>IFERROR(__xludf.DUMMYFUNCTION("""COMPUTED_VALUE"""),1059.9)</f>
        <v>1059.9</v>
      </c>
      <c r="E88" s="16">
        <f>IFERROR(__xludf.DUMMYFUNCTION("""COMPUTED_VALUE"""),45867.6458333333)</f>
        <v>45867.6458333333</v>
      </c>
      <c r="F88" s="17">
        <f>IFERROR(__xludf.DUMMYFUNCTION("""COMPUTED_VALUE"""),944513)</f>
        <v>944513</v>
      </c>
      <c r="G88" s="16">
        <f>IFERROR(__xludf.DUMMYFUNCTION("""COMPUTED_VALUE"""),45867.6458333333)</f>
        <v>45867.6458333333</v>
      </c>
      <c r="H88" s="17">
        <f>IFERROR(__xludf.DUMMYFUNCTION("""COMPUTED_VALUE"""),1076.2)</f>
        <v>1076.2</v>
      </c>
      <c r="I88" s="16">
        <f>IFERROR(__xludf.DUMMYFUNCTION("""COMPUTED_VALUE"""),45867.6458333333)</f>
        <v>45867.6458333333</v>
      </c>
      <c r="J88" s="17">
        <f>IFERROR(__xludf.DUMMYFUNCTION("""COMPUTED_VALUE"""),1054)</f>
        <v>1054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IFERROR(__xludf.DUMMYFUNCTION("""COMPUTED_VALUE"""),1073.1)</f>
        <v>1073.1</v>
      </c>
      <c r="C89" s="16">
        <f>IFERROR(__xludf.DUMMYFUNCTION("""COMPUTED_VALUE"""),45868.6458333333)</f>
        <v>45868.6458333333</v>
      </c>
      <c r="D89" s="17">
        <f>IFERROR(__xludf.DUMMYFUNCTION("""COMPUTED_VALUE"""),1056)</f>
        <v>1056</v>
      </c>
      <c r="E89" s="16">
        <f>IFERROR(__xludf.DUMMYFUNCTION("""COMPUTED_VALUE"""),45868.6458333333)</f>
        <v>45868.6458333333</v>
      </c>
      <c r="F89" s="17">
        <f>IFERROR(__xludf.DUMMYFUNCTION("""COMPUTED_VALUE"""),1175543)</f>
        <v>1175543</v>
      </c>
      <c r="G89" s="16">
        <f>IFERROR(__xludf.DUMMYFUNCTION("""COMPUTED_VALUE"""),45868.6458333333)</f>
        <v>45868.6458333333</v>
      </c>
      <c r="H89" s="17">
        <f>IFERROR(__xludf.DUMMYFUNCTION("""COMPUTED_VALUE"""),1083)</f>
        <v>1083</v>
      </c>
      <c r="I89" s="16">
        <f>IFERROR(__xludf.DUMMYFUNCTION("""COMPUTED_VALUE"""),45868.6458333333)</f>
        <v>45868.6458333333</v>
      </c>
      <c r="J89" s="17">
        <f>IFERROR(__xludf.DUMMYFUNCTION("""COMPUTED_VALUE"""),1056)</f>
        <v>1056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IFERROR(__xludf.DUMMYFUNCTION("""COMPUTED_VALUE"""),1073.2)</f>
        <v>1073.2</v>
      </c>
      <c r="C90" s="16">
        <f>IFERROR(__xludf.DUMMYFUNCTION("""COMPUTED_VALUE"""),45869.6458333333)</f>
        <v>45869.6458333333</v>
      </c>
      <c r="D90" s="17">
        <f>IFERROR(__xludf.DUMMYFUNCTION("""COMPUTED_VALUE"""),1068.7)</f>
        <v>1068.7</v>
      </c>
      <c r="E90" s="16">
        <f>IFERROR(__xludf.DUMMYFUNCTION("""COMPUTED_VALUE"""),45869.6458333333)</f>
        <v>45869.6458333333</v>
      </c>
      <c r="F90" s="17">
        <f>IFERROR(__xludf.DUMMYFUNCTION("""COMPUTED_VALUE"""),1114320)</f>
        <v>1114320</v>
      </c>
      <c r="G90" s="16">
        <f>IFERROR(__xludf.DUMMYFUNCTION("""COMPUTED_VALUE"""),45869.6458333333)</f>
        <v>45869.6458333333</v>
      </c>
      <c r="H90" s="17">
        <f>IFERROR(__xludf.DUMMYFUNCTION("""COMPUTED_VALUE"""),1079.7)</f>
        <v>1079.7</v>
      </c>
      <c r="I90" s="16">
        <f>IFERROR(__xludf.DUMMYFUNCTION("""COMPUTED_VALUE"""),45869.6458333333)</f>
        <v>45869.6458333333</v>
      </c>
      <c r="J90" s="17">
        <f>IFERROR(__xludf.DUMMYFUNCTION("""COMPUTED_VALUE"""),1054.5)</f>
        <v>1054.5</v>
      </c>
      <c r="K90" s="3">
        <f t="shared" si="2"/>
        <v>1073.2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IFERROR(__xludf.DUMMYFUNCTION("""COMPUTED_VALUE"""),1070.4)</f>
        <v>1070.4</v>
      </c>
      <c r="C91" s="16">
        <f>IFERROR(__xludf.DUMMYFUNCTION("""COMPUTED_VALUE"""),45870.6458333333)</f>
        <v>45870.6458333333</v>
      </c>
      <c r="D91" s="17">
        <f>IFERROR(__xludf.DUMMYFUNCTION("""COMPUTED_VALUE"""),1067.1)</f>
        <v>1067.1</v>
      </c>
      <c r="E91" s="16">
        <f>IFERROR(__xludf.DUMMYFUNCTION("""COMPUTED_VALUE"""),45870.6458333333)</f>
        <v>45870.6458333333</v>
      </c>
      <c r="F91" s="17">
        <f>IFERROR(__xludf.DUMMYFUNCTION("""COMPUTED_VALUE"""),1040166)</f>
        <v>1040166</v>
      </c>
      <c r="G91" s="16">
        <f>IFERROR(__xludf.DUMMYFUNCTION("""COMPUTED_VALUE"""),45870.6458333333)</f>
        <v>45870.6458333333</v>
      </c>
      <c r="H91" s="17">
        <f>IFERROR(__xludf.DUMMYFUNCTION("""COMPUTED_VALUE"""),1089.9)</f>
        <v>1089.9</v>
      </c>
      <c r="I91" s="16">
        <f>IFERROR(__xludf.DUMMYFUNCTION("""COMPUTED_VALUE"""),45870.6458333333)</f>
        <v>45870.6458333333</v>
      </c>
      <c r="J91" s="17">
        <f>IFERROR(__xludf.DUMMYFUNCTION("""COMPUTED_VALUE"""),1067)</f>
        <v>1067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IFERROR(__xludf.DUMMYFUNCTION("""COMPUTED_VALUE"""),1072.6)</f>
        <v>1072.6</v>
      </c>
      <c r="C92" s="16">
        <f>IFERROR(__xludf.DUMMYFUNCTION("""COMPUTED_VALUE"""),45873.6458333333)</f>
        <v>45873.6458333333</v>
      </c>
      <c r="D92" s="17">
        <f>IFERROR(__xludf.DUMMYFUNCTION("""COMPUTED_VALUE"""),1070.4)</f>
        <v>1070.4</v>
      </c>
      <c r="E92" s="16">
        <f>IFERROR(__xludf.DUMMYFUNCTION("""COMPUTED_VALUE"""),45873.6458333333)</f>
        <v>45873.6458333333</v>
      </c>
      <c r="F92" s="17">
        <f>IFERROR(__xludf.DUMMYFUNCTION("""COMPUTED_VALUE"""),663828)</f>
        <v>663828</v>
      </c>
      <c r="G92" s="16">
        <f>IFERROR(__xludf.DUMMYFUNCTION("""COMPUTED_VALUE"""),45873.6458333333)</f>
        <v>45873.6458333333</v>
      </c>
      <c r="H92" s="17">
        <f>IFERROR(__xludf.DUMMYFUNCTION("""COMPUTED_VALUE"""),1075.6)</f>
        <v>1075.6</v>
      </c>
      <c r="I92" s="16">
        <f>IFERROR(__xludf.DUMMYFUNCTION("""COMPUTED_VALUE"""),45873.6458333333)</f>
        <v>45873.6458333333</v>
      </c>
      <c r="J92" s="17">
        <f>IFERROR(__xludf.DUMMYFUNCTION("""COMPUTED_VALUE"""),1060)</f>
        <v>1060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IFERROR(__xludf.DUMMYFUNCTION("""COMPUTED_VALUE"""),1064.6)</f>
        <v>1064.6</v>
      </c>
      <c r="C93" s="16">
        <f>IFERROR(__xludf.DUMMYFUNCTION("""COMPUTED_VALUE"""),45874.6458333333)</f>
        <v>45874.6458333333</v>
      </c>
      <c r="D93" s="17">
        <f>IFERROR(__xludf.DUMMYFUNCTION("""COMPUTED_VALUE"""),1072.6)</f>
        <v>1072.6</v>
      </c>
      <c r="E93" s="16">
        <f>IFERROR(__xludf.DUMMYFUNCTION("""COMPUTED_VALUE"""),45874.6458333333)</f>
        <v>45874.6458333333</v>
      </c>
      <c r="F93" s="17">
        <f>IFERROR(__xludf.DUMMYFUNCTION("""COMPUTED_VALUE"""),861402)</f>
        <v>861402</v>
      </c>
      <c r="G93" s="16">
        <f>IFERROR(__xludf.DUMMYFUNCTION("""COMPUTED_VALUE"""),45874.6458333333)</f>
        <v>45874.6458333333</v>
      </c>
      <c r="H93" s="17">
        <f>IFERROR(__xludf.DUMMYFUNCTION("""COMPUTED_VALUE"""),1073)</f>
        <v>1073</v>
      </c>
      <c r="I93" s="16">
        <f>IFERROR(__xludf.DUMMYFUNCTION("""COMPUTED_VALUE"""),45874.6458333333)</f>
        <v>45874.6458333333</v>
      </c>
      <c r="J93" s="17">
        <f>IFERROR(__xludf.DUMMYFUNCTION("""COMPUTED_VALUE"""),1059.1)</f>
        <v>1059.1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IFERROR(__xludf.DUMMYFUNCTION("""COMPUTED_VALUE"""),1052.8)</f>
        <v>1052.8</v>
      </c>
      <c r="C94" s="16">
        <f>IFERROR(__xludf.DUMMYFUNCTION("""COMPUTED_VALUE"""),45875.6458333333)</f>
        <v>45875.6458333333</v>
      </c>
      <c r="D94" s="17">
        <f>IFERROR(__xludf.DUMMYFUNCTION("""COMPUTED_VALUE"""),1061)</f>
        <v>1061</v>
      </c>
      <c r="E94" s="16">
        <f>IFERROR(__xludf.DUMMYFUNCTION("""COMPUTED_VALUE"""),45875.6458333333)</f>
        <v>45875.6458333333</v>
      </c>
      <c r="F94" s="17">
        <f>IFERROR(__xludf.DUMMYFUNCTION("""COMPUTED_VALUE"""),598309)</f>
        <v>598309</v>
      </c>
      <c r="G94" s="16">
        <f>IFERROR(__xludf.DUMMYFUNCTION("""COMPUTED_VALUE"""),45875.6458333333)</f>
        <v>45875.6458333333</v>
      </c>
      <c r="H94" s="17">
        <f>IFERROR(__xludf.DUMMYFUNCTION("""COMPUTED_VALUE"""),1067.3)</f>
        <v>1067.3</v>
      </c>
      <c r="I94" s="16">
        <f>IFERROR(__xludf.DUMMYFUNCTION("""COMPUTED_VALUE"""),45875.6458333333)</f>
        <v>45875.6458333333</v>
      </c>
      <c r="J94" s="17">
        <f>IFERROR(__xludf.DUMMYFUNCTION("""COMPUTED_VALUE"""),1050.6)</f>
        <v>1050.6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IFERROR(__xludf.DUMMYFUNCTION("""COMPUTED_VALUE"""),1052.8)</f>
        <v>1052.8</v>
      </c>
      <c r="C95" s="16">
        <f>IFERROR(__xludf.DUMMYFUNCTION("""COMPUTED_VALUE"""),45876.6458333333)</f>
        <v>45876.6458333333</v>
      </c>
      <c r="D95" s="17">
        <f>IFERROR(__xludf.DUMMYFUNCTION("""COMPUTED_VALUE"""),1051)</f>
        <v>1051</v>
      </c>
      <c r="E95" s="16">
        <f>IFERROR(__xludf.DUMMYFUNCTION("""COMPUTED_VALUE"""),45876.6458333333)</f>
        <v>45876.6458333333</v>
      </c>
      <c r="F95" s="17">
        <f>IFERROR(__xludf.DUMMYFUNCTION("""COMPUTED_VALUE"""),600790)</f>
        <v>600790</v>
      </c>
      <c r="G95" s="16">
        <f>IFERROR(__xludf.DUMMYFUNCTION("""COMPUTED_VALUE"""),45876.6458333333)</f>
        <v>45876.6458333333</v>
      </c>
      <c r="H95" s="17">
        <f>IFERROR(__xludf.DUMMYFUNCTION("""COMPUTED_VALUE"""),1056.5)</f>
        <v>1056.5</v>
      </c>
      <c r="I95" s="16">
        <f>IFERROR(__xludf.DUMMYFUNCTION("""COMPUTED_VALUE"""),45876.6458333333)</f>
        <v>45876.6458333333</v>
      </c>
      <c r="J95" s="17">
        <f>IFERROR(__xludf.DUMMYFUNCTION("""COMPUTED_VALUE"""),1038.7)</f>
        <v>1038.7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IFERROR(__xludf.DUMMYFUNCTION("""COMPUTED_VALUE"""),1051)</f>
        <v>1051</v>
      </c>
      <c r="C96" s="16">
        <f>IFERROR(__xludf.DUMMYFUNCTION("""COMPUTED_VALUE"""),45877.6458333333)</f>
        <v>45877.6458333333</v>
      </c>
      <c r="D96" s="17">
        <f>IFERROR(__xludf.DUMMYFUNCTION("""COMPUTED_VALUE"""),1052)</f>
        <v>1052</v>
      </c>
      <c r="E96" s="16">
        <f>IFERROR(__xludf.DUMMYFUNCTION("""COMPUTED_VALUE"""),45877.6458333333)</f>
        <v>45877.6458333333</v>
      </c>
      <c r="F96" s="17">
        <f>IFERROR(__xludf.DUMMYFUNCTION("""COMPUTED_VALUE"""),843741)</f>
        <v>843741</v>
      </c>
      <c r="G96" s="16">
        <f>IFERROR(__xludf.DUMMYFUNCTION("""COMPUTED_VALUE"""),45877.6458333333)</f>
        <v>45877.6458333333</v>
      </c>
      <c r="H96" s="17">
        <f>IFERROR(__xludf.DUMMYFUNCTION("""COMPUTED_VALUE"""),1062)</f>
        <v>1062</v>
      </c>
      <c r="I96" s="16">
        <f>IFERROR(__xludf.DUMMYFUNCTION("""COMPUTED_VALUE"""),45877.6458333333)</f>
        <v>45877.6458333333</v>
      </c>
      <c r="J96" s="17">
        <f>IFERROR(__xludf.DUMMYFUNCTION("""COMPUTED_VALUE"""),1043)</f>
        <v>1043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IFERROR(__xludf.DUMMYFUNCTION("""COMPUTED_VALUE"""),1059.1)</f>
        <v>1059.1</v>
      </c>
      <c r="C97" s="16">
        <f>IFERROR(__xludf.DUMMYFUNCTION("""COMPUTED_VALUE"""),45880.6458333333)</f>
        <v>45880.6458333333</v>
      </c>
      <c r="D97" s="17">
        <f>IFERROR(__xludf.DUMMYFUNCTION("""COMPUTED_VALUE"""),1048)</f>
        <v>1048</v>
      </c>
      <c r="E97" s="16">
        <f>IFERROR(__xludf.DUMMYFUNCTION("""COMPUTED_VALUE"""),45880.6458333333)</f>
        <v>45880.6458333333</v>
      </c>
      <c r="F97" s="17">
        <f>IFERROR(__xludf.DUMMYFUNCTION("""COMPUTED_VALUE"""),617689)</f>
        <v>617689</v>
      </c>
      <c r="G97" s="16">
        <f>IFERROR(__xludf.DUMMYFUNCTION("""COMPUTED_VALUE"""),45880.6458333333)</f>
        <v>45880.6458333333</v>
      </c>
      <c r="H97" s="17">
        <f>IFERROR(__xludf.DUMMYFUNCTION("""COMPUTED_VALUE"""),1062.9)</f>
        <v>1062.9</v>
      </c>
      <c r="I97" s="16">
        <f>IFERROR(__xludf.DUMMYFUNCTION("""COMPUTED_VALUE"""),45880.6458333333)</f>
        <v>45880.6458333333</v>
      </c>
      <c r="J97" s="17">
        <f>IFERROR(__xludf.DUMMYFUNCTION("""COMPUTED_VALUE"""),1037.7)</f>
        <v>1037.7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IFERROR(__xludf.DUMMYFUNCTION("""COMPUTED_VALUE"""),1046.8)</f>
        <v>1046.8</v>
      </c>
      <c r="C98" s="16">
        <f>IFERROR(__xludf.DUMMYFUNCTION("""COMPUTED_VALUE"""),45881.6458333333)</f>
        <v>45881.6458333333</v>
      </c>
      <c r="D98" s="17">
        <f>IFERROR(__xludf.DUMMYFUNCTION("""COMPUTED_VALUE"""),1055.8)</f>
        <v>1055.8</v>
      </c>
      <c r="E98" s="16">
        <f>IFERROR(__xludf.DUMMYFUNCTION("""COMPUTED_VALUE"""),45881.6458333333)</f>
        <v>45881.6458333333</v>
      </c>
      <c r="F98" s="17">
        <f>IFERROR(__xludf.DUMMYFUNCTION("""COMPUTED_VALUE"""),651741)</f>
        <v>651741</v>
      </c>
      <c r="G98" s="16">
        <f>IFERROR(__xludf.DUMMYFUNCTION("""COMPUTED_VALUE"""),45881.6458333333)</f>
        <v>45881.6458333333</v>
      </c>
      <c r="H98" s="17">
        <f>IFERROR(__xludf.DUMMYFUNCTION("""COMPUTED_VALUE"""),1062.9)</f>
        <v>1062.9</v>
      </c>
      <c r="I98" s="16">
        <f>IFERROR(__xludf.DUMMYFUNCTION("""COMPUTED_VALUE"""),45881.6458333333)</f>
        <v>45881.6458333333</v>
      </c>
      <c r="J98" s="17">
        <f>IFERROR(__xludf.DUMMYFUNCTION("""COMPUTED_VALUE"""),1045)</f>
        <v>1045</v>
      </c>
      <c r="K98" s="3">
        <f t="shared" si="2"/>
        <v>0</v>
      </c>
      <c r="L98" s="3">
        <f t="shared" si="3"/>
        <v>1046.8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IFERROR(__xludf.DUMMYFUNCTION("""COMPUTED_VALUE"""),1056.1)</f>
        <v>1056.1</v>
      </c>
      <c r="C99" s="16">
        <f>IFERROR(__xludf.DUMMYFUNCTION("""COMPUTED_VALUE"""),45882.6458333333)</f>
        <v>45882.6458333333</v>
      </c>
      <c r="D99" s="17">
        <f>IFERROR(__xludf.DUMMYFUNCTION("""COMPUTED_VALUE"""),1047.8)</f>
        <v>1047.8</v>
      </c>
      <c r="E99" s="16">
        <f>IFERROR(__xludf.DUMMYFUNCTION("""COMPUTED_VALUE"""),45882.6458333333)</f>
        <v>45882.6458333333</v>
      </c>
      <c r="F99" s="17">
        <f>IFERROR(__xludf.DUMMYFUNCTION("""COMPUTED_VALUE"""),501792)</f>
        <v>501792</v>
      </c>
      <c r="G99" s="16">
        <f>IFERROR(__xludf.DUMMYFUNCTION("""COMPUTED_VALUE"""),45882.6458333333)</f>
        <v>45882.6458333333</v>
      </c>
      <c r="H99" s="17">
        <f>IFERROR(__xludf.DUMMYFUNCTION("""COMPUTED_VALUE"""),1058.7)</f>
        <v>1058.7</v>
      </c>
      <c r="I99" s="16">
        <f>IFERROR(__xludf.DUMMYFUNCTION("""COMPUTED_VALUE"""),45882.6458333333)</f>
        <v>45882.6458333333</v>
      </c>
      <c r="J99" s="17">
        <f>IFERROR(__xludf.DUMMYFUNCTION("""COMPUTED_VALUE"""),1043.2)</f>
        <v>1043.2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IFERROR(__xludf.DUMMYFUNCTION("""COMPUTED_VALUE"""),1051.2)</f>
        <v>1051.2</v>
      </c>
      <c r="C100" s="16">
        <f>IFERROR(__xludf.DUMMYFUNCTION("""COMPUTED_VALUE"""),45883.6458333333)</f>
        <v>45883.6458333333</v>
      </c>
      <c r="D100" s="17">
        <f>IFERROR(__xludf.DUMMYFUNCTION("""COMPUTED_VALUE"""),1057.2)</f>
        <v>1057.2</v>
      </c>
      <c r="E100" s="16">
        <f>IFERROR(__xludf.DUMMYFUNCTION("""COMPUTED_VALUE"""),45883.6458333333)</f>
        <v>45883.6458333333</v>
      </c>
      <c r="F100" s="17">
        <f>IFERROR(__xludf.DUMMYFUNCTION("""COMPUTED_VALUE"""),767620)</f>
        <v>767620</v>
      </c>
      <c r="G100" s="16">
        <f>IFERROR(__xludf.DUMMYFUNCTION("""COMPUTED_VALUE"""),45883.6458333333)</f>
        <v>45883.6458333333</v>
      </c>
      <c r="H100" s="17">
        <f>IFERROR(__xludf.DUMMYFUNCTION("""COMPUTED_VALUE"""),1059.4)</f>
        <v>1059.4</v>
      </c>
      <c r="I100" s="16">
        <f>IFERROR(__xludf.DUMMYFUNCTION("""COMPUTED_VALUE"""),45883.6458333333)</f>
        <v>45883.6458333333</v>
      </c>
      <c r="J100" s="17">
        <f>IFERROR(__xludf.DUMMYFUNCTION("""COMPUTED_VALUE"""),1045.4)</f>
        <v>1045.4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IFERROR(__xludf.DUMMYFUNCTION("""COMPUTED_VALUE"""),1071.3)</f>
        <v>1071.3</v>
      </c>
      <c r="C101" s="16">
        <f>IFERROR(__xludf.DUMMYFUNCTION("""COMPUTED_VALUE"""),45887.6458333333)</f>
        <v>45887.6458333333</v>
      </c>
      <c r="D101" s="17">
        <f>IFERROR(__xludf.DUMMYFUNCTION("""COMPUTED_VALUE"""),1061)</f>
        <v>1061</v>
      </c>
      <c r="E101" s="16">
        <f>IFERROR(__xludf.DUMMYFUNCTION("""COMPUTED_VALUE"""),45887.6458333333)</f>
        <v>45887.6458333333</v>
      </c>
      <c r="F101" s="17">
        <f>IFERROR(__xludf.DUMMYFUNCTION("""COMPUTED_VALUE"""),1099268)</f>
        <v>1099268</v>
      </c>
      <c r="G101" s="16">
        <f>IFERROR(__xludf.DUMMYFUNCTION("""COMPUTED_VALUE"""),45887.6458333333)</f>
        <v>45887.6458333333</v>
      </c>
      <c r="H101" s="17">
        <f>IFERROR(__xludf.DUMMYFUNCTION("""COMPUTED_VALUE"""),1090)</f>
        <v>1090</v>
      </c>
      <c r="I101" s="16">
        <f>IFERROR(__xludf.DUMMYFUNCTION("""COMPUTED_VALUE"""),45887.6458333333)</f>
        <v>45887.6458333333</v>
      </c>
      <c r="J101" s="17">
        <f>IFERROR(__xludf.DUMMYFUNCTION("""COMPUTED_VALUE"""),1059)</f>
        <v>1059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IFERROR(__xludf.DUMMYFUNCTION("""COMPUTED_VALUE"""),1085.8)</f>
        <v>1085.8</v>
      </c>
      <c r="C102" s="16">
        <f>IFERROR(__xludf.DUMMYFUNCTION("""COMPUTED_VALUE"""),45888.6458333333)</f>
        <v>45888.6458333333</v>
      </c>
      <c r="D102" s="17">
        <f>IFERROR(__xludf.DUMMYFUNCTION("""COMPUTED_VALUE"""),1076.7)</f>
        <v>1076.7</v>
      </c>
      <c r="E102" s="16">
        <f>IFERROR(__xludf.DUMMYFUNCTION("""COMPUTED_VALUE"""),45888.6458333333)</f>
        <v>45888.6458333333</v>
      </c>
      <c r="F102" s="17">
        <f>IFERROR(__xludf.DUMMYFUNCTION("""COMPUTED_VALUE"""),667231)</f>
        <v>667231</v>
      </c>
      <c r="G102" s="16">
        <f>IFERROR(__xludf.DUMMYFUNCTION("""COMPUTED_VALUE"""),45888.6458333333)</f>
        <v>45888.6458333333</v>
      </c>
      <c r="H102" s="17">
        <f>IFERROR(__xludf.DUMMYFUNCTION("""COMPUTED_VALUE"""),1092.9)</f>
        <v>1092.9</v>
      </c>
      <c r="I102" s="16">
        <f>IFERROR(__xludf.DUMMYFUNCTION("""COMPUTED_VALUE"""),45888.6458333333)</f>
        <v>45888.6458333333</v>
      </c>
      <c r="J102" s="17">
        <f>IFERROR(__xludf.DUMMYFUNCTION("""COMPUTED_VALUE"""),1069)</f>
        <v>1069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IFERROR(__xludf.DUMMYFUNCTION("""COMPUTED_VALUE"""),1105.3)</f>
        <v>1105.3</v>
      </c>
      <c r="C103" s="16">
        <f>IFERROR(__xludf.DUMMYFUNCTION("""COMPUTED_VALUE"""),45889.6458333333)</f>
        <v>45889.6458333333</v>
      </c>
      <c r="D103" s="17">
        <f>IFERROR(__xludf.DUMMYFUNCTION("""COMPUTED_VALUE"""),1086)</f>
        <v>1086</v>
      </c>
      <c r="E103" s="16">
        <f>IFERROR(__xludf.DUMMYFUNCTION("""COMPUTED_VALUE"""),45889.6458333333)</f>
        <v>45889.6458333333</v>
      </c>
      <c r="F103" s="17">
        <f>IFERROR(__xludf.DUMMYFUNCTION("""COMPUTED_VALUE"""),871108)</f>
        <v>871108</v>
      </c>
      <c r="G103" s="16">
        <f>IFERROR(__xludf.DUMMYFUNCTION("""COMPUTED_VALUE"""),45889.6458333333)</f>
        <v>45889.6458333333</v>
      </c>
      <c r="H103" s="17">
        <f>IFERROR(__xludf.DUMMYFUNCTION("""COMPUTED_VALUE"""),1106.9)</f>
        <v>1106.9</v>
      </c>
      <c r="I103" s="16">
        <f>IFERROR(__xludf.DUMMYFUNCTION("""COMPUTED_VALUE"""),45889.6458333333)</f>
        <v>45889.6458333333</v>
      </c>
      <c r="J103" s="17">
        <f>IFERROR(__xludf.DUMMYFUNCTION("""COMPUTED_VALUE"""),1078.9)</f>
        <v>1078.9</v>
      </c>
      <c r="K103" s="3">
        <f t="shared" si="2"/>
        <v>1105.3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IFERROR(__xludf.DUMMYFUNCTION("""COMPUTED_VALUE"""),1088.1)</f>
        <v>1088.1</v>
      </c>
      <c r="C104" s="16">
        <f>IFERROR(__xludf.DUMMYFUNCTION("""COMPUTED_VALUE"""),45890.6458333333)</f>
        <v>45890.6458333333</v>
      </c>
      <c r="D104" s="17">
        <f>IFERROR(__xludf.DUMMYFUNCTION("""COMPUTED_VALUE"""),1104)</f>
        <v>1104</v>
      </c>
      <c r="E104" s="16">
        <f>IFERROR(__xludf.DUMMYFUNCTION("""COMPUTED_VALUE"""),45890.6458333333)</f>
        <v>45890.6458333333</v>
      </c>
      <c r="F104" s="17">
        <f>IFERROR(__xludf.DUMMYFUNCTION("""COMPUTED_VALUE"""),614098)</f>
        <v>614098</v>
      </c>
      <c r="G104" s="16">
        <f>IFERROR(__xludf.DUMMYFUNCTION("""COMPUTED_VALUE"""),45890.6458333333)</f>
        <v>45890.6458333333</v>
      </c>
      <c r="H104" s="17">
        <f>IFERROR(__xludf.DUMMYFUNCTION("""COMPUTED_VALUE"""),1104)</f>
        <v>1104</v>
      </c>
      <c r="I104" s="16">
        <f>IFERROR(__xludf.DUMMYFUNCTION("""COMPUTED_VALUE"""),45890.6458333333)</f>
        <v>45890.6458333333</v>
      </c>
      <c r="J104" s="17">
        <f>IFERROR(__xludf.DUMMYFUNCTION("""COMPUTED_VALUE"""),1086.5)</f>
        <v>1086.5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IFERROR(__xludf.DUMMYFUNCTION("""COMPUTED_VALUE"""),1084.1)</f>
        <v>1084.1</v>
      </c>
      <c r="C105" s="16">
        <f>IFERROR(__xludf.DUMMYFUNCTION("""COMPUTED_VALUE"""),45891.6458333333)</f>
        <v>45891.6458333333</v>
      </c>
      <c r="D105" s="17">
        <f>IFERROR(__xludf.DUMMYFUNCTION("""COMPUTED_VALUE"""),1087.2)</f>
        <v>1087.2</v>
      </c>
      <c r="E105" s="16">
        <f>IFERROR(__xludf.DUMMYFUNCTION("""COMPUTED_VALUE"""),45891.6458333333)</f>
        <v>45891.6458333333</v>
      </c>
      <c r="F105" s="17">
        <f>IFERROR(__xludf.DUMMYFUNCTION("""COMPUTED_VALUE"""),394813)</f>
        <v>394813</v>
      </c>
      <c r="G105" s="16">
        <f>IFERROR(__xludf.DUMMYFUNCTION("""COMPUTED_VALUE"""),45891.6458333333)</f>
        <v>45891.6458333333</v>
      </c>
      <c r="H105" s="17">
        <f>IFERROR(__xludf.DUMMYFUNCTION("""COMPUTED_VALUE"""),1091.7)</f>
        <v>1091.7</v>
      </c>
      <c r="I105" s="16">
        <f>IFERROR(__xludf.DUMMYFUNCTION("""COMPUTED_VALUE"""),45891.6458333333)</f>
        <v>45891.6458333333</v>
      </c>
      <c r="J105" s="17">
        <f>IFERROR(__xludf.DUMMYFUNCTION("""COMPUTED_VALUE"""),1080)</f>
        <v>1080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IFERROR(__xludf.DUMMYFUNCTION("""COMPUTED_VALUE"""),1081.6)</f>
        <v>1081.6</v>
      </c>
      <c r="C106" s="16">
        <f>IFERROR(__xludf.DUMMYFUNCTION("""COMPUTED_VALUE"""),45894.6458333333)</f>
        <v>45894.6458333333</v>
      </c>
      <c r="D106" s="17">
        <f>IFERROR(__xludf.DUMMYFUNCTION("""COMPUTED_VALUE"""),1085)</f>
        <v>1085</v>
      </c>
      <c r="E106" s="16">
        <f>IFERROR(__xludf.DUMMYFUNCTION("""COMPUTED_VALUE"""),45894.6458333333)</f>
        <v>45894.6458333333</v>
      </c>
      <c r="F106" s="17">
        <f>IFERROR(__xludf.DUMMYFUNCTION("""COMPUTED_VALUE"""),444715)</f>
        <v>444715</v>
      </c>
      <c r="G106" s="16">
        <f>IFERROR(__xludf.DUMMYFUNCTION("""COMPUTED_VALUE"""),45894.6458333333)</f>
        <v>45894.6458333333</v>
      </c>
      <c r="H106" s="17">
        <f>IFERROR(__xludf.DUMMYFUNCTION("""COMPUTED_VALUE"""),1091.3)</f>
        <v>1091.3</v>
      </c>
      <c r="I106" s="16">
        <f>IFERROR(__xludf.DUMMYFUNCTION("""COMPUTED_VALUE"""),45894.6458333333)</f>
        <v>45894.6458333333</v>
      </c>
      <c r="J106" s="17">
        <f>IFERROR(__xludf.DUMMYFUNCTION("""COMPUTED_VALUE"""),1079.1)</f>
        <v>1079.1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IFERROR(__xludf.DUMMYFUNCTION("""COMPUTED_VALUE"""),1079.9)</f>
        <v>1079.9</v>
      </c>
      <c r="C107" s="16">
        <f>IFERROR(__xludf.DUMMYFUNCTION("""COMPUTED_VALUE"""),45895.6458333333)</f>
        <v>45895.6458333333</v>
      </c>
      <c r="D107" s="17">
        <f>IFERROR(__xludf.DUMMYFUNCTION("""COMPUTED_VALUE"""),1074.1)</f>
        <v>1074.1</v>
      </c>
      <c r="E107" s="16">
        <f>IFERROR(__xludf.DUMMYFUNCTION("""COMPUTED_VALUE"""),45895.6458333333)</f>
        <v>45895.6458333333</v>
      </c>
      <c r="F107" s="17">
        <f>IFERROR(__xludf.DUMMYFUNCTION("""COMPUTED_VALUE"""),1201357)</f>
        <v>1201357</v>
      </c>
      <c r="G107" s="16">
        <f>IFERROR(__xludf.DUMMYFUNCTION("""COMPUTED_VALUE"""),45895.6458333333)</f>
        <v>45895.6458333333</v>
      </c>
      <c r="H107" s="17">
        <f>IFERROR(__xludf.DUMMYFUNCTION("""COMPUTED_VALUE"""),1091.8)</f>
        <v>1091.8</v>
      </c>
      <c r="I107" s="16">
        <f>IFERROR(__xludf.DUMMYFUNCTION("""COMPUTED_VALUE"""),45895.6458333333)</f>
        <v>45895.6458333333</v>
      </c>
      <c r="J107" s="17">
        <f>IFERROR(__xludf.DUMMYFUNCTION("""COMPUTED_VALUE"""),1070.1)</f>
        <v>1070.1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IFERROR(__xludf.DUMMYFUNCTION("""COMPUTED_VALUE"""),1062.4)</f>
        <v>1062.4</v>
      </c>
      <c r="C108" s="16">
        <f>IFERROR(__xludf.DUMMYFUNCTION("""COMPUTED_VALUE"""),45897.6458333333)</f>
        <v>45897.6458333333</v>
      </c>
      <c r="D108" s="17">
        <f>IFERROR(__xludf.DUMMYFUNCTION("""COMPUTED_VALUE"""),1081.5)</f>
        <v>1081.5</v>
      </c>
      <c r="E108" s="16">
        <f>IFERROR(__xludf.DUMMYFUNCTION("""COMPUTED_VALUE"""),45897.6458333333)</f>
        <v>45897.6458333333</v>
      </c>
      <c r="F108" s="17">
        <f>IFERROR(__xludf.DUMMYFUNCTION("""COMPUTED_VALUE"""),641975)</f>
        <v>641975</v>
      </c>
      <c r="G108" s="16">
        <f>IFERROR(__xludf.DUMMYFUNCTION("""COMPUTED_VALUE"""),45897.6458333333)</f>
        <v>45897.6458333333</v>
      </c>
      <c r="H108" s="17">
        <f>IFERROR(__xludf.DUMMYFUNCTION("""COMPUTED_VALUE"""),1085.2)</f>
        <v>1085.2</v>
      </c>
      <c r="I108" s="16">
        <f>IFERROR(__xludf.DUMMYFUNCTION("""COMPUTED_VALUE"""),45897.6458333333)</f>
        <v>45897.6458333333</v>
      </c>
      <c r="J108" s="17">
        <f>IFERROR(__xludf.DUMMYFUNCTION("""COMPUTED_VALUE"""),1060)</f>
        <v>1060</v>
      </c>
      <c r="K108" s="3">
        <f t="shared" si="2"/>
        <v>0</v>
      </c>
      <c r="L108" s="3">
        <f t="shared" si="3"/>
        <v>1062.4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IFERROR(__xludf.DUMMYFUNCTION("""COMPUTED_VALUE"""),1065.4)</f>
        <v>1065.4</v>
      </c>
      <c r="C109" s="16">
        <f>IFERROR(__xludf.DUMMYFUNCTION("""COMPUTED_VALUE"""),45898.6458333333)</f>
        <v>45898.6458333333</v>
      </c>
      <c r="D109" s="17">
        <f>IFERROR(__xludf.DUMMYFUNCTION("""COMPUTED_VALUE"""),1065)</f>
        <v>1065</v>
      </c>
      <c r="E109" s="16">
        <f>IFERROR(__xludf.DUMMYFUNCTION("""COMPUTED_VALUE"""),45898.6458333333)</f>
        <v>45898.6458333333</v>
      </c>
      <c r="F109" s="17">
        <f>IFERROR(__xludf.DUMMYFUNCTION("""COMPUTED_VALUE"""),1079893)</f>
        <v>1079893</v>
      </c>
      <c r="G109" s="16">
        <f>IFERROR(__xludf.DUMMYFUNCTION("""COMPUTED_VALUE"""),45898.6458333333)</f>
        <v>45898.6458333333</v>
      </c>
      <c r="H109" s="17">
        <f>IFERROR(__xludf.DUMMYFUNCTION("""COMPUTED_VALUE"""),1077.5)</f>
        <v>1077.5</v>
      </c>
      <c r="I109" s="16">
        <f>IFERROR(__xludf.DUMMYFUNCTION("""COMPUTED_VALUE"""),45898.6458333333)</f>
        <v>45898.6458333333</v>
      </c>
      <c r="J109" s="17">
        <f>IFERROR(__xludf.DUMMYFUNCTION("""COMPUTED_VALUE"""),1055.2)</f>
        <v>1055.2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IFERROR(__xludf.DUMMYFUNCTION("""COMPUTED_VALUE"""),1075.7)</f>
        <v>1075.7</v>
      </c>
      <c r="C110" s="16">
        <f>IFERROR(__xludf.DUMMYFUNCTION("""COMPUTED_VALUE"""),45901.6458333333)</f>
        <v>45901.6458333333</v>
      </c>
      <c r="D110" s="17">
        <f>IFERROR(__xludf.DUMMYFUNCTION("""COMPUTED_VALUE"""),1059.1)</f>
        <v>1059.1</v>
      </c>
      <c r="E110" s="16">
        <f>IFERROR(__xludf.DUMMYFUNCTION("""COMPUTED_VALUE"""),45901.6458333333)</f>
        <v>45901.6458333333</v>
      </c>
      <c r="F110" s="17">
        <f>IFERROR(__xludf.DUMMYFUNCTION("""COMPUTED_VALUE"""),807324)</f>
        <v>807324</v>
      </c>
      <c r="G110" s="16">
        <f>IFERROR(__xludf.DUMMYFUNCTION("""COMPUTED_VALUE"""),45901.6458333333)</f>
        <v>45901.6458333333</v>
      </c>
      <c r="H110" s="17">
        <f>IFERROR(__xludf.DUMMYFUNCTION("""COMPUTED_VALUE"""),1077)</f>
        <v>1077</v>
      </c>
      <c r="I110" s="16">
        <f>IFERROR(__xludf.DUMMYFUNCTION("""COMPUTED_VALUE"""),45901.6458333333)</f>
        <v>45901.6458333333</v>
      </c>
      <c r="J110" s="17">
        <f>IFERROR(__xludf.DUMMYFUNCTION("""COMPUTED_VALUE"""),1057)</f>
        <v>1057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IFERROR(__xludf.DUMMYFUNCTION("""COMPUTED_VALUE"""),1100.8)</f>
        <v>1100.8</v>
      </c>
      <c r="C111" s="16">
        <f>IFERROR(__xludf.DUMMYFUNCTION("""COMPUTED_VALUE"""),45902.6458333333)</f>
        <v>45902.6458333333</v>
      </c>
      <c r="D111" s="17">
        <f>IFERROR(__xludf.DUMMYFUNCTION("""COMPUTED_VALUE"""),1077)</f>
        <v>1077</v>
      </c>
      <c r="E111" s="16">
        <f>IFERROR(__xludf.DUMMYFUNCTION("""COMPUTED_VALUE"""),45902.6458333333)</f>
        <v>45902.6458333333</v>
      </c>
      <c r="F111" s="17">
        <f>IFERROR(__xludf.DUMMYFUNCTION("""COMPUTED_VALUE"""),1649975)</f>
        <v>1649975</v>
      </c>
      <c r="G111" s="16">
        <f>IFERROR(__xludf.DUMMYFUNCTION("""COMPUTED_VALUE"""),45902.6458333333)</f>
        <v>45902.6458333333</v>
      </c>
      <c r="H111" s="17">
        <f>IFERROR(__xludf.DUMMYFUNCTION("""COMPUTED_VALUE"""),1105.6)</f>
        <v>1105.6</v>
      </c>
      <c r="I111" s="16">
        <f>IFERROR(__xludf.DUMMYFUNCTION("""COMPUTED_VALUE"""),45902.6458333333)</f>
        <v>45902.6458333333</v>
      </c>
      <c r="J111" s="17">
        <f>IFERROR(__xludf.DUMMYFUNCTION("""COMPUTED_VALUE"""),1074.1)</f>
        <v>1074.1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IFERROR(__xludf.DUMMYFUNCTION("""COMPUTED_VALUE"""),1104.4)</f>
        <v>1104.4</v>
      </c>
      <c r="C112" s="16">
        <f>IFERROR(__xludf.DUMMYFUNCTION("""COMPUTED_VALUE"""),45903.6458333333)</f>
        <v>45903.6458333333</v>
      </c>
      <c r="D112" s="17">
        <f>IFERROR(__xludf.DUMMYFUNCTION("""COMPUTED_VALUE"""),1102.9)</f>
        <v>1102.9</v>
      </c>
      <c r="E112" s="16">
        <f>IFERROR(__xludf.DUMMYFUNCTION("""COMPUTED_VALUE"""),45903.6458333333)</f>
        <v>45903.6458333333</v>
      </c>
      <c r="F112" s="17">
        <f>IFERROR(__xludf.DUMMYFUNCTION("""COMPUTED_VALUE"""),1244093)</f>
        <v>1244093</v>
      </c>
      <c r="G112" s="16">
        <f>IFERROR(__xludf.DUMMYFUNCTION("""COMPUTED_VALUE"""),45903.6458333333)</f>
        <v>45903.6458333333</v>
      </c>
      <c r="H112" s="17">
        <f>IFERROR(__xludf.DUMMYFUNCTION("""COMPUTED_VALUE"""),1106.6)</f>
        <v>1106.6</v>
      </c>
      <c r="I112" s="16">
        <f>IFERROR(__xludf.DUMMYFUNCTION("""COMPUTED_VALUE"""),45903.6458333333)</f>
        <v>45903.6458333333</v>
      </c>
      <c r="J112" s="17">
        <f>IFERROR(__xludf.DUMMYFUNCTION("""COMPUTED_VALUE"""),1086.5)</f>
        <v>1086.5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IFERROR(__xludf.DUMMYFUNCTION("""COMPUTED_VALUE"""),1071.1)</f>
        <v>1071.1</v>
      </c>
      <c r="C113" s="16">
        <f>IFERROR(__xludf.DUMMYFUNCTION("""COMPUTED_VALUE"""),45904.6458333333)</f>
        <v>45904.6458333333</v>
      </c>
      <c r="D113" s="17">
        <f>IFERROR(__xludf.DUMMYFUNCTION("""COMPUTED_VALUE"""),1126)</f>
        <v>1126</v>
      </c>
      <c r="E113" s="16">
        <f>IFERROR(__xludf.DUMMYFUNCTION("""COMPUTED_VALUE"""),45904.6458333333)</f>
        <v>45904.6458333333</v>
      </c>
      <c r="F113" s="17">
        <f>IFERROR(__xludf.DUMMYFUNCTION("""COMPUTED_VALUE"""),2407789)</f>
        <v>2407789</v>
      </c>
      <c r="G113" s="16">
        <f>IFERROR(__xludf.DUMMYFUNCTION("""COMPUTED_VALUE"""),45904.6458333333)</f>
        <v>45904.6458333333</v>
      </c>
      <c r="H113" s="17">
        <f>IFERROR(__xludf.DUMMYFUNCTION("""COMPUTED_VALUE"""),1126)</f>
        <v>1126</v>
      </c>
      <c r="I113" s="16">
        <f>IFERROR(__xludf.DUMMYFUNCTION("""COMPUTED_VALUE"""),45904.6458333333)</f>
        <v>45904.6458333333</v>
      </c>
      <c r="J113" s="17">
        <f>IFERROR(__xludf.DUMMYFUNCTION("""COMPUTED_VALUE"""),1067.2)</f>
        <v>1067.2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IFERROR(__xludf.DUMMYFUNCTION("""COMPUTED_VALUE"""),1072.4)</f>
        <v>1072.4</v>
      </c>
      <c r="C114" s="16">
        <f>IFERROR(__xludf.DUMMYFUNCTION("""COMPUTED_VALUE"""),45905.6458333333)</f>
        <v>45905.6458333333</v>
      </c>
      <c r="D114" s="17">
        <f>IFERROR(__xludf.DUMMYFUNCTION("""COMPUTED_VALUE"""),1074)</f>
        <v>1074</v>
      </c>
      <c r="E114" s="16">
        <f>IFERROR(__xludf.DUMMYFUNCTION("""COMPUTED_VALUE"""),45905.6458333333)</f>
        <v>45905.6458333333</v>
      </c>
      <c r="F114" s="17">
        <f>IFERROR(__xludf.DUMMYFUNCTION("""COMPUTED_VALUE"""),1130356)</f>
        <v>1130356</v>
      </c>
      <c r="G114" s="16">
        <f>IFERROR(__xludf.DUMMYFUNCTION("""COMPUTED_VALUE"""),45905.6458333333)</f>
        <v>45905.6458333333</v>
      </c>
      <c r="H114" s="17">
        <f>IFERROR(__xludf.DUMMYFUNCTION("""COMPUTED_VALUE"""),1077.5)</f>
        <v>1077.5</v>
      </c>
      <c r="I114" s="16">
        <f>IFERROR(__xludf.DUMMYFUNCTION("""COMPUTED_VALUE"""),45905.6458333333)</f>
        <v>45905.6458333333</v>
      </c>
      <c r="J114" s="17">
        <f>IFERROR(__xludf.DUMMYFUNCTION("""COMPUTED_VALUE"""),1061.2)</f>
        <v>1061.2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IFERROR(__xludf.DUMMYFUNCTION("""COMPUTED_VALUE"""),1074.2)</f>
        <v>1074.2</v>
      </c>
      <c r="C115" s="16">
        <f>IFERROR(__xludf.DUMMYFUNCTION("""COMPUTED_VALUE"""),45908.6458333333)</f>
        <v>45908.6458333333</v>
      </c>
      <c r="D115" s="17">
        <f>IFERROR(__xludf.DUMMYFUNCTION("""COMPUTED_VALUE"""),1072.4)</f>
        <v>1072.4</v>
      </c>
      <c r="E115" s="16">
        <f>IFERROR(__xludf.DUMMYFUNCTION("""COMPUTED_VALUE"""),45908.6458333333)</f>
        <v>45908.6458333333</v>
      </c>
      <c r="F115" s="17">
        <f>IFERROR(__xludf.DUMMYFUNCTION("""COMPUTED_VALUE"""),600835)</f>
        <v>600835</v>
      </c>
      <c r="G115" s="16">
        <f>IFERROR(__xludf.DUMMYFUNCTION("""COMPUTED_VALUE"""),45908.6458333333)</f>
        <v>45908.6458333333</v>
      </c>
      <c r="H115" s="17">
        <f>IFERROR(__xludf.DUMMYFUNCTION("""COMPUTED_VALUE"""),1081.3)</f>
        <v>1081.3</v>
      </c>
      <c r="I115" s="16">
        <f>IFERROR(__xludf.DUMMYFUNCTION("""COMPUTED_VALUE"""),45908.6458333333)</f>
        <v>45908.6458333333</v>
      </c>
      <c r="J115" s="17">
        <f>IFERROR(__xludf.DUMMYFUNCTION("""COMPUTED_VALUE"""),1068.7)</f>
        <v>1068.7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IFERROR(__xludf.DUMMYFUNCTION("""COMPUTED_VALUE"""),1083.5)</f>
        <v>1083.5</v>
      </c>
      <c r="C116" s="16">
        <f>IFERROR(__xludf.DUMMYFUNCTION("""COMPUTED_VALUE"""),45909.6458333333)</f>
        <v>45909.6458333333</v>
      </c>
      <c r="D116" s="17">
        <f>IFERROR(__xludf.DUMMYFUNCTION("""COMPUTED_VALUE"""),1074.2)</f>
        <v>1074.2</v>
      </c>
      <c r="E116" s="16">
        <f>IFERROR(__xludf.DUMMYFUNCTION("""COMPUTED_VALUE"""),45909.6458333333)</f>
        <v>45909.6458333333</v>
      </c>
      <c r="F116" s="17">
        <f>IFERROR(__xludf.DUMMYFUNCTION("""COMPUTED_VALUE"""),779147)</f>
        <v>779147</v>
      </c>
      <c r="G116" s="16">
        <f>IFERROR(__xludf.DUMMYFUNCTION("""COMPUTED_VALUE"""),45909.6458333333)</f>
        <v>45909.6458333333</v>
      </c>
      <c r="H116" s="17">
        <f>IFERROR(__xludf.DUMMYFUNCTION("""COMPUTED_VALUE"""),1086)</f>
        <v>1086</v>
      </c>
      <c r="I116" s="16">
        <f>IFERROR(__xludf.DUMMYFUNCTION("""COMPUTED_VALUE"""),45909.6458333333)</f>
        <v>45909.6458333333</v>
      </c>
      <c r="J116" s="17">
        <f>IFERROR(__xludf.DUMMYFUNCTION("""COMPUTED_VALUE"""),1068.1)</f>
        <v>1068.1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IFERROR(__xludf.DUMMYFUNCTION("""COMPUTED_VALUE"""),1101)</f>
        <v>1101</v>
      </c>
      <c r="C117" s="16">
        <f>IFERROR(__xludf.DUMMYFUNCTION("""COMPUTED_VALUE"""),45910.6458333333)</f>
        <v>45910.6458333333</v>
      </c>
      <c r="D117" s="17">
        <f>IFERROR(__xludf.DUMMYFUNCTION("""COMPUTED_VALUE"""),1083.5)</f>
        <v>1083.5</v>
      </c>
      <c r="E117" s="16">
        <f>IFERROR(__xludf.DUMMYFUNCTION("""COMPUTED_VALUE"""),45910.6458333333)</f>
        <v>45910.6458333333</v>
      </c>
      <c r="F117" s="17">
        <f>IFERROR(__xludf.DUMMYFUNCTION("""COMPUTED_VALUE"""),1200433)</f>
        <v>1200433</v>
      </c>
      <c r="G117" s="16">
        <f>IFERROR(__xludf.DUMMYFUNCTION("""COMPUTED_VALUE"""),45910.6458333333)</f>
        <v>45910.6458333333</v>
      </c>
      <c r="H117" s="17">
        <f>IFERROR(__xludf.DUMMYFUNCTION("""COMPUTED_VALUE"""),1103)</f>
        <v>1103</v>
      </c>
      <c r="I117" s="16">
        <f>IFERROR(__xludf.DUMMYFUNCTION("""COMPUTED_VALUE"""),45910.6458333333)</f>
        <v>45910.6458333333</v>
      </c>
      <c r="J117" s="17">
        <f>IFERROR(__xludf.DUMMYFUNCTION("""COMPUTED_VALUE"""),1081.7)</f>
        <v>1081.7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IFERROR(__xludf.DUMMYFUNCTION("""COMPUTED_VALUE"""),1105.3)</f>
        <v>1105.3</v>
      </c>
      <c r="C118" s="16">
        <f>IFERROR(__xludf.DUMMYFUNCTION("""COMPUTED_VALUE"""),45911.6458333333)</f>
        <v>45911.6458333333</v>
      </c>
      <c r="D118" s="17">
        <f>IFERROR(__xludf.DUMMYFUNCTION("""COMPUTED_VALUE"""),1099)</f>
        <v>1099</v>
      </c>
      <c r="E118" s="16">
        <f>IFERROR(__xludf.DUMMYFUNCTION("""COMPUTED_VALUE"""),45911.6458333333)</f>
        <v>45911.6458333333</v>
      </c>
      <c r="F118" s="17">
        <f>IFERROR(__xludf.DUMMYFUNCTION("""COMPUTED_VALUE"""),1030547)</f>
        <v>1030547</v>
      </c>
      <c r="G118" s="16">
        <f>IFERROR(__xludf.DUMMYFUNCTION("""COMPUTED_VALUE"""),45911.6458333333)</f>
        <v>45911.6458333333</v>
      </c>
      <c r="H118" s="17">
        <f>IFERROR(__xludf.DUMMYFUNCTION("""COMPUTED_VALUE"""),1107.8)</f>
        <v>1107.8</v>
      </c>
      <c r="I118" s="16">
        <f>IFERROR(__xludf.DUMMYFUNCTION("""COMPUTED_VALUE"""),45911.6458333333)</f>
        <v>45911.6458333333</v>
      </c>
      <c r="J118" s="17">
        <f>IFERROR(__xludf.DUMMYFUNCTION("""COMPUTED_VALUE"""),1094.3)</f>
        <v>1094.3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IFERROR(__xludf.DUMMYFUNCTION("""COMPUTED_VALUE"""),1103.9)</f>
        <v>1103.9</v>
      </c>
      <c r="C119" s="16">
        <f>IFERROR(__xludf.DUMMYFUNCTION("""COMPUTED_VALUE"""),45912.6458333333)</f>
        <v>45912.6458333333</v>
      </c>
      <c r="D119" s="17">
        <f>IFERROR(__xludf.DUMMYFUNCTION("""COMPUTED_VALUE"""),1105)</f>
        <v>1105</v>
      </c>
      <c r="E119" s="16">
        <f>IFERROR(__xludf.DUMMYFUNCTION("""COMPUTED_VALUE"""),45912.6458333333)</f>
        <v>45912.6458333333</v>
      </c>
      <c r="F119" s="17">
        <f>IFERROR(__xludf.DUMMYFUNCTION("""COMPUTED_VALUE"""),1131972)</f>
        <v>1131972</v>
      </c>
      <c r="G119" s="16">
        <f>IFERROR(__xludf.DUMMYFUNCTION("""COMPUTED_VALUE"""),45912.6458333333)</f>
        <v>45912.6458333333</v>
      </c>
      <c r="H119" s="17">
        <f>IFERROR(__xludf.DUMMYFUNCTION("""COMPUTED_VALUE"""),1109.3)</f>
        <v>1109.3</v>
      </c>
      <c r="I119" s="16">
        <f>IFERROR(__xludf.DUMMYFUNCTION("""COMPUTED_VALUE"""),45912.6458333333)</f>
        <v>45912.6458333333</v>
      </c>
      <c r="J119" s="17">
        <f>IFERROR(__xludf.DUMMYFUNCTION("""COMPUTED_VALUE"""),1095.2)</f>
        <v>1095.2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IFERROR(__xludf.DUMMYFUNCTION("""COMPUTED_VALUE"""),1102.6)</f>
        <v>1102.6</v>
      </c>
      <c r="C120" s="16">
        <f>IFERROR(__xludf.DUMMYFUNCTION("""COMPUTED_VALUE"""),45915.6458333333)</f>
        <v>45915.6458333333</v>
      </c>
      <c r="D120" s="17">
        <f>IFERROR(__xludf.DUMMYFUNCTION("""COMPUTED_VALUE"""),1103.9)</f>
        <v>1103.9</v>
      </c>
      <c r="E120" s="16">
        <f>IFERROR(__xludf.DUMMYFUNCTION("""COMPUTED_VALUE"""),45915.6458333333)</f>
        <v>45915.6458333333</v>
      </c>
      <c r="F120" s="17">
        <f>IFERROR(__xludf.DUMMYFUNCTION("""COMPUTED_VALUE"""),1491729)</f>
        <v>1491729</v>
      </c>
      <c r="G120" s="16">
        <f>IFERROR(__xludf.DUMMYFUNCTION("""COMPUTED_VALUE"""),45915.6458333333)</f>
        <v>45915.6458333333</v>
      </c>
      <c r="H120" s="17">
        <f>IFERROR(__xludf.DUMMYFUNCTION("""COMPUTED_VALUE"""),1107.9)</f>
        <v>1107.9</v>
      </c>
      <c r="I120" s="16">
        <f>IFERROR(__xludf.DUMMYFUNCTION("""COMPUTED_VALUE"""),45915.6458333333)</f>
        <v>45915.6458333333</v>
      </c>
      <c r="J120" s="17">
        <f>IFERROR(__xludf.DUMMYFUNCTION("""COMPUTED_VALUE"""),1090.6)</f>
        <v>1090.6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IFERROR(__xludf.DUMMYFUNCTION("""COMPUTED_VALUE"""),1092.1)</f>
        <v>1092.1</v>
      </c>
      <c r="C121" s="16">
        <f>IFERROR(__xludf.DUMMYFUNCTION("""COMPUTED_VALUE"""),45916.6458333333)</f>
        <v>45916.6458333333</v>
      </c>
      <c r="D121" s="17">
        <f>IFERROR(__xludf.DUMMYFUNCTION("""COMPUTED_VALUE"""),1103)</f>
        <v>1103</v>
      </c>
      <c r="E121" s="16">
        <f>IFERROR(__xludf.DUMMYFUNCTION("""COMPUTED_VALUE"""),45916.6458333333)</f>
        <v>45916.6458333333</v>
      </c>
      <c r="F121" s="17">
        <f>IFERROR(__xludf.DUMMYFUNCTION("""COMPUTED_VALUE"""),641025)</f>
        <v>641025</v>
      </c>
      <c r="G121" s="16">
        <f>IFERROR(__xludf.DUMMYFUNCTION("""COMPUTED_VALUE"""),45916.6458333333)</f>
        <v>45916.6458333333</v>
      </c>
      <c r="H121" s="17">
        <f>IFERROR(__xludf.DUMMYFUNCTION("""COMPUTED_VALUE"""),1105.4)</f>
        <v>1105.4</v>
      </c>
      <c r="I121" s="16">
        <f>IFERROR(__xludf.DUMMYFUNCTION("""COMPUTED_VALUE"""),45916.6458333333)</f>
        <v>45916.6458333333</v>
      </c>
      <c r="J121" s="17">
        <f>IFERROR(__xludf.DUMMYFUNCTION("""COMPUTED_VALUE"""),1087)</f>
        <v>1087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IFERROR(__xludf.DUMMYFUNCTION("""COMPUTED_VALUE"""),1136.3)</f>
        <v>1136.3</v>
      </c>
      <c r="C122" s="16">
        <f>IFERROR(__xludf.DUMMYFUNCTION("""COMPUTED_VALUE"""),45917.6458333333)</f>
        <v>45917.6458333333</v>
      </c>
      <c r="D122" s="17">
        <f>IFERROR(__xludf.DUMMYFUNCTION("""COMPUTED_VALUE"""),1103.1)</f>
        <v>1103.1</v>
      </c>
      <c r="E122" s="16">
        <f>IFERROR(__xludf.DUMMYFUNCTION("""COMPUTED_VALUE"""),45917.6458333333)</f>
        <v>45917.6458333333</v>
      </c>
      <c r="F122" s="17">
        <f>IFERROR(__xludf.DUMMYFUNCTION("""COMPUTED_VALUE"""),3361334)</f>
        <v>3361334</v>
      </c>
      <c r="G122" s="16">
        <f>IFERROR(__xludf.DUMMYFUNCTION("""COMPUTED_VALUE"""),45917.6458333333)</f>
        <v>45917.6458333333</v>
      </c>
      <c r="H122" s="17">
        <f>IFERROR(__xludf.DUMMYFUNCTION("""COMPUTED_VALUE"""),1138.8)</f>
        <v>1138.8</v>
      </c>
      <c r="I122" s="16">
        <f>IFERROR(__xludf.DUMMYFUNCTION("""COMPUTED_VALUE"""),45917.6458333333)</f>
        <v>45917.6458333333</v>
      </c>
      <c r="J122" s="17">
        <f>IFERROR(__xludf.DUMMYFUNCTION("""COMPUTED_VALUE"""),1103.1)</f>
        <v>1103.1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IFERROR(__xludf.DUMMYFUNCTION("""COMPUTED_VALUE"""),1129.3)</f>
        <v>1129.3</v>
      </c>
      <c r="C123" s="16">
        <f>IFERROR(__xludf.DUMMYFUNCTION("""COMPUTED_VALUE"""),45918.6458333333)</f>
        <v>45918.6458333333</v>
      </c>
      <c r="D123" s="17">
        <f>IFERROR(__xludf.DUMMYFUNCTION("""COMPUTED_VALUE"""),1136.3)</f>
        <v>1136.3</v>
      </c>
      <c r="E123" s="16">
        <f>IFERROR(__xludf.DUMMYFUNCTION("""COMPUTED_VALUE"""),45918.6458333333)</f>
        <v>45918.6458333333</v>
      </c>
      <c r="F123" s="17">
        <f>IFERROR(__xludf.DUMMYFUNCTION("""COMPUTED_VALUE"""),1030976)</f>
        <v>1030976</v>
      </c>
      <c r="G123" s="16">
        <f>IFERROR(__xludf.DUMMYFUNCTION("""COMPUTED_VALUE"""),45918.6458333333)</f>
        <v>45918.6458333333</v>
      </c>
      <c r="H123" s="17">
        <f>IFERROR(__xludf.DUMMYFUNCTION("""COMPUTED_VALUE"""),1144.4)</f>
        <v>1144.4</v>
      </c>
      <c r="I123" s="16">
        <f>IFERROR(__xludf.DUMMYFUNCTION("""COMPUTED_VALUE"""),45918.6458333333)</f>
        <v>45918.6458333333</v>
      </c>
      <c r="J123" s="17">
        <f>IFERROR(__xludf.DUMMYFUNCTION("""COMPUTED_VALUE"""),1123)</f>
        <v>1123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IFERROR(__xludf.DUMMYFUNCTION("""COMPUTED_VALUE"""),1126.8)</f>
        <v>1126.8</v>
      </c>
      <c r="C124" s="16">
        <f>IFERROR(__xludf.DUMMYFUNCTION("""COMPUTED_VALUE"""),45919.6458333333)</f>
        <v>45919.6458333333</v>
      </c>
      <c r="D124" s="17">
        <f>IFERROR(__xludf.DUMMYFUNCTION("""COMPUTED_VALUE"""),1128.5)</f>
        <v>1128.5</v>
      </c>
      <c r="E124" s="16">
        <f>IFERROR(__xludf.DUMMYFUNCTION("""COMPUTED_VALUE"""),45919.6458333333)</f>
        <v>45919.6458333333</v>
      </c>
      <c r="F124" s="17">
        <f>IFERROR(__xludf.DUMMYFUNCTION("""COMPUTED_VALUE"""),1438338)</f>
        <v>1438338</v>
      </c>
      <c r="G124" s="16">
        <f>IFERROR(__xludf.DUMMYFUNCTION("""COMPUTED_VALUE"""),45919.6458333333)</f>
        <v>45919.6458333333</v>
      </c>
      <c r="H124" s="17">
        <f>IFERROR(__xludf.DUMMYFUNCTION("""COMPUTED_VALUE"""),1132.6)</f>
        <v>1132.6</v>
      </c>
      <c r="I124" s="16">
        <f>IFERROR(__xludf.DUMMYFUNCTION("""COMPUTED_VALUE"""),45919.6458333333)</f>
        <v>45919.6458333333</v>
      </c>
      <c r="J124" s="17">
        <f>IFERROR(__xludf.DUMMYFUNCTION("""COMPUTED_VALUE"""),1114.4)</f>
        <v>1114.4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IFERROR(__xludf.DUMMYFUNCTION("""COMPUTED_VALUE"""),1130.1)</f>
        <v>1130.1</v>
      </c>
      <c r="C125" s="16">
        <f>IFERROR(__xludf.DUMMYFUNCTION("""COMPUTED_VALUE"""),45922.6458333333)</f>
        <v>45922.6458333333</v>
      </c>
      <c r="D125" s="17">
        <f>IFERROR(__xludf.DUMMYFUNCTION("""COMPUTED_VALUE"""),1120)</f>
        <v>1120</v>
      </c>
      <c r="E125" s="16">
        <f>IFERROR(__xludf.DUMMYFUNCTION("""COMPUTED_VALUE"""),45922.6458333333)</f>
        <v>45922.6458333333</v>
      </c>
      <c r="F125" s="17">
        <f>IFERROR(__xludf.DUMMYFUNCTION("""COMPUTED_VALUE"""),701996)</f>
        <v>701996</v>
      </c>
      <c r="G125" s="16">
        <f>IFERROR(__xludf.DUMMYFUNCTION("""COMPUTED_VALUE"""),45922.6458333333)</f>
        <v>45922.6458333333</v>
      </c>
      <c r="H125" s="17">
        <f>IFERROR(__xludf.DUMMYFUNCTION("""COMPUTED_VALUE"""),1136.8)</f>
        <v>1136.8</v>
      </c>
      <c r="I125" s="16">
        <f>IFERROR(__xludf.DUMMYFUNCTION("""COMPUTED_VALUE"""),45922.6458333333)</f>
        <v>45922.6458333333</v>
      </c>
      <c r="J125" s="17">
        <f>IFERROR(__xludf.DUMMYFUNCTION("""COMPUTED_VALUE"""),1119.9)</f>
        <v>1119.9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IFERROR(__xludf.DUMMYFUNCTION("""COMPUTED_VALUE"""),1128.5)</f>
        <v>1128.5</v>
      </c>
      <c r="C126" s="16">
        <f>IFERROR(__xludf.DUMMYFUNCTION("""COMPUTED_VALUE"""),45923.6458333333)</f>
        <v>45923.6458333333</v>
      </c>
      <c r="D126" s="17">
        <f>IFERROR(__xludf.DUMMYFUNCTION("""COMPUTED_VALUE"""),1131)</f>
        <v>1131</v>
      </c>
      <c r="E126" s="16">
        <f>IFERROR(__xludf.DUMMYFUNCTION("""COMPUTED_VALUE"""),45923.6458333333)</f>
        <v>45923.6458333333</v>
      </c>
      <c r="F126" s="17">
        <f>IFERROR(__xludf.DUMMYFUNCTION("""COMPUTED_VALUE"""),1082761)</f>
        <v>1082761</v>
      </c>
      <c r="G126" s="16">
        <f>IFERROR(__xludf.DUMMYFUNCTION("""COMPUTED_VALUE"""),45923.6458333333)</f>
        <v>45923.6458333333</v>
      </c>
      <c r="H126" s="17">
        <f>IFERROR(__xludf.DUMMYFUNCTION("""COMPUTED_VALUE"""),1134.6)</f>
        <v>1134.6</v>
      </c>
      <c r="I126" s="16">
        <f>IFERROR(__xludf.DUMMYFUNCTION("""COMPUTED_VALUE"""),45923.6458333333)</f>
        <v>45923.6458333333</v>
      </c>
      <c r="J126" s="17">
        <f>IFERROR(__xludf.DUMMYFUNCTION("""COMPUTED_VALUE"""),1118.4)</f>
        <v>1118.4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IFERROR(__xludf.DUMMYFUNCTION("""COMPUTED_VALUE"""),1140.1)</f>
        <v>1140.1</v>
      </c>
      <c r="C127" s="16">
        <f>IFERROR(__xludf.DUMMYFUNCTION("""COMPUTED_VALUE"""),45924.6458333333)</f>
        <v>45924.6458333333</v>
      </c>
      <c r="D127" s="17">
        <f>IFERROR(__xludf.DUMMYFUNCTION("""COMPUTED_VALUE"""),1125)</f>
        <v>1125</v>
      </c>
      <c r="E127" s="16">
        <f>IFERROR(__xludf.DUMMYFUNCTION("""COMPUTED_VALUE"""),45924.6458333333)</f>
        <v>45924.6458333333</v>
      </c>
      <c r="F127" s="17">
        <f>IFERROR(__xludf.DUMMYFUNCTION("""COMPUTED_VALUE"""),1100753)</f>
        <v>1100753</v>
      </c>
      <c r="G127" s="16">
        <f>IFERROR(__xludf.DUMMYFUNCTION("""COMPUTED_VALUE"""),45924.6458333333)</f>
        <v>45924.6458333333</v>
      </c>
      <c r="H127" s="17">
        <f>IFERROR(__xludf.DUMMYFUNCTION("""COMPUTED_VALUE"""),1147.1)</f>
        <v>1147.1</v>
      </c>
      <c r="I127" s="16">
        <f>IFERROR(__xludf.DUMMYFUNCTION("""COMPUTED_VALUE"""),45924.6458333333)</f>
        <v>45924.6458333333</v>
      </c>
      <c r="J127" s="17">
        <f>IFERROR(__xludf.DUMMYFUNCTION("""COMPUTED_VALUE"""),1118.4)</f>
        <v>1118.4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IFERROR(__xludf.DUMMYFUNCTION("""COMPUTED_VALUE"""),1134.2)</f>
        <v>1134.2</v>
      </c>
      <c r="C128" s="16">
        <f>IFERROR(__xludf.DUMMYFUNCTION("""COMPUTED_VALUE"""),45925.6458333333)</f>
        <v>45925.6458333333</v>
      </c>
      <c r="D128" s="17">
        <f>IFERROR(__xludf.DUMMYFUNCTION("""COMPUTED_VALUE"""),1145)</f>
        <v>1145</v>
      </c>
      <c r="E128" s="16">
        <f>IFERROR(__xludf.DUMMYFUNCTION("""COMPUTED_VALUE"""),45925.6458333333)</f>
        <v>45925.6458333333</v>
      </c>
      <c r="F128" s="17">
        <f>IFERROR(__xludf.DUMMYFUNCTION("""COMPUTED_VALUE"""),1023970)</f>
        <v>1023970</v>
      </c>
      <c r="G128" s="16">
        <f>IFERROR(__xludf.DUMMYFUNCTION("""COMPUTED_VALUE"""),45925.6458333333)</f>
        <v>45925.6458333333</v>
      </c>
      <c r="H128" s="17">
        <f>IFERROR(__xludf.DUMMYFUNCTION("""COMPUTED_VALUE"""),1146.5)</f>
        <v>1146.5</v>
      </c>
      <c r="I128" s="16">
        <f>IFERROR(__xludf.DUMMYFUNCTION("""COMPUTED_VALUE"""),45925.6458333333)</f>
        <v>45925.6458333333</v>
      </c>
      <c r="J128" s="17">
        <f>IFERROR(__xludf.DUMMYFUNCTION("""COMPUTED_VALUE"""),1127.6)</f>
        <v>1127.6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IFERROR(__xludf.DUMMYFUNCTION("""COMPUTED_VALUE"""),1119)</f>
        <v>1119</v>
      </c>
      <c r="C129" s="16">
        <f>IFERROR(__xludf.DUMMYFUNCTION("""COMPUTED_VALUE"""),45926.6458333333)</f>
        <v>45926.6458333333</v>
      </c>
      <c r="D129" s="17">
        <f>IFERROR(__xludf.DUMMYFUNCTION("""COMPUTED_VALUE"""),1126)</f>
        <v>1126</v>
      </c>
      <c r="E129" s="16">
        <f>IFERROR(__xludf.DUMMYFUNCTION("""COMPUTED_VALUE"""),45926.6458333333)</f>
        <v>45926.6458333333</v>
      </c>
      <c r="F129" s="17">
        <f>IFERROR(__xludf.DUMMYFUNCTION("""COMPUTED_VALUE"""),565909)</f>
        <v>565909</v>
      </c>
      <c r="G129" s="16">
        <f>IFERROR(__xludf.DUMMYFUNCTION("""COMPUTED_VALUE"""),45926.6458333333)</f>
        <v>45926.6458333333</v>
      </c>
      <c r="H129" s="17">
        <f>IFERROR(__xludf.DUMMYFUNCTION("""COMPUTED_VALUE"""),1136.9)</f>
        <v>1136.9</v>
      </c>
      <c r="I129" s="16">
        <f>IFERROR(__xludf.DUMMYFUNCTION("""COMPUTED_VALUE"""),45926.6458333333)</f>
        <v>45926.6458333333</v>
      </c>
      <c r="J129" s="17">
        <f>IFERROR(__xludf.DUMMYFUNCTION("""COMPUTED_VALUE"""),1117.2)</f>
        <v>1117.2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82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""price"")"),673.95)</f>
        <v>673.95</v>
      </c>
      <c r="I3" s="22" t="s">
        <v>269</v>
      </c>
      <c r="J3" s="23">
        <f>IFERROR(__xludf.DUMMYFUNCTION("GOOGLEFINANCE(L3, ""volume"")"),15780434)</f>
        <v>15780434</v>
      </c>
      <c r="K3" s="24" t="s">
        <v>270</v>
      </c>
      <c r="L3" s="25" t="str">
        <f>Mastersheet!B37</f>
        <v>NSE:TATAMOTORS</v>
      </c>
      <c r="M3" s="26">
        <f>IFERROR(__xludf.DUMMYFUNCTION("""COMPUTED_VALUE"""),45926.6458333333)</f>
        <v>45926.6458333333</v>
      </c>
      <c r="N3" s="27">
        <f>IFERROR(__xludf.DUMMYFUNCTION("""COMPUTED_VALUE"""),672.9)</f>
        <v>672.9</v>
      </c>
      <c r="O3" s="26">
        <f>IFERROR(__xludf.DUMMYFUNCTION("""COMPUTED_VALUE"""),45926.6458333333)</f>
        <v>45926.6458333333</v>
      </c>
      <c r="P3" s="27">
        <f>IFERROR(__xludf.DUMMYFUNCTION("""COMPUTED_VALUE"""),666)</f>
        <v>666</v>
      </c>
      <c r="Q3" s="16">
        <f>IFERROR(__xludf.DUMMYFUNCTION("""COMPUTED_VALUE"""),45926.6458333333)</f>
        <v>45926.6458333333</v>
      </c>
      <c r="R3" s="17">
        <f>IFERROR(__xludf.DUMMYFUNCTION("""COMPUTED_VALUE"""),680.35)</f>
        <v>680.35</v>
      </c>
      <c r="S3" s="16">
        <f>IFERROR(__xludf.DUMMYFUNCTION("""COMPUTED_VALUE"""),45926.6458333333)</f>
        <v>45926.6458333333</v>
      </c>
      <c r="T3" s="17">
        <f>IFERROR(__xludf.DUMMYFUNCTION("""COMPUTED_VALUE"""),662.35)</f>
        <v>662.35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IFERROR(__xludf.DUMMYFUNCTION("""COMPUTED_VALUE"""),668.55)</f>
        <v>668.55</v>
      </c>
      <c r="C5" s="14">
        <f>IFERROR(__xludf.DUMMYFUNCTION("""COMPUTED_VALUE"""),45743.6458333333)</f>
        <v>45743.6458333333</v>
      </c>
      <c r="D5" s="15">
        <f>IFERROR(__xludf.DUMMYFUNCTION("""COMPUTED_VALUE"""),668)</f>
        <v>668</v>
      </c>
      <c r="E5" s="14">
        <f>IFERROR(__xludf.DUMMYFUNCTION("""COMPUTED_VALUE"""),45743.6458333333)</f>
        <v>45743.6458333333</v>
      </c>
      <c r="F5" s="15">
        <f>IFERROR(__xludf.DUMMYFUNCTION("""COMPUTED_VALUE"""),34238666)</f>
        <v>34238666</v>
      </c>
      <c r="G5" s="14">
        <f>IFERROR(__xludf.DUMMYFUNCTION("""COMPUTED_VALUE"""),45743.6458333333)</f>
        <v>45743.6458333333</v>
      </c>
      <c r="H5" s="15">
        <f>IFERROR(__xludf.DUMMYFUNCTION("""COMPUTED_VALUE"""),676.6)</f>
        <v>676.6</v>
      </c>
      <c r="I5" s="30">
        <f>IFERROR(__xludf.DUMMYFUNCTION("""COMPUTED_VALUE"""),45743.6458333333)</f>
        <v>45743.6458333333</v>
      </c>
      <c r="J5" s="3">
        <f>IFERROR(__xludf.DUMMYFUNCTION("""COMPUTED_VALUE"""),661.1)</f>
        <v>661.1</v>
      </c>
      <c r="K5" s="5"/>
      <c r="L5" s="5"/>
      <c r="M5" s="3">
        <f t="array" ref="M5">INDEX(K11:K124,MATCH(SMALL(ABS(K11:K124-H3),1),ABS(K11:K124-H3),0))</f>
        <v>668.35</v>
      </c>
      <c r="N5" s="3">
        <f t="array" ref="N5">INDEX(K11:K124,MATCH(SMALL(ABS(K11:K124-H3),2),ABS(K11:K124-H3),0))</f>
        <v>695.6</v>
      </c>
      <c r="O5" s="3">
        <f t="array" ref="O5">INDEX(L11:L124,MATCH(SMALL(ABS(L11:L124-H3),1),ABS(L11:L124-H3),0))</f>
        <v>670.25</v>
      </c>
      <c r="P5" s="3">
        <f t="array" ref="P5">INDEX(L11:L124,MATCH(SMALL(ABS(L11:L124-H3),2),ABS(L11:L124-H3),0))</f>
        <v>669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670.25</v>
      </c>
      <c r="R5" s="31"/>
      <c r="S5" s="35">
        <f>IF(Q5&gt;0,Q5,S5)</f>
        <v>670.25</v>
      </c>
      <c r="T5" s="17">
        <f>IF(AND(H3&gt;=Mastersheet!I3*S5,H3&lt;=Mastersheet!J3*S5),1,0)</f>
        <v>0</v>
      </c>
      <c r="U5" s="36">
        <f>(N3+P3)/2</f>
        <v>669.45</v>
      </c>
      <c r="V5" s="17">
        <f>(N3+P3+R3+T3)/4</f>
        <v>670.4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IFERROR(__xludf.DUMMYFUNCTION("""COMPUTED_VALUE"""),674.45)</f>
        <v>674.45</v>
      </c>
      <c r="C6" s="16">
        <f>IFERROR(__xludf.DUMMYFUNCTION("""COMPUTED_VALUE"""),45744.6458333333)</f>
        <v>45744.6458333333</v>
      </c>
      <c r="D6" s="17">
        <f>IFERROR(__xludf.DUMMYFUNCTION("""COMPUTED_VALUE"""),671.85)</f>
        <v>671.85</v>
      </c>
      <c r="E6" s="16">
        <f>IFERROR(__xludf.DUMMYFUNCTION("""COMPUTED_VALUE"""),45744.6458333333)</f>
        <v>45744.6458333333</v>
      </c>
      <c r="F6" s="17">
        <f>IFERROR(__xludf.DUMMYFUNCTION("""COMPUTED_VALUE"""),16013687)</f>
        <v>16013687</v>
      </c>
      <c r="G6" s="16">
        <f>IFERROR(__xludf.DUMMYFUNCTION("""COMPUTED_VALUE"""),45744.6458333333)</f>
        <v>45744.6458333333</v>
      </c>
      <c r="H6" s="17">
        <f>IFERROR(__xludf.DUMMYFUNCTION("""COMPUTED_VALUE"""),684.95)</f>
        <v>684.95</v>
      </c>
      <c r="I6" s="16">
        <f>IFERROR(__xludf.DUMMYFUNCTION("""COMPUTED_VALUE"""),45744.6458333333)</f>
        <v>45744.6458333333</v>
      </c>
      <c r="J6" s="17">
        <f>IFERROR(__xludf.DUMMYFUNCTION("""COMPUTED_VALUE"""),669.3)</f>
        <v>669.3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IFERROR(__xludf.DUMMYFUNCTION("""COMPUTED_VALUE"""),671.85)</f>
        <v>671.85</v>
      </c>
      <c r="C7" s="16">
        <f>IFERROR(__xludf.DUMMYFUNCTION("""COMPUTED_VALUE"""),45748.6458333333)</f>
        <v>45748.6458333333</v>
      </c>
      <c r="D7" s="17">
        <f>IFERROR(__xludf.DUMMYFUNCTION("""COMPUTED_VALUE"""),670.55)</f>
        <v>670.55</v>
      </c>
      <c r="E7" s="16">
        <f>IFERROR(__xludf.DUMMYFUNCTION("""COMPUTED_VALUE"""),45748.6458333333)</f>
        <v>45748.6458333333</v>
      </c>
      <c r="F7" s="17">
        <f>IFERROR(__xludf.DUMMYFUNCTION("""COMPUTED_VALUE"""),9594669)</f>
        <v>9594669</v>
      </c>
      <c r="G7" s="16">
        <f>IFERROR(__xludf.DUMMYFUNCTION("""COMPUTED_VALUE"""),45748.6458333333)</f>
        <v>45748.6458333333</v>
      </c>
      <c r="H7" s="17">
        <f>IFERROR(__xludf.DUMMYFUNCTION("""COMPUTED_VALUE"""),681.85)</f>
        <v>681.85</v>
      </c>
      <c r="I7" s="16">
        <f>IFERROR(__xludf.DUMMYFUNCTION("""COMPUTED_VALUE"""),45748.6458333333)</f>
        <v>45748.6458333333</v>
      </c>
      <c r="J7" s="17">
        <f>IFERROR(__xludf.DUMMYFUNCTION("""COMPUTED_VALUE"""),665.75)</f>
        <v>665.75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IFERROR(__xludf.DUMMYFUNCTION("""COMPUTED_VALUE"""),671.9)</f>
        <v>671.9</v>
      </c>
      <c r="C8" s="16">
        <f>IFERROR(__xludf.DUMMYFUNCTION("""COMPUTED_VALUE"""),45749.6458333333)</f>
        <v>45749.6458333333</v>
      </c>
      <c r="D8" s="17">
        <f>IFERROR(__xludf.DUMMYFUNCTION("""COMPUTED_VALUE"""),674.95)</f>
        <v>674.95</v>
      </c>
      <c r="E8" s="16">
        <f>IFERROR(__xludf.DUMMYFUNCTION("""COMPUTED_VALUE"""),45749.6458333333)</f>
        <v>45749.6458333333</v>
      </c>
      <c r="F8" s="17">
        <f>IFERROR(__xludf.DUMMYFUNCTION("""COMPUTED_VALUE"""),8025225)</f>
        <v>8025225</v>
      </c>
      <c r="G8" s="16">
        <f>IFERROR(__xludf.DUMMYFUNCTION("""COMPUTED_VALUE"""),45749.6458333333)</f>
        <v>45749.6458333333</v>
      </c>
      <c r="H8" s="17">
        <f>IFERROR(__xludf.DUMMYFUNCTION("""COMPUTED_VALUE"""),675.35)</f>
        <v>675.35</v>
      </c>
      <c r="I8" s="16">
        <f>IFERROR(__xludf.DUMMYFUNCTION("""COMPUTED_VALUE"""),45749.6458333333)</f>
        <v>45749.6458333333</v>
      </c>
      <c r="J8" s="17">
        <f>IFERROR(__xludf.DUMMYFUNCTION("""COMPUTED_VALUE"""),662.1)</f>
        <v>662.1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IFERROR(__xludf.DUMMYFUNCTION("""COMPUTED_VALUE"""),653.95)</f>
        <v>653.95</v>
      </c>
      <c r="C9" s="16">
        <f>IFERROR(__xludf.DUMMYFUNCTION("""COMPUTED_VALUE"""),45750.6458333333)</f>
        <v>45750.6458333333</v>
      </c>
      <c r="D9" s="17">
        <f>IFERROR(__xludf.DUMMYFUNCTION("""COMPUTED_VALUE"""),660)</f>
        <v>660</v>
      </c>
      <c r="E9" s="16">
        <f>IFERROR(__xludf.DUMMYFUNCTION("""COMPUTED_VALUE"""),45750.6458333333)</f>
        <v>45750.6458333333</v>
      </c>
      <c r="F9" s="17">
        <f>IFERROR(__xludf.DUMMYFUNCTION("""COMPUTED_VALUE"""),13473832)</f>
        <v>13473832</v>
      </c>
      <c r="G9" s="16">
        <f>IFERROR(__xludf.DUMMYFUNCTION("""COMPUTED_VALUE"""),45750.6458333333)</f>
        <v>45750.6458333333</v>
      </c>
      <c r="H9" s="17">
        <f>IFERROR(__xludf.DUMMYFUNCTION("""COMPUTED_VALUE"""),669)</f>
        <v>669</v>
      </c>
      <c r="I9" s="16">
        <f>IFERROR(__xludf.DUMMYFUNCTION("""COMPUTED_VALUE"""),45750.6458333333)</f>
        <v>45750.6458333333</v>
      </c>
      <c r="J9" s="17">
        <f>IFERROR(__xludf.DUMMYFUNCTION("""COMPUTED_VALUE"""),652.5)</f>
        <v>652.5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IFERROR(__xludf.DUMMYFUNCTION("""COMPUTED_VALUE"""),613.85)</f>
        <v>613.85</v>
      </c>
      <c r="C10" s="16">
        <f>IFERROR(__xludf.DUMMYFUNCTION("""COMPUTED_VALUE"""),45751.6458333333)</f>
        <v>45751.6458333333</v>
      </c>
      <c r="D10" s="17">
        <f>IFERROR(__xludf.DUMMYFUNCTION("""COMPUTED_VALUE"""),650)</f>
        <v>650</v>
      </c>
      <c r="E10" s="16">
        <f>IFERROR(__xludf.DUMMYFUNCTION("""COMPUTED_VALUE"""),45751.6458333333)</f>
        <v>45751.6458333333</v>
      </c>
      <c r="F10" s="17">
        <f>IFERROR(__xludf.DUMMYFUNCTION("""COMPUTED_VALUE"""),26621179)</f>
        <v>26621179</v>
      </c>
      <c r="G10" s="16">
        <f>IFERROR(__xludf.DUMMYFUNCTION("""COMPUTED_VALUE"""),45751.6458333333)</f>
        <v>45751.6458333333</v>
      </c>
      <c r="H10" s="17">
        <f>IFERROR(__xludf.DUMMYFUNCTION("""COMPUTED_VALUE"""),650)</f>
        <v>650</v>
      </c>
      <c r="I10" s="16">
        <f>IFERROR(__xludf.DUMMYFUNCTION("""COMPUTED_VALUE"""),45751.6458333333)</f>
        <v>45751.6458333333</v>
      </c>
      <c r="J10" s="17">
        <f>IFERROR(__xludf.DUMMYFUNCTION("""COMPUTED_VALUE"""),610)</f>
        <v>610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IFERROR(__xludf.DUMMYFUNCTION("""COMPUTED_VALUE"""),579.75)</f>
        <v>579.75</v>
      </c>
      <c r="C11" s="16">
        <f>IFERROR(__xludf.DUMMYFUNCTION("""COMPUTED_VALUE"""),45754.6458333333)</f>
        <v>45754.6458333333</v>
      </c>
      <c r="D11" s="17">
        <f>IFERROR(__xludf.DUMMYFUNCTION("""COMPUTED_VALUE"""),560.5)</f>
        <v>560.5</v>
      </c>
      <c r="E11" s="16">
        <f>IFERROR(__xludf.DUMMYFUNCTION("""COMPUTED_VALUE"""),45754.6458333333)</f>
        <v>45754.6458333333</v>
      </c>
      <c r="F11" s="17">
        <f>IFERROR(__xludf.DUMMYFUNCTION("""COMPUTED_VALUE"""),49463598)</f>
        <v>49463598</v>
      </c>
      <c r="G11" s="16">
        <f>IFERROR(__xludf.DUMMYFUNCTION("""COMPUTED_VALUE"""),45754.6458333333)</f>
        <v>45754.6458333333</v>
      </c>
      <c r="H11" s="17">
        <f>IFERROR(__xludf.DUMMYFUNCTION("""COMPUTED_VALUE"""),582)</f>
        <v>582</v>
      </c>
      <c r="I11" s="16">
        <f>IFERROR(__xludf.DUMMYFUNCTION("""COMPUTED_VALUE"""),45754.6458333333)</f>
        <v>45754.6458333333</v>
      </c>
      <c r="J11" s="17">
        <f>IFERROR(__xludf.DUMMYFUNCTION("""COMPUTED_VALUE"""),535.75)</f>
        <v>535.75</v>
      </c>
      <c r="K11" s="3">
        <f t="shared" ref="K11:K125" si="2">IF(B11=MAX(B5:B17),B11,0)</f>
        <v>0</v>
      </c>
      <c r="L11" s="3">
        <f t="shared" ref="L11:L125" si="3">IF(B11=MIN(B5:B17),B11,0)</f>
        <v>579.75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IFERROR(__xludf.DUMMYFUNCTION("""COMPUTED_VALUE"""),588.85)</f>
        <v>588.85</v>
      </c>
      <c r="C12" s="16">
        <f>IFERROR(__xludf.DUMMYFUNCTION("""COMPUTED_VALUE"""),45755.6458333333)</f>
        <v>45755.6458333333</v>
      </c>
      <c r="D12" s="17">
        <f>IFERROR(__xludf.DUMMYFUNCTION("""COMPUTED_VALUE"""),591.2)</f>
        <v>591.2</v>
      </c>
      <c r="E12" s="16">
        <f>IFERROR(__xludf.DUMMYFUNCTION("""COMPUTED_VALUE"""),45755.6458333333)</f>
        <v>45755.6458333333</v>
      </c>
      <c r="F12" s="17">
        <f>IFERROR(__xludf.DUMMYFUNCTION("""COMPUTED_VALUE"""),20987855)</f>
        <v>20987855</v>
      </c>
      <c r="G12" s="16">
        <f>IFERROR(__xludf.DUMMYFUNCTION("""COMPUTED_VALUE"""),45755.6458333333)</f>
        <v>45755.6458333333</v>
      </c>
      <c r="H12" s="17">
        <f>IFERROR(__xludf.DUMMYFUNCTION("""COMPUTED_VALUE"""),606.6)</f>
        <v>606.6</v>
      </c>
      <c r="I12" s="16">
        <f>IFERROR(__xludf.DUMMYFUNCTION("""COMPUTED_VALUE"""),45755.6458333333)</f>
        <v>45755.6458333333</v>
      </c>
      <c r="J12" s="17">
        <f>IFERROR(__xludf.DUMMYFUNCTION("""COMPUTED_VALUE"""),584.2)</f>
        <v>584.2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IFERROR(__xludf.DUMMYFUNCTION("""COMPUTED_VALUE"""),582.9)</f>
        <v>582.9</v>
      </c>
      <c r="C13" s="16">
        <f>IFERROR(__xludf.DUMMYFUNCTION("""COMPUTED_VALUE"""),45756.6458333333)</f>
        <v>45756.6458333333</v>
      </c>
      <c r="D13" s="17">
        <f>IFERROR(__xludf.DUMMYFUNCTION("""COMPUTED_VALUE"""),588)</f>
        <v>588</v>
      </c>
      <c r="E13" s="16">
        <f>IFERROR(__xludf.DUMMYFUNCTION("""COMPUTED_VALUE"""),45756.6458333333)</f>
        <v>45756.6458333333</v>
      </c>
      <c r="F13" s="17">
        <f>IFERROR(__xludf.DUMMYFUNCTION("""COMPUTED_VALUE"""),17483412)</f>
        <v>17483412</v>
      </c>
      <c r="G13" s="16">
        <f>IFERROR(__xludf.DUMMYFUNCTION("""COMPUTED_VALUE"""),45756.6458333333)</f>
        <v>45756.6458333333</v>
      </c>
      <c r="H13" s="17">
        <f>IFERROR(__xludf.DUMMYFUNCTION("""COMPUTED_VALUE"""),594.9)</f>
        <v>594.9</v>
      </c>
      <c r="I13" s="16">
        <f>IFERROR(__xludf.DUMMYFUNCTION("""COMPUTED_VALUE"""),45756.6458333333)</f>
        <v>45756.6458333333</v>
      </c>
      <c r="J13" s="17">
        <f>IFERROR(__xludf.DUMMYFUNCTION("""COMPUTED_VALUE"""),581.05)</f>
        <v>581.05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IFERROR(__xludf.DUMMYFUNCTION("""COMPUTED_VALUE"""),595.05)</f>
        <v>595.05</v>
      </c>
      <c r="C14" s="16">
        <f>IFERROR(__xludf.DUMMYFUNCTION("""COMPUTED_VALUE"""),45758.6458333333)</f>
        <v>45758.6458333333</v>
      </c>
      <c r="D14" s="17">
        <f>IFERROR(__xludf.DUMMYFUNCTION("""COMPUTED_VALUE"""),610)</f>
        <v>610</v>
      </c>
      <c r="E14" s="16">
        <f>IFERROR(__xludf.DUMMYFUNCTION("""COMPUTED_VALUE"""),45758.6458333333)</f>
        <v>45758.6458333333</v>
      </c>
      <c r="F14" s="17">
        <f>IFERROR(__xludf.DUMMYFUNCTION("""COMPUTED_VALUE"""),21055814)</f>
        <v>21055814</v>
      </c>
      <c r="G14" s="16">
        <f>IFERROR(__xludf.DUMMYFUNCTION("""COMPUTED_VALUE"""),45758.6458333333)</f>
        <v>45758.6458333333</v>
      </c>
      <c r="H14" s="17">
        <f>IFERROR(__xludf.DUMMYFUNCTION("""COMPUTED_VALUE"""),612.8)</f>
        <v>612.8</v>
      </c>
      <c r="I14" s="16">
        <f>IFERROR(__xludf.DUMMYFUNCTION("""COMPUTED_VALUE"""),45758.6458333333)</f>
        <v>45758.6458333333</v>
      </c>
      <c r="J14" s="17">
        <f>IFERROR(__xludf.DUMMYFUNCTION("""COMPUTED_VALUE"""),591)</f>
        <v>591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IFERROR(__xludf.DUMMYFUNCTION("""COMPUTED_VALUE"""),622.2)</f>
        <v>622.2</v>
      </c>
      <c r="C15" s="16">
        <f>IFERROR(__xludf.DUMMYFUNCTION("""COMPUTED_VALUE"""),45762.6458333333)</f>
        <v>45762.6458333333</v>
      </c>
      <c r="D15" s="17">
        <f>IFERROR(__xludf.DUMMYFUNCTION("""COMPUTED_VALUE"""),614)</f>
        <v>614</v>
      </c>
      <c r="E15" s="16">
        <f>IFERROR(__xludf.DUMMYFUNCTION("""COMPUTED_VALUE"""),45762.6458333333)</f>
        <v>45762.6458333333</v>
      </c>
      <c r="F15" s="17">
        <f>IFERROR(__xludf.DUMMYFUNCTION("""COMPUTED_VALUE"""),19722072)</f>
        <v>19722072</v>
      </c>
      <c r="G15" s="16">
        <f>IFERROR(__xludf.DUMMYFUNCTION("""COMPUTED_VALUE"""),45762.6458333333)</f>
        <v>45762.6458333333</v>
      </c>
      <c r="H15" s="17">
        <f>IFERROR(__xludf.DUMMYFUNCTION("""COMPUTED_VALUE"""),628.3)</f>
        <v>628.3</v>
      </c>
      <c r="I15" s="16">
        <f>IFERROR(__xludf.DUMMYFUNCTION("""COMPUTED_VALUE"""),45762.6458333333)</f>
        <v>45762.6458333333</v>
      </c>
      <c r="J15" s="17">
        <f>IFERROR(__xludf.DUMMYFUNCTION("""COMPUTED_VALUE"""),612.65)</f>
        <v>612.65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IFERROR(__xludf.DUMMYFUNCTION("""COMPUTED_VALUE"""),616.05)</f>
        <v>616.05</v>
      </c>
      <c r="C16" s="16">
        <f>IFERROR(__xludf.DUMMYFUNCTION("""COMPUTED_VALUE"""),45763.6458333333)</f>
        <v>45763.6458333333</v>
      </c>
      <c r="D16" s="17">
        <f>IFERROR(__xludf.DUMMYFUNCTION("""COMPUTED_VALUE"""),625)</f>
        <v>625</v>
      </c>
      <c r="E16" s="16">
        <f>IFERROR(__xludf.DUMMYFUNCTION("""COMPUTED_VALUE"""),45763.6458333333)</f>
        <v>45763.6458333333</v>
      </c>
      <c r="F16" s="17">
        <f>IFERROR(__xludf.DUMMYFUNCTION("""COMPUTED_VALUE"""),12318376)</f>
        <v>12318376</v>
      </c>
      <c r="G16" s="16">
        <f>IFERROR(__xludf.DUMMYFUNCTION("""COMPUTED_VALUE"""),45763.6458333333)</f>
        <v>45763.6458333333</v>
      </c>
      <c r="H16" s="17">
        <f>IFERROR(__xludf.DUMMYFUNCTION("""COMPUTED_VALUE"""),625)</f>
        <v>625</v>
      </c>
      <c r="I16" s="16">
        <f>IFERROR(__xludf.DUMMYFUNCTION("""COMPUTED_VALUE"""),45763.6458333333)</f>
        <v>45763.6458333333</v>
      </c>
      <c r="J16" s="17">
        <f>IFERROR(__xludf.DUMMYFUNCTION("""COMPUTED_VALUE"""),613.6)</f>
        <v>613.6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IFERROR(__xludf.DUMMYFUNCTION("""COMPUTED_VALUE"""),621.55)</f>
        <v>621.55</v>
      </c>
      <c r="C17" s="16">
        <f>IFERROR(__xludf.DUMMYFUNCTION("""COMPUTED_VALUE"""),45764.6458333333)</f>
        <v>45764.6458333333</v>
      </c>
      <c r="D17" s="17">
        <f>IFERROR(__xludf.DUMMYFUNCTION("""COMPUTED_VALUE"""),616.05)</f>
        <v>616.05</v>
      </c>
      <c r="E17" s="16">
        <f>IFERROR(__xludf.DUMMYFUNCTION("""COMPUTED_VALUE"""),45764.6458333333)</f>
        <v>45764.6458333333</v>
      </c>
      <c r="F17" s="17">
        <f>IFERROR(__xludf.DUMMYFUNCTION("""COMPUTED_VALUE"""),14342652)</f>
        <v>14342652</v>
      </c>
      <c r="G17" s="16">
        <f>IFERROR(__xludf.DUMMYFUNCTION("""COMPUTED_VALUE"""),45764.6458333333)</f>
        <v>45764.6458333333</v>
      </c>
      <c r="H17" s="17">
        <f>IFERROR(__xludf.DUMMYFUNCTION("""COMPUTED_VALUE"""),627)</f>
        <v>627</v>
      </c>
      <c r="I17" s="16">
        <f>IFERROR(__xludf.DUMMYFUNCTION("""COMPUTED_VALUE"""),45764.6458333333)</f>
        <v>45764.6458333333</v>
      </c>
      <c r="J17" s="17">
        <f>IFERROR(__xludf.DUMMYFUNCTION("""COMPUTED_VALUE"""),608.25)</f>
        <v>608.25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IFERROR(__xludf.DUMMYFUNCTION("""COMPUTED_VALUE"""),630.05)</f>
        <v>630.05</v>
      </c>
      <c r="C18" s="16">
        <f>IFERROR(__xludf.DUMMYFUNCTION("""COMPUTED_VALUE"""),45768.6458333333)</f>
        <v>45768.6458333333</v>
      </c>
      <c r="D18" s="17">
        <f>IFERROR(__xludf.DUMMYFUNCTION("""COMPUTED_VALUE"""),624.6)</f>
        <v>624.6</v>
      </c>
      <c r="E18" s="16">
        <f>IFERROR(__xludf.DUMMYFUNCTION("""COMPUTED_VALUE"""),45768.6458333333)</f>
        <v>45768.6458333333</v>
      </c>
      <c r="F18" s="17">
        <f>IFERROR(__xludf.DUMMYFUNCTION("""COMPUTED_VALUE"""),12785568)</f>
        <v>12785568</v>
      </c>
      <c r="G18" s="16">
        <f>IFERROR(__xludf.DUMMYFUNCTION("""COMPUTED_VALUE"""),45768.6458333333)</f>
        <v>45768.6458333333</v>
      </c>
      <c r="H18" s="17">
        <f>IFERROR(__xludf.DUMMYFUNCTION("""COMPUTED_VALUE"""),635.75)</f>
        <v>635.75</v>
      </c>
      <c r="I18" s="16">
        <f>IFERROR(__xludf.DUMMYFUNCTION("""COMPUTED_VALUE"""),45768.6458333333)</f>
        <v>45768.6458333333</v>
      </c>
      <c r="J18" s="17">
        <f>IFERROR(__xludf.DUMMYFUNCTION("""COMPUTED_VALUE"""),620.2)</f>
        <v>620.2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IFERROR(__xludf.DUMMYFUNCTION("""COMPUTED_VALUE"""),630.85)</f>
        <v>630.85</v>
      </c>
      <c r="C19" s="16">
        <f>IFERROR(__xludf.DUMMYFUNCTION("""COMPUTED_VALUE"""),45769.6458333333)</f>
        <v>45769.6458333333</v>
      </c>
      <c r="D19" s="17">
        <f>IFERROR(__xludf.DUMMYFUNCTION("""COMPUTED_VALUE"""),630.25)</f>
        <v>630.25</v>
      </c>
      <c r="E19" s="16">
        <f>IFERROR(__xludf.DUMMYFUNCTION("""COMPUTED_VALUE"""),45769.6458333333)</f>
        <v>45769.6458333333</v>
      </c>
      <c r="F19" s="17">
        <f>IFERROR(__xludf.DUMMYFUNCTION("""COMPUTED_VALUE"""),10292748)</f>
        <v>10292748</v>
      </c>
      <c r="G19" s="16">
        <f>IFERROR(__xludf.DUMMYFUNCTION("""COMPUTED_VALUE"""),45769.6458333333)</f>
        <v>45769.6458333333</v>
      </c>
      <c r="H19" s="17">
        <f>IFERROR(__xludf.DUMMYFUNCTION("""COMPUTED_VALUE"""),633.95)</f>
        <v>633.95</v>
      </c>
      <c r="I19" s="16">
        <f>IFERROR(__xludf.DUMMYFUNCTION("""COMPUTED_VALUE"""),45769.6458333333)</f>
        <v>45769.6458333333</v>
      </c>
      <c r="J19" s="17">
        <f>IFERROR(__xludf.DUMMYFUNCTION("""COMPUTED_VALUE"""),626.2)</f>
        <v>626.2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IFERROR(__xludf.DUMMYFUNCTION("""COMPUTED_VALUE"""),659.9)</f>
        <v>659.9</v>
      </c>
      <c r="C20" s="16">
        <f>IFERROR(__xludf.DUMMYFUNCTION("""COMPUTED_VALUE"""),45770.6458333333)</f>
        <v>45770.6458333333</v>
      </c>
      <c r="D20" s="17">
        <f>IFERROR(__xludf.DUMMYFUNCTION("""COMPUTED_VALUE"""),635.95)</f>
        <v>635.95</v>
      </c>
      <c r="E20" s="16">
        <f>IFERROR(__xludf.DUMMYFUNCTION("""COMPUTED_VALUE"""),45770.6458333333)</f>
        <v>45770.6458333333</v>
      </c>
      <c r="F20" s="17">
        <f>IFERROR(__xludf.DUMMYFUNCTION("""COMPUTED_VALUE"""),23390570)</f>
        <v>23390570</v>
      </c>
      <c r="G20" s="16">
        <f>IFERROR(__xludf.DUMMYFUNCTION("""COMPUTED_VALUE"""),45770.6458333333)</f>
        <v>45770.6458333333</v>
      </c>
      <c r="H20" s="17">
        <f>IFERROR(__xludf.DUMMYFUNCTION("""COMPUTED_VALUE"""),661.5)</f>
        <v>661.5</v>
      </c>
      <c r="I20" s="16">
        <f>IFERROR(__xludf.DUMMYFUNCTION("""COMPUTED_VALUE"""),45770.6458333333)</f>
        <v>45770.6458333333</v>
      </c>
      <c r="J20" s="17">
        <f>IFERROR(__xludf.DUMMYFUNCTION("""COMPUTED_VALUE"""),633.35)</f>
        <v>633.35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IFERROR(__xludf.DUMMYFUNCTION("""COMPUTED_VALUE"""),668.35)</f>
        <v>668.35</v>
      </c>
      <c r="C21" s="16">
        <f>IFERROR(__xludf.DUMMYFUNCTION("""COMPUTED_VALUE"""),45771.6458333333)</f>
        <v>45771.6458333333</v>
      </c>
      <c r="D21" s="17">
        <f>IFERROR(__xludf.DUMMYFUNCTION("""COMPUTED_VALUE"""),660.1)</f>
        <v>660.1</v>
      </c>
      <c r="E21" s="16">
        <f>IFERROR(__xludf.DUMMYFUNCTION("""COMPUTED_VALUE"""),45771.6458333333)</f>
        <v>45771.6458333333</v>
      </c>
      <c r="F21" s="17">
        <f>IFERROR(__xludf.DUMMYFUNCTION("""COMPUTED_VALUE"""),15172229)</f>
        <v>15172229</v>
      </c>
      <c r="G21" s="16">
        <f>IFERROR(__xludf.DUMMYFUNCTION("""COMPUTED_VALUE"""),45771.6458333333)</f>
        <v>45771.6458333333</v>
      </c>
      <c r="H21" s="17">
        <f>IFERROR(__xludf.DUMMYFUNCTION("""COMPUTED_VALUE"""),671)</f>
        <v>671</v>
      </c>
      <c r="I21" s="16">
        <f>IFERROR(__xludf.DUMMYFUNCTION("""COMPUTED_VALUE"""),45771.6458333333)</f>
        <v>45771.6458333333</v>
      </c>
      <c r="J21" s="17">
        <f>IFERROR(__xludf.DUMMYFUNCTION("""COMPUTED_VALUE"""),660.1)</f>
        <v>660.1</v>
      </c>
      <c r="K21" s="3">
        <f t="shared" si="2"/>
        <v>668.35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IFERROR(__xludf.DUMMYFUNCTION("""COMPUTED_VALUE"""),655.25)</f>
        <v>655.25</v>
      </c>
      <c r="C22" s="16">
        <f>IFERROR(__xludf.DUMMYFUNCTION("""COMPUTED_VALUE"""),45772.6458333333)</f>
        <v>45772.6458333333</v>
      </c>
      <c r="D22" s="17">
        <f>IFERROR(__xludf.DUMMYFUNCTION("""COMPUTED_VALUE"""),668.35)</f>
        <v>668.35</v>
      </c>
      <c r="E22" s="16">
        <f>IFERROR(__xludf.DUMMYFUNCTION("""COMPUTED_VALUE"""),45772.6458333333)</f>
        <v>45772.6458333333</v>
      </c>
      <c r="F22" s="17">
        <f>IFERROR(__xludf.DUMMYFUNCTION("""COMPUTED_VALUE"""),13207043)</f>
        <v>13207043</v>
      </c>
      <c r="G22" s="16">
        <f>IFERROR(__xludf.DUMMYFUNCTION("""COMPUTED_VALUE"""),45772.6458333333)</f>
        <v>45772.6458333333</v>
      </c>
      <c r="H22" s="17">
        <f>IFERROR(__xludf.DUMMYFUNCTION("""COMPUTED_VALUE"""),673)</f>
        <v>673</v>
      </c>
      <c r="I22" s="16">
        <f>IFERROR(__xludf.DUMMYFUNCTION("""COMPUTED_VALUE"""),45772.6458333333)</f>
        <v>45772.6458333333</v>
      </c>
      <c r="J22" s="17">
        <f>IFERROR(__xludf.DUMMYFUNCTION("""COMPUTED_VALUE"""),651.5)</f>
        <v>651.5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IFERROR(__xludf.DUMMYFUNCTION("""COMPUTED_VALUE"""),668.15)</f>
        <v>668.15</v>
      </c>
      <c r="C23" s="16">
        <f>IFERROR(__xludf.DUMMYFUNCTION("""COMPUTED_VALUE"""),45775.6458333333)</f>
        <v>45775.6458333333</v>
      </c>
      <c r="D23" s="17">
        <f>IFERROR(__xludf.DUMMYFUNCTION("""COMPUTED_VALUE"""),654.3)</f>
        <v>654.3</v>
      </c>
      <c r="E23" s="16">
        <f>IFERROR(__xludf.DUMMYFUNCTION("""COMPUTED_VALUE"""),45775.6458333333)</f>
        <v>45775.6458333333</v>
      </c>
      <c r="F23" s="17">
        <f>IFERROR(__xludf.DUMMYFUNCTION("""COMPUTED_VALUE"""),10243493)</f>
        <v>10243493</v>
      </c>
      <c r="G23" s="16">
        <f>IFERROR(__xludf.DUMMYFUNCTION("""COMPUTED_VALUE"""),45775.6458333333)</f>
        <v>45775.6458333333</v>
      </c>
      <c r="H23" s="17">
        <f>IFERROR(__xludf.DUMMYFUNCTION("""COMPUTED_VALUE"""),669.6)</f>
        <v>669.6</v>
      </c>
      <c r="I23" s="16">
        <f>IFERROR(__xludf.DUMMYFUNCTION("""COMPUTED_VALUE"""),45775.6458333333)</f>
        <v>45775.6458333333</v>
      </c>
      <c r="J23" s="17">
        <f>IFERROR(__xludf.DUMMYFUNCTION("""COMPUTED_VALUE"""),652.55)</f>
        <v>652.55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IFERROR(__xludf.DUMMYFUNCTION("""COMPUTED_VALUE"""),665.6)</f>
        <v>665.6</v>
      </c>
      <c r="C24" s="16">
        <f>IFERROR(__xludf.DUMMYFUNCTION("""COMPUTED_VALUE"""),45776.6458333333)</f>
        <v>45776.6458333333</v>
      </c>
      <c r="D24" s="17">
        <f>IFERROR(__xludf.DUMMYFUNCTION("""COMPUTED_VALUE"""),671.45)</f>
        <v>671.45</v>
      </c>
      <c r="E24" s="16">
        <f>IFERROR(__xludf.DUMMYFUNCTION("""COMPUTED_VALUE"""),45776.6458333333)</f>
        <v>45776.6458333333</v>
      </c>
      <c r="F24" s="17">
        <f>IFERROR(__xludf.DUMMYFUNCTION("""COMPUTED_VALUE"""),13754685)</f>
        <v>13754685</v>
      </c>
      <c r="G24" s="16">
        <f>IFERROR(__xludf.DUMMYFUNCTION("""COMPUTED_VALUE"""),45776.6458333333)</f>
        <v>45776.6458333333</v>
      </c>
      <c r="H24" s="17">
        <f>IFERROR(__xludf.DUMMYFUNCTION("""COMPUTED_VALUE"""),682.9)</f>
        <v>682.9</v>
      </c>
      <c r="I24" s="16">
        <f>IFERROR(__xludf.DUMMYFUNCTION("""COMPUTED_VALUE"""),45776.6458333333)</f>
        <v>45776.6458333333</v>
      </c>
      <c r="J24" s="17">
        <f>IFERROR(__xludf.DUMMYFUNCTION("""COMPUTED_VALUE"""),661.6)</f>
        <v>661.6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IFERROR(__xludf.DUMMYFUNCTION("""COMPUTED_VALUE"""),644.25)</f>
        <v>644.25</v>
      </c>
      <c r="C25" s="16">
        <f>IFERROR(__xludf.DUMMYFUNCTION("""COMPUTED_VALUE"""),45777.6458333333)</f>
        <v>45777.6458333333</v>
      </c>
      <c r="D25" s="17">
        <f>IFERROR(__xludf.DUMMYFUNCTION("""COMPUTED_VALUE"""),667)</f>
        <v>667</v>
      </c>
      <c r="E25" s="16">
        <f>IFERROR(__xludf.DUMMYFUNCTION("""COMPUTED_VALUE"""),45777.6458333333)</f>
        <v>45777.6458333333</v>
      </c>
      <c r="F25" s="17">
        <f>IFERROR(__xludf.DUMMYFUNCTION("""COMPUTED_VALUE"""),19485917)</f>
        <v>19485917</v>
      </c>
      <c r="G25" s="16">
        <f>IFERROR(__xludf.DUMMYFUNCTION("""COMPUTED_VALUE"""),45777.6458333333)</f>
        <v>45777.6458333333</v>
      </c>
      <c r="H25" s="17">
        <f>IFERROR(__xludf.DUMMYFUNCTION("""COMPUTED_VALUE"""),667)</f>
        <v>667</v>
      </c>
      <c r="I25" s="16">
        <f>IFERROR(__xludf.DUMMYFUNCTION("""COMPUTED_VALUE"""),45777.6458333333)</f>
        <v>45777.6458333333</v>
      </c>
      <c r="J25" s="17">
        <f>IFERROR(__xludf.DUMMYFUNCTION("""COMPUTED_VALUE"""),641.1)</f>
        <v>641.1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IFERROR(__xludf.DUMMYFUNCTION("""COMPUTED_VALUE"""),652)</f>
        <v>652</v>
      </c>
      <c r="C26" s="16">
        <f>IFERROR(__xludf.DUMMYFUNCTION("""COMPUTED_VALUE"""),45779.6458333333)</f>
        <v>45779.6458333333</v>
      </c>
      <c r="D26" s="17">
        <f>IFERROR(__xludf.DUMMYFUNCTION("""COMPUTED_VALUE"""),641)</f>
        <v>641</v>
      </c>
      <c r="E26" s="16">
        <f>IFERROR(__xludf.DUMMYFUNCTION("""COMPUTED_VALUE"""),45779.6458333333)</f>
        <v>45779.6458333333</v>
      </c>
      <c r="F26" s="17">
        <f>IFERROR(__xludf.DUMMYFUNCTION("""COMPUTED_VALUE"""),11488717)</f>
        <v>11488717</v>
      </c>
      <c r="G26" s="16">
        <f>IFERROR(__xludf.DUMMYFUNCTION("""COMPUTED_VALUE"""),45779.6458333333)</f>
        <v>45779.6458333333</v>
      </c>
      <c r="H26" s="17">
        <f>IFERROR(__xludf.DUMMYFUNCTION("""COMPUTED_VALUE"""),661.35)</f>
        <v>661.35</v>
      </c>
      <c r="I26" s="16">
        <f>IFERROR(__xludf.DUMMYFUNCTION("""COMPUTED_VALUE"""),45779.6458333333)</f>
        <v>45779.6458333333</v>
      </c>
      <c r="J26" s="17">
        <f>IFERROR(__xludf.DUMMYFUNCTION("""COMPUTED_VALUE"""),635.55)</f>
        <v>635.55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IFERROR(__xludf.DUMMYFUNCTION("""COMPUTED_VALUE"""),661.55)</f>
        <v>661.55</v>
      </c>
      <c r="C27" s="16">
        <f>IFERROR(__xludf.DUMMYFUNCTION("""COMPUTED_VALUE"""),45782.6458333333)</f>
        <v>45782.6458333333</v>
      </c>
      <c r="D27" s="17">
        <f>IFERROR(__xludf.DUMMYFUNCTION("""COMPUTED_VALUE"""),662.95)</f>
        <v>662.95</v>
      </c>
      <c r="E27" s="16">
        <f>IFERROR(__xludf.DUMMYFUNCTION("""COMPUTED_VALUE"""),45782.6458333333)</f>
        <v>45782.6458333333</v>
      </c>
      <c r="F27" s="17">
        <f>IFERROR(__xludf.DUMMYFUNCTION("""COMPUTED_VALUE"""),8868484)</f>
        <v>8868484</v>
      </c>
      <c r="G27" s="16">
        <f>IFERROR(__xludf.DUMMYFUNCTION("""COMPUTED_VALUE"""),45782.6458333333)</f>
        <v>45782.6458333333</v>
      </c>
      <c r="H27" s="17">
        <f>IFERROR(__xludf.DUMMYFUNCTION("""COMPUTED_VALUE"""),666.65)</f>
        <v>666.65</v>
      </c>
      <c r="I27" s="16">
        <f>IFERROR(__xludf.DUMMYFUNCTION("""COMPUTED_VALUE"""),45782.6458333333)</f>
        <v>45782.6458333333</v>
      </c>
      <c r="J27" s="17">
        <f>IFERROR(__xludf.DUMMYFUNCTION("""COMPUTED_VALUE"""),655.85)</f>
        <v>655.85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IFERROR(__xludf.DUMMYFUNCTION("""COMPUTED_VALUE"""),648.2)</f>
        <v>648.2</v>
      </c>
      <c r="C28" s="16">
        <f>IFERROR(__xludf.DUMMYFUNCTION("""COMPUTED_VALUE"""),45783.6458333333)</f>
        <v>45783.6458333333</v>
      </c>
      <c r="D28" s="17">
        <f>IFERROR(__xludf.DUMMYFUNCTION("""COMPUTED_VALUE"""),661.55)</f>
        <v>661.55</v>
      </c>
      <c r="E28" s="16">
        <f>IFERROR(__xludf.DUMMYFUNCTION("""COMPUTED_VALUE"""),45783.6458333333)</f>
        <v>45783.6458333333</v>
      </c>
      <c r="F28" s="17">
        <f>IFERROR(__xludf.DUMMYFUNCTION("""COMPUTED_VALUE"""),12718175)</f>
        <v>12718175</v>
      </c>
      <c r="G28" s="16">
        <f>IFERROR(__xludf.DUMMYFUNCTION("""COMPUTED_VALUE"""),45783.6458333333)</f>
        <v>45783.6458333333</v>
      </c>
      <c r="H28" s="17">
        <f>IFERROR(__xludf.DUMMYFUNCTION("""COMPUTED_VALUE"""),663.2)</f>
        <v>663.2</v>
      </c>
      <c r="I28" s="16">
        <f>IFERROR(__xludf.DUMMYFUNCTION("""COMPUTED_VALUE"""),45783.6458333333)</f>
        <v>45783.6458333333</v>
      </c>
      <c r="J28" s="17">
        <f>IFERROR(__xludf.DUMMYFUNCTION("""COMPUTED_VALUE"""),645.5)</f>
        <v>645.5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IFERROR(__xludf.DUMMYFUNCTION("""COMPUTED_VALUE"""),680.3)</f>
        <v>680.3</v>
      </c>
      <c r="C29" s="16">
        <f>IFERROR(__xludf.DUMMYFUNCTION("""COMPUTED_VALUE"""),45784.6458333333)</f>
        <v>45784.6458333333</v>
      </c>
      <c r="D29" s="17">
        <f>IFERROR(__xludf.DUMMYFUNCTION("""COMPUTED_VALUE"""),642)</f>
        <v>642</v>
      </c>
      <c r="E29" s="16">
        <f>IFERROR(__xludf.DUMMYFUNCTION("""COMPUTED_VALUE"""),45784.6458333333)</f>
        <v>45784.6458333333</v>
      </c>
      <c r="F29" s="17">
        <f>IFERROR(__xludf.DUMMYFUNCTION("""COMPUTED_VALUE"""),30390515)</f>
        <v>30390515</v>
      </c>
      <c r="G29" s="16">
        <f>IFERROR(__xludf.DUMMYFUNCTION("""COMPUTED_VALUE"""),45784.6458333333)</f>
        <v>45784.6458333333</v>
      </c>
      <c r="H29" s="17">
        <f>IFERROR(__xludf.DUMMYFUNCTION("""COMPUTED_VALUE"""),682.5)</f>
        <v>682.5</v>
      </c>
      <c r="I29" s="16">
        <f>IFERROR(__xludf.DUMMYFUNCTION("""COMPUTED_VALUE"""),45784.6458333333)</f>
        <v>45784.6458333333</v>
      </c>
      <c r="J29" s="17">
        <f>IFERROR(__xludf.DUMMYFUNCTION("""COMPUTED_VALUE"""),641.15)</f>
        <v>641.15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IFERROR(__xludf.DUMMYFUNCTION("""COMPUTED_VALUE"""),682.85)</f>
        <v>682.85</v>
      </c>
      <c r="C30" s="16">
        <f>IFERROR(__xludf.DUMMYFUNCTION("""COMPUTED_VALUE"""),45785.6458333333)</f>
        <v>45785.6458333333</v>
      </c>
      <c r="D30" s="17">
        <f>IFERROR(__xludf.DUMMYFUNCTION("""COMPUTED_VALUE"""),700)</f>
        <v>700</v>
      </c>
      <c r="E30" s="16">
        <f>IFERROR(__xludf.DUMMYFUNCTION("""COMPUTED_VALUE"""),45785.6458333333)</f>
        <v>45785.6458333333</v>
      </c>
      <c r="F30" s="17">
        <f>IFERROR(__xludf.DUMMYFUNCTION("""COMPUTED_VALUE"""),29315465)</f>
        <v>29315465</v>
      </c>
      <c r="G30" s="16">
        <f>IFERROR(__xludf.DUMMYFUNCTION("""COMPUTED_VALUE"""),45785.6458333333)</f>
        <v>45785.6458333333</v>
      </c>
      <c r="H30" s="17">
        <f>IFERROR(__xludf.DUMMYFUNCTION("""COMPUTED_VALUE"""),704.5)</f>
        <v>704.5</v>
      </c>
      <c r="I30" s="16">
        <f>IFERROR(__xludf.DUMMYFUNCTION("""COMPUTED_VALUE"""),45785.6458333333)</f>
        <v>45785.6458333333</v>
      </c>
      <c r="J30" s="17">
        <f>IFERROR(__xludf.DUMMYFUNCTION("""COMPUTED_VALUE"""),677.2)</f>
        <v>677.2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IFERROR(__xludf.DUMMYFUNCTION("""COMPUTED_VALUE"""),708.5)</f>
        <v>708.5</v>
      </c>
      <c r="C31" s="16">
        <f>IFERROR(__xludf.DUMMYFUNCTION("""COMPUTED_VALUE"""),45786.6458333333)</f>
        <v>45786.6458333333</v>
      </c>
      <c r="D31" s="17">
        <f>IFERROR(__xludf.DUMMYFUNCTION("""COMPUTED_VALUE"""),667.5)</f>
        <v>667.5</v>
      </c>
      <c r="E31" s="16">
        <f>IFERROR(__xludf.DUMMYFUNCTION("""COMPUTED_VALUE"""),45786.6458333333)</f>
        <v>45786.6458333333</v>
      </c>
      <c r="F31" s="17">
        <f>IFERROR(__xludf.DUMMYFUNCTION("""COMPUTED_VALUE"""),40183276)</f>
        <v>40183276</v>
      </c>
      <c r="G31" s="16">
        <f>IFERROR(__xludf.DUMMYFUNCTION("""COMPUTED_VALUE"""),45786.6458333333)</f>
        <v>45786.6458333333</v>
      </c>
      <c r="H31" s="17">
        <f>IFERROR(__xludf.DUMMYFUNCTION("""COMPUTED_VALUE"""),711)</f>
        <v>711</v>
      </c>
      <c r="I31" s="16">
        <f>IFERROR(__xludf.DUMMYFUNCTION("""COMPUTED_VALUE"""),45786.6458333333)</f>
        <v>45786.6458333333</v>
      </c>
      <c r="J31" s="17">
        <f>IFERROR(__xludf.DUMMYFUNCTION("""COMPUTED_VALUE"""),666)</f>
        <v>666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IFERROR(__xludf.DUMMYFUNCTION("""COMPUTED_VALUE"""),720.8)</f>
        <v>720.8</v>
      </c>
      <c r="C32" s="16">
        <f>IFERROR(__xludf.DUMMYFUNCTION("""COMPUTED_VALUE"""),45789.6458333333)</f>
        <v>45789.6458333333</v>
      </c>
      <c r="D32" s="17">
        <f>IFERROR(__xludf.DUMMYFUNCTION("""COMPUTED_VALUE"""),728)</f>
        <v>728</v>
      </c>
      <c r="E32" s="16">
        <f>IFERROR(__xludf.DUMMYFUNCTION("""COMPUTED_VALUE"""),45789.6458333333)</f>
        <v>45789.6458333333</v>
      </c>
      <c r="F32" s="17">
        <f>IFERROR(__xludf.DUMMYFUNCTION("""COMPUTED_VALUE"""),20133616)</f>
        <v>20133616</v>
      </c>
      <c r="G32" s="16">
        <f>IFERROR(__xludf.DUMMYFUNCTION("""COMPUTED_VALUE"""),45789.6458333333)</f>
        <v>45789.6458333333</v>
      </c>
      <c r="H32" s="17">
        <f>IFERROR(__xludf.DUMMYFUNCTION("""COMPUTED_VALUE"""),732)</f>
        <v>732</v>
      </c>
      <c r="I32" s="16">
        <f>IFERROR(__xludf.DUMMYFUNCTION("""COMPUTED_VALUE"""),45789.6458333333)</f>
        <v>45789.6458333333</v>
      </c>
      <c r="J32" s="17">
        <f>IFERROR(__xludf.DUMMYFUNCTION("""COMPUTED_VALUE"""),711.2)</f>
        <v>711.2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IFERROR(__xludf.DUMMYFUNCTION("""COMPUTED_VALUE"""),707.7)</f>
        <v>707.7</v>
      </c>
      <c r="C33" s="16">
        <f>IFERROR(__xludf.DUMMYFUNCTION("""COMPUTED_VALUE"""),45790.6458333333)</f>
        <v>45790.6458333333</v>
      </c>
      <c r="D33" s="17">
        <f>IFERROR(__xludf.DUMMYFUNCTION("""COMPUTED_VALUE"""),720.8)</f>
        <v>720.8</v>
      </c>
      <c r="E33" s="16">
        <f>IFERROR(__xludf.DUMMYFUNCTION("""COMPUTED_VALUE"""),45790.6458333333)</f>
        <v>45790.6458333333</v>
      </c>
      <c r="F33" s="17">
        <f>IFERROR(__xludf.DUMMYFUNCTION("""COMPUTED_VALUE"""),16125700)</f>
        <v>16125700</v>
      </c>
      <c r="G33" s="16">
        <f>IFERROR(__xludf.DUMMYFUNCTION("""COMPUTED_VALUE"""),45790.6458333333)</f>
        <v>45790.6458333333</v>
      </c>
      <c r="H33" s="17">
        <f>IFERROR(__xludf.DUMMYFUNCTION("""COMPUTED_VALUE"""),726)</f>
        <v>726</v>
      </c>
      <c r="I33" s="16">
        <f>IFERROR(__xludf.DUMMYFUNCTION("""COMPUTED_VALUE"""),45790.6458333333)</f>
        <v>45790.6458333333</v>
      </c>
      <c r="J33" s="17">
        <f>IFERROR(__xludf.DUMMYFUNCTION("""COMPUTED_VALUE"""),703.25)</f>
        <v>703.25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IFERROR(__xludf.DUMMYFUNCTION("""COMPUTED_VALUE"""),698.95)</f>
        <v>698.95</v>
      </c>
      <c r="C34" s="16">
        <f>IFERROR(__xludf.DUMMYFUNCTION("""COMPUTED_VALUE"""),45791.6458333333)</f>
        <v>45791.6458333333</v>
      </c>
      <c r="D34" s="17">
        <f>IFERROR(__xludf.DUMMYFUNCTION("""COMPUTED_VALUE"""),690)</f>
        <v>690</v>
      </c>
      <c r="E34" s="16">
        <f>IFERROR(__xludf.DUMMYFUNCTION("""COMPUTED_VALUE"""),45791.6458333333)</f>
        <v>45791.6458333333</v>
      </c>
      <c r="F34" s="17">
        <f>IFERROR(__xludf.DUMMYFUNCTION("""COMPUTED_VALUE"""),31505402)</f>
        <v>31505402</v>
      </c>
      <c r="G34" s="16">
        <f>IFERROR(__xludf.DUMMYFUNCTION("""COMPUTED_VALUE"""),45791.6458333333)</f>
        <v>45791.6458333333</v>
      </c>
      <c r="H34" s="17">
        <f>IFERROR(__xludf.DUMMYFUNCTION("""COMPUTED_VALUE"""),708)</f>
        <v>708</v>
      </c>
      <c r="I34" s="16">
        <f>IFERROR(__xludf.DUMMYFUNCTION("""COMPUTED_VALUE"""),45791.6458333333)</f>
        <v>45791.6458333333</v>
      </c>
      <c r="J34" s="17">
        <f>IFERROR(__xludf.DUMMYFUNCTION("""COMPUTED_VALUE"""),686)</f>
        <v>686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IFERROR(__xludf.DUMMYFUNCTION("""COMPUTED_VALUE"""),728.1)</f>
        <v>728.1</v>
      </c>
      <c r="C35" s="16">
        <f>IFERROR(__xludf.DUMMYFUNCTION("""COMPUTED_VALUE"""),45792.6458333333)</f>
        <v>45792.6458333333</v>
      </c>
      <c r="D35" s="17">
        <f>IFERROR(__xludf.DUMMYFUNCTION("""COMPUTED_VALUE"""),698.75)</f>
        <v>698.75</v>
      </c>
      <c r="E35" s="16">
        <f>IFERROR(__xludf.DUMMYFUNCTION("""COMPUTED_VALUE"""),45792.6458333333)</f>
        <v>45792.6458333333</v>
      </c>
      <c r="F35" s="17">
        <f>IFERROR(__xludf.DUMMYFUNCTION("""COMPUTED_VALUE"""),28634074)</f>
        <v>28634074</v>
      </c>
      <c r="G35" s="16">
        <f>IFERROR(__xludf.DUMMYFUNCTION("""COMPUTED_VALUE"""),45792.6458333333)</f>
        <v>45792.6458333333</v>
      </c>
      <c r="H35" s="17">
        <f>IFERROR(__xludf.DUMMYFUNCTION("""COMPUTED_VALUE"""),729.8)</f>
        <v>729.8</v>
      </c>
      <c r="I35" s="16">
        <f>IFERROR(__xludf.DUMMYFUNCTION("""COMPUTED_VALUE"""),45792.6458333333)</f>
        <v>45792.6458333333</v>
      </c>
      <c r="J35" s="17">
        <f>IFERROR(__xludf.DUMMYFUNCTION("""COMPUTED_VALUE"""),696.15)</f>
        <v>696.15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IFERROR(__xludf.DUMMYFUNCTION("""COMPUTED_VALUE"""),730.7)</f>
        <v>730.7</v>
      </c>
      <c r="C36" s="16">
        <f>IFERROR(__xludf.DUMMYFUNCTION("""COMPUTED_VALUE"""),45793.6458333333)</f>
        <v>45793.6458333333</v>
      </c>
      <c r="D36" s="17">
        <f>IFERROR(__xludf.DUMMYFUNCTION("""COMPUTED_VALUE"""),730)</f>
        <v>730</v>
      </c>
      <c r="E36" s="16">
        <f>IFERROR(__xludf.DUMMYFUNCTION("""COMPUTED_VALUE"""),45793.6458333333)</f>
        <v>45793.6458333333</v>
      </c>
      <c r="F36" s="17">
        <f>IFERROR(__xludf.DUMMYFUNCTION("""COMPUTED_VALUE"""),20631512)</f>
        <v>20631512</v>
      </c>
      <c r="G36" s="16">
        <f>IFERROR(__xludf.DUMMYFUNCTION("""COMPUTED_VALUE"""),45793.6458333333)</f>
        <v>45793.6458333333</v>
      </c>
      <c r="H36" s="17">
        <f>IFERROR(__xludf.DUMMYFUNCTION("""COMPUTED_VALUE"""),742)</f>
        <v>742</v>
      </c>
      <c r="I36" s="16">
        <f>IFERROR(__xludf.DUMMYFUNCTION("""COMPUTED_VALUE"""),45793.6458333333)</f>
        <v>45793.6458333333</v>
      </c>
      <c r="J36" s="17">
        <f>IFERROR(__xludf.DUMMYFUNCTION("""COMPUTED_VALUE"""),725.55)</f>
        <v>725.55</v>
      </c>
      <c r="K36" s="3">
        <f t="shared" si="2"/>
        <v>730.7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IFERROR(__xludf.DUMMYFUNCTION("""COMPUTED_VALUE"""),729.5)</f>
        <v>729.5</v>
      </c>
      <c r="C37" s="16">
        <f>IFERROR(__xludf.DUMMYFUNCTION("""COMPUTED_VALUE"""),45796.6458333333)</f>
        <v>45796.6458333333</v>
      </c>
      <c r="D37" s="17">
        <f>IFERROR(__xludf.DUMMYFUNCTION("""COMPUTED_VALUE"""),732)</f>
        <v>732</v>
      </c>
      <c r="E37" s="16">
        <f>IFERROR(__xludf.DUMMYFUNCTION("""COMPUTED_VALUE"""),45796.6458333333)</f>
        <v>45796.6458333333</v>
      </c>
      <c r="F37" s="17">
        <f>IFERROR(__xludf.DUMMYFUNCTION("""COMPUTED_VALUE"""),10460217)</f>
        <v>10460217</v>
      </c>
      <c r="G37" s="16">
        <f>IFERROR(__xludf.DUMMYFUNCTION("""COMPUTED_VALUE"""),45796.6458333333)</f>
        <v>45796.6458333333</v>
      </c>
      <c r="H37" s="17">
        <f>IFERROR(__xludf.DUMMYFUNCTION("""COMPUTED_VALUE"""),738.1)</f>
        <v>738.1</v>
      </c>
      <c r="I37" s="16">
        <f>IFERROR(__xludf.DUMMYFUNCTION("""COMPUTED_VALUE"""),45796.6458333333)</f>
        <v>45796.6458333333</v>
      </c>
      <c r="J37" s="17">
        <f>IFERROR(__xludf.DUMMYFUNCTION("""COMPUTED_VALUE"""),728)</f>
        <v>728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IFERROR(__xludf.DUMMYFUNCTION("""COMPUTED_VALUE"""),718.9)</f>
        <v>718.9</v>
      </c>
      <c r="C38" s="16">
        <f>IFERROR(__xludf.DUMMYFUNCTION("""COMPUTED_VALUE"""),45797.6458333333)</f>
        <v>45797.6458333333</v>
      </c>
      <c r="D38" s="17">
        <f>IFERROR(__xludf.DUMMYFUNCTION("""COMPUTED_VALUE"""),730)</f>
        <v>730</v>
      </c>
      <c r="E38" s="16">
        <f>IFERROR(__xludf.DUMMYFUNCTION("""COMPUTED_VALUE"""),45797.6458333333)</f>
        <v>45797.6458333333</v>
      </c>
      <c r="F38" s="17">
        <f>IFERROR(__xludf.DUMMYFUNCTION("""COMPUTED_VALUE"""),14472506)</f>
        <v>14472506</v>
      </c>
      <c r="G38" s="16">
        <f>IFERROR(__xludf.DUMMYFUNCTION("""COMPUTED_VALUE"""),45797.6458333333)</f>
        <v>45797.6458333333</v>
      </c>
      <c r="H38" s="17">
        <f>IFERROR(__xludf.DUMMYFUNCTION("""COMPUTED_VALUE"""),737.75)</f>
        <v>737.75</v>
      </c>
      <c r="I38" s="16">
        <f>IFERROR(__xludf.DUMMYFUNCTION("""COMPUTED_VALUE"""),45797.6458333333)</f>
        <v>45797.6458333333</v>
      </c>
      <c r="J38" s="17">
        <f>IFERROR(__xludf.DUMMYFUNCTION("""COMPUTED_VALUE"""),717)</f>
        <v>717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IFERROR(__xludf.DUMMYFUNCTION("""COMPUTED_VALUE"""),726.8)</f>
        <v>726.8</v>
      </c>
      <c r="C39" s="16">
        <f>IFERROR(__xludf.DUMMYFUNCTION("""COMPUTED_VALUE"""),45798.6458333333)</f>
        <v>45798.6458333333</v>
      </c>
      <c r="D39" s="17">
        <f>IFERROR(__xludf.DUMMYFUNCTION("""COMPUTED_VALUE"""),719)</f>
        <v>719</v>
      </c>
      <c r="E39" s="16">
        <f>IFERROR(__xludf.DUMMYFUNCTION("""COMPUTED_VALUE"""),45798.6458333333)</f>
        <v>45798.6458333333</v>
      </c>
      <c r="F39" s="17">
        <f>IFERROR(__xludf.DUMMYFUNCTION("""COMPUTED_VALUE"""),8998596)</f>
        <v>8998596</v>
      </c>
      <c r="G39" s="16">
        <f>IFERROR(__xludf.DUMMYFUNCTION("""COMPUTED_VALUE"""),45798.6458333333)</f>
        <v>45798.6458333333</v>
      </c>
      <c r="H39" s="17">
        <f>IFERROR(__xludf.DUMMYFUNCTION("""COMPUTED_VALUE"""),729.5)</f>
        <v>729.5</v>
      </c>
      <c r="I39" s="16">
        <f>IFERROR(__xludf.DUMMYFUNCTION("""COMPUTED_VALUE"""),45798.6458333333)</f>
        <v>45798.6458333333</v>
      </c>
      <c r="J39" s="17">
        <f>IFERROR(__xludf.DUMMYFUNCTION("""COMPUTED_VALUE"""),718)</f>
        <v>718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IFERROR(__xludf.DUMMYFUNCTION("""COMPUTED_VALUE"""),717.45)</f>
        <v>717.45</v>
      </c>
      <c r="C40" s="16">
        <f>IFERROR(__xludf.DUMMYFUNCTION("""COMPUTED_VALUE"""),45799.6458333333)</f>
        <v>45799.6458333333</v>
      </c>
      <c r="D40" s="17">
        <f>IFERROR(__xludf.DUMMYFUNCTION("""COMPUTED_VALUE"""),725)</f>
        <v>725</v>
      </c>
      <c r="E40" s="16">
        <f>IFERROR(__xludf.DUMMYFUNCTION("""COMPUTED_VALUE"""),45799.6458333333)</f>
        <v>45799.6458333333</v>
      </c>
      <c r="F40" s="17">
        <f>IFERROR(__xludf.DUMMYFUNCTION("""COMPUTED_VALUE"""),10046820)</f>
        <v>10046820</v>
      </c>
      <c r="G40" s="16">
        <f>IFERROR(__xludf.DUMMYFUNCTION("""COMPUTED_VALUE"""),45799.6458333333)</f>
        <v>45799.6458333333</v>
      </c>
      <c r="H40" s="17">
        <f>IFERROR(__xludf.DUMMYFUNCTION("""COMPUTED_VALUE"""),725)</f>
        <v>725</v>
      </c>
      <c r="I40" s="16">
        <f>IFERROR(__xludf.DUMMYFUNCTION("""COMPUTED_VALUE"""),45799.6458333333)</f>
        <v>45799.6458333333</v>
      </c>
      <c r="J40" s="17">
        <f>IFERROR(__xludf.DUMMYFUNCTION("""COMPUTED_VALUE"""),710.65)</f>
        <v>710.65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IFERROR(__xludf.DUMMYFUNCTION("""COMPUTED_VALUE"""),718.25)</f>
        <v>718.25</v>
      </c>
      <c r="C41" s="16">
        <f>IFERROR(__xludf.DUMMYFUNCTION("""COMPUTED_VALUE"""),45800.6458333333)</f>
        <v>45800.6458333333</v>
      </c>
      <c r="D41" s="17">
        <f>IFERROR(__xludf.DUMMYFUNCTION("""COMPUTED_VALUE"""),718.75)</f>
        <v>718.75</v>
      </c>
      <c r="E41" s="16">
        <f>IFERROR(__xludf.DUMMYFUNCTION("""COMPUTED_VALUE"""),45800.6458333333)</f>
        <v>45800.6458333333</v>
      </c>
      <c r="F41" s="17">
        <f>IFERROR(__xludf.DUMMYFUNCTION("""COMPUTED_VALUE"""),7915166)</f>
        <v>7915166</v>
      </c>
      <c r="G41" s="16">
        <f>IFERROR(__xludf.DUMMYFUNCTION("""COMPUTED_VALUE"""),45800.6458333333)</f>
        <v>45800.6458333333</v>
      </c>
      <c r="H41" s="17">
        <f>IFERROR(__xludf.DUMMYFUNCTION("""COMPUTED_VALUE"""),721.8)</f>
        <v>721.8</v>
      </c>
      <c r="I41" s="16">
        <f>IFERROR(__xludf.DUMMYFUNCTION("""COMPUTED_VALUE"""),45800.6458333333)</f>
        <v>45800.6458333333</v>
      </c>
      <c r="J41" s="17">
        <f>IFERROR(__xludf.DUMMYFUNCTION("""COMPUTED_VALUE"""),715)</f>
        <v>715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IFERROR(__xludf.DUMMYFUNCTION("""COMPUTED_VALUE"""),729)</f>
        <v>729</v>
      </c>
      <c r="C42" s="16">
        <f>IFERROR(__xludf.DUMMYFUNCTION("""COMPUTED_VALUE"""),45803.6458333333)</f>
        <v>45803.6458333333</v>
      </c>
      <c r="D42" s="17">
        <f>IFERROR(__xludf.DUMMYFUNCTION("""COMPUTED_VALUE"""),722)</f>
        <v>722</v>
      </c>
      <c r="E42" s="16">
        <f>IFERROR(__xludf.DUMMYFUNCTION("""COMPUTED_VALUE"""),45803.6458333333)</f>
        <v>45803.6458333333</v>
      </c>
      <c r="F42" s="17">
        <f>IFERROR(__xludf.DUMMYFUNCTION("""COMPUTED_VALUE"""),13017400)</f>
        <v>13017400</v>
      </c>
      <c r="G42" s="16">
        <f>IFERROR(__xludf.DUMMYFUNCTION("""COMPUTED_VALUE"""),45803.6458333333)</f>
        <v>45803.6458333333</v>
      </c>
      <c r="H42" s="17">
        <f>IFERROR(__xludf.DUMMYFUNCTION("""COMPUTED_VALUE"""),738)</f>
        <v>738</v>
      </c>
      <c r="I42" s="16">
        <f>IFERROR(__xludf.DUMMYFUNCTION("""COMPUTED_VALUE"""),45803.6458333333)</f>
        <v>45803.6458333333</v>
      </c>
      <c r="J42" s="17">
        <f>IFERROR(__xludf.DUMMYFUNCTION("""COMPUTED_VALUE"""),721.2)</f>
        <v>721.2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IFERROR(__xludf.DUMMYFUNCTION("""COMPUTED_VALUE"""),716.45)</f>
        <v>716.45</v>
      </c>
      <c r="C43" s="16">
        <f>IFERROR(__xludf.DUMMYFUNCTION("""COMPUTED_VALUE"""),45804.6458333333)</f>
        <v>45804.6458333333</v>
      </c>
      <c r="D43" s="17">
        <f>IFERROR(__xludf.DUMMYFUNCTION("""COMPUTED_VALUE"""),729)</f>
        <v>729</v>
      </c>
      <c r="E43" s="16">
        <f>IFERROR(__xludf.DUMMYFUNCTION("""COMPUTED_VALUE"""),45804.6458333333)</f>
        <v>45804.6458333333</v>
      </c>
      <c r="F43" s="17">
        <f>IFERROR(__xludf.DUMMYFUNCTION("""COMPUTED_VALUE"""),12223125)</f>
        <v>12223125</v>
      </c>
      <c r="G43" s="16">
        <f>IFERROR(__xludf.DUMMYFUNCTION("""COMPUTED_VALUE"""),45804.6458333333)</f>
        <v>45804.6458333333</v>
      </c>
      <c r="H43" s="17">
        <f>IFERROR(__xludf.DUMMYFUNCTION("""COMPUTED_VALUE"""),729.35)</f>
        <v>729.35</v>
      </c>
      <c r="I43" s="16">
        <f>IFERROR(__xludf.DUMMYFUNCTION("""COMPUTED_VALUE"""),45804.6458333333)</f>
        <v>45804.6458333333</v>
      </c>
      <c r="J43" s="17">
        <f>IFERROR(__xludf.DUMMYFUNCTION("""COMPUTED_VALUE"""),715.2)</f>
        <v>715.2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IFERROR(__xludf.DUMMYFUNCTION("""COMPUTED_VALUE"""),717.95)</f>
        <v>717.95</v>
      </c>
      <c r="C44" s="16">
        <f>IFERROR(__xludf.DUMMYFUNCTION("""COMPUTED_VALUE"""),45805.6458333333)</f>
        <v>45805.6458333333</v>
      </c>
      <c r="D44" s="17">
        <f>IFERROR(__xludf.DUMMYFUNCTION("""COMPUTED_VALUE"""),720)</f>
        <v>720</v>
      </c>
      <c r="E44" s="16">
        <f>IFERROR(__xludf.DUMMYFUNCTION("""COMPUTED_VALUE"""),45805.6458333333)</f>
        <v>45805.6458333333</v>
      </c>
      <c r="F44" s="17">
        <f>IFERROR(__xludf.DUMMYFUNCTION("""COMPUTED_VALUE"""),7568961)</f>
        <v>7568961</v>
      </c>
      <c r="G44" s="16">
        <f>IFERROR(__xludf.DUMMYFUNCTION("""COMPUTED_VALUE"""),45805.6458333333)</f>
        <v>45805.6458333333</v>
      </c>
      <c r="H44" s="17">
        <f>IFERROR(__xludf.DUMMYFUNCTION("""COMPUTED_VALUE"""),722)</f>
        <v>722</v>
      </c>
      <c r="I44" s="16">
        <f>IFERROR(__xludf.DUMMYFUNCTION("""COMPUTED_VALUE"""),45805.6458333333)</f>
        <v>45805.6458333333</v>
      </c>
      <c r="J44" s="17">
        <f>IFERROR(__xludf.DUMMYFUNCTION("""COMPUTED_VALUE"""),716.2)</f>
        <v>716.2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IFERROR(__xludf.DUMMYFUNCTION("""COMPUTED_VALUE"""),724.45)</f>
        <v>724.45</v>
      </c>
      <c r="C45" s="16">
        <f>IFERROR(__xludf.DUMMYFUNCTION("""COMPUTED_VALUE"""),45806.6458333333)</f>
        <v>45806.6458333333</v>
      </c>
      <c r="D45" s="17">
        <f>IFERROR(__xludf.DUMMYFUNCTION("""COMPUTED_VALUE"""),724.5)</f>
        <v>724.5</v>
      </c>
      <c r="E45" s="16">
        <f>IFERROR(__xludf.DUMMYFUNCTION("""COMPUTED_VALUE"""),45806.6458333333)</f>
        <v>45806.6458333333</v>
      </c>
      <c r="F45" s="17">
        <f>IFERROR(__xludf.DUMMYFUNCTION("""COMPUTED_VALUE"""),8838921)</f>
        <v>8838921</v>
      </c>
      <c r="G45" s="16">
        <f>IFERROR(__xludf.DUMMYFUNCTION("""COMPUTED_VALUE"""),45806.6458333333)</f>
        <v>45806.6458333333</v>
      </c>
      <c r="H45" s="17">
        <f>IFERROR(__xludf.DUMMYFUNCTION("""COMPUTED_VALUE"""),728.7)</f>
        <v>728.7</v>
      </c>
      <c r="I45" s="16">
        <f>IFERROR(__xludf.DUMMYFUNCTION("""COMPUTED_VALUE"""),45806.6458333333)</f>
        <v>45806.6458333333</v>
      </c>
      <c r="J45" s="17">
        <f>IFERROR(__xludf.DUMMYFUNCTION("""COMPUTED_VALUE"""),720)</f>
        <v>720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IFERROR(__xludf.DUMMYFUNCTION("""COMPUTED_VALUE"""),719.5)</f>
        <v>719.5</v>
      </c>
      <c r="C46" s="16">
        <f>IFERROR(__xludf.DUMMYFUNCTION("""COMPUTED_VALUE"""),45807.6458333333)</f>
        <v>45807.6458333333</v>
      </c>
      <c r="D46" s="17">
        <f>IFERROR(__xludf.DUMMYFUNCTION("""COMPUTED_VALUE"""),724.45)</f>
        <v>724.45</v>
      </c>
      <c r="E46" s="16">
        <f>IFERROR(__xludf.DUMMYFUNCTION("""COMPUTED_VALUE"""),45807.6458333333)</f>
        <v>45807.6458333333</v>
      </c>
      <c r="F46" s="17">
        <f>IFERROR(__xludf.DUMMYFUNCTION("""COMPUTED_VALUE"""),14533919)</f>
        <v>14533919</v>
      </c>
      <c r="G46" s="16">
        <f>IFERROR(__xludf.DUMMYFUNCTION("""COMPUTED_VALUE"""),45807.6458333333)</f>
        <v>45807.6458333333</v>
      </c>
      <c r="H46" s="17">
        <f>IFERROR(__xludf.DUMMYFUNCTION("""COMPUTED_VALUE"""),728.55)</f>
        <v>728.55</v>
      </c>
      <c r="I46" s="16">
        <f>IFERROR(__xludf.DUMMYFUNCTION("""COMPUTED_VALUE"""),45807.6458333333)</f>
        <v>45807.6458333333</v>
      </c>
      <c r="J46" s="17">
        <f>IFERROR(__xludf.DUMMYFUNCTION("""COMPUTED_VALUE"""),712.5)</f>
        <v>712.5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IFERROR(__xludf.DUMMYFUNCTION("""COMPUTED_VALUE"""),711.6)</f>
        <v>711.6</v>
      </c>
      <c r="C47" s="16">
        <f>IFERROR(__xludf.DUMMYFUNCTION("""COMPUTED_VALUE"""),45810.6458333333)</f>
        <v>45810.6458333333</v>
      </c>
      <c r="D47" s="17">
        <f>IFERROR(__xludf.DUMMYFUNCTION("""COMPUTED_VALUE"""),717)</f>
        <v>717</v>
      </c>
      <c r="E47" s="16">
        <f>IFERROR(__xludf.DUMMYFUNCTION("""COMPUTED_VALUE"""),45810.6458333333)</f>
        <v>45810.6458333333</v>
      </c>
      <c r="F47" s="17">
        <f>IFERROR(__xludf.DUMMYFUNCTION("""COMPUTED_VALUE"""),9712446)</f>
        <v>9712446</v>
      </c>
      <c r="G47" s="16">
        <f>IFERROR(__xludf.DUMMYFUNCTION("""COMPUTED_VALUE"""),45810.6458333333)</f>
        <v>45810.6458333333</v>
      </c>
      <c r="H47" s="17">
        <f>IFERROR(__xludf.DUMMYFUNCTION("""COMPUTED_VALUE"""),719)</f>
        <v>719</v>
      </c>
      <c r="I47" s="16">
        <f>IFERROR(__xludf.DUMMYFUNCTION("""COMPUTED_VALUE"""),45810.6458333333)</f>
        <v>45810.6458333333</v>
      </c>
      <c r="J47" s="17">
        <f>IFERROR(__xludf.DUMMYFUNCTION("""COMPUTED_VALUE"""),707.4)</f>
        <v>707.4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IFERROR(__xludf.DUMMYFUNCTION("""COMPUTED_VALUE"""),703.85)</f>
        <v>703.85</v>
      </c>
      <c r="C48" s="16">
        <f>IFERROR(__xludf.DUMMYFUNCTION("""COMPUTED_VALUE"""),45811.6458333333)</f>
        <v>45811.6458333333</v>
      </c>
      <c r="D48" s="17">
        <f>IFERROR(__xludf.DUMMYFUNCTION("""COMPUTED_VALUE"""),715)</f>
        <v>715</v>
      </c>
      <c r="E48" s="16">
        <f>IFERROR(__xludf.DUMMYFUNCTION("""COMPUTED_VALUE"""),45811.6458333333)</f>
        <v>45811.6458333333</v>
      </c>
      <c r="F48" s="17">
        <f>IFERROR(__xludf.DUMMYFUNCTION("""COMPUTED_VALUE"""),9161608)</f>
        <v>9161608</v>
      </c>
      <c r="G48" s="16">
        <f>IFERROR(__xludf.DUMMYFUNCTION("""COMPUTED_VALUE"""),45811.6458333333)</f>
        <v>45811.6458333333</v>
      </c>
      <c r="H48" s="17">
        <f>IFERROR(__xludf.DUMMYFUNCTION("""COMPUTED_VALUE"""),718.35)</f>
        <v>718.35</v>
      </c>
      <c r="I48" s="16">
        <f>IFERROR(__xludf.DUMMYFUNCTION("""COMPUTED_VALUE"""),45811.6458333333)</f>
        <v>45811.6458333333</v>
      </c>
      <c r="J48" s="17">
        <f>IFERROR(__xludf.DUMMYFUNCTION("""COMPUTED_VALUE"""),702.3)</f>
        <v>702.3</v>
      </c>
      <c r="K48" s="3">
        <f t="shared" si="2"/>
        <v>0</v>
      </c>
      <c r="L48" s="3">
        <f t="shared" si="3"/>
        <v>703.85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IFERROR(__xludf.DUMMYFUNCTION("""COMPUTED_VALUE"""),709.15)</f>
        <v>709.15</v>
      </c>
      <c r="C49" s="16">
        <f>IFERROR(__xludf.DUMMYFUNCTION("""COMPUTED_VALUE"""),45812.6458333333)</f>
        <v>45812.6458333333</v>
      </c>
      <c r="D49" s="17">
        <f>IFERROR(__xludf.DUMMYFUNCTION("""COMPUTED_VALUE"""),701.8)</f>
        <v>701.8</v>
      </c>
      <c r="E49" s="16">
        <f>IFERROR(__xludf.DUMMYFUNCTION("""COMPUTED_VALUE"""),45812.6458333333)</f>
        <v>45812.6458333333</v>
      </c>
      <c r="F49" s="17">
        <f>IFERROR(__xludf.DUMMYFUNCTION("""COMPUTED_VALUE"""),11287991)</f>
        <v>11287991</v>
      </c>
      <c r="G49" s="16">
        <f>IFERROR(__xludf.DUMMYFUNCTION("""COMPUTED_VALUE"""),45812.6458333333)</f>
        <v>45812.6458333333</v>
      </c>
      <c r="H49" s="17">
        <f>IFERROR(__xludf.DUMMYFUNCTION("""COMPUTED_VALUE"""),715.45)</f>
        <v>715.45</v>
      </c>
      <c r="I49" s="16">
        <f>IFERROR(__xludf.DUMMYFUNCTION("""COMPUTED_VALUE"""),45812.6458333333)</f>
        <v>45812.6458333333</v>
      </c>
      <c r="J49" s="17">
        <f>IFERROR(__xludf.DUMMYFUNCTION("""COMPUTED_VALUE"""),698.4)</f>
        <v>698.4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IFERROR(__xludf.DUMMYFUNCTION("""COMPUTED_VALUE"""),710.15)</f>
        <v>710.15</v>
      </c>
      <c r="C50" s="16">
        <f>IFERROR(__xludf.DUMMYFUNCTION("""COMPUTED_VALUE"""),45813.6458333333)</f>
        <v>45813.6458333333</v>
      </c>
      <c r="D50" s="17">
        <f>IFERROR(__xludf.DUMMYFUNCTION("""COMPUTED_VALUE"""),712.8)</f>
        <v>712.8</v>
      </c>
      <c r="E50" s="16">
        <f>IFERROR(__xludf.DUMMYFUNCTION("""COMPUTED_VALUE"""),45813.6458333333)</f>
        <v>45813.6458333333</v>
      </c>
      <c r="F50" s="17">
        <f>IFERROR(__xludf.DUMMYFUNCTION("""COMPUTED_VALUE"""),10203331)</f>
        <v>10203331</v>
      </c>
      <c r="G50" s="16">
        <f>IFERROR(__xludf.DUMMYFUNCTION("""COMPUTED_VALUE"""),45813.6458333333)</f>
        <v>45813.6458333333</v>
      </c>
      <c r="H50" s="17">
        <f>IFERROR(__xludf.DUMMYFUNCTION("""COMPUTED_VALUE"""),714.45)</f>
        <v>714.45</v>
      </c>
      <c r="I50" s="16">
        <f>IFERROR(__xludf.DUMMYFUNCTION("""COMPUTED_VALUE"""),45813.6458333333)</f>
        <v>45813.6458333333</v>
      </c>
      <c r="J50" s="17">
        <f>IFERROR(__xludf.DUMMYFUNCTION("""COMPUTED_VALUE"""),704)</f>
        <v>704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IFERROR(__xludf.DUMMYFUNCTION("""COMPUTED_VALUE"""),711)</f>
        <v>711</v>
      </c>
      <c r="C51" s="16">
        <f>IFERROR(__xludf.DUMMYFUNCTION("""COMPUTED_VALUE"""),45814.6458333333)</f>
        <v>45814.6458333333</v>
      </c>
      <c r="D51" s="17">
        <f>IFERROR(__xludf.DUMMYFUNCTION("""COMPUTED_VALUE"""),710)</f>
        <v>710</v>
      </c>
      <c r="E51" s="16">
        <f>IFERROR(__xludf.DUMMYFUNCTION("""COMPUTED_VALUE"""),45814.6458333333)</f>
        <v>45814.6458333333</v>
      </c>
      <c r="F51" s="17">
        <f>IFERROR(__xludf.DUMMYFUNCTION("""COMPUTED_VALUE"""),11975812)</f>
        <v>11975812</v>
      </c>
      <c r="G51" s="16">
        <f>IFERROR(__xludf.DUMMYFUNCTION("""COMPUTED_VALUE"""),45814.6458333333)</f>
        <v>45814.6458333333</v>
      </c>
      <c r="H51" s="17">
        <f>IFERROR(__xludf.DUMMYFUNCTION("""COMPUTED_VALUE"""),715.9)</f>
        <v>715.9</v>
      </c>
      <c r="I51" s="16">
        <f>IFERROR(__xludf.DUMMYFUNCTION("""COMPUTED_VALUE"""),45814.6458333333)</f>
        <v>45814.6458333333</v>
      </c>
      <c r="J51" s="17">
        <f>IFERROR(__xludf.DUMMYFUNCTION("""COMPUTED_VALUE"""),701.2)</f>
        <v>701.2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IFERROR(__xludf.DUMMYFUNCTION("""COMPUTED_VALUE"""),717.8)</f>
        <v>717.8</v>
      </c>
      <c r="C52" s="16">
        <f>IFERROR(__xludf.DUMMYFUNCTION("""COMPUTED_VALUE"""),45817.6458333333)</f>
        <v>45817.6458333333</v>
      </c>
      <c r="D52" s="17">
        <f>IFERROR(__xludf.DUMMYFUNCTION("""COMPUTED_VALUE"""),715)</f>
        <v>715</v>
      </c>
      <c r="E52" s="16">
        <f>IFERROR(__xludf.DUMMYFUNCTION("""COMPUTED_VALUE"""),45817.6458333333)</f>
        <v>45817.6458333333</v>
      </c>
      <c r="F52" s="17">
        <f>IFERROR(__xludf.DUMMYFUNCTION("""COMPUTED_VALUE"""),9900412)</f>
        <v>9900412</v>
      </c>
      <c r="G52" s="16">
        <f>IFERROR(__xludf.DUMMYFUNCTION("""COMPUTED_VALUE"""),45817.6458333333)</f>
        <v>45817.6458333333</v>
      </c>
      <c r="H52" s="17">
        <f>IFERROR(__xludf.DUMMYFUNCTION("""COMPUTED_VALUE"""),726)</f>
        <v>726</v>
      </c>
      <c r="I52" s="16">
        <f>IFERROR(__xludf.DUMMYFUNCTION("""COMPUTED_VALUE"""),45817.6458333333)</f>
        <v>45817.6458333333</v>
      </c>
      <c r="J52" s="17">
        <f>IFERROR(__xludf.DUMMYFUNCTION("""COMPUTED_VALUE"""),713.1)</f>
        <v>713.1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IFERROR(__xludf.DUMMYFUNCTION("""COMPUTED_VALUE"""),732.25)</f>
        <v>732.25</v>
      </c>
      <c r="C53" s="16">
        <f>IFERROR(__xludf.DUMMYFUNCTION("""COMPUTED_VALUE"""),45818.6458333333)</f>
        <v>45818.6458333333</v>
      </c>
      <c r="D53" s="17">
        <f>IFERROR(__xludf.DUMMYFUNCTION("""COMPUTED_VALUE"""),721)</f>
        <v>721</v>
      </c>
      <c r="E53" s="16">
        <f>IFERROR(__xludf.DUMMYFUNCTION("""COMPUTED_VALUE"""),45818.6458333333)</f>
        <v>45818.6458333333</v>
      </c>
      <c r="F53" s="17">
        <f>IFERROR(__xludf.DUMMYFUNCTION("""COMPUTED_VALUE"""),19151889)</f>
        <v>19151889</v>
      </c>
      <c r="G53" s="16">
        <f>IFERROR(__xludf.DUMMYFUNCTION("""COMPUTED_VALUE"""),45818.6458333333)</f>
        <v>45818.6458333333</v>
      </c>
      <c r="H53" s="17">
        <f>IFERROR(__xludf.DUMMYFUNCTION("""COMPUTED_VALUE"""),734.75)</f>
        <v>734.75</v>
      </c>
      <c r="I53" s="16">
        <f>IFERROR(__xludf.DUMMYFUNCTION("""COMPUTED_VALUE"""),45818.6458333333)</f>
        <v>45818.6458333333</v>
      </c>
      <c r="J53" s="17">
        <f>IFERROR(__xludf.DUMMYFUNCTION("""COMPUTED_VALUE"""),715.35)</f>
        <v>715.35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IFERROR(__xludf.DUMMYFUNCTION("""COMPUTED_VALUE"""),736.4)</f>
        <v>736.4</v>
      </c>
      <c r="C54" s="16">
        <f>IFERROR(__xludf.DUMMYFUNCTION("""COMPUTED_VALUE"""),45819.6458333333)</f>
        <v>45819.6458333333</v>
      </c>
      <c r="D54" s="17">
        <f>IFERROR(__xludf.DUMMYFUNCTION("""COMPUTED_VALUE"""),734.95)</f>
        <v>734.95</v>
      </c>
      <c r="E54" s="16">
        <f>IFERROR(__xludf.DUMMYFUNCTION("""COMPUTED_VALUE"""),45819.6458333333)</f>
        <v>45819.6458333333</v>
      </c>
      <c r="F54" s="17">
        <f>IFERROR(__xludf.DUMMYFUNCTION("""COMPUTED_VALUE"""),12626754)</f>
        <v>12626754</v>
      </c>
      <c r="G54" s="16">
        <f>IFERROR(__xludf.DUMMYFUNCTION("""COMPUTED_VALUE"""),45819.6458333333)</f>
        <v>45819.6458333333</v>
      </c>
      <c r="H54" s="17">
        <f>IFERROR(__xludf.DUMMYFUNCTION("""COMPUTED_VALUE"""),744)</f>
        <v>744</v>
      </c>
      <c r="I54" s="16">
        <f>IFERROR(__xludf.DUMMYFUNCTION("""COMPUTED_VALUE"""),45819.6458333333)</f>
        <v>45819.6458333333</v>
      </c>
      <c r="J54" s="17">
        <f>IFERROR(__xludf.DUMMYFUNCTION("""COMPUTED_VALUE"""),730.15)</f>
        <v>730.15</v>
      </c>
      <c r="K54" s="3">
        <f t="shared" si="2"/>
        <v>736.4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IFERROR(__xludf.DUMMYFUNCTION("""COMPUTED_VALUE"""),715.35)</f>
        <v>715.35</v>
      </c>
      <c r="C55" s="16">
        <f>IFERROR(__xludf.DUMMYFUNCTION("""COMPUTED_VALUE"""),45820.6458333333)</f>
        <v>45820.6458333333</v>
      </c>
      <c r="D55" s="17">
        <f>IFERROR(__xludf.DUMMYFUNCTION("""COMPUTED_VALUE"""),737)</f>
        <v>737</v>
      </c>
      <c r="E55" s="16">
        <f>IFERROR(__xludf.DUMMYFUNCTION("""COMPUTED_VALUE"""),45820.6458333333)</f>
        <v>45820.6458333333</v>
      </c>
      <c r="F55" s="17">
        <f>IFERROR(__xludf.DUMMYFUNCTION("""COMPUTED_VALUE"""),12585149)</f>
        <v>12585149</v>
      </c>
      <c r="G55" s="16">
        <f>IFERROR(__xludf.DUMMYFUNCTION("""COMPUTED_VALUE"""),45820.6458333333)</f>
        <v>45820.6458333333</v>
      </c>
      <c r="H55" s="17">
        <f>IFERROR(__xludf.DUMMYFUNCTION("""COMPUTED_VALUE"""),737.7)</f>
        <v>737.7</v>
      </c>
      <c r="I55" s="16">
        <f>IFERROR(__xludf.DUMMYFUNCTION("""COMPUTED_VALUE"""),45820.6458333333)</f>
        <v>45820.6458333333</v>
      </c>
      <c r="J55" s="17">
        <f>IFERROR(__xludf.DUMMYFUNCTION("""COMPUTED_VALUE"""),711.25)</f>
        <v>711.25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IFERROR(__xludf.DUMMYFUNCTION("""COMPUTED_VALUE"""),712.05)</f>
        <v>712.05</v>
      </c>
      <c r="C56" s="16">
        <f>IFERROR(__xludf.DUMMYFUNCTION("""COMPUTED_VALUE"""),45821.6458333333)</f>
        <v>45821.6458333333</v>
      </c>
      <c r="D56" s="17">
        <f>IFERROR(__xludf.DUMMYFUNCTION("""COMPUTED_VALUE"""),700)</f>
        <v>700</v>
      </c>
      <c r="E56" s="16">
        <f>IFERROR(__xludf.DUMMYFUNCTION("""COMPUTED_VALUE"""),45821.6458333333)</f>
        <v>45821.6458333333</v>
      </c>
      <c r="F56" s="17">
        <f>IFERROR(__xludf.DUMMYFUNCTION("""COMPUTED_VALUE"""),10516625)</f>
        <v>10516625</v>
      </c>
      <c r="G56" s="16">
        <f>IFERROR(__xludf.DUMMYFUNCTION("""COMPUTED_VALUE"""),45821.6458333333)</f>
        <v>45821.6458333333</v>
      </c>
      <c r="H56" s="17">
        <f>IFERROR(__xludf.DUMMYFUNCTION("""COMPUTED_VALUE"""),714.95)</f>
        <v>714.95</v>
      </c>
      <c r="I56" s="16">
        <f>IFERROR(__xludf.DUMMYFUNCTION("""COMPUTED_VALUE"""),45821.6458333333)</f>
        <v>45821.6458333333</v>
      </c>
      <c r="J56" s="17">
        <f>IFERROR(__xludf.DUMMYFUNCTION("""COMPUTED_VALUE"""),698.3)</f>
        <v>698.3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IFERROR(__xludf.DUMMYFUNCTION("""COMPUTED_VALUE"""),686.65)</f>
        <v>686.65</v>
      </c>
      <c r="C57" s="16">
        <f>IFERROR(__xludf.DUMMYFUNCTION("""COMPUTED_VALUE"""),45824.6458333333)</f>
        <v>45824.6458333333</v>
      </c>
      <c r="D57" s="17">
        <f>IFERROR(__xludf.DUMMYFUNCTION("""COMPUTED_VALUE"""),711)</f>
        <v>711</v>
      </c>
      <c r="E57" s="16">
        <f>IFERROR(__xludf.DUMMYFUNCTION("""COMPUTED_VALUE"""),45824.6458333333)</f>
        <v>45824.6458333333</v>
      </c>
      <c r="F57" s="17">
        <f>IFERROR(__xludf.DUMMYFUNCTION("""COMPUTED_VALUE"""),31246328)</f>
        <v>31246328</v>
      </c>
      <c r="G57" s="16">
        <f>IFERROR(__xludf.DUMMYFUNCTION("""COMPUTED_VALUE"""),45824.6458333333)</f>
        <v>45824.6458333333</v>
      </c>
      <c r="H57" s="17">
        <f>IFERROR(__xludf.DUMMYFUNCTION("""COMPUTED_VALUE"""),714)</f>
        <v>714</v>
      </c>
      <c r="I57" s="16">
        <f>IFERROR(__xludf.DUMMYFUNCTION("""COMPUTED_VALUE"""),45824.6458333333)</f>
        <v>45824.6458333333</v>
      </c>
      <c r="J57" s="17">
        <f>IFERROR(__xludf.DUMMYFUNCTION("""COMPUTED_VALUE"""),672.95)</f>
        <v>672.95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IFERROR(__xludf.DUMMYFUNCTION("""COMPUTED_VALUE"""),674.75)</f>
        <v>674.75</v>
      </c>
      <c r="C58" s="16">
        <f>IFERROR(__xludf.DUMMYFUNCTION("""COMPUTED_VALUE"""),45825.6458333333)</f>
        <v>45825.6458333333</v>
      </c>
      <c r="D58" s="17">
        <f>IFERROR(__xludf.DUMMYFUNCTION("""COMPUTED_VALUE"""),686.1)</f>
        <v>686.1</v>
      </c>
      <c r="E58" s="16">
        <f>IFERROR(__xludf.DUMMYFUNCTION("""COMPUTED_VALUE"""),45825.6458333333)</f>
        <v>45825.6458333333</v>
      </c>
      <c r="F58" s="17">
        <f>IFERROR(__xludf.DUMMYFUNCTION("""COMPUTED_VALUE"""),17112867)</f>
        <v>17112867</v>
      </c>
      <c r="G58" s="16">
        <f>IFERROR(__xludf.DUMMYFUNCTION("""COMPUTED_VALUE"""),45825.6458333333)</f>
        <v>45825.6458333333</v>
      </c>
      <c r="H58" s="17">
        <f>IFERROR(__xludf.DUMMYFUNCTION("""COMPUTED_VALUE"""),686.15)</f>
        <v>686.15</v>
      </c>
      <c r="I58" s="16">
        <f>IFERROR(__xludf.DUMMYFUNCTION("""COMPUTED_VALUE"""),45825.6458333333)</f>
        <v>45825.6458333333</v>
      </c>
      <c r="J58" s="17">
        <f>IFERROR(__xludf.DUMMYFUNCTION("""COMPUTED_VALUE"""),672)</f>
        <v>672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IFERROR(__xludf.DUMMYFUNCTION("""COMPUTED_VALUE"""),670.25)</f>
        <v>670.25</v>
      </c>
      <c r="C59" s="16">
        <f>IFERROR(__xludf.DUMMYFUNCTION("""COMPUTED_VALUE"""),45826.6458333333)</f>
        <v>45826.6458333333</v>
      </c>
      <c r="D59" s="17">
        <f>IFERROR(__xludf.DUMMYFUNCTION("""COMPUTED_VALUE"""),671.85)</f>
        <v>671.85</v>
      </c>
      <c r="E59" s="16">
        <f>IFERROR(__xludf.DUMMYFUNCTION("""COMPUTED_VALUE"""),45826.6458333333)</f>
        <v>45826.6458333333</v>
      </c>
      <c r="F59" s="17">
        <f>IFERROR(__xludf.DUMMYFUNCTION("""COMPUTED_VALUE"""),12556088)</f>
        <v>12556088</v>
      </c>
      <c r="G59" s="16">
        <f>IFERROR(__xludf.DUMMYFUNCTION("""COMPUTED_VALUE"""),45826.6458333333)</f>
        <v>45826.6458333333</v>
      </c>
      <c r="H59" s="17">
        <f>IFERROR(__xludf.DUMMYFUNCTION("""COMPUTED_VALUE"""),679.35)</f>
        <v>679.35</v>
      </c>
      <c r="I59" s="16">
        <f>IFERROR(__xludf.DUMMYFUNCTION("""COMPUTED_VALUE"""),45826.6458333333)</f>
        <v>45826.6458333333</v>
      </c>
      <c r="J59" s="17">
        <f>IFERROR(__xludf.DUMMYFUNCTION("""COMPUTED_VALUE"""),668)</f>
        <v>668</v>
      </c>
      <c r="K59" s="3">
        <f t="shared" si="2"/>
        <v>0</v>
      </c>
      <c r="L59" s="3">
        <f t="shared" si="3"/>
        <v>670.25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IFERROR(__xludf.DUMMYFUNCTION("""COMPUTED_VALUE"""),672.3)</f>
        <v>672.3</v>
      </c>
      <c r="C60" s="16">
        <f>IFERROR(__xludf.DUMMYFUNCTION("""COMPUTED_VALUE"""),45827.6458333333)</f>
        <v>45827.6458333333</v>
      </c>
      <c r="D60" s="17">
        <f>IFERROR(__xludf.DUMMYFUNCTION("""COMPUTED_VALUE"""),670.25)</f>
        <v>670.25</v>
      </c>
      <c r="E60" s="16">
        <f>IFERROR(__xludf.DUMMYFUNCTION("""COMPUTED_VALUE"""),45827.6458333333)</f>
        <v>45827.6458333333</v>
      </c>
      <c r="F60" s="17">
        <f>IFERROR(__xludf.DUMMYFUNCTION("""COMPUTED_VALUE"""),10895470)</f>
        <v>10895470</v>
      </c>
      <c r="G60" s="16">
        <f>IFERROR(__xludf.DUMMYFUNCTION("""COMPUTED_VALUE"""),45827.6458333333)</f>
        <v>45827.6458333333</v>
      </c>
      <c r="H60" s="17">
        <f>IFERROR(__xludf.DUMMYFUNCTION("""COMPUTED_VALUE"""),676.3)</f>
        <v>676.3</v>
      </c>
      <c r="I60" s="16">
        <f>IFERROR(__xludf.DUMMYFUNCTION("""COMPUTED_VALUE"""),45827.6458333333)</f>
        <v>45827.6458333333</v>
      </c>
      <c r="J60" s="17">
        <f>IFERROR(__xludf.DUMMYFUNCTION("""COMPUTED_VALUE"""),666.65)</f>
        <v>666.65</v>
      </c>
      <c r="K60" s="3">
        <f t="shared" si="2"/>
        <v>0</v>
      </c>
      <c r="L60" s="3">
        <f t="shared" si="3"/>
        <v>0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IFERROR(__xludf.DUMMYFUNCTION("""COMPUTED_VALUE"""),676.2)</f>
        <v>676.2</v>
      </c>
      <c r="C61" s="16">
        <f>IFERROR(__xludf.DUMMYFUNCTION("""COMPUTED_VALUE"""),45828.6458333333)</f>
        <v>45828.6458333333</v>
      </c>
      <c r="D61" s="17">
        <f>IFERROR(__xludf.DUMMYFUNCTION("""COMPUTED_VALUE"""),673.4)</f>
        <v>673.4</v>
      </c>
      <c r="E61" s="16">
        <f>IFERROR(__xludf.DUMMYFUNCTION("""COMPUTED_VALUE"""),45828.6458333333)</f>
        <v>45828.6458333333</v>
      </c>
      <c r="F61" s="17">
        <f>IFERROR(__xludf.DUMMYFUNCTION("""COMPUTED_VALUE"""),11393470)</f>
        <v>11393470</v>
      </c>
      <c r="G61" s="16">
        <f>IFERROR(__xludf.DUMMYFUNCTION("""COMPUTED_VALUE"""),45828.6458333333)</f>
        <v>45828.6458333333</v>
      </c>
      <c r="H61" s="17">
        <f>IFERROR(__xludf.DUMMYFUNCTION("""COMPUTED_VALUE"""),678.8)</f>
        <v>678.8</v>
      </c>
      <c r="I61" s="16">
        <f>IFERROR(__xludf.DUMMYFUNCTION("""COMPUTED_VALUE"""),45828.6458333333)</f>
        <v>45828.6458333333</v>
      </c>
      <c r="J61" s="17">
        <f>IFERROR(__xludf.DUMMYFUNCTION("""COMPUTED_VALUE"""),670.1)</f>
        <v>670.1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IFERROR(__xludf.DUMMYFUNCTION("""COMPUTED_VALUE"""),671.25)</f>
        <v>671.25</v>
      </c>
      <c r="C62" s="16">
        <f>IFERROR(__xludf.DUMMYFUNCTION("""COMPUTED_VALUE"""),45831.6458333333)</f>
        <v>45831.6458333333</v>
      </c>
      <c r="D62" s="17">
        <f>IFERROR(__xludf.DUMMYFUNCTION("""COMPUTED_VALUE"""),670)</f>
        <v>670</v>
      </c>
      <c r="E62" s="16">
        <f>IFERROR(__xludf.DUMMYFUNCTION("""COMPUTED_VALUE"""),45831.6458333333)</f>
        <v>45831.6458333333</v>
      </c>
      <c r="F62" s="17">
        <f>IFERROR(__xludf.DUMMYFUNCTION("""COMPUTED_VALUE"""),10265601)</f>
        <v>10265601</v>
      </c>
      <c r="G62" s="16">
        <f>IFERROR(__xludf.DUMMYFUNCTION("""COMPUTED_VALUE"""),45831.6458333333)</f>
        <v>45831.6458333333</v>
      </c>
      <c r="H62" s="17">
        <f>IFERROR(__xludf.DUMMYFUNCTION("""COMPUTED_VALUE"""),676)</f>
        <v>676</v>
      </c>
      <c r="I62" s="16">
        <f>IFERROR(__xludf.DUMMYFUNCTION("""COMPUTED_VALUE"""),45831.6458333333)</f>
        <v>45831.6458333333</v>
      </c>
      <c r="J62" s="17">
        <f>IFERROR(__xludf.DUMMYFUNCTION("""COMPUTED_VALUE"""),666.1)</f>
        <v>666.1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IFERROR(__xludf.DUMMYFUNCTION("""COMPUTED_VALUE"""),673.65)</f>
        <v>673.65</v>
      </c>
      <c r="C63" s="16">
        <f>IFERROR(__xludf.DUMMYFUNCTION("""COMPUTED_VALUE"""),45832.6458333333)</f>
        <v>45832.6458333333</v>
      </c>
      <c r="D63" s="17">
        <f>IFERROR(__xludf.DUMMYFUNCTION("""COMPUTED_VALUE"""),678)</f>
        <v>678</v>
      </c>
      <c r="E63" s="16">
        <f>IFERROR(__xludf.DUMMYFUNCTION("""COMPUTED_VALUE"""),45832.6458333333)</f>
        <v>45832.6458333333</v>
      </c>
      <c r="F63" s="17">
        <f>IFERROR(__xludf.DUMMYFUNCTION("""COMPUTED_VALUE"""),15359947)</f>
        <v>15359947</v>
      </c>
      <c r="G63" s="16">
        <f>IFERROR(__xludf.DUMMYFUNCTION("""COMPUTED_VALUE"""),45832.6458333333)</f>
        <v>45832.6458333333</v>
      </c>
      <c r="H63" s="17">
        <f>IFERROR(__xludf.DUMMYFUNCTION("""COMPUTED_VALUE"""),686.5)</f>
        <v>686.5</v>
      </c>
      <c r="I63" s="16">
        <f>IFERROR(__xludf.DUMMYFUNCTION("""COMPUTED_VALUE"""),45832.6458333333)</f>
        <v>45832.6458333333</v>
      </c>
      <c r="J63" s="17">
        <f>IFERROR(__xludf.DUMMYFUNCTION("""COMPUTED_VALUE"""),672)</f>
        <v>672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IFERROR(__xludf.DUMMYFUNCTION("""COMPUTED_VALUE"""),674.5)</f>
        <v>674.5</v>
      </c>
      <c r="C64" s="16">
        <f>IFERROR(__xludf.DUMMYFUNCTION("""COMPUTED_VALUE"""),45833.6458333333)</f>
        <v>45833.6458333333</v>
      </c>
      <c r="D64" s="17">
        <f>IFERROR(__xludf.DUMMYFUNCTION("""COMPUTED_VALUE"""),676)</f>
        <v>676</v>
      </c>
      <c r="E64" s="16">
        <f>IFERROR(__xludf.DUMMYFUNCTION("""COMPUTED_VALUE"""),45833.6458333333)</f>
        <v>45833.6458333333</v>
      </c>
      <c r="F64" s="17">
        <f>IFERROR(__xludf.DUMMYFUNCTION("""COMPUTED_VALUE"""),10456015)</f>
        <v>10456015</v>
      </c>
      <c r="G64" s="16">
        <f>IFERROR(__xludf.DUMMYFUNCTION("""COMPUTED_VALUE"""),45833.6458333333)</f>
        <v>45833.6458333333</v>
      </c>
      <c r="H64" s="17">
        <f>IFERROR(__xludf.DUMMYFUNCTION("""COMPUTED_VALUE"""),679)</f>
        <v>679</v>
      </c>
      <c r="I64" s="16">
        <f>IFERROR(__xludf.DUMMYFUNCTION("""COMPUTED_VALUE"""),45833.6458333333)</f>
        <v>45833.6458333333</v>
      </c>
      <c r="J64" s="17">
        <f>IFERROR(__xludf.DUMMYFUNCTION("""COMPUTED_VALUE"""),673.45)</f>
        <v>673.45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IFERROR(__xludf.DUMMYFUNCTION("""COMPUTED_VALUE"""),682.75)</f>
        <v>682.75</v>
      </c>
      <c r="C65" s="16">
        <f>IFERROR(__xludf.DUMMYFUNCTION("""COMPUTED_VALUE"""),45834.6458333333)</f>
        <v>45834.6458333333</v>
      </c>
      <c r="D65" s="17">
        <f>IFERROR(__xludf.DUMMYFUNCTION("""COMPUTED_VALUE"""),677)</f>
        <v>677</v>
      </c>
      <c r="E65" s="16">
        <f>IFERROR(__xludf.DUMMYFUNCTION("""COMPUTED_VALUE"""),45834.6458333333)</f>
        <v>45834.6458333333</v>
      </c>
      <c r="F65" s="17">
        <f>IFERROR(__xludf.DUMMYFUNCTION("""COMPUTED_VALUE"""),10104914)</f>
        <v>10104914</v>
      </c>
      <c r="G65" s="16">
        <f>IFERROR(__xludf.DUMMYFUNCTION("""COMPUTED_VALUE"""),45834.6458333333)</f>
        <v>45834.6458333333</v>
      </c>
      <c r="H65" s="17">
        <f>IFERROR(__xludf.DUMMYFUNCTION("""COMPUTED_VALUE"""),683.7)</f>
        <v>683.7</v>
      </c>
      <c r="I65" s="16">
        <f>IFERROR(__xludf.DUMMYFUNCTION("""COMPUTED_VALUE"""),45834.6458333333)</f>
        <v>45834.6458333333</v>
      </c>
      <c r="J65" s="17">
        <f>IFERROR(__xludf.DUMMYFUNCTION("""COMPUTED_VALUE"""),674.45)</f>
        <v>674.45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IFERROR(__xludf.DUMMYFUNCTION("""COMPUTED_VALUE"""),686.9)</f>
        <v>686.9</v>
      </c>
      <c r="C66" s="16">
        <f>IFERROR(__xludf.DUMMYFUNCTION("""COMPUTED_VALUE"""),45835.6458333333)</f>
        <v>45835.6458333333</v>
      </c>
      <c r="D66" s="17">
        <f>IFERROR(__xludf.DUMMYFUNCTION("""COMPUTED_VALUE"""),685)</f>
        <v>685</v>
      </c>
      <c r="E66" s="16">
        <f>IFERROR(__xludf.DUMMYFUNCTION("""COMPUTED_VALUE"""),45835.6458333333)</f>
        <v>45835.6458333333</v>
      </c>
      <c r="F66" s="17">
        <f>IFERROR(__xludf.DUMMYFUNCTION("""COMPUTED_VALUE"""),7198028)</f>
        <v>7198028</v>
      </c>
      <c r="G66" s="16">
        <f>IFERROR(__xludf.DUMMYFUNCTION("""COMPUTED_VALUE"""),45835.6458333333)</f>
        <v>45835.6458333333</v>
      </c>
      <c r="H66" s="17">
        <f>IFERROR(__xludf.DUMMYFUNCTION("""COMPUTED_VALUE"""),691.45)</f>
        <v>691.45</v>
      </c>
      <c r="I66" s="16">
        <f>IFERROR(__xludf.DUMMYFUNCTION("""COMPUTED_VALUE"""),45835.6458333333)</f>
        <v>45835.6458333333</v>
      </c>
      <c r="J66" s="17">
        <f>IFERROR(__xludf.DUMMYFUNCTION("""COMPUTED_VALUE"""),683)</f>
        <v>683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IFERROR(__xludf.DUMMYFUNCTION("""COMPUTED_VALUE"""),688)</f>
        <v>688</v>
      </c>
      <c r="C67" s="16">
        <f>IFERROR(__xludf.DUMMYFUNCTION("""COMPUTED_VALUE"""),45838.6458333333)</f>
        <v>45838.6458333333</v>
      </c>
      <c r="D67" s="17">
        <f>IFERROR(__xludf.DUMMYFUNCTION("""COMPUTED_VALUE"""),688.9)</f>
        <v>688.9</v>
      </c>
      <c r="E67" s="16">
        <f>IFERROR(__xludf.DUMMYFUNCTION("""COMPUTED_VALUE"""),45838.6458333333)</f>
        <v>45838.6458333333</v>
      </c>
      <c r="F67" s="17">
        <f>IFERROR(__xludf.DUMMYFUNCTION("""COMPUTED_VALUE"""),6960104)</f>
        <v>6960104</v>
      </c>
      <c r="G67" s="16">
        <f>IFERROR(__xludf.DUMMYFUNCTION("""COMPUTED_VALUE"""),45838.6458333333)</f>
        <v>45838.6458333333</v>
      </c>
      <c r="H67" s="17">
        <f>IFERROR(__xludf.DUMMYFUNCTION("""COMPUTED_VALUE"""),691.9)</f>
        <v>691.9</v>
      </c>
      <c r="I67" s="16">
        <f>IFERROR(__xludf.DUMMYFUNCTION("""COMPUTED_VALUE"""),45838.6458333333)</f>
        <v>45838.6458333333</v>
      </c>
      <c r="J67" s="17">
        <f>IFERROR(__xludf.DUMMYFUNCTION("""COMPUTED_VALUE"""),685)</f>
        <v>685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IFERROR(__xludf.DUMMYFUNCTION("""COMPUTED_VALUE"""),683.8)</f>
        <v>683.8</v>
      </c>
      <c r="C68" s="16">
        <f>IFERROR(__xludf.DUMMYFUNCTION("""COMPUTED_VALUE"""),45839.6458333333)</f>
        <v>45839.6458333333</v>
      </c>
      <c r="D68" s="17">
        <f>IFERROR(__xludf.DUMMYFUNCTION("""COMPUTED_VALUE"""),691.1)</f>
        <v>691.1</v>
      </c>
      <c r="E68" s="16">
        <f>IFERROR(__xludf.DUMMYFUNCTION("""COMPUTED_VALUE"""),45839.6458333333)</f>
        <v>45839.6458333333</v>
      </c>
      <c r="F68" s="17">
        <f>IFERROR(__xludf.DUMMYFUNCTION("""COMPUTED_VALUE"""),6866073)</f>
        <v>6866073</v>
      </c>
      <c r="G68" s="16">
        <f>IFERROR(__xludf.DUMMYFUNCTION("""COMPUTED_VALUE"""),45839.6458333333)</f>
        <v>45839.6458333333</v>
      </c>
      <c r="H68" s="17">
        <f>IFERROR(__xludf.DUMMYFUNCTION("""COMPUTED_VALUE"""),693.85)</f>
        <v>693.85</v>
      </c>
      <c r="I68" s="16">
        <f>IFERROR(__xludf.DUMMYFUNCTION("""COMPUTED_VALUE"""),45839.6458333333)</f>
        <v>45839.6458333333</v>
      </c>
      <c r="J68" s="17">
        <f>IFERROR(__xludf.DUMMYFUNCTION("""COMPUTED_VALUE"""),680.4)</f>
        <v>680.4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IFERROR(__xludf.DUMMYFUNCTION("""COMPUTED_VALUE"""),688.55)</f>
        <v>688.55</v>
      </c>
      <c r="C69" s="16">
        <f>IFERROR(__xludf.DUMMYFUNCTION("""COMPUTED_VALUE"""),45840.6458333333)</f>
        <v>45840.6458333333</v>
      </c>
      <c r="D69" s="17">
        <f>IFERROR(__xludf.DUMMYFUNCTION("""COMPUTED_VALUE"""),683.8)</f>
        <v>683.8</v>
      </c>
      <c r="E69" s="16">
        <f>IFERROR(__xludf.DUMMYFUNCTION("""COMPUTED_VALUE"""),45840.6458333333)</f>
        <v>45840.6458333333</v>
      </c>
      <c r="F69" s="17">
        <f>IFERROR(__xludf.DUMMYFUNCTION("""COMPUTED_VALUE"""),8034013)</f>
        <v>8034013</v>
      </c>
      <c r="G69" s="16">
        <f>IFERROR(__xludf.DUMMYFUNCTION("""COMPUTED_VALUE"""),45840.6458333333)</f>
        <v>45840.6458333333</v>
      </c>
      <c r="H69" s="17">
        <f>IFERROR(__xludf.DUMMYFUNCTION("""COMPUTED_VALUE"""),692.45)</f>
        <v>692.45</v>
      </c>
      <c r="I69" s="16">
        <f>IFERROR(__xludf.DUMMYFUNCTION("""COMPUTED_VALUE"""),45840.6458333333)</f>
        <v>45840.6458333333</v>
      </c>
      <c r="J69" s="17">
        <f>IFERROR(__xludf.DUMMYFUNCTION("""COMPUTED_VALUE"""),680.65)</f>
        <v>680.65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IFERROR(__xludf.DUMMYFUNCTION("""COMPUTED_VALUE"""),690.4)</f>
        <v>690.4</v>
      </c>
      <c r="C70" s="16">
        <f>IFERROR(__xludf.DUMMYFUNCTION("""COMPUTED_VALUE"""),45841.6458333333)</f>
        <v>45841.6458333333</v>
      </c>
      <c r="D70" s="17">
        <f>IFERROR(__xludf.DUMMYFUNCTION("""COMPUTED_VALUE"""),693.85)</f>
        <v>693.85</v>
      </c>
      <c r="E70" s="16">
        <f>IFERROR(__xludf.DUMMYFUNCTION("""COMPUTED_VALUE"""),45841.6458333333)</f>
        <v>45841.6458333333</v>
      </c>
      <c r="F70" s="17">
        <f>IFERROR(__xludf.DUMMYFUNCTION("""COMPUTED_VALUE"""),9668110)</f>
        <v>9668110</v>
      </c>
      <c r="G70" s="16">
        <f>IFERROR(__xludf.DUMMYFUNCTION("""COMPUTED_VALUE"""),45841.6458333333)</f>
        <v>45841.6458333333</v>
      </c>
      <c r="H70" s="17">
        <f>IFERROR(__xludf.DUMMYFUNCTION("""COMPUTED_VALUE"""),696.95)</f>
        <v>696.95</v>
      </c>
      <c r="I70" s="16">
        <f>IFERROR(__xludf.DUMMYFUNCTION("""COMPUTED_VALUE"""),45841.6458333333)</f>
        <v>45841.6458333333</v>
      </c>
      <c r="J70" s="17">
        <f>IFERROR(__xludf.DUMMYFUNCTION("""COMPUTED_VALUE"""),688.5)</f>
        <v>688.5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IFERROR(__xludf.DUMMYFUNCTION("""COMPUTED_VALUE"""),689.05)</f>
        <v>689.05</v>
      </c>
      <c r="C71" s="16">
        <f>IFERROR(__xludf.DUMMYFUNCTION("""COMPUTED_VALUE"""),45842.6458333333)</f>
        <v>45842.6458333333</v>
      </c>
      <c r="D71" s="17">
        <f>IFERROR(__xludf.DUMMYFUNCTION("""COMPUTED_VALUE"""),691)</f>
        <v>691</v>
      </c>
      <c r="E71" s="16">
        <f>IFERROR(__xludf.DUMMYFUNCTION("""COMPUTED_VALUE"""),45842.6458333333)</f>
        <v>45842.6458333333</v>
      </c>
      <c r="F71" s="17">
        <f>IFERROR(__xludf.DUMMYFUNCTION("""COMPUTED_VALUE"""),4942900)</f>
        <v>4942900</v>
      </c>
      <c r="G71" s="16">
        <f>IFERROR(__xludf.DUMMYFUNCTION("""COMPUTED_VALUE"""),45842.6458333333)</f>
        <v>45842.6458333333</v>
      </c>
      <c r="H71" s="17">
        <f>IFERROR(__xludf.DUMMYFUNCTION("""COMPUTED_VALUE"""),692.85)</f>
        <v>692.85</v>
      </c>
      <c r="I71" s="16">
        <f>IFERROR(__xludf.DUMMYFUNCTION("""COMPUTED_VALUE"""),45842.6458333333)</f>
        <v>45842.6458333333</v>
      </c>
      <c r="J71" s="17">
        <f>IFERROR(__xludf.DUMMYFUNCTION("""COMPUTED_VALUE"""),686.35)</f>
        <v>686.35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IFERROR(__xludf.DUMMYFUNCTION("""COMPUTED_VALUE"""),688.85)</f>
        <v>688.85</v>
      </c>
      <c r="C72" s="16">
        <f>IFERROR(__xludf.DUMMYFUNCTION("""COMPUTED_VALUE"""),45845.6458333333)</f>
        <v>45845.6458333333</v>
      </c>
      <c r="D72" s="17">
        <f>IFERROR(__xludf.DUMMYFUNCTION("""COMPUTED_VALUE"""),689.05)</f>
        <v>689.05</v>
      </c>
      <c r="E72" s="16">
        <f>IFERROR(__xludf.DUMMYFUNCTION("""COMPUTED_VALUE"""),45845.6458333333)</f>
        <v>45845.6458333333</v>
      </c>
      <c r="F72" s="17">
        <f>IFERROR(__xludf.DUMMYFUNCTION("""COMPUTED_VALUE"""),5428220)</f>
        <v>5428220</v>
      </c>
      <c r="G72" s="16">
        <f>IFERROR(__xludf.DUMMYFUNCTION("""COMPUTED_VALUE"""),45845.6458333333)</f>
        <v>45845.6458333333</v>
      </c>
      <c r="H72" s="17">
        <f>IFERROR(__xludf.DUMMYFUNCTION("""COMPUTED_VALUE"""),691.95)</f>
        <v>691.95</v>
      </c>
      <c r="I72" s="16">
        <f>IFERROR(__xludf.DUMMYFUNCTION("""COMPUTED_VALUE"""),45845.6458333333)</f>
        <v>45845.6458333333</v>
      </c>
      <c r="J72" s="17">
        <f>IFERROR(__xludf.DUMMYFUNCTION("""COMPUTED_VALUE"""),683.35)</f>
        <v>683.35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IFERROR(__xludf.DUMMYFUNCTION("""COMPUTED_VALUE"""),693.2)</f>
        <v>693.2</v>
      </c>
      <c r="C73" s="16">
        <f>IFERROR(__xludf.DUMMYFUNCTION("""COMPUTED_VALUE"""),45846.6458333333)</f>
        <v>45846.6458333333</v>
      </c>
      <c r="D73" s="17">
        <f>IFERROR(__xludf.DUMMYFUNCTION("""COMPUTED_VALUE"""),693)</f>
        <v>693</v>
      </c>
      <c r="E73" s="16">
        <f>IFERROR(__xludf.DUMMYFUNCTION("""COMPUTED_VALUE"""),45846.6458333333)</f>
        <v>45846.6458333333</v>
      </c>
      <c r="F73" s="17">
        <f>IFERROR(__xludf.DUMMYFUNCTION("""COMPUTED_VALUE"""),7615926)</f>
        <v>7615926</v>
      </c>
      <c r="G73" s="16">
        <f>IFERROR(__xludf.DUMMYFUNCTION("""COMPUTED_VALUE"""),45846.6458333333)</f>
        <v>45846.6458333333</v>
      </c>
      <c r="H73" s="17">
        <f>IFERROR(__xludf.DUMMYFUNCTION("""COMPUTED_VALUE"""),696.95)</f>
        <v>696.95</v>
      </c>
      <c r="I73" s="16">
        <f>IFERROR(__xludf.DUMMYFUNCTION("""COMPUTED_VALUE"""),45846.6458333333)</f>
        <v>45846.6458333333</v>
      </c>
      <c r="J73" s="17">
        <f>IFERROR(__xludf.DUMMYFUNCTION("""COMPUTED_VALUE"""),687.5)</f>
        <v>687.5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IFERROR(__xludf.DUMMYFUNCTION("""COMPUTED_VALUE"""),692.8)</f>
        <v>692.8</v>
      </c>
      <c r="C74" s="16">
        <f>IFERROR(__xludf.DUMMYFUNCTION("""COMPUTED_VALUE"""),45847.6458333333)</f>
        <v>45847.6458333333</v>
      </c>
      <c r="D74" s="17">
        <f>IFERROR(__xludf.DUMMYFUNCTION("""COMPUTED_VALUE"""),688.95)</f>
        <v>688.95</v>
      </c>
      <c r="E74" s="16">
        <f>IFERROR(__xludf.DUMMYFUNCTION("""COMPUTED_VALUE"""),45847.6458333333)</f>
        <v>45847.6458333333</v>
      </c>
      <c r="F74" s="17">
        <f>IFERROR(__xludf.DUMMYFUNCTION("""COMPUTED_VALUE"""),5478813)</f>
        <v>5478813</v>
      </c>
      <c r="G74" s="16">
        <f>IFERROR(__xludf.DUMMYFUNCTION("""COMPUTED_VALUE"""),45847.6458333333)</f>
        <v>45847.6458333333</v>
      </c>
      <c r="H74" s="17">
        <f>IFERROR(__xludf.DUMMYFUNCTION("""COMPUTED_VALUE"""),695.5)</f>
        <v>695.5</v>
      </c>
      <c r="I74" s="16">
        <f>IFERROR(__xludf.DUMMYFUNCTION("""COMPUTED_VALUE"""),45847.6458333333)</f>
        <v>45847.6458333333</v>
      </c>
      <c r="J74" s="17">
        <f>IFERROR(__xludf.DUMMYFUNCTION("""COMPUTED_VALUE"""),688.5)</f>
        <v>688.5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IFERROR(__xludf.DUMMYFUNCTION("""COMPUTED_VALUE"""),695.6)</f>
        <v>695.6</v>
      </c>
      <c r="C75" s="16">
        <f>IFERROR(__xludf.DUMMYFUNCTION("""COMPUTED_VALUE"""),45848.6458333333)</f>
        <v>45848.6458333333</v>
      </c>
      <c r="D75" s="17">
        <f>IFERROR(__xludf.DUMMYFUNCTION("""COMPUTED_VALUE"""),692)</f>
        <v>692</v>
      </c>
      <c r="E75" s="16">
        <f>IFERROR(__xludf.DUMMYFUNCTION("""COMPUTED_VALUE"""),45848.6458333333)</f>
        <v>45848.6458333333</v>
      </c>
      <c r="F75" s="17">
        <f>IFERROR(__xludf.DUMMYFUNCTION("""COMPUTED_VALUE"""),7733963)</f>
        <v>7733963</v>
      </c>
      <c r="G75" s="16">
        <f>IFERROR(__xludf.DUMMYFUNCTION("""COMPUTED_VALUE"""),45848.6458333333)</f>
        <v>45848.6458333333</v>
      </c>
      <c r="H75" s="17">
        <f>IFERROR(__xludf.DUMMYFUNCTION("""COMPUTED_VALUE"""),696.75)</f>
        <v>696.75</v>
      </c>
      <c r="I75" s="16">
        <f>IFERROR(__xludf.DUMMYFUNCTION("""COMPUTED_VALUE"""),45848.6458333333)</f>
        <v>45848.6458333333</v>
      </c>
      <c r="J75" s="17">
        <f>IFERROR(__xludf.DUMMYFUNCTION("""COMPUTED_VALUE"""),685)</f>
        <v>685</v>
      </c>
      <c r="K75" s="3">
        <f t="shared" si="2"/>
        <v>695.6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IFERROR(__xludf.DUMMYFUNCTION("""COMPUTED_VALUE"""),681.8)</f>
        <v>681.8</v>
      </c>
      <c r="C76" s="16">
        <f>IFERROR(__xludf.DUMMYFUNCTION("""COMPUTED_VALUE"""),45849.6458333333)</f>
        <v>45849.6458333333</v>
      </c>
      <c r="D76" s="17">
        <f>IFERROR(__xludf.DUMMYFUNCTION("""COMPUTED_VALUE"""),692.95)</f>
        <v>692.95</v>
      </c>
      <c r="E76" s="16">
        <f>IFERROR(__xludf.DUMMYFUNCTION("""COMPUTED_VALUE"""),45849.6458333333)</f>
        <v>45849.6458333333</v>
      </c>
      <c r="F76" s="17">
        <f>IFERROR(__xludf.DUMMYFUNCTION("""COMPUTED_VALUE"""),8280654)</f>
        <v>8280654</v>
      </c>
      <c r="G76" s="16">
        <f>IFERROR(__xludf.DUMMYFUNCTION("""COMPUTED_VALUE"""),45849.6458333333)</f>
        <v>45849.6458333333</v>
      </c>
      <c r="H76" s="17">
        <f>IFERROR(__xludf.DUMMYFUNCTION("""COMPUTED_VALUE"""),698.4)</f>
        <v>698.4</v>
      </c>
      <c r="I76" s="16">
        <f>IFERROR(__xludf.DUMMYFUNCTION("""COMPUTED_VALUE"""),45849.6458333333)</f>
        <v>45849.6458333333</v>
      </c>
      <c r="J76" s="17">
        <f>IFERROR(__xludf.DUMMYFUNCTION("""COMPUTED_VALUE"""),677.05)</f>
        <v>677.05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IFERROR(__xludf.DUMMYFUNCTION("""COMPUTED_VALUE"""),674.5)</f>
        <v>674.5</v>
      </c>
      <c r="C77" s="16">
        <f>IFERROR(__xludf.DUMMYFUNCTION("""COMPUTED_VALUE"""),45852.6458333333)</f>
        <v>45852.6458333333</v>
      </c>
      <c r="D77" s="17">
        <f>IFERROR(__xludf.DUMMYFUNCTION("""COMPUTED_VALUE"""),681)</f>
        <v>681</v>
      </c>
      <c r="E77" s="16">
        <f>IFERROR(__xludf.DUMMYFUNCTION("""COMPUTED_VALUE"""),45852.6458333333)</f>
        <v>45852.6458333333</v>
      </c>
      <c r="F77" s="17">
        <f>IFERROR(__xludf.DUMMYFUNCTION("""COMPUTED_VALUE"""),7748550)</f>
        <v>7748550</v>
      </c>
      <c r="G77" s="16">
        <f>IFERROR(__xludf.DUMMYFUNCTION("""COMPUTED_VALUE"""),45852.6458333333)</f>
        <v>45852.6458333333</v>
      </c>
      <c r="H77" s="17">
        <f>IFERROR(__xludf.DUMMYFUNCTION("""COMPUTED_VALUE"""),681)</f>
        <v>681</v>
      </c>
      <c r="I77" s="16">
        <f>IFERROR(__xludf.DUMMYFUNCTION("""COMPUTED_VALUE"""),45852.6458333333)</f>
        <v>45852.6458333333</v>
      </c>
      <c r="J77" s="17">
        <f>IFERROR(__xludf.DUMMYFUNCTION("""COMPUTED_VALUE"""),672)</f>
        <v>672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IFERROR(__xludf.DUMMYFUNCTION("""COMPUTED_VALUE"""),684.4)</f>
        <v>684.4</v>
      </c>
      <c r="C78" s="16">
        <f>IFERROR(__xludf.DUMMYFUNCTION("""COMPUTED_VALUE"""),45853.6458333333)</f>
        <v>45853.6458333333</v>
      </c>
      <c r="D78" s="17">
        <f>IFERROR(__xludf.DUMMYFUNCTION("""COMPUTED_VALUE"""),676)</f>
        <v>676</v>
      </c>
      <c r="E78" s="16">
        <f>IFERROR(__xludf.DUMMYFUNCTION("""COMPUTED_VALUE"""),45853.6458333333)</f>
        <v>45853.6458333333</v>
      </c>
      <c r="F78" s="17">
        <f>IFERROR(__xludf.DUMMYFUNCTION("""COMPUTED_VALUE"""),7041706)</f>
        <v>7041706</v>
      </c>
      <c r="G78" s="16">
        <f>IFERROR(__xludf.DUMMYFUNCTION("""COMPUTED_VALUE"""),45853.6458333333)</f>
        <v>45853.6458333333</v>
      </c>
      <c r="H78" s="17">
        <f>IFERROR(__xludf.DUMMYFUNCTION("""COMPUTED_VALUE"""),685.95)</f>
        <v>685.95</v>
      </c>
      <c r="I78" s="16">
        <f>IFERROR(__xludf.DUMMYFUNCTION("""COMPUTED_VALUE"""),45853.6458333333)</f>
        <v>45853.6458333333</v>
      </c>
      <c r="J78" s="17">
        <f>IFERROR(__xludf.DUMMYFUNCTION("""COMPUTED_VALUE"""),674.3)</f>
        <v>674.3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IFERROR(__xludf.DUMMYFUNCTION("""COMPUTED_VALUE"""),679)</f>
        <v>679</v>
      </c>
      <c r="C79" s="16">
        <f>IFERROR(__xludf.DUMMYFUNCTION("""COMPUTED_VALUE"""),45854.6458333333)</f>
        <v>45854.6458333333</v>
      </c>
      <c r="D79" s="17">
        <f>IFERROR(__xludf.DUMMYFUNCTION("""COMPUTED_VALUE"""),684.4)</f>
        <v>684.4</v>
      </c>
      <c r="E79" s="16">
        <f>IFERROR(__xludf.DUMMYFUNCTION("""COMPUTED_VALUE"""),45854.6458333333)</f>
        <v>45854.6458333333</v>
      </c>
      <c r="F79" s="17">
        <f>IFERROR(__xludf.DUMMYFUNCTION("""COMPUTED_VALUE"""),6244205)</f>
        <v>6244205</v>
      </c>
      <c r="G79" s="16">
        <f>IFERROR(__xludf.DUMMYFUNCTION("""COMPUTED_VALUE"""),45854.6458333333)</f>
        <v>45854.6458333333</v>
      </c>
      <c r="H79" s="17">
        <f>IFERROR(__xludf.DUMMYFUNCTION("""COMPUTED_VALUE"""),684.4)</f>
        <v>684.4</v>
      </c>
      <c r="I79" s="16">
        <f>IFERROR(__xludf.DUMMYFUNCTION("""COMPUTED_VALUE"""),45854.6458333333)</f>
        <v>45854.6458333333</v>
      </c>
      <c r="J79" s="17">
        <f>IFERROR(__xludf.DUMMYFUNCTION("""COMPUTED_VALUE"""),676.35)</f>
        <v>676.35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IFERROR(__xludf.DUMMYFUNCTION("""COMPUTED_VALUE"""),681.7)</f>
        <v>681.7</v>
      </c>
      <c r="C80" s="16">
        <f>IFERROR(__xludf.DUMMYFUNCTION("""COMPUTED_VALUE"""),45855.6458333333)</f>
        <v>45855.6458333333</v>
      </c>
      <c r="D80" s="17">
        <f>IFERROR(__xludf.DUMMYFUNCTION("""COMPUTED_VALUE"""),679)</f>
        <v>679</v>
      </c>
      <c r="E80" s="16">
        <f>IFERROR(__xludf.DUMMYFUNCTION("""COMPUTED_VALUE"""),45855.6458333333)</f>
        <v>45855.6458333333</v>
      </c>
      <c r="F80" s="17">
        <f>IFERROR(__xludf.DUMMYFUNCTION("""COMPUTED_VALUE"""),6598144)</f>
        <v>6598144</v>
      </c>
      <c r="G80" s="16">
        <f>IFERROR(__xludf.DUMMYFUNCTION("""COMPUTED_VALUE"""),45855.6458333333)</f>
        <v>45855.6458333333</v>
      </c>
      <c r="H80" s="17">
        <f>IFERROR(__xludf.DUMMYFUNCTION("""COMPUTED_VALUE"""),686.9)</f>
        <v>686.9</v>
      </c>
      <c r="I80" s="16">
        <f>IFERROR(__xludf.DUMMYFUNCTION("""COMPUTED_VALUE"""),45855.6458333333)</f>
        <v>45855.6458333333</v>
      </c>
      <c r="J80" s="17">
        <f>IFERROR(__xludf.DUMMYFUNCTION("""COMPUTED_VALUE"""),678.15)</f>
        <v>678.15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IFERROR(__xludf.DUMMYFUNCTION("""COMPUTED_VALUE"""),680.25)</f>
        <v>680.25</v>
      </c>
      <c r="C81" s="16">
        <f>IFERROR(__xludf.DUMMYFUNCTION("""COMPUTED_VALUE"""),45856.6458333333)</f>
        <v>45856.6458333333</v>
      </c>
      <c r="D81" s="17">
        <f>IFERROR(__xludf.DUMMYFUNCTION("""COMPUTED_VALUE"""),683.2)</f>
        <v>683.2</v>
      </c>
      <c r="E81" s="16">
        <f>IFERROR(__xludf.DUMMYFUNCTION("""COMPUTED_VALUE"""),45856.6458333333)</f>
        <v>45856.6458333333</v>
      </c>
      <c r="F81" s="17">
        <f>IFERROR(__xludf.DUMMYFUNCTION("""COMPUTED_VALUE"""),5558670)</f>
        <v>5558670</v>
      </c>
      <c r="G81" s="16">
        <f>IFERROR(__xludf.DUMMYFUNCTION("""COMPUTED_VALUE"""),45856.6458333333)</f>
        <v>45856.6458333333</v>
      </c>
      <c r="H81" s="17">
        <f>IFERROR(__xludf.DUMMYFUNCTION("""COMPUTED_VALUE"""),686)</f>
        <v>686</v>
      </c>
      <c r="I81" s="16">
        <f>IFERROR(__xludf.DUMMYFUNCTION("""COMPUTED_VALUE"""),45856.6458333333)</f>
        <v>45856.6458333333</v>
      </c>
      <c r="J81" s="17">
        <f>IFERROR(__xludf.DUMMYFUNCTION("""COMPUTED_VALUE"""),678)</f>
        <v>678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IFERROR(__xludf.DUMMYFUNCTION("""COMPUTED_VALUE"""),687.45)</f>
        <v>687.45</v>
      </c>
      <c r="C82" s="16">
        <f>IFERROR(__xludf.DUMMYFUNCTION("""COMPUTED_VALUE"""),45859.6458333333)</f>
        <v>45859.6458333333</v>
      </c>
      <c r="D82" s="17">
        <f>IFERROR(__xludf.DUMMYFUNCTION("""COMPUTED_VALUE"""),680.5)</f>
        <v>680.5</v>
      </c>
      <c r="E82" s="16">
        <f>IFERROR(__xludf.DUMMYFUNCTION("""COMPUTED_VALUE"""),45859.6458333333)</f>
        <v>45859.6458333333</v>
      </c>
      <c r="F82" s="17">
        <f>IFERROR(__xludf.DUMMYFUNCTION("""COMPUTED_VALUE"""),6731863)</f>
        <v>6731863</v>
      </c>
      <c r="G82" s="16">
        <f>IFERROR(__xludf.DUMMYFUNCTION("""COMPUTED_VALUE"""),45859.6458333333)</f>
        <v>45859.6458333333</v>
      </c>
      <c r="H82" s="17">
        <f>IFERROR(__xludf.DUMMYFUNCTION("""COMPUTED_VALUE"""),688.5)</f>
        <v>688.5</v>
      </c>
      <c r="I82" s="16">
        <f>IFERROR(__xludf.DUMMYFUNCTION("""COMPUTED_VALUE"""),45859.6458333333)</f>
        <v>45859.6458333333</v>
      </c>
      <c r="J82" s="17">
        <f>IFERROR(__xludf.DUMMYFUNCTION("""COMPUTED_VALUE"""),671.25)</f>
        <v>671.25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IFERROR(__xludf.DUMMYFUNCTION("""COMPUTED_VALUE"""),673.4)</f>
        <v>673.4</v>
      </c>
      <c r="C83" s="16">
        <f>IFERROR(__xludf.DUMMYFUNCTION("""COMPUTED_VALUE"""),45860.6458333333)</f>
        <v>45860.6458333333</v>
      </c>
      <c r="D83" s="17">
        <f>IFERROR(__xludf.DUMMYFUNCTION("""COMPUTED_VALUE"""),688)</f>
        <v>688</v>
      </c>
      <c r="E83" s="16">
        <f>IFERROR(__xludf.DUMMYFUNCTION("""COMPUTED_VALUE"""),45860.6458333333)</f>
        <v>45860.6458333333</v>
      </c>
      <c r="F83" s="17">
        <f>IFERROR(__xludf.DUMMYFUNCTION("""COMPUTED_VALUE"""),7749518)</f>
        <v>7749518</v>
      </c>
      <c r="G83" s="16">
        <f>IFERROR(__xludf.DUMMYFUNCTION("""COMPUTED_VALUE"""),45860.6458333333)</f>
        <v>45860.6458333333</v>
      </c>
      <c r="H83" s="17">
        <f>IFERROR(__xludf.DUMMYFUNCTION("""COMPUTED_VALUE"""),688.85)</f>
        <v>688.85</v>
      </c>
      <c r="I83" s="16">
        <f>IFERROR(__xludf.DUMMYFUNCTION("""COMPUTED_VALUE"""),45860.6458333333)</f>
        <v>45860.6458333333</v>
      </c>
      <c r="J83" s="17">
        <f>IFERROR(__xludf.DUMMYFUNCTION("""COMPUTED_VALUE"""),672.35)</f>
        <v>672.35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IFERROR(__xludf.DUMMYFUNCTION("""COMPUTED_VALUE"""),690.1)</f>
        <v>690.1</v>
      </c>
      <c r="C84" s="16">
        <f>IFERROR(__xludf.DUMMYFUNCTION("""COMPUTED_VALUE"""),45861.6458333333)</f>
        <v>45861.6458333333</v>
      </c>
      <c r="D84" s="17">
        <f>IFERROR(__xludf.DUMMYFUNCTION("""COMPUTED_VALUE"""),676.7)</f>
        <v>676.7</v>
      </c>
      <c r="E84" s="16">
        <f>IFERROR(__xludf.DUMMYFUNCTION("""COMPUTED_VALUE"""),45861.6458333333)</f>
        <v>45861.6458333333</v>
      </c>
      <c r="F84" s="17">
        <f>IFERROR(__xludf.DUMMYFUNCTION("""COMPUTED_VALUE"""),14460727)</f>
        <v>14460727</v>
      </c>
      <c r="G84" s="16">
        <f>IFERROR(__xludf.DUMMYFUNCTION("""COMPUTED_VALUE"""),45861.6458333333)</f>
        <v>45861.6458333333</v>
      </c>
      <c r="H84" s="17">
        <f>IFERROR(__xludf.DUMMYFUNCTION("""COMPUTED_VALUE"""),693.1)</f>
        <v>693.1</v>
      </c>
      <c r="I84" s="16">
        <f>IFERROR(__xludf.DUMMYFUNCTION("""COMPUTED_VALUE"""),45861.6458333333)</f>
        <v>45861.6458333333</v>
      </c>
      <c r="J84" s="17">
        <f>IFERROR(__xludf.DUMMYFUNCTION("""COMPUTED_VALUE"""),676.25)</f>
        <v>676.25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IFERROR(__xludf.DUMMYFUNCTION("""COMPUTED_VALUE"""),700.5)</f>
        <v>700.5</v>
      </c>
      <c r="C85" s="16">
        <f>IFERROR(__xludf.DUMMYFUNCTION("""COMPUTED_VALUE"""),45862.6458333333)</f>
        <v>45862.6458333333</v>
      </c>
      <c r="D85" s="17">
        <f>IFERROR(__xludf.DUMMYFUNCTION("""COMPUTED_VALUE"""),692.7)</f>
        <v>692.7</v>
      </c>
      <c r="E85" s="16">
        <f>IFERROR(__xludf.DUMMYFUNCTION("""COMPUTED_VALUE"""),45862.6458333333)</f>
        <v>45862.6458333333</v>
      </c>
      <c r="F85" s="17">
        <f>IFERROR(__xludf.DUMMYFUNCTION("""COMPUTED_VALUE"""),15197664)</f>
        <v>15197664</v>
      </c>
      <c r="G85" s="16">
        <f>IFERROR(__xludf.DUMMYFUNCTION("""COMPUTED_VALUE"""),45862.6458333333)</f>
        <v>45862.6458333333</v>
      </c>
      <c r="H85" s="17">
        <f>IFERROR(__xludf.DUMMYFUNCTION("""COMPUTED_VALUE"""),706.5)</f>
        <v>706.5</v>
      </c>
      <c r="I85" s="16">
        <f>IFERROR(__xludf.DUMMYFUNCTION("""COMPUTED_VALUE"""),45862.6458333333)</f>
        <v>45862.6458333333</v>
      </c>
      <c r="J85" s="17">
        <f>IFERROR(__xludf.DUMMYFUNCTION("""COMPUTED_VALUE"""),692.3)</f>
        <v>692.3</v>
      </c>
      <c r="K85" s="3">
        <f t="shared" si="2"/>
        <v>700.5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IFERROR(__xludf.DUMMYFUNCTION("""COMPUTED_VALUE"""),687.4)</f>
        <v>687.4</v>
      </c>
      <c r="C86" s="16">
        <f>IFERROR(__xludf.DUMMYFUNCTION("""COMPUTED_VALUE"""),45863.6458333333)</f>
        <v>45863.6458333333</v>
      </c>
      <c r="D86" s="17">
        <f>IFERROR(__xludf.DUMMYFUNCTION("""COMPUTED_VALUE"""),701)</f>
        <v>701</v>
      </c>
      <c r="E86" s="16">
        <f>IFERROR(__xludf.DUMMYFUNCTION("""COMPUTED_VALUE"""),45863.6458333333)</f>
        <v>45863.6458333333</v>
      </c>
      <c r="F86" s="17">
        <f>IFERROR(__xludf.DUMMYFUNCTION("""COMPUTED_VALUE"""),7271718)</f>
        <v>7271718</v>
      </c>
      <c r="G86" s="16">
        <f>IFERROR(__xludf.DUMMYFUNCTION("""COMPUTED_VALUE"""),45863.6458333333)</f>
        <v>45863.6458333333</v>
      </c>
      <c r="H86" s="17">
        <f>IFERROR(__xludf.DUMMYFUNCTION("""COMPUTED_VALUE"""),702.45)</f>
        <v>702.45</v>
      </c>
      <c r="I86" s="16">
        <f>IFERROR(__xludf.DUMMYFUNCTION("""COMPUTED_VALUE"""),45863.6458333333)</f>
        <v>45863.6458333333</v>
      </c>
      <c r="J86" s="17">
        <f>IFERROR(__xludf.DUMMYFUNCTION("""COMPUTED_VALUE"""),684.7)</f>
        <v>684.7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IFERROR(__xludf.DUMMYFUNCTION("""COMPUTED_VALUE"""),682.9)</f>
        <v>682.9</v>
      </c>
      <c r="C87" s="16">
        <f>IFERROR(__xludf.DUMMYFUNCTION("""COMPUTED_VALUE"""),45866.6458333333)</f>
        <v>45866.6458333333</v>
      </c>
      <c r="D87" s="17">
        <f>IFERROR(__xludf.DUMMYFUNCTION("""COMPUTED_VALUE"""),690.7)</f>
        <v>690.7</v>
      </c>
      <c r="E87" s="16">
        <f>IFERROR(__xludf.DUMMYFUNCTION("""COMPUTED_VALUE"""),45866.6458333333)</f>
        <v>45866.6458333333</v>
      </c>
      <c r="F87" s="17">
        <f>IFERROR(__xludf.DUMMYFUNCTION("""COMPUTED_VALUE"""),7788718)</f>
        <v>7788718</v>
      </c>
      <c r="G87" s="16">
        <f>IFERROR(__xludf.DUMMYFUNCTION("""COMPUTED_VALUE"""),45866.6458333333)</f>
        <v>45866.6458333333</v>
      </c>
      <c r="H87" s="17">
        <f>IFERROR(__xludf.DUMMYFUNCTION("""COMPUTED_VALUE"""),700.5)</f>
        <v>700.5</v>
      </c>
      <c r="I87" s="16">
        <f>IFERROR(__xludf.DUMMYFUNCTION("""COMPUTED_VALUE"""),45866.6458333333)</f>
        <v>45866.6458333333</v>
      </c>
      <c r="J87" s="17">
        <f>IFERROR(__xludf.DUMMYFUNCTION("""COMPUTED_VALUE"""),681.4)</f>
        <v>681.4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IFERROR(__xludf.DUMMYFUNCTION("""COMPUTED_VALUE"""),692.35)</f>
        <v>692.35</v>
      </c>
      <c r="C88" s="16">
        <f>IFERROR(__xludf.DUMMYFUNCTION("""COMPUTED_VALUE"""),45867.6458333333)</f>
        <v>45867.6458333333</v>
      </c>
      <c r="D88" s="17">
        <f>IFERROR(__xludf.DUMMYFUNCTION("""COMPUTED_VALUE"""),681.9)</f>
        <v>681.9</v>
      </c>
      <c r="E88" s="16">
        <f>IFERROR(__xludf.DUMMYFUNCTION("""COMPUTED_VALUE"""),45867.6458333333)</f>
        <v>45867.6458333333</v>
      </c>
      <c r="F88" s="17">
        <f>IFERROR(__xludf.DUMMYFUNCTION("""COMPUTED_VALUE"""),6239871)</f>
        <v>6239871</v>
      </c>
      <c r="G88" s="16">
        <f>IFERROR(__xludf.DUMMYFUNCTION("""COMPUTED_VALUE"""),45867.6458333333)</f>
        <v>45867.6458333333</v>
      </c>
      <c r="H88" s="17">
        <f>IFERROR(__xludf.DUMMYFUNCTION("""COMPUTED_VALUE"""),694)</f>
        <v>694</v>
      </c>
      <c r="I88" s="16">
        <f>IFERROR(__xludf.DUMMYFUNCTION("""COMPUTED_VALUE"""),45867.6458333333)</f>
        <v>45867.6458333333</v>
      </c>
      <c r="J88" s="17">
        <f>IFERROR(__xludf.DUMMYFUNCTION("""COMPUTED_VALUE"""),680.6)</f>
        <v>680.6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IFERROR(__xludf.DUMMYFUNCTION("""COMPUTED_VALUE"""),668.45)</f>
        <v>668.45</v>
      </c>
      <c r="C89" s="16">
        <f>IFERROR(__xludf.DUMMYFUNCTION("""COMPUTED_VALUE"""),45868.6458333333)</f>
        <v>45868.6458333333</v>
      </c>
      <c r="D89" s="17">
        <f>IFERROR(__xludf.DUMMYFUNCTION("""COMPUTED_VALUE"""),690)</f>
        <v>690</v>
      </c>
      <c r="E89" s="16">
        <f>IFERROR(__xludf.DUMMYFUNCTION("""COMPUTED_VALUE"""),45868.6458333333)</f>
        <v>45868.6458333333</v>
      </c>
      <c r="F89" s="17">
        <f>IFERROR(__xludf.DUMMYFUNCTION("""COMPUTED_VALUE"""),18923129)</f>
        <v>18923129</v>
      </c>
      <c r="G89" s="16">
        <f>IFERROR(__xludf.DUMMYFUNCTION("""COMPUTED_VALUE"""),45868.6458333333)</f>
        <v>45868.6458333333</v>
      </c>
      <c r="H89" s="17">
        <f>IFERROR(__xludf.DUMMYFUNCTION("""COMPUTED_VALUE"""),690)</f>
        <v>690</v>
      </c>
      <c r="I89" s="16">
        <f>IFERROR(__xludf.DUMMYFUNCTION("""COMPUTED_VALUE"""),45868.6458333333)</f>
        <v>45868.6458333333</v>
      </c>
      <c r="J89" s="17">
        <f>IFERROR(__xludf.DUMMYFUNCTION("""COMPUTED_VALUE"""),665.25)</f>
        <v>665.25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IFERROR(__xludf.DUMMYFUNCTION("""COMPUTED_VALUE"""),665.95)</f>
        <v>665.95</v>
      </c>
      <c r="C90" s="16">
        <f>IFERROR(__xludf.DUMMYFUNCTION("""COMPUTED_VALUE"""),45869.6458333333)</f>
        <v>45869.6458333333</v>
      </c>
      <c r="D90" s="17">
        <f>IFERROR(__xludf.DUMMYFUNCTION("""COMPUTED_VALUE"""),659.85)</f>
        <v>659.85</v>
      </c>
      <c r="E90" s="16">
        <f>IFERROR(__xludf.DUMMYFUNCTION("""COMPUTED_VALUE"""),45869.6458333333)</f>
        <v>45869.6458333333</v>
      </c>
      <c r="F90" s="17">
        <f>IFERROR(__xludf.DUMMYFUNCTION("""COMPUTED_VALUE"""),18723710)</f>
        <v>18723710</v>
      </c>
      <c r="G90" s="16">
        <f>IFERROR(__xludf.DUMMYFUNCTION("""COMPUTED_VALUE"""),45869.6458333333)</f>
        <v>45869.6458333333</v>
      </c>
      <c r="H90" s="17">
        <f>IFERROR(__xludf.DUMMYFUNCTION("""COMPUTED_VALUE"""),673.4)</f>
        <v>673.4</v>
      </c>
      <c r="I90" s="16">
        <f>IFERROR(__xludf.DUMMYFUNCTION("""COMPUTED_VALUE"""),45869.6458333333)</f>
        <v>45869.6458333333</v>
      </c>
      <c r="J90" s="17">
        <f>IFERROR(__xludf.DUMMYFUNCTION("""COMPUTED_VALUE"""),652.35)</f>
        <v>652.35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IFERROR(__xludf.DUMMYFUNCTION("""COMPUTED_VALUE"""),648.85)</f>
        <v>648.85</v>
      </c>
      <c r="C91" s="16">
        <f>IFERROR(__xludf.DUMMYFUNCTION("""COMPUTED_VALUE"""),45870.6458333333)</f>
        <v>45870.6458333333</v>
      </c>
      <c r="D91" s="17">
        <f>IFERROR(__xludf.DUMMYFUNCTION("""COMPUTED_VALUE"""),667.95)</f>
        <v>667.95</v>
      </c>
      <c r="E91" s="16">
        <f>IFERROR(__xludf.DUMMYFUNCTION("""COMPUTED_VALUE"""),45870.6458333333)</f>
        <v>45870.6458333333</v>
      </c>
      <c r="F91" s="17">
        <f>IFERROR(__xludf.DUMMYFUNCTION("""COMPUTED_VALUE"""),12546169)</f>
        <v>12546169</v>
      </c>
      <c r="G91" s="16">
        <f>IFERROR(__xludf.DUMMYFUNCTION("""COMPUTED_VALUE"""),45870.6458333333)</f>
        <v>45870.6458333333</v>
      </c>
      <c r="H91" s="17">
        <f>IFERROR(__xludf.DUMMYFUNCTION("""COMPUTED_VALUE"""),667.95)</f>
        <v>667.95</v>
      </c>
      <c r="I91" s="16">
        <f>IFERROR(__xludf.DUMMYFUNCTION("""COMPUTED_VALUE"""),45870.6458333333)</f>
        <v>45870.6458333333</v>
      </c>
      <c r="J91" s="17">
        <f>IFERROR(__xludf.DUMMYFUNCTION("""COMPUTED_VALUE"""),647)</f>
        <v>647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IFERROR(__xludf.DUMMYFUNCTION("""COMPUTED_VALUE"""),653.6)</f>
        <v>653.6</v>
      </c>
      <c r="C92" s="16">
        <f>IFERROR(__xludf.DUMMYFUNCTION("""COMPUTED_VALUE"""),45873.6458333333)</f>
        <v>45873.6458333333</v>
      </c>
      <c r="D92" s="17">
        <f>IFERROR(__xludf.DUMMYFUNCTION("""COMPUTED_VALUE"""),650.05)</f>
        <v>650.05</v>
      </c>
      <c r="E92" s="16">
        <f>IFERROR(__xludf.DUMMYFUNCTION("""COMPUTED_VALUE"""),45873.6458333333)</f>
        <v>45873.6458333333</v>
      </c>
      <c r="F92" s="17">
        <f>IFERROR(__xludf.DUMMYFUNCTION("""COMPUTED_VALUE"""),8033881)</f>
        <v>8033881</v>
      </c>
      <c r="G92" s="16">
        <f>IFERROR(__xludf.DUMMYFUNCTION("""COMPUTED_VALUE"""),45873.6458333333)</f>
        <v>45873.6458333333</v>
      </c>
      <c r="H92" s="17">
        <f>IFERROR(__xludf.DUMMYFUNCTION("""COMPUTED_VALUE"""),656.8)</f>
        <v>656.8</v>
      </c>
      <c r="I92" s="16">
        <f>IFERROR(__xludf.DUMMYFUNCTION("""COMPUTED_VALUE"""),45873.6458333333)</f>
        <v>45873.6458333333</v>
      </c>
      <c r="J92" s="17">
        <f>IFERROR(__xludf.DUMMYFUNCTION("""COMPUTED_VALUE"""),646)</f>
        <v>646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IFERROR(__xludf.DUMMYFUNCTION("""COMPUTED_VALUE"""),654.6)</f>
        <v>654.6</v>
      </c>
      <c r="C93" s="16">
        <f>IFERROR(__xludf.DUMMYFUNCTION("""COMPUTED_VALUE"""),45874.6458333333)</f>
        <v>45874.6458333333</v>
      </c>
      <c r="D93" s="17">
        <f>IFERROR(__xludf.DUMMYFUNCTION("""COMPUTED_VALUE"""),655.95)</f>
        <v>655.95</v>
      </c>
      <c r="E93" s="16">
        <f>IFERROR(__xludf.DUMMYFUNCTION("""COMPUTED_VALUE"""),45874.6458333333)</f>
        <v>45874.6458333333</v>
      </c>
      <c r="F93" s="17">
        <f>IFERROR(__xludf.DUMMYFUNCTION("""COMPUTED_VALUE"""),6714804)</f>
        <v>6714804</v>
      </c>
      <c r="G93" s="16">
        <f>IFERROR(__xludf.DUMMYFUNCTION("""COMPUTED_VALUE"""),45874.6458333333)</f>
        <v>45874.6458333333</v>
      </c>
      <c r="H93" s="17">
        <f>IFERROR(__xludf.DUMMYFUNCTION("""COMPUTED_VALUE"""),658.9)</f>
        <v>658.9</v>
      </c>
      <c r="I93" s="16">
        <f>IFERROR(__xludf.DUMMYFUNCTION("""COMPUTED_VALUE"""),45874.6458333333)</f>
        <v>45874.6458333333</v>
      </c>
      <c r="J93" s="17">
        <f>IFERROR(__xludf.DUMMYFUNCTION("""COMPUTED_VALUE"""),650.55)</f>
        <v>650.55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IFERROR(__xludf.DUMMYFUNCTION("""COMPUTED_VALUE"""),652.85)</f>
        <v>652.85</v>
      </c>
      <c r="C94" s="16">
        <f>IFERROR(__xludf.DUMMYFUNCTION("""COMPUTED_VALUE"""),45875.6458333333)</f>
        <v>45875.6458333333</v>
      </c>
      <c r="D94" s="17">
        <f>IFERROR(__xludf.DUMMYFUNCTION("""COMPUTED_VALUE"""),655)</f>
        <v>655</v>
      </c>
      <c r="E94" s="16">
        <f>IFERROR(__xludf.DUMMYFUNCTION("""COMPUTED_VALUE"""),45875.6458333333)</f>
        <v>45875.6458333333</v>
      </c>
      <c r="F94" s="17">
        <f>IFERROR(__xludf.DUMMYFUNCTION("""COMPUTED_VALUE"""),6410830)</f>
        <v>6410830</v>
      </c>
      <c r="G94" s="16">
        <f>IFERROR(__xludf.DUMMYFUNCTION("""COMPUTED_VALUE"""),45875.6458333333)</f>
        <v>45875.6458333333</v>
      </c>
      <c r="H94" s="17">
        <f>IFERROR(__xludf.DUMMYFUNCTION("""COMPUTED_VALUE"""),658)</f>
        <v>658</v>
      </c>
      <c r="I94" s="16">
        <f>IFERROR(__xludf.DUMMYFUNCTION("""COMPUTED_VALUE"""),45875.6458333333)</f>
        <v>45875.6458333333</v>
      </c>
      <c r="J94" s="17">
        <f>IFERROR(__xludf.DUMMYFUNCTION("""COMPUTED_VALUE"""),650.4)</f>
        <v>650.4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IFERROR(__xludf.DUMMYFUNCTION("""COMPUTED_VALUE"""),646.5)</f>
        <v>646.5</v>
      </c>
      <c r="C95" s="16">
        <f>IFERROR(__xludf.DUMMYFUNCTION("""COMPUTED_VALUE"""),45876.6458333333)</f>
        <v>45876.6458333333</v>
      </c>
      <c r="D95" s="17">
        <f>IFERROR(__xludf.DUMMYFUNCTION("""COMPUTED_VALUE"""),650)</f>
        <v>650</v>
      </c>
      <c r="E95" s="16">
        <f>IFERROR(__xludf.DUMMYFUNCTION("""COMPUTED_VALUE"""),45876.6458333333)</f>
        <v>45876.6458333333</v>
      </c>
      <c r="F95" s="17">
        <f>IFERROR(__xludf.DUMMYFUNCTION("""COMPUTED_VALUE"""),13609913)</f>
        <v>13609913</v>
      </c>
      <c r="G95" s="16">
        <f>IFERROR(__xludf.DUMMYFUNCTION("""COMPUTED_VALUE"""),45876.6458333333)</f>
        <v>45876.6458333333</v>
      </c>
      <c r="H95" s="17">
        <f>IFERROR(__xludf.DUMMYFUNCTION("""COMPUTED_VALUE"""),651.7)</f>
        <v>651.7</v>
      </c>
      <c r="I95" s="16">
        <f>IFERROR(__xludf.DUMMYFUNCTION("""COMPUTED_VALUE"""),45876.6458333333)</f>
        <v>45876.6458333333</v>
      </c>
      <c r="J95" s="17">
        <f>IFERROR(__xludf.DUMMYFUNCTION("""COMPUTED_VALUE"""),635.5)</f>
        <v>635.5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IFERROR(__xludf.DUMMYFUNCTION("""COMPUTED_VALUE"""),633.7)</f>
        <v>633.7</v>
      </c>
      <c r="C96" s="16">
        <f>IFERROR(__xludf.DUMMYFUNCTION("""COMPUTED_VALUE"""),45877.6458333333)</f>
        <v>45877.6458333333</v>
      </c>
      <c r="D96" s="17">
        <f>IFERROR(__xludf.DUMMYFUNCTION("""COMPUTED_VALUE"""),647.95)</f>
        <v>647.95</v>
      </c>
      <c r="E96" s="16">
        <f>IFERROR(__xludf.DUMMYFUNCTION("""COMPUTED_VALUE"""),45877.6458333333)</f>
        <v>45877.6458333333</v>
      </c>
      <c r="F96" s="17">
        <f>IFERROR(__xludf.DUMMYFUNCTION("""COMPUTED_VALUE"""),10144452)</f>
        <v>10144452</v>
      </c>
      <c r="G96" s="16">
        <f>IFERROR(__xludf.DUMMYFUNCTION("""COMPUTED_VALUE"""),45877.6458333333)</f>
        <v>45877.6458333333</v>
      </c>
      <c r="H96" s="17">
        <f>IFERROR(__xludf.DUMMYFUNCTION("""COMPUTED_VALUE"""),652.95)</f>
        <v>652.95</v>
      </c>
      <c r="I96" s="16">
        <f>IFERROR(__xludf.DUMMYFUNCTION("""COMPUTED_VALUE"""),45877.6458333333)</f>
        <v>45877.6458333333</v>
      </c>
      <c r="J96" s="17">
        <f>IFERROR(__xludf.DUMMYFUNCTION("""COMPUTED_VALUE"""),630)</f>
        <v>630</v>
      </c>
      <c r="K96" s="3">
        <f t="shared" si="2"/>
        <v>0</v>
      </c>
      <c r="L96" s="3">
        <f t="shared" si="3"/>
        <v>633.7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IFERROR(__xludf.DUMMYFUNCTION("""COMPUTED_VALUE"""),653.75)</f>
        <v>653.75</v>
      </c>
      <c r="C97" s="16">
        <f>IFERROR(__xludf.DUMMYFUNCTION("""COMPUTED_VALUE"""),45880.6458333333)</f>
        <v>45880.6458333333</v>
      </c>
      <c r="D97" s="17">
        <f>IFERROR(__xludf.DUMMYFUNCTION("""COMPUTED_VALUE"""),636.2)</f>
        <v>636.2</v>
      </c>
      <c r="E97" s="16">
        <f>IFERROR(__xludf.DUMMYFUNCTION("""COMPUTED_VALUE"""),45880.6458333333)</f>
        <v>45880.6458333333</v>
      </c>
      <c r="F97" s="17">
        <f>IFERROR(__xludf.DUMMYFUNCTION("""COMPUTED_VALUE"""),17275390)</f>
        <v>17275390</v>
      </c>
      <c r="G97" s="16">
        <f>IFERROR(__xludf.DUMMYFUNCTION("""COMPUTED_VALUE"""),45880.6458333333)</f>
        <v>45880.6458333333</v>
      </c>
      <c r="H97" s="17">
        <f>IFERROR(__xludf.DUMMYFUNCTION("""COMPUTED_VALUE"""),655)</f>
        <v>655</v>
      </c>
      <c r="I97" s="16">
        <f>IFERROR(__xludf.DUMMYFUNCTION("""COMPUTED_VALUE"""),45880.6458333333)</f>
        <v>45880.6458333333</v>
      </c>
      <c r="J97" s="17">
        <f>IFERROR(__xludf.DUMMYFUNCTION("""COMPUTED_VALUE"""),627.1)</f>
        <v>627.1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IFERROR(__xludf.DUMMYFUNCTION("""COMPUTED_VALUE"""),654.1)</f>
        <v>654.1</v>
      </c>
      <c r="C98" s="16">
        <f>IFERROR(__xludf.DUMMYFUNCTION("""COMPUTED_VALUE"""),45881.6458333333)</f>
        <v>45881.6458333333</v>
      </c>
      <c r="D98" s="17">
        <f>IFERROR(__xludf.DUMMYFUNCTION("""COMPUTED_VALUE"""),651.1)</f>
        <v>651.1</v>
      </c>
      <c r="E98" s="16">
        <f>IFERROR(__xludf.DUMMYFUNCTION("""COMPUTED_VALUE"""),45881.6458333333)</f>
        <v>45881.6458333333</v>
      </c>
      <c r="F98" s="17">
        <f>IFERROR(__xludf.DUMMYFUNCTION("""COMPUTED_VALUE"""),11212223)</f>
        <v>11212223</v>
      </c>
      <c r="G98" s="16">
        <f>IFERROR(__xludf.DUMMYFUNCTION("""COMPUTED_VALUE"""),45881.6458333333)</f>
        <v>45881.6458333333</v>
      </c>
      <c r="H98" s="17">
        <f>IFERROR(__xludf.DUMMYFUNCTION("""COMPUTED_VALUE"""),660.95)</f>
        <v>660.95</v>
      </c>
      <c r="I98" s="16">
        <f>IFERROR(__xludf.DUMMYFUNCTION("""COMPUTED_VALUE"""),45881.6458333333)</f>
        <v>45881.6458333333</v>
      </c>
      <c r="J98" s="17">
        <f>IFERROR(__xludf.DUMMYFUNCTION("""COMPUTED_VALUE"""),650.8)</f>
        <v>650.8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IFERROR(__xludf.DUMMYFUNCTION("""COMPUTED_VALUE"""),663.75)</f>
        <v>663.75</v>
      </c>
      <c r="C99" s="16">
        <f>IFERROR(__xludf.DUMMYFUNCTION("""COMPUTED_VALUE"""),45882.6458333333)</f>
        <v>45882.6458333333</v>
      </c>
      <c r="D99" s="17">
        <f>IFERROR(__xludf.DUMMYFUNCTION("""COMPUTED_VALUE"""),657.2)</f>
        <v>657.2</v>
      </c>
      <c r="E99" s="16">
        <f>IFERROR(__xludf.DUMMYFUNCTION("""COMPUTED_VALUE"""),45882.6458333333)</f>
        <v>45882.6458333333</v>
      </c>
      <c r="F99" s="17">
        <f>IFERROR(__xludf.DUMMYFUNCTION("""COMPUTED_VALUE"""),7557556)</f>
        <v>7557556</v>
      </c>
      <c r="G99" s="16">
        <f>IFERROR(__xludf.DUMMYFUNCTION("""COMPUTED_VALUE"""),45882.6458333333)</f>
        <v>45882.6458333333</v>
      </c>
      <c r="H99" s="17">
        <f>IFERROR(__xludf.DUMMYFUNCTION("""COMPUTED_VALUE"""),667)</f>
        <v>667</v>
      </c>
      <c r="I99" s="16">
        <f>IFERROR(__xludf.DUMMYFUNCTION("""COMPUTED_VALUE"""),45882.6458333333)</f>
        <v>45882.6458333333</v>
      </c>
      <c r="J99" s="17">
        <f>IFERROR(__xludf.DUMMYFUNCTION("""COMPUTED_VALUE"""),656.65)</f>
        <v>656.65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IFERROR(__xludf.DUMMYFUNCTION("""COMPUTED_VALUE"""),664.6)</f>
        <v>664.6</v>
      </c>
      <c r="C100" s="16">
        <f>IFERROR(__xludf.DUMMYFUNCTION("""COMPUTED_VALUE"""),45883.6458333333)</f>
        <v>45883.6458333333</v>
      </c>
      <c r="D100" s="17">
        <f>IFERROR(__xludf.DUMMYFUNCTION("""COMPUTED_VALUE"""),666)</f>
        <v>666</v>
      </c>
      <c r="E100" s="16">
        <f>IFERROR(__xludf.DUMMYFUNCTION("""COMPUTED_VALUE"""),45883.6458333333)</f>
        <v>45883.6458333333</v>
      </c>
      <c r="F100" s="17">
        <f>IFERROR(__xludf.DUMMYFUNCTION("""COMPUTED_VALUE"""),6250494)</f>
        <v>6250494</v>
      </c>
      <c r="G100" s="16">
        <f>IFERROR(__xludf.DUMMYFUNCTION("""COMPUTED_VALUE"""),45883.6458333333)</f>
        <v>45883.6458333333</v>
      </c>
      <c r="H100" s="17">
        <f>IFERROR(__xludf.DUMMYFUNCTION("""COMPUTED_VALUE"""),666.55)</f>
        <v>666.55</v>
      </c>
      <c r="I100" s="16">
        <f>IFERROR(__xludf.DUMMYFUNCTION("""COMPUTED_VALUE"""),45883.6458333333)</f>
        <v>45883.6458333333</v>
      </c>
      <c r="J100" s="17">
        <f>IFERROR(__xludf.DUMMYFUNCTION("""COMPUTED_VALUE"""),657.7)</f>
        <v>657.7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IFERROR(__xludf.DUMMYFUNCTION("""COMPUTED_VALUE"""),676)</f>
        <v>676</v>
      </c>
      <c r="C101" s="16">
        <f>IFERROR(__xludf.DUMMYFUNCTION("""COMPUTED_VALUE"""),45887.6458333333)</f>
        <v>45887.6458333333</v>
      </c>
      <c r="D101" s="17">
        <f>IFERROR(__xludf.DUMMYFUNCTION("""COMPUTED_VALUE"""),677)</f>
        <v>677</v>
      </c>
      <c r="E101" s="16">
        <f>IFERROR(__xludf.DUMMYFUNCTION("""COMPUTED_VALUE"""),45887.6458333333)</f>
        <v>45887.6458333333</v>
      </c>
      <c r="F101" s="17">
        <f>IFERROR(__xludf.DUMMYFUNCTION("""COMPUTED_VALUE"""),14226172)</f>
        <v>14226172</v>
      </c>
      <c r="G101" s="16">
        <f>IFERROR(__xludf.DUMMYFUNCTION("""COMPUTED_VALUE"""),45887.6458333333)</f>
        <v>45887.6458333333</v>
      </c>
      <c r="H101" s="17">
        <f>IFERROR(__xludf.DUMMYFUNCTION("""COMPUTED_VALUE"""),685)</f>
        <v>685</v>
      </c>
      <c r="I101" s="16">
        <f>IFERROR(__xludf.DUMMYFUNCTION("""COMPUTED_VALUE"""),45887.6458333333)</f>
        <v>45887.6458333333</v>
      </c>
      <c r="J101" s="17">
        <f>IFERROR(__xludf.DUMMYFUNCTION("""COMPUTED_VALUE"""),672.9)</f>
        <v>672.9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IFERROR(__xludf.DUMMYFUNCTION("""COMPUTED_VALUE"""),700.25)</f>
        <v>700.25</v>
      </c>
      <c r="C102" s="16">
        <f>IFERROR(__xludf.DUMMYFUNCTION("""COMPUTED_VALUE"""),45888.6458333333)</f>
        <v>45888.6458333333</v>
      </c>
      <c r="D102" s="17">
        <f>IFERROR(__xludf.DUMMYFUNCTION("""COMPUTED_VALUE"""),676.75)</f>
        <v>676.75</v>
      </c>
      <c r="E102" s="16">
        <f>IFERROR(__xludf.DUMMYFUNCTION("""COMPUTED_VALUE"""),45888.6458333333)</f>
        <v>45888.6458333333</v>
      </c>
      <c r="F102" s="17">
        <f>IFERROR(__xludf.DUMMYFUNCTION("""COMPUTED_VALUE"""),19440384)</f>
        <v>19440384</v>
      </c>
      <c r="G102" s="16">
        <f>IFERROR(__xludf.DUMMYFUNCTION("""COMPUTED_VALUE"""),45888.6458333333)</f>
        <v>45888.6458333333</v>
      </c>
      <c r="H102" s="17">
        <f>IFERROR(__xludf.DUMMYFUNCTION("""COMPUTED_VALUE"""),703.35)</f>
        <v>703.35</v>
      </c>
      <c r="I102" s="16">
        <f>IFERROR(__xludf.DUMMYFUNCTION("""COMPUTED_VALUE"""),45888.6458333333)</f>
        <v>45888.6458333333</v>
      </c>
      <c r="J102" s="17">
        <f>IFERROR(__xludf.DUMMYFUNCTION("""COMPUTED_VALUE"""),673.1)</f>
        <v>673.1</v>
      </c>
      <c r="K102" s="3">
        <f t="shared" si="2"/>
        <v>700.25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IFERROR(__xludf.DUMMYFUNCTION("""COMPUTED_VALUE"""),689.6)</f>
        <v>689.6</v>
      </c>
      <c r="C103" s="16">
        <f>IFERROR(__xludf.DUMMYFUNCTION("""COMPUTED_VALUE"""),45889.6458333333)</f>
        <v>45889.6458333333</v>
      </c>
      <c r="D103" s="17">
        <f>IFERROR(__xludf.DUMMYFUNCTION("""COMPUTED_VALUE"""),700.25)</f>
        <v>700.25</v>
      </c>
      <c r="E103" s="16">
        <f>IFERROR(__xludf.DUMMYFUNCTION("""COMPUTED_VALUE"""),45889.6458333333)</f>
        <v>45889.6458333333</v>
      </c>
      <c r="F103" s="17">
        <f>IFERROR(__xludf.DUMMYFUNCTION("""COMPUTED_VALUE"""),10050137)</f>
        <v>10050137</v>
      </c>
      <c r="G103" s="16">
        <f>IFERROR(__xludf.DUMMYFUNCTION("""COMPUTED_VALUE"""),45889.6458333333)</f>
        <v>45889.6458333333</v>
      </c>
      <c r="H103" s="17">
        <f>IFERROR(__xludf.DUMMYFUNCTION("""COMPUTED_VALUE"""),700.8)</f>
        <v>700.8</v>
      </c>
      <c r="I103" s="16">
        <f>IFERROR(__xludf.DUMMYFUNCTION("""COMPUTED_VALUE"""),45889.6458333333)</f>
        <v>45889.6458333333</v>
      </c>
      <c r="J103" s="17">
        <f>IFERROR(__xludf.DUMMYFUNCTION("""COMPUTED_VALUE"""),689)</f>
        <v>689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IFERROR(__xludf.DUMMYFUNCTION("""COMPUTED_VALUE"""),685.4)</f>
        <v>685.4</v>
      </c>
      <c r="C104" s="16">
        <f>IFERROR(__xludf.DUMMYFUNCTION("""COMPUTED_VALUE"""),45890.6458333333)</f>
        <v>45890.6458333333</v>
      </c>
      <c r="D104" s="17">
        <f>IFERROR(__xludf.DUMMYFUNCTION("""COMPUTED_VALUE"""),694)</f>
        <v>694</v>
      </c>
      <c r="E104" s="16">
        <f>IFERROR(__xludf.DUMMYFUNCTION("""COMPUTED_VALUE"""),45890.6458333333)</f>
        <v>45890.6458333333</v>
      </c>
      <c r="F104" s="17">
        <f>IFERROR(__xludf.DUMMYFUNCTION("""COMPUTED_VALUE"""),8432614)</f>
        <v>8432614</v>
      </c>
      <c r="G104" s="16">
        <f>IFERROR(__xludf.DUMMYFUNCTION("""COMPUTED_VALUE"""),45890.6458333333)</f>
        <v>45890.6458333333</v>
      </c>
      <c r="H104" s="17">
        <f>IFERROR(__xludf.DUMMYFUNCTION("""COMPUTED_VALUE"""),694.95)</f>
        <v>694.95</v>
      </c>
      <c r="I104" s="16">
        <f>IFERROR(__xludf.DUMMYFUNCTION("""COMPUTED_VALUE"""),45890.6458333333)</f>
        <v>45890.6458333333</v>
      </c>
      <c r="J104" s="17">
        <f>IFERROR(__xludf.DUMMYFUNCTION("""COMPUTED_VALUE"""),685)</f>
        <v>685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IFERROR(__xludf.DUMMYFUNCTION("""COMPUTED_VALUE"""),680.3)</f>
        <v>680.3</v>
      </c>
      <c r="C105" s="16">
        <f>IFERROR(__xludf.DUMMYFUNCTION("""COMPUTED_VALUE"""),45891.6458333333)</f>
        <v>45891.6458333333</v>
      </c>
      <c r="D105" s="17">
        <f>IFERROR(__xludf.DUMMYFUNCTION("""COMPUTED_VALUE"""),685.9)</f>
        <v>685.9</v>
      </c>
      <c r="E105" s="16">
        <f>IFERROR(__xludf.DUMMYFUNCTION("""COMPUTED_VALUE"""),45891.6458333333)</f>
        <v>45891.6458333333</v>
      </c>
      <c r="F105" s="17">
        <f>IFERROR(__xludf.DUMMYFUNCTION("""COMPUTED_VALUE"""),6429718)</f>
        <v>6429718</v>
      </c>
      <c r="G105" s="16">
        <f>IFERROR(__xludf.DUMMYFUNCTION("""COMPUTED_VALUE"""),45891.6458333333)</f>
        <v>45891.6458333333</v>
      </c>
      <c r="H105" s="17">
        <f>IFERROR(__xludf.DUMMYFUNCTION("""COMPUTED_VALUE"""),691.5)</f>
        <v>691.5</v>
      </c>
      <c r="I105" s="16">
        <f>IFERROR(__xludf.DUMMYFUNCTION("""COMPUTED_VALUE"""),45891.6458333333)</f>
        <v>45891.6458333333</v>
      </c>
      <c r="J105" s="17">
        <f>IFERROR(__xludf.DUMMYFUNCTION("""COMPUTED_VALUE"""),678.6)</f>
        <v>678.6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IFERROR(__xludf.DUMMYFUNCTION("""COMPUTED_VALUE"""),686.8)</f>
        <v>686.8</v>
      </c>
      <c r="C106" s="16">
        <f>IFERROR(__xludf.DUMMYFUNCTION("""COMPUTED_VALUE"""),45894.6458333333)</f>
        <v>45894.6458333333</v>
      </c>
      <c r="D106" s="17">
        <f>IFERROR(__xludf.DUMMYFUNCTION("""COMPUTED_VALUE"""),683.75)</f>
        <v>683.75</v>
      </c>
      <c r="E106" s="16">
        <f>IFERROR(__xludf.DUMMYFUNCTION("""COMPUTED_VALUE"""),45894.6458333333)</f>
        <v>45894.6458333333</v>
      </c>
      <c r="F106" s="17">
        <f>IFERROR(__xludf.DUMMYFUNCTION("""COMPUTED_VALUE"""),6429311)</f>
        <v>6429311</v>
      </c>
      <c r="G106" s="16">
        <f>IFERROR(__xludf.DUMMYFUNCTION("""COMPUTED_VALUE"""),45894.6458333333)</f>
        <v>45894.6458333333</v>
      </c>
      <c r="H106" s="17">
        <f>IFERROR(__xludf.DUMMYFUNCTION("""COMPUTED_VALUE"""),688.9)</f>
        <v>688.9</v>
      </c>
      <c r="I106" s="16">
        <f>IFERROR(__xludf.DUMMYFUNCTION("""COMPUTED_VALUE"""),45894.6458333333)</f>
        <v>45894.6458333333</v>
      </c>
      <c r="J106" s="17">
        <f>IFERROR(__xludf.DUMMYFUNCTION("""COMPUTED_VALUE"""),680.3)</f>
        <v>680.3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IFERROR(__xludf.DUMMYFUNCTION("""COMPUTED_VALUE"""),681.65)</f>
        <v>681.65</v>
      </c>
      <c r="C107" s="16">
        <f>IFERROR(__xludf.DUMMYFUNCTION("""COMPUTED_VALUE"""),45895.6458333333)</f>
        <v>45895.6458333333</v>
      </c>
      <c r="D107" s="17">
        <f>IFERROR(__xludf.DUMMYFUNCTION("""COMPUTED_VALUE"""),686.8)</f>
        <v>686.8</v>
      </c>
      <c r="E107" s="16">
        <f>IFERROR(__xludf.DUMMYFUNCTION("""COMPUTED_VALUE"""),45895.6458333333)</f>
        <v>45895.6458333333</v>
      </c>
      <c r="F107" s="17">
        <f>IFERROR(__xludf.DUMMYFUNCTION("""COMPUTED_VALUE"""),7496633)</f>
        <v>7496633</v>
      </c>
      <c r="G107" s="16">
        <f>IFERROR(__xludf.DUMMYFUNCTION("""COMPUTED_VALUE"""),45895.6458333333)</f>
        <v>45895.6458333333</v>
      </c>
      <c r="H107" s="17">
        <f>IFERROR(__xludf.DUMMYFUNCTION("""COMPUTED_VALUE"""),686.95)</f>
        <v>686.95</v>
      </c>
      <c r="I107" s="16">
        <f>IFERROR(__xludf.DUMMYFUNCTION("""COMPUTED_VALUE"""),45895.6458333333)</f>
        <v>45895.6458333333</v>
      </c>
      <c r="J107" s="17">
        <f>IFERROR(__xludf.DUMMYFUNCTION("""COMPUTED_VALUE"""),678.3)</f>
        <v>678.3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IFERROR(__xludf.DUMMYFUNCTION("""COMPUTED_VALUE"""),675.45)</f>
        <v>675.45</v>
      </c>
      <c r="C108" s="16">
        <f>IFERROR(__xludf.DUMMYFUNCTION("""COMPUTED_VALUE"""),45897.6458333333)</f>
        <v>45897.6458333333</v>
      </c>
      <c r="D108" s="17">
        <f>IFERROR(__xludf.DUMMYFUNCTION("""COMPUTED_VALUE"""),679.9)</f>
        <v>679.9</v>
      </c>
      <c r="E108" s="16">
        <f>IFERROR(__xludf.DUMMYFUNCTION("""COMPUTED_VALUE"""),45897.6458333333)</f>
        <v>45897.6458333333</v>
      </c>
      <c r="F108" s="17">
        <f>IFERROR(__xludf.DUMMYFUNCTION("""COMPUTED_VALUE"""),9466045)</f>
        <v>9466045</v>
      </c>
      <c r="G108" s="16">
        <f>IFERROR(__xludf.DUMMYFUNCTION("""COMPUTED_VALUE"""),45897.6458333333)</f>
        <v>45897.6458333333</v>
      </c>
      <c r="H108" s="17">
        <f>IFERROR(__xludf.DUMMYFUNCTION("""COMPUTED_VALUE"""),680.9)</f>
        <v>680.9</v>
      </c>
      <c r="I108" s="16">
        <f>IFERROR(__xludf.DUMMYFUNCTION("""COMPUTED_VALUE"""),45897.6458333333)</f>
        <v>45897.6458333333</v>
      </c>
      <c r="J108" s="17">
        <f>IFERROR(__xludf.DUMMYFUNCTION("""COMPUTED_VALUE"""),667.8)</f>
        <v>667.8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IFERROR(__xludf.DUMMYFUNCTION("""COMPUTED_VALUE"""),669)</f>
        <v>669</v>
      </c>
      <c r="C109" s="16">
        <f>IFERROR(__xludf.DUMMYFUNCTION("""COMPUTED_VALUE"""),45898.6458333333)</f>
        <v>45898.6458333333</v>
      </c>
      <c r="D109" s="17">
        <f>IFERROR(__xludf.DUMMYFUNCTION("""COMPUTED_VALUE"""),675.45)</f>
        <v>675.45</v>
      </c>
      <c r="E109" s="16">
        <f>IFERROR(__xludf.DUMMYFUNCTION("""COMPUTED_VALUE"""),45898.6458333333)</f>
        <v>45898.6458333333</v>
      </c>
      <c r="F109" s="17">
        <f>IFERROR(__xludf.DUMMYFUNCTION("""COMPUTED_VALUE"""),8201917)</f>
        <v>8201917</v>
      </c>
      <c r="G109" s="16">
        <f>IFERROR(__xludf.DUMMYFUNCTION("""COMPUTED_VALUE"""),45898.6458333333)</f>
        <v>45898.6458333333</v>
      </c>
      <c r="H109" s="17">
        <f>IFERROR(__xludf.DUMMYFUNCTION("""COMPUTED_VALUE"""),681.15)</f>
        <v>681.15</v>
      </c>
      <c r="I109" s="16">
        <f>IFERROR(__xludf.DUMMYFUNCTION("""COMPUTED_VALUE"""),45898.6458333333)</f>
        <v>45898.6458333333</v>
      </c>
      <c r="J109" s="17">
        <f>IFERROR(__xludf.DUMMYFUNCTION("""COMPUTED_VALUE"""),668)</f>
        <v>668</v>
      </c>
      <c r="K109" s="3">
        <f t="shared" si="2"/>
        <v>0</v>
      </c>
      <c r="L109" s="3">
        <f t="shared" si="3"/>
        <v>669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IFERROR(__xludf.DUMMYFUNCTION("""COMPUTED_VALUE"""),690.15)</f>
        <v>690.15</v>
      </c>
      <c r="C110" s="16">
        <f>IFERROR(__xludf.DUMMYFUNCTION("""COMPUTED_VALUE"""),45901.6458333333)</f>
        <v>45901.6458333333</v>
      </c>
      <c r="D110" s="17">
        <f>IFERROR(__xludf.DUMMYFUNCTION("""COMPUTED_VALUE"""),671.3)</f>
        <v>671.3</v>
      </c>
      <c r="E110" s="16">
        <f>IFERROR(__xludf.DUMMYFUNCTION("""COMPUTED_VALUE"""),45901.6458333333)</f>
        <v>45901.6458333333</v>
      </c>
      <c r="F110" s="17">
        <f>IFERROR(__xludf.DUMMYFUNCTION("""COMPUTED_VALUE"""),7644947)</f>
        <v>7644947</v>
      </c>
      <c r="G110" s="16">
        <f>IFERROR(__xludf.DUMMYFUNCTION("""COMPUTED_VALUE"""),45901.6458333333)</f>
        <v>45901.6458333333</v>
      </c>
      <c r="H110" s="17">
        <f>IFERROR(__xludf.DUMMYFUNCTION("""COMPUTED_VALUE"""),691.5)</f>
        <v>691.5</v>
      </c>
      <c r="I110" s="16">
        <f>IFERROR(__xludf.DUMMYFUNCTION("""COMPUTED_VALUE"""),45901.6458333333)</f>
        <v>45901.6458333333</v>
      </c>
      <c r="J110" s="17">
        <f>IFERROR(__xludf.DUMMYFUNCTION("""COMPUTED_VALUE"""),670.55)</f>
        <v>670.55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IFERROR(__xludf.DUMMYFUNCTION("""COMPUTED_VALUE"""),684.4)</f>
        <v>684.4</v>
      </c>
      <c r="C111" s="16">
        <f>IFERROR(__xludf.DUMMYFUNCTION("""COMPUTED_VALUE"""),45902.6458333333)</f>
        <v>45902.6458333333</v>
      </c>
      <c r="D111" s="17">
        <f>IFERROR(__xludf.DUMMYFUNCTION("""COMPUTED_VALUE"""),690.15)</f>
        <v>690.15</v>
      </c>
      <c r="E111" s="16">
        <f>IFERROR(__xludf.DUMMYFUNCTION("""COMPUTED_VALUE"""),45902.6458333333)</f>
        <v>45902.6458333333</v>
      </c>
      <c r="F111" s="17">
        <f>IFERROR(__xludf.DUMMYFUNCTION("""COMPUTED_VALUE"""),7854694)</f>
        <v>7854694</v>
      </c>
      <c r="G111" s="16">
        <f>IFERROR(__xludf.DUMMYFUNCTION("""COMPUTED_VALUE"""),45902.6458333333)</f>
        <v>45902.6458333333</v>
      </c>
      <c r="H111" s="17">
        <f>IFERROR(__xludf.DUMMYFUNCTION("""COMPUTED_VALUE"""),694.65)</f>
        <v>694.65</v>
      </c>
      <c r="I111" s="16">
        <f>IFERROR(__xludf.DUMMYFUNCTION("""COMPUTED_VALUE"""),45902.6458333333)</f>
        <v>45902.6458333333</v>
      </c>
      <c r="J111" s="17">
        <f>IFERROR(__xludf.DUMMYFUNCTION("""COMPUTED_VALUE"""),681.65)</f>
        <v>681.65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IFERROR(__xludf.DUMMYFUNCTION("""COMPUTED_VALUE"""),692.05)</f>
        <v>692.05</v>
      </c>
      <c r="C112" s="16">
        <f>IFERROR(__xludf.DUMMYFUNCTION("""COMPUTED_VALUE"""),45903.6458333333)</f>
        <v>45903.6458333333</v>
      </c>
      <c r="D112" s="17">
        <f>IFERROR(__xludf.DUMMYFUNCTION("""COMPUTED_VALUE"""),688)</f>
        <v>688</v>
      </c>
      <c r="E112" s="16">
        <f>IFERROR(__xludf.DUMMYFUNCTION("""COMPUTED_VALUE"""),45903.6458333333)</f>
        <v>45903.6458333333</v>
      </c>
      <c r="F112" s="17">
        <f>IFERROR(__xludf.DUMMYFUNCTION("""COMPUTED_VALUE"""),6094892)</f>
        <v>6094892</v>
      </c>
      <c r="G112" s="16">
        <f>IFERROR(__xludf.DUMMYFUNCTION("""COMPUTED_VALUE"""),45903.6458333333)</f>
        <v>45903.6458333333</v>
      </c>
      <c r="H112" s="17">
        <f>IFERROR(__xludf.DUMMYFUNCTION("""COMPUTED_VALUE"""),693.45)</f>
        <v>693.45</v>
      </c>
      <c r="I112" s="16">
        <f>IFERROR(__xludf.DUMMYFUNCTION("""COMPUTED_VALUE"""),45903.6458333333)</f>
        <v>45903.6458333333</v>
      </c>
      <c r="J112" s="17">
        <f>IFERROR(__xludf.DUMMYFUNCTION("""COMPUTED_VALUE"""),685)</f>
        <v>685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IFERROR(__xludf.DUMMYFUNCTION("""COMPUTED_VALUE"""),687.5)</f>
        <v>687.5</v>
      </c>
      <c r="C113" s="16">
        <f>IFERROR(__xludf.DUMMYFUNCTION("""COMPUTED_VALUE"""),45904.6458333333)</f>
        <v>45904.6458333333</v>
      </c>
      <c r="D113" s="17">
        <f>IFERROR(__xludf.DUMMYFUNCTION("""COMPUTED_VALUE"""),705.9)</f>
        <v>705.9</v>
      </c>
      <c r="E113" s="16">
        <f>IFERROR(__xludf.DUMMYFUNCTION("""COMPUTED_VALUE"""),45904.6458333333)</f>
        <v>45904.6458333333</v>
      </c>
      <c r="F113" s="17">
        <f>IFERROR(__xludf.DUMMYFUNCTION("""COMPUTED_VALUE"""),13439418)</f>
        <v>13439418</v>
      </c>
      <c r="G113" s="16">
        <f>IFERROR(__xludf.DUMMYFUNCTION("""COMPUTED_VALUE"""),45904.6458333333)</f>
        <v>45904.6458333333</v>
      </c>
      <c r="H113" s="17">
        <f>IFERROR(__xludf.DUMMYFUNCTION("""COMPUTED_VALUE"""),706.35)</f>
        <v>706.35</v>
      </c>
      <c r="I113" s="16">
        <f>IFERROR(__xludf.DUMMYFUNCTION("""COMPUTED_VALUE"""),45904.6458333333)</f>
        <v>45904.6458333333</v>
      </c>
      <c r="J113" s="17">
        <f>IFERROR(__xludf.DUMMYFUNCTION("""COMPUTED_VALUE"""),685.7)</f>
        <v>685.7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IFERROR(__xludf.DUMMYFUNCTION("""COMPUTED_VALUE"""),691.7)</f>
        <v>691.7</v>
      </c>
      <c r="C114" s="16">
        <f>IFERROR(__xludf.DUMMYFUNCTION("""COMPUTED_VALUE"""),45905.6458333333)</f>
        <v>45905.6458333333</v>
      </c>
      <c r="D114" s="17">
        <f>IFERROR(__xludf.DUMMYFUNCTION("""COMPUTED_VALUE"""),690.9)</f>
        <v>690.9</v>
      </c>
      <c r="E114" s="16">
        <f>IFERROR(__xludf.DUMMYFUNCTION("""COMPUTED_VALUE"""),45905.6458333333)</f>
        <v>45905.6458333333</v>
      </c>
      <c r="F114" s="17">
        <f>IFERROR(__xludf.DUMMYFUNCTION("""COMPUTED_VALUE"""),6692975)</f>
        <v>6692975</v>
      </c>
      <c r="G114" s="16">
        <f>IFERROR(__xludf.DUMMYFUNCTION("""COMPUTED_VALUE"""),45905.6458333333)</f>
        <v>45905.6458333333</v>
      </c>
      <c r="H114" s="17">
        <f>IFERROR(__xludf.DUMMYFUNCTION("""COMPUTED_VALUE"""),697.35)</f>
        <v>697.35</v>
      </c>
      <c r="I114" s="16">
        <f>IFERROR(__xludf.DUMMYFUNCTION("""COMPUTED_VALUE"""),45905.6458333333)</f>
        <v>45905.6458333333</v>
      </c>
      <c r="J114" s="17">
        <f>IFERROR(__xludf.DUMMYFUNCTION("""COMPUTED_VALUE"""),683.1)</f>
        <v>683.1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IFERROR(__xludf.DUMMYFUNCTION("""COMPUTED_VALUE"""),719.5)</f>
        <v>719.5</v>
      </c>
      <c r="C115" s="16">
        <f>IFERROR(__xludf.DUMMYFUNCTION("""COMPUTED_VALUE"""),45908.6458333333)</f>
        <v>45908.6458333333</v>
      </c>
      <c r="D115" s="17">
        <f>IFERROR(__xludf.DUMMYFUNCTION("""COMPUTED_VALUE"""),695)</f>
        <v>695</v>
      </c>
      <c r="E115" s="16">
        <f>IFERROR(__xludf.DUMMYFUNCTION("""COMPUTED_VALUE"""),45908.6458333333)</f>
        <v>45908.6458333333</v>
      </c>
      <c r="F115" s="17">
        <f>IFERROR(__xludf.DUMMYFUNCTION("""COMPUTED_VALUE"""),20531027)</f>
        <v>20531027</v>
      </c>
      <c r="G115" s="16">
        <f>IFERROR(__xludf.DUMMYFUNCTION("""COMPUTED_VALUE"""),45908.6458333333)</f>
        <v>45908.6458333333</v>
      </c>
      <c r="H115" s="17">
        <f>IFERROR(__xludf.DUMMYFUNCTION("""COMPUTED_VALUE"""),722)</f>
        <v>722</v>
      </c>
      <c r="I115" s="16">
        <f>IFERROR(__xludf.DUMMYFUNCTION("""COMPUTED_VALUE"""),45908.6458333333)</f>
        <v>45908.6458333333</v>
      </c>
      <c r="J115" s="17">
        <f>IFERROR(__xludf.DUMMYFUNCTION("""COMPUTED_VALUE"""),694.05)</f>
        <v>694.05</v>
      </c>
      <c r="K115" s="3">
        <f t="shared" si="2"/>
        <v>719.5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IFERROR(__xludf.DUMMYFUNCTION("""COMPUTED_VALUE"""),715.55)</f>
        <v>715.55</v>
      </c>
      <c r="C116" s="16">
        <f>IFERROR(__xludf.DUMMYFUNCTION("""COMPUTED_VALUE"""),45909.6458333333)</f>
        <v>45909.6458333333</v>
      </c>
      <c r="D116" s="17">
        <f>IFERROR(__xludf.DUMMYFUNCTION("""COMPUTED_VALUE"""),721.15)</f>
        <v>721.15</v>
      </c>
      <c r="E116" s="16">
        <f>IFERROR(__xludf.DUMMYFUNCTION("""COMPUTED_VALUE"""),45909.6458333333)</f>
        <v>45909.6458333333</v>
      </c>
      <c r="F116" s="17">
        <f>IFERROR(__xludf.DUMMYFUNCTION("""COMPUTED_VALUE"""),9409853)</f>
        <v>9409853</v>
      </c>
      <c r="G116" s="16">
        <f>IFERROR(__xludf.DUMMYFUNCTION("""COMPUTED_VALUE"""),45909.6458333333)</f>
        <v>45909.6458333333</v>
      </c>
      <c r="H116" s="17">
        <f>IFERROR(__xludf.DUMMYFUNCTION("""COMPUTED_VALUE"""),722.25)</f>
        <v>722.25</v>
      </c>
      <c r="I116" s="16">
        <f>IFERROR(__xludf.DUMMYFUNCTION("""COMPUTED_VALUE"""),45909.6458333333)</f>
        <v>45909.6458333333</v>
      </c>
      <c r="J116" s="17">
        <f>IFERROR(__xludf.DUMMYFUNCTION("""COMPUTED_VALUE"""),713.5)</f>
        <v>713.5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IFERROR(__xludf.DUMMYFUNCTION("""COMPUTED_VALUE"""),709.1)</f>
        <v>709.1</v>
      </c>
      <c r="C117" s="16">
        <f>IFERROR(__xludf.DUMMYFUNCTION("""COMPUTED_VALUE"""),45910.6458333333)</f>
        <v>45910.6458333333</v>
      </c>
      <c r="D117" s="17">
        <f>IFERROR(__xludf.DUMMYFUNCTION("""COMPUTED_VALUE"""),717.65)</f>
        <v>717.65</v>
      </c>
      <c r="E117" s="16">
        <f>IFERROR(__xludf.DUMMYFUNCTION("""COMPUTED_VALUE"""),45910.6458333333)</f>
        <v>45910.6458333333</v>
      </c>
      <c r="F117" s="17">
        <f>IFERROR(__xludf.DUMMYFUNCTION("""COMPUTED_VALUE"""),10363493)</f>
        <v>10363493</v>
      </c>
      <c r="G117" s="16">
        <f>IFERROR(__xludf.DUMMYFUNCTION("""COMPUTED_VALUE"""),45910.6458333333)</f>
        <v>45910.6458333333</v>
      </c>
      <c r="H117" s="17">
        <f>IFERROR(__xludf.DUMMYFUNCTION("""COMPUTED_VALUE"""),720)</f>
        <v>720</v>
      </c>
      <c r="I117" s="16">
        <f>IFERROR(__xludf.DUMMYFUNCTION("""COMPUTED_VALUE"""),45910.6458333333)</f>
        <v>45910.6458333333</v>
      </c>
      <c r="J117" s="17">
        <f>IFERROR(__xludf.DUMMYFUNCTION("""COMPUTED_VALUE"""),702.7)</f>
        <v>702.7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IFERROR(__xludf.DUMMYFUNCTION("""COMPUTED_VALUE"""),705.85)</f>
        <v>705.85</v>
      </c>
      <c r="C118" s="16">
        <f>IFERROR(__xludf.DUMMYFUNCTION("""COMPUTED_VALUE"""),45911.6458333333)</f>
        <v>45911.6458333333</v>
      </c>
      <c r="D118" s="17">
        <f>IFERROR(__xludf.DUMMYFUNCTION("""COMPUTED_VALUE"""),710.2)</f>
        <v>710.2</v>
      </c>
      <c r="E118" s="16">
        <f>IFERROR(__xludf.DUMMYFUNCTION("""COMPUTED_VALUE"""),45911.6458333333)</f>
        <v>45911.6458333333</v>
      </c>
      <c r="F118" s="17">
        <f>IFERROR(__xludf.DUMMYFUNCTION("""COMPUTED_VALUE"""),5530633)</f>
        <v>5530633</v>
      </c>
      <c r="G118" s="16">
        <f>IFERROR(__xludf.DUMMYFUNCTION("""COMPUTED_VALUE"""),45911.6458333333)</f>
        <v>45911.6458333333</v>
      </c>
      <c r="H118" s="17">
        <f>IFERROR(__xludf.DUMMYFUNCTION("""COMPUTED_VALUE"""),712)</f>
        <v>712</v>
      </c>
      <c r="I118" s="16">
        <f>IFERROR(__xludf.DUMMYFUNCTION("""COMPUTED_VALUE"""),45911.6458333333)</f>
        <v>45911.6458333333</v>
      </c>
      <c r="J118" s="17">
        <f>IFERROR(__xludf.DUMMYFUNCTION("""COMPUTED_VALUE"""),704.55)</f>
        <v>704.55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IFERROR(__xludf.DUMMYFUNCTION("""COMPUTED_VALUE"""),715.25)</f>
        <v>715.25</v>
      </c>
      <c r="C119" s="16">
        <f>IFERROR(__xludf.DUMMYFUNCTION("""COMPUTED_VALUE"""),45912.6458333333)</f>
        <v>45912.6458333333</v>
      </c>
      <c r="D119" s="17">
        <f>IFERROR(__xludf.DUMMYFUNCTION("""COMPUTED_VALUE"""),708)</f>
        <v>708</v>
      </c>
      <c r="E119" s="16">
        <f>IFERROR(__xludf.DUMMYFUNCTION("""COMPUTED_VALUE"""),45912.6458333333)</f>
        <v>45912.6458333333</v>
      </c>
      <c r="F119" s="17">
        <f>IFERROR(__xludf.DUMMYFUNCTION("""COMPUTED_VALUE"""),8252416)</f>
        <v>8252416</v>
      </c>
      <c r="G119" s="16">
        <f>IFERROR(__xludf.DUMMYFUNCTION("""COMPUTED_VALUE"""),45912.6458333333)</f>
        <v>45912.6458333333</v>
      </c>
      <c r="H119" s="17">
        <f>IFERROR(__xludf.DUMMYFUNCTION("""COMPUTED_VALUE"""),718.9)</f>
        <v>718.9</v>
      </c>
      <c r="I119" s="16">
        <f>IFERROR(__xludf.DUMMYFUNCTION("""COMPUTED_VALUE"""),45912.6458333333)</f>
        <v>45912.6458333333</v>
      </c>
      <c r="J119" s="17">
        <f>IFERROR(__xludf.DUMMYFUNCTION("""COMPUTED_VALUE"""),707.35)</f>
        <v>707.35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IFERROR(__xludf.DUMMYFUNCTION("""COMPUTED_VALUE"""),712.9)</f>
        <v>712.9</v>
      </c>
      <c r="C120" s="16">
        <f>IFERROR(__xludf.DUMMYFUNCTION("""COMPUTED_VALUE"""),45915.6458333333)</f>
        <v>45915.6458333333</v>
      </c>
      <c r="D120" s="17">
        <f>IFERROR(__xludf.DUMMYFUNCTION("""COMPUTED_VALUE"""),715.3)</f>
        <v>715.3</v>
      </c>
      <c r="E120" s="16">
        <f>IFERROR(__xludf.DUMMYFUNCTION("""COMPUTED_VALUE"""),45915.6458333333)</f>
        <v>45915.6458333333</v>
      </c>
      <c r="F120" s="17">
        <f>IFERROR(__xludf.DUMMYFUNCTION("""COMPUTED_VALUE"""),6007524)</f>
        <v>6007524</v>
      </c>
      <c r="G120" s="16">
        <f>IFERROR(__xludf.DUMMYFUNCTION("""COMPUTED_VALUE"""),45915.6458333333)</f>
        <v>45915.6458333333</v>
      </c>
      <c r="H120" s="17">
        <f>IFERROR(__xludf.DUMMYFUNCTION("""COMPUTED_VALUE"""),721.95)</f>
        <v>721.95</v>
      </c>
      <c r="I120" s="16">
        <f>IFERROR(__xludf.DUMMYFUNCTION("""COMPUTED_VALUE"""),45915.6458333333)</f>
        <v>45915.6458333333</v>
      </c>
      <c r="J120" s="17">
        <f>IFERROR(__xludf.DUMMYFUNCTION("""COMPUTED_VALUE"""),711.55)</f>
        <v>711.55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IFERROR(__xludf.DUMMYFUNCTION("""COMPUTED_VALUE"""),713.25)</f>
        <v>713.25</v>
      </c>
      <c r="C121" s="16">
        <f>IFERROR(__xludf.DUMMYFUNCTION("""COMPUTED_VALUE"""),45916.6458333333)</f>
        <v>45916.6458333333</v>
      </c>
      <c r="D121" s="17">
        <f>IFERROR(__xludf.DUMMYFUNCTION("""COMPUTED_VALUE"""),715)</f>
        <v>715</v>
      </c>
      <c r="E121" s="16">
        <f>IFERROR(__xludf.DUMMYFUNCTION("""COMPUTED_VALUE"""),45916.6458333333)</f>
        <v>45916.6458333333</v>
      </c>
      <c r="F121" s="17">
        <f>IFERROR(__xludf.DUMMYFUNCTION("""COMPUTED_VALUE"""),9765743)</f>
        <v>9765743</v>
      </c>
      <c r="G121" s="16">
        <f>IFERROR(__xludf.DUMMYFUNCTION("""COMPUTED_VALUE"""),45916.6458333333)</f>
        <v>45916.6458333333</v>
      </c>
      <c r="H121" s="17">
        <f>IFERROR(__xludf.DUMMYFUNCTION("""COMPUTED_VALUE"""),719.7)</f>
        <v>719.7</v>
      </c>
      <c r="I121" s="16">
        <f>IFERROR(__xludf.DUMMYFUNCTION("""COMPUTED_VALUE"""),45916.6458333333)</f>
        <v>45916.6458333333</v>
      </c>
      <c r="J121" s="17">
        <f>IFERROR(__xludf.DUMMYFUNCTION("""COMPUTED_VALUE"""),705)</f>
        <v>705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IFERROR(__xludf.DUMMYFUNCTION("""COMPUTED_VALUE"""),719.15)</f>
        <v>719.15</v>
      </c>
      <c r="C122" s="16">
        <f>IFERROR(__xludf.DUMMYFUNCTION("""COMPUTED_VALUE"""),45917.6458333333)</f>
        <v>45917.6458333333</v>
      </c>
      <c r="D122" s="17">
        <f>IFERROR(__xludf.DUMMYFUNCTION("""COMPUTED_VALUE"""),715)</f>
        <v>715</v>
      </c>
      <c r="E122" s="16">
        <f>IFERROR(__xludf.DUMMYFUNCTION("""COMPUTED_VALUE"""),45917.6458333333)</f>
        <v>45917.6458333333</v>
      </c>
      <c r="F122" s="17">
        <f>IFERROR(__xludf.DUMMYFUNCTION("""COMPUTED_VALUE"""),11872451)</f>
        <v>11872451</v>
      </c>
      <c r="G122" s="16">
        <f>IFERROR(__xludf.DUMMYFUNCTION("""COMPUTED_VALUE"""),45917.6458333333)</f>
        <v>45917.6458333333</v>
      </c>
      <c r="H122" s="17">
        <f>IFERROR(__xludf.DUMMYFUNCTION("""COMPUTED_VALUE"""),722.95)</f>
        <v>722.95</v>
      </c>
      <c r="I122" s="16">
        <f>IFERROR(__xludf.DUMMYFUNCTION("""COMPUTED_VALUE"""),45917.6458333333)</f>
        <v>45917.6458333333</v>
      </c>
      <c r="J122" s="17">
        <f>IFERROR(__xludf.DUMMYFUNCTION("""COMPUTED_VALUE"""),714.3)</f>
        <v>714.3</v>
      </c>
      <c r="K122" s="3">
        <f t="shared" si="2"/>
        <v>719.15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IFERROR(__xludf.DUMMYFUNCTION("""COMPUTED_VALUE"""),711.2)</f>
        <v>711.2</v>
      </c>
      <c r="C123" s="16">
        <f>IFERROR(__xludf.DUMMYFUNCTION("""COMPUTED_VALUE"""),45918.6458333333)</f>
        <v>45918.6458333333</v>
      </c>
      <c r="D123" s="17">
        <f>IFERROR(__xludf.DUMMYFUNCTION("""COMPUTED_VALUE"""),722)</f>
        <v>722</v>
      </c>
      <c r="E123" s="16">
        <f>IFERROR(__xludf.DUMMYFUNCTION("""COMPUTED_VALUE"""),45918.6458333333)</f>
        <v>45918.6458333333</v>
      </c>
      <c r="F123" s="17">
        <f>IFERROR(__xludf.DUMMYFUNCTION("""COMPUTED_VALUE"""),12199357)</f>
        <v>12199357</v>
      </c>
      <c r="G123" s="16">
        <f>IFERROR(__xludf.DUMMYFUNCTION("""COMPUTED_VALUE"""),45918.6458333333)</f>
        <v>45918.6458333333</v>
      </c>
      <c r="H123" s="17">
        <f>IFERROR(__xludf.DUMMYFUNCTION("""COMPUTED_VALUE"""),725.25)</f>
        <v>725.25</v>
      </c>
      <c r="I123" s="16">
        <f>IFERROR(__xludf.DUMMYFUNCTION("""COMPUTED_VALUE"""),45918.6458333333)</f>
        <v>45918.6458333333</v>
      </c>
      <c r="J123" s="17">
        <f>IFERROR(__xludf.DUMMYFUNCTION("""COMPUTED_VALUE"""),707.6)</f>
        <v>707.6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IFERROR(__xludf.DUMMYFUNCTION("""COMPUTED_VALUE"""),707.45)</f>
        <v>707.45</v>
      </c>
      <c r="C124" s="16">
        <f>IFERROR(__xludf.DUMMYFUNCTION("""COMPUTED_VALUE"""),45919.6458333333)</f>
        <v>45919.6458333333</v>
      </c>
      <c r="D124" s="17">
        <f>IFERROR(__xludf.DUMMYFUNCTION("""COMPUTED_VALUE"""),713.5)</f>
        <v>713.5</v>
      </c>
      <c r="E124" s="16">
        <f>IFERROR(__xludf.DUMMYFUNCTION("""COMPUTED_VALUE"""),45919.6458333333)</f>
        <v>45919.6458333333</v>
      </c>
      <c r="F124" s="17">
        <f>IFERROR(__xludf.DUMMYFUNCTION("""COMPUTED_VALUE"""),12127319)</f>
        <v>12127319</v>
      </c>
      <c r="G124" s="16">
        <f>IFERROR(__xludf.DUMMYFUNCTION("""COMPUTED_VALUE"""),45919.6458333333)</f>
        <v>45919.6458333333</v>
      </c>
      <c r="H124" s="17">
        <f>IFERROR(__xludf.DUMMYFUNCTION("""COMPUTED_VALUE"""),713.5)</f>
        <v>713.5</v>
      </c>
      <c r="I124" s="16">
        <f>IFERROR(__xludf.DUMMYFUNCTION("""COMPUTED_VALUE"""),45919.6458333333)</f>
        <v>45919.6458333333</v>
      </c>
      <c r="J124" s="17">
        <f>IFERROR(__xludf.DUMMYFUNCTION("""COMPUTED_VALUE"""),704.95)</f>
        <v>704.95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IFERROR(__xludf.DUMMYFUNCTION("""COMPUTED_VALUE"""),696.25)</f>
        <v>696.25</v>
      </c>
      <c r="C125" s="16">
        <f>IFERROR(__xludf.DUMMYFUNCTION("""COMPUTED_VALUE"""),45922.6458333333)</f>
        <v>45922.6458333333</v>
      </c>
      <c r="D125" s="17">
        <f>IFERROR(__xludf.DUMMYFUNCTION("""COMPUTED_VALUE"""),709)</f>
        <v>709</v>
      </c>
      <c r="E125" s="16">
        <f>IFERROR(__xludf.DUMMYFUNCTION("""COMPUTED_VALUE"""),45922.6458333333)</f>
        <v>45922.6458333333</v>
      </c>
      <c r="F125" s="17">
        <f>IFERROR(__xludf.DUMMYFUNCTION("""COMPUTED_VALUE"""),9688597)</f>
        <v>9688597</v>
      </c>
      <c r="G125" s="16">
        <f>IFERROR(__xludf.DUMMYFUNCTION("""COMPUTED_VALUE"""),45922.6458333333)</f>
        <v>45922.6458333333</v>
      </c>
      <c r="H125" s="17">
        <f>IFERROR(__xludf.DUMMYFUNCTION("""COMPUTED_VALUE"""),712)</f>
        <v>712</v>
      </c>
      <c r="I125" s="16">
        <f>IFERROR(__xludf.DUMMYFUNCTION("""COMPUTED_VALUE"""),45922.6458333333)</f>
        <v>45922.6458333333</v>
      </c>
      <c r="J125" s="17">
        <f>IFERROR(__xludf.DUMMYFUNCTION("""COMPUTED_VALUE"""),694.85)</f>
        <v>694.85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IFERROR(__xludf.DUMMYFUNCTION("""COMPUTED_VALUE"""),701.35)</f>
        <v>701.35</v>
      </c>
      <c r="C126" s="16">
        <f>IFERROR(__xludf.DUMMYFUNCTION("""COMPUTED_VALUE"""),45923.6458333333)</f>
        <v>45923.6458333333</v>
      </c>
      <c r="D126" s="17">
        <f>IFERROR(__xludf.DUMMYFUNCTION("""COMPUTED_VALUE"""),701.8)</f>
        <v>701.8</v>
      </c>
      <c r="E126" s="16">
        <f>IFERROR(__xludf.DUMMYFUNCTION("""COMPUTED_VALUE"""),45923.6458333333)</f>
        <v>45923.6458333333</v>
      </c>
      <c r="F126" s="17">
        <f>IFERROR(__xludf.DUMMYFUNCTION("""COMPUTED_VALUE"""),11904667)</f>
        <v>11904667</v>
      </c>
      <c r="G126" s="16">
        <f>IFERROR(__xludf.DUMMYFUNCTION("""COMPUTED_VALUE"""),45923.6458333333)</f>
        <v>45923.6458333333</v>
      </c>
      <c r="H126" s="17">
        <f>IFERROR(__xludf.DUMMYFUNCTION("""COMPUTED_VALUE"""),707.8)</f>
        <v>707.8</v>
      </c>
      <c r="I126" s="16">
        <f>IFERROR(__xludf.DUMMYFUNCTION("""COMPUTED_VALUE"""),45923.6458333333)</f>
        <v>45923.6458333333</v>
      </c>
      <c r="J126" s="17">
        <f>IFERROR(__xludf.DUMMYFUNCTION("""COMPUTED_VALUE"""),697)</f>
        <v>697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IFERROR(__xludf.DUMMYFUNCTION("""COMPUTED_VALUE"""),682.95)</f>
        <v>682.95</v>
      </c>
      <c r="C127" s="16">
        <f>IFERROR(__xludf.DUMMYFUNCTION("""COMPUTED_VALUE"""),45924.6458333333)</f>
        <v>45924.6458333333</v>
      </c>
      <c r="D127" s="17">
        <f>IFERROR(__xludf.DUMMYFUNCTION("""COMPUTED_VALUE"""),700.5)</f>
        <v>700.5</v>
      </c>
      <c r="E127" s="16">
        <f>IFERROR(__xludf.DUMMYFUNCTION("""COMPUTED_VALUE"""),45924.6458333333)</f>
        <v>45924.6458333333</v>
      </c>
      <c r="F127" s="17">
        <f>IFERROR(__xludf.DUMMYFUNCTION("""COMPUTED_VALUE"""),13252215)</f>
        <v>13252215</v>
      </c>
      <c r="G127" s="16">
        <f>IFERROR(__xludf.DUMMYFUNCTION("""COMPUTED_VALUE"""),45924.6458333333)</f>
        <v>45924.6458333333</v>
      </c>
      <c r="H127" s="17">
        <f>IFERROR(__xludf.DUMMYFUNCTION("""COMPUTED_VALUE"""),703.3)</f>
        <v>703.3</v>
      </c>
      <c r="I127" s="16">
        <f>IFERROR(__xludf.DUMMYFUNCTION("""COMPUTED_VALUE"""),45924.6458333333)</f>
        <v>45924.6458333333</v>
      </c>
      <c r="J127" s="17">
        <f>IFERROR(__xludf.DUMMYFUNCTION("""COMPUTED_VALUE"""),681.3)</f>
        <v>681.3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IFERROR(__xludf.DUMMYFUNCTION("""COMPUTED_VALUE"""),664.3)</f>
        <v>664.3</v>
      </c>
      <c r="C128" s="16">
        <f>IFERROR(__xludf.DUMMYFUNCTION("""COMPUTED_VALUE"""),45925.6458333333)</f>
        <v>45925.6458333333</v>
      </c>
      <c r="D128" s="17">
        <f>IFERROR(__xludf.DUMMYFUNCTION("""COMPUTED_VALUE"""),669.9)</f>
        <v>669.9</v>
      </c>
      <c r="E128" s="16">
        <f>IFERROR(__xludf.DUMMYFUNCTION("""COMPUTED_VALUE"""),45925.6458333333)</f>
        <v>45925.6458333333</v>
      </c>
      <c r="F128" s="17">
        <f>IFERROR(__xludf.DUMMYFUNCTION("""COMPUTED_VALUE"""),24687611)</f>
        <v>24687611</v>
      </c>
      <c r="G128" s="16">
        <f>IFERROR(__xludf.DUMMYFUNCTION("""COMPUTED_VALUE"""),45925.6458333333)</f>
        <v>45925.6458333333</v>
      </c>
      <c r="H128" s="17">
        <f>IFERROR(__xludf.DUMMYFUNCTION("""COMPUTED_VALUE"""),675)</f>
        <v>675</v>
      </c>
      <c r="I128" s="16">
        <f>IFERROR(__xludf.DUMMYFUNCTION("""COMPUTED_VALUE"""),45925.6458333333)</f>
        <v>45925.6458333333</v>
      </c>
      <c r="J128" s="17">
        <f>IFERROR(__xludf.DUMMYFUNCTION("""COMPUTED_VALUE"""),655.3)</f>
        <v>655.3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IFERROR(__xludf.DUMMYFUNCTION("""COMPUTED_VALUE"""),672.9)</f>
        <v>672.9</v>
      </c>
      <c r="C129" s="16">
        <f>IFERROR(__xludf.DUMMYFUNCTION("""COMPUTED_VALUE"""),45926.6458333333)</f>
        <v>45926.6458333333</v>
      </c>
      <c r="D129" s="17">
        <f>IFERROR(__xludf.DUMMYFUNCTION("""COMPUTED_VALUE"""),666)</f>
        <v>666</v>
      </c>
      <c r="E129" s="16">
        <f>IFERROR(__xludf.DUMMYFUNCTION("""COMPUTED_VALUE"""),45926.6458333333)</f>
        <v>45926.6458333333</v>
      </c>
      <c r="F129" s="17">
        <f>IFERROR(__xludf.DUMMYFUNCTION("""COMPUTED_VALUE"""),15780434)</f>
        <v>15780434</v>
      </c>
      <c r="G129" s="16">
        <f>IFERROR(__xludf.DUMMYFUNCTION("""COMPUTED_VALUE"""),45926.6458333333)</f>
        <v>45926.6458333333</v>
      </c>
      <c r="H129" s="17">
        <f>IFERROR(__xludf.DUMMYFUNCTION("""COMPUTED_VALUE"""),680.35)</f>
        <v>680.35</v>
      </c>
      <c r="I129" s="16">
        <f>IFERROR(__xludf.DUMMYFUNCTION("""COMPUTED_VALUE"""),45926.6458333333)</f>
        <v>45926.6458333333</v>
      </c>
      <c r="J129" s="17">
        <f>IFERROR(__xludf.DUMMYFUNCTION("""COMPUTED_VALUE"""),662.35)</f>
        <v>662.35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84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""price"")"),167.35)</f>
        <v>167.35</v>
      </c>
      <c r="I3" s="22" t="s">
        <v>269</v>
      </c>
      <c r="J3" s="23">
        <f>IFERROR(__xludf.DUMMYFUNCTION("GOOGLEFINANCE(L3, ""volume"")"),20157657)</f>
        <v>20157657</v>
      </c>
      <c r="K3" s="24" t="s">
        <v>270</v>
      </c>
      <c r="L3" s="25" t="str">
        <f>Mastersheet!B38</f>
        <v>NSE:TATASTEEL</v>
      </c>
      <c r="M3" s="26">
        <f>IFERROR(__xludf.DUMMYFUNCTION("""COMPUTED_VALUE"""),45926.6458333333)</f>
        <v>45926.6458333333</v>
      </c>
      <c r="N3" s="27">
        <f>IFERROR(__xludf.DUMMYFUNCTION("""COMPUTED_VALUE"""),167.4)</f>
        <v>167.4</v>
      </c>
      <c r="O3" s="26">
        <f>IFERROR(__xludf.DUMMYFUNCTION("""COMPUTED_VALUE"""),45926.6458333333)</f>
        <v>45926.6458333333</v>
      </c>
      <c r="P3" s="27">
        <f>IFERROR(__xludf.DUMMYFUNCTION("""COMPUTED_VALUE"""),172.22)</f>
        <v>172.22</v>
      </c>
      <c r="Q3" s="16">
        <f>IFERROR(__xludf.DUMMYFUNCTION("""COMPUTED_VALUE"""),45926.6458333333)</f>
        <v>45926.6458333333</v>
      </c>
      <c r="R3" s="17">
        <f>IFERROR(__xludf.DUMMYFUNCTION("""COMPUTED_VALUE"""),173.37)</f>
        <v>173.37</v>
      </c>
      <c r="S3" s="16">
        <f>IFERROR(__xludf.DUMMYFUNCTION("""COMPUTED_VALUE"""),45926.6458333333)</f>
        <v>45926.6458333333</v>
      </c>
      <c r="T3" s="17">
        <f>IFERROR(__xludf.DUMMYFUNCTION("""COMPUTED_VALUE"""),167.2)</f>
        <v>167.2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IFERROR(__xludf.DUMMYFUNCTION("""COMPUTED_VALUE"""),155.42)</f>
        <v>155.42</v>
      </c>
      <c r="C5" s="14">
        <f>IFERROR(__xludf.DUMMYFUNCTION("""COMPUTED_VALUE"""),45743.6458333333)</f>
        <v>45743.6458333333</v>
      </c>
      <c r="D5" s="15">
        <f>IFERROR(__xludf.DUMMYFUNCTION("""COMPUTED_VALUE"""),154.8)</f>
        <v>154.8</v>
      </c>
      <c r="E5" s="14">
        <f>IFERROR(__xludf.DUMMYFUNCTION("""COMPUTED_VALUE"""),45743.6458333333)</f>
        <v>45743.6458333333</v>
      </c>
      <c r="F5" s="15">
        <f>IFERROR(__xludf.DUMMYFUNCTION("""COMPUTED_VALUE"""),25909068)</f>
        <v>25909068</v>
      </c>
      <c r="G5" s="14">
        <f>IFERROR(__xludf.DUMMYFUNCTION("""COMPUTED_VALUE"""),45743.6458333333)</f>
        <v>45743.6458333333</v>
      </c>
      <c r="H5" s="15">
        <f>IFERROR(__xludf.DUMMYFUNCTION("""COMPUTED_VALUE"""),156.1)</f>
        <v>156.1</v>
      </c>
      <c r="I5" s="30">
        <f>IFERROR(__xludf.DUMMYFUNCTION("""COMPUTED_VALUE"""),45743.6458333333)</f>
        <v>45743.6458333333</v>
      </c>
      <c r="J5" s="3">
        <f>IFERROR(__xludf.DUMMYFUNCTION("""COMPUTED_VALUE"""),154.2)</f>
        <v>154.2</v>
      </c>
      <c r="K5" s="5"/>
      <c r="L5" s="5"/>
      <c r="M5" s="3">
        <f t="array" ref="M5">INDEX(K11:K124,MATCH(SMALL(ABS(K11:K124-H3),1),ABS(K11:K124-H3),0))</f>
        <v>165.91</v>
      </c>
      <c r="N5" s="3">
        <f t="array" ref="N5">INDEX(K11:K124,MATCH(SMALL(ABS(K11:K124-H3),2),ABS(K11:K124-H3),0))</f>
        <v>163.48</v>
      </c>
      <c r="O5" s="3">
        <f t="array" ref="O5">INDEX(L11:L124,MATCH(SMALL(ABS(L11:L124-H3),1),ABS(L11:L124-H3),0))</f>
        <v>157.33</v>
      </c>
      <c r="P5" s="3">
        <f t="array" ref="P5">INDEX(L11:L124,MATCH(SMALL(ABS(L11:L124-H3),2),ABS(L11:L124-H3),0))</f>
        <v>155.3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159.04</v>
      </c>
      <c r="T5" s="17">
        <f ca="1">IF(AND(H3&gt;=Mastersheet!I3*S5,H3&lt;=Mastersheet!J3*S5),1,0)</f>
        <v>1</v>
      </c>
      <c r="U5" s="36">
        <f>(N3+P3)/2</f>
        <v>169.81</v>
      </c>
      <c r="V5" s="17">
        <f>(N3+P3+R3+T3)/4</f>
        <v>170.0475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1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IFERROR(__xludf.DUMMYFUNCTION("""COMPUTED_VALUE"""),154.24)</f>
        <v>154.24</v>
      </c>
      <c r="C6" s="16">
        <f>IFERROR(__xludf.DUMMYFUNCTION("""COMPUTED_VALUE"""),45744.6458333333)</f>
        <v>45744.6458333333</v>
      </c>
      <c r="D6" s="17">
        <f>IFERROR(__xludf.DUMMYFUNCTION("""COMPUTED_VALUE"""),155.38)</f>
        <v>155.38</v>
      </c>
      <c r="E6" s="16">
        <f>IFERROR(__xludf.DUMMYFUNCTION("""COMPUTED_VALUE"""),45744.6458333333)</f>
        <v>45744.6458333333</v>
      </c>
      <c r="F6" s="17">
        <f>IFERROR(__xludf.DUMMYFUNCTION("""COMPUTED_VALUE"""),24589315)</f>
        <v>24589315</v>
      </c>
      <c r="G6" s="16">
        <f>IFERROR(__xludf.DUMMYFUNCTION("""COMPUTED_VALUE"""),45744.6458333333)</f>
        <v>45744.6458333333</v>
      </c>
      <c r="H6" s="17">
        <f>IFERROR(__xludf.DUMMYFUNCTION("""COMPUTED_VALUE"""),156.91)</f>
        <v>156.91</v>
      </c>
      <c r="I6" s="16">
        <f>IFERROR(__xludf.DUMMYFUNCTION("""COMPUTED_VALUE"""),45744.6458333333)</f>
        <v>45744.6458333333</v>
      </c>
      <c r="J6" s="17">
        <f>IFERROR(__xludf.DUMMYFUNCTION("""COMPUTED_VALUE"""),153.37)</f>
        <v>153.37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IFERROR(__xludf.DUMMYFUNCTION("""COMPUTED_VALUE"""),153.12)</f>
        <v>153.12</v>
      </c>
      <c r="C7" s="16">
        <f>IFERROR(__xludf.DUMMYFUNCTION("""COMPUTED_VALUE"""),45748.6458333333)</f>
        <v>45748.6458333333</v>
      </c>
      <c r="D7" s="17">
        <f>IFERROR(__xludf.DUMMYFUNCTION("""COMPUTED_VALUE"""),152.07)</f>
        <v>152.07</v>
      </c>
      <c r="E7" s="16">
        <f>IFERROR(__xludf.DUMMYFUNCTION("""COMPUTED_VALUE"""),45748.6458333333)</f>
        <v>45748.6458333333</v>
      </c>
      <c r="F7" s="17">
        <f>IFERROR(__xludf.DUMMYFUNCTION("""COMPUTED_VALUE"""),29142122)</f>
        <v>29142122</v>
      </c>
      <c r="G7" s="16">
        <f>IFERROR(__xludf.DUMMYFUNCTION("""COMPUTED_VALUE"""),45748.6458333333)</f>
        <v>45748.6458333333</v>
      </c>
      <c r="H7" s="17">
        <f>IFERROR(__xludf.DUMMYFUNCTION("""COMPUTED_VALUE"""),155.34)</f>
        <v>155.34</v>
      </c>
      <c r="I7" s="16">
        <f>IFERROR(__xludf.DUMMYFUNCTION("""COMPUTED_VALUE"""),45748.6458333333)</f>
        <v>45748.6458333333</v>
      </c>
      <c r="J7" s="17">
        <f>IFERROR(__xludf.DUMMYFUNCTION("""COMPUTED_VALUE"""),152.07)</f>
        <v>152.07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IFERROR(__xludf.DUMMYFUNCTION("""COMPUTED_VALUE"""),154.69)</f>
        <v>154.69</v>
      </c>
      <c r="C8" s="16">
        <f>IFERROR(__xludf.DUMMYFUNCTION("""COMPUTED_VALUE"""),45749.6458333333)</f>
        <v>45749.6458333333</v>
      </c>
      <c r="D8" s="17">
        <f>IFERROR(__xludf.DUMMYFUNCTION("""COMPUTED_VALUE"""),154)</f>
        <v>154</v>
      </c>
      <c r="E8" s="16">
        <f>IFERROR(__xludf.DUMMYFUNCTION("""COMPUTED_VALUE"""),45749.6458333333)</f>
        <v>45749.6458333333</v>
      </c>
      <c r="F8" s="17">
        <f>IFERROR(__xludf.DUMMYFUNCTION("""COMPUTED_VALUE"""),24977582)</f>
        <v>24977582</v>
      </c>
      <c r="G8" s="16">
        <f>IFERROR(__xludf.DUMMYFUNCTION("""COMPUTED_VALUE"""),45749.6458333333)</f>
        <v>45749.6458333333</v>
      </c>
      <c r="H8" s="17">
        <f>IFERROR(__xludf.DUMMYFUNCTION("""COMPUTED_VALUE"""),156.25)</f>
        <v>156.25</v>
      </c>
      <c r="I8" s="16">
        <f>IFERROR(__xludf.DUMMYFUNCTION("""COMPUTED_VALUE"""),45749.6458333333)</f>
        <v>45749.6458333333</v>
      </c>
      <c r="J8" s="17">
        <f>IFERROR(__xludf.DUMMYFUNCTION("""COMPUTED_VALUE"""),152.27)</f>
        <v>152.27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IFERROR(__xludf.DUMMYFUNCTION("""COMPUTED_VALUE"""),153.62)</f>
        <v>153.62</v>
      </c>
      <c r="C9" s="16">
        <f>IFERROR(__xludf.DUMMYFUNCTION("""COMPUTED_VALUE"""),45750.6458333333)</f>
        <v>45750.6458333333</v>
      </c>
      <c r="D9" s="17">
        <f>IFERROR(__xludf.DUMMYFUNCTION("""COMPUTED_VALUE"""),153)</f>
        <v>153</v>
      </c>
      <c r="E9" s="16">
        <f>IFERROR(__xludf.DUMMYFUNCTION("""COMPUTED_VALUE"""),45750.6458333333)</f>
        <v>45750.6458333333</v>
      </c>
      <c r="F9" s="17">
        <f>IFERROR(__xludf.DUMMYFUNCTION("""COMPUTED_VALUE"""),15117526)</f>
        <v>15117526</v>
      </c>
      <c r="G9" s="16">
        <f>IFERROR(__xludf.DUMMYFUNCTION("""COMPUTED_VALUE"""),45750.6458333333)</f>
        <v>45750.6458333333</v>
      </c>
      <c r="H9" s="17">
        <f>IFERROR(__xludf.DUMMYFUNCTION("""COMPUTED_VALUE"""),155.97)</f>
        <v>155.97</v>
      </c>
      <c r="I9" s="16">
        <f>IFERROR(__xludf.DUMMYFUNCTION("""COMPUTED_VALUE"""),45750.6458333333)</f>
        <v>45750.6458333333</v>
      </c>
      <c r="J9" s="17">
        <f>IFERROR(__xludf.DUMMYFUNCTION("""COMPUTED_VALUE"""),152.6)</f>
        <v>152.6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IFERROR(__xludf.DUMMYFUNCTION("""COMPUTED_VALUE"""),140.39)</f>
        <v>140.39</v>
      </c>
      <c r="C10" s="16">
        <f>IFERROR(__xludf.DUMMYFUNCTION("""COMPUTED_VALUE"""),45751.6458333333)</f>
        <v>45751.6458333333</v>
      </c>
      <c r="D10" s="17">
        <f>IFERROR(__xludf.DUMMYFUNCTION("""COMPUTED_VALUE"""),152.62)</f>
        <v>152.62</v>
      </c>
      <c r="E10" s="16">
        <f>IFERROR(__xludf.DUMMYFUNCTION("""COMPUTED_VALUE"""),45751.6458333333)</f>
        <v>45751.6458333333</v>
      </c>
      <c r="F10" s="17">
        <f>IFERROR(__xludf.DUMMYFUNCTION("""COMPUTED_VALUE"""),80846143)</f>
        <v>80846143</v>
      </c>
      <c r="G10" s="16">
        <f>IFERROR(__xludf.DUMMYFUNCTION("""COMPUTED_VALUE"""),45751.6458333333)</f>
        <v>45751.6458333333</v>
      </c>
      <c r="H10" s="17">
        <f>IFERROR(__xludf.DUMMYFUNCTION("""COMPUTED_VALUE"""),152.99)</f>
        <v>152.99</v>
      </c>
      <c r="I10" s="16">
        <f>IFERROR(__xludf.DUMMYFUNCTION("""COMPUTED_VALUE"""),45751.6458333333)</f>
        <v>45751.6458333333</v>
      </c>
      <c r="J10" s="17">
        <f>IFERROR(__xludf.DUMMYFUNCTION("""COMPUTED_VALUE"""),140)</f>
        <v>140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IFERROR(__xludf.DUMMYFUNCTION("""COMPUTED_VALUE"""),129.48)</f>
        <v>129.48</v>
      </c>
      <c r="C11" s="16">
        <f>IFERROR(__xludf.DUMMYFUNCTION("""COMPUTED_VALUE"""),45754.6458333333)</f>
        <v>45754.6458333333</v>
      </c>
      <c r="D11" s="17">
        <f>IFERROR(__xludf.DUMMYFUNCTION("""COMPUTED_VALUE"""),128)</f>
        <v>128</v>
      </c>
      <c r="E11" s="16">
        <f>IFERROR(__xludf.DUMMYFUNCTION("""COMPUTED_VALUE"""),45754.6458333333)</f>
        <v>45754.6458333333</v>
      </c>
      <c r="F11" s="17">
        <f>IFERROR(__xludf.DUMMYFUNCTION("""COMPUTED_VALUE"""),121806340)</f>
        <v>121806340</v>
      </c>
      <c r="G11" s="16">
        <f>IFERROR(__xludf.DUMMYFUNCTION("""COMPUTED_VALUE"""),45754.6458333333)</f>
        <v>45754.6458333333</v>
      </c>
      <c r="H11" s="17">
        <f>IFERROR(__xludf.DUMMYFUNCTION("""COMPUTED_VALUE"""),130.35)</f>
        <v>130.35</v>
      </c>
      <c r="I11" s="16">
        <f>IFERROR(__xludf.DUMMYFUNCTION("""COMPUTED_VALUE"""),45754.6458333333)</f>
        <v>45754.6458333333</v>
      </c>
      <c r="J11" s="17">
        <f>IFERROR(__xludf.DUMMYFUNCTION("""COMPUTED_VALUE"""),125.33)</f>
        <v>125.33</v>
      </c>
      <c r="K11" s="3">
        <f t="shared" ref="K11:K125" si="2">IF(B11=MAX(B5:B17),B11,0)</f>
        <v>0</v>
      </c>
      <c r="L11" s="3">
        <f t="shared" ref="L11:L125" si="3">IF(B11=MIN(B5:B17),B11,0)</f>
        <v>0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IFERROR(__xludf.DUMMYFUNCTION("""COMPUTED_VALUE"""),130.28)</f>
        <v>130.28</v>
      </c>
      <c r="C12" s="16">
        <f>IFERROR(__xludf.DUMMYFUNCTION("""COMPUTED_VALUE"""),45755.6458333333)</f>
        <v>45755.6458333333</v>
      </c>
      <c r="D12" s="17">
        <f>IFERROR(__xludf.DUMMYFUNCTION("""COMPUTED_VALUE"""),134.89)</f>
        <v>134.89</v>
      </c>
      <c r="E12" s="16">
        <f>IFERROR(__xludf.DUMMYFUNCTION("""COMPUTED_VALUE"""),45755.6458333333)</f>
        <v>45755.6458333333</v>
      </c>
      <c r="F12" s="17">
        <f>IFERROR(__xludf.DUMMYFUNCTION("""COMPUTED_VALUE"""),68999181)</f>
        <v>68999181</v>
      </c>
      <c r="G12" s="16">
        <f>IFERROR(__xludf.DUMMYFUNCTION("""COMPUTED_VALUE"""),45755.6458333333)</f>
        <v>45755.6458333333</v>
      </c>
      <c r="H12" s="17">
        <f>IFERROR(__xludf.DUMMYFUNCTION("""COMPUTED_VALUE"""),136.2)</f>
        <v>136.2</v>
      </c>
      <c r="I12" s="16">
        <f>IFERROR(__xludf.DUMMYFUNCTION("""COMPUTED_VALUE"""),45755.6458333333)</f>
        <v>45755.6458333333</v>
      </c>
      <c r="J12" s="17">
        <f>IFERROR(__xludf.DUMMYFUNCTION("""COMPUTED_VALUE"""),128.02)</f>
        <v>128.02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IFERROR(__xludf.DUMMYFUNCTION("""COMPUTED_VALUE"""),127.18)</f>
        <v>127.18</v>
      </c>
      <c r="C13" s="16">
        <f>IFERROR(__xludf.DUMMYFUNCTION("""COMPUTED_VALUE"""),45756.6458333333)</f>
        <v>45756.6458333333</v>
      </c>
      <c r="D13" s="17">
        <f>IFERROR(__xludf.DUMMYFUNCTION("""COMPUTED_VALUE"""),130)</f>
        <v>130</v>
      </c>
      <c r="E13" s="16">
        <f>IFERROR(__xludf.DUMMYFUNCTION("""COMPUTED_VALUE"""),45756.6458333333)</f>
        <v>45756.6458333333</v>
      </c>
      <c r="F13" s="17">
        <f>IFERROR(__xludf.DUMMYFUNCTION("""COMPUTED_VALUE"""),73399980)</f>
        <v>73399980</v>
      </c>
      <c r="G13" s="16">
        <f>IFERROR(__xludf.DUMMYFUNCTION("""COMPUTED_VALUE"""),45756.6458333333)</f>
        <v>45756.6458333333</v>
      </c>
      <c r="H13" s="17">
        <f>IFERROR(__xludf.DUMMYFUNCTION("""COMPUTED_VALUE"""),130)</f>
        <v>130</v>
      </c>
      <c r="I13" s="16">
        <f>IFERROR(__xludf.DUMMYFUNCTION("""COMPUTED_VALUE"""),45756.6458333333)</f>
        <v>45756.6458333333</v>
      </c>
      <c r="J13" s="17">
        <f>IFERROR(__xludf.DUMMYFUNCTION("""COMPUTED_VALUE"""),125.3)</f>
        <v>125.3</v>
      </c>
      <c r="K13" s="3">
        <f t="shared" si="2"/>
        <v>0</v>
      </c>
      <c r="L13" s="3">
        <f t="shared" si="3"/>
        <v>127.18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IFERROR(__xludf.DUMMYFUNCTION("""COMPUTED_VALUE"""),133.42)</f>
        <v>133.42</v>
      </c>
      <c r="C14" s="16">
        <f>IFERROR(__xludf.DUMMYFUNCTION("""COMPUTED_VALUE"""),45758.6458333333)</f>
        <v>45758.6458333333</v>
      </c>
      <c r="D14" s="17">
        <f>IFERROR(__xludf.DUMMYFUNCTION("""COMPUTED_VALUE"""),134.67)</f>
        <v>134.67</v>
      </c>
      <c r="E14" s="16">
        <f>IFERROR(__xludf.DUMMYFUNCTION("""COMPUTED_VALUE"""),45758.6458333333)</f>
        <v>45758.6458333333</v>
      </c>
      <c r="F14" s="17">
        <f>IFERROR(__xludf.DUMMYFUNCTION("""COMPUTED_VALUE"""),73706472)</f>
        <v>73706472</v>
      </c>
      <c r="G14" s="16">
        <f>IFERROR(__xludf.DUMMYFUNCTION("""COMPUTED_VALUE"""),45758.6458333333)</f>
        <v>45758.6458333333</v>
      </c>
      <c r="H14" s="17">
        <f>IFERROR(__xludf.DUMMYFUNCTION("""COMPUTED_VALUE"""),134.7)</f>
        <v>134.7</v>
      </c>
      <c r="I14" s="16">
        <f>IFERROR(__xludf.DUMMYFUNCTION("""COMPUTED_VALUE"""),45758.6458333333)</f>
        <v>45758.6458333333</v>
      </c>
      <c r="J14" s="17">
        <f>IFERROR(__xludf.DUMMYFUNCTION("""COMPUTED_VALUE"""),130.49)</f>
        <v>130.49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IFERROR(__xludf.DUMMYFUNCTION("""COMPUTED_VALUE"""),136.41)</f>
        <v>136.41</v>
      </c>
      <c r="C15" s="16">
        <f>IFERROR(__xludf.DUMMYFUNCTION("""COMPUTED_VALUE"""),45762.6458333333)</f>
        <v>45762.6458333333</v>
      </c>
      <c r="D15" s="17">
        <f>IFERROR(__xludf.DUMMYFUNCTION("""COMPUTED_VALUE"""),135.6)</f>
        <v>135.6</v>
      </c>
      <c r="E15" s="16">
        <f>IFERROR(__xludf.DUMMYFUNCTION("""COMPUTED_VALUE"""),45762.6458333333)</f>
        <v>45762.6458333333</v>
      </c>
      <c r="F15" s="17">
        <f>IFERROR(__xludf.DUMMYFUNCTION("""COMPUTED_VALUE"""),38967608)</f>
        <v>38967608</v>
      </c>
      <c r="G15" s="16">
        <f>IFERROR(__xludf.DUMMYFUNCTION("""COMPUTED_VALUE"""),45762.6458333333)</f>
        <v>45762.6458333333</v>
      </c>
      <c r="H15" s="17">
        <f>IFERROR(__xludf.DUMMYFUNCTION("""COMPUTED_VALUE"""),137)</f>
        <v>137</v>
      </c>
      <c r="I15" s="16">
        <f>IFERROR(__xludf.DUMMYFUNCTION("""COMPUTED_VALUE"""),45762.6458333333)</f>
        <v>45762.6458333333</v>
      </c>
      <c r="J15" s="17">
        <f>IFERROR(__xludf.DUMMYFUNCTION("""COMPUTED_VALUE"""),134.84)</f>
        <v>134.84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IFERROR(__xludf.DUMMYFUNCTION("""COMPUTED_VALUE"""),136.97)</f>
        <v>136.97</v>
      </c>
      <c r="C16" s="16">
        <f>IFERROR(__xludf.DUMMYFUNCTION("""COMPUTED_VALUE"""),45763.6458333333)</f>
        <v>45763.6458333333</v>
      </c>
      <c r="D16" s="17">
        <f>IFERROR(__xludf.DUMMYFUNCTION("""COMPUTED_VALUE"""),136.41)</f>
        <v>136.41</v>
      </c>
      <c r="E16" s="16">
        <f>IFERROR(__xludf.DUMMYFUNCTION("""COMPUTED_VALUE"""),45763.6458333333)</f>
        <v>45763.6458333333</v>
      </c>
      <c r="F16" s="17">
        <f>IFERROR(__xludf.DUMMYFUNCTION("""COMPUTED_VALUE"""),42684087)</f>
        <v>42684087</v>
      </c>
      <c r="G16" s="16">
        <f>IFERROR(__xludf.DUMMYFUNCTION("""COMPUTED_VALUE"""),45763.6458333333)</f>
        <v>45763.6458333333</v>
      </c>
      <c r="H16" s="17">
        <f>IFERROR(__xludf.DUMMYFUNCTION("""COMPUTED_VALUE"""),137.6)</f>
        <v>137.6</v>
      </c>
      <c r="I16" s="16">
        <f>IFERROR(__xludf.DUMMYFUNCTION("""COMPUTED_VALUE"""),45763.6458333333)</f>
        <v>45763.6458333333</v>
      </c>
      <c r="J16" s="17">
        <f>IFERROR(__xludf.DUMMYFUNCTION("""COMPUTED_VALUE"""),134.62)</f>
        <v>134.62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IFERROR(__xludf.DUMMYFUNCTION("""COMPUTED_VALUE"""),137.14)</f>
        <v>137.14</v>
      </c>
      <c r="C17" s="16">
        <f>IFERROR(__xludf.DUMMYFUNCTION("""COMPUTED_VALUE"""),45764.6458333333)</f>
        <v>45764.6458333333</v>
      </c>
      <c r="D17" s="17">
        <f>IFERROR(__xludf.DUMMYFUNCTION("""COMPUTED_VALUE"""),134.4)</f>
        <v>134.4</v>
      </c>
      <c r="E17" s="16">
        <f>IFERROR(__xludf.DUMMYFUNCTION("""COMPUTED_VALUE"""),45764.6458333333)</f>
        <v>45764.6458333333</v>
      </c>
      <c r="F17" s="17">
        <f>IFERROR(__xludf.DUMMYFUNCTION("""COMPUTED_VALUE"""),62282856)</f>
        <v>62282856</v>
      </c>
      <c r="G17" s="16">
        <f>IFERROR(__xludf.DUMMYFUNCTION("""COMPUTED_VALUE"""),45764.6458333333)</f>
        <v>45764.6458333333</v>
      </c>
      <c r="H17" s="17">
        <f>IFERROR(__xludf.DUMMYFUNCTION("""COMPUTED_VALUE"""),137.96)</f>
        <v>137.96</v>
      </c>
      <c r="I17" s="16">
        <f>IFERROR(__xludf.DUMMYFUNCTION("""COMPUTED_VALUE"""),45764.6458333333)</f>
        <v>45764.6458333333</v>
      </c>
      <c r="J17" s="17">
        <f>IFERROR(__xludf.DUMMYFUNCTION("""COMPUTED_VALUE"""),133.7)</f>
        <v>133.7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IFERROR(__xludf.DUMMYFUNCTION("""COMPUTED_VALUE"""),139.18)</f>
        <v>139.18</v>
      </c>
      <c r="C18" s="16">
        <f>IFERROR(__xludf.DUMMYFUNCTION("""COMPUTED_VALUE"""),45768.6458333333)</f>
        <v>45768.6458333333</v>
      </c>
      <c r="D18" s="17">
        <f>IFERROR(__xludf.DUMMYFUNCTION("""COMPUTED_VALUE"""),137.65)</f>
        <v>137.65</v>
      </c>
      <c r="E18" s="16">
        <f>IFERROR(__xludf.DUMMYFUNCTION("""COMPUTED_VALUE"""),45768.6458333333)</f>
        <v>45768.6458333333</v>
      </c>
      <c r="F18" s="17">
        <f>IFERROR(__xludf.DUMMYFUNCTION("""COMPUTED_VALUE"""),26503486)</f>
        <v>26503486</v>
      </c>
      <c r="G18" s="16">
        <f>IFERROR(__xludf.DUMMYFUNCTION("""COMPUTED_VALUE"""),45768.6458333333)</f>
        <v>45768.6458333333</v>
      </c>
      <c r="H18" s="17">
        <f>IFERROR(__xludf.DUMMYFUNCTION("""COMPUTED_VALUE"""),140.3)</f>
        <v>140.3</v>
      </c>
      <c r="I18" s="16">
        <f>IFERROR(__xludf.DUMMYFUNCTION("""COMPUTED_VALUE"""),45768.6458333333)</f>
        <v>45768.6458333333</v>
      </c>
      <c r="J18" s="17">
        <f>IFERROR(__xludf.DUMMYFUNCTION("""COMPUTED_VALUE"""),137.05)</f>
        <v>137.05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IFERROR(__xludf.DUMMYFUNCTION("""COMPUTED_VALUE"""),138.16)</f>
        <v>138.16</v>
      </c>
      <c r="C19" s="16">
        <f>IFERROR(__xludf.DUMMYFUNCTION("""COMPUTED_VALUE"""),45769.6458333333)</f>
        <v>45769.6458333333</v>
      </c>
      <c r="D19" s="17">
        <f>IFERROR(__xludf.DUMMYFUNCTION("""COMPUTED_VALUE"""),142)</f>
        <v>142</v>
      </c>
      <c r="E19" s="16">
        <f>IFERROR(__xludf.DUMMYFUNCTION("""COMPUTED_VALUE"""),45769.6458333333)</f>
        <v>45769.6458333333</v>
      </c>
      <c r="F19" s="17">
        <f>IFERROR(__xludf.DUMMYFUNCTION("""COMPUTED_VALUE"""),58429662)</f>
        <v>58429662</v>
      </c>
      <c r="G19" s="16">
        <f>IFERROR(__xludf.DUMMYFUNCTION("""COMPUTED_VALUE"""),45769.6458333333)</f>
        <v>45769.6458333333</v>
      </c>
      <c r="H19" s="17">
        <f>IFERROR(__xludf.DUMMYFUNCTION("""COMPUTED_VALUE"""),142.84)</f>
        <v>142.84</v>
      </c>
      <c r="I19" s="16">
        <f>IFERROR(__xludf.DUMMYFUNCTION("""COMPUTED_VALUE"""),45769.6458333333)</f>
        <v>45769.6458333333</v>
      </c>
      <c r="J19" s="17">
        <f>IFERROR(__xludf.DUMMYFUNCTION("""COMPUTED_VALUE"""),137.7)</f>
        <v>137.7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IFERROR(__xludf.DUMMYFUNCTION("""COMPUTED_VALUE"""),141.16)</f>
        <v>141.16</v>
      </c>
      <c r="C20" s="16">
        <f>IFERROR(__xludf.DUMMYFUNCTION("""COMPUTED_VALUE"""),45770.6458333333)</f>
        <v>45770.6458333333</v>
      </c>
      <c r="D20" s="17">
        <f>IFERROR(__xludf.DUMMYFUNCTION("""COMPUTED_VALUE"""),139.39)</f>
        <v>139.39</v>
      </c>
      <c r="E20" s="16">
        <f>IFERROR(__xludf.DUMMYFUNCTION("""COMPUTED_VALUE"""),45770.6458333333)</f>
        <v>45770.6458333333</v>
      </c>
      <c r="F20" s="17">
        <f>IFERROR(__xludf.DUMMYFUNCTION("""COMPUTED_VALUE"""),37851304)</f>
        <v>37851304</v>
      </c>
      <c r="G20" s="16">
        <f>IFERROR(__xludf.DUMMYFUNCTION("""COMPUTED_VALUE"""),45770.6458333333)</f>
        <v>45770.6458333333</v>
      </c>
      <c r="H20" s="17">
        <f>IFERROR(__xludf.DUMMYFUNCTION("""COMPUTED_VALUE"""),141.5)</f>
        <v>141.5</v>
      </c>
      <c r="I20" s="16">
        <f>IFERROR(__xludf.DUMMYFUNCTION("""COMPUTED_VALUE"""),45770.6458333333)</f>
        <v>45770.6458333333</v>
      </c>
      <c r="J20" s="17">
        <f>IFERROR(__xludf.DUMMYFUNCTION("""COMPUTED_VALUE"""),137.32)</f>
        <v>137.32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IFERROR(__xludf.DUMMYFUNCTION("""COMPUTED_VALUE"""),141.52)</f>
        <v>141.52</v>
      </c>
      <c r="C21" s="16">
        <f>IFERROR(__xludf.DUMMYFUNCTION("""COMPUTED_VALUE"""),45771.6458333333)</f>
        <v>45771.6458333333</v>
      </c>
      <c r="D21" s="17">
        <f>IFERROR(__xludf.DUMMYFUNCTION("""COMPUTED_VALUE"""),140.7)</f>
        <v>140.7</v>
      </c>
      <c r="E21" s="16">
        <f>IFERROR(__xludf.DUMMYFUNCTION("""COMPUTED_VALUE"""),45771.6458333333)</f>
        <v>45771.6458333333</v>
      </c>
      <c r="F21" s="17">
        <f>IFERROR(__xludf.DUMMYFUNCTION("""COMPUTED_VALUE"""),23061444)</f>
        <v>23061444</v>
      </c>
      <c r="G21" s="16">
        <f>IFERROR(__xludf.DUMMYFUNCTION("""COMPUTED_VALUE"""),45771.6458333333)</f>
        <v>45771.6458333333</v>
      </c>
      <c r="H21" s="17">
        <f>IFERROR(__xludf.DUMMYFUNCTION("""COMPUTED_VALUE"""),141.88)</f>
        <v>141.88</v>
      </c>
      <c r="I21" s="16">
        <f>IFERROR(__xludf.DUMMYFUNCTION("""COMPUTED_VALUE"""),45771.6458333333)</f>
        <v>45771.6458333333</v>
      </c>
      <c r="J21" s="17">
        <f>IFERROR(__xludf.DUMMYFUNCTION("""COMPUTED_VALUE"""),140.28)</f>
        <v>140.28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IFERROR(__xludf.DUMMYFUNCTION("""COMPUTED_VALUE"""),138.85)</f>
        <v>138.85</v>
      </c>
      <c r="C22" s="16">
        <f>IFERROR(__xludf.DUMMYFUNCTION("""COMPUTED_VALUE"""),45772.6458333333)</f>
        <v>45772.6458333333</v>
      </c>
      <c r="D22" s="17">
        <f>IFERROR(__xludf.DUMMYFUNCTION("""COMPUTED_VALUE"""),142)</f>
        <v>142</v>
      </c>
      <c r="E22" s="16">
        <f>IFERROR(__xludf.DUMMYFUNCTION("""COMPUTED_VALUE"""),45772.6458333333)</f>
        <v>45772.6458333333</v>
      </c>
      <c r="F22" s="17">
        <f>IFERROR(__xludf.DUMMYFUNCTION("""COMPUTED_VALUE"""),37764696)</f>
        <v>37764696</v>
      </c>
      <c r="G22" s="16">
        <f>IFERROR(__xludf.DUMMYFUNCTION("""COMPUTED_VALUE"""),45772.6458333333)</f>
        <v>45772.6458333333</v>
      </c>
      <c r="H22" s="17">
        <f>IFERROR(__xludf.DUMMYFUNCTION("""COMPUTED_VALUE"""),143.45)</f>
        <v>143.45</v>
      </c>
      <c r="I22" s="16">
        <f>IFERROR(__xludf.DUMMYFUNCTION("""COMPUTED_VALUE"""),45772.6458333333)</f>
        <v>45772.6458333333</v>
      </c>
      <c r="J22" s="17">
        <f>IFERROR(__xludf.DUMMYFUNCTION("""COMPUTED_VALUE"""),138.02)</f>
        <v>138.02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IFERROR(__xludf.DUMMYFUNCTION("""COMPUTED_VALUE"""),142.07)</f>
        <v>142.07</v>
      </c>
      <c r="C23" s="16">
        <f>IFERROR(__xludf.DUMMYFUNCTION("""COMPUTED_VALUE"""),45775.6458333333)</f>
        <v>45775.6458333333</v>
      </c>
      <c r="D23" s="17">
        <f>IFERROR(__xludf.DUMMYFUNCTION("""COMPUTED_VALUE"""),138.54)</f>
        <v>138.54</v>
      </c>
      <c r="E23" s="16">
        <f>IFERROR(__xludf.DUMMYFUNCTION("""COMPUTED_VALUE"""),45775.6458333333)</f>
        <v>45775.6458333333</v>
      </c>
      <c r="F23" s="17">
        <f>IFERROR(__xludf.DUMMYFUNCTION("""COMPUTED_VALUE"""),26971589)</f>
        <v>26971589</v>
      </c>
      <c r="G23" s="16">
        <f>IFERROR(__xludf.DUMMYFUNCTION("""COMPUTED_VALUE"""),45775.6458333333)</f>
        <v>45775.6458333333</v>
      </c>
      <c r="H23" s="17">
        <f>IFERROR(__xludf.DUMMYFUNCTION("""COMPUTED_VALUE"""),142.6)</f>
        <v>142.6</v>
      </c>
      <c r="I23" s="16">
        <f>IFERROR(__xludf.DUMMYFUNCTION("""COMPUTED_VALUE"""),45775.6458333333)</f>
        <v>45775.6458333333</v>
      </c>
      <c r="J23" s="17">
        <f>IFERROR(__xludf.DUMMYFUNCTION("""COMPUTED_VALUE"""),138.38)</f>
        <v>138.38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IFERROR(__xludf.DUMMYFUNCTION("""COMPUTED_VALUE"""),141.5)</f>
        <v>141.5</v>
      </c>
      <c r="C24" s="16">
        <f>IFERROR(__xludf.DUMMYFUNCTION("""COMPUTED_VALUE"""),45776.6458333333)</f>
        <v>45776.6458333333</v>
      </c>
      <c r="D24" s="17">
        <f>IFERROR(__xludf.DUMMYFUNCTION("""COMPUTED_VALUE"""),142.07)</f>
        <v>142.07</v>
      </c>
      <c r="E24" s="16">
        <f>IFERROR(__xludf.DUMMYFUNCTION("""COMPUTED_VALUE"""),45776.6458333333)</f>
        <v>45776.6458333333</v>
      </c>
      <c r="F24" s="17">
        <f>IFERROR(__xludf.DUMMYFUNCTION("""COMPUTED_VALUE"""),25758449)</f>
        <v>25758449</v>
      </c>
      <c r="G24" s="16">
        <f>IFERROR(__xludf.DUMMYFUNCTION("""COMPUTED_VALUE"""),45776.6458333333)</f>
        <v>45776.6458333333</v>
      </c>
      <c r="H24" s="17">
        <f>IFERROR(__xludf.DUMMYFUNCTION("""COMPUTED_VALUE"""),143.3)</f>
        <v>143.3</v>
      </c>
      <c r="I24" s="16">
        <f>IFERROR(__xludf.DUMMYFUNCTION("""COMPUTED_VALUE"""),45776.6458333333)</f>
        <v>45776.6458333333</v>
      </c>
      <c r="J24" s="17">
        <f>IFERROR(__xludf.DUMMYFUNCTION("""COMPUTED_VALUE"""),140.92)</f>
        <v>140.92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IFERROR(__xludf.DUMMYFUNCTION("""COMPUTED_VALUE"""),140.08)</f>
        <v>140.08</v>
      </c>
      <c r="C25" s="16">
        <f>IFERROR(__xludf.DUMMYFUNCTION("""COMPUTED_VALUE"""),45777.6458333333)</f>
        <v>45777.6458333333</v>
      </c>
      <c r="D25" s="17">
        <f>IFERROR(__xludf.DUMMYFUNCTION("""COMPUTED_VALUE"""),141.45)</f>
        <v>141.45</v>
      </c>
      <c r="E25" s="16">
        <f>IFERROR(__xludf.DUMMYFUNCTION("""COMPUTED_VALUE"""),45777.6458333333)</f>
        <v>45777.6458333333</v>
      </c>
      <c r="F25" s="17">
        <f>IFERROR(__xludf.DUMMYFUNCTION("""COMPUTED_VALUE"""),29205042)</f>
        <v>29205042</v>
      </c>
      <c r="G25" s="16">
        <f>IFERROR(__xludf.DUMMYFUNCTION("""COMPUTED_VALUE"""),45777.6458333333)</f>
        <v>45777.6458333333</v>
      </c>
      <c r="H25" s="17">
        <f>IFERROR(__xludf.DUMMYFUNCTION("""COMPUTED_VALUE"""),141.56)</f>
        <v>141.56</v>
      </c>
      <c r="I25" s="16">
        <f>IFERROR(__xludf.DUMMYFUNCTION("""COMPUTED_VALUE"""),45777.6458333333)</f>
        <v>45777.6458333333</v>
      </c>
      <c r="J25" s="17">
        <f>IFERROR(__xludf.DUMMYFUNCTION("""COMPUTED_VALUE"""),138)</f>
        <v>138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IFERROR(__xludf.DUMMYFUNCTION("""COMPUTED_VALUE"""),141.18)</f>
        <v>141.18</v>
      </c>
      <c r="C26" s="16">
        <f>IFERROR(__xludf.DUMMYFUNCTION("""COMPUTED_VALUE"""),45779.6458333333)</f>
        <v>45779.6458333333</v>
      </c>
      <c r="D26" s="17">
        <f>IFERROR(__xludf.DUMMYFUNCTION("""COMPUTED_VALUE"""),140)</f>
        <v>140</v>
      </c>
      <c r="E26" s="16">
        <f>IFERROR(__xludf.DUMMYFUNCTION("""COMPUTED_VALUE"""),45779.6458333333)</f>
        <v>45779.6458333333</v>
      </c>
      <c r="F26" s="17">
        <f>IFERROR(__xludf.DUMMYFUNCTION("""COMPUTED_VALUE"""),29588258)</f>
        <v>29588258</v>
      </c>
      <c r="G26" s="16">
        <f>IFERROR(__xludf.DUMMYFUNCTION("""COMPUTED_VALUE"""),45779.6458333333)</f>
        <v>45779.6458333333</v>
      </c>
      <c r="H26" s="17">
        <f>IFERROR(__xludf.DUMMYFUNCTION("""COMPUTED_VALUE"""),143.1)</f>
        <v>143.1</v>
      </c>
      <c r="I26" s="16">
        <f>IFERROR(__xludf.DUMMYFUNCTION("""COMPUTED_VALUE"""),45779.6458333333)</f>
        <v>45779.6458333333</v>
      </c>
      <c r="J26" s="17">
        <f>IFERROR(__xludf.DUMMYFUNCTION("""COMPUTED_VALUE"""),139.45)</f>
        <v>139.45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IFERROR(__xludf.DUMMYFUNCTION("""COMPUTED_VALUE"""),142.08)</f>
        <v>142.08</v>
      </c>
      <c r="C27" s="16">
        <f>IFERROR(__xludf.DUMMYFUNCTION("""COMPUTED_VALUE"""),45782.6458333333)</f>
        <v>45782.6458333333</v>
      </c>
      <c r="D27" s="17">
        <f>IFERROR(__xludf.DUMMYFUNCTION("""COMPUTED_VALUE"""),141.57)</f>
        <v>141.57</v>
      </c>
      <c r="E27" s="16">
        <f>IFERROR(__xludf.DUMMYFUNCTION("""COMPUTED_VALUE"""),45782.6458333333)</f>
        <v>45782.6458333333</v>
      </c>
      <c r="F27" s="17">
        <f>IFERROR(__xludf.DUMMYFUNCTION("""COMPUTED_VALUE"""),17213477)</f>
        <v>17213477</v>
      </c>
      <c r="G27" s="16">
        <f>IFERROR(__xludf.DUMMYFUNCTION("""COMPUTED_VALUE"""),45782.6458333333)</f>
        <v>45782.6458333333</v>
      </c>
      <c r="H27" s="17">
        <f>IFERROR(__xludf.DUMMYFUNCTION("""COMPUTED_VALUE"""),142.7)</f>
        <v>142.7</v>
      </c>
      <c r="I27" s="16">
        <f>IFERROR(__xludf.DUMMYFUNCTION("""COMPUTED_VALUE"""),45782.6458333333)</f>
        <v>45782.6458333333</v>
      </c>
      <c r="J27" s="17">
        <f>IFERROR(__xludf.DUMMYFUNCTION("""COMPUTED_VALUE"""),141.2)</f>
        <v>141.2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IFERROR(__xludf.DUMMYFUNCTION("""COMPUTED_VALUE"""),144.44)</f>
        <v>144.44</v>
      </c>
      <c r="C28" s="16">
        <f>IFERROR(__xludf.DUMMYFUNCTION("""COMPUTED_VALUE"""),45783.6458333333)</f>
        <v>45783.6458333333</v>
      </c>
      <c r="D28" s="17">
        <f>IFERROR(__xludf.DUMMYFUNCTION("""COMPUTED_VALUE"""),142.08)</f>
        <v>142.08</v>
      </c>
      <c r="E28" s="16">
        <f>IFERROR(__xludf.DUMMYFUNCTION("""COMPUTED_VALUE"""),45783.6458333333)</f>
        <v>45783.6458333333</v>
      </c>
      <c r="F28" s="17">
        <f>IFERROR(__xludf.DUMMYFUNCTION("""COMPUTED_VALUE"""),42658262)</f>
        <v>42658262</v>
      </c>
      <c r="G28" s="16">
        <f>IFERROR(__xludf.DUMMYFUNCTION("""COMPUTED_VALUE"""),45783.6458333333)</f>
        <v>45783.6458333333</v>
      </c>
      <c r="H28" s="17">
        <f>IFERROR(__xludf.DUMMYFUNCTION("""COMPUTED_VALUE"""),145.4)</f>
        <v>145.4</v>
      </c>
      <c r="I28" s="16">
        <f>IFERROR(__xludf.DUMMYFUNCTION("""COMPUTED_VALUE"""),45783.6458333333)</f>
        <v>45783.6458333333</v>
      </c>
      <c r="J28" s="17">
        <f>IFERROR(__xludf.DUMMYFUNCTION("""COMPUTED_VALUE"""),141.54)</f>
        <v>141.54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IFERROR(__xludf.DUMMYFUNCTION("""COMPUTED_VALUE"""),146)</f>
        <v>146</v>
      </c>
      <c r="C29" s="16">
        <f>IFERROR(__xludf.DUMMYFUNCTION("""COMPUTED_VALUE"""),45784.6458333333)</f>
        <v>45784.6458333333</v>
      </c>
      <c r="D29" s="17">
        <f>IFERROR(__xludf.DUMMYFUNCTION("""COMPUTED_VALUE"""),142.2)</f>
        <v>142.2</v>
      </c>
      <c r="E29" s="16">
        <f>IFERROR(__xludf.DUMMYFUNCTION("""COMPUTED_VALUE"""),45784.6458333333)</f>
        <v>45784.6458333333</v>
      </c>
      <c r="F29" s="17">
        <f>IFERROR(__xludf.DUMMYFUNCTION("""COMPUTED_VALUE"""),34674594)</f>
        <v>34674594</v>
      </c>
      <c r="G29" s="16">
        <f>IFERROR(__xludf.DUMMYFUNCTION("""COMPUTED_VALUE"""),45784.6458333333)</f>
        <v>45784.6458333333</v>
      </c>
      <c r="H29" s="17">
        <f>IFERROR(__xludf.DUMMYFUNCTION("""COMPUTED_VALUE"""),146.95)</f>
        <v>146.95</v>
      </c>
      <c r="I29" s="16">
        <f>IFERROR(__xludf.DUMMYFUNCTION("""COMPUTED_VALUE"""),45784.6458333333)</f>
        <v>45784.6458333333</v>
      </c>
      <c r="J29" s="17">
        <f>IFERROR(__xludf.DUMMYFUNCTION("""COMPUTED_VALUE"""),142.2)</f>
        <v>142.2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IFERROR(__xludf.DUMMYFUNCTION("""COMPUTED_VALUE"""),143.67)</f>
        <v>143.67</v>
      </c>
      <c r="C30" s="16">
        <f>IFERROR(__xludf.DUMMYFUNCTION("""COMPUTED_VALUE"""),45785.6458333333)</f>
        <v>45785.6458333333</v>
      </c>
      <c r="D30" s="17">
        <f>IFERROR(__xludf.DUMMYFUNCTION("""COMPUTED_VALUE"""),146)</f>
        <v>146</v>
      </c>
      <c r="E30" s="16">
        <f>IFERROR(__xludf.DUMMYFUNCTION("""COMPUTED_VALUE"""),45785.6458333333)</f>
        <v>45785.6458333333</v>
      </c>
      <c r="F30" s="17">
        <f>IFERROR(__xludf.DUMMYFUNCTION("""COMPUTED_VALUE"""),29687927)</f>
        <v>29687927</v>
      </c>
      <c r="G30" s="16">
        <f>IFERROR(__xludf.DUMMYFUNCTION("""COMPUTED_VALUE"""),45785.6458333333)</f>
        <v>45785.6458333333</v>
      </c>
      <c r="H30" s="17">
        <f>IFERROR(__xludf.DUMMYFUNCTION("""COMPUTED_VALUE"""),146.66)</f>
        <v>146.66</v>
      </c>
      <c r="I30" s="16">
        <f>IFERROR(__xludf.DUMMYFUNCTION("""COMPUTED_VALUE"""),45785.6458333333)</f>
        <v>45785.6458333333</v>
      </c>
      <c r="J30" s="17">
        <f>IFERROR(__xludf.DUMMYFUNCTION("""COMPUTED_VALUE"""),142.85)</f>
        <v>142.85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IFERROR(__xludf.DUMMYFUNCTION("""COMPUTED_VALUE"""),142.78)</f>
        <v>142.78</v>
      </c>
      <c r="C31" s="16">
        <f>IFERROR(__xludf.DUMMYFUNCTION("""COMPUTED_VALUE"""),45786.6458333333)</f>
        <v>45786.6458333333</v>
      </c>
      <c r="D31" s="17">
        <f>IFERROR(__xludf.DUMMYFUNCTION("""COMPUTED_VALUE"""),140.99)</f>
        <v>140.99</v>
      </c>
      <c r="E31" s="16">
        <f>IFERROR(__xludf.DUMMYFUNCTION("""COMPUTED_VALUE"""),45786.6458333333)</f>
        <v>45786.6458333333</v>
      </c>
      <c r="F31" s="17">
        <f>IFERROR(__xludf.DUMMYFUNCTION("""COMPUTED_VALUE"""),21875453)</f>
        <v>21875453</v>
      </c>
      <c r="G31" s="16">
        <f>IFERROR(__xludf.DUMMYFUNCTION("""COMPUTED_VALUE"""),45786.6458333333)</f>
        <v>45786.6458333333</v>
      </c>
      <c r="H31" s="17">
        <f>IFERROR(__xludf.DUMMYFUNCTION("""COMPUTED_VALUE"""),143.27)</f>
        <v>143.27</v>
      </c>
      <c r="I31" s="16">
        <f>IFERROR(__xludf.DUMMYFUNCTION("""COMPUTED_VALUE"""),45786.6458333333)</f>
        <v>45786.6458333333</v>
      </c>
      <c r="J31" s="17">
        <f>IFERROR(__xludf.DUMMYFUNCTION("""COMPUTED_VALUE"""),140.51)</f>
        <v>140.51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IFERROR(__xludf.DUMMYFUNCTION("""COMPUTED_VALUE"""),151.63)</f>
        <v>151.63</v>
      </c>
      <c r="C32" s="16">
        <f>IFERROR(__xludf.DUMMYFUNCTION("""COMPUTED_VALUE"""),45789.6458333333)</f>
        <v>45789.6458333333</v>
      </c>
      <c r="D32" s="17">
        <f>IFERROR(__xludf.DUMMYFUNCTION("""COMPUTED_VALUE"""),145.61)</f>
        <v>145.61</v>
      </c>
      <c r="E32" s="16">
        <f>IFERROR(__xludf.DUMMYFUNCTION("""COMPUTED_VALUE"""),45789.6458333333)</f>
        <v>45789.6458333333</v>
      </c>
      <c r="F32" s="17">
        <f>IFERROR(__xludf.DUMMYFUNCTION("""COMPUTED_VALUE"""),47087413)</f>
        <v>47087413</v>
      </c>
      <c r="G32" s="16">
        <f>IFERROR(__xludf.DUMMYFUNCTION("""COMPUTED_VALUE"""),45789.6458333333)</f>
        <v>45789.6458333333</v>
      </c>
      <c r="H32" s="17">
        <f>IFERROR(__xludf.DUMMYFUNCTION("""COMPUTED_VALUE"""),151.95)</f>
        <v>151.95</v>
      </c>
      <c r="I32" s="16">
        <f>IFERROR(__xludf.DUMMYFUNCTION("""COMPUTED_VALUE"""),45789.6458333333)</f>
        <v>45789.6458333333</v>
      </c>
      <c r="J32" s="17">
        <f>IFERROR(__xludf.DUMMYFUNCTION("""COMPUTED_VALUE"""),144.5)</f>
        <v>144.5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IFERROR(__xludf.DUMMYFUNCTION("""COMPUTED_VALUE"""),149.43)</f>
        <v>149.43</v>
      </c>
      <c r="C33" s="16">
        <f>IFERROR(__xludf.DUMMYFUNCTION("""COMPUTED_VALUE"""),45790.6458333333)</f>
        <v>45790.6458333333</v>
      </c>
      <c r="D33" s="17">
        <f>IFERROR(__xludf.DUMMYFUNCTION("""COMPUTED_VALUE"""),152)</f>
        <v>152</v>
      </c>
      <c r="E33" s="16">
        <f>IFERROR(__xludf.DUMMYFUNCTION("""COMPUTED_VALUE"""),45790.6458333333)</f>
        <v>45790.6458333333</v>
      </c>
      <c r="F33" s="17">
        <f>IFERROR(__xludf.DUMMYFUNCTION("""COMPUTED_VALUE"""),54389876)</f>
        <v>54389876</v>
      </c>
      <c r="G33" s="16">
        <f>IFERROR(__xludf.DUMMYFUNCTION("""COMPUTED_VALUE"""),45790.6458333333)</f>
        <v>45790.6458333333</v>
      </c>
      <c r="H33" s="17">
        <f>IFERROR(__xludf.DUMMYFUNCTION("""COMPUTED_VALUE"""),152.99)</f>
        <v>152.99</v>
      </c>
      <c r="I33" s="16">
        <f>IFERROR(__xludf.DUMMYFUNCTION("""COMPUTED_VALUE"""),45790.6458333333)</f>
        <v>45790.6458333333</v>
      </c>
      <c r="J33" s="17">
        <f>IFERROR(__xludf.DUMMYFUNCTION("""COMPUTED_VALUE"""),149.01)</f>
        <v>149.01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IFERROR(__xludf.DUMMYFUNCTION("""COMPUTED_VALUE"""),155.31)</f>
        <v>155.31</v>
      </c>
      <c r="C34" s="16">
        <f>IFERROR(__xludf.DUMMYFUNCTION("""COMPUTED_VALUE"""),45791.6458333333)</f>
        <v>45791.6458333333</v>
      </c>
      <c r="D34" s="17">
        <f>IFERROR(__xludf.DUMMYFUNCTION("""COMPUTED_VALUE"""),151)</f>
        <v>151</v>
      </c>
      <c r="E34" s="16">
        <f>IFERROR(__xludf.DUMMYFUNCTION("""COMPUTED_VALUE"""),45791.6458333333)</f>
        <v>45791.6458333333</v>
      </c>
      <c r="F34" s="17">
        <f>IFERROR(__xludf.DUMMYFUNCTION("""COMPUTED_VALUE"""),60002060)</f>
        <v>60002060</v>
      </c>
      <c r="G34" s="16">
        <f>IFERROR(__xludf.DUMMYFUNCTION("""COMPUTED_VALUE"""),45791.6458333333)</f>
        <v>45791.6458333333</v>
      </c>
      <c r="H34" s="17">
        <f>IFERROR(__xludf.DUMMYFUNCTION("""COMPUTED_VALUE"""),157.15)</f>
        <v>157.15</v>
      </c>
      <c r="I34" s="16">
        <f>IFERROR(__xludf.DUMMYFUNCTION("""COMPUTED_VALUE"""),45791.6458333333)</f>
        <v>45791.6458333333</v>
      </c>
      <c r="J34" s="17">
        <f>IFERROR(__xludf.DUMMYFUNCTION("""COMPUTED_VALUE"""),151)</f>
        <v>151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IFERROR(__xludf.DUMMYFUNCTION("""COMPUTED_VALUE"""),157.35)</f>
        <v>157.35</v>
      </c>
      <c r="C35" s="16">
        <f>IFERROR(__xludf.DUMMYFUNCTION("""COMPUTED_VALUE"""),45792.6458333333)</f>
        <v>45792.6458333333</v>
      </c>
      <c r="D35" s="17">
        <f>IFERROR(__xludf.DUMMYFUNCTION("""COMPUTED_VALUE"""),155.5)</f>
        <v>155.5</v>
      </c>
      <c r="E35" s="16">
        <f>IFERROR(__xludf.DUMMYFUNCTION("""COMPUTED_VALUE"""),45792.6458333333)</f>
        <v>45792.6458333333</v>
      </c>
      <c r="F35" s="17">
        <f>IFERROR(__xludf.DUMMYFUNCTION("""COMPUTED_VALUE"""),57066105)</f>
        <v>57066105</v>
      </c>
      <c r="G35" s="16">
        <f>IFERROR(__xludf.DUMMYFUNCTION("""COMPUTED_VALUE"""),45792.6458333333)</f>
        <v>45792.6458333333</v>
      </c>
      <c r="H35" s="17">
        <f>IFERROR(__xludf.DUMMYFUNCTION("""COMPUTED_VALUE"""),157.84)</f>
        <v>157.84</v>
      </c>
      <c r="I35" s="16">
        <f>IFERROR(__xludf.DUMMYFUNCTION("""COMPUTED_VALUE"""),45792.6458333333)</f>
        <v>45792.6458333333</v>
      </c>
      <c r="J35" s="17">
        <f>IFERROR(__xludf.DUMMYFUNCTION("""COMPUTED_VALUE"""),154.3)</f>
        <v>154.3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IFERROR(__xludf.DUMMYFUNCTION("""COMPUTED_VALUE"""),157.55)</f>
        <v>157.55</v>
      </c>
      <c r="C36" s="16">
        <f>IFERROR(__xludf.DUMMYFUNCTION("""COMPUTED_VALUE"""),45793.6458333333)</f>
        <v>45793.6458333333</v>
      </c>
      <c r="D36" s="17">
        <f>IFERROR(__xludf.DUMMYFUNCTION("""COMPUTED_VALUE"""),157.35)</f>
        <v>157.35</v>
      </c>
      <c r="E36" s="16">
        <f>IFERROR(__xludf.DUMMYFUNCTION("""COMPUTED_VALUE"""),45793.6458333333)</f>
        <v>45793.6458333333</v>
      </c>
      <c r="F36" s="17">
        <f>IFERROR(__xludf.DUMMYFUNCTION("""COMPUTED_VALUE"""),22884754)</f>
        <v>22884754</v>
      </c>
      <c r="G36" s="16">
        <f>IFERROR(__xludf.DUMMYFUNCTION("""COMPUTED_VALUE"""),45793.6458333333)</f>
        <v>45793.6458333333</v>
      </c>
      <c r="H36" s="17">
        <f>IFERROR(__xludf.DUMMYFUNCTION("""COMPUTED_VALUE"""),158.15)</f>
        <v>158.15</v>
      </c>
      <c r="I36" s="16">
        <f>IFERROR(__xludf.DUMMYFUNCTION("""COMPUTED_VALUE"""),45793.6458333333)</f>
        <v>45793.6458333333</v>
      </c>
      <c r="J36" s="17">
        <f>IFERROR(__xludf.DUMMYFUNCTION("""COMPUTED_VALUE"""),157)</f>
        <v>157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IFERROR(__xludf.DUMMYFUNCTION("""COMPUTED_VALUE"""),157.57)</f>
        <v>157.57</v>
      </c>
      <c r="C37" s="16">
        <f>IFERROR(__xludf.DUMMYFUNCTION("""COMPUTED_VALUE"""),45796.6458333333)</f>
        <v>45796.6458333333</v>
      </c>
      <c r="D37" s="17">
        <f>IFERROR(__xludf.DUMMYFUNCTION("""COMPUTED_VALUE"""),158)</f>
        <v>158</v>
      </c>
      <c r="E37" s="16">
        <f>IFERROR(__xludf.DUMMYFUNCTION("""COMPUTED_VALUE"""),45796.6458333333)</f>
        <v>45796.6458333333</v>
      </c>
      <c r="F37" s="17">
        <f>IFERROR(__xludf.DUMMYFUNCTION("""COMPUTED_VALUE"""),21839582)</f>
        <v>21839582</v>
      </c>
      <c r="G37" s="16">
        <f>IFERROR(__xludf.DUMMYFUNCTION("""COMPUTED_VALUE"""),45796.6458333333)</f>
        <v>45796.6458333333</v>
      </c>
      <c r="H37" s="17">
        <f>IFERROR(__xludf.DUMMYFUNCTION("""COMPUTED_VALUE"""),158.14)</f>
        <v>158.14</v>
      </c>
      <c r="I37" s="16">
        <f>IFERROR(__xludf.DUMMYFUNCTION("""COMPUTED_VALUE"""),45796.6458333333)</f>
        <v>45796.6458333333</v>
      </c>
      <c r="J37" s="17">
        <f>IFERROR(__xludf.DUMMYFUNCTION("""COMPUTED_VALUE"""),156.13)</f>
        <v>156.13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IFERROR(__xludf.DUMMYFUNCTION("""COMPUTED_VALUE"""),158.69)</f>
        <v>158.69</v>
      </c>
      <c r="C38" s="16">
        <f>IFERROR(__xludf.DUMMYFUNCTION("""COMPUTED_VALUE"""),45797.6458333333)</f>
        <v>45797.6458333333</v>
      </c>
      <c r="D38" s="17">
        <f>IFERROR(__xludf.DUMMYFUNCTION("""COMPUTED_VALUE"""),158.35)</f>
        <v>158.35</v>
      </c>
      <c r="E38" s="16">
        <f>IFERROR(__xludf.DUMMYFUNCTION("""COMPUTED_VALUE"""),45797.6458333333)</f>
        <v>45797.6458333333</v>
      </c>
      <c r="F38" s="17">
        <f>IFERROR(__xludf.DUMMYFUNCTION("""COMPUTED_VALUE"""),58061639)</f>
        <v>58061639</v>
      </c>
      <c r="G38" s="16">
        <f>IFERROR(__xludf.DUMMYFUNCTION("""COMPUTED_VALUE"""),45797.6458333333)</f>
        <v>45797.6458333333</v>
      </c>
      <c r="H38" s="17">
        <f>IFERROR(__xludf.DUMMYFUNCTION("""COMPUTED_VALUE"""),162.1)</f>
        <v>162.1</v>
      </c>
      <c r="I38" s="16">
        <f>IFERROR(__xludf.DUMMYFUNCTION("""COMPUTED_VALUE"""),45797.6458333333)</f>
        <v>45797.6458333333</v>
      </c>
      <c r="J38" s="17">
        <f>IFERROR(__xludf.DUMMYFUNCTION("""COMPUTED_VALUE"""),158)</f>
        <v>158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IFERROR(__xludf.DUMMYFUNCTION("""COMPUTED_VALUE"""),161.64)</f>
        <v>161.64</v>
      </c>
      <c r="C39" s="16">
        <f>IFERROR(__xludf.DUMMYFUNCTION("""COMPUTED_VALUE"""),45798.6458333333)</f>
        <v>45798.6458333333</v>
      </c>
      <c r="D39" s="17">
        <f>IFERROR(__xludf.DUMMYFUNCTION("""COMPUTED_VALUE"""),159.45)</f>
        <v>159.45</v>
      </c>
      <c r="E39" s="16">
        <f>IFERROR(__xludf.DUMMYFUNCTION("""COMPUTED_VALUE"""),45798.6458333333)</f>
        <v>45798.6458333333</v>
      </c>
      <c r="F39" s="17">
        <f>IFERROR(__xludf.DUMMYFUNCTION("""COMPUTED_VALUE"""),36044599)</f>
        <v>36044599</v>
      </c>
      <c r="G39" s="16">
        <f>IFERROR(__xludf.DUMMYFUNCTION("""COMPUTED_VALUE"""),45798.6458333333)</f>
        <v>45798.6458333333</v>
      </c>
      <c r="H39" s="17">
        <f>IFERROR(__xludf.DUMMYFUNCTION("""COMPUTED_VALUE"""),161.85)</f>
        <v>161.85</v>
      </c>
      <c r="I39" s="16">
        <f>IFERROR(__xludf.DUMMYFUNCTION("""COMPUTED_VALUE"""),45798.6458333333)</f>
        <v>45798.6458333333</v>
      </c>
      <c r="J39" s="17">
        <f>IFERROR(__xludf.DUMMYFUNCTION("""COMPUTED_VALUE"""),158.53)</f>
        <v>158.53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IFERROR(__xludf.DUMMYFUNCTION("""COMPUTED_VALUE"""),161.29)</f>
        <v>161.29</v>
      </c>
      <c r="C40" s="16">
        <f>IFERROR(__xludf.DUMMYFUNCTION("""COMPUTED_VALUE"""),45799.6458333333)</f>
        <v>45799.6458333333</v>
      </c>
      <c r="D40" s="17">
        <f>IFERROR(__xludf.DUMMYFUNCTION("""COMPUTED_VALUE"""),160.98)</f>
        <v>160.98</v>
      </c>
      <c r="E40" s="16">
        <f>IFERROR(__xludf.DUMMYFUNCTION("""COMPUTED_VALUE"""),45799.6458333333)</f>
        <v>45799.6458333333</v>
      </c>
      <c r="F40" s="17">
        <f>IFERROR(__xludf.DUMMYFUNCTION("""COMPUTED_VALUE"""),60715453)</f>
        <v>60715453</v>
      </c>
      <c r="G40" s="16">
        <f>IFERROR(__xludf.DUMMYFUNCTION("""COMPUTED_VALUE"""),45799.6458333333)</f>
        <v>45799.6458333333</v>
      </c>
      <c r="H40" s="17">
        <f>IFERROR(__xludf.DUMMYFUNCTION("""COMPUTED_VALUE"""),163.6)</f>
        <v>163.6</v>
      </c>
      <c r="I40" s="16">
        <f>IFERROR(__xludf.DUMMYFUNCTION("""COMPUTED_VALUE"""),45799.6458333333)</f>
        <v>45799.6458333333</v>
      </c>
      <c r="J40" s="17">
        <f>IFERROR(__xludf.DUMMYFUNCTION("""COMPUTED_VALUE"""),160.36)</f>
        <v>160.36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IFERROR(__xludf.DUMMYFUNCTION("""COMPUTED_VALUE"""),162.97)</f>
        <v>162.97</v>
      </c>
      <c r="C41" s="16">
        <f>IFERROR(__xludf.DUMMYFUNCTION("""COMPUTED_VALUE"""),45800.6458333333)</f>
        <v>45800.6458333333</v>
      </c>
      <c r="D41" s="17">
        <f>IFERROR(__xludf.DUMMYFUNCTION("""COMPUTED_VALUE"""),161.6)</f>
        <v>161.6</v>
      </c>
      <c r="E41" s="16">
        <f>IFERROR(__xludf.DUMMYFUNCTION("""COMPUTED_VALUE"""),45800.6458333333)</f>
        <v>45800.6458333333</v>
      </c>
      <c r="F41" s="17">
        <f>IFERROR(__xludf.DUMMYFUNCTION("""COMPUTED_VALUE"""),29483665)</f>
        <v>29483665</v>
      </c>
      <c r="G41" s="16">
        <f>IFERROR(__xludf.DUMMYFUNCTION("""COMPUTED_VALUE"""),45800.6458333333)</f>
        <v>45800.6458333333</v>
      </c>
      <c r="H41" s="17">
        <f>IFERROR(__xludf.DUMMYFUNCTION("""COMPUTED_VALUE"""),163.53)</f>
        <v>163.53</v>
      </c>
      <c r="I41" s="16">
        <f>IFERROR(__xludf.DUMMYFUNCTION("""COMPUTED_VALUE"""),45800.6458333333)</f>
        <v>45800.6458333333</v>
      </c>
      <c r="J41" s="17">
        <f>IFERROR(__xludf.DUMMYFUNCTION("""COMPUTED_VALUE"""),161.5)</f>
        <v>161.5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IFERROR(__xludf.DUMMYFUNCTION("""COMPUTED_VALUE"""),162.51)</f>
        <v>162.51</v>
      </c>
      <c r="C42" s="16">
        <f>IFERROR(__xludf.DUMMYFUNCTION("""COMPUTED_VALUE"""),45803.6458333333)</f>
        <v>45803.6458333333</v>
      </c>
      <c r="D42" s="17">
        <f>IFERROR(__xludf.DUMMYFUNCTION("""COMPUTED_VALUE"""),163.1)</f>
        <v>163.1</v>
      </c>
      <c r="E42" s="16">
        <f>IFERROR(__xludf.DUMMYFUNCTION("""COMPUTED_VALUE"""),45803.6458333333)</f>
        <v>45803.6458333333</v>
      </c>
      <c r="F42" s="17">
        <f>IFERROR(__xludf.DUMMYFUNCTION("""COMPUTED_VALUE"""),25581584)</f>
        <v>25581584</v>
      </c>
      <c r="G42" s="16">
        <f>IFERROR(__xludf.DUMMYFUNCTION("""COMPUTED_VALUE"""),45803.6458333333)</f>
        <v>45803.6458333333</v>
      </c>
      <c r="H42" s="17">
        <f>IFERROR(__xludf.DUMMYFUNCTION("""COMPUTED_VALUE"""),165.55)</f>
        <v>165.55</v>
      </c>
      <c r="I42" s="16">
        <f>IFERROR(__xludf.DUMMYFUNCTION("""COMPUTED_VALUE"""),45803.6458333333)</f>
        <v>45803.6458333333</v>
      </c>
      <c r="J42" s="17">
        <f>IFERROR(__xludf.DUMMYFUNCTION("""COMPUTED_VALUE"""),162.05)</f>
        <v>162.05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IFERROR(__xludf.DUMMYFUNCTION("""COMPUTED_VALUE"""),161.66)</f>
        <v>161.66</v>
      </c>
      <c r="C43" s="16">
        <f>IFERROR(__xludf.DUMMYFUNCTION("""COMPUTED_VALUE"""),45804.6458333333)</f>
        <v>45804.6458333333</v>
      </c>
      <c r="D43" s="17">
        <f>IFERROR(__xludf.DUMMYFUNCTION("""COMPUTED_VALUE"""),162.51)</f>
        <v>162.51</v>
      </c>
      <c r="E43" s="16">
        <f>IFERROR(__xludf.DUMMYFUNCTION("""COMPUTED_VALUE"""),45804.6458333333)</f>
        <v>45804.6458333333</v>
      </c>
      <c r="F43" s="17">
        <f>IFERROR(__xludf.DUMMYFUNCTION("""COMPUTED_VALUE"""),23296776)</f>
        <v>23296776</v>
      </c>
      <c r="G43" s="16">
        <f>IFERROR(__xludf.DUMMYFUNCTION("""COMPUTED_VALUE"""),45804.6458333333)</f>
        <v>45804.6458333333</v>
      </c>
      <c r="H43" s="17">
        <f>IFERROR(__xludf.DUMMYFUNCTION("""COMPUTED_VALUE"""),163.9)</f>
        <v>163.9</v>
      </c>
      <c r="I43" s="16">
        <f>IFERROR(__xludf.DUMMYFUNCTION("""COMPUTED_VALUE"""),45804.6458333333)</f>
        <v>45804.6458333333</v>
      </c>
      <c r="J43" s="17">
        <f>IFERROR(__xludf.DUMMYFUNCTION("""COMPUTED_VALUE"""),160.62)</f>
        <v>160.62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IFERROR(__xludf.DUMMYFUNCTION("""COMPUTED_VALUE"""),161.24)</f>
        <v>161.24</v>
      </c>
      <c r="C44" s="16">
        <f>IFERROR(__xludf.DUMMYFUNCTION("""COMPUTED_VALUE"""),45805.6458333333)</f>
        <v>45805.6458333333</v>
      </c>
      <c r="D44" s="17">
        <f>IFERROR(__xludf.DUMMYFUNCTION("""COMPUTED_VALUE"""),162.4)</f>
        <v>162.4</v>
      </c>
      <c r="E44" s="16">
        <f>IFERROR(__xludf.DUMMYFUNCTION("""COMPUTED_VALUE"""),45805.6458333333)</f>
        <v>45805.6458333333</v>
      </c>
      <c r="F44" s="17">
        <f>IFERROR(__xludf.DUMMYFUNCTION("""COMPUTED_VALUE"""),13044476)</f>
        <v>13044476</v>
      </c>
      <c r="G44" s="16">
        <f>IFERROR(__xludf.DUMMYFUNCTION("""COMPUTED_VALUE"""),45805.6458333333)</f>
        <v>45805.6458333333</v>
      </c>
      <c r="H44" s="17">
        <f>IFERROR(__xludf.DUMMYFUNCTION("""COMPUTED_VALUE"""),162.69)</f>
        <v>162.69</v>
      </c>
      <c r="I44" s="16">
        <f>IFERROR(__xludf.DUMMYFUNCTION("""COMPUTED_VALUE"""),45805.6458333333)</f>
        <v>45805.6458333333</v>
      </c>
      <c r="J44" s="17">
        <f>IFERROR(__xludf.DUMMYFUNCTION("""COMPUTED_VALUE"""),160.65)</f>
        <v>160.65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IFERROR(__xludf.DUMMYFUNCTION("""COMPUTED_VALUE"""),163.12)</f>
        <v>163.12</v>
      </c>
      <c r="C45" s="16">
        <f>IFERROR(__xludf.DUMMYFUNCTION("""COMPUTED_VALUE"""),45806.6458333333)</f>
        <v>45806.6458333333</v>
      </c>
      <c r="D45" s="17">
        <f>IFERROR(__xludf.DUMMYFUNCTION("""COMPUTED_VALUE"""),162.19)</f>
        <v>162.19</v>
      </c>
      <c r="E45" s="16">
        <f>IFERROR(__xludf.DUMMYFUNCTION("""COMPUTED_VALUE"""),45806.6458333333)</f>
        <v>45806.6458333333</v>
      </c>
      <c r="F45" s="17">
        <f>IFERROR(__xludf.DUMMYFUNCTION("""COMPUTED_VALUE"""),26455081)</f>
        <v>26455081</v>
      </c>
      <c r="G45" s="16">
        <f>IFERROR(__xludf.DUMMYFUNCTION("""COMPUTED_VALUE"""),45806.6458333333)</f>
        <v>45806.6458333333</v>
      </c>
      <c r="H45" s="17">
        <f>IFERROR(__xludf.DUMMYFUNCTION("""COMPUTED_VALUE"""),163.95)</f>
        <v>163.95</v>
      </c>
      <c r="I45" s="16">
        <f>IFERROR(__xludf.DUMMYFUNCTION("""COMPUTED_VALUE"""),45806.6458333333)</f>
        <v>45806.6458333333</v>
      </c>
      <c r="J45" s="17">
        <f>IFERROR(__xludf.DUMMYFUNCTION("""COMPUTED_VALUE"""),161.5)</f>
        <v>161.5</v>
      </c>
      <c r="K45" s="3">
        <f t="shared" si="2"/>
        <v>163.12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IFERROR(__xludf.DUMMYFUNCTION("""COMPUTED_VALUE"""),161.02)</f>
        <v>161.02</v>
      </c>
      <c r="C46" s="16">
        <f>IFERROR(__xludf.DUMMYFUNCTION("""COMPUTED_VALUE"""),45807.6458333333)</f>
        <v>45807.6458333333</v>
      </c>
      <c r="D46" s="17">
        <f>IFERROR(__xludf.DUMMYFUNCTION("""COMPUTED_VALUE"""),163.11)</f>
        <v>163.11</v>
      </c>
      <c r="E46" s="16">
        <f>IFERROR(__xludf.DUMMYFUNCTION("""COMPUTED_VALUE"""),45807.6458333333)</f>
        <v>45807.6458333333</v>
      </c>
      <c r="F46" s="17">
        <f>IFERROR(__xludf.DUMMYFUNCTION("""COMPUTED_VALUE"""),32739340)</f>
        <v>32739340</v>
      </c>
      <c r="G46" s="16">
        <f>IFERROR(__xludf.DUMMYFUNCTION("""COMPUTED_VALUE"""),45807.6458333333)</f>
        <v>45807.6458333333</v>
      </c>
      <c r="H46" s="17">
        <f>IFERROR(__xludf.DUMMYFUNCTION("""COMPUTED_VALUE"""),163.89)</f>
        <v>163.89</v>
      </c>
      <c r="I46" s="16">
        <f>IFERROR(__xludf.DUMMYFUNCTION("""COMPUTED_VALUE"""),45807.6458333333)</f>
        <v>45807.6458333333</v>
      </c>
      <c r="J46" s="17">
        <f>IFERROR(__xludf.DUMMYFUNCTION("""COMPUTED_VALUE"""),160.51)</f>
        <v>160.51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IFERROR(__xludf.DUMMYFUNCTION("""COMPUTED_VALUE"""),159.04)</f>
        <v>159.04</v>
      </c>
      <c r="C47" s="16">
        <f>IFERROR(__xludf.DUMMYFUNCTION("""COMPUTED_VALUE"""),45810.6458333333)</f>
        <v>45810.6458333333</v>
      </c>
      <c r="D47" s="17">
        <f>IFERROR(__xludf.DUMMYFUNCTION("""COMPUTED_VALUE"""),159)</f>
        <v>159</v>
      </c>
      <c r="E47" s="16">
        <f>IFERROR(__xludf.DUMMYFUNCTION("""COMPUTED_VALUE"""),45810.6458333333)</f>
        <v>45810.6458333333</v>
      </c>
      <c r="F47" s="17">
        <f>IFERROR(__xludf.DUMMYFUNCTION("""COMPUTED_VALUE"""),31365564)</f>
        <v>31365564</v>
      </c>
      <c r="G47" s="16">
        <f>IFERROR(__xludf.DUMMYFUNCTION("""COMPUTED_VALUE"""),45810.6458333333)</f>
        <v>45810.6458333333</v>
      </c>
      <c r="H47" s="17">
        <f>IFERROR(__xludf.DUMMYFUNCTION("""COMPUTED_VALUE"""),160.12)</f>
        <v>160.12</v>
      </c>
      <c r="I47" s="16">
        <f>IFERROR(__xludf.DUMMYFUNCTION("""COMPUTED_VALUE"""),45810.6458333333)</f>
        <v>45810.6458333333</v>
      </c>
      <c r="J47" s="17">
        <f>IFERROR(__xludf.DUMMYFUNCTION("""COMPUTED_VALUE"""),157.3)</f>
        <v>157.3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IFERROR(__xludf.DUMMYFUNCTION("""COMPUTED_VALUE"""),157.35)</f>
        <v>157.35</v>
      </c>
      <c r="C48" s="16">
        <f>IFERROR(__xludf.DUMMYFUNCTION("""COMPUTED_VALUE"""),45811.6458333333)</f>
        <v>45811.6458333333</v>
      </c>
      <c r="D48" s="17">
        <f>IFERROR(__xludf.DUMMYFUNCTION("""COMPUTED_VALUE"""),159.04)</f>
        <v>159.04</v>
      </c>
      <c r="E48" s="16">
        <f>IFERROR(__xludf.DUMMYFUNCTION("""COMPUTED_VALUE"""),45811.6458333333)</f>
        <v>45811.6458333333</v>
      </c>
      <c r="F48" s="17">
        <f>IFERROR(__xludf.DUMMYFUNCTION("""COMPUTED_VALUE"""),28398746)</f>
        <v>28398746</v>
      </c>
      <c r="G48" s="16">
        <f>IFERROR(__xludf.DUMMYFUNCTION("""COMPUTED_VALUE"""),45811.6458333333)</f>
        <v>45811.6458333333</v>
      </c>
      <c r="H48" s="17">
        <f>IFERROR(__xludf.DUMMYFUNCTION("""COMPUTED_VALUE"""),160.65)</f>
        <v>160.65</v>
      </c>
      <c r="I48" s="16">
        <f>IFERROR(__xludf.DUMMYFUNCTION("""COMPUTED_VALUE"""),45811.6458333333)</f>
        <v>45811.6458333333</v>
      </c>
      <c r="J48" s="17">
        <f>IFERROR(__xludf.DUMMYFUNCTION("""COMPUTED_VALUE"""),157.17)</f>
        <v>157.17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IFERROR(__xludf.DUMMYFUNCTION("""COMPUTED_VALUE"""),158.18)</f>
        <v>158.18</v>
      </c>
      <c r="C49" s="16">
        <f>IFERROR(__xludf.DUMMYFUNCTION("""COMPUTED_VALUE"""),45812.6458333333)</f>
        <v>45812.6458333333</v>
      </c>
      <c r="D49" s="17">
        <f>IFERROR(__xludf.DUMMYFUNCTION("""COMPUTED_VALUE"""),157.5)</f>
        <v>157.5</v>
      </c>
      <c r="E49" s="16">
        <f>IFERROR(__xludf.DUMMYFUNCTION("""COMPUTED_VALUE"""),45812.6458333333)</f>
        <v>45812.6458333333</v>
      </c>
      <c r="F49" s="17">
        <f>IFERROR(__xludf.DUMMYFUNCTION("""COMPUTED_VALUE"""),16660138)</f>
        <v>16660138</v>
      </c>
      <c r="G49" s="16">
        <f>IFERROR(__xludf.DUMMYFUNCTION("""COMPUTED_VALUE"""),45812.6458333333)</f>
        <v>45812.6458333333</v>
      </c>
      <c r="H49" s="17">
        <f>IFERROR(__xludf.DUMMYFUNCTION("""COMPUTED_VALUE"""),158.98)</f>
        <v>158.98</v>
      </c>
      <c r="I49" s="16">
        <f>IFERROR(__xludf.DUMMYFUNCTION("""COMPUTED_VALUE"""),45812.6458333333)</f>
        <v>45812.6458333333</v>
      </c>
      <c r="J49" s="17">
        <f>IFERROR(__xludf.DUMMYFUNCTION("""COMPUTED_VALUE"""),156.81)</f>
        <v>156.81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IFERROR(__xludf.DUMMYFUNCTION("""COMPUTED_VALUE"""),157.97)</f>
        <v>157.97</v>
      </c>
      <c r="C50" s="16">
        <f>IFERROR(__xludf.DUMMYFUNCTION("""COMPUTED_VALUE"""),45813.6458333333)</f>
        <v>45813.6458333333</v>
      </c>
      <c r="D50" s="17">
        <f>IFERROR(__xludf.DUMMYFUNCTION("""COMPUTED_VALUE"""),158.86)</f>
        <v>158.86</v>
      </c>
      <c r="E50" s="16">
        <f>IFERROR(__xludf.DUMMYFUNCTION("""COMPUTED_VALUE"""),45813.6458333333)</f>
        <v>45813.6458333333</v>
      </c>
      <c r="F50" s="17">
        <f>IFERROR(__xludf.DUMMYFUNCTION("""COMPUTED_VALUE"""),23708504)</f>
        <v>23708504</v>
      </c>
      <c r="G50" s="16">
        <f>IFERROR(__xludf.DUMMYFUNCTION("""COMPUTED_VALUE"""),45813.6458333333)</f>
        <v>45813.6458333333</v>
      </c>
      <c r="H50" s="17">
        <f>IFERROR(__xludf.DUMMYFUNCTION("""COMPUTED_VALUE"""),159.09)</f>
        <v>159.09</v>
      </c>
      <c r="I50" s="16">
        <f>IFERROR(__xludf.DUMMYFUNCTION("""COMPUTED_VALUE"""),45813.6458333333)</f>
        <v>45813.6458333333</v>
      </c>
      <c r="J50" s="17">
        <f>IFERROR(__xludf.DUMMYFUNCTION("""COMPUTED_VALUE"""),157.05)</f>
        <v>157.05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IFERROR(__xludf.DUMMYFUNCTION("""COMPUTED_VALUE"""),157.49)</f>
        <v>157.49</v>
      </c>
      <c r="C51" s="16">
        <f>IFERROR(__xludf.DUMMYFUNCTION("""COMPUTED_VALUE"""),45814.6458333333)</f>
        <v>45814.6458333333</v>
      </c>
      <c r="D51" s="17">
        <f>IFERROR(__xludf.DUMMYFUNCTION("""COMPUTED_VALUE"""),155.7)</f>
        <v>155.7</v>
      </c>
      <c r="E51" s="16">
        <f>IFERROR(__xludf.DUMMYFUNCTION("""COMPUTED_VALUE"""),45814.6458333333)</f>
        <v>45814.6458333333</v>
      </c>
      <c r="F51" s="17">
        <f>IFERROR(__xludf.DUMMYFUNCTION("""COMPUTED_VALUE"""),25804151)</f>
        <v>25804151</v>
      </c>
      <c r="G51" s="16">
        <f>IFERROR(__xludf.DUMMYFUNCTION("""COMPUTED_VALUE"""),45814.6458333333)</f>
        <v>45814.6458333333</v>
      </c>
      <c r="H51" s="17">
        <f>IFERROR(__xludf.DUMMYFUNCTION("""COMPUTED_VALUE"""),157.88)</f>
        <v>157.88</v>
      </c>
      <c r="I51" s="16">
        <f>IFERROR(__xludf.DUMMYFUNCTION("""COMPUTED_VALUE"""),45814.6458333333)</f>
        <v>45814.6458333333</v>
      </c>
      <c r="J51" s="17">
        <f>IFERROR(__xludf.DUMMYFUNCTION("""COMPUTED_VALUE"""),154.25)</f>
        <v>154.25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IFERROR(__xludf.DUMMYFUNCTION("""COMPUTED_VALUE"""),157.32)</f>
        <v>157.32</v>
      </c>
      <c r="C52" s="16">
        <f>IFERROR(__xludf.DUMMYFUNCTION("""COMPUTED_VALUE"""),45817.6458333333)</f>
        <v>45817.6458333333</v>
      </c>
      <c r="D52" s="17">
        <f>IFERROR(__xludf.DUMMYFUNCTION("""COMPUTED_VALUE"""),157.69)</f>
        <v>157.69</v>
      </c>
      <c r="E52" s="16">
        <f>IFERROR(__xludf.DUMMYFUNCTION("""COMPUTED_VALUE"""),45817.6458333333)</f>
        <v>45817.6458333333</v>
      </c>
      <c r="F52" s="17">
        <f>IFERROR(__xludf.DUMMYFUNCTION("""COMPUTED_VALUE"""),15315437)</f>
        <v>15315437</v>
      </c>
      <c r="G52" s="16">
        <f>IFERROR(__xludf.DUMMYFUNCTION("""COMPUTED_VALUE"""),45817.6458333333)</f>
        <v>45817.6458333333</v>
      </c>
      <c r="H52" s="17">
        <f>IFERROR(__xludf.DUMMYFUNCTION("""COMPUTED_VALUE"""),158.2)</f>
        <v>158.2</v>
      </c>
      <c r="I52" s="16">
        <f>IFERROR(__xludf.DUMMYFUNCTION("""COMPUTED_VALUE"""),45817.6458333333)</f>
        <v>45817.6458333333</v>
      </c>
      <c r="J52" s="17">
        <f>IFERROR(__xludf.DUMMYFUNCTION("""COMPUTED_VALUE"""),156.82)</f>
        <v>156.82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IFERROR(__xludf.DUMMYFUNCTION("""COMPUTED_VALUE"""),155.68)</f>
        <v>155.68</v>
      </c>
      <c r="C53" s="16">
        <f>IFERROR(__xludf.DUMMYFUNCTION("""COMPUTED_VALUE"""),45818.6458333333)</f>
        <v>45818.6458333333</v>
      </c>
      <c r="D53" s="17">
        <f>IFERROR(__xludf.DUMMYFUNCTION("""COMPUTED_VALUE"""),158)</f>
        <v>158</v>
      </c>
      <c r="E53" s="16">
        <f>IFERROR(__xludf.DUMMYFUNCTION("""COMPUTED_VALUE"""),45818.6458333333)</f>
        <v>45818.6458333333</v>
      </c>
      <c r="F53" s="17">
        <f>IFERROR(__xludf.DUMMYFUNCTION("""COMPUTED_VALUE"""),22764080)</f>
        <v>22764080</v>
      </c>
      <c r="G53" s="16">
        <f>IFERROR(__xludf.DUMMYFUNCTION("""COMPUTED_VALUE"""),45818.6458333333)</f>
        <v>45818.6458333333</v>
      </c>
      <c r="H53" s="17">
        <f>IFERROR(__xludf.DUMMYFUNCTION("""COMPUTED_VALUE"""),159.3)</f>
        <v>159.3</v>
      </c>
      <c r="I53" s="16">
        <f>IFERROR(__xludf.DUMMYFUNCTION("""COMPUTED_VALUE"""),45818.6458333333)</f>
        <v>45818.6458333333</v>
      </c>
      <c r="J53" s="17">
        <f>IFERROR(__xludf.DUMMYFUNCTION("""COMPUTED_VALUE"""),155.5)</f>
        <v>155.5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IFERROR(__xludf.DUMMYFUNCTION("""COMPUTED_VALUE"""),156.41)</f>
        <v>156.41</v>
      </c>
      <c r="C54" s="16">
        <f>IFERROR(__xludf.DUMMYFUNCTION("""COMPUTED_VALUE"""),45819.6458333333)</f>
        <v>45819.6458333333</v>
      </c>
      <c r="D54" s="17">
        <f>IFERROR(__xludf.DUMMYFUNCTION("""COMPUTED_VALUE"""),156.45)</f>
        <v>156.45</v>
      </c>
      <c r="E54" s="16">
        <f>IFERROR(__xludf.DUMMYFUNCTION("""COMPUTED_VALUE"""),45819.6458333333)</f>
        <v>45819.6458333333</v>
      </c>
      <c r="F54" s="17">
        <f>IFERROR(__xludf.DUMMYFUNCTION("""COMPUTED_VALUE"""),17605668)</f>
        <v>17605668</v>
      </c>
      <c r="G54" s="16">
        <f>IFERROR(__xludf.DUMMYFUNCTION("""COMPUTED_VALUE"""),45819.6458333333)</f>
        <v>45819.6458333333</v>
      </c>
      <c r="H54" s="17">
        <f>IFERROR(__xludf.DUMMYFUNCTION("""COMPUTED_VALUE"""),157.53)</f>
        <v>157.53</v>
      </c>
      <c r="I54" s="16">
        <f>IFERROR(__xludf.DUMMYFUNCTION("""COMPUTED_VALUE"""),45819.6458333333)</f>
        <v>45819.6458333333</v>
      </c>
      <c r="J54" s="17">
        <f>IFERROR(__xludf.DUMMYFUNCTION("""COMPUTED_VALUE"""),155.31)</f>
        <v>155.31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IFERROR(__xludf.DUMMYFUNCTION("""COMPUTED_VALUE"""),152.89)</f>
        <v>152.89</v>
      </c>
      <c r="C55" s="16">
        <f>IFERROR(__xludf.DUMMYFUNCTION("""COMPUTED_VALUE"""),45820.6458333333)</f>
        <v>45820.6458333333</v>
      </c>
      <c r="D55" s="17">
        <f>IFERROR(__xludf.DUMMYFUNCTION("""COMPUTED_VALUE"""),156)</f>
        <v>156</v>
      </c>
      <c r="E55" s="16">
        <f>IFERROR(__xludf.DUMMYFUNCTION("""COMPUTED_VALUE"""),45820.6458333333)</f>
        <v>45820.6458333333</v>
      </c>
      <c r="F55" s="17">
        <f>IFERROR(__xludf.DUMMYFUNCTION("""COMPUTED_VALUE"""),27846151)</f>
        <v>27846151</v>
      </c>
      <c r="G55" s="16">
        <f>IFERROR(__xludf.DUMMYFUNCTION("""COMPUTED_VALUE"""),45820.6458333333)</f>
        <v>45820.6458333333</v>
      </c>
      <c r="H55" s="17">
        <f>IFERROR(__xludf.DUMMYFUNCTION("""COMPUTED_VALUE"""),156.26)</f>
        <v>156.26</v>
      </c>
      <c r="I55" s="16">
        <f>IFERROR(__xludf.DUMMYFUNCTION("""COMPUTED_VALUE"""),45820.6458333333)</f>
        <v>45820.6458333333</v>
      </c>
      <c r="J55" s="17">
        <f>IFERROR(__xludf.DUMMYFUNCTION("""COMPUTED_VALUE"""),151.85)</f>
        <v>151.85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IFERROR(__xludf.DUMMYFUNCTION("""COMPUTED_VALUE"""),152.13)</f>
        <v>152.13</v>
      </c>
      <c r="C56" s="16">
        <f>IFERROR(__xludf.DUMMYFUNCTION("""COMPUTED_VALUE"""),45821.6458333333)</f>
        <v>45821.6458333333</v>
      </c>
      <c r="D56" s="17">
        <f>IFERROR(__xludf.DUMMYFUNCTION("""COMPUTED_VALUE"""),149.8)</f>
        <v>149.8</v>
      </c>
      <c r="E56" s="16">
        <f>IFERROR(__xludf.DUMMYFUNCTION("""COMPUTED_VALUE"""),45821.6458333333)</f>
        <v>45821.6458333333</v>
      </c>
      <c r="F56" s="17">
        <f>IFERROR(__xludf.DUMMYFUNCTION("""COMPUTED_VALUE"""),24277592)</f>
        <v>24277592</v>
      </c>
      <c r="G56" s="16">
        <f>IFERROR(__xludf.DUMMYFUNCTION("""COMPUTED_VALUE"""),45821.6458333333)</f>
        <v>45821.6458333333</v>
      </c>
      <c r="H56" s="17">
        <f>IFERROR(__xludf.DUMMYFUNCTION("""COMPUTED_VALUE"""),152.5)</f>
        <v>152.5</v>
      </c>
      <c r="I56" s="16">
        <f>IFERROR(__xludf.DUMMYFUNCTION("""COMPUTED_VALUE"""),45821.6458333333)</f>
        <v>45821.6458333333</v>
      </c>
      <c r="J56" s="17">
        <f>IFERROR(__xludf.DUMMYFUNCTION("""COMPUTED_VALUE"""),149.8)</f>
        <v>149.8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IFERROR(__xludf.DUMMYFUNCTION("""COMPUTED_VALUE"""),154.17)</f>
        <v>154.17</v>
      </c>
      <c r="C57" s="16">
        <f>IFERROR(__xludf.DUMMYFUNCTION("""COMPUTED_VALUE"""),45824.6458333333)</f>
        <v>45824.6458333333</v>
      </c>
      <c r="D57" s="17">
        <f>IFERROR(__xludf.DUMMYFUNCTION("""COMPUTED_VALUE"""),152.01)</f>
        <v>152.01</v>
      </c>
      <c r="E57" s="16">
        <f>IFERROR(__xludf.DUMMYFUNCTION("""COMPUTED_VALUE"""),45824.6458333333)</f>
        <v>45824.6458333333</v>
      </c>
      <c r="F57" s="17">
        <f>IFERROR(__xludf.DUMMYFUNCTION("""COMPUTED_VALUE"""),16188193)</f>
        <v>16188193</v>
      </c>
      <c r="G57" s="16">
        <f>IFERROR(__xludf.DUMMYFUNCTION("""COMPUTED_VALUE"""),45824.6458333333)</f>
        <v>45824.6458333333</v>
      </c>
      <c r="H57" s="17">
        <f>IFERROR(__xludf.DUMMYFUNCTION("""COMPUTED_VALUE"""),154.5)</f>
        <v>154.5</v>
      </c>
      <c r="I57" s="16">
        <f>IFERROR(__xludf.DUMMYFUNCTION("""COMPUTED_VALUE"""),45824.6458333333)</f>
        <v>45824.6458333333</v>
      </c>
      <c r="J57" s="17">
        <f>IFERROR(__xludf.DUMMYFUNCTION("""COMPUTED_VALUE"""),150.84)</f>
        <v>150.84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IFERROR(__xludf.DUMMYFUNCTION("""COMPUTED_VALUE"""),152.6)</f>
        <v>152.6</v>
      </c>
      <c r="C58" s="16">
        <f>IFERROR(__xludf.DUMMYFUNCTION("""COMPUTED_VALUE"""),45825.6458333333)</f>
        <v>45825.6458333333</v>
      </c>
      <c r="D58" s="17">
        <f>IFERROR(__xludf.DUMMYFUNCTION("""COMPUTED_VALUE"""),153.81)</f>
        <v>153.81</v>
      </c>
      <c r="E58" s="16">
        <f>IFERROR(__xludf.DUMMYFUNCTION("""COMPUTED_VALUE"""),45825.6458333333)</f>
        <v>45825.6458333333</v>
      </c>
      <c r="F58" s="17">
        <f>IFERROR(__xludf.DUMMYFUNCTION("""COMPUTED_VALUE"""),16740382)</f>
        <v>16740382</v>
      </c>
      <c r="G58" s="16">
        <f>IFERROR(__xludf.DUMMYFUNCTION("""COMPUTED_VALUE"""),45825.6458333333)</f>
        <v>45825.6458333333</v>
      </c>
      <c r="H58" s="17">
        <f>IFERROR(__xludf.DUMMYFUNCTION("""COMPUTED_VALUE"""),154.89)</f>
        <v>154.89</v>
      </c>
      <c r="I58" s="16">
        <f>IFERROR(__xludf.DUMMYFUNCTION("""COMPUTED_VALUE"""),45825.6458333333)</f>
        <v>45825.6458333333</v>
      </c>
      <c r="J58" s="17">
        <f>IFERROR(__xludf.DUMMYFUNCTION("""COMPUTED_VALUE"""),152.35)</f>
        <v>152.35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IFERROR(__xludf.DUMMYFUNCTION("""COMPUTED_VALUE"""),152.11)</f>
        <v>152.11</v>
      </c>
      <c r="C59" s="16">
        <f>IFERROR(__xludf.DUMMYFUNCTION("""COMPUTED_VALUE"""),45826.6458333333)</f>
        <v>45826.6458333333</v>
      </c>
      <c r="D59" s="17">
        <f>IFERROR(__xludf.DUMMYFUNCTION("""COMPUTED_VALUE"""),152.2)</f>
        <v>152.2</v>
      </c>
      <c r="E59" s="16">
        <f>IFERROR(__xludf.DUMMYFUNCTION("""COMPUTED_VALUE"""),45826.6458333333)</f>
        <v>45826.6458333333</v>
      </c>
      <c r="F59" s="17">
        <f>IFERROR(__xludf.DUMMYFUNCTION("""COMPUTED_VALUE"""),14860746)</f>
        <v>14860746</v>
      </c>
      <c r="G59" s="16">
        <f>IFERROR(__xludf.DUMMYFUNCTION("""COMPUTED_VALUE"""),45826.6458333333)</f>
        <v>45826.6458333333</v>
      </c>
      <c r="H59" s="17">
        <f>IFERROR(__xludf.DUMMYFUNCTION("""COMPUTED_VALUE"""),153.2)</f>
        <v>153.2</v>
      </c>
      <c r="I59" s="16">
        <f>IFERROR(__xludf.DUMMYFUNCTION("""COMPUTED_VALUE"""),45826.6458333333)</f>
        <v>45826.6458333333</v>
      </c>
      <c r="J59" s="17">
        <f>IFERROR(__xludf.DUMMYFUNCTION("""COMPUTED_VALUE"""),150.8)</f>
        <v>150.8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IFERROR(__xludf.DUMMYFUNCTION("""COMPUTED_VALUE"""),151)</f>
        <v>151</v>
      </c>
      <c r="C60" s="16">
        <f>IFERROR(__xludf.DUMMYFUNCTION("""COMPUTED_VALUE"""),45827.6458333333)</f>
        <v>45827.6458333333</v>
      </c>
      <c r="D60" s="17">
        <f>IFERROR(__xludf.DUMMYFUNCTION("""COMPUTED_VALUE"""),152)</f>
        <v>152</v>
      </c>
      <c r="E60" s="16">
        <f>IFERROR(__xludf.DUMMYFUNCTION("""COMPUTED_VALUE"""),45827.6458333333)</f>
        <v>45827.6458333333</v>
      </c>
      <c r="F60" s="17">
        <f>IFERROR(__xludf.DUMMYFUNCTION("""COMPUTED_VALUE"""),20145922)</f>
        <v>20145922</v>
      </c>
      <c r="G60" s="16">
        <f>IFERROR(__xludf.DUMMYFUNCTION("""COMPUTED_VALUE"""),45827.6458333333)</f>
        <v>45827.6458333333</v>
      </c>
      <c r="H60" s="17">
        <f>IFERROR(__xludf.DUMMYFUNCTION("""COMPUTED_VALUE"""),152.45)</f>
        <v>152.45</v>
      </c>
      <c r="I60" s="16">
        <f>IFERROR(__xludf.DUMMYFUNCTION("""COMPUTED_VALUE"""),45827.6458333333)</f>
        <v>45827.6458333333</v>
      </c>
      <c r="J60" s="17">
        <f>IFERROR(__xludf.DUMMYFUNCTION("""COMPUTED_VALUE"""),150.5)</f>
        <v>150.5</v>
      </c>
      <c r="K60" s="3">
        <f t="shared" si="2"/>
        <v>0</v>
      </c>
      <c r="L60" s="3">
        <f t="shared" si="3"/>
        <v>151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IFERROR(__xludf.DUMMYFUNCTION("""COMPUTED_VALUE"""),151.97)</f>
        <v>151.97</v>
      </c>
      <c r="C61" s="16">
        <f>IFERROR(__xludf.DUMMYFUNCTION("""COMPUTED_VALUE"""),45828.6458333333)</f>
        <v>45828.6458333333</v>
      </c>
      <c r="D61" s="17">
        <f>IFERROR(__xludf.DUMMYFUNCTION("""COMPUTED_VALUE"""),150.75)</f>
        <v>150.75</v>
      </c>
      <c r="E61" s="16">
        <f>IFERROR(__xludf.DUMMYFUNCTION("""COMPUTED_VALUE"""),45828.6458333333)</f>
        <v>45828.6458333333</v>
      </c>
      <c r="F61" s="17">
        <f>IFERROR(__xludf.DUMMYFUNCTION("""COMPUTED_VALUE"""),29944714)</f>
        <v>29944714</v>
      </c>
      <c r="G61" s="16">
        <f>IFERROR(__xludf.DUMMYFUNCTION("""COMPUTED_VALUE"""),45828.6458333333)</f>
        <v>45828.6458333333</v>
      </c>
      <c r="H61" s="17">
        <f>IFERROR(__xludf.DUMMYFUNCTION("""COMPUTED_VALUE"""),153.17)</f>
        <v>153.17</v>
      </c>
      <c r="I61" s="16">
        <f>IFERROR(__xludf.DUMMYFUNCTION("""COMPUTED_VALUE"""),45828.6458333333)</f>
        <v>45828.6458333333</v>
      </c>
      <c r="J61" s="17">
        <f>IFERROR(__xludf.DUMMYFUNCTION("""COMPUTED_VALUE"""),150.63)</f>
        <v>150.63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IFERROR(__xludf.DUMMYFUNCTION("""COMPUTED_VALUE"""),152.43)</f>
        <v>152.43</v>
      </c>
      <c r="C62" s="16">
        <f>IFERROR(__xludf.DUMMYFUNCTION("""COMPUTED_VALUE"""),45831.6458333333)</f>
        <v>45831.6458333333</v>
      </c>
      <c r="D62" s="17">
        <f>IFERROR(__xludf.DUMMYFUNCTION("""COMPUTED_VALUE"""),150.5)</f>
        <v>150.5</v>
      </c>
      <c r="E62" s="16">
        <f>IFERROR(__xludf.DUMMYFUNCTION("""COMPUTED_VALUE"""),45831.6458333333)</f>
        <v>45831.6458333333</v>
      </c>
      <c r="F62" s="17">
        <f>IFERROR(__xludf.DUMMYFUNCTION("""COMPUTED_VALUE"""),17096676)</f>
        <v>17096676</v>
      </c>
      <c r="G62" s="16">
        <f>IFERROR(__xludf.DUMMYFUNCTION("""COMPUTED_VALUE"""),45831.6458333333)</f>
        <v>45831.6458333333</v>
      </c>
      <c r="H62" s="17">
        <f>IFERROR(__xludf.DUMMYFUNCTION("""COMPUTED_VALUE"""),153.3)</f>
        <v>153.3</v>
      </c>
      <c r="I62" s="16">
        <f>IFERROR(__xludf.DUMMYFUNCTION("""COMPUTED_VALUE"""),45831.6458333333)</f>
        <v>45831.6458333333</v>
      </c>
      <c r="J62" s="17">
        <f>IFERROR(__xludf.DUMMYFUNCTION("""COMPUTED_VALUE"""),150.48)</f>
        <v>150.48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IFERROR(__xludf.DUMMYFUNCTION("""COMPUTED_VALUE"""),154.79)</f>
        <v>154.79</v>
      </c>
      <c r="C63" s="16">
        <f>IFERROR(__xludf.DUMMYFUNCTION("""COMPUTED_VALUE"""),45832.6458333333)</f>
        <v>45832.6458333333</v>
      </c>
      <c r="D63" s="17">
        <f>IFERROR(__xludf.DUMMYFUNCTION("""COMPUTED_VALUE"""),153.8)</f>
        <v>153.8</v>
      </c>
      <c r="E63" s="16">
        <f>IFERROR(__xludf.DUMMYFUNCTION("""COMPUTED_VALUE"""),45832.6458333333)</f>
        <v>45832.6458333333</v>
      </c>
      <c r="F63" s="17">
        <f>IFERROR(__xludf.DUMMYFUNCTION("""COMPUTED_VALUE"""),25403324)</f>
        <v>25403324</v>
      </c>
      <c r="G63" s="16">
        <f>IFERROR(__xludf.DUMMYFUNCTION("""COMPUTED_VALUE"""),45832.6458333333)</f>
        <v>45832.6458333333</v>
      </c>
      <c r="H63" s="17">
        <f>IFERROR(__xludf.DUMMYFUNCTION("""COMPUTED_VALUE"""),156.97)</f>
        <v>156.97</v>
      </c>
      <c r="I63" s="16">
        <f>IFERROR(__xludf.DUMMYFUNCTION("""COMPUTED_VALUE"""),45832.6458333333)</f>
        <v>45832.6458333333</v>
      </c>
      <c r="J63" s="17">
        <f>IFERROR(__xludf.DUMMYFUNCTION("""COMPUTED_VALUE"""),153.64)</f>
        <v>153.64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IFERROR(__xludf.DUMMYFUNCTION("""COMPUTED_VALUE"""),156.39)</f>
        <v>156.39</v>
      </c>
      <c r="C64" s="16">
        <f>IFERROR(__xludf.DUMMYFUNCTION("""COMPUTED_VALUE"""),45833.6458333333)</f>
        <v>45833.6458333333</v>
      </c>
      <c r="D64" s="17">
        <f>IFERROR(__xludf.DUMMYFUNCTION("""COMPUTED_VALUE"""),155.9)</f>
        <v>155.9</v>
      </c>
      <c r="E64" s="16">
        <f>IFERROR(__xludf.DUMMYFUNCTION("""COMPUTED_VALUE"""),45833.6458333333)</f>
        <v>45833.6458333333</v>
      </c>
      <c r="F64" s="17">
        <f>IFERROR(__xludf.DUMMYFUNCTION("""COMPUTED_VALUE"""),18240433)</f>
        <v>18240433</v>
      </c>
      <c r="G64" s="16">
        <f>IFERROR(__xludf.DUMMYFUNCTION("""COMPUTED_VALUE"""),45833.6458333333)</f>
        <v>45833.6458333333</v>
      </c>
      <c r="H64" s="17">
        <f>IFERROR(__xludf.DUMMYFUNCTION("""COMPUTED_VALUE"""),156.9)</f>
        <v>156.9</v>
      </c>
      <c r="I64" s="16">
        <f>IFERROR(__xludf.DUMMYFUNCTION("""COMPUTED_VALUE"""),45833.6458333333)</f>
        <v>45833.6458333333</v>
      </c>
      <c r="J64" s="17">
        <f>IFERROR(__xludf.DUMMYFUNCTION("""COMPUTED_VALUE"""),155.51)</f>
        <v>155.51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IFERROR(__xludf.DUMMYFUNCTION("""COMPUTED_VALUE"""),160.54)</f>
        <v>160.54</v>
      </c>
      <c r="C65" s="16">
        <f>IFERROR(__xludf.DUMMYFUNCTION("""COMPUTED_VALUE"""),45834.6458333333)</f>
        <v>45834.6458333333</v>
      </c>
      <c r="D65" s="17">
        <f>IFERROR(__xludf.DUMMYFUNCTION("""COMPUTED_VALUE"""),156.87)</f>
        <v>156.87</v>
      </c>
      <c r="E65" s="16">
        <f>IFERROR(__xludf.DUMMYFUNCTION("""COMPUTED_VALUE"""),45834.6458333333)</f>
        <v>45834.6458333333</v>
      </c>
      <c r="F65" s="17">
        <f>IFERROR(__xludf.DUMMYFUNCTION("""COMPUTED_VALUE"""),40650557)</f>
        <v>40650557</v>
      </c>
      <c r="G65" s="16">
        <f>IFERROR(__xludf.DUMMYFUNCTION("""COMPUTED_VALUE"""),45834.6458333333)</f>
        <v>45834.6458333333</v>
      </c>
      <c r="H65" s="17">
        <f>IFERROR(__xludf.DUMMYFUNCTION("""COMPUTED_VALUE"""),161.1)</f>
        <v>161.1</v>
      </c>
      <c r="I65" s="16">
        <f>IFERROR(__xludf.DUMMYFUNCTION("""COMPUTED_VALUE"""),45834.6458333333)</f>
        <v>45834.6458333333</v>
      </c>
      <c r="J65" s="17">
        <f>IFERROR(__xludf.DUMMYFUNCTION("""COMPUTED_VALUE"""),156.45)</f>
        <v>156.45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IFERROR(__xludf.DUMMYFUNCTION("""COMPUTED_VALUE"""),161.45)</f>
        <v>161.45</v>
      </c>
      <c r="C66" s="16">
        <f>IFERROR(__xludf.DUMMYFUNCTION("""COMPUTED_VALUE"""),45835.6458333333)</f>
        <v>45835.6458333333</v>
      </c>
      <c r="D66" s="17">
        <f>IFERROR(__xludf.DUMMYFUNCTION("""COMPUTED_VALUE"""),161)</f>
        <v>161</v>
      </c>
      <c r="E66" s="16">
        <f>IFERROR(__xludf.DUMMYFUNCTION("""COMPUTED_VALUE"""),45835.6458333333)</f>
        <v>45835.6458333333</v>
      </c>
      <c r="F66" s="17">
        <f>IFERROR(__xludf.DUMMYFUNCTION("""COMPUTED_VALUE"""),31989509)</f>
        <v>31989509</v>
      </c>
      <c r="G66" s="16">
        <f>IFERROR(__xludf.DUMMYFUNCTION("""COMPUTED_VALUE"""),45835.6458333333)</f>
        <v>45835.6458333333</v>
      </c>
      <c r="H66" s="17">
        <f>IFERROR(__xludf.DUMMYFUNCTION("""COMPUTED_VALUE"""),163.3)</f>
        <v>163.3</v>
      </c>
      <c r="I66" s="16">
        <f>IFERROR(__xludf.DUMMYFUNCTION("""COMPUTED_VALUE"""),45835.6458333333)</f>
        <v>45835.6458333333</v>
      </c>
      <c r="J66" s="17">
        <f>IFERROR(__xludf.DUMMYFUNCTION("""COMPUTED_VALUE"""),160.7)</f>
        <v>160.7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IFERROR(__xludf.DUMMYFUNCTION("""COMPUTED_VALUE"""),159.76)</f>
        <v>159.76</v>
      </c>
      <c r="C67" s="16">
        <f>IFERROR(__xludf.DUMMYFUNCTION("""COMPUTED_VALUE"""),45838.6458333333)</f>
        <v>45838.6458333333</v>
      </c>
      <c r="D67" s="17">
        <f>IFERROR(__xludf.DUMMYFUNCTION("""COMPUTED_VALUE"""),160.99)</f>
        <v>160.99</v>
      </c>
      <c r="E67" s="16">
        <f>IFERROR(__xludf.DUMMYFUNCTION("""COMPUTED_VALUE"""),45838.6458333333)</f>
        <v>45838.6458333333</v>
      </c>
      <c r="F67" s="17">
        <f>IFERROR(__xludf.DUMMYFUNCTION("""COMPUTED_VALUE"""),15842285)</f>
        <v>15842285</v>
      </c>
      <c r="G67" s="16">
        <f>IFERROR(__xludf.DUMMYFUNCTION("""COMPUTED_VALUE"""),45838.6458333333)</f>
        <v>45838.6458333333</v>
      </c>
      <c r="H67" s="17">
        <f>IFERROR(__xludf.DUMMYFUNCTION("""COMPUTED_VALUE"""),162.2)</f>
        <v>162.2</v>
      </c>
      <c r="I67" s="16">
        <f>IFERROR(__xludf.DUMMYFUNCTION("""COMPUTED_VALUE"""),45838.6458333333)</f>
        <v>45838.6458333333</v>
      </c>
      <c r="J67" s="17">
        <f>IFERROR(__xludf.DUMMYFUNCTION("""COMPUTED_VALUE"""),159.5)</f>
        <v>159.5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IFERROR(__xludf.DUMMYFUNCTION("""COMPUTED_VALUE"""),160.06)</f>
        <v>160.06</v>
      </c>
      <c r="C68" s="16">
        <f>IFERROR(__xludf.DUMMYFUNCTION("""COMPUTED_VALUE"""),45839.6458333333)</f>
        <v>45839.6458333333</v>
      </c>
      <c r="D68" s="17">
        <f>IFERROR(__xludf.DUMMYFUNCTION("""COMPUTED_VALUE"""),160.01)</f>
        <v>160.01</v>
      </c>
      <c r="E68" s="16">
        <f>IFERROR(__xludf.DUMMYFUNCTION("""COMPUTED_VALUE"""),45839.6458333333)</f>
        <v>45839.6458333333</v>
      </c>
      <c r="F68" s="17">
        <f>IFERROR(__xludf.DUMMYFUNCTION("""COMPUTED_VALUE"""),17823415)</f>
        <v>17823415</v>
      </c>
      <c r="G68" s="16">
        <f>IFERROR(__xludf.DUMMYFUNCTION("""COMPUTED_VALUE"""),45839.6458333333)</f>
        <v>45839.6458333333</v>
      </c>
      <c r="H68" s="17">
        <f>IFERROR(__xludf.DUMMYFUNCTION("""COMPUTED_VALUE"""),160.44)</f>
        <v>160.44</v>
      </c>
      <c r="I68" s="16">
        <f>IFERROR(__xludf.DUMMYFUNCTION("""COMPUTED_VALUE"""),45839.6458333333)</f>
        <v>45839.6458333333</v>
      </c>
      <c r="J68" s="17">
        <f>IFERROR(__xludf.DUMMYFUNCTION("""COMPUTED_VALUE"""),157.73)</f>
        <v>157.73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IFERROR(__xludf.DUMMYFUNCTION("""COMPUTED_VALUE"""),165.88)</f>
        <v>165.88</v>
      </c>
      <c r="C69" s="16">
        <f>IFERROR(__xludf.DUMMYFUNCTION("""COMPUTED_VALUE"""),45840.6458333333)</f>
        <v>45840.6458333333</v>
      </c>
      <c r="D69" s="17">
        <f>IFERROR(__xludf.DUMMYFUNCTION("""COMPUTED_VALUE"""),160.06)</f>
        <v>160.06</v>
      </c>
      <c r="E69" s="16">
        <f>IFERROR(__xludf.DUMMYFUNCTION("""COMPUTED_VALUE"""),45840.6458333333)</f>
        <v>45840.6458333333</v>
      </c>
      <c r="F69" s="17">
        <f>IFERROR(__xludf.DUMMYFUNCTION("""COMPUTED_VALUE"""),63315210)</f>
        <v>63315210</v>
      </c>
      <c r="G69" s="16">
        <f>IFERROR(__xludf.DUMMYFUNCTION("""COMPUTED_VALUE"""),45840.6458333333)</f>
        <v>45840.6458333333</v>
      </c>
      <c r="H69" s="17">
        <f>IFERROR(__xludf.DUMMYFUNCTION("""COMPUTED_VALUE"""),166.15)</f>
        <v>166.15</v>
      </c>
      <c r="I69" s="16">
        <f>IFERROR(__xludf.DUMMYFUNCTION("""COMPUTED_VALUE"""),45840.6458333333)</f>
        <v>45840.6458333333</v>
      </c>
      <c r="J69" s="17">
        <f>IFERROR(__xludf.DUMMYFUNCTION("""COMPUTED_VALUE"""),159.83)</f>
        <v>159.83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IFERROR(__xludf.DUMMYFUNCTION("""COMPUTED_VALUE"""),165.91)</f>
        <v>165.91</v>
      </c>
      <c r="C70" s="16">
        <f>IFERROR(__xludf.DUMMYFUNCTION("""COMPUTED_VALUE"""),45841.6458333333)</f>
        <v>45841.6458333333</v>
      </c>
      <c r="D70" s="17">
        <f>IFERROR(__xludf.DUMMYFUNCTION("""COMPUTED_VALUE"""),166)</f>
        <v>166</v>
      </c>
      <c r="E70" s="16">
        <f>IFERROR(__xludf.DUMMYFUNCTION("""COMPUTED_VALUE"""),45841.6458333333)</f>
        <v>45841.6458333333</v>
      </c>
      <c r="F70" s="17">
        <f>IFERROR(__xludf.DUMMYFUNCTION("""COMPUTED_VALUE"""),60571824)</f>
        <v>60571824</v>
      </c>
      <c r="G70" s="16">
        <f>IFERROR(__xludf.DUMMYFUNCTION("""COMPUTED_VALUE"""),45841.6458333333)</f>
        <v>45841.6458333333</v>
      </c>
      <c r="H70" s="17">
        <f>IFERROR(__xludf.DUMMYFUNCTION("""COMPUTED_VALUE"""),168.78)</f>
        <v>168.78</v>
      </c>
      <c r="I70" s="16">
        <f>IFERROR(__xludf.DUMMYFUNCTION("""COMPUTED_VALUE"""),45841.6458333333)</f>
        <v>45841.6458333333</v>
      </c>
      <c r="J70" s="17">
        <f>IFERROR(__xludf.DUMMYFUNCTION("""COMPUTED_VALUE"""),165.21)</f>
        <v>165.21</v>
      </c>
      <c r="K70" s="3">
        <f t="shared" si="2"/>
        <v>165.91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IFERROR(__xludf.DUMMYFUNCTION("""COMPUTED_VALUE"""),163.01)</f>
        <v>163.01</v>
      </c>
      <c r="C71" s="16">
        <f>IFERROR(__xludf.DUMMYFUNCTION("""COMPUTED_VALUE"""),45842.6458333333)</f>
        <v>45842.6458333333</v>
      </c>
      <c r="D71" s="17">
        <f>IFERROR(__xludf.DUMMYFUNCTION("""COMPUTED_VALUE"""),165.91)</f>
        <v>165.91</v>
      </c>
      <c r="E71" s="16">
        <f>IFERROR(__xludf.DUMMYFUNCTION("""COMPUTED_VALUE"""),45842.6458333333)</f>
        <v>45842.6458333333</v>
      </c>
      <c r="F71" s="17">
        <f>IFERROR(__xludf.DUMMYFUNCTION("""COMPUTED_VALUE"""),22938753)</f>
        <v>22938753</v>
      </c>
      <c r="G71" s="16">
        <f>IFERROR(__xludf.DUMMYFUNCTION("""COMPUTED_VALUE"""),45842.6458333333)</f>
        <v>45842.6458333333</v>
      </c>
      <c r="H71" s="17">
        <f>IFERROR(__xludf.DUMMYFUNCTION("""COMPUTED_VALUE"""),166.49)</f>
        <v>166.49</v>
      </c>
      <c r="I71" s="16">
        <f>IFERROR(__xludf.DUMMYFUNCTION("""COMPUTED_VALUE"""),45842.6458333333)</f>
        <v>45842.6458333333</v>
      </c>
      <c r="J71" s="17">
        <f>IFERROR(__xludf.DUMMYFUNCTION("""COMPUTED_VALUE"""),162)</f>
        <v>162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IFERROR(__xludf.DUMMYFUNCTION("""COMPUTED_VALUE"""),162.4)</f>
        <v>162.4</v>
      </c>
      <c r="C72" s="16">
        <f>IFERROR(__xludf.DUMMYFUNCTION("""COMPUTED_VALUE"""),45845.6458333333)</f>
        <v>45845.6458333333</v>
      </c>
      <c r="D72" s="17">
        <f>IFERROR(__xludf.DUMMYFUNCTION("""COMPUTED_VALUE"""),163)</f>
        <v>163</v>
      </c>
      <c r="E72" s="16">
        <f>IFERROR(__xludf.DUMMYFUNCTION("""COMPUTED_VALUE"""),45845.6458333333)</f>
        <v>45845.6458333333</v>
      </c>
      <c r="F72" s="17">
        <f>IFERROR(__xludf.DUMMYFUNCTION("""COMPUTED_VALUE"""),17469909)</f>
        <v>17469909</v>
      </c>
      <c r="G72" s="16">
        <f>IFERROR(__xludf.DUMMYFUNCTION("""COMPUTED_VALUE"""),45845.6458333333)</f>
        <v>45845.6458333333</v>
      </c>
      <c r="H72" s="17">
        <f>IFERROR(__xludf.DUMMYFUNCTION("""COMPUTED_VALUE"""),163.35)</f>
        <v>163.35</v>
      </c>
      <c r="I72" s="16">
        <f>IFERROR(__xludf.DUMMYFUNCTION("""COMPUTED_VALUE"""),45845.6458333333)</f>
        <v>45845.6458333333</v>
      </c>
      <c r="J72" s="17">
        <f>IFERROR(__xludf.DUMMYFUNCTION("""COMPUTED_VALUE"""),160.05)</f>
        <v>160.05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IFERROR(__xludf.DUMMYFUNCTION("""COMPUTED_VALUE"""),161.97)</f>
        <v>161.97</v>
      </c>
      <c r="C73" s="16">
        <f>IFERROR(__xludf.DUMMYFUNCTION("""COMPUTED_VALUE"""),45846.6458333333)</f>
        <v>45846.6458333333</v>
      </c>
      <c r="D73" s="17">
        <f>IFERROR(__xludf.DUMMYFUNCTION("""COMPUTED_VALUE"""),162.45)</f>
        <v>162.45</v>
      </c>
      <c r="E73" s="16">
        <f>IFERROR(__xludf.DUMMYFUNCTION("""COMPUTED_VALUE"""),45846.6458333333)</f>
        <v>45846.6458333333</v>
      </c>
      <c r="F73" s="17">
        <f>IFERROR(__xludf.DUMMYFUNCTION("""COMPUTED_VALUE"""),11398248)</f>
        <v>11398248</v>
      </c>
      <c r="G73" s="16">
        <f>IFERROR(__xludf.DUMMYFUNCTION("""COMPUTED_VALUE"""),45846.6458333333)</f>
        <v>45846.6458333333</v>
      </c>
      <c r="H73" s="17">
        <f>IFERROR(__xludf.DUMMYFUNCTION("""COMPUTED_VALUE"""),162.9)</f>
        <v>162.9</v>
      </c>
      <c r="I73" s="16">
        <f>IFERROR(__xludf.DUMMYFUNCTION("""COMPUTED_VALUE"""),45846.6458333333)</f>
        <v>45846.6458333333</v>
      </c>
      <c r="J73" s="17">
        <f>IFERROR(__xludf.DUMMYFUNCTION("""COMPUTED_VALUE"""),161.6)</f>
        <v>161.6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IFERROR(__xludf.DUMMYFUNCTION("""COMPUTED_VALUE"""),159)</f>
        <v>159</v>
      </c>
      <c r="C74" s="16">
        <f>IFERROR(__xludf.DUMMYFUNCTION("""COMPUTED_VALUE"""),45847.6458333333)</f>
        <v>45847.6458333333</v>
      </c>
      <c r="D74" s="17">
        <f>IFERROR(__xludf.DUMMYFUNCTION("""COMPUTED_VALUE"""),161.95)</f>
        <v>161.95</v>
      </c>
      <c r="E74" s="16">
        <f>IFERROR(__xludf.DUMMYFUNCTION("""COMPUTED_VALUE"""),45847.6458333333)</f>
        <v>45847.6458333333</v>
      </c>
      <c r="F74" s="17">
        <f>IFERROR(__xludf.DUMMYFUNCTION("""COMPUTED_VALUE"""),29839077)</f>
        <v>29839077</v>
      </c>
      <c r="G74" s="16">
        <f>IFERROR(__xludf.DUMMYFUNCTION("""COMPUTED_VALUE"""),45847.6458333333)</f>
        <v>45847.6458333333</v>
      </c>
      <c r="H74" s="17">
        <f>IFERROR(__xludf.DUMMYFUNCTION("""COMPUTED_VALUE"""),161.95)</f>
        <v>161.95</v>
      </c>
      <c r="I74" s="16">
        <f>IFERROR(__xludf.DUMMYFUNCTION("""COMPUTED_VALUE"""),45847.6458333333)</f>
        <v>45847.6458333333</v>
      </c>
      <c r="J74" s="17">
        <f>IFERROR(__xludf.DUMMYFUNCTION("""COMPUTED_VALUE"""),157.51)</f>
        <v>157.51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IFERROR(__xludf.DUMMYFUNCTION("""COMPUTED_VALUE"""),160.66)</f>
        <v>160.66</v>
      </c>
      <c r="C75" s="16">
        <f>IFERROR(__xludf.DUMMYFUNCTION("""COMPUTED_VALUE"""),45848.6458333333)</f>
        <v>45848.6458333333</v>
      </c>
      <c r="D75" s="17">
        <f>IFERROR(__xludf.DUMMYFUNCTION("""COMPUTED_VALUE"""),160)</f>
        <v>160</v>
      </c>
      <c r="E75" s="16">
        <f>IFERROR(__xludf.DUMMYFUNCTION("""COMPUTED_VALUE"""),45848.6458333333)</f>
        <v>45848.6458333333</v>
      </c>
      <c r="F75" s="17">
        <f>IFERROR(__xludf.DUMMYFUNCTION("""COMPUTED_VALUE"""),17566887)</f>
        <v>17566887</v>
      </c>
      <c r="G75" s="16">
        <f>IFERROR(__xludf.DUMMYFUNCTION("""COMPUTED_VALUE"""),45848.6458333333)</f>
        <v>45848.6458333333</v>
      </c>
      <c r="H75" s="17">
        <f>IFERROR(__xludf.DUMMYFUNCTION("""COMPUTED_VALUE"""),161.55)</f>
        <v>161.55</v>
      </c>
      <c r="I75" s="16">
        <f>IFERROR(__xludf.DUMMYFUNCTION("""COMPUTED_VALUE"""),45848.6458333333)</f>
        <v>45848.6458333333</v>
      </c>
      <c r="J75" s="17">
        <f>IFERROR(__xludf.DUMMYFUNCTION("""COMPUTED_VALUE"""),159.28)</f>
        <v>159.28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IFERROR(__xludf.DUMMYFUNCTION("""COMPUTED_VALUE"""),159.84)</f>
        <v>159.84</v>
      </c>
      <c r="C76" s="16">
        <f>IFERROR(__xludf.DUMMYFUNCTION("""COMPUTED_VALUE"""),45849.6458333333)</f>
        <v>45849.6458333333</v>
      </c>
      <c r="D76" s="17">
        <f>IFERROR(__xludf.DUMMYFUNCTION("""COMPUTED_VALUE"""),160.64)</f>
        <v>160.64</v>
      </c>
      <c r="E76" s="16">
        <f>IFERROR(__xludf.DUMMYFUNCTION("""COMPUTED_VALUE"""),45849.6458333333)</f>
        <v>45849.6458333333</v>
      </c>
      <c r="F76" s="17">
        <f>IFERROR(__xludf.DUMMYFUNCTION("""COMPUTED_VALUE"""),20689511)</f>
        <v>20689511</v>
      </c>
      <c r="G76" s="16">
        <f>IFERROR(__xludf.DUMMYFUNCTION("""COMPUTED_VALUE"""),45849.6458333333)</f>
        <v>45849.6458333333</v>
      </c>
      <c r="H76" s="17">
        <f>IFERROR(__xludf.DUMMYFUNCTION("""COMPUTED_VALUE"""),161.62)</f>
        <v>161.62</v>
      </c>
      <c r="I76" s="16">
        <f>IFERROR(__xludf.DUMMYFUNCTION("""COMPUTED_VALUE"""),45849.6458333333)</f>
        <v>45849.6458333333</v>
      </c>
      <c r="J76" s="17">
        <f>IFERROR(__xludf.DUMMYFUNCTION("""COMPUTED_VALUE"""),159.32)</f>
        <v>159.32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IFERROR(__xludf.DUMMYFUNCTION("""COMPUTED_VALUE"""),160.44)</f>
        <v>160.44</v>
      </c>
      <c r="C77" s="16">
        <f>IFERROR(__xludf.DUMMYFUNCTION("""COMPUTED_VALUE"""),45852.6458333333)</f>
        <v>45852.6458333333</v>
      </c>
      <c r="D77" s="17">
        <f>IFERROR(__xludf.DUMMYFUNCTION("""COMPUTED_VALUE"""),159.84)</f>
        <v>159.84</v>
      </c>
      <c r="E77" s="16">
        <f>IFERROR(__xludf.DUMMYFUNCTION("""COMPUTED_VALUE"""),45852.6458333333)</f>
        <v>45852.6458333333</v>
      </c>
      <c r="F77" s="17">
        <f>IFERROR(__xludf.DUMMYFUNCTION("""COMPUTED_VALUE"""),15152964)</f>
        <v>15152964</v>
      </c>
      <c r="G77" s="16">
        <f>IFERROR(__xludf.DUMMYFUNCTION("""COMPUTED_VALUE"""),45852.6458333333)</f>
        <v>45852.6458333333</v>
      </c>
      <c r="H77" s="17">
        <f>IFERROR(__xludf.DUMMYFUNCTION("""COMPUTED_VALUE"""),161.12)</f>
        <v>161.12</v>
      </c>
      <c r="I77" s="16">
        <f>IFERROR(__xludf.DUMMYFUNCTION("""COMPUTED_VALUE"""),45852.6458333333)</f>
        <v>45852.6458333333</v>
      </c>
      <c r="J77" s="17">
        <f>IFERROR(__xludf.DUMMYFUNCTION("""COMPUTED_VALUE"""),159.3)</f>
        <v>159.3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IFERROR(__xludf.DUMMYFUNCTION("""COMPUTED_VALUE"""),159)</f>
        <v>159</v>
      </c>
      <c r="C78" s="16">
        <f>IFERROR(__xludf.DUMMYFUNCTION("""COMPUTED_VALUE"""),45853.6458333333)</f>
        <v>45853.6458333333</v>
      </c>
      <c r="D78" s="17">
        <f>IFERROR(__xludf.DUMMYFUNCTION("""COMPUTED_VALUE"""),160.26)</f>
        <v>160.26</v>
      </c>
      <c r="E78" s="16">
        <f>IFERROR(__xludf.DUMMYFUNCTION("""COMPUTED_VALUE"""),45853.6458333333)</f>
        <v>45853.6458333333</v>
      </c>
      <c r="F78" s="17">
        <f>IFERROR(__xludf.DUMMYFUNCTION("""COMPUTED_VALUE"""),17993051)</f>
        <v>17993051</v>
      </c>
      <c r="G78" s="16">
        <f>IFERROR(__xludf.DUMMYFUNCTION("""COMPUTED_VALUE"""),45853.6458333333)</f>
        <v>45853.6458333333</v>
      </c>
      <c r="H78" s="17">
        <f>IFERROR(__xludf.DUMMYFUNCTION("""COMPUTED_VALUE"""),160.85)</f>
        <v>160.85</v>
      </c>
      <c r="I78" s="16">
        <f>IFERROR(__xludf.DUMMYFUNCTION("""COMPUTED_VALUE"""),45853.6458333333)</f>
        <v>45853.6458333333</v>
      </c>
      <c r="J78" s="17">
        <f>IFERROR(__xludf.DUMMYFUNCTION("""COMPUTED_VALUE"""),157.95)</f>
        <v>157.95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IFERROR(__xludf.DUMMYFUNCTION("""COMPUTED_VALUE"""),157.33)</f>
        <v>157.33</v>
      </c>
      <c r="C79" s="16">
        <f>IFERROR(__xludf.DUMMYFUNCTION("""COMPUTED_VALUE"""),45854.6458333333)</f>
        <v>45854.6458333333</v>
      </c>
      <c r="D79" s="17">
        <f>IFERROR(__xludf.DUMMYFUNCTION("""COMPUTED_VALUE"""),159)</f>
        <v>159</v>
      </c>
      <c r="E79" s="16">
        <f>IFERROR(__xludf.DUMMYFUNCTION("""COMPUTED_VALUE"""),45854.6458333333)</f>
        <v>45854.6458333333</v>
      </c>
      <c r="F79" s="17">
        <f>IFERROR(__xludf.DUMMYFUNCTION("""COMPUTED_VALUE"""),14591157)</f>
        <v>14591157</v>
      </c>
      <c r="G79" s="16">
        <f>IFERROR(__xludf.DUMMYFUNCTION("""COMPUTED_VALUE"""),45854.6458333333)</f>
        <v>45854.6458333333</v>
      </c>
      <c r="H79" s="17">
        <f>IFERROR(__xludf.DUMMYFUNCTION("""COMPUTED_VALUE"""),159.27)</f>
        <v>159.27</v>
      </c>
      <c r="I79" s="16">
        <f>IFERROR(__xludf.DUMMYFUNCTION("""COMPUTED_VALUE"""),45854.6458333333)</f>
        <v>45854.6458333333</v>
      </c>
      <c r="J79" s="17">
        <f>IFERROR(__xludf.DUMMYFUNCTION("""COMPUTED_VALUE"""),157)</f>
        <v>157</v>
      </c>
      <c r="K79" s="3">
        <f t="shared" si="2"/>
        <v>0</v>
      </c>
      <c r="L79" s="3">
        <f t="shared" si="3"/>
        <v>157.33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IFERROR(__xludf.DUMMYFUNCTION("""COMPUTED_VALUE"""),159.9)</f>
        <v>159.9</v>
      </c>
      <c r="C80" s="16">
        <f>IFERROR(__xludf.DUMMYFUNCTION("""COMPUTED_VALUE"""),45855.6458333333)</f>
        <v>45855.6458333333</v>
      </c>
      <c r="D80" s="17">
        <f>IFERROR(__xludf.DUMMYFUNCTION("""COMPUTED_VALUE"""),157.5)</f>
        <v>157.5</v>
      </c>
      <c r="E80" s="16">
        <f>IFERROR(__xludf.DUMMYFUNCTION("""COMPUTED_VALUE"""),45855.6458333333)</f>
        <v>45855.6458333333</v>
      </c>
      <c r="F80" s="17">
        <f>IFERROR(__xludf.DUMMYFUNCTION("""COMPUTED_VALUE"""),21733241)</f>
        <v>21733241</v>
      </c>
      <c r="G80" s="16">
        <f>IFERROR(__xludf.DUMMYFUNCTION("""COMPUTED_VALUE"""),45855.6458333333)</f>
        <v>45855.6458333333</v>
      </c>
      <c r="H80" s="17">
        <f>IFERROR(__xludf.DUMMYFUNCTION("""COMPUTED_VALUE"""),160.7)</f>
        <v>160.7</v>
      </c>
      <c r="I80" s="16">
        <f>IFERROR(__xludf.DUMMYFUNCTION("""COMPUTED_VALUE"""),45855.6458333333)</f>
        <v>45855.6458333333</v>
      </c>
      <c r="J80" s="17">
        <f>IFERROR(__xludf.DUMMYFUNCTION("""COMPUTED_VALUE"""),157.12)</f>
        <v>157.12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IFERROR(__xludf.DUMMYFUNCTION("""COMPUTED_VALUE"""),162.37)</f>
        <v>162.37</v>
      </c>
      <c r="C81" s="16">
        <f>IFERROR(__xludf.DUMMYFUNCTION("""COMPUTED_VALUE"""),45856.6458333333)</f>
        <v>45856.6458333333</v>
      </c>
      <c r="D81" s="17">
        <f>IFERROR(__xludf.DUMMYFUNCTION("""COMPUTED_VALUE"""),160.1)</f>
        <v>160.1</v>
      </c>
      <c r="E81" s="16">
        <f>IFERROR(__xludf.DUMMYFUNCTION("""COMPUTED_VALUE"""),45856.6458333333)</f>
        <v>45856.6458333333</v>
      </c>
      <c r="F81" s="17">
        <f>IFERROR(__xludf.DUMMYFUNCTION("""COMPUTED_VALUE"""),30728478)</f>
        <v>30728478</v>
      </c>
      <c r="G81" s="16">
        <f>IFERROR(__xludf.DUMMYFUNCTION("""COMPUTED_VALUE"""),45856.6458333333)</f>
        <v>45856.6458333333</v>
      </c>
      <c r="H81" s="17">
        <f>IFERROR(__xludf.DUMMYFUNCTION("""COMPUTED_VALUE"""),162.75)</f>
        <v>162.75</v>
      </c>
      <c r="I81" s="16">
        <f>IFERROR(__xludf.DUMMYFUNCTION("""COMPUTED_VALUE"""),45856.6458333333)</f>
        <v>45856.6458333333</v>
      </c>
      <c r="J81" s="17">
        <f>IFERROR(__xludf.DUMMYFUNCTION("""COMPUTED_VALUE"""),160.1)</f>
        <v>160.1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IFERROR(__xludf.DUMMYFUNCTION("""COMPUTED_VALUE"""),163.02)</f>
        <v>163.02</v>
      </c>
      <c r="C82" s="16">
        <f>IFERROR(__xludf.DUMMYFUNCTION("""COMPUTED_VALUE"""),45859.6458333333)</f>
        <v>45859.6458333333</v>
      </c>
      <c r="D82" s="17">
        <f>IFERROR(__xludf.DUMMYFUNCTION("""COMPUTED_VALUE"""),162.5)</f>
        <v>162.5</v>
      </c>
      <c r="E82" s="16">
        <f>IFERROR(__xludf.DUMMYFUNCTION("""COMPUTED_VALUE"""),45859.6458333333)</f>
        <v>45859.6458333333</v>
      </c>
      <c r="F82" s="17">
        <f>IFERROR(__xludf.DUMMYFUNCTION("""COMPUTED_VALUE"""),29812899)</f>
        <v>29812899</v>
      </c>
      <c r="G82" s="16">
        <f>IFERROR(__xludf.DUMMYFUNCTION("""COMPUTED_VALUE"""),45859.6458333333)</f>
        <v>45859.6458333333</v>
      </c>
      <c r="H82" s="17">
        <f>IFERROR(__xludf.DUMMYFUNCTION("""COMPUTED_VALUE"""),165.6)</f>
        <v>165.6</v>
      </c>
      <c r="I82" s="16">
        <f>IFERROR(__xludf.DUMMYFUNCTION("""COMPUTED_VALUE"""),45859.6458333333)</f>
        <v>45859.6458333333</v>
      </c>
      <c r="J82" s="17">
        <f>IFERROR(__xludf.DUMMYFUNCTION("""COMPUTED_VALUE"""),162.49)</f>
        <v>162.49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IFERROR(__xludf.DUMMYFUNCTION("""COMPUTED_VALUE"""),163.04)</f>
        <v>163.04</v>
      </c>
      <c r="C83" s="16">
        <f>IFERROR(__xludf.DUMMYFUNCTION("""COMPUTED_VALUE"""),45860.6458333333)</f>
        <v>45860.6458333333</v>
      </c>
      <c r="D83" s="17">
        <f>IFERROR(__xludf.DUMMYFUNCTION("""COMPUTED_VALUE"""),163.3)</f>
        <v>163.3</v>
      </c>
      <c r="E83" s="16">
        <f>IFERROR(__xludf.DUMMYFUNCTION("""COMPUTED_VALUE"""),45860.6458333333)</f>
        <v>45860.6458333333</v>
      </c>
      <c r="F83" s="17">
        <f>IFERROR(__xludf.DUMMYFUNCTION("""COMPUTED_VALUE"""),13615524)</f>
        <v>13615524</v>
      </c>
      <c r="G83" s="16">
        <f>IFERROR(__xludf.DUMMYFUNCTION("""COMPUTED_VALUE"""),45860.6458333333)</f>
        <v>45860.6458333333</v>
      </c>
      <c r="H83" s="17">
        <f>IFERROR(__xludf.DUMMYFUNCTION("""COMPUTED_VALUE"""),164.41)</f>
        <v>164.41</v>
      </c>
      <c r="I83" s="16">
        <f>IFERROR(__xludf.DUMMYFUNCTION("""COMPUTED_VALUE"""),45860.6458333333)</f>
        <v>45860.6458333333</v>
      </c>
      <c r="J83" s="17">
        <f>IFERROR(__xludf.DUMMYFUNCTION("""COMPUTED_VALUE"""),162.73)</f>
        <v>162.73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IFERROR(__xludf.DUMMYFUNCTION("""COMPUTED_VALUE"""),162.77)</f>
        <v>162.77</v>
      </c>
      <c r="C84" s="16">
        <f>IFERROR(__xludf.DUMMYFUNCTION("""COMPUTED_VALUE"""),45861.6458333333)</f>
        <v>45861.6458333333</v>
      </c>
      <c r="D84" s="17">
        <f>IFERROR(__xludf.DUMMYFUNCTION("""COMPUTED_VALUE"""),163.25)</f>
        <v>163.25</v>
      </c>
      <c r="E84" s="16">
        <f>IFERROR(__xludf.DUMMYFUNCTION("""COMPUTED_VALUE"""),45861.6458333333)</f>
        <v>45861.6458333333</v>
      </c>
      <c r="F84" s="17">
        <f>IFERROR(__xludf.DUMMYFUNCTION("""COMPUTED_VALUE"""),14287149)</f>
        <v>14287149</v>
      </c>
      <c r="G84" s="16">
        <f>IFERROR(__xludf.DUMMYFUNCTION("""COMPUTED_VALUE"""),45861.6458333333)</f>
        <v>45861.6458333333</v>
      </c>
      <c r="H84" s="17">
        <f>IFERROR(__xludf.DUMMYFUNCTION("""COMPUTED_VALUE"""),164.14)</f>
        <v>164.14</v>
      </c>
      <c r="I84" s="16">
        <f>IFERROR(__xludf.DUMMYFUNCTION("""COMPUTED_VALUE"""),45861.6458333333)</f>
        <v>45861.6458333333</v>
      </c>
      <c r="J84" s="17">
        <f>IFERROR(__xludf.DUMMYFUNCTION("""COMPUTED_VALUE"""),161.88)</f>
        <v>161.88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IFERROR(__xludf.DUMMYFUNCTION("""COMPUTED_VALUE"""),163.48)</f>
        <v>163.48</v>
      </c>
      <c r="C85" s="16">
        <f>IFERROR(__xludf.DUMMYFUNCTION("""COMPUTED_VALUE"""),45862.6458333333)</f>
        <v>45862.6458333333</v>
      </c>
      <c r="D85" s="17">
        <f>IFERROR(__xludf.DUMMYFUNCTION("""COMPUTED_VALUE"""),163)</f>
        <v>163</v>
      </c>
      <c r="E85" s="16">
        <f>IFERROR(__xludf.DUMMYFUNCTION("""COMPUTED_VALUE"""),45862.6458333333)</f>
        <v>45862.6458333333</v>
      </c>
      <c r="F85" s="17">
        <f>IFERROR(__xludf.DUMMYFUNCTION("""COMPUTED_VALUE"""),14377270)</f>
        <v>14377270</v>
      </c>
      <c r="G85" s="16">
        <f>IFERROR(__xludf.DUMMYFUNCTION("""COMPUTED_VALUE"""),45862.6458333333)</f>
        <v>45862.6458333333</v>
      </c>
      <c r="H85" s="17">
        <f>IFERROR(__xludf.DUMMYFUNCTION("""COMPUTED_VALUE"""),164.75)</f>
        <v>164.75</v>
      </c>
      <c r="I85" s="16">
        <f>IFERROR(__xludf.DUMMYFUNCTION("""COMPUTED_VALUE"""),45862.6458333333)</f>
        <v>45862.6458333333</v>
      </c>
      <c r="J85" s="17">
        <f>IFERROR(__xludf.DUMMYFUNCTION("""COMPUTED_VALUE"""),162.81)</f>
        <v>162.81</v>
      </c>
      <c r="K85" s="3">
        <f t="shared" si="2"/>
        <v>163.48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IFERROR(__xludf.DUMMYFUNCTION("""COMPUTED_VALUE"""),161.43)</f>
        <v>161.43</v>
      </c>
      <c r="C86" s="16">
        <f>IFERROR(__xludf.DUMMYFUNCTION("""COMPUTED_VALUE"""),45863.6458333333)</f>
        <v>45863.6458333333</v>
      </c>
      <c r="D86" s="17">
        <f>IFERROR(__xludf.DUMMYFUNCTION("""COMPUTED_VALUE"""),163.5)</f>
        <v>163.5</v>
      </c>
      <c r="E86" s="16">
        <f>IFERROR(__xludf.DUMMYFUNCTION("""COMPUTED_VALUE"""),45863.6458333333)</f>
        <v>45863.6458333333</v>
      </c>
      <c r="F86" s="17">
        <f>IFERROR(__xludf.DUMMYFUNCTION("""COMPUTED_VALUE"""),12443495)</f>
        <v>12443495</v>
      </c>
      <c r="G86" s="16">
        <f>IFERROR(__xludf.DUMMYFUNCTION("""COMPUTED_VALUE"""),45863.6458333333)</f>
        <v>45863.6458333333</v>
      </c>
      <c r="H86" s="17">
        <f>IFERROR(__xludf.DUMMYFUNCTION("""COMPUTED_VALUE"""),163.59)</f>
        <v>163.59</v>
      </c>
      <c r="I86" s="16">
        <f>IFERROR(__xludf.DUMMYFUNCTION("""COMPUTED_VALUE"""),45863.6458333333)</f>
        <v>45863.6458333333</v>
      </c>
      <c r="J86" s="17">
        <f>IFERROR(__xludf.DUMMYFUNCTION("""COMPUTED_VALUE"""),161.05)</f>
        <v>161.05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IFERROR(__xludf.DUMMYFUNCTION("""COMPUTED_VALUE"""),159.68)</f>
        <v>159.68</v>
      </c>
      <c r="C87" s="16">
        <f>IFERROR(__xludf.DUMMYFUNCTION("""COMPUTED_VALUE"""),45866.6458333333)</f>
        <v>45866.6458333333</v>
      </c>
      <c r="D87" s="17">
        <f>IFERROR(__xludf.DUMMYFUNCTION("""COMPUTED_VALUE"""),161.23)</f>
        <v>161.23</v>
      </c>
      <c r="E87" s="16">
        <f>IFERROR(__xludf.DUMMYFUNCTION("""COMPUTED_VALUE"""),45866.6458333333)</f>
        <v>45866.6458333333</v>
      </c>
      <c r="F87" s="17">
        <f>IFERROR(__xludf.DUMMYFUNCTION("""COMPUTED_VALUE"""),19296285)</f>
        <v>19296285</v>
      </c>
      <c r="G87" s="16">
        <f>IFERROR(__xludf.DUMMYFUNCTION("""COMPUTED_VALUE"""),45866.6458333333)</f>
        <v>45866.6458333333</v>
      </c>
      <c r="H87" s="17">
        <f>IFERROR(__xludf.DUMMYFUNCTION("""COMPUTED_VALUE"""),162.29)</f>
        <v>162.29</v>
      </c>
      <c r="I87" s="16">
        <f>IFERROR(__xludf.DUMMYFUNCTION("""COMPUTED_VALUE"""),45866.6458333333)</f>
        <v>45866.6458333333</v>
      </c>
      <c r="J87" s="17">
        <f>IFERROR(__xludf.DUMMYFUNCTION("""COMPUTED_VALUE"""),159.09)</f>
        <v>159.09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IFERROR(__xludf.DUMMYFUNCTION("""COMPUTED_VALUE"""),161.69)</f>
        <v>161.69</v>
      </c>
      <c r="C88" s="16">
        <f>IFERROR(__xludf.DUMMYFUNCTION("""COMPUTED_VALUE"""),45867.6458333333)</f>
        <v>45867.6458333333</v>
      </c>
      <c r="D88" s="17">
        <f>IFERROR(__xludf.DUMMYFUNCTION("""COMPUTED_VALUE"""),158.2)</f>
        <v>158.2</v>
      </c>
      <c r="E88" s="16">
        <f>IFERROR(__xludf.DUMMYFUNCTION("""COMPUTED_VALUE"""),45867.6458333333)</f>
        <v>45867.6458333333</v>
      </c>
      <c r="F88" s="17">
        <f>IFERROR(__xludf.DUMMYFUNCTION("""COMPUTED_VALUE"""),15262937)</f>
        <v>15262937</v>
      </c>
      <c r="G88" s="16">
        <f>IFERROR(__xludf.DUMMYFUNCTION("""COMPUTED_VALUE"""),45867.6458333333)</f>
        <v>45867.6458333333</v>
      </c>
      <c r="H88" s="17">
        <f>IFERROR(__xludf.DUMMYFUNCTION("""COMPUTED_VALUE"""),162.45)</f>
        <v>162.45</v>
      </c>
      <c r="I88" s="16">
        <f>IFERROR(__xludf.DUMMYFUNCTION("""COMPUTED_VALUE"""),45867.6458333333)</f>
        <v>45867.6458333333</v>
      </c>
      <c r="J88" s="17">
        <f>IFERROR(__xludf.DUMMYFUNCTION("""COMPUTED_VALUE"""),158.2)</f>
        <v>158.2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IFERROR(__xludf.DUMMYFUNCTION("""COMPUTED_VALUE"""),161.36)</f>
        <v>161.36</v>
      </c>
      <c r="C89" s="16">
        <f>IFERROR(__xludf.DUMMYFUNCTION("""COMPUTED_VALUE"""),45868.6458333333)</f>
        <v>45868.6458333333</v>
      </c>
      <c r="D89" s="17">
        <f>IFERROR(__xludf.DUMMYFUNCTION("""COMPUTED_VALUE"""),161.69)</f>
        <v>161.69</v>
      </c>
      <c r="E89" s="16">
        <f>IFERROR(__xludf.DUMMYFUNCTION("""COMPUTED_VALUE"""),45868.6458333333)</f>
        <v>45868.6458333333</v>
      </c>
      <c r="F89" s="17">
        <f>IFERROR(__xludf.DUMMYFUNCTION("""COMPUTED_VALUE"""),16083106)</f>
        <v>16083106</v>
      </c>
      <c r="G89" s="16">
        <f>IFERROR(__xludf.DUMMYFUNCTION("""COMPUTED_VALUE"""),45868.6458333333)</f>
        <v>45868.6458333333</v>
      </c>
      <c r="H89" s="17">
        <f>IFERROR(__xludf.DUMMYFUNCTION("""COMPUTED_VALUE"""),162.79)</f>
        <v>162.79</v>
      </c>
      <c r="I89" s="16">
        <f>IFERROR(__xludf.DUMMYFUNCTION("""COMPUTED_VALUE"""),45868.6458333333)</f>
        <v>45868.6458333333</v>
      </c>
      <c r="J89" s="17">
        <f>IFERROR(__xludf.DUMMYFUNCTION("""COMPUTED_VALUE"""),161.05)</f>
        <v>161.05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IFERROR(__xludf.DUMMYFUNCTION("""COMPUTED_VALUE"""),157.94)</f>
        <v>157.94</v>
      </c>
      <c r="C90" s="16">
        <f>IFERROR(__xludf.DUMMYFUNCTION("""COMPUTED_VALUE"""),45869.6458333333)</f>
        <v>45869.6458333333</v>
      </c>
      <c r="D90" s="17">
        <f>IFERROR(__xludf.DUMMYFUNCTION("""COMPUTED_VALUE"""),161)</f>
        <v>161</v>
      </c>
      <c r="E90" s="16">
        <f>IFERROR(__xludf.DUMMYFUNCTION("""COMPUTED_VALUE"""),45869.6458333333)</f>
        <v>45869.6458333333</v>
      </c>
      <c r="F90" s="17">
        <f>IFERROR(__xludf.DUMMYFUNCTION("""COMPUTED_VALUE"""),26213891)</f>
        <v>26213891</v>
      </c>
      <c r="G90" s="16">
        <f>IFERROR(__xludf.DUMMYFUNCTION("""COMPUTED_VALUE"""),45869.6458333333)</f>
        <v>45869.6458333333</v>
      </c>
      <c r="H90" s="17">
        <f>IFERROR(__xludf.DUMMYFUNCTION("""COMPUTED_VALUE"""),162.13)</f>
        <v>162.13</v>
      </c>
      <c r="I90" s="16">
        <f>IFERROR(__xludf.DUMMYFUNCTION("""COMPUTED_VALUE"""),45869.6458333333)</f>
        <v>45869.6458333333</v>
      </c>
      <c r="J90" s="17">
        <f>IFERROR(__xludf.DUMMYFUNCTION("""COMPUTED_VALUE"""),156.56)</f>
        <v>156.56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IFERROR(__xludf.DUMMYFUNCTION("""COMPUTED_VALUE"""),153.01)</f>
        <v>153.01</v>
      </c>
      <c r="C91" s="16">
        <f>IFERROR(__xludf.DUMMYFUNCTION("""COMPUTED_VALUE"""),45870.6458333333)</f>
        <v>45870.6458333333</v>
      </c>
      <c r="D91" s="17">
        <f>IFERROR(__xludf.DUMMYFUNCTION("""COMPUTED_VALUE"""),157.93)</f>
        <v>157.93</v>
      </c>
      <c r="E91" s="16">
        <f>IFERROR(__xludf.DUMMYFUNCTION("""COMPUTED_VALUE"""),45870.6458333333)</f>
        <v>45870.6458333333</v>
      </c>
      <c r="F91" s="17">
        <f>IFERROR(__xludf.DUMMYFUNCTION("""COMPUTED_VALUE"""),23927359)</f>
        <v>23927359</v>
      </c>
      <c r="G91" s="16">
        <f>IFERROR(__xludf.DUMMYFUNCTION("""COMPUTED_VALUE"""),45870.6458333333)</f>
        <v>45870.6458333333</v>
      </c>
      <c r="H91" s="17">
        <f>IFERROR(__xludf.DUMMYFUNCTION("""COMPUTED_VALUE"""),157.93)</f>
        <v>157.93</v>
      </c>
      <c r="I91" s="16">
        <f>IFERROR(__xludf.DUMMYFUNCTION("""COMPUTED_VALUE"""),45870.6458333333)</f>
        <v>45870.6458333333</v>
      </c>
      <c r="J91" s="17">
        <f>IFERROR(__xludf.DUMMYFUNCTION("""COMPUTED_VALUE"""),152.51)</f>
        <v>152.51</v>
      </c>
      <c r="K91" s="3">
        <f t="shared" si="2"/>
        <v>0</v>
      </c>
      <c r="L91" s="3">
        <f t="shared" si="3"/>
        <v>153.01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IFERROR(__xludf.DUMMYFUNCTION("""COMPUTED_VALUE"""),159.56)</f>
        <v>159.56</v>
      </c>
      <c r="C92" s="16">
        <f>IFERROR(__xludf.DUMMYFUNCTION("""COMPUTED_VALUE"""),45873.6458333333)</f>
        <v>45873.6458333333</v>
      </c>
      <c r="D92" s="17">
        <f>IFERROR(__xludf.DUMMYFUNCTION("""COMPUTED_VALUE"""),153.5)</f>
        <v>153.5</v>
      </c>
      <c r="E92" s="16">
        <f>IFERROR(__xludf.DUMMYFUNCTION("""COMPUTED_VALUE"""),45873.6458333333)</f>
        <v>45873.6458333333</v>
      </c>
      <c r="F92" s="17">
        <f>IFERROR(__xludf.DUMMYFUNCTION("""COMPUTED_VALUE"""),30064719)</f>
        <v>30064719</v>
      </c>
      <c r="G92" s="16">
        <f>IFERROR(__xludf.DUMMYFUNCTION("""COMPUTED_VALUE"""),45873.6458333333)</f>
        <v>45873.6458333333</v>
      </c>
      <c r="H92" s="17">
        <f>IFERROR(__xludf.DUMMYFUNCTION("""COMPUTED_VALUE"""),159.92)</f>
        <v>159.92</v>
      </c>
      <c r="I92" s="16">
        <f>IFERROR(__xludf.DUMMYFUNCTION("""COMPUTED_VALUE"""),45873.6458333333)</f>
        <v>45873.6458333333</v>
      </c>
      <c r="J92" s="17">
        <f>IFERROR(__xludf.DUMMYFUNCTION("""COMPUTED_VALUE"""),153.5)</f>
        <v>153.5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IFERROR(__xludf.DUMMYFUNCTION("""COMPUTED_VALUE"""),159.62)</f>
        <v>159.62</v>
      </c>
      <c r="C93" s="16">
        <f>IFERROR(__xludf.DUMMYFUNCTION("""COMPUTED_VALUE"""),45874.6458333333)</f>
        <v>45874.6458333333</v>
      </c>
      <c r="D93" s="17">
        <f>IFERROR(__xludf.DUMMYFUNCTION("""COMPUTED_VALUE"""),159.56)</f>
        <v>159.56</v>
      </c>
      <c r="E93" s="16">
        <f>IFERROR(__xludf.DUMMYFUNCTION("""COMPUTED_VALUE"""),45874.6458333333)</f>
        <v>45874.6458333333</v>
      </c>
      <c r="F93" s="17">
        <f>IFERROR(__xludf.DUMMYFUNCTION("""COMPUTED_VALUE"""),14441034)</f>
        <v>14441034</v>
      </c>
      <c r="G93" s="16">
        <f>IFERROR(__xludf.DUMMYFUNCTION("""COMPUTED_VALUE"""),45874.6458333333)</f>
        <v>45874.6458333333</v>
      </c>
      <c r="H93" s="17">
        <f>IFERROR(__xludf.DUMMYFUNCTION("""COMPUTED_VALUE"""),160.14)</f>
        <v>160.14</v>
      </c>
      <c r="I93" s="16">
        <f>IFERROR(__xludf.DUMMYFUNCTION("""COMPUTED_VALUE"""),45874.6458333333)</f>
        <v>45874.6458333333</v>
      </c>
      <c r="J93" s="17">
        <f>IFERROR(__xludf.DUMMYFUNCTION("""COMPUTED_VALUE"""),158.28)</f>
        <v>158.28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IFERROR(__xludf.DUMMYFUNCTION("""COMPUTED_VALUE"""),158.66)</f>
        <v>158.66</v>
      </c>
      <c r="C94" s="16">
        <f>IFERROR(__xludf.DUMMYFUNCTION("""COMPUTED_VALUE"""),45875.6458333333)</f>
        <v>45875.6458333333</v>
      </c>
      <c r="D94" s="17">
        <f>IFERROR(__xludf.DUMMYFUNCTION("""COMPUTED_VALUE"""),159.62)</f>
        <v>159.62</v>
      </c>
      <c r="E94" s="16">
        <f>IFERROR(__xludf.DUMMYFUNCTION("""COMPUTED_VALUE"""),45875.6458333333)</f>
        <v>45875.6458333333</v>
      </c>
      <c r="F94" s="17">
        <f>IFERROR(__xludf.DUMMYFUNCTION("""COMPUTED_VALUE"""),13438851)</f>
        <v>13438851</v>
      </c>
      <c r="G94" s="16">
        <f>IFERROR(__xludf.DUMMYFUNCTION("""COMPUTED_VALUE"""),45875.6458333333)</f>
        <v>45875.6458333333</v>
      </c>
      <c r="H94" s="17">
        <f>IFERROR(__xludf.DUMMYFUNCTION("""COMPUTED_VALUE"""),159.8)</f>
        <v>159.8</v>
      </c>
      <c r="I94" s="16">
        <f>IFERROR(__xludf.DUMMYFUNCTION("""COMPUTED_VALUE"""),45875.6458333333)</f>
        <v>45875.6458333333</v>
      </c>
      <c r="J94" s="17">
        <f>IFERROR(__xludf.DUMMYFUNCTION("""COMPUTED_VALUE"""),157.8)</f>
        <v>157.8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IFERROR(__xludf.DUMMYFUNCTION("""COMPUTED_VALUE"""),159.67)</f>
        <v>159.67</v>
      </c>
      <c r="C95" s="16">
        <f>IFERROR(__xludf.DUMMYFUNCTION("""COMPUTED_VALUE"""),45876.6458333333)</f>
        <v>45876.6458333333</v>
      </c>
      <c r="D95" s="17">
        <f>IFERROR(__xludf.DUMMYFUNCTION("""COMPUTED_VALUE"""),157.15)</f>
        <v>157.15</v>
      </c>
      <c r="E95" s="16">
        <f>IFERROR(__xludf.DUMMYFUNCTION("""COMPUTED_VALUE"""),45876.6458333333)</f>
        <v>45876.6458333333</v>
      </c>
      <c r="F95" s="17">
        <f>IFERROR(__xludf.DUMMYFUNCTION("""COMPUTED_VALUE"""),23159540)</f>
        <v>23159540</v>
      </c>
      <c r="G95" s="16">
        <f>IFERROR(__xludf.DUMMYFUNCTION("""COMPUTED_VALUE"""),45876.6458333333)</f>
        <v>45876.6458333333</v>
      </c>
      <c r="H95" s="17">
        <f>IFERROR(__xludf.DUMMYFUNCTION("""COMPUTED_VALUE"""),160)</f>
        <v>160</v>
      </c>
      <c r="I95" s="16">
        <f>IFERROR(__xludf.DUMMYFUNCTION("""COMPUTED_VALUE"""),45876.6458333333)</f>
        <v>45876.6458333333</v>
      </c>
      <c r="J95" s="17">
        <f>IFERROR(__xludf.DUMMYFUNCTION("""COMPUTED_VALUE"""),156.26)</f>
        <v>156.26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IFERROR(__xludf.DUMMYFUNCTION("""COMPUTED_VALUE"""),157.95)</f>
        <v>157.95</v>
      </c>
      <c r="C96" s="16">
        <f>IFERROR(__xludf.DUMMYFUNCTION("""COMPUTED_VALUE"""),45877.6458333333)</f>
        <v>45877.6458333333</v>
      </c>
      <c r="D96" s="17">
        <f>IFERROR(__xludf.DUMMYFUNCTION("""COMPUTED_VALUE"""),159.5)</f>
        <v>159.5</v>
      </c>
      <c r="E96" s="16">
        <f>IFERROR(__xludf.DUMMYFUNCTION("""COMPUTED_VALUE"""),45877.6458333333)</f>
        <v>45877.6458333333</v>
      </c>
      <c r="F96" s="17">
        <f>IFERROR(__xludf.DUMMYFUNCTION("""COMPUTED_VALUE"""),11951173)</f>
        <v>11951173</v>
      </c>
      <c r="G96" s="16">
        <f>IFERROR(__xludf.DUMMYFUNCTION("""COMPUTED_VALUE"""),45877.6458333333)</f>
        <v>45877.6458333333</v>
      </c>
      <c r="H96" s="17">
        <f>IFERROR(__xludf.DUMMYFUNCTION("""COMPUTED_VALUE"""),159.95)</f>
        <v>159.95</v>
      </c>
      <c r="I96" s="16">
        <f>IFERROR(__xludf.DUMMYFUNCTION("""COMPUTED_VALUE"""),45877.6458333333)</f>
        <v>45877.6458333333</v>
      </c>
      <c r="J96" s="17">
        <f>IFERROR(__xludf.DUMMYFUNCTION("""COMPUTED_VALUE"""),157.01)</f>
        <v>157.01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IFERROR(__xludf.DUMMYFUNCTION("""COMPUTED_VALUE"""),158.52)</f>
        <v>158.52</v>
      </c>
      <c r="C97" s="16">
        <f>IFERROR(__xludf.DUMMYFUNCTION("""COMPUTED_VALUE"""),45880.6458333333)</f>
        <v>45880.6458333333</v>
      </c>
      <c r="D97" s="17">
        <f>IFERROR(__xludf.DUMMYFUNCTION("""COMPUTED_VALUE"""),157.95)</f>
        <v>157.95</v>
      </c>
      <c r="E97" s="16">
        <f>IFERROR(__xludf.DUMMYFUNCTION("""COMPUTED_VALUE"""),45880.6458333333)</f>
        <v>45880.6458333333</v>
      </c>
      <c r="F97" s="17">
        <f>IFERROR(__xludf.DUMMYFUNCTION("""COMPUTED_VALUE"""),14325736)</f>
        <v>14325736</v>
      </c>
      <c r="G97" s="16">
        <f>IFERROR(__xludf.DUMMYFUNCTION("""COMPUTED_VALUE"""),45880.6458333333)</f>
        <v>45880.6458333333</v>
      </c>
      <c r="H97" s="17">
        <f>IFERROR(__xludf.DUMMYFUNCTION("""COMPUTED_VALUE"""),160)</f>
        <v>160</v>
      </c>
      <c r="I97" s="16">
        <f>IFERROR(__xludf.DUMMYFUNCTION("""COMPUTED_VALUE"""),45880.6458333333)</f>
        <v>45880.6458333333</v>
      </c>
      <c r="J97" s="17">
        <f>IFERROR(__xludf.DUMMYFUNCTION("""COMPUTED_VALUE"""),157.15)</f>
        <v>157.15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IFERROR(__xludf.DUMMYFUNCTION("""COMPUTED_VALUE"""),160.16)</f>
        <v>160.16</v>
      </c>
      <c r="C98" s="16">
        <f>IFERROR(__xludf.DUMMYFUNCTION("""COMPUTED_VALUE"""),45881.6458333333)</f>
        <v>45881.6458333333</v>
      </c>
      <c r="D98" s="17">
        <f>IFERROR(__xludf.DUMMYFUNCTION("""COMPUTED_VALUE"""),158.52)</f>
        <v>158.52</v>
      </c>
      <c r="E98" s="16">
        <f>IFERROR(__xludf.DUMMYFUNCTION("""COMPUTED_VALUE"""),45881.6458333333)</f>
        <v>45881.6458333333</v>
      </c>
      <c r="F98" s="17">
        <f>IFERROR(__xludf.DUMMYFUNCTION("""COMPUTED_VALUE"""),20056598)</f>
        <v>20056598</v>
      </c>
      <c r="G98" s="16">
        <f>IFERROR(__xludf.DUMMYFUNCTION("""COMPUTED_VALUE"""),45881.6458333333)</f>
        <v>45881.6458333333</v>
      </c>
      <c r="H98" s="17">
        <f>IFERROR(__xludf.DUMMYFUNCTION("""COMPUTED_VALUE"""),161.65)</f>
        <v>161.65</v>
      </c>
      <c r="I98" s="16">
        <f>IFERROR(__xludf.DUMMYFUNCTION("""COMPUTED_VALUE"""),45881.6458333333)</f>
        <v>45881.6458333333</v>
      </c>
      <c r="J98" s="17">
        <f>IFERROR(__xludf.DUMMYFUNCTION("""COMPUTED_VALUE"""),158.5)</f>
        <v>158.5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IFERROR(__xludf.DUMMYFUNCTION("""COMPUTED_VALUE"""),160.18)</f>
        <v>160.18</v>
      </c>
      <c r="C99" s="16">
        <f>IFERROR(__xludf.DUMMYFUNCTION("""COMPUTED_VALUE"""),45882.6458333333)</f>
        <v>45882.6458333333</v>
      </c>
      <c r="D99" s="17">
        <f>IFERROR(__xludf.DUMMYFUNCTION("""COMPUTED_VALUE"""),160.96)</f>
        <v>160.96</v>
      </c>
      <c r="E99" s="16">
        <f>IFERROR(__xludf.DUMMYFUNCTION("""COMPUTED_VALUE"""),45882.6458333333)</f>
        <v>45882.6458333333</v>
      </c>
      <c r="F99" s="17">
        <f>IFERROR(__xludf.DUMMYFUNCTION("""COMPUTED_VALUE"""),18079396)</f>
        <v>18079396</v>
      </c>
      <c r="G99" s="16">
        <f>IFERROR(__xludf.DUMMYFUNCTION("""COMPUTED_VALUE"""),45882.6458333333)</f>
        <v>45882.6458333333</v>
      </c>
      <c r="H99" s="17">
        <f>IFERROR(__xludf.DUMMYFUNCTION("""COMPUTED_VALUE"""),162.4)</f>
        <v>162.4</v>
      </c>
      <c r="I99" s="16">
        <f>IFERROR(__xludf.DUMMYFUNCTION("""COMPUTED_VALUE"""),45882.6458333333)</f>
        <v>45882.6458333333</v>
      </c>
      <c r="J99" s="17">
        <f>IFERROR(__xludf.DUMMYFUNCTION("""COMPUTED_VALUE"""),159.9)</f>
        <v>159.9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IFERROR(__xludf.DUMMYFUNCTION("""COMPUTED_VALUE"""),155.3)</f>
        <v>155.3</v>
      </c>
      <c r="C100" s="16">
        <f>IFERROR(__xludf.DUMMYFUNCTION("""COMPUTED_VALUE"""),45883.6458333333)</f>
        <v>45883.6458333333</v>
      </c>
      <c r="D100" s="17">
        <f>IFERROR(__xludf.DUMMYFUNCTION("""COMPUTED_VALUE"""),160.02)</f>
        <v>160.02</v>
      </c>
      <c r="E100" s="16">
        <f>IFERROR(__xludf.DUMMYFUNCTION("""COMPUTED_VALUE"""),45883.6458333333)</f>
        <v>45883.6458333333</v>
      </c>
      <c r="F100" s="17">
        <f>IFERROR(__xludf.DUMMYFUNCTION("""COMPUTED_VALUE"""),47256126)</f>
        <v>47256126</v>
      </c>
      <c r="G100" s="16">
        <f>IFERROR(__xludf.DUMMYFUNCTION("""COMPUTED_VALUE"""),45883.6458333333)</f>
        <v>45883.6458333333</v>
      </c>
      <c r="H100" s="17">
        <f>IFERROR(__xludf.DUMMYFUNCTION("""COMPUTED_VALUE"""),160.6)</f>
        <v>160.6</v>
      </c>
      <c r="I100" s="16">
        <f>IFERROR(__xludf.DUMMYFUNCTION("""COMPUTED_VALUE"""),45883.6458333333)</f>
        <v>45883.6458333333</v>
      </c>
      <c r="J100" s="17">
        <f>IFERROR(__xludf.DUMMYFUNCTION("""COMPUTED_VALUE"""),154.83)</f>
        <v>154.83</v>
      </c>
      <c r="K100" s="3">
        <f t="shared" si="2"/>
        <v>0</v>
      </c>
      <c r="L100" s="3">
        <f t="shared" si="3"/>
        <v>155.3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IFERROR(__xludf.DUMMYFUNCTION("""COMPUTED_VALUE"""),157.96)</f>
        <v>157.96</v>
      </c>
      <c r="C101" s="16">
        <f>IFERROR(__xludf.DUMMYFUNCTION("""COMPUTED_VALUE"""),45887.6458333333)</f>
        <v>45887.6458333333</v>
      </c>
      <c r="D101" s="17">
        <f>IFERROR(__xludf.DUMMYFUNCTION("""COMPUTED_VALUE"""),158)</f>
        <v>158</v>
      </c>
      <c r="E101" s="16">
        <f>IFERROR(__xludf.DUMMYFUNCTION("""COMPUTED_VALUE"""),45887.6458333333)</f>
        <v>45887.6458333333</v>
      </c>
      <c r="F101" s="17">
        <f>IFERROR(__xludf.DUMMYFUNCTION("""COMPUTED_VALUE"""),61022494)</f>
        <v>61022494</v>
      </c>
      <c r="G101" s="16">
        <f>IFERROR(__xludf.DUMMYFUNCTION("""COMPUTED_VALUE"""),45887.6458333333)</f>
        <v>45887.6458333333</v>
      </c>
      <c r="H101" s="17">
        <f>IFERROR(__xludf.DUMMYFUNCTION("""COMPUTED_VALUE"""),159)</f>
        <v>159</v>
      </c>
      <c r="I101" s="16">
        <f>IFERROR(__xludf.DUMMYFUNCTION("""COMPUTED_VALUE"""),45887.6458333333)</f>
        <v>45887.6458333333</v>
      </c>
      <c r="J101" s="17">
        <f>IFERROR(__xludf.DUMMYFUNCTION("""COMPUTED_VALUE"""),156)</f>
        <v>156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IFERROR(__xludf.DUMMYFUNCTION("""COMPUTED_VALUE"""),159.23)</f>
        <v>159.23</v>
      </c>
      <c r="C102" s="16">
        <f>IFERROR(__xludf.DUMMYFUNCTION("""COMPUTED_VALUE"""),45888.6458333333)</f>
        <v>45888.6458333333</v>
      </c>
      <c r="D102" s="17">
        <f>IFERROR(__xludf.DUMMYFUNCTION("""COMPUTED_VALUE"""),158.5)</f>
        <v>158.5</v>
      </c>
      <c r="E102" s="16">
        <f>IFERROR(__xludf.DUMMYFUNCTION("""COMPUTED_VALUE"""),45888.6458333333)</f>
        <v>45888.6458333333</v>
      </c>
      <c r="F102" s="17">
        <f>IFERROR(__xludf.DUMMYFUNCTION("""COMPUTED_VALUE"""),21224239)</f>
        <v>21224239</v>
      </c>
      <c r="G102" s="16">
        <f>IFERROR(__xludf.DUMMYFUNCTION("""COMPUTED_VALUE"""),45888.6458333333)</f>
        <v>45888.6458333333</v>
      </c>
      <c r="H102" s="17">
        <f>IFERROR(__xludf.DUMMYFUNCTION("""COMPUTED_VALUE"""),159.46)</f>
        <v>159.46</v>
      </c>
      <c r="I102" s="16">
        <f>IFERROR(__xludf.DUMMYFUNCTION("""COMPUTED_VALUE"""),45888.6458333333)</f>
        <v>45888.6458333333</v>
      </c>
      <c r="J102" s="17">
        <f>IFERROR(__xludf.DUMMYFUNCTION("""COMPUTED_VALUE"""),156.76)</f>
        <v>156.76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IFERROR(__xludf.DUMMYFUNCTION("""COMPUTED_VALUE"""),161.92)</f>
        <v>161.92</v>
      </c>
      <c r="C103" s="16">
        <f>IFERROR(__xludf.DUMMYFUNCTION("""COMPUTED_VALUE"""),45889.6458333333)</f>
        <v>45889.6458333333</v>
      </c>
      <c r="D103" s="17">
        <f>IFERROR(__xludf.DUMMYFUNCTION("""COMPUTED_VALUE"""),158.2)</f>
        <v>158.2</v>
      </c>
      <c r="E103" s="16">
        <f>IFERROR(__xludf.DUMMYFUNCTION("""COMPUTED_VALUE"""),45889.6458333333)</f>
        <v>45889.6458333333</v>
      </c>
      <c r="F103" s="17">
        <f>IFERROR(__xludf.DUMMYFUNCTION("""COMPUTED_VALUE"""),28520245)</f>
        <v>28520245</v>
      </c>
      <c r="G103" s="16">
        <f>IFERROR(__xludf.DUMMYFUNCTION("""COMPUTED_VALUE"""),45889.6458333333)</f>
        <v>45889.6458333333</v>
      </c>
      <c r="H103" s="17">
        <f>IFERROR(__xludf.DUMMYFUNCTION("""COMPUTED_VALUE"""),162.76)</f>
        <v>162.76</v>
      </c>
      <c r="I103" s="16">
        <f>IFERROR(__xludf.DUMMYFUNCTION("""COMPUTED_VALUE"""),45889.6458333333)</f>
        <v>45889.6458333333</v>
      </c>
      <c r="J103" s="17">
        <f>IFERROR(__xludf.DUMMYFUNCTION("""COMPUTED_VALUE"""),158.03)</f>
        <v>158.03</v>
      </c>
      <c r="K103" s="3">
        <f t="shared" si="2"/>
        <v>161.92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IFERROR(__xludf.DUMMYFUNCTION("""COMPUTED_VALUE"""),161.51)</f>
        <v>161.51</v>
      </c>
      <c r="C104" s="16">
        <f>IFERROR(__xludf.DUMMYFUNCTION("""COMPUTED_VALUE"""),45890.6458333333)</f>
        <v>45890.6458333333</v>
      </c>
      <c r="D104" s="17">
        <f>IFERROR(__xludf.DUMMYFUNCTION("""COMPUTED_VALUE"""),161.92)</f>
        <v>161.92</v>
      </c>
      <c r="E104" s="16">
        <f>IFERROR(__xludf.DUMMYFUNCTION("""COMPUTED_VALUE"""),45890.6458333333)</f>
        <v>45890.6458333333</v>
      </c>
      <c r="F104" s="17">
        <f>IFERROR(__xludf.DUMMYFUNCTION("""COMPUTED_VALUE"""),17282594)</f>
        <v>17282594</v>
      </c>
      <c r="G104" s="16">
        <f>IFERROR(__xludf.DUMMYFUNCTION("""COMPUTED_VALUE"""),45890.6458333333)</f>
        <v>45890.6458333333</v>
      </c>
      <c r="H104" s="17">
        <f>IFERROR(__xludf.DUMMYFUNCTION("""COMPUTED_VALUE"""),162.54)</f>
        <v>162.54</v>
      </c>
      <c r="I104" s="16">
        <f>IFERROR(__xludf.DUMMYFUNCTION("""COMPUTED_VALUE"""),45890.6458333333)</f>
        <v>45890.6458333333</v>
      </c>
      <c r="J104" s="17">
        <f>IFERROR(__xludf.DUMMYFUNCTION("""COMPUTED_VALUE"""),161.19)</f>
        <v>161.19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IFERROR(__xludf.DUMMYFUNCTION("""COMPUTED_VALUE"""),158.55)</f>
        <v>158.55</v>
      </c>
      <c r="C105" s="16">
        <f>IFERROR(__xludf.DUMMYFUNCTION("""COMPUTED_VALUE"""),45891.6458333333)</f>
        <v>45891.6458333333</v>
      </c>
      <c r="D105" s="17">
        <f>IFERROR(__xludf.DUMMYFUNCTION("""COMPUTED_VALUE"""),161.25)</f>
        <v>161.25</v>
      </c>
      <c r="E105" s="16">
        <f>IFERROR(__xludf.DUMMYFUNCTION("""COMPUTED_VALUE"""),45891.6458333333)</f>
        <v>45891.6458333333</v>
      </c>
      <c r="F105" s="17">
        <f>IFERROR(__xludf.DUMMYFUNCTION("""COMPUTED_VALUE"""),16063984)</f>
        <v>16063984</v>
      </c>
      <c r="G105" s="16">
        <f>IFERROR(__xludf.DUMMYFUNCTION("""COMPUTED_VALUE"""),45891.6458333333)</f>
        <v>45891.6458333333</v>
      </c>
      <c r="H105" s="17">
        <f>IFERROR(__xludf.DUMMYFUNCTION("""COMPUTED_VALUE"""),161.28)</f>
        <v>161.28</v>
      </c>
      <c r="I105" s="16">
        <f>IFERROR(__xludf.DUMMYFUNCTION("""COMPUTED_VALUE"""),45891.6458333333)</f>
        <v>45891.6458333333</v>
      </c>
      <c r="J105" s="17">
        <f>IFERROR(__xludf.DUMMYFUNCTION("""COMPUTED_VALUE"""),158.1)</f>
        <v>158.1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IFERROR(__xludf.DUMMYFUNCTION("""COMPUTED_VALUE"""),159.63)</f>
        <v>159.63</v>
      </c>
      <c r="C106" s="16">
        <f>IFERROR(__xludf.DUMMYFUNCTION("""COMPUTED_VALUE"""),45894.6458333333)</f>
        <v>45894.6458333333</v>
      </c>
      <c r="D106" s="17">
        <f>IFERROR(__xludf.DUMMYFUNCTION("""COMPUTED_VALUE"""),159.2)</f>
        <v>159.2</v>
      </c>
      <c r="E106" s="16">
        <f>IFERROR(__xludf.DUMMYFUNCTION("""COMPUTED_VALUE"""),45894.6458333333)</f>
        <v>45894.6458333333</v>
      </c>
      <c r="F106" s="17">
        <f>IFERROR(__xludf.DUMMYFUNCTION("""COMPUTED_VALUE"""),16376542)</f>
        <v>16376542</v>
      </c>
      <c r="G106" s="16">
        <f>IFERROR(__xludf.DUMMYFUNCTION("""COMPUTED_VALUE"""),45894.6458333333)</f>
        <v>45894.6458333333</v>
      </c>
      <c r="H106" s="17">
        <f>IFERROR(__xludf.DUMMYFUNCTION("""COMPUTED_VALUE"""),160.33)</f>
        <v>160.33</v>
      </c>
      <c r="I106" s="16">
        <f>IFERROR(__xludf.DUMMYFUNCTION("""COMPUTED_VALUE"""),45894.6458333333)</f>
        <v>45894.6458333333</v>
      </c>
      <c r="J106" s="17">
        <f>IFERROR(__xludf.DUMMYFUNCTION("""COMPUTED_VALUE"""),158.64)</f>
        <v>158.64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IFERROR(__xludf.DUMMYFUNCTION("""COMPUTED_VALUE"""),155.03)</f>
        <v>155.03</v>
      </c>
      <c r="C107" s="16">
        <f>IFERROR(__xludf.DUMMYFUNCTION("""COMPUTED_VALUE"""),45895.6458333333)</f>
        <v>45895.6458333333</v>
      </c>
      <c r="D107" s="17">
        <f>IFERROR(__xludf.DUMMYFUNCTION("""COMPUTED_VALUE"""),159.16)</f>
        <v>159.16</v>
      </c>
      <c r="E107" s="16">
        <f>IFERROR(__xludf.DUMMYFUNCTION("""COMPUTED_VALUE"""),45895.6458333333)</f>
        <v>45895.6458333333</v>
      </c>
      <c r="F107" s="17">
        <f>IFERROR(__xludf.DUMMYFUNCTION("""COMPUTED_VALUE"""),19621100)</f>
        <v>19621100</v>
      </c>
      <c r="G107" s="16">
        <f>IFERROR(__xludf.DUMMYFUNCTION("""COMPUTED_VALUE"""),45895.6458333333)</f>
        <v>45895.6458333333</v>
      </c>
      <c r="H107" s="17">
        <f>IFERROR(__xludf.DUMMYFUNCTION("""COMPUTED_VALUE"""),159.16)</f>
        <v>159.16</v>
      </c>
      <c r="I107" s="16">
        <f>IFERROR(__xludf.DUMMYFUNCTION("""COMPUTED_VALUE"""),45895.6458333333)</f>
        <v>45895.6458333333</v>
      </c>
      <c r="J107" s="17">
        <f>IFERROR(__xludf.DUMMYFUNCTION("""COMPUTED_VALUE"""),154.64)</f>
        <v>154.64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IFERROR(__xludf.DUMMYFUNCTION("""COMPUTED_VALUE"""),153.63)</f>
        <v>153.63</v>
      </c>
      <c r="C108" s="16">
        <f>IFERROR(__xludf.DUMMYFUNCTION("""COMPUTED_VALUE"""),45897.6458333333)</f>
        <v>45897.6458333333</v>
      </c>
      <c r="D108" s="17">
        <f>IFERROR(__xludf.DUMMYFUNCTION("""COMPUTED_VALUE"""),155.78)</f>
        <v>155.78</v>
      </c>
      <c r="E108" s="16">
        <f>IFERROR(__xludf.DUMMYFUNCTION("""COMPUTED_VALUE"""),45897.6458333333)</f>
        <v>45897.6458333333</v>
      </c>
      <c r="F108" s="17">
        <f>IFERROR(__xludf.DUMMYFUNCTION("""COMPUTED_VALUE"""),22269875)</f>
        <v>22269875</v>
      </c>
      <c r="G108" s="16">
        <f>IFERROR(__xludf.DUMMYFUNCTION("""COMPUTED_VALUE"""),45897.6458333333)</f>
        <v>45897.6458333333</v>
      </c>
      <c r="H108" s="17">
        <f>IFERROR(__xludf.DUMMYFUNCTION("""COMPUTED_VALUE"""),155.87)</f>
        <v>155.87</v>
      </c>
      <c r="I108" s="16">
        <f>IFERROR(__xludf.DUMMYFUNCTION("""COMPUTED_VALUE"""),45897.6458333333)</f>
        <v>45897.6458333333</v>
      </c>
      <c r="J108" s="17">
        <f>IFERROR(__xludf.DUMMYFUNCTION("""COMPUTED_VALUE"""),153.16)</f>
        <v>153.16</v>
      </c>
      <c r="K108" s="3">
        <f t="shared" si="2"/>
        <v>0</v>
      </c>
      <c r="L108" s="3">
        <f t="shared" si="3"/>
        <v>153.63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IFERROR(__xludf.DUMMYFUNCTION("""COMPUTED_VALUE"""),154.48)</f>
        <v>154.48</v>
      </c>
      <c r="C109" s="16">
        <f>IFERROR(__xludf.DUMMYFUNCTION("""COMPUTED_VALUE"""),45898.6458333333)</f>
        <v>45898.6458333333</v>
      </c>
      <c r="D109" s="17">
        <f>IFERROR(__xludf.DUMMYFUNCTION("""COMPUTED_VALUE"""),154.5)</f>
        <v>154.5</v>
      </c>
      <c r="E109" s="16">
        <f>IFERROR(__xludf.DUMMYFUNCTION("""COMPUTED_VALUE"""),45898.6458333333)</f>
        <v>45898.6458333333</v>
      </c>
      <c r="F109" s="17">
        <f>IFERROR(__xludf.DUMMYFUNCTION("""COMPUTED_VALUE"""),16971859)</f>
        <v>16971859</v>
      </c>
      <c r="G109" s="16">
        <f>IFERROR(__xludf.DUMMYFUNCTION("""COMPUTED_VALUE"""),45898.6458333333)</f>
        <v>45898.6458333333</v>
      </c>
      <c r="H109" s="17">
        <f>IFERROR(__xludf.DUMMYFUNCTION("""COMPUTED_VALUE"""),155.1)</f>
        <v>155.1</v>
      </c>
      <c r="I109" s="16">
        <f>IFERROR(__xludf.DUMMYFUNCTION("""COMPUTED_VALUE"""),45898.6458333333)</f>
        <v>45898.6458333333</v>
      </c>
      <c r="J109" s="17">
        <f>IFERROR(__xludf.DUMMYFUNCTION("""COMPUTED_VALUE"""),153.05)</f>
        <v>153.05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IFERROR(__xludf.DUMMYFUNCTION("""COMPUTED_VALUE"""),156.17)</f>
        <v>156.17</v>
      </c>
      <c r="C110" s="16">
        <f>IFERROR(__xludf.DUMMYFUNCTION("""COMPUTED_VALUE"""),45901.6458333333)</f>
        <v>45901.6458333333</v>
      </c>
      <c r="D110" s="17">
        <f>IFERROR(__xludf.DUMMYFUNCTION("""COMPUTED_VALUE"""),154.48)</f>
        <v>154.48</v>
      </c>
      <c r="E110" s="16">
        <f>IFERROR(__xludf.DUMMYFUNCTION("""COMPUTED_VALUE"""),45901.6458333333)</f>
        <v>45901.6458333333</v>
      </c>
      <c r="F110" s="17">
        <f>IFERROR(__xludf.DUMMYFUNCTION("""COMPUTED_VALUE"""),10798622)</f>
        <v>10798622</v>
      </c>
      <c r="G110" s="16">
        <f>IFERROR(__xludf.DUMMYFUNCTION("""COMPUTED_VALUE"""),45901.6458333333)</f>
        <v>45901.6458333333</v>
      </c>
      <c r="H110" s="17">
        <f>IFERROR(__xludf.DUMMYFUNCTION("""COMPUTED_VALUE"""),156.36)</f>
        <v>156.36</v>
      </c>
      <c r="I110" s="16">
        <f>IFERROR(__xludf.DUMMYFUNCTION("""COMPUTED_VALUE"""),45901.6458333333)</f>
        <v>45901.6458333333</v>
      </c>
      <c r="J110" s="17">
        <f>IFERROR(__xludf.DUMMYFUNCTION("""COMPUTED_VALUE"""),153.7)</f>
        <v>153.7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IFERROR(__xludf.DUMMYFUNCTION("""COMPUTED_VALUE"""),158.39)</f>
        <v>158.39</v>
      </c>
      <c r="C111" s="16">
        <f>IFERROR(__xludf.DUMMYFUNCTION("""COMPUTED_VALUE"""),45902.6458333333)</f>
        <v>45902.6458333333</v>
      </c>
      <c r="D111" s="17">
        <f>IFERROR(__xludf.DUMMYFUNCTION("""COMPUTED_VALUE"""),156.17)</f>
        <v>156.17</v>
      </c>
      <c r="E111" s="16">
        <f>IFERROR(__xludf.DUMMYFUNCTION("""COMPUTED_VALUE"""),45902.6458333333)</f>
        <v>45902.6458333333</v>
      </c>
      <c r="F111" s="17">
        <f>IFERROR(__xludf.DUMMYFUNCTION("""COMPUTED_VALUE"""),21202113)</f>
        <v>21202113</v>
      </c>
      <c r="G111" s="16">
        <f>IFERROR(__xludf.DUMMYFUNCTION("""COMPUTED_VALUE"""),45902.6458333333)</f>
        <v>45902.6458333333</v>
      </c>
      <c r="H111" s="17">
        <f>IFERROR(__xludf.DUMMYFUNCTION("""COMPUTED_VALUE"""),159.07)</f>
        <v>159.07</v>
      </c>
      <c r="I111" s="16">
        <f>IFERROR(__xludf.DUMMYFUNCTION("""COMPUTED_VALUE"""),45902.6458333333)</f>
        <v>45902.6458333333</v>
      </c>
      <c r="J111" s="17">
        <f>IFERROR(__xludf.DUMMYFUNCTION("""COMPUTED_VALUE"""),155.5)</f>
        <v>155.5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IFERROR(__xludf.DUMMYFUNCTION("""COMPUTED_VALUE"""),167.85)</f>
        <v>167.85</v>
      </c>
      <c r="C112" s="16">
        <f>IFERROR(__xludf.DUMMYFUNCTION("""COMPUTED_VALUE"""),45903.6458333333)</f>
        <v>45903.6458333333</v>
      </c>
      <c r="D112" s="17">
        <f>IFERROR(__xludf.DUMMYFUNCTION("""COMPUTED_VALUE"""),158.4)</f>
        <v>158.4</v>
      </c>
      <c r="E112" s="16">
        <f>IFERROR(__xludf.DUMMYFUNCTION("""COMPUTED_VALUE"""),45903.6458333333)</f>
        <v>45903.6458333333</v>
      </c>
      <c r="F112" s="17">
        <f>IFERROR(__xludf.DUMMYFUNCTION("""COMPUTED_VALUE"""),82352014)</f>
        <v>82352014</v>
      </c>
      <c r="G112" s="16">
        <f>IFERROR(__xludf.DUMMYFUNCTION("""COMPUTED_VALUE"""),45903.6458333333)</f>
        <v>45903.6458333333</v>
      </c>
      <c r="H112" s="17">
        <f>IFERROR(__xludf.DUMMYFUNCTION("""COMPUTED_VALUE"""),168)</f>
        <v>168</v>
      </c>
      <c r="I112" s="16">
        <f>IFERROR(__xludf.DUMMYFUNCTION("""COMPUTED_VALUE"""),45903.6458333333)</f>
        <v>45903.6458333333</v>
      </c>
      <c r="J112" s="17">
        <f>IFERROR(__xludf.DUMMYFUNCTION("""COMPUTED_VALUE"""),158.4)</f>
        <v>158.4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IFERROR(__xludf.DUMMYFUNCTION("""COMPUTED_VALUE"""),166.81)</f>
        <v>166.81</v>
      </c>
      <c r="C113" s="16">
        <f>IFERROR(__xludf.DUMMYFUNCTION("""COMPUTED_VALUE"""),45904.6458333333)</f>
        <v>45904.6458333333</v>
      </c>
      <c r="D113" s="17">
        <f>IFERROR(__xludf.DUMMYFUNCTION("""COMPUTED_VALUE"""),169)</f>
        <v>169</v>
      </c>
      <c r="E113" s="16">
        <f>IFERROR(__xludf.DUMMYFUNCTION("""COMPUTED_VALUE"""),45904.6458333333)</f>
        <v>45904.6458333333</v>
      </c>
      <c r="F113" s="17">
        <f>IFERROR(__xludf.DUMMYFUNCTION("""COMPUTED_VALUE"""),26316842)</f>
        <v>26316842</v>
      </c>
      <c r="G113" s="16">
        <f>IFERROR(__xludf.DUMMYFUNCTION("""COMPUTED_VALUE"""),45904.6458333333)</f>
        <v>45904.6458333333</v>
      </c>
      <c r="H113" s="17">
        <f>IFERROR(__xludf.DUMMYFUNCTION("""COMPUTED_VALUE"""),169.3)</f>
        <v>169.3</v>
      </c>
      <c r="I113" s="16">
        <f>IFERROR(__xludf.DUMMYFUNCTION("""COMPUTED_VALUE"""),45904.6458333333)</f>
        <v>45904.6458333333</v>
      </c>
      <c r="J113" s="17">
        <f>IFERROR(__xludf.DUMMYFUNCTION("""COMPUTED_VALUE"""),166.62)</f>
        <v>166.62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IFERROR(__xludf.DUMMYFUNCTION("""COMPUTED_VALUE"""),167.68)</f>
        <v>167.68</v>
      </c>
      <c r="C114" s="16">
        <f>IFERROR(__xludf.DUMMYFUNCTION("""COMPUTED_VALUE"""),45905.6458333333)</f>
        <v>45905.6458333333</v>
      </c>
      <c r="D114" s="17">
        <f>IFERROR(__xludf.DUMMYFUNCTION("""COMPUTED_VALUE"""),167)</f>
        <v>167</v>
      </c>
      <c r="E114" s="16">
        <f>IFERROR(__xludf.DUMMYFUNCTION("""COMPUTED_VALUE"""),45905.6458333333)</f>
        <v>45905.6458333333</v>
      </c>
      <c r="F114" s="17">
        <f>IFERROR(__xludf.DUMMYFUNCTION("""COMPUTED_VALUE"""),16798170)</f>
        <v>16798170</v>
      </c>
      <c r="G114" s="16">
        <f>IFERROR(__xludf.DUMMYFUNCTION("""COMPUTED_VALUE"""),45905.6458333333)</f>
        <v>45905.6458333333</v>
      </c>
      <c r="H114" s="17">
        <f>IFERROR(__xludf.DUMMYFUNCTION("""COMPUTED_VALUE"""),168)</f>
        <v>168</v>
      </c>
      <c r="I114" s="16">
        <f>IFERROR(__xludf.DUMMYFUNCTION("""COMPUTED_VALUE"""),45905.6458333333)</f>
        <v>45905.6458333333</v>
      </c>
      <c r="J114" s="17">
        <f>IFERROR(__xludf.DUMMYFUNCTION("""COMPUTED_VALUE"""),165.94)</f>
        <v>165.94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IFERROR(__xludf.DUMMYFUNCTION("""COMPUTED_VALUE"""),168.82)</f>
        <v>168.82</v>
      </c>
      <c r="C115" s="16">
        <f>IFERROR(__xludf.DUMMYFUNCTION("""COMPUTED_VALUE"""),45908.6458333333)</f>
        <v>45908.6458333333</v>
      </c>
      <c r="D115" s="17">
        <f>IFERROR(__xludf.DUMMYFUNCTION("""COMPUTED_VALUE"""),170)</f>
        <v>170</v>
      </c>
      <c r="E115" s="16">
        <f>IFERROR(__xludf.DUMMYFUNCTION("""COMPUTED_VALUE"""),45908.6458333333)</f>
        <v>45908.6458333333</v>
      </c>
      <c r="F115" s="17">
        <f>IFERROR(__xludf.DUMMYFUNCTION("""COMPUTED_VALUE"""),36402317)</f>
        <v>36402317</v>
      </c>
      <c r="G115" s="16">
        <f>IFERROR(__xludf.DUMMYFUNCTION("""COMPUTED_VALUE"""),45908.6458333333)</f>
        <v>45908.6458333333</v>
      </c>
      <c r="H115" s="17">
        <f>IFERROR(__xludf.DUMMYFUNCTION("""COMPUTED_VALUE"""),172.5)</f>
        <v>172.5</v>
      </c>
      <c r="I115" s="16">
        <f>IFERROR(__xludf.DUMMYFUNCTION("""COMPUTED_VALUE"""),45908.6458333333)</f>
        <v>45908.6458333333</v>
      </c>
      <c r="J115" s="17">
        <f>IFERROR(__xludf.DUMMYFUNCTION("""COMPUTED_VALUE"""),168.46)</f>
        <v>168.46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IFERROR(__xludf.DUMMYFUNCTION("""COMPUTED_VALUE"""),169.15)</f>
        <v>169.15</v>
      </c>
      <c r="C116" s="16">
        <f>IFERROR(__xludf.DUMMYFUNCTION("""COMPUTED_VALUE"""),45909.6458333333)</f>
        <v>45909.6458333333</v>
      </c>
      <c r="D116" s="17">
        <f>IFERROR(__xludf.DUMMYFUNCTION("""COMPUTED_VALUE"""),169.3)</f>
        <v>169.3</v>
      </c>
      <c r="E116" s="16">
        <f>IFERROR(__xludf.DUMMYFUNCTION("""COMPUTED_VALUE"""),45909.6458333333)</f>
        <v>45909.6458333333</v>
      </c>
      <c r="F116" s="17">
        <f>IFERROR(__xludf.DUMMYFUNCTION("""COMPUTED_VALUE"""),14028910)</f>
        <v>14028910</v>
      </c>
      <c r="G116" s="16">
        <f>IFERROR(__xludf.DUMMYFUNCTION("""COMPUTED_VALUE"""),45909.6458333333)</f>
        <v>45909.6458333333</v>
      </c>
      <c r="H116" s="17">
        <f>IFERROR(__xludf.DUMMYFUNCTION("""COMPUTED_VALUE"""),169.72)</f>
        <v>169.72</v>
      </c>
      <c r="I116" s="16">
        <f>IFERROR(__xludf.DUMMYFUNCTION("""COMPUTED_VALUE"""),45909.6458333333)</f>
        <v>45909.6458333333</v>
      </c>
      <c r="J116" s="17">
        <f>IFERROR(__xludf.DUMMYFUNCTION("""COMPUTED_VALUE"""),167.99)</f>
        <v>167.99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IFERROR(__xludf.DUMMYFUNCTION("""COMPUTED_VALUE"""),169.43)</f>
        <v>169.43</v>
      </c>
      <c r="C117" s="16">
        <f>IFERROR(__xludf.DUMMYFUNCTION("""COMPUTED_VALUE"""),45910.6458333333)</f>
        <v>45910.6458333333</v>
      </c>
      <c r="D117" s="17">
        <f>IFERROR(__xludf.DUMMYFUNCTION("""COMPUTED_VALUE"""),169.19)</f>
        <v>169.19</v>
      </c>
      <c r="E117" s="16">
        <f>IFERROR(__xludf.DUMMYFUNCTION("""COMPUTED_VALUE"""),45910.6458333333)</f>
        <v>45910.6458333333</v>
      </c>
      <c r="F117" s="17">
        <f>IFERROR(__xludf.DUMMYFUNCTION("""COMPUTED_VALUE"""),13128306)</f>
        <v>13128306</v>
      </c>
      <c r="G117" s="16">
        <f>IFERROR(__xludf.DUMMYFUNCTION("""COMPUTED_VALUE"""),45910.6458333333)</f>
        <v>45910.6458333333</v>
      </c>
      <c r="H117" s="17">
        <f>IFERROR(__xludf.DUMMYFUNCTION("""COMPUTED_VALUE"""),170.73)</f>
        <v>170.73</v>
      </c>
      <c r="I117" s="16">
        <f>IFERROR(__xludf.DUMMYFUNCTION("""COMPUTED_VALUE"""),45910.6458333333)</f>
        <v>45910.6458333333</v>
      </c>
      <c r="J117" s="17">
        <f>IFERROR(__xludf.DUMMYFUNCTION("""COMPUTED_VALUE"""),168.75)</f>
        <v>168.75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IFERROR(__xludf.DUMMYFUNCTION("""COMPUTED_VALUE"""),169.41)</f>
        <v>169.41</v>
      </c>
      <c r="C118" s="16">
        <f>IFERROR(__xludf.DUMMYFUNCTION("""COMPUTED_VALUE"""),45911.6458333333)</f>
        <v>45911.6458333333</v>
      </c>
      <c r="D118" s="17">
        <f>IFERROR(__xludf.DUMMYFUNCTION("""COMPUTED_VALUE"""),169.35)</f>
        <v>169.35</v>
      </c>
      <c r="E118" s="16">
        <f>IFERROR(__xludf.DUMMYFUNCTION("""COMPUTED_VALUE"""),45911.6458333333)</f>
        <v>45911.6458333333</v>
      </c>
      <c r="F118" s="17">
        <f>IFERROR(__xludf.DUMMYFUNCTION("""COMPUTED_VALUE"""),13829526)</f>
        <v>13829526</v>
      </c>
      <c r="G118" s="16">
        <f>IFERROR(__xludf.DUMMYFUNCTION("""COMPUTED_VALUE"""),45911.6458333333)</f>
        <v>45911.6458333333</v>
      </c>
      <c r="H118" s="17">
        <f>IFERROR(__xludf.DUMMYFUNCTION("""COMPUTED_VALUE"""),170.9)</f>
        <v>170.9</v>
      </c>
      <c r="I118" s="16">
        <f>IFERROR(__xludf.DUMMYFUNCTION("""COMPUTED_VALUE"""),45911.6458333333)</f>
        <v>45911.6458333333</v>
      </c>
      <c r="J118" s="17">
        <f>IFERROR(__xludf.DUMMYFUNCTION("""COMPUTED_VALUE"""),168.46)</f>
        <v>168.46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IFERROR(__xludf.DUMMYFUNCTION("""COMPUTED_VALUE"""),169.78)</f>
        <v>169.78</v>
      </c>
      <c r="C119" s="16">
        <f>IFERROR(__xludf.DUMMYFUNCTION("""COMPUTED_VALUE"""),45912.6458333333)</f>
        <v>45912.6458333333</v>
      </c>
      <c r="D119" s="17">
        <f>IFERROR(__xludf.DUMMYFUNCTION("""COMPUTED_VALUE"""),169.6)</f>
        <v>169.6</v>
      </c>
      <c r="E119" s="16">
        <f>IFERROR(__xludf.DUMMYFUNCTION("""COMPUTED_VALUE"""),45912.6458333333)</f>
        <v>45912.6458333333</v>
      </c>
      <c r="F119" s="17">
        <f>IFERROR(__xludf.DUMMYFUNCTION("""COMPUTED_VALUE"""),12119036)</f>
        <v>12119036</v>
      </c>
      <c r="G119" s="16">
        <f>IFERROR(__xludf.DUMMYFUNCTION("""COMPUTED_VALUE"""),45912.6458333333)</f>
        <v>45912.6458333333</v>
      </c>
      <c r="H119" s="17">
        <f>IFERROR(__xludf.DUMMYFUNCTION("""COMPUTED_VALUE"""),171)</f>
        <v>171</v>
      </c>
      <c r="I119" s="16">
        <f>IFERROR(__xludf.DUMMYFUNCTION("""COMPUTED_VALUE"""),45912.6458333333)</f>
        <v>45912.6458333333</v>
      </c>
      <c r="J119" s="17">
        <f>IFERROR(__xludf.DUMMYFUNCTION("""COMPUTED_VALUE"""),168.63)</f>
        <v>168.63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IFERROR(__xludf.DUMMYFUNCTION("""COMPUTED_VALUE"""),169.23)</f>
        <v>169.23</v>
      </c>
      <c r="C120" s="16">
        <f>IFERROR(__xludf.DUMMYFUNCTION("""COMPUTED_VALUE"""),45915.6458333333)</f>
        <v>45915.6458333333</v>
      </c>
      <c r="D120" s="17">
        <f>IFERROR(__xludf.DUMMYFUNCTION("""COMPUTED_VALUE"""),169.77)</f>
        <v>169.77</v>
      </c>
      <c r="E120" s="16">
        <f>IFERROR(__xludf.DUMMYFUNCTION("""COMPUTED_VALUE"""),45915.6458333333)</f>
        <v>45915.6458333333</v>
      </c>
      <c r="F120" s="17">
        <f>IFERROR(__xludf.DUMMYFUNCTION("""COMPUTED_VALUE"""),10611401)</f>
        <v>10611401</v>
      </c>
      <c r="G120" s="16">
        <f>IFERROR(__xludf.DUMMYFUNCTION("""COMPUTED_VALUE"""),45915.6458333333)</f>
        <v>45915.6458333333</v>
      </c>
      <c r="H120" s="17">
        <f>IFERROR(__xludf.DUMMYFUNCTION("""COMPUTED_VALUE"""),170.2)</f>
        <v>170.2</v>
      </c>
      <c r="I120" s="16">
        <f>IFERROR(__xludf.DUMMYFUNCTION("""COMPUTED_VALUE"""),45915.6458333333)</f>
        <v>45915.6458333333</v>
      </c>
      <c r="J120" s="17">
        <f>IFERROR(__xludf.DUMMYFUNCTION("""COMPUTED_VALUE"""),168.63)</f>
        <v>168.63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IFERROR(__xludf.DUMMYFUNCTION("""COMPUTED_VALUE"""),172.02)</f>
        <v>172.02</v>
      </c>
      <c r="C121" s="16">
        <f>IFERROR(__xludf.DUMMYFUNCTION("""COMPUTED_VALUE"""),45916.6458333333)</f>
        <v>45916.6458333333</v>
      </c>
      <c r="D121" s="17">
        <f>IFERROR(__xludf.DUMMYFUNCTION("""COMPUTED_VALUE"""),169.39)</f>
        <v>169.39</v>
      </c>
      <c r="E121" s="16">
        <f>IFERROR(__xludf.DUMMYFUNCTION("""COMPUTED_VALUE"""),45916.6458333333)</f>
        <v>45916.6458333333</v>
      </c>
      <c r="F121" s="17">
        <f>IFERROR(__xludf.DUMMYFUNCTION("""COMPUTED_VALUE"""),26629438)</f>
        <v>26629438</v>
      </c>
      <c r="G121" s="16">
        <f>IFERROR(__xludf.DUMMYFUNCTION("""COMPUTED_VALUE"""),45916.6458333333)</f>
        <v>45916.6458333333</v>
      </c>
      <c r="H121" s="17">
        <f>IFERROR(__xludf.DUMMYFUNCTION("""COMPUTED_VALUE"""),172.27)</f>
        <v>172.27</v>
      </c>
      <c r="I121" s="16">
        <f>IFERROR(__xludf.DUMMYFUNCTION("""COMPUTED_VALUE"""),45916.6458333333)</f>
        <v>45916.6458333333</v>
      </c>
      <c r="J121" s="17">
        <f>IFERROR(__xludf.DUMMYFUNCTION("""COMPUTED_VALUE"""),169.02)</f>
        <v>169.02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IFERROR(__xludf.DUMMYFUNCTION("""COMPUTED_VALUE"""),171.36)</f>
        <v>171.36</v>
      </c>
      <c r="C122" s="16">
        <f>IFERROR(__xludf.DUMMYFUNCTION("""COMPUTED_VALUE"""),45917.6458333333)</f>
        <v>45917.6458333333</v>
      </c>
      <c r="D122" s="17">
        <f>IFERROR(__xludf.DUMMYFUNCTION("""COMPUTED_VALUE"""),172.5)</f>
        <v>172.5</v>
      </c>
      <c r="E122" s="16">
        <f>IFERROR(__xludf.DUMMYFUNCTION("""COMPUTED_VALUE"""),45917.6458333333)</f>
        <v>45917.6458333333</v>
      </c>
      <c r="F122" s="17">
        <f>IFERROR(__xludf.DUMMYFUNCTION("""COMPUTED_VALUE"""),21381306)</f>
        <v>21381306</v>
      </c>
      <c r="G122" s="16">
        <f>IFERROR(__xludf.DUMMYFUNCTION("""COMPUTED_VALUE"""),45917.6458333333)</f>
        <v>45917.6458333333</v>
      </c>
      <c r="H122" s="17">
        <f>IFERROR(__xludf.DUMMYFUNCTION("""COMPUTED_VALUE"""),172.9)</f>
        <v>172.9</v>
      </c>
      <c r="I122" s="16">
        <f>IFERROR(__xludf.DUMMYFUNCTION("""COMPUTED_VALUE"""),45917.6458333333)</f>
        <v>45917.6458333333</v>
      </c>
      <c r="J122" s="17">
        <f>IFERROR(__xludf.DUMMYFUNCTION("""COMPUTED_VALUE"""),169.35)</f>
        <v>169.35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IFERROR(__xludf.DUMMYFUNCTION("""COMPUTED_VALUE"""),172.03)</f>
        <v>172.03</v>
      </c>
      <c r="C123" s="16">
        <f>IFERROR(__xludf.DUMMYFUNCTION("""COMPUTED_VALUE"""),45918.6458333333)</f>
        <v>45918.6458333333</v>
      </c>
      <c r="D123" s="17">
        <f>IFERROR(__xludf.DUMMYFUNCTION("""COMPUTED_VALUE"""),171.46)</f>
        <v>171.46</v>
      </c>
      <c r="E123" s="16">
        <f>IFERROR(__xludf.DUMMYFUNCTION("""COMPUTED_VALUE"""),45918.6458333333)</f>
        <v>45918.6458333333</v>
      </c>
      <c r="F123" s="17">
        <f>IFERROR(__xludf.DUMMYFUNCTION("""COMPUTED_VALUE"""),16413388)</f>
        <v>16413388</v>
      </c>
      <c r="G123" s="16">
        <f>IFERROR(__xludf.DUMMYFUNCTION("""COMPUTED_VALUE"""),45918.6458333333)</f>
        <v>45918.6458333333</v>
      </c>
      <c r="H123" s="17">
        <f>IFERROR(__xludf.DUMMYFUNCTION("""COMPUTED_VALUE"""),172.2)</f>
        <v>172.2</v>
      </c>
      <c r="I123" s="16">
        <f>IFERROR(__xludf.DUMMYFUNCTION("""COMPUTED_VALUE"""),45918.6458333333)</f>
        <v>45918.6458333333</v>
      </c>
      <c r="J123" s="17">
        <f>IFERROR(__xludf.DUMMYFUNCTION("""COMPUTED_VALUE"""),169.81)</f>
        <v>169.81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IFERROR(__xludf.DUMMYFUNCTION("""COMPUTED_VALUE"""),171.48)</f>
        <v>171.48</v>
      </c>
      <c r="C124" s="16">
        <f>IFERROR(__xludf.DUMMYFUNCTION("""COMPUTED_VALUE"""),45919.6458333333)</f>
        <v>45919.6458333333</v>
      </c>
      <c r="D124" s="17">
        <f>IFERROR(__xludf.DUMMYFUNCTION("""COMPUTED_VALUE"""),172.1)</f>
        <v>172.1</v>
      </c>
      <c r="E124" s="16">
        <f>IFERROR(__xludf.DUMMYFUNCTION("""COMPUTED_VALUE"""),45919.6458333333)</f>
        <v>45919.6458333333</v>
      </c>
      <c r="F124" s="17">
        <f>IFERROR(__xludf.DUMMYFUNCTION("""COMPUTED_VALUE"""),25406461)</f>
        <v>25406461</v>
      </c>
      <c r="G124" s="16">
        <f>IFERROR(__xludf.DUMMYFUNCTION("""COMPUTED_VALUE"""),45919.6458333333)</f>
        <v>45919.6458333333</v>
      </c>
      <c r="H124" s="17">
        <f>IFERROR(__xludf.DUMMYFUNCTION("""COMPUTED_VALUE"""),172.67)</f>
        <v>172.67</v>
      </c>
      <c r="I124" s="16">
        <f>IFERROR(__xludf.DUMMYFUNCTION("""COMPUTED_VALUE"""),45919.6458333333)</f>
        <v>45919.6458333333</v>
      </c>
      <c r="J124" s="17">
        <f>IFERROR(__xludf.DUMMYFUNCTION("""COMPUTED_VALUE"""),170.6)</f>
        <v>170.6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IFERROR(__xludf.DUMMYFUNCTION("""COMPUTED_VALUE"""),171.39)</f>
        <v>171.39</v>
      </c>
      <c r="C125" s="16">
        <f>IFERROR(__xludf.DUMMYFUNCTION("""COMPUTED_VALUE"""),45922.6458333333)</f>
        <v>45922.6458333333</v>
      </c>
      <c r="D125" s="17">
        <f>IFERROR(__xludf.DUMMYFUNCTION("""COMPUTED_VALUE"""),170.8)</f>
        <v>170.8</v>
      </c>
      <c r="E125" s="16">
        <f>IFERROR(__xludf.DUMMYFUNCTION("""COMPUTED_VALUE"""),45922.6458333333)</f>
        <v>45922.6458333333</v>
      </c>
      <c r="F125" s="17">
        <f>IFERROR(__xludf.DUMMYFUNCTION("""COMPUTED_VALUE"""),20970704)</f>
        <v>20970704</v>
      </c>
      <c r="G125" s="16">
        <f>IFERROR(__xludf.DUMMYFUNCTION("""COMPUTED_VALUE"""),45922.6458333333)</f>
        <v>45922.6458333333</v>
      </c>
      <c r="H125" s="17">
        <f>IFERROR(__xludf.DUMMYFUNCTION("""COMPUTED_VALUE"""),172.21)</f>
        <v>172.21</v>
      </c>
      <c r="I125" s="16">
        <f>IFERROR(__xludf.DUMMYFUNCTION("""COMPUTED_VALUE"""),45922.6458333333)</f>
        <v>45922.6458333333</v>
      </c>
      <c r="J125" s="17">
        <f>IFERROR(__xludf.DUMMYFUNCTION("""COMPUTED_VALUE"""),170.51)</f>
        <v>170.51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IFERROR(__xludf.DUMMYFUNCTION("""COMPUTED_VALUE"""),173.29)</f>
        <v>173.29</v>
      </c>
      <c r="C126" s="16">
        <f>IFERROR(__xludf.DUMMYFUNCTION("""COMPUTED_VALUE"""),45923.6458333333)</f>
        <v>45923.6458333333</v>
      </c>
      <c r="D126" s="17">
        <f>IFERROR(__xludf.DUMMYFUNCTION("""COMPUTED_VALUE"""),171.45)</f>
        <v>171.45</v>
      </c>
      <c r="E126" s="16">
        <f>IFERROR(__xludf.DUMMYFUNCTION("""COMPUTED_VALUE"""),45923.6458333333)</f>
        <v>45923.6458333333</v>
      </c>
      <c r="F126" s="17">
        <f>IFERROR(__xludf.DUMMYFUNCTION("""COMPUTED_VALUE"""),24533561)</f>
        <v>24533561</v>
      </c>
      <c r="G126" s="16">
        <f>IFERROR(__xludf.DUMMYFUNCTION("""COMPUTED_VALUE"""),45923.6458333333)</f>
        <v>45923.6458333333</v>
      </c>
      <c r="H126" s="17">
        <f>IFERROR(__xludf.DUMMYFUNCTION("""COMPUTED_VALUE"""),173.81)</f>
        <v>173.81</v>
      </c>
      <c r="I126" s="16">
        <f>IFERROR(__xludf.DUMMYFUNCTION("""COMPUTED_VALUE"""),45923.6458333333)</f>
        <v>45923.6458333333</v>
      </c>
      <c r="J126" s="17">
        <f>IFERROR(__xludf.DUMMYFUNCTION("""COMPUTED_VALUE"""),171.2)</f>
        <v>171.2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IFERROR(__xludf.DUMMYFUNCTION("""COMPUTED_VALUE"""),172.66)</f>
        <v>172.66</v>
      </c>
      <c r="C127" s="16">
        <f>IFERROR(__xludf.DUMMYFUNCTION("""COMPUTED_VALUE"""),45924.6458333333)</f>
        <v>45924.6458333333</v>
      </c>
      <c r="D127" s="17">
        <f>IFERROR(__xludf.DUMMYFUNCTION("""COMPUTED_VALUE"""),173.16)</f>
        <v>173.16</v>
      </c>
      <c r="E127" s="16">
        <f>IFERROR(__xludf.DUMMYFUNCTION("""COMPUTED_VALUE"""),45924.6458333333)</f>
        <v>45924.6458333333</v>
      </c>
      <c r="F127" s="17">
        <f>IFERROR(__xludf.DUMMYFUNCTION("""COMPUTED_VALUE"""),20168891)</f>
        <v>20168891</v>
      </c>
      <c r="G127" s="16">
        <f>IFERROR(__xludf.DUMMYFUNCTION("""COMPUTED_VALUE"""),45924.6458333333)</f>
        <v>45924.6458333333</v>
      </c>
      <c r="H127" s="17">
        <f>IFERROR(__xludf.DUMMYFUNCTION("""COMPUTED_VALUE"""),174.44)</f>
        <v>174.44</v>
      </c>
      <c r="I127" s="16">
        <f>IFERROR(__xludf.DUMMYFUNCTION("""COMPUTED_VALUE"""),45924.6458333333)</f>
        <v>45924.6458333333</v>
      </c>
      <c r="J127" s="17">
        <f>IFERROR(__xludf.DUMMYFUNCTION("""COMPUTED_VALUE"""),172.38)</f>
        <v>172.38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IFERROR(__xludf.DUMMYFUNCTION("""COMPUTED_VALUE"""),172.38)</f>
        <v>172.38</v>
      </c>
      <c r="C128" s="16">
        <f>IFERROR(__xludf.DUMMYFUNCTION("""COMPUTED_VALUE"""),45925.6458333333)</f>
        <v>45925.6458333333</v>
      </c>
      <c r="D128" s="17">
        <f>IFERROR(__xludf.DUMMYFUNCTION("""COMPUTED_VALUE"""),172.9)</f>
        <v>172.9</v>
      </c>
      <c r="E128" s="16">
        <f>IFERROR(__xludf.DUMMYFUNCTION("""COMPUTED_VALUE"""),45925.6458333333)</f>
        <v>45925.6458333333</v>
      </c>
      <c r="F128" s="17">
        <f>IFERROR(__xludf.DUMMYFUNCTION("""COMPUTED_VALUE"""),17026549)</f>
        <v>17026549</v>
      </c>
      <c r="G128" s="16">
        <f>IFERROR(__xludf.DUMMYFUNCTION("""COMPUTED_VALUE"""),45925.6458333333)</f>
        <v>45925.6458333333</v>
      </c>
      <c r="H128" s="17">
        <f>IFERROR(__xludf.DUMMYFUNCTION("""COMPUTED_VALUE"""),173.85)</f>
        <v>173.85</v>
      </c>
      <c r="I128" s="16">
        <f>IFERROR(__xludf.DUMMYFUNCTION("""COMPUTED_VALUE"""),45925.6458333333)</f>
        <v>45925.6458333333</v>
      </c>
      <c r="J128" s="17">
        <f>IFERROR(__xludf.DUMMYFUNCTION("""COMPUTED_VALUE"""),171.86)</f>
        <v>171.86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IFERROR(__xludf.DUMMYFUNCTION("""COMPUTED_VALUE"""),167.4)</f>
        <v>167.4</v>
      </c>
      <c r="C129" s="16">
        <f>IFERROR(__xludf.DUMMYFUNCTION("""COMPUTED_VALUE"""),45926.6458333333)</f>
        <v>45926.6458333333</v>
      </c>
      <c r="D129" s="17">
        <f>IFERROR(__xludf.DUMMYFUNCTION("""COMPUTED_VALUE"""),172.22)</f>
        <v>172.22</v>
      </c>
      <c r="E129" s="16">
        <f>IFERROR(__xludf.DUMMYFUNCTION("""COMPUTED_VALUE"""),45926.6458333333)</f>
        <v>45926.6458333333</v>
      </c>
      <c r="F129" s="17">
        <f>IFERROR(__xludf.DUMMYFUNCTION("""COMPUTED_VALUE"""),20157657)</f>
        <v>20157657</v>
      </c>
      <c r="G129" s="16">
        <f>IFERROR(__xludf.DUMMYFUNCTION("""COMPUTED_VALUE"""),45926.6458333333)</f>
        <v>45926.6458333333</v>
      </c>
      <c r="H129" s="17">
        <f>IFERROR(__xludf.DUMMYFUNCTION("""COMPUTED_VALUE"""),173.37)</f>
        <v>173.37</v>
      </c>
      <c r="I129" s="16">
        <f>IFERROR(__xludf.DUMMYFUNCTION("""COMPUTED_VALUE"""),45926.6458333333)</f>
        <v>45926.6458333333</v>
      </c>
      <c r="J129" s="17">
        <f>IFERROR(__xludf.DUMMYFUNCTION("""COMPUTED_VALUE"""),167.2)</f>
        <v>167.2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86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""price"")"),1407)</f>
        <v>1407</v>
      </c>
      <c r="I3" s="22" t="s">
        <v>269</v>
      </c>
      <c r="J3" s="23">
        <f>IFERROR(__xludf.DUMMYFUNCTION("GOOGLEFINANCE(L3, ""volume"")"),1851067)</f>
        <v>1851067</v>
      </c>
      <c r="K3" s="24" t="s">
        <v>270</v>
      </c>
      <c r="L3" s="25" t="str">
        <f>Mastersheet!B39</f>
        <v>NSE:TECHM</v>
      </c>
      <c r="M3" s="26">
        <f>IFERROR(__xludf.DUMMYFUNCTION("""COMPUTED_VALUE"""),45926.6458333333)</f>
        <v>45926.6458333333</v>
      </c>
      <c r="N3" s="27">
        <f>IFERROR(__xludf.DUMMYFUNCTION("""COMPUTED_VALUE"""),1407.7)</f>
        <v>1407.7</v>
      </c>
      <c r="O3" s="26">
        <f>IFERROR(__xludf.DUMMYFUNCTION("""COMPUTED_VALUE"""),45926.6458333333)</f>
        <v>45926.6458333333</v>
      </c>
      <c r="P3" s="27">
        <f>IFERROR(__xludf.DUMMYFUNCTION("""COMPUTED_VALUE"""),1439.9)</f>
        <v>1439.9</v>
      </c>
      <c r="Q3" s="16">
        <f>IFERROR(__xludf.DUMMYFUNCTION("""COMPUTED_VALUE"""),45926.6458333333)</f>
        <v>45926.6458333333</v>
      </c>
      <c r="R3" s="17">
        <f>IFERROR(__xludf.DUMMYFUNCTION("""COMPUTED_VALUE"""),1441.5)</f>
        <v>1441.5</v>
      </c>
      <c r="S3" s="16">
        <f>IFERROR(__xludf.DUMMYFUNCTION("""COMPUTED_VALUE"""),45926.6458333333)</f>
        <v>45926.6458333333</v>
      </c>
      <c r="T3" s="17">
        <f>IFERROR(__xludf.DUMMYFUNCTION("""COMPUTED_VALUE"""),1403.5)</f>
        <v>1403.5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IFERROR(__xludf.DUMMYFUNCTION("""COMPUTED_VALUE"""),1423.9)</f>
        <v>1423.9</v>
      </c>
      <c r="C5" s="14">
        <f>IFERROR(__xludf.DUMMYFUNCTION("""COMPUTED_VALUE"""),45743.6458333333)</f>
        <v>45743.6458333333</v>
      </c>
      <c r="D5" s="15">
        <f>IFERROR(__xludf.DUMMYFUNCTION("""COMPUTED_VALUE"""),1407.15)</f>
        <v>1407.15</v>
      </c>
      <c r="E5" s="14">
        <f>IFERROR(__xludf.DUMMYFUNCTION("""COMPUTED_VALUE"""),45743.6458333333)</f>
        <v>45743.6458333333</v>
      </c>
      <c r="F5" s="15">
        <f>IFERROR(__xludf.DUMMYFUNCTION("""COMPUTED_VALUE"""),2541022)</f>
        <v>2541022</v>
      </c>
      <c r="G5" s="14">
        <f>IFERROR(__xludf.DUMMYFUNCTION("""COMPUTED_VALUE"""),45743.6458333333)</f>
        <v>45743.6458333333</v>
      </c>
      <c r="H5" s="15">
        <f>IFERROR(__xludf.DUMMYFUNCTION("""COMPUTED_VALUE"""),1430)</f>
        <v>1430</v>
      </c>
      <c r="I5" s="30">
        <f>IFERROR(__xludf.DUMMYFUNCTION("""COMPUTED_VALUE"""),45743.6458333333)</f>
        <v>45743.6458333333</v>
      </c>
      <c r="J5" s="3">
        <f>IFERROR(__xludf.DUMMYFUNCTION("""COMPUTED_VALUE"""),1406)</f>
        <v>1406</v>
      </c>
      <c r="K5" s="5"/>
      <c r="L5" s="5"/>
      <c r="M5" s="3">
        <f t="array" ref="M5">INDEX(K11:K124,MATCH(SMALL(ABS(K11:K124-H3),1),ABS(K11:K124-H3),0))</f>
        <v>1503</v>
      </c>
      <c r="N5" s="3">
        <f t="array" ref="N5">INDEX(K11:K124,MATCH(SMALL(ABS(K11:K124-H3),2),ABS(K11:K124-H3),0))</f>
        <v>1527.1</v>
      </c>
      <c r="O5" s="3">
        <f t="array" ref="O5">INDEX(L11:L124,MATCH(SMALL(ABS(L11:L124-H3),1),ABS(L11:L124-H3),0))</f>
        <v>1438.8</v>
      </c>
      <c r="P5" s="3">
        <f t="array" ref="P5">INDEX(L11:L124,MATCH(SMALL(ABS(L11:L124-H3),2),ABS(L11:L124-H3),0))</f>
        <v>1460.7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1527.1</v>
      </c>
      <c r="T5" s="17">
        <f ca="1">IF(AND(H3&gt;=Mastersheet!I3*S5,H3&lt;=Mastersheet!J3*S5),1,0)</f>
        <v>0</v>
      </c>
      <c r="U5" s="36">
        <f>(N3+P3)/2</f>
        <v>1423.8</v>
      </c>
      <c r="V5" s="17">
        <f>(N3+P3+R3+T3)/4</f>
        <v>1423.15</v>
      </c>
      <c r="W5" s="17">
        <f>IF(V5&gt;U5,1,0)</f>
        <v>0</v>
      </c>
      <c r="X5" s="17">
        <f>IF(V5&gt;U5,0,1)</f>
        <v>1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IFERROR(__xludf.DUMMYFUNCTION("""COMPUTED_VALUE"""),1418.25)</f>
        <v>1418.25</v>
      </c>
      <c r="C6" s="16">
        <f>IFERROR(__xludf.DUMMYFUNCTION("""COMPUTED_VALUE"""),45744.6458333333)</f>
        <v>45744.6458333333</v>
      </c>
      <c r="D6" s="17">
        <f>IFERROR(__xludf.DUMMYFUNCTION("""COMPUTED_VALUE"""),1415.1)</f>
        <v>1415.1</v>
      </c>
      <c r="E6" s="16">
        <f>IFERROR(__xludf.DUMMYFUNCTION("""COMPUTED_VALUE"""),45744.6458333333)</f>
        <v>45744.6458333333</v>
      </c>
      <c r="F6" s="17">
        <f>IFERROR(__xludf.DUMMYFUNCTION("""COMPUTED_VALUE"""),1642693)</f>
        <v>1642693</v>
      </c>
      <c r="G6" s="16">
        <f>IFERROR(__xludf.DUMMYFUNCTION("""COMPUTED_VALUE"""),45744.6458333333)</f>
        <v>45744.6458333333</v>
      </c>
      <c r="H6" s="17">
        <f>IFERROR(__xludf.DUMMYFUNCTION("""COMPUTED_VALUE"""),1430)</f>
        <v>1430</v>
      </c>
      <c r="I6" s="16">
        <f>IFERROR(__xludf.DUMMYFUNCTION("""COMPUTED_VALUE"""),45744.6458333333)</f>
        <v>45744.6458333333</v>
      </c>
      <c r="J6" s="17">
        <f>IFERROR(__xludf.DUMMYFUNCTION("""COMPUTED_VALUE"""),1408.55)</f>
        <v>1408.55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1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IFERROR(__xludf.DUMMYFUNCTION("""COMPUTED_VALUE"""),1395.15)</f>
        <v>1395.15</v>
      </c>
      <c r="C7" s="16">
        <f>IFERROR(__xludf.DUMMYFUNCTION("""COMPUTED_VALUE"""),45748.6458333333)</f>
        <v>45748.6458333333</v>
      </c>
      <c r="D7" s="17">
        <f>IFERROR(__xludf.DUMMYFUNCTION("""COMPUTED_VALUE"""),1402)</f>
        <v>1402</v>
      </c>
      <c r="E7" s="16">
        <f>IFERROR(__xludf.DUMMYFUNCTION("""COMPUTED_VALUE"""),45748.6458333333)</f>
        <v>45748.6458333333</v>
      </c>
      <c r="F7" s="17">
        <f>IFERROR(__xludf.DUMMYFUNCTION("""COMPUTED_VALUE"""),1578367)</f>
        <v>1578367</v>
      </c>
      <c r="G7" s="16">
        <f>IFERROR(__xludf.DUMMYFUNCTION("""COMPUTED_VALUE"""),45748.6458333333)</f>
        <v>45748.6458333333</v>
      </c>
      <c r="H7" s="17">
        <f>IFERROR(__xludf.DUMMYFUNCTION("""COMPUTED_VALUE"""),1416.95)</f>
        <v>1416.95</v>
      </c>
      <c r="I7" s="16">
        <f>IFERROR(__xludf.DUMMYFUNCTION("""COMPUTED_VALUE"""),45748.6458333333)</f>
        <v>45748.6458333333</v>
      </c>
      <c r="J7" s="17">
        <f>IFERROR(__xludf.DUMMYFUNCTION("""COMPUTED_VALUE"""),1385.4)</f>
        <v>1385.4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IFERROR(__xludf.DUMMYFUNCTION("""COMPUTED_VALUE"""),1423.05)</f>
        <v>1423.05</v>
      </c>
      <c r="C8" s="16">
        <f>IFERROR(__xludf.DUMMYFUNCTION("""COMPUTED_VALUE"""),45749.6458333333)</f>
        <v>45749.6458333333</v>
      </c>
      <c r="D8" s="17">
        <f>IFERROR(__xludf.DUMMYFUNCTION("""COMPUTED_VALUE"""),1397.15)</f>
        <v>1397.15</v>
      </c>
      <c r="E8" s="16">
        <f>IFERROR(__xludf.DUMMYFUNCTION("""COMPUTED_VALUE"""),45749.6458333333)</f>
        <v>45749.6458333333</v>
      </c>
      <c r="F8" s="17">
        <f>IFERROR(__xludf.DUMMYFUNCTION("""COMPUTED_VALUE"""),1617949)</f>
        <v>1617949</v>
      </c>
      <c r="G8" s="16">
        <f>IFERROR(__xludf.DUMMYFUNCTION("""COMPUTED_VALUE"""),45749.6458333333)</f>
        <v>45749.6458333333</v>
      </c>
      <c r="H8" s="17">
        <f>IFERROR(__xludf.DUMMYFUNCTION("""COMPUTED_VALUE"""),1426.05)</f>
        <v>1426.05</v>
      </c>
      <c r="I8" s="16">
        <f>IFERROR(__xludf.DUMMYFUNCTION("""COMPUTED_VALUE"""),45749.6458333333)</f>
        <v>45749.6458333333</v>
      </c>
      <c r="J8" s="17">
        <f>IFERROR(__xludf.DUMMYFUNCTION("""COMPUTED_VALUE"""),1397.15)</f>
        <v>1397.15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IFERROR(__xludf.DUMMYFUNCTION("""COMPUTED_VALUE"""),1369.35)</f>
        <v>1369.35</v>
      </c>
      <c r="C9" s="16">
        <f>IFERROR(__xludf.DUMMYFUNCTION("""COMPUTED_VALUE"""),45750.6458333333)</f>
        <v>45750.6458333333</v>
      </c>
      <c r="D9" s="17">
        <f>IFERROR(__xludf.DUMMYFUNCTION("""COMPUTED_VALUE"""),1397)</f>
        <v>1397</v>
      </c>
      <c r="E9" s="16">
        <f>IFERROR(__xludf.DUMMYFUNCTION("""COMPUTED_VALUE"""),45750.6458333333)</f>
        <v>45750.6458333333</v>
      </c>
      <c r="F9" s="17">
        <f>IFERROR(__xludf.DUMMYFUNCTION("""COMPUTED_VALUE"""),1943422)</f>
        <v>1943422</v>
      </c>
      <c r="G9" s="16">
        <f>IFERROR(__xludf.DUMMYFUNCTION("""COMPUTED_VALUE"""),45750.6458333333)</f>
        <v>45750.6458333333</v>
      </c>
      <c r="H9" s="17">
        <f>IFERROR(__xludf.DUMMYFUNCTION("""COMPUTED_VALUE"""),1400)</f>
        <v>1400</v>
      </c>
      <c r="I9" s="16">
        <f>IFERROR(__xludf.DUMMYFUNCTION("""COMPUTED_VALUE"""),45750.6458333333)</f>
        <v>45750.6458333333</v>
      </c>
      <c r="J9" s="17">
        <f>IFERROR(__xludf.DUMMYFUNCTION("""COMPUTED_VALUE"""),1360.25)</f>
        <v>1360.25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IFERROR(__xludf.DUMMYFUNCTION("""COMPUTED_VALUE"""),1320.95)</f>
        <v>1320.95</v>
      </c>
      <c r="C10" s="16">
        <f>IFERROR(__xludf.DUMMYFUNCTION("""COMPUTED_VALUE"""),45751.6458333333)</f>
        <v>45751.6458333333</v>
      </c>
      <c r="D10" s="17">
        <f>IFERROR(__xludf.DUMMYFUNCTION("""COMPUTED_VALUE"""),1350)</f>
        <v>1350</v>
      </c>
      <c r="E10" s="16">
        <f>IFERROR(__xludf.DUMMYFUNCTION("""COMPUTED_VALUE"""),45751.6458333333)</f>
        <v>45751.6458333333</v>
      </c>
      <c r="F10" s="17">
        <f>IFERROR(__xludf.DUMMYFUNCTION("""COMPUTED_VALUE"""),1757493)</f>
        <v>1757493</v>
      </c>
      <c r="G10" s="16">
        <f>IFERROR(__xludf.DUMMYFUNCTION("""COMPUTED_VALUE"""),45751.6458333333)</f>
        <v>45751.6458333333</v>
      </c>
      <c r="H10" s="17">
        <f>IFERROR(__xludf.DUMMYFUNCTION("""COMPUTED_VALUE"""),1359.2)</f>
        <v>1359.2</v>
      </c>
      <c r="I10" s="16">
        <f>IFERROR(__xludf.DUMMYFUNCTION("""COMPUTED_VALUE"""),45751.6458333333)</f>
        <v>45751.6458333333</v>
      </c>
      <c r="J10" s="17">
        <f>IFERROR(__xludf.DUMMYFUNCTION("""COMPUTED_VALUE"""),1318.85)</f>
        <v>1318.85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IFERROR(__xludf.DUMMYFUNCTION("""COMPUTED_VALUE"""),1288)</f>
        <v>1288</v>
      </c>
      <c r="C11" s="16">
        <f>IFERROR(__xludf.DUMMYFUNCTION("""COMPUTED_VALUE"""),45754.6458333333)</f>
        <v>45754.6458333333</v>
      </c>
      <c r="D11" s="17">
        <f>IFERROR(__xludf.DUMMYFUNCTION("""COMPUTED_VALUE"""),1245)</f>
        <v>1245</v>
      </c>
      <c r="E11" s="16">
        <f>IFERROR(__xludf.DUMMYFUNCTION("""COMPUTED_VALUE"""),45754.6458333333)</f>
        <v>45754.6458333333</v>
      </c>
      <c r="F11" s="17">
        <f>IFERROR(__xludf.DUMMYFUNCTION("""COMPUTED_VALUE"""),3044730)</f>
        <v>3044730</v>
      </c>
      <c r="G11" s="16">
        <f>IFERROR(__xludf.DUMMYFUNCTION("""COMPUTED_VALUE"""),45754.6458333333)</f>
        <v>45754.6458333333</v>
      </c>
      <c r="H11" s="17">
        <f>IFERROR(__xludf.DUMMYFUNCTION("""COMPUTED_VALUE"""),1293.8)</f>
        <v>1293.8</v>
      </c>
      <c r="I11" s="16">
        <f>IFERROR(__xludf.DUMMYFUNCTION("""COMPUTED_VALUE"""),45754.6458333333)</f>
        <v>45754.6458333333</v>
      </c>
      <c r="J11" s="17">
        <f>IFERROR(__xludf.DUMMYFUNCTION("""COMPUTED_VALUE"""),1209.4)</f>
        <v>1209.4</v>
      </c>
      <c r="K11" s="3">
        <f t="shared" ref="K11:K125" si="2">IF(B11=MAX(B5:B17),B11,0)</f>
        <v>0</v>
      </c>
      <c r="L11" s="3">
        <f t="shared" ref="L11:L125" si="3">IF(B11=MIN(B5:B17),B11,0)</f>
        <v>0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IFERROR(__xludf.DUMMYFUNCTION("""COMPUTED_VALUE"""),1314.4)</f>
        <v>1314.4</v>
      </c>
      <c r="C12" s="16">
        <f>IFERROR(__xludf.DUMMYFUNCTION("""COMPUTED_VALUE"""),45755.6458333333)</f>
        <v>45755.6458333333</v>
      </c>
      <c r="D12" s="17">
        <f>IFERROR(__xludf.DUMMYFUNCTION("""COMPUTED_VALUE"""),1314)</f>
        <v>1314</v>
      </c>
      <c r="E12" s="16">
        <f>IFERROR(__xludf.DUMMYFUNCTION("""COMPUTED_VALUE"""),45755.6458333333)</f>
        <v>45755.6458333333</v>
      </c>
      <c r="F12" s="17">
        <f>IFERROR(__xludf.DUMMYFUNCTION("""COMPUTED_VALUE"""),2868814)</f>
        <v>2868814</v>
      </c>
      <c r="G12" s="16">
        <f>IFERROR(__xludf.DUMMYFUNCTION("""COMPUTED_VALUE"""),45755.6458333333)</f>
        <v>45755.6458333333</v>
      </c>
      <c r="H12" s="17">
        <f>IFERROR(__xludf.DUMMYFUNCTION("""COMPUTED_VALUE"""),1342.05)</f>
        <v>1342.05</v>
      </c>
      <c r="I12" s="16">
        <f>IFERROR(__xludf.DUMMYFUNCTION("""COMPUTED_VALUE"""),45755.6458333333)</f>
        <v>45755.6458333333</v>
      </c>
      <c r="J12" s="17">
        <f>IFERROR(__xludf.DUMMYFUNCTION("""COMPUTED_VALUE"""),1291.15)</f>
        <v>1291.15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IFERROR(__xludf.DUMMYFUNCTION("""COMPUTED_VALUE"""),1272.75)</f>
        <v>1272.75</v>
      </c>
      <c r="C13" s="16">
        <f>IFERROR(__xludf.DUMMYFUNCTION("""COMPUTED_VALUE"""),45756.6458333333)</f>
        <v>45756.6458333333</v>
      </c>
      <c r="D13" s="17">
        <f>IFERROR(__xludf.DUMMYFUNCTION("""COMPUTED_VALUE"""),1290)</f>
        <v>1290</v>
      </c>
      <c r="E13" s="16">
        <f>IFERROR(__xludf.DUMMYFUNCTION("""COMPUTED_VALUE"""),45756.6458333333)</f>
        <v>45756.6458333333</v>
      </c>
      <c r="F13" s="17">
        <f>IFERROR(__xludf.DUMMYFUNCTION("""COMPUTED_VALUE"""),3724878)</f>
        <v>3724878</v>
      </c>
      <c r="G13" s="16">
        <f>IFERROR(__xludf.DUMMYFUNCTION("""COMPUTED_VALUE"""),45756.6458333333)</f>
        <v>45756.6458333333</v>
      </c>
      <c r="H13" s="17">
        <f>IFERROR(__xludf.DUMMYFUNCTION("""COMPUTED_VALUE"""),1299.95)</f>
        <v>1299.95</v>
      </c>
      <c r="I13" s="16">
        <f>IFERROR(__xludf.DUMMYFUNCTION("""COMPUTED_VALUE"""),45756.6458333333)</f>
        <v>45756.6458333333</v>
      </c>
      <c r="J13" s="17">
        <f>IFERROR(__xludf.DUMMYFUNCTION("""COMPUTED_VALUE"""),1264.35)</f>
        <v>1264.35</v>
      </c>
      <c r="K13" s="3">
        <f t="shared" si="2"/>
        <v>0</v>
      </c>
      <c r="L13" s="3">
        <f t="shared" si="3"/>
        <v>1272.75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IFERROR(__xludf.DUMMYFUNCTION("""COMPUTED_VALUE"""),1282.25)</f>
        <v>1282.25</v>
      </c>
      <c r="C14" s="16">
        <f>IFERROR(__xludf.DUMMYFUNCTION("""COMPUTED_VALUE"""),45758.6458333333)</f>
        <v>45758.6458333333</v>
      </c>
      <c r="D14" s="17">
        <f>IFERROR(__xludf.DUMMYFUNCTION("""COMPUTED_VALUE"""),1275)</f>
        <v>1275</v>
      </c>
      <c r="E14" s="16">
        <f>IFERROR(__xludf.DUMMYFUNCTION("""COMPUTED_VALUE"""),45758.6458333333)</f>
        <v>45758.6458333333</v>
      </c>
      <c r="F14" s="17">
        <f>IFERROR(__xludf.DUMMYFUNCTION("""COMPUTED_VALUE"""),1803181)</f>
        <v>1803181</v>
      </c>
      <c r="G14" s="16">
        <f>IFERROR(__xludf.DUMMYFUNCTION("""COMPUTED_VALUE"""),45758.6458333333)</f>
        <v>45758.6458333333</v>
      </c>
      <c r="H14" s="17">
        <f>IFERROR(__xludf.DUMMYFUNCTION("""COMPUTED_VALUE"""),1312.35)</f>
        <v>1312.35</v>
      </c>
      <c r="I14" s="16">
        <f>IFERROR(__xludf.DUMMYFUNCTION("""COMPUTED_VALUE"""),45758.6458333333)</f>
        <v>45758.6458333333</v>
      </c>
      <c r="J14" s="17">
        <f>IFERROR(__xludf.DUMMYFUNCTION("""COMPUTED_VALUE"""),1274.2)</f>
        <v>1274.2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IFERROR(__xludf.DUMMYFUNCTION("""COMPUTED_VALUE"""),1301.7)</f>
        <v>1301.7</v>
      </c>
      <c r="C15" s="16">
        <f>IFERROR(__xludf.DUMMYFUNCTION("""COMPUTED_VALUE"""),45762.6458333333)</f>
        <v>45762.6458333333</v>
      </c>
      <c r="D15" s="17">
        <f>IFERROR(__xludf.DUMMYFUNCTION("""COMPUTED_VALUE"""),1314.2)</f>
        <v>1314.2</v>
      </c>
      <c r="E15" s="16">
        <f>IFERROR(__xludf.DUMMYFUNCTION("""COMPUTED_VALUE"""),45762.6458333333)</f>
        <v>45762.6458333333</v>
      </c>
      <c r="F15" s="17">
        <f>IFERROR(__xludf.DUMMYFUNCTION("""COMPUTED_VALUE"""),1511866)</f>
        <v>1511866</v>
      </c>
      <c r="G15" s="16">
        <f>IFERROR(__xludf.DUMMYFUNCTION("""COMPUTED_VALUE"""),45762.6458333333)</f>
        <v>45762.6458333333</v>
      </c>
      <c r="H15" s="17">
        <f>IFERROR(__xludf.DUMMYFUNCTION("""COMPUTED_VALUE"""),1314.2)</f>
        <v>1314.2</v>
      </c>
      <c r="I15" s="16">
        <f>IFERROR(__xludf.DUMMYFUNCTION("""COMPUTED_VALUE"""),45762.6458333333)</f>
        <v>45762.6458333333</v>
      </c>
      <c r="J15" s="17">
        <f>IFERROR(__xludf.DUMMYFUNCTION("""COMPUTED_VALUE"""),1286.8)</f>
        <v>1286.8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IFERROR(__xludf.DUMMYFUNCTION("""COMPUTED_VALUE"""),1308.7)</f>
        <v>1308.7</v>
      </c>
      <c r="C16" s="16">
        <f>IFERROR(__xludf.DUMMYFUNCTION("""COMPUTED_VALUE"""),45763.6458333333)</f>
        <v>45763.6458333333</v>
      </c>
      <c r="D16" s="17">
        <f>IFERROR(__xludf.DUMMYFUNCTION("""COMPUTED_VALUE"""),1292)</f>
        <v>1292</v>
      </c>
      <c r="E16" s="16">
        <f>IFERROR(__xludf.DUMMYFUNCTION("""COMPUTED_VALUE"""),45763.6458333333)</f>
        <v>45763.6458333333</v>
      </c>
      <c r="F16" s="17">
        <f>IFERROR(__xludf.DUMMYFUNCTION("""COMPUTED_VALUE"""),1093342)</f>
        <v>1093342</v>
      </c>
      <c r="G16" s="16">
        <f>IFERROR(__xludf.DUMMYFUNCTION("""COMPUTED_VALUE"""),45763.6458333333)</f>
        <v>45763.6458333333</v>
      </c>
      <c r="H16" s="17">
        <f>IFERROR(__xludf.DUMMYFUNCTION("""COMPUTED_VALUE"""),1314.6)</f>
        <v>1314.6</v>
      </c>
      <c r="I16" s="16">
        <f>IFERROR(__xludf.DUMMYFUNCTION("""COMPUTED_VALUE"""),45763.6458333333)</f>
        <v>45763.6458333333</v>
      </c>
      <c r="J16" s="17">
        <f>IFERROR(__xludf.DUMMYFUNCTION("""COMPUTED_VALUE"""),1283.5)</f>
        <v>1283.5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IFERROR(__xludf.DUMMYFUNCTION("""COMPUTED_VALUE"""),1306.8)</f>
        <v>1306.8</v>
      </c>
      <c r="C17" s="16">
        <f>IFERROR(__xludf.DUMMYFUNCTION("""COMPUTED_VALUE"""),45764.6458333333)</f>
        <v>45764.6458333333</v>
      </c>
      <c r="D17" s="17">
        <f>IFERROR(__xludf.DUMMYFUNCTION("""COMPUTED_VALUE"""),1295.1)</f>
        <v>1295.1</v>
      </c>
      <c r="E17" s="16">
        <f>IFERROR(__xludf.DUMMYFUNCTION("""COMPUTED_VALUE"""),45764.6458333333)</f>
        <v>45764.6458333333</v>
      </c>
      <c r="F17" s="17">
        <f>IFERROR(__xludf.DUMMYFUNCTION("""COMPUTED_VALUE"""),3027966)</f>
        <v>3027966</v>
      </c>
      <c r="G17" s="16">
        <f>IFERROR(__xludf.DUMMYFUNCTION("""COMPUTED_VALUE"""),45764.6458333333)</f>
        <v>45764.6458333333</v>
      </c>
      <c r="H17" s="17">
        <f>IFERROR(__xludf.DUMMYFUNCTION("""COMPUTED_VALUE"""),1308.9)</f>
        <v>1308.9</v>
      </c>
      <c r="I17" s="16">
        <f>IFERROR(__xludf.DUMMYFUNCTION("""COMPUTED_VALUE"""),45764.6458333333)</f>
        <v>45764.6458333333</v>
      </c>
      <c r="J17" s="17">
        <f>IFERROR(__xludf.DUMMYFUNCTION("""COMPUTED_VALUE"""),1275.9)</f>
        <v>1275.9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IFERROR(__xludf.DUMMYFUNCTION("""COMPUTED_VALUE"""),1373.5)</f>
        <v>1373.5</v>
      </c>
      <c r="C18" s="16">
        <f>IFERROR(__xludf.DUMMYFUNCTION("""COMPUTED_VALUE"""),45768.6458333333)</f>
        <v>45768.6458333333</v>
      </c>
      <c r="D18" s="17">
        <f>IFERROR(__xludf.DUMMYFUNCTION("""COMPUTED_VALUE"""),1304)</f>
        <v>1304</v>
      </c>
      <c r="E18" s="16">
        <f>IFERROR(__xludf.DUMMYFUNCTION("""COMPUTED_VALUE"""),45768.6458333333)</f>
        <v>45768.6458333333</v>
      </c>
      <c r="F18" s="17">
        <f>IFERROR(__xludf.DUMMYFUNCTION("""COMPUTED_VALUE"""),3759267)</f>
        <v>3759267</v>
      </c>
      <c r="G18" s="16">
        <f>IFERROR(__xludf.DUMMYFUNCTION("""COMPUTED_VALUE"""),45768.6458333333)</f>
        <v>45768.6458333333</v>
      </c>
      <c r="H18" s="17">
        <f>IFERROR(__xludf.DUMMYFUNCTION("""COMPUTED_VALUE"""),1389)</f>
        <v>1389</v>
      </c>
      <c r="I18" s="16">
        <f>IFERROR(__xludf.DUMMYFUNCTION("""COMPUTED_VALUE"""),45768.6458333333)</f>
        <v>45768.6458333333</v>
      </c>
      <c r="J18" s="17">
        <f>IFERROR(__xludf.DUMMYFUNCTION("""COMPUTED_VALUE"""),1303)</f>
        <v>1303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IFERROR(__xludf.DUMMYFUNCTION("""COMPUTED_VALUE"""),1376.5)</f>
        <v>1376.5</v>
      </c>
      <c r="C19" s="16">
        <f>IFERROR(__xludf.DUMMYFUNCTION("""COMPUTED_VALUE"""),45769.6458333333)</f>
        <v>45769.6458333333</v>
      </c>
      <c r="D19" s="17">
        <f>IFERROR(__xludf.DUMMYFUNCTION("""COMPUTED_VALUE"""),1374)</f>
        <v>1374</v>
      </c>
      <c r="E19" s="16">
        <f>IFERROR(__xludf.DUMMYFUNCTION("""COMPUTED_VALUE"""),45769.6458333333)</f>
        <v>45769.6458333333</v>
      </c>
      <c r="F19" s="17">
        <f>IFERROR(__xludf.DUMMYFUNCTION("""COMPUTED_VALUE"""),2471135)</f>
        <v>2471135</v>
      </c>
      <c r="G19" s="16">
        <f>IFERROR(__xludf.DUMMYFUNCTION("""COMPUTED_VALUE"""),45769.6458333333)</f>
        <v>45769.6458333333</v>
      </c>
      <c r="H19" s="17">
        <f>IFERROR(__xludf.DUMMYFUNCTION("""COMPUTED_VALUE"""),1396)</f>
        <v>1396</v>
      </c>
      <c r="I19" s="16">
        <f>IFERROR(__xludf.DUMMYFUNCTION("""COMPUTED_VALUE"""),45769.6458333333)</f>
        <v>45769.6458333333</v>
      </c>
      <c r="J19" s="17">
        <f>IFERROR(__xludf.DUMMYFUNCTION("""COMPUTED_VALUE"""),1361.2)</f>
        <v>1361.2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IFERROR(__xludf.DUMMYFUNCTION("""COMPUTED_VALUE"""),1439.6)</f>
        <v>1439.6</v>
      </c>
      <c r="C20" s="16">
        <f>IFERROR(__xludf.DUMMYFUNCTION("""COMPUTED_VALUE"""),45770.6458333333)</f>
        <v>45770.6458333333</v>
      </c>
      <c r="D20" s="17">
        <f>IFERROR(__xludf.DUMMYFUNCTION("""COMPUTED_VALUE"""),1418.9)</f>
        <v>1418.9</v>
      </c>
      <c r="E20" s="16">
        <f>IFERROR(__xludf.DUMMYFUNCTION("""COMPUTED_VALUE"""),45770.6458333333)</f>
        <v>45770.6458333333</v>
      </c>
      <c r="F20" s="17">
        <f>IFERROR(__xludf.DUMMYFUNCTION("""COMPUTED_VALUE"""),5944062)</f>
        <v>5944062</v>
      </c>
      <c r="G20" s="16">
        <f>IFERROR(__xludf.DUMMYFUNCTION("""COMPUTED_VALUE"""),45770.6458333333)</f>
        <v>45770.6458333333</v>
      </c>
      <c r="H20" s="17">
        <f>IFERROR(__xludf.DUMMYFUNCTION("""COMPUTED_VALUE"""),1449.4)</f>
        <v>1449.4</v>
      </c>
      <c r="I20" s="16">
        <f>IFERROR(__xludf.DUMMYFUNCTION("""COMPUTED_VALUE"""),45770.6458333333)</f>
        <v>45770.6458333333</v>
      </c>
      <c r="J20" s="17">
        <f>IFERROR(__xludf.DUMMYFUNCTION("""COMPUTED_VALUE"""),1408)</f>
        <v>1408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IFERROR(__xludf.DUMMYFUNCTION("""COMPUTED_VALUE"""),1445.2)</f>
        <v>1445.2</v>
      </c>
      <c r="C21" s="16">
        <f>IFERROR(__xludf.DUMMYFUNCTION("""COMPUTED_VALUE"""),45771.6458333333)</f>
        <v>45771.6458333333</v>
      </c>
      <c r="D21" s="17">
        <f>IFERROR(__xludf.DUMMYFUNCTION("""COMPUTED_VALUE"""),1445)</f>
        <v>1445</v>
      </c>
      <c r="E21" s="16">
        <f>IFERROR(__xludf.DUMMYFUNCTION("""COMPUTED_VALUE"""),45771.6458333333)</f>
        <v>45771.6458333333</v>
      </c>
      <c r="F21" s="17">
        <f>IFERROR(__xludf.DUMMYFUNCTION("""COMPUTED_VALUE"""),2501415)</f>
        <v>2501415</v>
      </c>
      <c r="G21" s="16">
        <f>IFERROR(__xludf.DUMMYFUNCTION("""COMPUTED_VALUE"""),45771.6458333333)</f>
        <v>45771.6458333333</v>
      </c>
      <c r="H21" s="17">
        <f>IFERROR(__xludf.DUMMYFUNCTION("""COMPUTED_VALUE"""),1467.5)</f>
        <v>1467.5</v>
      </c>
      <c r="I21" s="16">
        <f>IFERROR(__xludf.DUMMYFUNCTION("""COMPUTED_VALUE"""),45771.6458333333)</f>
        <v>45771.6458333333</v>
      </c>
      <c r="J21" s="17">
        <f>IFERROR(__xludf.DUMMYFUNCTION("""COMPUTED_VALUE"""),1434.3)</f>
        <v>1434.3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IFERROR(__xludf.DUMMYFUNCTION("""COMPUTED_VALUE"""),1462)</f>
        <v>1462</v>
      </c>
      <c r="C22" s="16">
        <f>IFERROR(__xludf.DUMMYFUNCTION("""COMPUTED_VALUE"""),45772.6458333333)</f>
        <v>45772.6458333333</v>
      </c>
      <c r="D22" s="17">
        <f>IFERROR(__xludf.DUMMYFUNCTION("""COMPUTED_VALUE"""),1455.4)</f>
        <v>1455.4</v>
      </c>
      <c r="E22" s="16">
        <f>IFERROR(__xludf.DUMMYFUNCTION("""COMPUTED_VALUE"""),45772.6458333333)</f>
        <v>45772.6458333333</v>
      </c>
      <c r="F22" s="17">
        <f>IFERROR(__xludf.DUMMYFUNCTION("""COMPUTED_VALUE"""),8211667)</f>
        <v>8211667</v>
      </c>
      <c r="G22" s="16">
        <f>IFERROR(__xludf.DUMMYFUNCTION("""COMPUTED_VALUE"""),45772.6458333333)</f>
        <v>45772.6458333333</v>
      </c>
      <c r="H22" s="17">
        <f>IFERROR(__xludf.DUMMYFUNCTION("""COMPUTED_VALUE"""),1473.9)</f>
        <v>1473.9</v>
      </c>
      <c r="I22" s="16">
        <f>IFERROR(__xludf.DUMMYFUNCTION("""COMPUTED_VALUE"""),45772.6458333333)</f>
        <v>45772.6458333333</v>
      </c>
      <c r="J22" s="17">
        <f>IFERROR(__xludf.DUMMYFUNCTION("""COMPUTED_VALUE"""),1375)</f>
        <v>1375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IFERROR(__xludf.DUMMYFUNCTION("""COMPUTED_VALUE"""),1461.5)</f>
        <v>1461.5</v>
      </c>
      <c r="C23" s="16">
        <f>IFERROR(__xludf.DUMMYFUNCTION("""COMPUTED_VALUE"""),45775.6458333333)</f>
        <v>45775.6458333333</v>
      </c>
      <c r="D23" s="17">
        <f>IFERROR(__xludf.DUMMYFUNCTION("""COMPUTED_VALUE"""),1469.3)</f>
        <v>1469.3</v>
      </c>
      <c r="E23" s="16">
        <f>IFERROR(__xludf.DUMMYFUNCTION("""COMPUTED_VALUE"""),45775.6458333333)</f>
        <v>45775.6458333333</v>
      </c>
      <c r="F23" s="17">
        <f>IFERROR(__xludf.DUMMYFUNCTION("""COMPUTED_VALUE"""),2079431)</f>
        <v>2079431</v>
      </c>
      <c r="G23" s="16">
        <f>IFERROR(__xludf.DUMMYFUNCTION("""COMPUTED_VALUE"""),45775.6458333333)</f>
        <v>45775.6458333333</v>
      </c>
      <c r="H23" s="17">
        <f>IFERROR(__xludf.DUMMYFUNCTION("""COMPUTED_VALUE"""),1480)</f>
        <v>1480</v>
      </c>
      <c r="I23" s="16">
        <f>IFERROR(__xludf.DUMMYFUNCTION("""COMPUTED_VALUE"""),45775.6458333333)</f>
        <v>45775.6458333333</v>
      </c>
      <c r="J23" s="17">
        <f>IFERROR(__xludf.DUMMYFUNCTION("""COMPUTED_VALUE"""),1437)</f>
        <v>1437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IFERROR(__xludf.DUMMYFUNCTION("""COMPUTED_VALUE"""),1495.3)</f>
        <v>1495.3</v>
      </c>
      <c r="C24" s="16">
        <f>IFERROR(__xludf.DUMMYFUNCTION("""COMPUTED_VALUE"""),45776.6458333333)</f>
        <v>45776.6458333333</v>
      </c>
      <c r="D24" s="17">
        <f>IFERROR(__xludf.DUMMYFUNCTION("""COMPUTED_VALUE"""),1466.2)</f>
        <v>1466.2</v>
      </c>
      <c r="E24" s="16">
        <f>IFERROR(__xludf.DUMMYFUNCTION("""COMPUTED_VALUE"""),45776.6458333333)</f>
        <v>45776.6458333333</v>
      </c>
      <c r="F24" s="17">
        <f>IFERROR(__xludf.DUMMYFUNCTION("""COMPUTED_VALUE"""),2652788)</f>
        <v>2652788</v>
      </c>
      <c r="G24" s="16">
        <f>IFERROR(__xludf.DUMMYFUNCTION("""COMPUTED_VALUE"""),45776.6458333333)</f>
        <v>45776.6458333333</v>
      </c>
      <c r="H24" s="17">
        <f>IFERROR(__xludf.DUMMYFUNCTION("""COMPUTED_VALUE"""),1504.9)</f>
        <v>1504.9</v>
      </c>
      <c r="I24" s="16">
        <f>IFERROR(__xludf.DUMMYFUNCTION("""COMPUTED_VALUE"""),45776.6458333333)</f>
        <v>45776.6458333333</v>
      </c>
      <c r="J24" s="17">
        <f>IFERROR(__xludf.DUMMYFUNCTION("""COMPUTED_VALUE"""),1463.3)</f>
        <v>1463.3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IFERROR(__xludf.DUMMYFUNCTION("""COMPUTED_VALUE"""),1503)</f>
        <v>1503</v>
      </c>
      <c r="C25" s="16">
        <f>IFERROR(__xludf.DUMMYFUNCTION("""COMPUTED_VALUE"""),45777.6458333333)</f>
        <v>45777.6458333333</v>
      </c>
      <c r="D25" s="17">
        <f>IFERROR(__xludf.DUMMYFUNCTION("""COMPUTED_VALUE"""),1495.3)</f>
        <v>1495.3</v>
      </c>
      <c r="E25" s="16">
        <f>IFERROR(__xludf.DUMMYFUNCTION("""COMPUTED_VALUE"""),45777.6458333333)</f>
        <v>45777.6458333333</v>
      </c>
      <c r="F25" s="17">
        <f>IFERROR(__xludf.DUMMYFUNCTION("""COMPUTED_VALUE"""),1858465)</f>
        <v>1858465</v>
      </c>
      <c r="G25" s="16">
        <f>IFERROR(__xludf.DUMMYFUNCTION("""COMPUTED_VALUE"""),45777.6458333333)</f>
        <v>45777.6458333333</v>
      </c>
      <c r="H25" s="17">
        <f>IFERROR(__xludf.DUMMYFUNCTION("""COMPUTED_VALUE"""),1510.8)</f>
        <v>1510.8</v>
      </c>
      <c r="I25" s="16">
        <f>IFERROR(__xludf.DUMMYFUNCTION("""COMPUTED_VALUE"""),45777.6458333333)</f>
        <v>45777.6458333333</v>
      </c>
      <c r="J25" s="17">
        <f>IFERROR(__xludf.DUMMYFUNCTION("""COMPUTED_VALUE"""),1490)</f>
        <v>1490</v>
      </c>
      <c r="K25" s="3">
        <f t="shared" si="2"/>
        <v>1503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IFERROR(__xludf.DUMMYFUNCTION("""COMPUTED_VALUE"""),1496.3)</f>
        <v>1496.3</v>
      </c>
      <c r="C26" s="16">
        <f>IFERROR(__xludf.DUMMYFUNCTION("""COMPUTED_VALUE"""),45779.6458333333)</f>
        <v>45779.6458333333</v>
      </c>
      <c r="D26" s="17">
        <f>IFERROR(__xludf.DUMMYFUNCTION("""COMPUTED_VALUE"""),1505)</f>
        <v>1505</v>
      </c>
      <c r="E26" s="16">
        <f>IFERROR(__xludf.DUMMYFUNCTION("""COMPUTED_VALUE"""),45779.6458333333)</f>
        <v>45779.6458333333</v>
      </c>
      <c r="F26" s="17">
        <f>IFERROR(__xludf.DUMMYFUNCTION("""COMPUTED_VALUE"""),1582577)</f>
        <v>1582577</v>
      </c>
      <c r="G26" s="16">
        <f>IFERROR(__xludf.DUMMYFUNCTION("""COMPUTED_VALUE"""),45779.6458333333)</f>
        <v>45779.6458333333</v>
      </c>
      <c r="H26" s="17">
        <f>IFERROR(__xludf.DUMMYFUNCTION("""COMPUTED_VALUE"""),1519)</f>
        <v>1519</v>
      </c>
      <c r="I26" s="16">
        <f>IFERROR(__xludf.DUMMYFUNCTION("""COMPUTED_VALUE"""),45779.6458333333)</f>
        <v>45779.6458333333</v>
      </c>
      <c r="J26" s="17">
        <f>IFERROR(__xludf.DUMMYFUNCTION("""COMPUTED_VALUE"""),1489.8)</f>
        <v>1489.8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IFERROR(__xludf.DUMMYFUNCTION("""COMPUTED_VALUE"""),1494.6)</f>
        <v>1494.6</v>
      </c>
      <c r="C27" s="16">
        <f>IFERROR(__xludf.DUMMYFUNCTION("""COMPUTED_VALUE"""),45782.6458333333)</f>
        <v>45782.6458333333</v>
      </c>
      <c r="D27" s="17">
        <f>IFERROR(__xludf.DUMMYFUNCTION("""COMPUTED_VALUE"""),1499)</f>
        <v>1499</v>
      </c>
      <c r="E27" s="16">
        <f>IFERROR(__xludf.DUMMYFUNCTION("""COMPUTED_VALUE"""),45782.6458333333)</f>
        <v>45782.6458333333</v>
      </c>
      <c r="F27" s="17">
        <f>IFERROR(__xludf.DUMMYFUNCTION("""COMPUTED_VALUE"""),846022)</f>
        <v>846022</v>
      </c>
      <c r="G27" s="16">
        <f>IFERROR(__xludf.DUMMYFUNCTION("""COMPUTED_VALUE"""),45782.6458333333)</f>
        <v>45782.6458333333</v>
      </c>
      <c r="H27" s="17">
        <f>IFERROR(__xludf.DUMMYFUNCTION("""COMPUTED_VALUE"""),1506.5)</f>
        <v>1506.5</v>
      </c>
      <c r="I27" s="16">
        <f>IFERROR(__xludf.DUMMYFUNCTION("""COMPUTED_VALUE"""),45782.6458333333)</f>
        <v>45782.6458333333</v>
      </c>
      <c r="J27" s="17">
        <f>IFERROR(__xludf.DUMMYFUNCTION("""COMPUTED_VALUE"""),1490.5)</f>
        <v>1490.5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IFERROR(__xludf.DUMMYFUNCTION("""COMPUTED_VALUE"""),1496.2)</f>
        <v>1496.2</v>
      </c>
      <c r="C28" s="16">
        <f>IFERROR(__xludf.DUMMYFUNCTION("""COMPUTED_VALUE"""),45783.6458333333)</f>
        <v>45783.6458333333</v>
      </c>
      <c r="D28" s="17">
        <f>IFERROR(__xludf.DUMMYFUNCTION("""COMPUTED_VALUE"""),1496.9)</f>
        <v>1496.9</v>
      </c>
      <c r="E28" s="16">
        <f>IFERROR(__xludf.DUMMYFUNCTION("""COMPUTED_VALUE"""),45783.6458333333)</f>
        <v>45783.6458333333</v>
      </c>
      <c r="F28" s="17">
        <f>IFERROR(__xludf.DUMMYFUNCTION("""COMPUTED_VALUE"""),1545773)</f>
        <v>1545773</v>
      </c>
      <c r="G28" s="16">
        <f>IFERROR(__xludf.DUMMYFUNCTION("""COMPUTED_VALUE"""),45783.6458333333)</f>
        <v>45783.6458333333</v>
      </c>
      <c r="H28" s="17">
        <f>IFERROR(__xludf.DUMMYFUNCTION("""COMPUTED_VALUE"""),1504.8)</f>
        <v>1504.8</v>
      </c>
      <c r="I28" s="16">
        <f>IFERROR(__xludf.DUMMYFUNCTION("""COMPUTED_VALUE"""),45783.6458333333)</f>
        <v>45783.6458333333</v>
      </c>
      <c r="J28" s="17">
        <f>IFERROR(__xludf.DUMMYFUNCTION("""COMPUTED_VALUE"""),1486.1)</f>
        <v>1486.1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IFERROR(__xludf.DUMMYFUNCTION("""COMPUTED_VALUE"""),1495.2)</f>
        <v>1495.2</v>
      </c>
      <c r="C29" s="16">
        <f>IFERROR(__xludf.DUMMYFUNCTION("""COMPUTED_VALUE"""),45784.6458333333)</f>
        <v>45784.6458333333</v>
      </c>
      <c r="D29" s="17">
        <f>IFERROR(__xludf.DUMMYFUNCTION("""COMPUTED_VALUE"""),1489.1)</f>
        <v>1489.1</v>
      </c>
      <c r="E29" s="16">
        <f>IFERROR(__xludf.DUMMYFUNCTION("""COMPUTED_VALUE"""),45784.6458333333)</f>
        <v>45784.6458333333</v>
      </c>
      <c r="F29" s="17">
        <f>IFERROR(__xludf.DUMMYFUNCTION("""COMPUTED_VALUE"""),1272555)</f>
        <v>1272555</v>
      </c>
      <c r="G29" s="16">
        <f>IFERROR(__xludf.DUMMYFUNCTION("""COMPUTED_VALUE"""),45784.6458333333)</f>
        <v>45784.6458333333</v>
      </c>
      <c r="H29" s="17">
        <f>IFERROR(__xludf.DUMMYFUNCTION("""COMPUTED_VALUE"""),1504.9)</f>
        <v>1504.9</v>
      </c>
      <c r="I29" s="16">
        <f>IFERROR(__xludf.DUMMYFUNCTION("""COMPUTED_VALUE"""),45784.6458333333)</f>
        <v>45784.6458333333</v>
      </c>
      <c r="J29" s="17">
        <f>IFERROR(__xludf.DUMMYFUNCTION("""COMPUTED_VALUE"""),1480.6)</f>
        <v>1480.6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IFERROR(__xludf.DUMMYFUNCTION("""COMPUTED_VALUE"""),1502.8)</f>
        <v>1502.8</v>
      </c>
      <c r="C30" s="16">
        <f>IFERROR(__xludf.DUMMYFUNCTION("""COMPUTED_VALUE"""),45785.6458333333)</f>
        <v>45785.6458333333</v>
      </c>
      <c r="D30" s="17">
        <f>IFERROR(__xludf.DUMMYFUNCTION("""COMPUTED_VALUE"""),1500.9)</f>
        <v>1500.9</v>
      </c>
      <c r="E30" s="16">
        <f>IFERROR(__xludf.DUMMYFUNCTION("""COMPUTED_VALUE"""),45785.6458333333)</f>
        <v>45785.6458333333</v>
      </c>
      <c r="F30" s="17">
        <f>IFERROR(__xludf.DUMMYFUNCTION("""COMPUTED_VALUE"""),2829448)</f>
        <v>2829448</v>
      </c>
      <c r="G30" s="16">
        <f>IFERROR(__xludf.DUMMYFUNCTION("""COMPUTED_VALUE"""),45785.6458333333)</f>
        <v>45785.6458333333</v>
      </c>
      <c r="H30" s="17">
        <f>IFERROR(__xludf.DUMMYFUNCTION("""COMPUTED_VALUE"""),1518.5)</f>
        <v>1518.5</v>
      </c>
      <c r="I30" s="16">
        <f>IFERROR(__xludf.DUMMYFUNCTION("""COMPUTED_VALUE"""),45785.6458333333)</f>
        <v>45785.6458333333</v>
      </c>
      <c r="J30" s="17">
        <f>IFERROR(__xludf.DUMMYFUNCTION("""COMPUTED_VALUE"""),1488)</f>
        <v>1488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IFERROR(__xludf.DUMMYFUNCTION("""COMPUTED_VALUE"""),1493.7)</f>
        <v>1493.7</v>
      </c>
      <c r="C31" s="16">
        <f>IFERROR(__xludf.DUMMYFUNCTION("""COMPUTED_VALUE"""),45786.6458333333)</f>
        <v>45786.6458333333</v>
      </c>
      <c r="D31" s="17">
        <f>IFERROR(__xludf.DUMMYFUNCTION("""COMPUTED_VALUE"""),1480)</f>
        <v>1480</v>
      </c>
      <c r="E31" s="16">
        <f>IFERROR(__xludf.DUMMYFUNCTION("""COMPUTED_VALUE"""),45786.6458333333)</f>
        <v>45786.6458333333</v>
      </c>
      <c r="F31" s="17">
        <f>IFERROR(__xludf.DUMMYFUNCTION("""COMPUTED_VALUE"""),923174)</f>
        <v>923174</v>
      </c>
      <c r="G31" s="16">
        <f>IFERROR(__xludf.DUMMYFUNCTION("""COMPUTED_VALUE"""),45786.6458333333)</f>
        <v>45786.6458333333</v>
      </c>
      <c r="H31" s="17">
        <f>IFERROR(__xludf.DUMMYFUNCTION("""COMPUTED_VALUE"""),1501.3)</f>
        <v>1501.3</v>
      </c>
      <c r="I31" s="16">
        <f>IFERROR(__xludf.DUMMYFUNCTION("""COMPUTED_VALUE"""),45786.6458333333)</f>
        <v>45786.6458333333</v>
      </c>
      <c r="J31" s="17">
        <f>IFERROR(__xludf.DUMMYFUNCTION("""COMPUTED_VALUE"""),1478.1)</f>
        <v>1478.1</v>
      </c>
      <c r="K31" s="3">
        <f t="shared" si="2"/>
        <v>0</v>
      </c>
      <c r="L31" s="3">
        <f t="shared" si="3"/>
        <v>1493.7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IFERROR(__xludf.DUMMYFUNCTION("""COMPUTED_VALUE"""),1573.1)</f>
        <v>1573.1</v>
      </c>
      <c r="C32" s="16">
        <f>IFERROR(__xludf.DUMMYFUNCTION("""COMPUTED_VALUE"""),45789.6458333333)</f>
        <v>45789.6458333333</v>
      </c>
      <c r="D32" s="17">
        <f>IFERROR(__xludf.DUMMYFUNCTION("""COMPUTED_VALUE"""),1522)</f>
        <v>1522</v>
      </c>
      <c r="E32" s="16">
        <f>IFERROR(__xludf.DUMMYFUNCTION("""COMPUTED_VALUE"""),45789.6458333333)</f>
        <v>45789.6458333333</v>
      </c>
      <c r="F32" s="17">
        <f>IFERROR(__xludf.DUMMYFUNCTION("""COMPUTED_VALUE"""),1891418)</f>
        <v>1891418</v>
      </c>
      <c r="G32" s="16">
        <f>IFERROR(__xludf.DUMMYFUNCTION("""COMPUTED_VALUE"""),45789.6458333333)</f>
        <v>45789.6458333333</v>
      </c>
      <c r="H32" s="17">
        <f>IFERROR(__xludf.DUMMYFUNCTION("""COMPUTED_VALUE"""),1576.5)</f>
        <v>1576.5</v>
      </c>
      <c r="I32" s="16">
        <f>IFERROR(__xludf.DUMMYFUNCTION("""COMPUTED_VALUE"""),45789.6458333333)</f>
        <v>45789.6458333333</v>
      </c>
      <c r="J32" s="17">
        <f>IFERROR(__xludf.DUMMYFUNCTION("""COMPUTED_VALUE"""),1517.4)</f>
        <v>1517.4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IFERROR(__xludf.DUMMYFUNCTION("""COMPUTED_VALUE"""),1572.5)</f>
        <v>1572.5</v>
      </c>
      <c r="C33" s="16">
        <f>IFERROR(__xludf.DUMMYFUNCTION("""COMPUTED_VALUE"""),45790.6458333333)</f>
        <v>45790.6458333333</v>
      </c>
      <c r="D33" s="17">
        <f>IFERROR(__xludf.DUMMYFUNCTION("""COMPUTED_VALUE"""),1600.3)</f>
        <v>1600.3</v>
      </c>
      <c r="E33" s="16">
        <f>IFERROR(__xludf.DUMMYFUNCTION("""COMPUTED_VALUE"""),45790.6458333333)</f>
        <v>45790.6458333333</v>
      </c>
      <c r="F33" s="17">
        <f>IFERROR(__xludf.DUMMYFUNCTION("""COMPUTED_VALUE"""),3724272)</f>
        <v>3724272</v>
      </c>
      <c r="G33" s="16">
        <f>IFERROR(__xludf.DUMMYFUNCTION("""COMPUTED_VALUE"""),45790.6458333333)</f>
        <v>45790.6458333333</v>
      </c>
      <c r="H33" s="17">
        <f>IFERROR(__xludf.DUMMYFUNCTION("""COMPUTED_VALUE"""),1600.9)</f>
        <v>1600.9</v>
      </c>
      <c r="I33" s="16">
        <f>IFERROR(__xludf.DUMMYFUNCTION("""COMPUTED_VALUE"""),45790.6458333333)</f>
        <v>45790.6458333333</v>
      </c>
      <c r="J33" s="17">
        <f>IFERROR(__xludf.DUMMYFUNCTION("""COMPUTED_VALUE"""),1565.1)</f>
        <v>1565.1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IFERROR(__xludf.DUMMYFUNCTION("""COMPUTED_VALUE"""),1603.2)</f>
        <v>1603.2</v>
      </c>
      <c r="C34" s="16">
        <f>IFERROR(__xludf.DUMMYFUNCTION("""COMPUTED_VALUE"""),45791.6458333333)</f>
        <v>45791.6458333333</v>
      </c>
      <c r="D34" s="17">
        <f>IFERROR(__xludf.DUMMYFUNCTION("""COMPUTED_VALUE"""),1584)</f>
        <v>1584</v>
      </c>
      <c r="E34" s="16">
        <f>IFERROR(__xludf.DUMMYFUNCTION("""COMPUTED_VALUE"""),45791.6458333333)</f>
        <v>45791.6458333333</v>
      </c>
      <c r="F34" s="17">
        <f>IFERROR(__xludf.DUMMYFUNCTION("""COMPUTED_VALUE"""),2354571)</f>
        <v>2354571</v>
      </c>
      <c r="G34" s="16">
        <f>IFERROR(__xludf.DUMMYFUNCTION("""COMPUTED_VALUE"""),45791.6458333333)</f>
        <v>45791.6458333333</v>
      </c>
      <c r="H34" s="17">
        <f>IFERROR(__xludf.DUMMYFUNCTION("""COMPUTED_VALUE"""),1609.4)</f>
        <v>1609.4</v>
      </c>
      <c r="I34" s="16">
        <f>IFERROR(__xludf.DUMMYFUNCTION("""COMPUTED_VALUE"""),45791.6458333333)</f>
        <v>45791.6458333333</v>
      </c>
      <c r="J34" s="17">
        <f>IFERROR(__xludf.DUMMYFUNCTION("""COMPUTED_VALUE"""),1578.1)</f>
        <v>1578.1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IFERROR(__xludf.DUMMYFUNCTION("""COMPUTED_VALUE"""),1629.1)</f>
        <v>1629.1</v>
      </c>
      <c r="C35" s="16">
        <f>IFERROR(__xludf.DUMMYFUNCTION("""COMPUTED_VALUE"""),45792.6458333333)</f>
        <v>45792.6458333333</v>
      </c>
      <c r="D35" s="17">
        <f>IFERROR(__xludf.DUMMYFUNCTION("""COMPUTED_VALUE"""),1606)</f>
        <v>1606</v>
      </c>
      <c r="E35" s="16">
        <f>IFERROR(__xludf.DUMMYFUNCTION("""COMPUTED_VALUE"""),45792.6458333333)</f>
        <v>45792.6458333333</v>
      </c>
      <c r="F35" s="17">
        <f>IFERROR(__xludf.DUMMYFUNCTION("""COMPUTED_VALUE"""),2972408)</f>
        <v>2972408</v>
      </c>
      <c r="G35" s="16">
        <f>IFERROR(__xludf.DUMMYFUNCTION("""COMPUTED_VALUE"""),45792.6458333333)</f>
        <v>45792.6458333333</v>
      </c>
      <c r="H35" s="17">
        <f>IFERROR(__xludf.DUMMYFUNCTION("""COMPUTED_VALUE"""),1636.4)</f>
        <v>1636.4</v>
      </c>
      <c r="I35" s="16">
        <f>IFERROR(__xludf.DUMMYFUNCTION("""COMPUTED_VALUE"""),45792.6458333333)</f>
        <v>45792.6458333333</v>
      </c>
      <c r="J35" s="17">
        <f>IFERROR(__xludf.DUMMYFUNCTION("""COMPUTED_VALUE"""),1600.2)</f>
        <v>1600.2</v>
      </c>
      <c r="K35" s="3">
        <f t="shared" si="2"/>
        <v>1629.1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IFERROR(__xludf.DUMMYFUNCTION("""COMPUTED_VALUE"""),1617)</f>
        <v>1617</v>
      </c>
      <c r="C36" s="16">
        <f>IFERROR(__xludf.DUMMYFUNCTION("""COMPUTED_VALUE"""),45793.6458333333)</f>
        <v>45793.6458333333</v>
      </c>
      <c r="D36" s="17">
        <f>IFERROR(__xludf.DUMMYFUNCTION("""COMPUTED_VALUE"""),1635)</f>
        <v>1635</v>
      </c>
      <c r="E36" s="16">
        <f>IFERROR(__xludf.DUMMYFUNCTION("""COMPUTED_VALUE"""),45793.6458333333)</f>
        <v>45793.6458333333</v>
      </c>
      <c r="F36" s="17">
        <f>IFERROR(__xludf.DUMMYFUNCTION("""COMPUTED_VALUE"""),1159095)</f>
        <v>1159095</v>
      </c>
      <c r="G36" s="16">
        <f>IFERROR(__xludf.DUMMYFUNCTION("""COMPUTED_VALUE"""),45793.6458333333)</f>
        <v>45793.6458333333</v>
      </c>
      <c r="H36" s="17">
        <f>IFERROR(__xludf.DUMMYFUNCTION("""COMPUTED_VALUE"""),1635.9)</f>
        <v>1635.9</v>
      </c>
      <c r="I36" s="16">
        <f>IFERROR(__xludf.DUMMYFUNCTION("""COMPUTED_VALUE"""),45793.6458333333)</f>
        <v>45793.6458333333</v>
      </c>
      <c r="J36" s="17">
        <f>IFERROR(__xludf.DUMMYFUNCTION("""COMPUTED_VALUE"""),1601.3)</f>
        <v>1601.3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IFERROR(__xludf.DUMMYFUNCTION("""COMPUTED_VALUE"""),1597.8)</f>
        <v>1597.8</v>
      </c>
      <c r="C37" s="16">
        <f>IFERROR(__xludf.DUMMYFUNCTION("""COMPUTED_VALUE"""),45796.6458333333)</f>
        <v>45796.6458333333</v>
      </c>
      <c r="D37" s="17">
        <f>IFERROR(__xludf.DUMMYFUNCTION("""COMPUTED_VALUE"""),1617)</f>
        <v>1617</v>
      </c>
      <c r="E37" s="16">
        <f>IFERROR(__xludf.DUMMYFUNCTION("""COMPUTED_VALUE"""),45796.6458333333)</f>
        <v>45796.6458333333</v>
      </c>
      <c r="F37" s="17">
        <f>IFERROR(__xludf.DUMMYFUNCTION("""COMPUTED_VALUE"""),681874)</f>
        <v>681874</v>
      </c>
      <c r="G37" s="16">
        <f>IFERROR(__xludf.DUMMYFUNCTION("""COMPUTED_VALUE"""),45796.6458333333)</f>
        <v>45796.6458333333</v>
      </c>
      <c r="H37" s="17">
        <f>IFERROR(__xludf.DUMMYFUNCTION("""COMPUTED_VALUE"""),1626.2)</f>
        <v>1626.2</v>
      </c>
      <c r="I37" s="16">
        <f>IFERROR(__xludf.DUMMYFUNCTION("""COMPUTED_VALUE"""),45796.6458333333)</f>
        <v>45796.6458333333</v>
      </c>
      <c r="J37" s="17">
        <f>IFERROR(__xludf.DUMMYFUNCTION("""COMPUTED_VALUE"""),1593.1)</f>
        <v>1593.1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IFERROR(__xludf.DUMMYFUNCTION("""COMPUTED_VALUE"""),1576)</f>
        <v>1576</v>
      </c>
      <c r="C38" s="16">
        <f>IFERROR(__xludf.DUMMYFUNCTION("""COMPUTED_VALUE"""),45797.6458333333)</f>
        <v>45797.6458333333</v>
      </c>
      <c r="D38" s="17">
        <f>IFERROR(__xludf.DUMMYFUNCTION("""COMPUTED_VALUE"""),1612)</f>
        <v>1612</v>
      </c>
      <c r="E38" s="16">
        <f>IFERROR(__xludf.DUMMYFUNCTION("""COMPUTED_VALUE"""),45797.6458333333)</f>
        <v>45797.6458333333</v>
      </c>
      <c r="F38" s="17">
        <f>IFERROR(__xludf.DUMMYFUNCTION("""COMPUTED_VALUE"""),1869716)</f>
        <v>1869716</v>
      </c>
      <c r="G38" s="16">
        <f>IFERROR(__xludf.DUMMYFUNCTION("""COMPUTED_VALUE"""),45797.6458333333)</f>
        <v>45797.6458333333</v>
      </c>
      <c r="H38" s="17">
        <f>IFERROR(__xludf.DUMMYFUNCTION("""COMPUTED_VALUE"""),1619.5)</f>
        <v>1619.5</v>
      </c>
      <c r="I38" s="16">
        <f>IFERROR(__xludf.DUMMYFUNCTION("""COMPUTED_VALUE"""),45797.6458333333)</f>
        <v>45797.6458333333</v>
      </c>
      <c r="J38" s="17">
        <f>IFERROR(__xludf.DUMMYFUNCTION("""COMPUTED_VALUE"""),1573.3)</f>
        <v>1573.3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IFERROR(__xludf.DUMMYFUNCTION("""COMPUTED_VALUE"""),1598.2)</f>
        <v>1598.2</v>
      </c>
      <c r="C39" s="16">
        <f>IFERROR(__xludf.DUMMYFUNCTION("""COMPUTED_VALUE"""),45798.6458333333)</f>
        <v>45798.6458333333</v>
      </c>
      <c r="D39" s="17">
        <f>IFERROR(__xludf.DUMMYFUNCTION("""COMPUTED_VALUE"""),1577)</f>
        <v>1577</v>
      </c>
      <c r="E39" s="16">
        <f>IFERROR(__xludf.DUMMYFUNCTION("""COMPUTED_VALUE"""),45798.6458333333)</f>
        <v>45798.6458333333</v>
      </c>
      <c r="F39" s="17">
        <f>IFERROR(__xludf.DUMMYFUNCTION("""COMPUTED_VALUE"""),930031)</f>
        <v>930031</v>
      </c>
      <c r="G39" s="16">
        <f>IFERROR(__xludf.DUMMYFUNCTION("""COMPUTED_VALUE"""),45798.6458333333)</f>
        <v>45798.6458333333</v>
      </c>
      <c r="H39" s="17">
        <f>IFERROR(__xludf.DUMMYFUNCTION("""COMPUTED_VALUE"""),1603)</f>
        <v>1603</v>
      </c>
      <c r="I39" s="16">
        <f>IFERROR(__xludf.DUMMYFUNCTION("""COMPUTED_VALUE"""),45798.6458333333)</f>
        <v>45798.6458333333</v>
      </c>
      <c r="J39" s="17">
        <f>IFERROR(__xludf.DUMMYFUNCTION("""COMPUTED_VALUE"""),1569.4)</f>
        <v>1569.4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IFERROR(__xludf.DUMMYFUNCTION("""COMPUTED_VALUE"""),1565.6)</f>
        <v>1565.6</v>
      </c>
      <c r="C40" s="16">
        <f>IFERROR(__xludf.DUMMYFUNCTION("""COMPUTED_VALUE"""),45799.6458333333)</f>
        <v>45799.6458333333</v>
      </c>
      <c r="D40" s="17">
        <f>IFERROR(__xludf.DUMMYFUNCTION("""COMPUTED_VALUE"""),1589.7)</f>
        <v>1589.7</v>
      </c>
      <c r="E40" s="16">
        <f>IFERROR(__xludf.DUMMYFUNCTION("""COMPUTED_VALUE"""),45799.6458333333)</f>
        <v>45799.6458333333</v>
      </c>
      <c r="F40" s="17">
        <f>IFERROR(__xludf.DUMMYFUNCTION("""COMPUTED_VALUE"""),1789310)</f>
        <v>1789310</v>
      </c>
      <c r="G40" s="16">
        <f>IFERROR(__xludf.DUMMYFUNCTION("""COMPUTED_VALUE"""),45799.6458333333)</f>
        <v>45799.6458333333</v>
      </c>
      <c r="H40" s="17">
        <f>IFERROR(__xludf.DUMMYFUNCTION("""COMPUTED_VALUE"""),1589.7)</f>
        <v>1589.7</v>
      </c>
      <c r="I40" s="16">
        <f>IFERROR(__xludf.DUMMYFUNCTION("""COMPUTED_VALUE"""),45799.6458333333)</f>
        <v>45799.6458333333</v>
      </c>
      <c r="J40" s="17">
        <f>IFERROR(__xludf.DUMMYFUNCTION("""COMPUTED_VALUE"""),1558)</f>
        <v>1558</v>
      </c>
      <c r="K40" s="3">
        <f t="shared" si="2"/>
        <v>0</v>
      </c>
      <c r="L40" s="3">
        <f t="shared" si="3"/>
        <v>1565.6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IFERROR(__xludf.DUMMYFUNCTION("""COMPUTED_VALUE"""),1580.3)</f>
        <v>1580.3</v>
      </c>
      <c r="C41" s="16">
        <f>IFERROR(__xludf.DUMMYFUNCTION("""COMPUTED_VALUE"""),45800.6458333333)</f>
        <v>45800.6458333333</v>
      </c>
      <c r="D41" s="17">
        <f>IFERROR(__xludf.DUMMYFUNCTION("""COMPUTED_VALUE"""),1575)</f>
        <v>1575</v>
      </c>
      <c r="E41" s="16">
        <f>IFERROR(__xludf.DUMMYFUNCTION("""COMPUTED_VALUE"""),45800.6458333333)</f>
        <v>45800.6458333333</v>
      </c>
      <c r="F41" s="17">
        <f>IFERROR(__xludf.DUMMYFUNCTION("""COMPUTED_VALUE"""),1159290)</f>
        <v>1159290</v>
      </c>
      <c r="G41" s="16">
        <f>IFERROR(__xludf.DUMMYFUNCTION("""COMPUTED_VALUE"""),45800.6458333333)</f>
        <v>45800.6458333333</v>
      </c>
      <c r="H41" s="17">
        <f>IFERROR(__xludf.DUMMYFUNCTION("""COMPUTED_VALUE"""),1604)</f>
        <v>1604</v>
      </c>
      <c r="I41" s="16">
        <f>IFERROR(__xludf.DUMMYFUNCTION("""COMPUTED_VALUE"""),45800.6458333333)</f>
        <v>45800.6458333333</v>
      </c>
      <c r="J41" s="17">
        <f>IFERROR(__xludf.DUMMYFUNCTION("""COMPUTED_VALUE"""),1567.8)</f>
        <v>1567.8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IFERROR(__xludf.DUMMYFUNCTION("""COMPUTED_VALUE"""),1601.4)</f>
        <v>1601.4</v>
      </c>
      <c r="C42" s="16">
        <f>IFERROR(__xludf.DUMMYFUNCTION("""COMPUTED_VALUE"""),45803.6458333333)</f>
        <v>45803.6458333333</v>
      </c>
      <c r="D42" s="17">
        <f>IFERROR(__xludf.DUMMYFUNCTION("""COMPUTED_VALUE"""),1583)</f>
        <v>1583</v>
      </c>
      <c r="E42" s="16">
        <f>IFERROR(__xludf.DUMMYFUNCTION("""COMPUTED_VALUE"""),45803.6458333333)</f>
        <v>45803.6458333333</v>
      </c>
      <c r="F42" s="17">
        <f>IFERROR(__xludf.DUMMYFUNCTION("""COMPUTED_VALUE"""),711029)</f>
        <v>711029</v>
      </c>
      <c r="G42" s="16">
        <f>IFERROR(__xludf.DUMMYFUNCTION("""COMPUTED_VALUE"""),45803.6458333333)</f>
        <v>45803.6458333333</v>
      </c>
      <c r="H42" s="17">
        <f>IFERROR(__xludf.DUMMYFUNCTION("""COMPUTED_VALUE"""),1604.4)</f>
        <v>1604.4</v>
      </c>
      <c r="I42" s="16">
        <f>IFERROR(__xludf.DUMMYFUNCTION("""COMPUTED_VALUE"""),45803.6458333333)</f>
        <v>45803.6458333333</v>
      </c>
      <c r="J42" s="17">
        <f>IFERROR(__xludf.DUMMYFUNCTION("""COMPUTED_VALUE"""),1583)</f>
        <v>1583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IFERROR(__xludf.DUMMYFUNCTION("""COMPUTED_VALUE"""),1592.4)</f>
        <v>1592.4</v>
      </c>
      <c r="C43" s="16">
        <f>IFERROR(__xludf.DUMMYFUNCTION("""COMPUTED_VALUE"""),45804.6458333333)</f>
        <v>45804.6458333333</v>
      </c>
      <c r="D43" s="17">
        <f>IFERROR(__xludf.DUMMYFUNCTION("""COMPUTED_VALUE"""),1601.4)</f>
        <v>1601.4</v>
      </c>
      <c r="E43" s="16">
        <f>IFERROR(__xludf.DUMMYFUNCTION("""COMPUTED_VALUE"""),45804.6458333333)</f>
        <v>45804.6458333333</v>
      </c>
      <c r="F43" s="17">
        <f>IFERROR(__xludf.DUMMYFUNCTION("""COMPUTED_VALUE"""),1394001)</f>
        <v>1394001</v>
      </c>
      <c r="G43" s="16">
        <f>IFERROR(__xludf.DUMMYFUNCTION("""COMPUTED_VALUE"""),45804.6458333333)</f>
        <v>45804.6458333333</v>
      </c>
      <c r="H43" s="17">
        <f>IFERROR(__xludf.DUMMYFUNCTION("""COMPUTED_VALUE"""),1604.3)</f>
        <v>1604.3</v>
      </c>
      <c r="I43" s="16">
        <f>IFERROR(__xludf.DUMMYFUNCTION("""COMPUTED_VALUE"""),45804.6458333333)</f>
        <v>45804.6458333333</v>
      </c>
      <c r="J43" s="17">
        <f>IFERROR(__xludf.DUMMYFUNCTION("""COMPUTED_VALUE"""),1578.5)</f>
        <v>1578.5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IFERROR(__xludf.DUMMYFUNCTION("""COMPUTED_VALUE"""),1580.3)</f>
        <v>1580.3</v>
      </c>
      <c r="C44" s="16">
        <f>IFERROR(__xludf.DUMMYFUNCTION("""COMPUTED_VALUE"""),45805.6458333333)</f>
        <v>45805.6458333333</v>
      </c>
      <c r="D44" s="17">
        <f>IFERROR(__xludf.DUMMYFUNCTION("""COMPUTED_VALUE"""),1600.8)</f>
        <v>1600.8</v>
      </c>
      <c r="E44" s="16">
        <f>IFERROR(__xludf.DUMMYFUNCTION("""COMPUTED_VALUE"""),45805.6458333333)</f>
        <v>45805.6458333333</v>
      </c>
      <c r="F44" s="17">
        <f>IFERROR(__xludf.DUMMYFUNCTION("""COMPUTED_VALUE"""),820958)</f>
        <v>820958</v>
      </c>
      <c r="G44" s="16">
        <f>IFERROR(__xludf.DUMMYFUNCTION("""COMPUTED_VALUE"""),45805.6458333333)</f>
        <v>45805.6458333333</v>
      </c>
      <c r="H44" s="17">
        <f>IFERROR(__xludf.DUMMYFUNCTION("""COMPUTED_VALUE"""),1602)</f>
        <v>1602</v>
      </c>
      <c r="I44" s="16">
        <f>IFERROR(__xludf.DUMMYFUNCTION("""COMPUTED_VALUE"""),45805.6458333333)</f>
        <v>45805.6458333333</v>
      </c>
      <c r="J44" s="17">
        <f>IFERROR(__xludf.DUMMYFUNCTION("""COMPUTED_VALUE"""),1578.1)</f>
        <v>1578.1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IFERROR(__xludf.DUMMYFUNCTION("""COMPUTED_VALUE"""),1600)</f>
        <v>1600</v>
      </c>
      <c r="C45" s="16">
        <f>IFERROR(__xludf.DUMMYFUNCTION("""COMPUTED_VALUE"""),45806.6458333333)</f>
        <v>45806.6458333333</v>
      </c>
      <c r="D45" s="17">
        <f>IFERROR(__xludf.DUMMYFUNCTION("""COMPUTED_VALUE"""),1592.1)</f>
        <v>1592.1</v>
      </c>
      <c r="E45" s="16">
        <f>IFERROR(__xludf.DUMMYFUNCTION("""COMPUTED_VALUE"""),45806.6458333333)</f>
        <v>45806.6458333333</v>
      </c>
      <c r="F45" s="17">
        <f>IFERROR(__xludf.DUMMYFUNCTION("""COMPUTED_VALUE"""),1799251)</f>
        <v>1799251</v>
      </c>
      <c r="G45" s="16">
        <f>IFERROR(__xludf.DUMMYFUNCTION("""COMPUTED_VALUE"""),45806.6458333333)</f>
        <v>45806.6458333333</v>
      </c>
      <c r="H45" s="17">
        <f>IFERROR(__xludf.DUMMYFUNCTION("""COMPUTED_VALUE"""),1604.9)</f>
        <v>1604.9</v>
      </c>
      <c r="I45" s="16">
        <f>IFERROR(__xludf.DUMMYFUNCTION("""COMPUTED_VALUE"""),45806.6458333333)</f>
        <v>45806.6458333333</v>
      </c>
      <c r="J45" s="17">
        <f>IFERROR(__xludf.DUMMYFUNCTION("""COMPUTED_VALUE"""),1584.5)</f>
        <v>1584.5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IFERROR(__xludf.DUMMYFUNCTION("""COMPUTED_VALUE"""),1573.9)</f>
        <v>1573.9</v>
      </c>
      <c r="C46" s="16">
        <f>IFERROR(__xludf.DUMMYFUNCTION("""COMPUTED_VALUE"""),45807.6458333333)</f>
        <v>45807.6458333333</v>
      </c>
      <c r="D46" s="17">
        <f>IFERROR(__xludf.DUMMYFUNCTION("""COMPUTED_VALUE"""),1595)</f>
        <v>1595</v>
      </c>
      <c r="E46" s="16">
        <f>IFERROR(__xludf.DUMMYFUNCTION("""COMPUTED_VALUE"""),45807.6458333333)</f>
        <v>45807.6458333333</v>
      </c>
      <c r="F46" s="17">
        <f>IFERROR(__xludf.DUMMYFUNCTION("""COMPUTED_VALUE"""),2780942)</f>
        <v>2780942</v>
      </c>
      <c r="G46" s="16">
        <f>IFERROR(__xludf.DUMMYFUNCTION("""COMPUTED_VALUE"""),45807.6458333333)</f>
        <v>45807.6458333333</v>
      </c>
      <c r="H46" s="17">
        <f>IFERROR(__xludf.DUMMYFUNCTION("""COMPUTED_VALUE"""),1595)</f>
        <v>1595</v>
      </c>
      <c r="I46" s="16">
        <f>IFERROR(__xludf.DUMMYFUNCTION("""COMPUTED_VALUE"""),45807.6458333333)</f>
        <v>45807.6458333333</v>
      </c>
      <c r="J46" s="17">
        <f>IFERROR(__xludf.DUMMYFUNCTION("""COMPUTED_VALUE"""),1568)</f>
        <v>1568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IFERROR(__xludf.DUMMYFUNCTION("""COMPUTED_VALUE"""),1549.1)</f>
        <v>1549.1</v>
      </c>
      <c r="C47" s="16">
        <f>IFERROR(__xludf.DUMMYFUNCTION("""COMPUTED_VALUE"""),45810.6458333333)</f>
        <v>45810.6458333333</v>
      </c>
      <c r="D47" s="17">
        <f>IFERROR(__xludf.DUMMYFUNCTION("""COMPUTED_VALUE"""),1565)</f>
        <v>1565</v>
      </c>
      <c r="E47" s="16">
        <f>IFERROR(__xludf.DUMMYFUNCTION("""COMPUTED_VALUE"""),45810.6458333333)</f>
        <v>45810.6458333333</v>
      </c>
      <c r="F47" s="17">
        <f>IFERROR(__xludf.DUMMYFUNCTION("""COMPUTED_VALUE"""),2120693)</f>
        <v>2120693</v>
      </c>
      <c r="G47" s="16">
        <f>IFERROR(__xludf.DUMMYFUNCTION("""COMPUTED_VALUE"""),45810.6458333333)</f>
        <v>45810.6458333333</v>
      </c>
      <c r="H47" s="17">
        <f>IFERROR(__xludf.DUMMYFUNCTION("""COMPUTED_VALUE"""),1569)</f>
        <v>1569</v>
      </c>
      <c r="I47" s="16">
        <f>IFERROR(__xludf.DUMMYFUNCTION("""COMPUTED_VALUE"""),45810.6458333333)</f>
        <v>45810.6458333333</v>
      </c>
      <c r="J47" s="17">
        <f>IFERROR(__xludf.DUMMYFUNCTION("""COMPUTED_VALUE"""),1542.1)</f>
        <v>1542.1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IFERROR(__xludf.DUMMYFUNCTION("""COMPUTED_VALUE"""),1543.8)</f>
        <v>1543.8</v>
      </c>
      <c r="C48" s="16">
        <f>IFERROR(__xludf.DUMMYFUNCTION("""COMPUTED_VALUE"""),45811.6458333333)</f>
        <v>45811.6458333333</v>
      </c>
      <c r="D48" s="17">
        <f>IFERROR(__xludf.DUMMYFUNCTION("""COMPUTED_VALUE"""),1555.9)</f>
        <v>1555.9</v>
      </c>
      <c r="E48" s="16">
        <f>IFERROR(__xludf.DUMMYFUNCTION("""COMPUTED_VALUE"""),45811.6458333333)</f>
        <v>45811.6458333333</v>
      </c>
      <c r="F48" s="17">
        <f>IFERROR(__xludf.DUMMYFUNCTION("""COMPUTED_VALUE"""),2316285)</f>
        <v>2316285</v>
      </c>
      <c r="G48" s="16">
        <f>IFERROR(__xludf.DUMMYFUNCTION("""COMPUTED_VALUE"""),45811.6458333333)</f>
        <v>45811.6458333333</v>
      </c>
      <c r="H48" s="17">
        <f>IFERROR(__xludf.DUMMYFUNCTION("""COMPUTED_VALUE"""),1564.9)</f>
        <v>1564.9</v>
      </c>
      <c r="I48" s="16">
        <f>IFERROR(__xludf.DUMMYFUNCTION("""COMPUTED_VALUE"""),45811.6458333333)</f>
        <v>45811.6458333333</v>
      </c>
      <c r="J48" s="17">
        <f>IFERROR(__xludf.DUMMYFUNCTION("""COMPUTED_VALUE"""),1533.9)</f>
        <v>1533.9</v>
      </c>
      <c r="K48" s="3">
        <f t="shared" si="2"/>
        <v>0</v>
      </c>
      <c r="L48" s="3">
        <f t="shared" si="3"/>
        <v>1543.8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IFERROR(__xludf.DUMMYFUNCTION("""COMPUTED_VALUE"""),1556.7)</f>
        <v>1556.7</v>
      </c>
      <c r="C49" s="16">
        <f>IFERROR(__xludf.DUMMYFUNCTION("""COMPUTED_VALUE"""),45812.6458333333)</f>
        <v>45812.6458333333</v>
      </c>
      <c r="D49" s="17">
        <f>IFERROR(__xludf.DUMMYFUNCTION("""COMPUTED_VALUE"""),1544.8)</f>
        <v>1544.8</v>
      </c>
      <c r="E49" s="16">
        <f>IFERROR(__xludf.DUMMYFUNCTION("""COMPUTED_VALUE"""),45812.6458333333)</f>
        <v>45812.6458333333</v>
      </c>
      <c r="F49" s="17">
        <f>IFERROR(__xludf.DUMMYFUNCTION("""COMPUTED_VALUE"""),1439090)</f>
        <v>1439090</v>
      </c>
      <c r="G49" s="16">
        <f>IFERROR(__xludf.DUMMYFUNCTION("""COMPUTED_VALUE"""),45812.6458333333)</f>
        <v>45812.6458333333</v>
      </c>
      <c r="H49" s="17">
        <f>IFERROR(__xludf.DUMMYFUNCTION("""COMPUTED_VALUE"""),1566.6)</f>
        <v>1566.6</v>
      </c>
      <c r="I49" s="16">
        <f>IFERROR(__xludf.DUMMYFUNCTION("""COMPUTED_VALUE"""),45812.6458333333)</f>
        <v>45812.6458333333</v>
      </c>
      <c r="J49" s="17">
        <f>IFERROR(__xludf.DUMMYFUNCTION("""COMPUTED_VALUE"""),1544)</f>
        <v>1544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IFERROR(__xludf.DUMMYFUNCTION("""COMPUTED_VALUE"""),1562.8)</f>
        <v>1562.8</v>
      </c>
      <c r="C50" s="16">
        <f>IFERROR(__xludf.DUMMYFUNCTION("""COMPUTED_VALUE"""),45813.6458333333)</f>
        <v>45813.6458333333</v>
      </c>
      <c r="D50" s="17">
        <f>IFERROR(__xludf.DUMMYFUNCTION("""COMPUTED_VALUE"""),1560)</f>
        <v>1560</v>
      </c>
      <c r="E50" s="16">
        <f>IFERROR(__xludf.DUMMYFUNCTION("""COMPUTED_VALUE"""),45813.6458333333)</f>
        <v>45813.6458333333</v>
      </c>
      <c r="F50" s="17">
        <f>IFERROR(__xludf.DUMMYFUNCTION("""COMPUTED_VALUE"""),1529586)</f>
        <v>1529586</v>
      </c>
      <c r="G50" s="16">
        <f>IFERROR(__xludf.DUMMYFUNCTION("""COMPUTED_VALUE"""),45813.6458333333)</f>
        <v>45813.6458333333</v>
      </c>
      <c r="H50" s="17">
        <f>IFERROR(__xludf.DUMMYFUNCTION("""COMPUTED_VALUE"""),1570.3)</f>
        <v>1570.3</v>
      </c>
      <c r="I50" s="16">
        <f>IFERROR(__xludf.DUMMYFUNCTION("""COMPUTED_VALUE"""),45813.6458333333)</f>
        <v>45813.6458333333</v>
      </c>
      <c r="J50" s="17">
        <f>IFERROR(__xludf.DUMMYFUNCTION("""COMPUTED_VALUE"""),1547)</f>
        <v>1547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IFERROR(__xludf.DUMMYFUNCTION("""COMPUTED_VALUE"""),1571.1)</f>
        <v>1571.1</v>
      </c>
      <c r="C51" s="16">
        <f>IFERROR(__xludf.DUMMYFUNCTION("""COMPUTED_VALUE"""),45814.6458333333)</f>
        <v>45814.6458333333</v>
      </c>
      <c r="D51" s="17">
        <f>IFERROR(__xludf.DUMMYFUNCTION("""COMPUTED_VALUE"""),1564.8)</f>
        <v>1564.8</v>
      </c>
      <c r="E51" s="16">
        <f>IFERROR(__xludf.DUMMYFUNCTION("""COMPUTED_VALUE"""),45814.6458333333)</f>
        <v>45814.6458333333</v>
      </c>
      <c r="F51" s="17">
        <f>IFERROR(__xludf.DUMMYFUNCTION("""COMPUTED_VALUE"""),828051)</f>
        <v>828051</v>
      </c>
      <c r="G51" s="16">
        <f>IFERROR(__xludf.DUMMYFUNCTION("""COMPUTED_VALUE"""),45814.6458333333)</f>
        <v>45814.6458333333</v>
      </c>
      <c r="H51" s="17">
        <f>IFERROR(__xludf.DUMMYFUNCTION("""COMPUTED_VALUE"""),1573.5)</f>
        <v>1573.5</v>
      </c>
      <c r="I51" s="16">
        <f>IFERROR(__xludf.DUMMYFUNCTION("""COMPUTED_VALUE"""),45814.6458333333)</f>
        <v>45814.6458333333</v>
      </c>
      <c r="J51" s="17">
        <f>IFERROR(__xludf.DUMMYFUNCTION("""COMPUTED_VALUE"""),1555.4)</f>
        <v>1555.4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IFERROR(__xludf.DUMMYFUNCTION("""COMPUTED_VALUE"""),1579.1)</f>
        <v>1579.1</v>
      </c>
      <c r="C52" s="16">
        <f>IFERROR(__xludf.DUMMYFUNCTION("""COMPUTED_VALUE"""),45817.6458333333)</f>
        <v>45817.6458333333</v>
      </c>
      <c r="D52" s="17">
        <f>IFERROR(__xludf.DUMMYFUNCTION("""COMPUTED_VALUE"""),1575)</f>
        <v>1575</v>
      </c>
      <c r="E52" s="16">
        <f>IFERROR(__xludf.DUMMYFUNCTION("""COMPUTED_VALUE"""),45817.6458333333)</f>
        <v>45817.6458333333</v>
      </c>
      <c r="F52" s="17">
        <f>IFERROR(__xludf.DUMMYFUNCTION("""COMPUTED_VALUE"""),598108)</f>
        <v>598108</v>
      </c>
      <c r="G52" s="16">
        <f>IFERROR(__xludf.DUMMYFUNCTION("""COMPUTED_VALUE"""),45817.6458333333)</f>
        <v>45817.6458333333</v>
      </c>
      <c r="H52" s="17">
        <f>IFERROR(__xludf.DUMMYFUNCTION("""COMPUTED_VALUE"""),1591.5)</f>
        <v>1591.5</v>
      </c>
      <c r="I52" s="16">
        <f>IFERROR(__xludf.DUMMYFUNCTION("""COMPUTED_VALUE"""),45817.6458333333)</f>
        <v>45817.6458333333</v>
      </c>
      <c r="J52" s="17">
        <f>IFERROR(__xludf.DUMMYFUNCTION("""COMPUTED_VALUE"""),1571.1)</f>
        <v>1571.1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IFERROR(__xludf.DUMMYFUNCTION("""COMPUTED_VALUE"""),1610.9)</f>
        <v>1610.9</v>
      </c>
      <c r="C53" s="16">
        <f>IFERROR(__xludf.DUMMYFUNCTION("""COMPUTED_VALUE"""),45818.6458333333)</f>
        <v>45818.6458333333</v>
      </c>
      <c r="D53" s="17">
        <f>IFERROR(__xludf.DUMMYFUNCTION("""COMPUTED_VALUE"""),1579.1)</f>
        <v>1579.1</v>
      </c>
      <c r="E53" s="16">
        <f>IFERROR(__xludf.DUMMYFUNCTION("""COMPUTED_VALUE"""),45818.6458333333)</f>
        <v>45818.6458333333</v>
      </c>
      <c r="F53" s="17">
        <f>IFERROR(__xludf.DUMMYFUNCTION("""COMPUTED_VALUE"""),3324373)</f>
        <v>3324373</v>
      </c>
      <c r="G53" s="16">
        <f>IFERROR(__xludf.DUMMYFUNCTION("""COMPUTED_VALUE"""),45818.6458333333)</f>
        <v>45818.6458333333</v>
      </c>
      <c r="H53" s="17">
        <f>IFERROR(__xludf.DUMMYFUNCTION("""COMPUTED_VALUE"""),1633.5)</f>
        <v>1633.5</v>
      </c>
      <c r="I53" s="16">
        <f>IFERROR(__xludf.DUMMYFUNCTION("""COMPUTED_VALUE"""),45818.6458333333)</f>
        <v>45818.6458333333</v>
      </c>
      <c r="J53" s="17">
        <f>IFERROR(__xludf.DUMMYFUNCTION("""COMPUTED_VALUE"""),1579)</f>
        <v>1579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IFERROR(__xludf.DUMMYFUNCTION("""COMPUTED_VALUE"""),1637.5)</f>
        <v>1637.5</v>
      </c>
      <c r="C54" s="16">
        <f>IFERROR(__xludf.DUMMYFUNCTION("""COMPUTED_VALUE"""),45819.6458333333)</f>
        <v>45819.6458333333</v>
      </c>
      <c r="D54" s="17">
        <f>IFERROR(__xludf.DUMMYFUNCTION("""COMPUTED_VALUE"""),1618)</f>
        <v>1618</v>
      </c>
      <c r="E54" s="16">
        <f>IFERROR(__xludf.DUMMYFUNCTION("""COMPUTED_VALUE"""),45819.6458333333)</f>
        <v>45819.6458333333</v>
      </c>
      <c r="F54" s="17">
        <f>IFERROR(__xludf.DUMMYFUNCTION("""COMPUTED_VALUE"""),2660949)</f>
        <v>2660949</v>
      </c>
      <c r="G54" s="16">
        <f>IFERROR(__xludf.DUMMYFUNCTION("""COMPUTED_VALUE"""),45819.6458333333)</f>
        <v>45819.6458333333</v>
      </c>
      <c r="H54" s="17">
        <f>IFERROR(__xludf.DUMMYFUNCTION("""COMPUTED_VALUE"""),1649)</f>
        <v>1649</v>
      </c>
      <c r="I54" s="16">
        <f>IFERROR(__xludf.DUMMYFUNCTION("""COMPUTED_VALUE"""),45819.6458333333)</f>
        <v>45819.6458333333</v>
      </c>
      <c r="J54" s="17">
        <f>IFERROR(__xludf.DUMMYFUNCTION("""COMPUTED_VALUE"""),1604.6)</f>
        <v>1604.6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IFERROR(__xludf.DUMMYFUNCTION("""COMPUTED_VALUE"""),1644.4)</f>
        <v>1644.4</v>
      </c>
      <c r="C55" s="16">
        <f>IFERROR(__xludf.DUMMYFUNCTION("""COMPUTED_VALUE"""),45820.6458333333)</f>
        <v>45820.6458333333</v>
      </c>
      <c r="D55" s="17">
        <f>IFERROR(__xludf.DUMMYFUNCTION("""COMPUTED_VALUE"""),1636)</f>
        <v>1636</v>
      </c>
      <c r="E55" s="16">
        <f>IFERROR(__xludf.DUMMYFUNCTION("""COMPUTED_VALUE"""),45820.6458333333)</f>
        <v>45820.6458333333</v>
      </c>
      <c r="F55" s="17">
        <f>IFERROR(__xludf.DUMMYFUNCTION("""COMPUTED_VALUE"""),2316173)</f>
        <v>2316173</v>
      </c>
      <c r="G55" s="16">
        <f>IFERROR(__xludf.DUMMYFUNCTION("""COMPUTED_VALUE"""),45820.6458333333)</f>
        <v>45820.6458333333</v>
      </c>
      <c r="H55" s="17">
        <f>IFERROR(__xludf.DUMMYFUNCTION("""COMPUTED_VALUE"""),1658)</f>
        <v>1658</v>
      </c>
      <c r="I55" s="16">
        <f>IFERROR(__xludf.DUMMYFUNCTION("""COMPUTED_VALUE"""),45820.6458333333)</f>
        <v>45820.6458333333</v>
      </c>
      <c r="J55" s="17">
        <f>IFERROR(__xludf.DUMMYFUNCTION("""COMPUTED_VALUE"""),1611.9)</f>
        <v>1611.9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IFERROR(__xludf.DUMMYFUNCTION("""COMPUTED_VALUE"""),1659)</f>
        <v>1659</v>
      </c>
      <c r="C56" s="16">
        <f>IFERROR(__xludf.DUMMYFUNCTION("""COMPUTED_VALUE"""),45821.6458333333)</f>
        <v>45821.6458333333</v>
      </c>
      <c r="D56" s="17">
        <f>IFERROR(__xludf.DUMMYFUNCTION("""COMPUTED_VALUE"""),1605)</f>
        <v>1605</v>
      </c>
      <c r="E56" s="16">
        <f>IFERROR(__xludf.DUMMYFUNCTION("""COMPUTED_VALUE"""),45821.6458333333)</f>
        <v>45821.6458333333</v>
      </c>
      <c r="F56" s="17">
        <f>IFERROR(__xludf.DUMMYFUNCTION("""COMPUTED_VALUE"""),2511076)</f>
        <v>2511076</v>
      </c>
      <c r="G56" s="16">
        <f>IFERROR(__xludf.DUMMYFUNCTION("""COMPUTED_VALUE"""),45821.6458333333)</f>
        <v>45821.6458333333</v>
      </c>
      <c r="H56" s="17">
        <f>IFERROR(__xludf.DUMMYFUNCTION("""COMPUTED_VALUE"""),1669)</f>
        <v>1669</v>
      </c>
      <c r="I56" s="16">
        <f>IFERROR(__xludf.DUMMYFUNCTION("""COMPUTED_VALUE"""),45821.6458333333)</f>
        <v>45821.6458333333</v>
      </c>
      <c r="J56" s="17">
        <f>IFERROR(__xludf.DUMMYFUNCTION("""COMPUTED_VALUE"""),1604.6)</f>
        <v>1604.6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IFERROR(__xludf.DUMMYFUNCTION("""COMPUTED_VALUE"""),1693.9)</f>
        <v>1693.9</v>
      </c>
      <c r="C57" s="16">
        <f>IFERROR(__xludf.DUMMYFUNCTION("""COMPUTED_VALUE"""),45824.6458333333)</f>
        <v>45824.6458333333</v>
      </c>
      <c r="D57" s="17">
        <f>IFERROR(__xludf.DUMMYFUNCTION("""COMPUTED_VALUE"""),1658)</f>
        <v>1658</v>
      </c>
      <c r="E57" s="16">
        <f>IFERROR(__xludf.DUMMYFUNCTION("""COMPUTED_VALUE"""),45824.6458333333)</f>
        <v>45824.6458333333</v>
      </c>
      <c r="F57" s="17">
        <f>IFERROR(__xludf.DUMMYFUNCTION("""COMPUTED_VALUE"""),2160406)</f>
        <v>2160406</v>
      </c>
      <c r="G57" s="16">
        <f>IFERROR(__xludf.DUMMYFUNCTION("""COMPUTED_VALUE"""),45824.6458333333)</f>
        <v>45824.6458333333</v>
      </c>
      <c r="H57" s="17">
        <f>IFERROR(__xludf.DUMMYFUNCTION("""COMPUTED_VALUE"""),1706)</f>
        <v>1706</v>
      </c>
      <c r="I57" s="16">
        <f>IFERROR(__xludf.DUMMYFUNCTION("""COMPUTED_VALUE"""),45824.6458333333)</f>
        <v>45824.6458333333</v>
      </c>
      <c r="J57" s="17">
        <f>IFERROR(__xludf.DUMMYFUNCTION("""COMPUTED_VALUE"""),1651.2)</f>
        <v>1651.2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IFERROR(__xludf.DUMMYFUNCTION("""COMPUTED_VALUE"""),1718.6)</f>
        <v>1718.6</v>
      </c>
      <c r="C58" s="16">
        <f>IFERROR(__xludf.DUMMYFUNCTION("""COMPUTED_VALUE"""),45825.6458333333)</f>
        <v>45825.6458333333</v>
      </c>
      <c r="D58" s="17">
        <f>IFERROR(__xludf.DUMMYFUNCTION("""COMPUTED_VALUE"""),1692.4)</f>
        <v>1692.4</v>
      </c>
      <c r="E58" s="16">
        <f>IFERROR(__xludf.DUMMYFUNCTION("""COMPUTED_VALUE"""),45825.6458333333)</f>
        <v>45825.6458333333</v>
      </c>
      <c r="F58" s="17">
        <f>IFERROR(__xludf.DUMMYFUNCTION("""COMPUTED_VALUE"""),2105126)</f>
        <v>2105126</v>
      </c>
      <c r="G58" s="16">
        <f>IFERROR(__xludf.DUMMYFUNCTION("""COMPUTED_VALUE"""),45825.6458333333)</f>
        <v>45825.6458333333</v>
      </c>
      <c r="H58" s="17">
        <f>IFERROR(__xludf.DUMMYFUNCTION("""COMPUTED_VALUE"""),1725)</f>
        <v>1725</v>
      </c>
      <c r="I58" s="16">
        <f>IFERROR(__xludf.DUMMYFUNCTION("""COMPUTED_VALUE"""),45825.6458333333)</f>
        <v>45825.6458333333</v>
      </c>
      <c r="J58" s="17">
        <f>IFERROR(__xludf.DUMMYFUNCTION("""COMPUTED_VALUE"""),1684.2)</f>
        <v>1684.2</v>
      </c>
      <c r="K58" s="3">
        <f t="shared" si="2"/>
        <v>1718.6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IFERROR(__xludf.DUMMYFUNCTION("""COMPUTED_VALUE"""),1710.7)</f>
        <v>1710.7</v>
      </c>
      <c r="C59" s="16">
        <f>IFERROR(__xludf.DUMMYFUNCTION("""COMPUTED_VALUE"""),45826.6458333333)</f>
        <v>45826.6458333333</v>
      </c>
      <c r="D59" s="17">
        <f>IFERROR(__xludf.DUMMYFUNCTION("""COMPUTED_VALUE"""),1717.1)</f>
        <v>1717.1</v>
      </c>
      <c r="E59" s="16">
        <f>IFERROR(__xludf.DUMMYFUNCTION("""COMPUTED_VALUE"""),45826.6458333333)</f>
        <v>45826.6458333333</v>
      </c>
      <c r="F59" s="17">
        <f>IFERROR(__xludf.DUMMYFUNCTION("""COMPUTED_VALUE"""),1299278)</f>
        <v>1299278</v>
      </c>
      <c r="G59" s="16">
        <f>IFERROR(__xludf.DUMMYFUNCTION("""COMPUTED_VALUE"""),45826.6458333333)</f>
        <v>45826.6458333333</v>
      </c>
      <c r="H59" s="17">
        <f>IFERROR(__xludf.DUMMYFUNCTION("""COMPUTED_VALUE"""),1732.8)</f>
        <v>1732.8</v>
      </c>
      <c r="I59" s="16">
        <f>IFERROR(__xludf.DUMMYFUNCTION("""COMPUTED_VALUE"""),45826.6458333333)</f>
        <v>45826.6458333333</v>
      </c>
      <c r="J59" s="17">
        <f>IFERROR(__xludf.DUMMYFUNCTION("""COMPUTED_VALUE"""),1708.4)</f>
        <v>1708.4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IFERROR(__xludf.DUMMYFUNCTION("""COMPUTED_VALUE"""),1684)</f>
        <v>1684</v>
      </c>
      <c r="C60" s="16">
        <f>IFERROR(__xludf.DUMMYFUNCTION("""COMPUTED_VALUE"""),45827.6458333333)</f>
        <v>45827.6458333333</v>
      </c>
      <c r="D60" s="17">
        <f>IFERROR(__xludf.DUMMYFUNCTION("""COMPUTED_VALUE"""),1684)</f>
        <v>1684</v>
      </c>
      <c r="E60" s="16">
        <f>IFERROR(__xludf.DUMMYFUNCTION("""COMPUTED_VALUE"""),45827.6458333333)</f>
        <v>45827.6458333333</v>
      </c>
      <c r="F60" s="17">
        <f>IFERROR(__xludf.DUMMYFUNCTION("""COMPUTED_VALUE"""),3056884)</f>
        <v>3056884</v>
      </c>
      <c r="G60" s="16">
        <f>IFERROR(__xludf.DUMMYFUNCTION("""COMPUTED_VALUE"""),45827.6458333333)</f>
        <v>45827.6458333333</v>
      </c>
      <c r="H60" s="17">
        <f>IFERROR(__xludf.DUMMYFUNCTION("""COMPUTED_VALUE"""),1694)</f>
        <v>1694</v>
      </c>
      <c r="I60" s="16">
        <f>IFERROR(__xludf.DUMMYFUNCTION("""COMPUTED_VALUE"""),45827.6458333333)</f>
        <v>45827.6458333333</v>
      </c>
      <c r="J60" s="17">
        <f>IFERROR(__xludf.DUMMYFUNCTION("""COMPUTED_VALUE"""),1660.7)</f>
        <v>1660.7</v>
      </c>
      <c r="K60" s="3">
        <f t="shared" si="2"/>
        <v>0</v>
      </c>
      <c r="L60" s="3">
        <f t="shared" si="3"/>
        <v>0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IFERROR(__xludf.DUMMYFUNCTION("""COMPUTED_VALUE"""),1696.1)</f>
        <v>1696.1</v>
      </c>
      <c r="C61" s="16">
        <f>IFERROR(__xludf.DUMMYFUNCTION("""COMPUTED_VALUE"""),45828.6458333333)</f>
        <v>45828.6458333333</v>
      </c>
      <c r="D61" s="17">
        <f>IFERROR(__xludf.DUMMYFUNCTION("""COMPUTED_VALUE"""),1680)</f>
        <v>1680</v>
      </c>
      <c r="E61" s="16">
        <f>IFERROR(__xludf.DUMMYFUNCTION("""COMPUTED_VALUE"""),45828.6458333333)</f>
        <v>45828.6458333333</v>
      </c>
      <c r="F61" s="17">
        <f>IFERROR(__xludf.DUMMYFUNCTION("""COMPUTED_VALUE"""),3425550)</f>
        <v>3425550</v>
      </c>
      <c r="G61" s="16">
        <f>IFERROR(__xludf.DUMMYFUNCTION("""COMPUTED_VALUE"""),45828.6458333333)</f>
        <v>45828.6458333333</v>
      </c>
      <c r="H61" s="17">
        <f>IFERROR(__xludf.DUMMYFUNCTION("""COMPUTED_VALUE"""),1708.5)</f>
        <v>1708.5</v>
      </c>
      <c r="I61" s="16">
        <f>IFERROR(__xludf.DUMMYFUNCTION("""COMPUTED_VALUE"""),45828.6458333333)</f>
        <v>45828.6458333333</v>
      </c>
      <c r="J61" s="17">
        <f>IFERROR(__xludf.DUMMYFUNCTION("""COMPUTED_VALUE"""),1669.2)</f>
        <v>1669.2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IFERROR(__xludf.DUMMYFUNCTION("""COMPUTED_VALUE"""),1681.8)</f>
        <v>1681.8</v>
      </c>
      <c r="C62" s="16">
        <f>IFERROR(__xludf.DUMMYFUNCTION("""COMPUTED_VALUE"""),45831.6458333333)</f>
        <v>45831.6458333333</v>
      </c>
      <c r="D62" s="17">
        <f>IFERROR(__xludf.DUMMYFUNCTION("""COMPUTED_VALUE"""),1680)</f>
        <v>1680</v>
      </c>
      <c r="E62" s="16">
        <f>IFERROR(__xludf.DUMMYFUNCTION("""COMPUTED_VALUE"""),45831.6458333333)</f>
        <v>45831.6458333333</v>
      </c>
      <c r="F62" s="17">
        <f>IFERROR(__xludf.DUMMYFUNCTION("""COMPUTED_VALUE"""),732380)</f>
        <v>732380</v>
      </c>
      <c r="G62" s="16">
        <f>IFERROR(__xludf.DUMMYFUNCTION("""COMPUTED_VALUE"""),45831.6458333333)</f>
        <v>45831.6458333333</v>
      </c>
      <c r="H62" s="17">
        <f>IFERROR(__xludf.DUMMYFUNCTION("""COMPUTED_VALUE"""),1692)</f>
        <v>1692</v>
      </c>
      <c r="I62" s="16">
        <f>IFERROR(__xludf.DUMMYFUNCTION("""COMPUTED_VALUE"""),45831.6458333333)</f>
        <v>45831.6458333333</v>
      </c>
      <c r="J62" s="17">
        <f>IFERROR(__xludf.DUMMYFUNCTION("""COMPUTED_VALUE"""),1675.7)</f>
        <v>1675.7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IFERROR(__xludf.DUMMYFUNCTION("""COMPUTED_VALUE"""),1677.1)</f>
        <v>1677.1</v>
      </c>
      <c r="C63" s="16">
        <f>IFERROR(__xludf.DUMMYFUNCTION("""COMPUTED_VALUE"""),45832.6458333333)</f>
        <v>45832.6458333333</v>
      </c>
      <c r="D63" s="17">
        <f>IFERROR(__xludf.DUMMYFUNCTION("""COMPUTED_VALUE"""),1698.8)</f>
        <v>1698.8</v>
      </c>
      <c r="E63" s="16">
        <f>IFERROR(__xludf.DUMMYFUNCTION("""COMPUTED_VALUE"""),45832.6458333333)</f>
        <v>45832.6458333333</v>
      </c>
      <c r="F63" s="17">
        <f>IFERROR(__xludf.DUMMYFUNCTION("""COMPUTED_VALUE"""),1923989)</f>
        <v>1923989</v>
      </c>
      <c r="G63" s="16">
        <f>IFERROR(__xludf.DUMMYFUNCTION("""COMPUTED_VALUE"""),45832.6458333333)</f>
        <v>45832.6458333333</v>
      </c>
      <c r="H63" s="17">
        <f>IFERROR(__xludf.DUMMYFUNCTION("""COMPUTED_VALUE"""),1708.5)</f>
        <v>1708.5</v>
      </c>
      <c r="I63" s="16">
        <f>IFERROR(__xludf.DUMMYFUNCTION("""COMPUTED_VALUE"""),45832.6458333333)</f>
        <v>45832.6458333333</v>
      </c>
      <c r="J63" s="17">
        <f>IFERROR(__xludf.DUMMYFUNCTION("""COMPUTED_VALUE"""),1674.7)</f>
        <v>1674.7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IFERROR(__xludf.DUMMYFUNCTION("""COMPUTED_VALUE"""),1705)</f>
        <v>1705</v>
      </c>
      <c r="C64" s="16">
        <f>IFERROR(__xludf.DUMMYFUNCTION("""COMPUTED_VALUE"""),45833.6458333333)</f>
        <v>45833.6458333333</v>
      </c>
      <c r="D64" s="17">
        <f>IFERROR(__xludf.DUMMYFUNCTION("""COMPUTED_VALUE"""),1689.8)</f>
        <v>1689.8</v>
      </c>
      <c r="E64" s="16">
        <f>IFERROR(__xludf.DUMMYFUNCTION("""COMPUTED_VALUE"""),45833.6458333333)</f>
        <v>45833.6458333333</v>
      </c>
      <c r="F64" s="17">
        <f>IFERROR(__xludf.DUMMYFUNCTION("""COMPUTED_VALUE"""),1416375)</f>
        <v>1416375</v>
      </c>
      <c r="G64" s="16">
        <f>IFERROR(__xludf.DUMMYFUNCTION("""COMPUTED_VALUE"""),45833.6458333333)</f>
        <v>45833.6458333333</v>
      </c>
      <c r="H64" s="17">
        <f>IFERROR(__xludf.DUMMYFUNCTION("""COMPUTED_VALUE"""),1714)</f>
        <v>1714</v>
      </c>
      <c r="I64" s="16">
        <f>IFERROR(__xludf.DUMMYFUNCTION("""COMPUTED_VALUE"""),45833.6458333333)</f>
        <v>45833.6458333333</v>
      </c>
      <c r="J64" s="17">
        <f>IFERROR(__xludf.DUMMYFUNCTION("""COMPUTED_VALUE"""),1675.8)</f>
        <v>1675.8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IFERROR(__xludf.DUMMYFUNCTION("""COMPUTED_VALUE"""),1690.2)</f>
        <v>1690.2</v>
      </c>
      <c r="C65" s="16">
        <f>IFERROR(__xludf.DUMMYFUNCTION("""COMPUTED_VALUE"""),45834.6458333333)</f>
        <v>45834.6458333333</v>
      </c>
      <c r="D65" s="17">
        <f>IFERROR(__xludf.DUMMYFUNCTION("""COMPUTED_VALUE"""),1695)</f>
        <v>1695</v>
      </c>
      <c r="E65" s="16">
        <f>IFERROR(__xludf.DUMMYFUNCTION("""COMPUTED_VALUE"""),45834.6458333333)</f>
        <v>45834.6458333333</v>
      </c>
      <c r="F65" s="17">
        <f>IFERROR(__xludf.DUMMYFUNCTION("""COMPUTED_VALUE"""),2528268)</f>
        <v>2528268</v>
      </c>
      <c r="G65" s="16">
        <f>IFERROR(__xludf.DUMMYFUNCTION("""COMPUTED_VALUE"""),45834.6458333333)</f>
        <v>45834.6458333333</v>
      </c>
      <c r="H65" s="17">
        <f>IFERROR(__xludf.DUMMYFUNCTION("""COMPUTED_VALUE"""),1703.5)</f>
        <v>1703.5</v>
      </c>
      <c r="I65" s="16">
        <f>IFERROR(__xludf.DUMMYFUNCTION("""COMPUTED_VALUE"""),45834.6458333333)</f>
        <v>45834.6458333333</v>
      </c>
      <c r="J65" s="17">
        <f>IFERROR(__xludf.DUMMYFUNCTION("""COMPUTED_VALUE"""),1670.3)</f>
        <v>1670.3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IFERROR(__xludf.DUMMYFUNCTION("""COMPUTED_VALUE"""),1674.4)</f>
        <v>1674.4</v>
      </c>
      <c r="C66" s="16">
        <f>IFERROR(__xludf.DUMMYFUNCTION("""COMPUTED_VALUE"""),45835.6458333333)</f>
        <v>45835.6458333333</v>
      </c>
      <c r="D66" s="17">
        <f>IFERROR(__xludf.DUMMYFUNCTION("""COMPUTED_VALUE"""),1698)</f>
        <v>1698</v>
      </c>
      <c r="E66" s="16">
        <f>IFERROR(__xludf.DUMMYFUNCTION("""COMPUTED_VALUE"""),45835.6458333333)</f>
        <v>45835.6458333333</v>
      </c>
      <c r="F66" s="17">
        <f>IFERROR(__xludf.DUMMYFUNCTION("""COMPUTED_VALUE"""),6183785)</f>
        <v>6183785</v>
      </c>
      <c r="G66" s="16">
        <f>IFERROR(__xludf.DUMMYFUNCTION("""COMPUTED_VALUE"""),45835.6458333333)</f>
        <v>45835.6458333333</v>
      </c>
      <c r="H66" s="17">
        <f>IFERROR(__xludf.DUMMYFUNCTION("""COMPUTED_VALUE"""),1701.8)</f>
        <v>1701.8</v>
      </c>
      <c r="I66" s="16">
        <f>IFERROR(__xludf.DUMMYFUNCTION("""COMPUTED_VALUE"""),45835.6458333333)</f>
        <v>45835.6458333333</v>
      </c>
      <c r="J66" s="17">
        <f>IFERROR(__xludf.DUMMYFUNCTION("""COMPUTED_VALUE"""),1662.6)</f>
        <v>1662.6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IFERROR(__xludf.DUMMYFUNCTION("""COMPUTED_VALUE"""),1687)</f>
        <v>1687</v>
      </c>
      <c r="C67" s="16">
        <f>IFERROR(__xludf.DUMMYFUNCTION("""COMPUTED_VALUE"""),45838.6458333333)</f>
        <v>45838.6458333333</v>
      </c>
      <c r="D67" s="17">
        <f>IFERROR(__xludf.DUMMYFUNCTION("""COMPUTED_VALUE"""),1680.6)</f>
        <v>1680.6</v>
      </c>
      <c r="E67" s="16">
        <f>IFERROR(__xludf.DUMMYFUNCTION("""COMPUTED_VALUE"""),45838.6458333333)</f>
        <v>45838.6458333333</v>
      </c>
      <c r="F67" s="17">
        <f>IFERROR(__xludf.DUMMYFUNCTION("""COMPUTED_VALUE"""),1546996)</f>
        <v>1546996</v>
      </c>
      <c r="G67" s="16">
        <f>IFERROR(__xludf.DUMMYFUNCTION("""COMPUTED_VALUE"""),45838.6458333333)</f>
        <v>45838.6458333333</v>
      </c>
      <c r="H67" s="17">
        <f>IFERROR(__xludf.DUMMYFUNCTION("""COMPUTED_VALUE"""),1689.5)</f>
        <v>1689.5</v>
      </c>
      <c r="I67" s="16">
        <f>IFERROR(__xludf.DUMMYFUNCTION("""COMPUTED_VALUE"""),45838.6458333333)</f>
        <v>45838.6458333333</v>
      </c>
      <c r="J67" s="17">
        <f>IFERROR(__xludf.DUMMYFUNCTION("""COMPUTED_VALUE"""),1660)</f>
        <v>1660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IFERROR(__xludf.DUMMYFUNCTION("""COMPUTED_VALUE"""),1671.2)</f>
        <v>1671.2</v>
      </c>
      <c r="C68" s="16">
        <f>IFERROR(__xludf.DUMMYFUNCTION("""COMPUTED_VALUE"""),45839.6458333333)</f>
        <v>45839.6458333333</v>
      </c>
      <c r="D68" s="17">
        <f>IFERROR(__xludf.DUMMYFUNCTION("""COMPUTED_VALUE"""),1690)</f>
        <v>1690</v>
      </c>
      <c r="E68" s="16">
        <f>IFERROR(__xludf.DUMMYFUNCTION("""COMPUTED_VALUE"""),45839.6458333333)</f>
        <v>45839.6458333333</v>
      </c>
      <c r="F68" s="17">
        <f>IFERROR(__xludf.DUMMYFUNCTION("""COMPUTED_VALUE"""),1689051)</f>
        <v>1689051</v>
      </c>
      <c r="G68" s="16">
        <f>IFERROR(__xludf.DUMMYFUNCTION("""COMPUTED_VALUE"""),45839.6458333333)</f>
        <v>45839.6458333333</v>
      </c>
      <c r="H68" s="17">
        <f>IFERROR(__xludf.DUMMYFUNCTION("""COMPUTED_VALUE"""),1697.4)</f>
        <v>1697.4</v>
      </c>
      <c r="I68" s="16">
        <f>IFERROR(__xludf.DUMMYFUNCTION("""COMPUTED_VALUE"""),45839.6458333333)</f>
        <v>45839.6458333333</v>
      </c>
      <c r="J68" s="17">
        <f>IFERROR(__xludf.DUMMYFUNCTION("""COMPUTED_VALUE"""),1669.3)</f>
        <v>1669.3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IFERROR(__xludf.DUMMYFUNCTION("""COMPUTED_VALUE"""),1677.1)</f>
        <v>1677.1</v>
      </c>
      <c r="C69" s="16">
        <f>IFERROR(__xludf.DUMMYFUNCTION("""COMPUTED_VALUE"""),45840.6458333333)</f>
        <v>45840.6458333333</v>
      </c>
      <c r="D69" s="17">
        <f>IFERROR(__xludf.DUMMYFUNCTION("""COMPUTED_VALUE"""),1675)</f>
        <v>1675</v>
      </c>
      <c r="E69" s="16">
        <f>IFERROR(__xludf.DUMMYFUNCTION("""COMPUTED_VALUE"""),45840.6458333333)</f>
        <v>45840.6458333333</v>
      </c>
      <c r="F69" s="17">
        <f>IFERROR(__xludf.DUMMYFUNCTION("""COMPUTED_VALUE"""),1931642)</f>
        <v>1931642</v>
      </c>
      <c r="G69" s="16">
        <f>IFERROR(__xludf.DUMMYFUNCTION("""COMPUTED_VALUE"""),45840.6458333333)</f>
        <v>45840.6458333333</v>
      </c>
      <c r="H69" s="17">
        <f>IFERROR(__xludf.DUMMYFUNCTION("""COMPUTED_VALUE"""),1699)</f>
        <v>1699</v>
      </c>
      <c r="I69" s="16">
        <f>IFERROR(__xludf.DUMMYFUNCTION("""COMPUTED_VALUE"""),45840.6458333333)</f>
        <v>45840.6458333333</v>
      </c>
      <c r="J69" s="17">
        <f>IFERROR(__xludf.DUMMYFUNCTION("""COMPUTED_VALUE"""),1667.5)</f>
        <v>1667.5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IFERROR(__xludf.DUMMYFUNCTION("""COMPUTED_VALUE"""),1671.9)</f>
        <v>1671.9</v>
      </c>
      <c r="C70" s="16">
        <f>IFERROR(__xludf.DUMMYFUNCTION("""COMPUTED_VALUE"""),45841.6458333333)</f>
        <v>45841.6458333333</v>
      </c>
      <c r="D70" s="17">
        <f>IFERROR(__xludf.DUMMYFUNCTION("""COMPUTED_VALUE"""),1684.9)</f>
        <v>1684.9</v>
      </c>
      <c r="E70" s="16">
        <f>IFERROR(__xludf.DUMMYFUNCTION("""COMPUTED_VALUE"""),45841.6458333333)</f>
        <v>45841.6458333333</v>
      </c>
      <c r="F70" s="17">
        <f>IFERROR(__xludf.DUMMYFUNCTION("""COMPUTED_VALUE"""),1713273)</f>
        <v>1713273</v>
      </c>
      <c r="G70" s="16">
        <f>IFERROR(__xludf.DUMMYFUNCTION("""COMPUTED_VALUE"""),45841.6458333333)</f>
        <v>45841.6458333333</v>
      </c>
      <c r="H70" s="17">
        <f>IFERROR(__xludf.DUMMYFUNCTION("""COMPUTED_VALUE"""),1693)</f>
        <v>1693</v>
      </c>
      <c r="I70" s="16">
        <f>IFERROR(__xludf.DUMMYFUNCTION("""COMPUTED_VALUE"""),45841.6458333333)</f>
        <v>45841.6458333333</v>
      </c>
      <c r="J70" s="17">
        <f>IFERROR(__xludf.DUMMYFUNCTION("""COMPUTED_VALUE"""),1670)</f>
        <v>1670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IFERROR(__xludf.DUMMYFUNCTION("""COMPUTED_VALUE"""),1655.2)</f>
        <v>1655.2</v>
      </c>
      <c r="C71" s="16">
        <f>IFERROR(__xludf.DUMMYFUNCTION("""COMPUTED_VALUE"""),45842.6458333333)</f>
        <v>45842.6458333333</v>
      </c>
      <c r="D71" s="17">
        <f>IFERROR(__xludf.DUMMYFUNCTION("""COMPUTED_VALUE"""),1645)</f>
        <v>1645</v>
      </c>
      <c r="E71" s="16">
        <f>IFERROR(__xludf.DUMMYFUNCTION("""COMPUTED_VALUE"""),45842.6458333333)</f>
        <v>45842.6458333333</v>
      </c>
      <c r="F71" s="17">
        <f>IFERROR(__xludf.DUMMYFUNCTION("""COMPUTED_VALUE"""),1310544)</f>
        <v>1310544</v>
      </c>
      <c r="G71" s="16">
        <f>IFERROR(__xludf.DUMMYFUNCTION("""COMPUTED_VALUE"""),45842.6458333333)</f>
        <v>45842.6458333333</v>
      </c>
      <c r="H71" s="17">
        <f>IFERROR(__xludf.DUMMYFUNCTION("""COMPUTED_VALUE"""),1663.9)</f>
        <v>1663.9</v>
      </c>
      <c r="I71" s="16">
        <f>IFERROR(__xludf.DUMMYFUNCTION("""COMPUTED_VALUE"""),45842.6458333333)</f>
        <v>45842.6458333333</v>
      </c>
      <c r="J71" s="17">
        <f>IFERROR(__xludf.DUMMYFUNCTION("""COMPUTED_VALUE"""),1640.5)</f>
        <v>1640.5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IFERROR(__xludf.DUMMYFUNCTION("""COMPUTED_VALUE"""),1623.9)</f>
        <v>1623.9</v>
      </c>
      <c r="C72" s="16">
        <f>IFERROR(__xludf.DUMMYFUNCTION("""COMPUTED_VALUE"""),45845.6458333333)</f>
        <v>45845.6458333333</v>
      </c>
      <c r="D72" s="17">
        <f>IFERROR(__xludf.DUMMYFUNCTION("""COMPUTED_VALUE"""),1647.9)</f>
        <v>1647.9</v>
      </c>
      <c r="E72" s="16">
        <f>IFERROR(__xludf.DUMMYFUNCTION("""COMPUTED_VALUE"""),45845.6458333333)</f>
        <v>45845.6458333333</v>
      </c>
      <c r="F72" s="17">
        <f>IFERROR(__xludf.DUMMYFUNCTION("""COMPUTED_VALUE"""),1550115)</f>
        <v>1550115</v>
      </c>
      <c r="G72" s="16">
        <f>IFERROR(__xludf.DUMMYFUNCTION("""COMPUTED_VALUE"""),45845.6458333333)</f>
        <v>45845.6458333333</v>
      </c>
      <c r="H72" s="17">
        <f>IFERROR(__xludf.DUMMYFUNCTION("""COMPUTED_VALUE"""),1647.9)</f>
        <v>1647.9</v>
      </c>
      <c r="I72" s="16">
        <f>IFERROR(__xludf.DUMMYFUNCTION("""COMPUTED_VALUE"""),45845.6458333333)</f>
        <v>45845.6458333333</v>
      </c>
      <c r="J72" s="17">
        <f>IFERROR(__xludf.DUMMYFUNCTION("""COMPUTED_VALUE"""),1615.5)</f>
        <v>1615.5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IFERROR(__xludf.DUMMYFUNCTION("""COMPUTED_VALUE"""),1635.4)</f>
        <v>1635.4</v>
      </c>
      <c r="C73" s="16">
        <f>IFERROR(__xludf.DUMMYFUNCTION("""COMPUTED_VALUE"""),45846.6458333333)</f>
        <v>45846.6458333333</v>
      </c>
      <c r="D73" s="17">
        <f>IFERROR(__xludf.DUMMYFUNCTION("""COMPUTED_VALUE"""),1623)</f>
        <v>1623</v>
      </c>
      <c r="E73" s="16">
        <f>IFERROR(__xludf.DUMMYFUNCTION("""COMPUTED_VALUE"""),45846.6458333333)</f>
        <v>45846.6458333333</v>
      </c>
      <c r="F73" s="17">
        <f>IFERROR(__xludf.DUMMYFUNCTION("""COMPUTED_VALUE"""),1318755)</f>
        <v>1318755</v>
      </c>
      <c r="G73" s="16">
        <f>IFERROR(__xludf.DUMMYFUNCTION("""COMPUTED_VALUE"""),45846.6458333333)</f>
        <v>45846.6458333333</v>
      </c>
      <c r="H73" s="17">
        <f>IFERROR(__xludf.DUMMYFUNCTION("""COMPUTED_VALUE"""),1643.8)</f>
        <v>1643.8</v>
      </c>
      <c r="I73" s="16">
        <f>IFERROR(__xludf.DUMMYFUNCTION("""COMPUTED_VALUE"""),45846.6458333333)</f>
        <v>45846.6458333333</v>
      </c>
      <c r="J73" s="17">
        <f>IFERROR(__xludf.DUMMYFUNCTION("""COMPUTED_VALUE"""),1619)</f>
        <v>1619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IFERROR(__xludf.DUMMYFUNCTION("""COMPUTED_VALUE"""),1614.8)</f>
        <v>1614.8</v>
      </c>
      <c r="C74" s="16">
        <f>IFERROR(__xludf.DUMMYFUNCTION("""COMPUTED_VALUE"""),45847.6458333333)</f>
        <v>45847.6458333333</v>
      </c>
      <c r="D74" s="17">
        <f>IFERROR(__xludf.DUMMYFUNCTION("""COMPUTED_VALUE"""),1634.8)</f>
        <v>1634.8</v>
      </c>
      <c r="E74" s="16">
        <f>IFERROR(__xludf.DUMMYFUNCTION("""COMPUTED_VALUE"""),45847.6458333333)</f>
        <v>45847.6458333333</v>
      </c>
      <c r="F74" s="17">
        <f>IFERROR(__xludf.DUMMYFUNCTION("""COMPUTED_VALUE"""),1173847)</f>
        <v>1173847</v>
      </c>
      <c r="G74" s="16">
        <f>IFERROR(__xludf.DUMMYFUNCTION("""COMPUTED_VALUE"""),45847.6458333333)</f>
        <v>45847.6458333333</v>
      </c>
      <c r="H74" s="17">
        <f>IFERROR(__xludf.DUMMYFUNCTION("""COMPUTED_VALUE"""),1636.4)</f>
        <v>1636.4</v>
      </c>
      <c r="I74" s="16">
        <f>IFERROR(__xludf.DUMMYFUNCTION("""COMPUTED_VALUE"""),45847.6458333333)</f>
        <v>45847.6458333333</v>
      </c>
      <c r="J74" s="17">
        <f>IFERROR(__xludf.DUMMYFUNCTION("""COMPUTED_VALUE"""),1612)</f>
        <v>1612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IFERROR(__xludf.DUMMYFUNCTION("""COMPUTED_VALUE"""),1600.1)</f>
        <v>1600.1</v>
      </c>
      <c r="C75" s="16">
        <f>IFERROR(__xludf.DUMMYFUNCTION("""COMPUTED_VALUE"""),45848.6458333333)</f>
        <v>45848.6458333333</v>
      </c>
      <c r="D75" s="17">
        <f>IFERROR(__xludf.DUMMYFUNCTION("""COMPUTED_VALUE"""),1614.8)</f>
        <v>1614.8</v>
      </c>
      <c r="E75" s="16">
        <f>IFERROR(__xludf.DUMMYFUNCTION("""COMPUTED_VALUE"""),45848.6458333333)</f>
        <v>45848.6458333333</v>
      </c>
      <c r="F75" s="17">
        <f>IFERROR(__xludf.DUMMYFUNCTION("""COMPUTED_VALUE"""),1631315)</f>
        <v>1631315</v>
      </c>
      <c r="G75" s="16">
        <f>IFERROR(__xludf.DUMMYFUNCTION("""COMPUTED_VALUE"""),45848.6458333333)</f>
        <v>45848.6458333333</v>
      </c>
      <c r="H75" s="17">
        <f>IFERROR(__xludf.DUMMYFUNCTION("""COMPUTED_VALUE"""),1617.4)</f>
        <v>1617.4</v>
      </c>
      <c r="I75" s="16">
        <f>IFERROR(__xludf.DUMMYFUNCTION("""COMPUTED_VALUE"""),45848.6458333333)</f>
        <v>45848.6458333333</v>
      </c>
      <c r="J75" s="17">
        <f>IFERROR(__xludf.DUMMYFUNCTION("""COMPUTED_VALUE"""),1590.1)</f>
        <v>1590.1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IFERROR(__xludf.DUMMYFUNCTION("""COMPUTED_VALUE"""),1602.5)</f>
        <v>1602.5</v>
      </c>
      <c r="C76" s="16">
        <f>IFERROR(__xludf.DUMMYFUNCTION("""COMPUTED_VALUE"""),45849.6458333333)</f>
        <v>45849.6458333333</v>
      </c>
      <c r="D76" s="17">
        <f>IFERROR(__xludf.DUMMYFUNCTION("""COMPUTED_VALUE"""),1580)</f>
        <v>1580</v>
      </c>
      <c r="E76" s="16">
        <f>IFERROR(__xludf.DUMMYFUNCTION("""COMPUTED_VALUE"""),45849.6458333333)</f>
        <v>45849.6458333333</v>
      </c>
      <c r="F76" s="17">
        <f>IFERROR(__xludf.DUMMYFUNCTION("""COMPUTED_VALUE"""),2559235)</f>
        <v>2559235</v>
      </c>
      <c r="G76" s="16">
        <f>IFERROR(__xludf.DUMMYFUNCTION("""COMPUTED_VALUE"""),45849.6458333333)</f>
        <v>45849.6458333333</v>
      </c>
      <c r="H76" s="17">
        <f>IFERROR(__xludf.DUMMYFUNCTION("""COMPUTED_VALUE"""),1607)</f>
        <v>1607</v>
      </c>
      <c r="I76" s="16">
        <f>IFERROR(__xludf.DUMMYFUNCTION("""COMPUTED_VALUE"""),45849.6458333333)</f>
        <v>45849.6458333333</v>
      </c>
      <c r="J76" s="17">
        <f>IFERROR(__xludf.DUMMYFUNCTION("""COMPUTED_VALUE"""),1577.8)</f>
        <v>1577.8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IFERROR(__xludf.DUMMYFUNCTION("""COMPUTED_VALUE"""),1576.7)</f>
        <v>1576.7</v>
      </c>
      <c r="C77" s="16">
        <f>IFERROR(__xludf.DUMMYFUNCTION("""COMPUTED_VALUE"""),45852.6458333333)</f>
        <v>45852.6458333333</v>
      </c>
      <c r="D77" s="17">
        <f>IFERROR(__xludf.DUMMYFUNCTION("""COMPUTED_VALUE"""),1598)</f>
        <v>1598</v>
      </c>
      <c r="E77" s="16">
        <f>IFERROR(__xludf.DUMMYFUNCTION("""COMPUTED_VALUE"""),45852.6458333333)</f>
        <v>45852.6458333333</v>
      </c>
      <c r="F77" s="17">
        <f>IFERROR(__xludf.DUMMYFUNCTION("""COMPUTED_VALUE"""),2068336)</f>
        <v>2068336</v>
      </c>
      <c r="G77" s="16">
        <f>IFERROR(__xludf.DUMMYFUNCTION("""COMPUTED_VALUE"""),45852.6458333333)</f>
        <v>45852.6458333333</v>
      </c>
      <c r="H77" s="17">
        <f>IFERROR(__xludf.DUMMYFUNCTION("""COMPUTED_VALUE"""),1598)</f>
        <v>1598</v>
      </c>
      <c r="I77" s="16">
        <f>IFERROR(__xludf.DUMMYFUNCTION("""COMPUTED_VALUE"""),45852.6458333333)</f>
        <v>45852.6458333333</v>
      </c>
      <c r="J77" s="17">
        <f>IFERROR(__xludf.DUMMYFUNCTION("""COMPUTED_VALUE"""),1564.1)</f>
        <v>1564.1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IFERROR(__xludf.DUMMYFUNCTION("""COMPUTED_VALUE"""),1579)</f>
        <v>1579</v>
      </c>
      <c r="C78" s="16">
        <f>IFERROR(__xludf.DUMMYFUNCTION("""COMPUTED_VALUE"""),45853.6458333333)</f>
        <v>45853.6458333333</v>
      </c>
      <c r="D78" s="17">
        <f>IFERROR(__xludf.DUMMYFUNCTION("""COMPUTED_VALUE"""),1554.6)</f>
        <v>1554.6</v>
      </c>
      <c r="E78" s="16">
        <f>IFERROR(__xludf.DUMMYFUNCTION("""COMPUTED_VALUE"""),45853.6458333333)</f>
        <v>45853.6458333333</v>
      </c>
      <c r="F78" s="17">
        <f>IFERROR(__xludf.DUMMYFUNCTION("""COMPUTED_VALUE"""),2574760)</f>
        <v>2574760</v>
      </c>
      <c r="G78" s="16">
        <f>IFERROR(__xludf.DUMMYFUNCTION("""COMPUTED_VALUE"""),45853.6458333333)</f>
        <v>45853.6458333333</v>
      </c>
      <c r="H78" s="17">
        <f>IFERROR(__xludf.DUMMYFUNCTION("""COMPUTED_VALUE"""),1594.9)</f>
        <v>1594.9</v>
      </c>
      <c r="I78" s="16">
        <f>IFERROR(__xludf.DUMMYFUNCTION("""COMPUTED_VALUE"""),45853.6458333333)</f>
        <v>45853.6458333333</v>
      </c>
      <c r="J78" s="17">
        <f>IFERROR(__xludf.DUMMYFUNCTION("""COMPUTED_VALUE"""),1553)</f>
        <v>1553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IFERROR(__xludf.DUMMYFUNCTION("""COMPUTED_VALUE"""),1607.9)</f>
        <v>1607.9</v>
      </c>
      <c r="C79" s="16">
        <f>IFERROR(__xludf.DUMMYFUNCTION("""COMPUTED_VALUE"""),45854.6458333333)</f>
        <v>45854.6458333333</v>
      </c>
      <c r="D79" s="17">
        <f>IFERROR(__xludf.DUMMYFUNCTION("""COMPUTED_VALUE"""),1580)</f>
        <v>1580</v>
      </c>
      <c r="E79" s="16">
        <f>IFERROR(__xludf.DUMMYFUNCTION("""COMPUTED_VALUE"""),45854.6458333333)</f>
        <v>45854.6458333333</v>
      </c>
      <c r="F79" s="17">
        <f>IFERROR(__xludf.DUMMYFUNCTION("""COMPUTED_VALUE"""),2207039)</f>
        <v>2207039</v>
      </c>
      <c r="G79" s="16">
        <f>IFERROR(__xludf.DUMMYFUNCTION("""COMPUTED_VALUE"""),45854.6458333333)</f>
        <v>45854.6458333333</v>
      </c>
      <c r="H79" s="17">
        <f>IFERROR(__xludf.DUMMYFUNCTION("""COMPUTED_VALUE"""),1611)</f>
        <v>1611</v>
      </c>
      <c r="I79" s="16">
        <f>IFERROR(__xludf.DUMMYFUNCTION("""COMPUTED_VALUE"""),45854.6458333333)</f>
        <v>45854.6458333333</v>
      </c>
      <c r="J79" s="17">
        <f>IFERROR(__xludf.DUMMYFUNCTION("""COMPUTED_VALUE"""),1577.3)</f>
        <v>1577.3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IFERROR(__xludf.DUMMYFUNCTION("""COMPUTED_VALUE"""),1563.7)</f>
        <v>1563.7</v>
      </c>
      <c r="C80" s="16">
        <f>IFERROR(__xludf.DUMMYFUNCTION("""COMPUTED_VALUE"""),45855.6458333333)</f>
        <v>45855.6458333333</v>
      </c>
      <c r="D80" s="17">
        <f>IFERROR(__xludf.DUMMYFUNCTION("""COMPUTED_VALUE"""),1583.4)</f>
        <v>1583.4</v>
      </c>
      <c r="E80" s="16">
        <f>IFERROR(__xludf.DUMMYFUNCTION("""COMPUTED_VALUE"""),45855.6458333333)</f>
        <v>45855.6458333333</v>
      </c>
      <c r="F80" s="17">
        <f>IFERROR(__xludf.DUMMYFUNCTION("""COMPUTED_VALUE"""),7617296)</f>
        <v>7617296</v>
      </c>
      <c r="G80" s="16">
        <f>IFERROR(__xludf.DUMMYFUNCTION("""COMPUTED_VALUE"""),45855.6458333333)</f>
        <v>45855.6458333333</v>
      </c>
      <c r="H80" s="17">
        <f>IFERROR(__xludf.DUMMYFUNCTION("""COMPUTED_VALUE"""),1603.9)</f>
        <v>1603.9</v>
      </c>
      <c r="I80" s="16">
        <f>IFERROR(__xludf.DUMMYFUNCTION("""COMPUTED_VALUE"""),45855.6458333333)</f>
        <v>45855.6458333333</v>
      </c>
      <c r="J80" s="17">
        <f>IFERROR(__xludf.DUMMYFUNCTION("""COMPUTED_VALUE"""),1560.9)</f>
        <v>1560.9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IFERROR(__xludf.DUMMYFUNCTION("""COMPUTED_VALUE"""),1548.9)</f>
        <v>1548.9</v>
      </c>
      <c r="C81" s="16">
        <f>IFERROR(__xludf.DUMMYFUNCTION("""COMPUTED_VALUE"""),45856.6458333333)</f>
        <v>45856.6458333333</v>
      </c>
      <c r="D81" s="17">
        <f>IFERROR(__xludf.DUMMYFUNCTION("""COMPUTED_VALUE"""),1573)</f>
        <v>1573</v>
      </c>
      <c r="E81" s="16">
        <f>IFERROR(__xludf.DUMMYFUNCTION("""COMPUTED_VALUE"""),45856.6458333333)</f>
        <v>45856.6458333333</v>
      </c>
      <c r="F81" s="17">
        <f>IFERROR(__xludf.DUMMYFUNCTION("""COMPUTED_VALUE"""),3619191)</f>
        <v>3619191</v>
      </c>
      <c r="G81" s="16">
        <f>IFERROR(__xludf.DUMMYFUNCTION("""COMPUTED_VALUE"""),45856.6458333333)</f>
        <v>45856.6458333333</v>
      </c>
      <c r="H81" s="17">
        <f>IFERROR(__xludf.DUMMYFUNCTION("""COMPUTED_VALUE"""),1574)</f>
        <v>1574</v>
      </c>
      <c r="I81" s="16">
        <f>IFERROR(__xludf.DUMMYFUNCTION("""COMPUTED_VALUE"""),45856.6458333333)</f>
        <v>45856.6458333333</v>
      </c>
      <c r="J81" s="17">
        <f>IFERROR(__xludf.DUMMYFUNCTION("""COMPUTED_VALUE"""),1538)</f>
        <v>1538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IFERROR(__xludf.DUMMYFUNCTION("""COMPUTED_VALUE"""),1543.8)</f>
        <v>1543.8</v>
      </c>
      <c r="C82" s="16">
        <f>IFERROR(__xludf.DUMMYFUNCTION("""COMPUTED_VALUE"""),45859.6458333333)</f>
        <v>45859.6458333333</v>
      </c>
      <c r="D82" s="17">
        <f>IFERROR(__xludf.DUMMYFUNCTION("""COMPUTED_VALUE"""),1551)</f>
        <v>1551</v>
      </c>
      <c r="E82" s="16">
        <f>IFERROR(__xludf.DUMMYFUNCTION("""COMPUTED_VALUE"""),45859.6458333333)</f>
        <v>45859.6458333333</v>
      </c>
      <c r="F82" s="17">
        <f>IFERROR(__xludf.DUMMYFUNCTION("""COMPUTED_VALUE"""),988104)</f>
        <v>988104</v>
      </c>
      <c r="G82" s="16">
        <f>IFERROR(__xludf.DUMMYFUNCTION("""COMPUTED_VALUE"""),45859.6458333333)</f>
        <v>45859.6458333333</v>
      </c>
      <c r="H82" s="17">
        <f>IFERROR(__xludf.DUMMYFUNCTION("""COMPUTED_VALUE"""),1553.4)</f>
        <v>1553.4</v>
      </c>
      <c r="I82" s="16">
        <f>IFERROR(__xludf.DUMMYFUNCTION("""COMPUTED_VALUE"""),45859.6458333333)</f>
        <v>45859.6458333333</v>
      </c>
      <c r="J82" s="17">
        <f>IFERROR(__xludf.DUMMYFUNCTION("""COMPUTED_VALUE"""),1531.3)</f>
        <v>1531.3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IFERROR(__xludf.DUMMYFUNCTION("""COMPUTED_VALUE"""),1547.2)</f>
        <v>1547.2</v>
      </c>
      <c r="C83" s="16">
        <f>IFERROR(__xludf.DUMMYFUNCTION("""COMPUTED_VALUE"""),45860.6458333333)</f>
        <v>45860.6458333333</v>
      </c>
      <c r="D83" s="17">
        <f>IFERROR(__xludf.DUMMYFUNCTION("""COMPUTED_VALUE"""),1550)</f>
        <v>1550</v>
      </c>
      <c r="E83" s="16">
        <f>IFERROR(__xludf.DUMMYFUNCTION("""COMPUTED_VALUE"""),45860.6458333333)</f>
        <v>45860.6458333333</v>
      </c>
      <c r="F83" s="17">
        <f>IFERROR(__xludf.DUMMYFUNCTION("""COMPUTED_VALUE"""),1404790)</f>
        <v>1404790</v>
      </c>
      <c r="G83" s="16">
        <f>IFERROR(__xludf.DUMMYFUNCTION("""COMPUTED_VALUE"""),45860.6458333333)</f>
        <v>45860.6458333333</v>
      </c>
      <c r="H83" s="17">
        <f>IFERROR(__xludf.DUMMYFUNCTION("""COMPUTED_VALUE"""),1552.8)</f>
        <v>1552.8</v>
      </c>
      <c r="I83" s="16">
        <f>IFERROR(__xludf.DUMMYFUNCTION("""COMPUTED_VALUE"""),45860.6458333333)</f>
        <v>45860.6458333333</v>
      </c>
      <c r="J83" s="17">
        <f>IFERROR(__xludf.DUMMYFUNCTION("""COMPUTED_VALUE"""),1541.2)</f>
        <v>1541.2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IFERROR(__xludf.DUMMYFUNCTION("""COMPUTED_VALUE"""),1546.6)</f>
        <v>1546.6</v>
      </c>
      <c r="C84" s="16">
        <f>IFERROR(__xludf.DUMMYFUNCTION("""COMPUTED_VALUE"""),45861.6458333333)</f>
        <v>45861.6458333333</v>
      </c>
      <c r="D84" s="17">
        <f>IFERROR(__xludf.DUMMYFUNCTION("""COMPUTED_VALUE"""),1551)</f>
        <v>1551</v>
      </c>
      <c r="E84" s="16">
        <f>IFERROR(__xludf.DUMMYFUNCTION("""COMPUTED_VALUE"""),45861.6458333333)</f>
        <v>45861.6458333333</v>
      </c>
      <c r="F84" s="17">
        <f>IFERROR(__xludf.DUMMYFUNCTION("""COMPUTED_VALUE"""),2887100)</f>
        <v>2887100</v>
      </c>
      <c r="G84" s="16">
        <f>IFERROR(__xludf.DUMMYFUNCTION("""COMPUTED_VALUE"""),45861.6458333333)</f>
        <v>45861.6458333333</v>
      </c>
      <c r="H84" s="17">
        <f>IFERROR(__xludf.DUMMYFUNCTION("""COMPUTED_VALUE"""),1552.9)</f>
        <v>1552.9</v>
      </c>
      <c r="I84" s="16">
        <f>IFERROR(__xludf.DUMMYFUNCTION("""COMPUTED_VALUE"""),45861.6458333333)</f>
        <v>45861.6458333333</v>
      </c>
      <c r="J84" s="17">
        <f>IFERROR(__xludf.DUMMYFUNCTION("""COMPUTED_VALUE"""),1534.5)</f>
        <v>1534.5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IFERROR(__xludf.DUMMYFUNCTION("""COMPUTED_VALUE"""),1498.6)</f>
        <v>1498.6</v>
      </c>
      <c r="C85" s="16">
        <f>IFERROR(__xludf.DUMMYFUNCTION("""COMPUTED_VALUE"""),45862.6458333333)</f>
        <v>45862.6458333333</v>
      </c>
      <c r="D85" s="17">
        <f>IFERROR(__xludf.DUMMYFUNCTION("""COMPUTED_VALUE"""),1554)</f>
        <v>1554</v>
      </c>
      <c r="E85" s="16">
        <f>IFERROR(__xludf.DUMMYFUNCTION("""COMPUTED_VALUE"""),45862.6458333333)</f>
        <v>45862.6458333333</v>
      </c>
      <c r="F85" s="17">
        <f>IFERROR(__xludf.DUMMYFUNCTION("""COMPUTED_VALUE"""),2207437)</f>
        <v>2207437</v>
      </c>
      <c r="G85" s="16">
        <f>IFERROR(__xludf.DUMMYFUNCTION("""COMPUTED_VALUE"""),45862.6458333333)</f>
        <v>45862.6458333333</v>
      </c>
      <c r="H85" s="17">
        <f>IFERROR(__xludf.DUMMYFUNCTION("""COMPUTED_VALUE"""),1554)</f>
        <v>1554</v>
      </c>
      <c r="I85" s="16">
        <f>IFERROR(__xludf.DUMMYFUNCTION("""COMPUTED_VALUE"""),45862.6458333333)</f>
        <v>45862.6458333333</v>
      </c>
      <c r="J85" s="17">
        <f>IFERROR(__xludf.DUMMYFUNCTION("""COMPUTED_VALUE"""),1495.5)</f>
        <v>1495.5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IFERROR(__xludf.DUMMYFUNCTION("""COMPUTED_VALUE"""),1461.9)</f>
        <v>1461.9</v>
      </c>
      <c r="C86" s="16">
        <f>IFERROR(__xludf.DUMMYFUNCTION("""COMPUTED_VALUE"""),45863.6458333333)</f>
        <v>45863.6458333333</v>
      </c>
      <c r="D86" s="17">
        <f>IFERROR(__xludf.DUMMYFUNCTION("""COMPUTED_VALUE"""),1490.1)</f>
        <v>1490.1</v>
      </c>
      <c r="E86" s="16">
        <f>IFERROR(__xludf.DUMMYFUNCTION("""COMPUTED_VALUE"""),45863.6458333333)</f>
        <v>45863.6458333333</v>
      </c>
      <c r="F86" s="17">
        <f>IFERROR(__xludf.DUMMYFUNCTION("""COMPUTED_VALUE"""),1179664)</f>
        <v>1179664</v>
      </c>
      <c r="G86" s="16">
        <f>IFERROR(__xludf.DUMMYFUNCTION("""COMPUTED_VALUE"""),45863.6458333333)</f>
        <v>45863.6458333333</v>
      </c>
      <c r="H86" s="17">
        <f>IFERROR(__xludf.DUMMYFUNCTION("""COMPUTED_VALUE"""),1501.3)</f>
        <v>1501.3</v>
      </c>
      <c r="I86" s="16">
        <f>IFERROR(__xludf.DUMMYFUNCTION("""COMPUTED_VALUE"""),45863.6458333333)</f>
        <v>45863.6458333333</v>
      </c>
      <c r="J86" s="17">
        <f>IFERROR(__xludf.DUMMYFUNCTION("""COMPUTED_VALUE"""),1455.7)</f>
        <v>1455.7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IFERROR(__xludf.DUMMYFUNCTION("""COMPUTED_VALUE"""),1450.6)</f>
        <v>1450.6</v>
      </c>
      <c r="C87" s="16">
        <f>IFERROR(__xludf.DUMMYFUNCTION("""COMPUTED_VALUE"""),45866.6458333333)</f>
        <v>45866.6458333333</v>
      </c>
      <c r="D87" s="17">
        <f>IFERROR(__xludf.DUMMYFUNCTION("""COMPUTED_VALUE"""),1462)</f>
        <v>1462</v>
      </c>
      <c r="E87" s="16">
        <f>IFERROR(__xludf.DUMMYFUNCTION("""COMPUTED_VALUE"""),45866.6458333333)</f>
        <v>45866.6458333333</v>
      </c>
      <c r="F87" s="17">
        <f>IFERROR(__xludf.DUMMYFUNCTION("""COMPUTED_VALUE"""),1070496)</f>
        <v>1070496</v>
      </c>
      <c r="G87" s="16">
        <f>IFERROR(__xludf.DUMMYFUNCTION("""COMPUTED_VALUE"""),45866.6458333333)</f>
        <v>45866.6458333333</v>
      </c>
      <c r="H87" s="17">
        <f>IFERROR(__xludf.DUMMYFUNCTION("""COMPUTED_VALUE"""),1466)</f>
        <v>1466</v>
      </c>
      <c r="I87" s="16">
        <f>IFERROR(__xludf.DUMMYFUNCTION("""COMPUTED_VALUE"""),45866.6458333333)</f>
        <v>45866.6458333333</v>
      </c>
      <c r="J87" s="17">
        <f>IFERROR(__xludf.DUMMYFUNCTION("""COMPUTED_VALUE"""),1445.1)</f>
        <v>1445.1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IFERROR(__xludf.DUMMYFUNCTION("""COMPUTED_VALUE"""),1453.8)</f>
        <v>1453.8</v>
      </c>
      <c r="C88" s="16">
        <f>IFERROR(__xludf.DUMMYFUNCTION("""COMPUTED_VALUE"""),45867.6458333333)</f>
        <v>45867.6458333333</v>
      </c>
      <c r="D88" s="17">
        <f>IFERROR(__xludf.DUMMYFUNCTION("""COMPUTED_VALUE"""),1450.6)</f>
        <v>1450.6</v>
      </c>
      <c r="E88" s="16">
        <f>IFERROR(__xludf.DUMMYFUNCTION("""COMPUTED_VALUE"""),45867.6458333333)</f>
        <v>45867.6458333333</v>
      </c>
      <c r="F88" s="17">
        <f>IFERROR(__xludf.DUMMYFUNCTION("""COMPUTED_VALUE"""),1458817)</f>
        <v>1458817</v>
      </c>
      <c r="G88" s="16">
        <f>IFERROR(__xludf.DUMMYFUNCTION("""COMPUTED_VALUE"""),45867.6458333333)</f>
        <v>45867.6458333333</v>
      </c>
      <c r="H88" s="17">
        <f>IFERROR(__xludf.DUMMYFUNCTION("""COMPUTED_VALUE"""),1459.1)</f>
        <v>1459.1</v>
      </c>
      <c r="I88" s="16">
        <f>IFERROR(__xludf.DUMMYFUNCTION("""COMPUTED_VALUE"""),45867.6458333333)</f>
        <v>45867.6458333333</v>
      </c>
      <c r="J88" s="17">
        <f>IFERROR(__xludf.DUMMYFUNCTION("""COMPUTED_VALUE"""),1436.4)</f>
        <v>1436.4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IFERROR(__xludf.DUMMYFUNCTION("""COMPUTED_VALUE"""),1463.2)</f>
        <v>1463.2</v>
      </c>
      <c r="C89" s="16">
        <f>IFERROR(__xludf.DUMMYFUNCTION("""COMPUTED_VALUE"""),45868.6458333333)</f>
        <v>45868.6458333333</v>
      </c>
      <c r="D89" s="17">
        <f>IFERROR(__xludf.DUMMYFUNCTION("""COMPUTED_VALUE"""),1451.3)</f>
        <v>1451.3</v>
      </c>
      <c r="E89" s="16">
        <f>IFERROR(__xludf.DUMMYFUNCTION("""COMPUTED_VALUE"""),45868.6458333333)</f>
        <v>45868.6458333333</v>
      </c>
      <c r="F89" s="17">
        <f>IFERROR(__xludf.DUMMYFUNCTION("""COMPUTED_VALUE"""),1299448)</f>
        <v>1299448</v>
      </c>
      <c r="G89" s="16">
        <f>IFERROR(__xludf.DUMMYFUNCTION("""COMPUTED_VALUE"""),45868.6458333333)</f>
        <v>45868.6458333333</v>
      </c>
      <c r="H89" s="17">
        <f>IFERROR(__xludf.DUMMYFUNCTION("""COMPUTED_VALUE"""),1466.1)</f>
        <v>1466.1</v>
      </c>
      <c r="I89" s="16">
        <f>IFERROR(__xludf.DUMMYFUNCTION("""COMPUTED_VALUE"""),45868.6458333333)</f>
        <v>45868.6458333333</v>
      </c>
      <c r="J89" s="17">
        <f>IFERROR(__xludf.DUMMYFUNCTION("""COMPUTED_VALUE"""),1448.6)</f>
        <v>1448.6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IFERROR(__xludf.DUMMYFUNCTION("""COMPUTED_VALUE"""),1463.7)</f>
        <v>1463.7</v>
      </c>
      <c r="C90" s="16">
        <f>IFERROR(__xludf.DUMMYFUNCTION("""COMPUTED_VALUE"""),45869.6458333333)</f>
        <v>45869.6458333333</v>
      </c>
      <c r="D90" s="17">
        <f>IFERROR(__xludf.DUMMYFUNCTION("""COMPUTED_VALUE"""),1450)</f>
        <v>1450</v>
      </c>
      <c r="E90" s="16">
        <f>IFERROR(__xludf.DUMMYFUNCTION("""COMPUTED_VALUE"""),45869.6458333333)</f>
        <v>45869.6458333333</v>
      </c>
      <c r="F90" s="17">
        <f>IFERROR(__xludf.DUMMYFUNCTION("""COMPUTED_VALUE"""),1382994)</f>
        <v>1382994</v>
      </c>
      <c r="G90" s="16">
        <f>IFERROR(__xludf.DUMMYFUNCTION("""COMPUTED_VALUE"""),45869.6458333333)</f>
        <v>45869.6458333333</v>
      </c>
      <c r="H90" s="17">
        <f>IFERROR(__xludf.DUMMYFUNCTION("""COMPUTED_VALUE"""),1473.3)</f>
        <v>1473.3</v>
      </c>
      <c r="I90" s="16">
        <f>IFERROR(__xludf.DUMMYFUNCTION("""COMPUTED_VALUE"""),45869.6458333333)</f>
        <v>45869.6458333333</v>
      </c>
      <c r="J90" s="17">
        <f>IFERROR(__xludf.DUMMYFUNCTION("""COMPUTED_VALUE"""),1447.2)</f>
        <v>1447.2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IFERROR(__xludf.DUMMYFUNCTION("""COMPUTED_VALUE"""),1438.8)</f>
        <v>1438.8</v>
      </c>
      <c r="C91" s="16">
        <f>IFERROR(__xludf.DUMMYFUNCTION("""COMPUTED_VALUE"""),45870.6458333333)</f>
        <v>45870.6458333333</v>
      </c>
      <c r="D91" s="17">
        <f>IFERROR(__xludf.DUMMYFUNCTION("""COMPUTED_VALUE"""),1456.6)</f>
        <v>1456.6</v>
      </c>
      <c r="E91" s="16">
        <f>IFERROR(__xludf.DUMMYFUNCTION("""COMPUTED_VALUE"""),45870.6458333333)</f>
        <v>45870.6458333333</v>
      </c>
      <c r="F91" s="17">
        <f>IFERROR(__xludf.DUMMYFUNCTION("""COMPUTED_VALUE"""),1620011)</f>
        <v>1620011</v>
      </c>
      <c r="G91" s="16">
        <f>IFERROR(__xludf.DUMMYFUNCTION("""COMPUTED_VALUE"""),45870.6458333333)</f>
        <v>45870.6458333333</v>
      </c>
      <c r="H91" s="17">
        <f>IFERROR(__xludf.DUMMYFUNCTION("""COMPUTED_VALUE"""),1459.8)</f>
        <v>1459.8</v>
      </c>
      <c r="I91" s="16">
        <f>IFERROR(__xludf.DUMMYFUNCTION("""COMPUTED_VALUE"""),45870.6458333333)</f>
        <v>45870.6458333333</v>
      </c>
      <c r="J91" s="17">
        <f>IFERROR(__xludf.DUMMYFUNCTION("""COMPUTED_VALUE"""),1432.4)</f>
        <v>1432.4</v>
      </c>
      <c r="K91" s="3">
        <f t="shared" si="2"/>
        <v>0</v>
      </c>
      <c r="L91" s="3">
        <f t="shared" si="3"/>
        <v>1438.8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IFERROR(__xludf.DUMMYFUNCTION("""COMPUTED_VALUE"""),1475)</f>
        <v>1475</v>
      </c>
      <c r="C92" s="16">
        <f>IFERROR(__xludf.DUMMYFUNCTION("""COMPUTED_VALUE"""),45873.6458333333)</f>
        <v>45873.6458333333</v>
      </c>
      <c r="D92" s="17">
        <f>IFERROR(__xludf.DUMMYFUNCTION("""COMPUTED_VALUE"""),1435)</f>
        <v>1435</v>
      </c>
      <c r="E92" s="16">
        <f>IFERROR(__xludf.DUMMYFUNCTION("""COMPUTED_VALUE"""),45873.6458333333)</f>
        <v>45873.6458333333</v>
      </c>
      <c r="F92" s="17">
        <f>IFERROR(__xludf.DUMMYFUNCTION("""COMPUTED_VALUE"""),1581473)</f>
        <v>1581473</v>
      </c>
      <c r="G92" s="16">
        <f>IFERROR(__xludf.DUMMYFUNCTION("""COMPUTED_VALUE"""),45873.6458333333)</f>
        <v>45873.6458333333</v>
      </c>
      <c r="H92" s="17">
        <f>IFERROR(__xludf.DUMMYFUNCTION("""COMPUTED_VALUE"""),1477)</f>
        <v>1477</v>
      </c>
      <c r="I92" s="16">
        <f>IFERROR(__xludf.DUMMYFUNCTION("""COMPUTED_VALUE"""),45873.6458333333)</f>
        <v>45873.6458333333</v>
      </c>
      <c r="J92" s="17">
        <f>IFERROR(__xludf.DUMMYFUNCTION("""COMPUTED_VALUE"""),1419.1)</f>
        <v>1419.1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IFERROR(__xludf.DUMMYFUNCTION("""COMPUTED_VALUE"""),1485.4)</f>
        <v>1485.4</v>
      </c>
      <c r="C93" s="16">
        <f>IFERROR(__xludf.DUMMYFUNCTION("""COMPUTED_VALUE"""),45874.6458333333)</f>
        <v>45874.6458333333</v>
      </c>
      <c r="D93" s="17">
        <f>IFERROR(__xludf.DUMMYFUNCTION("""COMPUTED_VALUE"""),1470.1)</f>
        <v>1470.1</v>
      </c>
      <c r="E93" s="16">
        <f>IFERROR(__xludf.DUMMYFUNCTION("""COMPUTED_VALUE"""),45874.6458333333)</f>
        <v>45874.6458333333</v>
      </c>
      <c r="F93" s="17">
        <f>IFERROR(__xludf.DUMMYFUNCTION("""COMPUTED_VALUE"""),2929677)</f>
        <v>2929677</v>
      </c>
      <c r="G93" s="16">
        <f>IFERROR(__xludf.DUMMYFUNCTION("""COMPUTED_VALUE"""),45874.6458333333)</f>
        <v>45874.6458333333</v>
      </c>
      <c r="H93" s="17">
        <f>IFERROR(__xludf.DUMMYFUNCTION("""COMPUTED_VALUE"""),1487.8)</f>
        <v>1487.8</v>
      </c>
      <c r="I93" s="16">
        <f>IFERROR(__xludf.DUMMYFUNCTION("""COMPUTED_VALUE"""),45874.6458333333)</f>
        <v>45874.6458333333</v>
      </c>
      <c r="J93" s="17">
        <f>IFERROR(__xludf.DUMMYFUNCTION("""COMPUTED_VALUE"""),1461.2)</f>
        <v>1461.2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IFERROR(__xludf.DUMMYFUNCTION("""COMPUTED_VALUE"""),1459)</f>
        <v>1459</v>
      </c>
      <c r="C94" s="16">
        <f>IFERROR(__xludf.DUMMYFUNCTION("""COMPUTED_VALUE"""),45875.6458333333)</f>
        <v>45875.6458333333</v>
      </c>
      <c r="D94" s="17">
        <f>IFERROR(__xludf.DUMMYFUNCTION("""COMPUTED_VALUE"""),1480.1)</f>
        <v>1480.1</v>
      </c>
      <c r="E94" s="16">
        <f>IFERROR(__xludf.DUMMYFUNCTION("""COMPUTED_VALUE"""),45875.6458333333)</f>
        <v>45875.6458333333</v>
      </c>
      <c r="F94" s="17">
        <f>IFERROR(__xludf.DUMMYFUNCTION("""COMPUTED_VALUE"""),1039973)</f>
        <v>1039973</v>
      </c>
      <c r="G94" s="16">
        <f>IFERROR(__xludf.DUMMYFUNCTION("""COMPUTED_VALUE"""),45875.6458333333)</f>
        <v>45875.6458333333</v>
      </c>
      <c r="H94" s="17">
        <f>IFERROR(__xludf.DUMMYFUNCTION("""COMPUTED_VALUE"""),1481.5)</f>
        <v>1481.5</v>
      </c>
      <c r="I94" s="16">
        <f>IFERROR(__xludf.DUMMYFUNCTION("""COMPUTED_VALUE"""),45875.6458333333)</f>
        <v>45875.6458333333</v>
      </c>
      <c r="J94" s="17">
        <f>IFERROR(__xludf.DUMMYFUNCTION("""COMPUTED_VALUE"""),1453.3)</f>
        <v>1453.3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IFERROR(__xludf.DUMMYFUNCTION("""COMPUTED_VALUE"""),1482)</f>
        <v>1482</v>
      </c>
      <c r="C95" s="16">
        <f>IFERROR(__xludf.DUMMYFUNCTION("""COMPUTED_VALUE"""),45876.6458333333)</f>
        <v>45876.6458333333</v>
      </c>
      <c r="D95" s="17">
        <f>IFERROR(__xludf.DUMMYFUNCTION("""COMPUTED_VALUE"""),1455)</f>
        <v>1455</v>
      </c>
      <c r="E95" s="16">
        <f>IFERROR(__xludf.DUMMYFUNCTION("""COMPUTED_VALUE"""),45876.6458333333)</f>
        <v>45876.6458333333</v>
      </c>
      <c r="F95" s="17">
        <f>IFERROR(__xludf.DUMMYFUNCTION("""COMPUTED_VALUE"""),1587489)</f>
        <v>1587489</v>
      </c>
      <c r="G95" s="16">
        <f>IFERROR(__xludf.DUMMYFUNCTION("""COMPUTED_VALUE"""),45876.6458333333)</f>
        <v>45876.6458333333</v>
      </c>
      <c r="H95" s="17">
        <f>IFERROR(__xludf.DUMMYFUNCTION("""COMPUTED_VALUE"""),1492)</f>
        <v>1492</v>
      </c>
      <c r="I95" s="16">
        <f>IFERROR(__xludf.DUMMYFUNCTION("""COMPUTED_VALUE"""),45876.6458333333)</f>
        <v>45876.6458333333</v>
      </c>
      <c r="J95" s="17">
        <f>IFERROR(__xludf.DUMMYFUNCTION("""COMPUTED_VALUE"""),1450)</f>
        <v>1450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IFERROR(__xludf.DUMMYFUNCTION("""COMPUTED_VALUE"""),1480.4)</f>
        <v>1480.4</v>
      </c>
      <c r="C96" s="16">
        <f>IFERROR(__xludf.DUMMYFUNCTION("""COMPUTED_VALUE"""),45877.6458333333)</f>
        <v>45877.6458333333</v>
      </c>
      <c r="D96" s="17">
        <f>IFERROR(__xludf.DUMMYFUNCTION("""COMPUTED_VALUE"""),1473.8)</f>
        <v>1473.8</v>
      </c>
      <c r="E96" s="16">
        <f>IFERROR(__xludf.DUMMYFUNCTION("""COMPUTED_VALUE"""),45877.6458333333)</f>
        <v>45877.6458333333</v>
      </c>
      <c r="F96" s="17">
        <f>IFERROR(__xludf.DUMMYFUNCTION("""COMPUTED_VALUE"""),1371665)</f>
        <v>1371665</v>
      </c>
      <c r="G96" s="16">
        <f>IFERROR(__xludf.DUMMYFUNCTION("""COMPUTED_VALUE"""),45877.6458333333)</f>
        <v>45877.6458333333</v>
      </c>
      <c r="H96" s="17">
        <f>IFERROR(__xludf.DUMMYFUNCTION("""COMPUTED_VALUE"""),1496)</f>
        <v>1496</v>
      </c>
      <c r="I96" s="16">
        <f>IFERROR(__xludf.DUMMYFUNCTION("""COMPUTED_VALUE"""),45877.6458333333)</f>
        <v>45877.6458333333</v>
      </c>
      <c r="J96" s="17">
        <f>IFERROR(__xludf.DUMMYFUNCTION("""COMPUTED_VALUE"""),1473.8)</f>
        <v>1473.8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IFERROR(__xludf.DUMMYFUNCTION("""COMPUTED_VALUE"""),1481.1)</f>
        <v>1481.1</v>
      </c>
      <c r="C97" s="16">
        <f>IFERROR(__xludf.DUMMYFUNCTION("""COMPUTED_VALUE"""),45880.6458333333)</f>
        <v>45880.6458333333</v>
      </c>
      <c r="D97" s="17">
        <f>IFERROR(__xludf.DUMMYFUNCTION("""COMPUTED_VALUE"""),1480.4)</f>
        <v>1480.4</v>
      </c>
      <c r="E97" s="16">
        <f>IFERROR(__xludf.DUMMYFUNCTION("""COMPUTED_VALUE"""),45880.6458333333)</f>
        <v>45880.6458333333</v>
      </c>
      <c r="F97" s="17">
        <f>IFERROR(__xludf.DUMMYFUNCTION("""COMPUTED_VALUE"""),888886)</f>
        <v>888886</v>
      </c>
      <c r="G97" s="16">
        <f>IFERROR(__xludf.DUMMYFUNCTION("""COMPUTED_VALUE"""),45880.6458333333)</f>
        <v>45880.6458333333</v>
      </c>
      <c r="H97" s="17">
        <f>IFERROR(__xludf.DUMMYFUNCTION("""COMPUTED_VALUE"""),1522.7)</f>
        <v>1522.7</v>
      </c>
      <c r="I97" s="16">
        <f>IFERROR(__xludf.DUMMYFUNCTION("""COMPUTED_VALUE"""),45880.6458333333)</f>
        <v>45880.6458333333</v>
      </c>
      <c r="J97" s="17">
        <f>IFERROR(__xludf.DUMMYFUNCTION("""COMPUTED_VALUE"""),1469.7)</f>
        <v>1469.7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IFERROR(__xludf.DUMMYFUNCTION("""COMPUTED_VALUE"""),1509.3)</f>
        <v>1509.3</v>
      </c>
      <c r="C98" s="16">
        <f>IFERROR(__xludf.DUMMYFUNCTION("""COMPUTED_VALUE"""),45881.6458333333)</f>
        <v>45881.6458333333</v>
      </c>
      <c r="D98" s="17">
        <f>IFERROR(__xludf.DUMMYFUNCTION("""COMPUTED_VALUE"""),1482.6)</f>
        <v>1482.6</v>
      </c>
      <c r="E98" s="16">
        <f>IFERROR(__xludf.DUMMYFUNCTION("""COMPUTED_VALUE"""),45881.6458333333)</f>
        <v>45881.6458333333</v>
      </c>
      <c r="F98" s="17">
        <f>IFERROR(__xludf.DUMMYFUNCTION("""COMPUTED_VALUE"""),2532937)</f>
        <v>2532937</v>
      </c>
      <c r="G98" s="16">
        <f>IFERROR(__xludf.DUMMYFUNCTION("""COMPUTED_VALUE"""),45881.6458333333)</f>
        <v>45881.6458333333</v>
      </c>
      <c r="H98" s="17">
        <f>IFERROR(__xludf.DUMMYFUNCTION("""COMPUTED_VALUE"""),1517.4)</f>
        <v>1517.4</v>
      </c>
      <c r="I98" s="16">
        <f>IFERROR(__xludf.DUMMYFUNCTION("""COMPUTED_VALUE"""),45881.6458333333)</f>
        <v>45881.6458333333</v>
      </c>
      <c r="J98" s="17">
        <f>IFERROR(__xludf.DUMMYFUNCTION("""COMPUTED_VALUE"""),1481)</f>
        <v>1481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IFERROR(__xludf.DUMMYFUNCTION("""COMPUTED_VALUE"""),1506.3)</f>
        <v>1506.3</v>
      </c>
      <c r="C99" s="16">
        <f>IFERROR(__xludf.DUMMYFUNCTION("""COMPUTED_VALUE"""),45882.6458333333)</f>
        <v>45882.6458333333</v>
      </c>
      <c r="D99" s="17">
        <f>IFERROR(__xludf.DUMMYFUNCTION("""COMPUTED_VALUE"""),1515)</f>
        <v>1515</v>
      </c>
      <c r="E99" s="16">
        <f>IFERROR(__xludf.DUMMYFUNCTION("""COMPUTED_VALUE"""),45882.6458333333)</f>
        <v>45882.6458333333</v>
      </c>
      <c r="F99" s="17">
        <f>IFERROR(__xludf.DUMMYFUNCTION("""COMPUTED_VALUE"""),1815196)</f>
        <v>1815196</v>
      </c>
      <c r="G99" s="16">
        <f>IFERROR(__xludf.DUMMYFUNCTION("""COMPUTED_VALUE"""),45882.6458333333)</f>
        <v>45882.6458333333</v>
      </c>
      <c r="H99" s="17">
        <f>IFERROR(__xludf.DUMMYFUNCTION("""COMPUTED_VALUE"""),1518.7)</f>
        <v>1518.7</v>
      </c>
      <c r="I99" s="16">
        <f>IFERROR(__xludf.DUMMYFUNCTION("""COMPUTED_VALUE"""),45882.6458333333)</f>
        <v>45882.6458333333</v>
      </c>
      <c r="J99" s="17">
        <f>IFERROR(__xludf.DUMMYFUNCTION("""COMPUTED_VALUE"""),1499.3)</f>
        <v>1499.3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IFERROR(__xludf.DUMMYFUNCTION("""COMPUTED_VALUE"""),1486.7)</f>
        <v>1486.7</v>
      </c>
      <c r="C100" s="16">
        <f>IFERROR(__xludf.DUMMYFUNCTION("""COMPUTED_VALUE"""),45883.6458333333)</f>
        <v>45883.6458333333</v>
      </c>
      <c r="D100" s="17">
        <f>IFERROR(__xludf.DUMMYFUNCTION("""COMPUTED_VALUE"""),1509.9)</f>
        <v>1509.9</v>
      </c>
      <c r="E100" s="16">
        <f>IFERROR(__xludf.DUMMYFUNCTION("""COMPUTED_VALUE"""),45883.6458333333)</f>
        <v>45883.6458333333</v>
      </c>
      <c r="F100" s="17">
        <f>IFERROR(__xludf.DUMMYFUNCTION("""COMPUTED_VALUE"""),1715172)</f>
        <v>1715172</v>
      </c>
      <c r="G100" s="16">
        <f>IFERROR(__xludf.DUMMYFUNCTION("""COMPUTED_VALUE"""),45883.6458333333)</f>
        <v>45883.6458333333</v>
      </c>
      <c r="H100" s="17">
        <f>IFERROR(__xludf.DUMMYFUNCTION("""COMPUTED_VALUE"""),1529.9)</f>
        <v>1529.9</v>
      </c>
      <c r="I100" s="16">
        <f>IFERROR(__xludf.DUMMYFUNCTION("""COMPUTED_VALUE"""),45883.6458333333)</f>
        <v>45883.6458333333</v>
      </c>
      <c r="J100" s="17">
        <f>IFERROR(__xludf.DUMMYFUNCTION("""COMPUTED_VALUE"""),1485)</f>
        <v>1485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IFERROR(__xludf.DUMMYFUNCTION("""COMPUTED_VALUE"""),1471.2)</f>
        <v>1471.2</v>
      </c>
      <c r="C101" s="16">
        <f>IFERROR(__xludf.DUMMYFUNCTION("""COMPUTED_VALUE"""),45887.6458333333)</f>
        <v>45887.6458333333</v>
      </c>
      <c r="D101" s="17">
        <f>IFERROR(__xludf.DUMMYFUNCTION("""COMPUTED_VALUE"""),1500)</f>
        <v>1500</v>
      </c>
      <c r="E101" s="16">
        <f>IFERROR(__xludf.DUMMYFUNCTION("""COMPUTED_VALUE"""),45887.6458333333)</f>
        <v>45887.6458333333</v>
      </c>
      <c r="F101" s="17">
        <f>IFERROR(__xludf.DUMMYFUNCTION("""COMPUTED_VALUE"""),1249405)</f>
        <v>1249405</v>
      </c>
      <c r="G101" s="16">
        <f>IFERROR(__xludf.DUMMYFUNCTION("""COMPUTED_VALUE"""),45887.6458333333)</f>
        <v>45887.6458333333</v>
      </c>
      <c r="H101" s="17">
        <f>IFERROR(__xludf.DUMMYFUNCTION("""COMPUTED_VALUE"""),1500)</f>
        <v>1500</v>
      </c>
      <c r="I101" s="16">
        <f>IFERROR(__xludf.DUMMYFUNCTION("""COMPUTED_VALUE"""),45887.6458333333)</f>
        <v>45887.6458333333</v>
      </c>
      <c r="J101" s="17">
        <f>IFERROR(__xludf.DUMMYFUNCTION("""COMPUTED_VALUE"""),1468.1)</f>
        <v>1468.1</v>
      </c>
      <c r="K101" s="3">
        <f t="shared" si="2"/>
        <v>0</v>
      </c>
      <c r="L101" s="3">
        <f t="shared" si="3"/>
        <v>1471.2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IFERROR(__xludf.DUMMYFUNCTION("""COMPUTED_VALUE"""),1496.7)</f>
        <v>1496.7</v>
      </c>
      <c r="C102" s="16">
        <f>IFERROR(__xludf.DUMMYFUNCTION("""COMPUTED_VALUE"""),45888.6458333333)</f>
        <v>45888.6458333333</v>
      </c>
      <c r="D102" s="17">
        <f>IFERROR(__xludf.DUMMYFUNCTION("""COMPUTED_VALUE"""),1472)</f>
        <v>1472</v>
      </c>
      <c r="E102" s="16">
        <f>IFERROR(__xludf.DUMMYFUNCTION("""COMPUTED_VALUE"""),45888.6458333333)</f>
        <v>45888.6458333333</v>
      </c>
      <c r="F102" s="17">
        <f>IFERROR(__xludf.DUMMYFUNCTION("""COMPUTED_VALUE"""),1807647)</f>
        <v>1807647</v>
      </c>
      <c r="G102" s="16">
        <f>IFERROR(__xludf.DUMMYFUNCTION("""COMPUTED_VALUE"""),45888.6458333333)</f>
        <v>45888.6458333333</v>
      </c>
      <c r="H102" s="17">
        <f>IFERROR(__xludf.DUMMYFUNCTION("""COMPUTED_VALUE"""),1499.6)</f>
        <v>1499.6</v>
      </c>
      <c r="I102" s="16">
        <f>IFERROR(__xludf.DUMMYFUNCTION("""COMPUTED_VALUE"""),45888.6458333333)</f>
        <v>45888.6458333333</v>
      </c>
      <c r="J102" s="17">
        <f>IFERROR(__xludf.DUMMYFUNCTION("""COMPUTED_VALUE"""),1464.4)</f>
        <v>1464.4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IFERROR(__xludf.DUMMYFUNCTION("""COMPUTED_VALUE"""),1524.1)</f>
        <v>1524.1</v>
      </c>
      <c r="C103" s="16">
        <f>IFERROR(__xludf.DUMMYFUNCTION("""COMPUTED_VALUE"""),45889.6458333333)</f>
        <v>45889.6458333333</v>
      </c>
      <c r="D103" s="17">
        <f>IFERROR(__xludf.DUMMYFUNCTION("""COMPUTED_VALUE"""),1488)</f>
        <v>1488</v>
      </c>
      <c r="E103" s="16">
        <f>IFERROR(__xludf.DUMMYFUNCTION("""COMPUTED_VALUE"""),45889.6458333333)</f>
        <v>45889.6458333333</v>
      </c>
      <c r="F103" s="17">
        <f>IFERROR(__xludf.DUMMYFUNCTION("""COMPUTED_VALUE"""),2329633)</f>
        <v>2329633</v>
      </c>
      <c r="G103" s="16">
        <f>IFERROR(__xludf.DUMMYFUNCTION("""COMPUTED_VALUE"""),45889.6458333333)</f>
        <v>45889.6458333333</v>
      </c>
      <c r="H103" s="17">
        <f>IFERROR(__xludf.DUMMYFUNCTION("""COMPUTED_VALUE"""),1532)</f>
        <v>1532</v>
      </c>
      <c r="I103" s="16">
        <f>IFERROR(__xludf.DUMMYFUNCTION("""COMPUTED_VALUE"""),45889.6458333333)</f>
        <v>45889.6458333333</v>
      </c>
      <c r="J103" s="17">
        <f>IFERROR(__xludf.DUMMYFUNCTION("""COMPUTED_VALUE"""),1487.4)</f>
        <v>1487.4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IFERROR(__xludf.DUMMYFUNCTION("""COMPUTED_VALUE"""),1521.3)</f>
        <v>1521.3</v>
      </c>
      <c r="C104" s="16">
        <f>IFERROR(__xludf.DUMMYFUNCTION("""COMPUTED_VALUE"""),45890.6458333333)</f>
        <v>45890.6458333333</v>
      </c>
      <c r="D104" s="17">
        <f>IFERROR(__xludf.DUMMYFUNCTION("""COMPUTED_VALUE"""),1528)</f>
        <v>1528</v>
      </c>
      <c r="E104" s="16">
        <f>IFERROR(__xludf.DUMMYFUNCTION("""COMPUTED_VALUE"""),45890.6458333333)</f>
        <v>45890.6458333333</v>
      </c>
      <c r="F104" s="17">
        <f>IFERROR(__xludf.DUMMYFUNCTION("""COMPUTED_VALUE"""),1251760)</f>
        <v>1251760</v>
      </c>
      <c r="G104" s="16">
        <f>IFERROR(__xludf.DUMMYFUNCTION("""COMPUTED_VALUE"""),45890.6458333333)</f>
        <v>45890.6458333333</v>
      </c>
      <c r="H104" s="17">
        <f>IFERROR(__xludf.DUMMYFUNCTION("""COMPUTED_VALUE"""),1531.7)</f>
        <v>1531.7</v>
      </c>
      <c r="I104" s="16">
        <f>IFERROR(__xludf.DUMMYFUNCTION("""COMPUTED_VALUE"""),45890.6458333333)</f>
        <v>45890.6458333333</v>
      </c>
      <c r="J104" s="17">
        <f>IFERROR(__xludf.DUMMYFUNCTION("""COMPUTED_VALUE"""),1509.1)</f>
        <v>1509.1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IFERROR(__xludf.DUMMYFUNCTION("""COMPUTED_VALUE"""),1505)</f>
        <v>1505</v>
      </c>
      <c r="C105" s="16">
        <f>IFERROR(__xludf.DUMMYFUNCTION("""COMPUTED_VALUE"""),45891.6458333333)</f>
        <v>45891.6458333333</v>
      </c>
      <c r="D105" s="17">
        <f>IFERROR(__xludf.DUMMYFUNCTION("""COMPUTED_VALUE"""),1529.6)</f>
        <v>1529.6</v>
      </c>
      <c r="E105" s="16">
        <f>IFERROR(__xludf.DUMMYFUNCTION("""COMPUTED_VALUE"""),45891.6458333333)</f>
        <v>45891.6458333333</v>
      </c>
      <c r="F105" s="17">
        <f>IFERROR(__xludf.DUMMYFUNCTION("""COMPUTED_VALUE"""),969599)</f>
        <v>969599</v>
      </c>
      <c r="G105" s="16">
        <f>IFERROR(__xludf.DUMMYFUNCTION("""COMPUTED_VALUE"""),45891.6458333333)</f>
        <v>45891.6458333333</v>
      </c>
      <c r="H105" s="17">
        <f>IFERROR(__xludf.DUMMYFUNCTION("""COMPUTED_VALUE"""),1529.6)</f>
        <v>1529.6</v>
      </c>
      <c r="I105" s="16">
        <f>IFERROR(__xludf.DUMMYFUNCTION("""COMPUTED_VALUE"""),45891.6458333333)</f>
        <v>45891.6458333333</v>
      </c>
      <c r="J105" s="17">
        <f>IFERROR(__xludf.DUMMYFUNCTION("""COMPUTED_VALUE"""),1499)</f>
        <v>1499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IFERROR(__xludf.DUMMYFUNCTION("""COMPUTED_VALUE"""),1527.1)</f>
        <v>1527.1</v>
      </c>
      <c r="C106" s="16">
        <f>IFERROR(__xludf.DUMMYFUNCTION("""COMPUTED_VALUE"""),45894.6458333333)</f>
        <v>45894.6458333333</v>
      </c>
      <c r="D106" s="17">
        <f>IFERROR(__xludf.DUMMYFUNCTION("""COMPUTED_VALUE"""),1516)</f>
        <v>1516</v>
      </c>
      <c r="E106" s="16">
        <f>IFERROR(__xludf.DUMMYFUNCTION("""COMPUTED_VALUE"""),45894.6458333333)</f>
        <v>45894.6458333333</v>
      </c>
      <c r="F106" s="17">
        <f>IFERROR(__xludf.DUMMYFUNCTION("""COMPUTED_VALUE"""),1386218)</f>
        <v>1386218</v>
      </c>
      <c r="G106" s="16">
        <f>IFERROR(__xludf.DUMMYFUNCTION("""COMPUTED_VALUE"""),45894.6458333333)</f>
        <v>45894.6458333333</v>
      </c>
      <c r="H106" s="17">
        <f>IFERROR(__xludf.DUMMYFUNCTION("""COMPUTED_VALUE"""),1539.7)</f>
        <v>1539.7</v>
      </c>
      <c r="I106" s="16">
        <f>IFERROR(__xludf.DUMMYFUNCTION("""COMPUTED_VALUE"""),45894.6458333333)</f>
        <v>45894.6458333333</v>
      </c>
      <c r="J106" s="17">
        <f>IFERROR(__xludf.DUMMYFUNCTION("""COMPUTED_VALUE"""),1505)</f>
        <v>1505</v>
      </c>
      <c r="K106" s="3">
        <f t="shared" si="2"/>
        <v>1527.1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IFERROR(__xludf.DUMMYFUNCTION("""COMPUTED_VALUE"""),1502.2)</f>
        <v>1502.2</v>
      </c>
      <c r="C107" s="16">
        <f>IFERROR(__xludf.DUMMYFUNCTION("""COMPUTED_VALUE"""),45895.6458333333)</f>
        <v>45895.6458333333</v>
      </c>
      <c r="D107" s="17">
        <f>IFERROR(__xludf.DUMMYFUNCTION("""COMPUTED_VALUE"""),1521)</f>
        <v>1521</v>
      </c>
      <c r="E107" s="16">
        <f>IFERROR(__xludf.DUMMYFUNCTION("""COMPUTED_VALUE"""),45895.6458333333)</f>
        <v>45895.6458333333</v>
      </c>
      <c r="F107" s="17">
        <f>IFERROR(__xludf.DUMMYFUNCTION("""COMPUTED_VALUE"""),1510822)</f>
        <v>1510822</v>
      </c>
      <c r="G107" s="16">
        <f>IFERROR(__xludf.DUMMYFUNCTION("""COMPUTED_VALUE"""),45895.6458333333)</f>
        <v>45895.6458333333</v>
      </c>
      <c r="H107" s="17">
        <f>IFERROR(__xludf.DUMMYFUNCTION("""COMPUTED_VALUE"""),1526.5)</f>
        <v>1526.5</v>
      </c>
      <c r="I107" s="16">
        <f>IFERROR(__xludf.DUMMYFUNCTION("""COMPUTED_VALUE"""),45895.6458333333)</f>
        <v>45895.6458333333</v>
      </c>
      <c r="J107" s="17">
        <f>IFERROR(__xludf.DUMMYFUNCTION("""COMPUTED_VALUE"""),1498.9)</f>
        <v>1498.9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IFERROR(__xludf.DUMMYFUNCTION("""COMPUTED_VALUE"""),1495.6)</f>
        <v>1495.6</v>
      </c>
      <c r="C108" s="16">
        <f>IFERROR(__xludf.DUMMYFUNCTION("""COMPUTED_VALUE"""),45897.6458333333)</f>
        <v>45897.6458333333</v>
      </c>
      <c r="D108" s="17">
        <f>IFERROR(__xludf.DUMMYFUNCTION("""COMPUTED_VALUE"""),1500)</f>
        <v>1500</v>
      </c>
      <c r="E108" s="16">
        <f>IFERROR(__xludf.DUMMYFUNCTION("""COMPUTED_VALUE"""),45897.6458333333)</f>
        <v>45897.6458333333</v>
      </c>
      <c r="F108" s="17">
        <f>IFERROR(__xludf.DUMMYFUNCTION("""COMPUTED_VALUE"""),1771867)</f>
        <v>1771867</v>
      </c>
      <c r="G108" s="16">
        <f>IFERROR(__xludf.DUMMYFUNCTION("""COMPUTED_VALUE"""),45897.6458333333)</f>
        <v>45897.6458333333</v>
      </c>
      <c r="H108" s="17">
        <f>IFERROR(__xludf.DUMMYFUNCTION("""COMPUTED_VALUE"""),1509.2)</f>
        <v>1509.2</v>
      </c>
      <c r="I108" s="16">
        <f>IFERROR(__xludf.DUMMYFUNCTION("""COMPUTED_VALUE"""),45897.6458333333)</f>
        <v>45897.6458333333</v>
      </c>
      <c r="J108" s="17">
        <f>IFERROR(__xludf.DUMMYFUNCTION("""COMPUTED_VALUE"""),1482.6)</f>
        <v>1482.6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IFERROR(__xludf.DUMMYFUNCTION("""COMPUTED_VALUE"""),1481.4)</f>
        <v>1481.4</v>
      </c>
      <c r="C109" s="16">
        <f>IFERROR(__xludf.DUMMYFUNCTION("""COMPUTED_VALUE"""),45898.6458333333)</f>
        <v>45898.6458333333</v>
      </c>
      <c r="D109" s="17">
        <f>IFERROR(__xludf.DUMMYFUNCTION("""COMPUTED_VALUE"""),1498.8)</f>
        <v>1498.8</v>
      </c>
      <c r="E109" s="16">
        <f>IFERROR(__xludf.DUMMYFUNCTION("""COMPUTED_VALUE"""),45898.6458333333)</f>
        <v>45898.6458333333</v>
      </c>
      <c r="F109" s="17">
        <f>IFERROR(__xludf.DUMMYFUNCTION("""COMPUTED_VALUE"""),2279980)</f>
        <v>2279980</v>
      </c>
      <c r="G109" s="16">
        <f>IFERROR(__xludf.DUMMYFUNCTION("""COMPUTED_VALUE"""),45898.6458333333)</f>
        <v>45898.6458333333</v>
      </c>
      <c r="H109" s="17">
        <f>IFERROR(__xludf.DUMMYFUNCTION("""COMPUTED_VALUE"""),1504.7)</f>
        <v>1504.7</v>
      </c>
      <c r="I109" s="16">
        <f>IFERROR(__xludf.DUMMYFUNCTION("""COMPUTED_VALUE"""),45898.6458333333)</f>
        <v>45898.6458333333</v>
      </c>
      <c r="J109" s="17">
        <f>IFERROR(__xludf.DUMMYFUNCTION("""COMPUTED_VALUE"""),1478.7)</f>
        <v>1478.7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IFERROR(__xludf.DUMMYFUNCTION("""COMPUTED_VALUE"""),1505.5)</f>
        <v>1505.5</v>
      </c>
      <c r="C110" s="16">
        <f>IFERROR(__xludf.DUMMYFUNCTION("""COMPUTED_VALUE"""),45901.6458333333)</f>
        <v>45901.6458333333</v>
      </c>
      <c r="D110" s="17">
        <f>IFERROR(__xludf.DUMMYFUNCTION("""COMPUTED_VALUE"""),1485)</f>
        <v>1485</v>
      </c>
      <c r="E110" s="16">
        <f>IFERROR(__xludf.DUMMYFUNCTION("""COMPUTED_VALUE"""),45901.6458333333)</f>
        <v>45901.6458333333</v>
      </c>
      <c r="F110" s="17">
        <f>IFERROR(__xludf.DUMMYFUNCTION("""COMPUTED_VALUE"""),1241192)</f>
        <v>1241192</v>
      </c>
      <c r="G110" s="16">
        <f>IFERROR(__xludf.DUMMYFUNCTION("""COMPUTED_VALUE"""),45901.6458333333)</f>
        <v>45901.6458333333</v>
      </c>
      <c r="H110" s="17">
        <f>IFERROR(__xludf.DUMMYFUNCTION("""COMPUTED_VALUE"""),1509.9)</f>
        <v>1509.9</v>
      </c>
      <c r="I110" s="16">
        <f>IFERROR(__xludf.DUMMYFUNCTION("""COMPUTED_VALUE"""),45901.6458333333)</f>
        <v>45901.6458333333</v>
      </c>
      <c r="J110" s="17">
        <f>IFERROR(__xludf.DUMMYFUNCTION("""COMPUTED_VALUE"""),1485)</f>
        <v>1485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IFERROR(__xludf.DUMMYFUNCTION("""COMPUTED_VALUE"""),1512.8)</f>
        <v>1512.8</v>
      </c>
      <c r="C111" s="16">
        <f>IFERROR(__xludf.DUMMYFUNCTION("""COMPUTED_VALUE"""),45902.6458333333)</f>
        <v>45902.6458333333</v>
      </c>
      <c r="D111" s="17">
        <f>IFERROR(__xludf.DUMMYFUNCTION("""COMPUTED_VALUE"""),1502)</f>
        <v>1502</v>
      </c>
      <c r="E111" s="16">
        <f>IFERROR(__xludf.DUMMYFUNCTION("""COMPUTED_VALUE"""),45902.6458333333)</f>
        <v>45902.6458333333</v>
      </c>
      <c r="F111" s="17">
        <f>IFERROR(__xludf.DUMMYFUNCTION("""COMPUTED_VALUE"""),1137022)</f>
        <v>1137022</v>
      </c>
      <c r="G111" s="16">
        <f>IFERROR(__xludf.DUMMYFUNCTION("""COMPUTED_VALUE"""),45902.6458333333)</f>
        <v>45902.6458333333</v>
      </c>
      <c r="H111" s="17">
        <f>IFERROR(__xludf.DUMMYFUNCTION("""COMPUTED_VALUE"""),1519.9)</f>
        <v>1519.9</v>
      </c>
      <c r="I111" s="16">
        <f>IFERROR(__xludf.DUMMYFUNCTION("""COMPUTED_VALUE"""),45902.6458333333)</f>
        <v>45902.6458333333</v>
      </c>
      <c r="J111" s="17">
        <f>IFERROR(__xludf.DUMMYFUNCTION("""COMPUTED_VALUE"""),1498.6)</f>
        <v>1498.6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IFERROR(__xludf.DUMMYFUNCTION("""COMPUTED_VALUE"""),1508.2)</f>
        <v>1508.2</v>
      </c>
      <c r="C112" s="16">
        <f>IFERROR(__xludf.DUMMYFUNCTION("""COMPUTED_VALUE"""),45903.6458333333)</f>
        <v>45903.6458333333</v>
      </c>
      <c r="D112" s="17">
        <f>IFERROR(__xludf.DUMMYFUNCTION("""COMPUTED_VALUE"""),1512.8)</f>
        <v>1512.8</v>
      </c>
      <c r="E112" s="16">
        <f>IFERROR(__xludf.DUMMYFUNCTION("""COMPUTED_VALUE"""),45903.6458333333)</f>
        <v>45903.6458333333</v>
      </c>
      <c r="F112" s="17">
        <f>IFERROR(__xludf.DUMMYFUNCTION("""COMPUTED_VALUE"""),1431929)</f>
        <v>1431929</v>
      </c>
      <c r="G112" s="16">
        <f>IFERROR(__xludf.DUMMYFUNCTION("""COMPUTED_VALUE"""),45903.6458333333)</f>
        <v>45903.6458333333</v>
      </c>
      <c r="H112" s="17">
        <f>IFERROR(__xludf.DUMMYFUNCTION("""COMPUTED_VALUE"""),1516.1)</f>
        <v>1516.1</v>
      </c>
      <c r="I112" s="16">
        <f>IFERROR(__xludf.DUMMYFUNCTION("""COMPUTED_VALUE"""),45903.6458333333)</f>
        <v>45903.6458333333</v>
      </c>
      <c r="J112" s="17">
        <f>IFERROR(__xludf.DUMMYFUNCTION("""COMPUTED_VALUE"""),1497.3)</f>
        <v>1497.3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IFERROR(__xludf.DUMMYFUNCTION("""COMPUTED_VALUE"""),1500.4)</f>
        <v>1500.4</v>
      </c>
      <c r="C113" s="16">
        <f>IFERROR(__xludf.DUMMYFUNCTION("""COMPUTED_VALUE"""),45904.6458333333)</f>
        <v>45904.6458333333</v>
      </c>
      <c r="D113" s="17">
        <f>IFERROR(__xludf.DUMMYFUNCTION("""COMPUTED_VALUE"""),1506.1)</f>
        <v>1506.1</v>
      </c>
      <c r="E113" s="16">
        <f>IFERROR(__xludf.DUMMYFUNCTION("""COMPUTED_VALUE"""),45904.6458333333)</f>
        <v>45904.6458333333</v>
      </c>
      <c r="F113" s="17">
        <f>IFERROR(__xludf.DUMMYFUNCTION("""COMPUTED_VALUE"""),1038934)</f>
        <v>1038934</v>
      </c>
      <c r="G113" s="16">
        <f>IFERROR(__xludf.DUMMYFUNCTION("""COMPUTED_VALUE"""),45904.6458333333)</f>
        <v>45904.6458333333</v>
      </c>
      <c r="H113" s="17">
        <f>IFERROR(__xludf.DUMMYFUNCTION("""COMPUTED_VALUE"""),1510.8)</f>
        <v>1510.8</v>
      </c>
      <c r="I113" s="16">
        <f>IFERROR(__xludf.DUMMYFUNCTION("""COMPUTED_VALUE"""),45904.6458333333)</f>
        <v>45904.6458333333</v>
      </c>
      <c r="J113" s="17">
        <f>IFERROR(__xludf.DUMMYFUNCTION("""COMPUTED_VALUE"""),1495.3)</f>
        <v>1495.3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IFERROR(__xludf.DUMMYFUNCTION("""COMPUTED_VALUE"""),1477.9)</f>
        <v>1477.9</v>
      </c>
      <c r="C114" s="16">
        <f>IFERROR(__xludf.DUMMYFUNCTION("""COMPUTED_VALUE"""),45905.6458333333)</f>
        <v>45905.6458333333</v>
      </c>
      <c r="D114" s="17">
        <f>IFERROR(__xludf.DUMMYFUNCTION("""COMPUTED_VALUE"""),1499)</f>
        <v>1499</v>
      </c>
      <c r="E114" s="16">
        <f>IFERROR(__xludf.DUMMYFUNCTION("""COMPUTED_VALUE"""),45905.6458333333)</f>
        <v>45905.6458333333</v>
      </c>
      <c r="F114" s="17">
        <f>IFERROR(__xludf.DUMMYFUNCTION("""COMPUTED_VALUE"""),1875965)</f>
        <v>1875965</v>
      </c>
      <c r="G114" s="16">
        <f>IFERROR(__xludf.DUMMYFUNCTION("""COMPUTED_VALUE"""),45905.6458333333)</f>
        <v>45905.6458333333</v>
      </c>
      <c r="H114" s="17">
        <f>IFERROR(__xludf.DUMMYFUNCTION("""COMPUTED_VALUE"""),1507.4)</f>
        <v>1507.4</v>
      </c>
      <c r="I114" s="16">
        <f>IFERROR(__xludf.DUMMYFUNCTION("""COMPUTED_VALUE"""),45905.6458333333)</f>
        <v>45905.6458333333</v>
      </c>
      <c r="J114" s="17">
        <f>IFERROR(__xludf.DUMMYFUNCTION("""COMPUTED_VALUE"""),1462.1)</f>
        <v>1462.1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IFERROR(__xludf.DUMMYFUNCTION("""COMPUTED_VALUE"""),1460.7)</f>
        <v>1460.7</v>
      </c>
      <c r="C115" s="16">
        <f>IFERROR(__xludf.DUMMYFUNCTION("""COMPUTED_VALUE"""),45908.6458333333)</f>
        <v>45908.6458333333</v>
      </c>
      <c r="D115" s="17">
        <f>IFERROR(__xludf.DUMMYFUNCTION("""COMPUTED_VALUE"""),1482.4)</f>
        <v>1482.4</v>
      </c>
      <c r="E115" s="16">
        <f>IFERROR(__xludf.DUMMYFUNCTION("""COMPUTED_VALUE"""),45908.6458333333)</f>
        <v>45908.6458333333</v>
      </c>
      <c r="F115" s="17">
        <f>IFERROR(__xludf.DUMMYFUNCTION("""COMPUTED_VALUE"""),1308412)</f>
        <v>1308412</v>
      </c>
      <c r="G115" s="16">
        <f>IFERROR(__xludf.DUMMYFUNCTION("""COMPUTED_VALUE"""),45908.6458333333)</f>
        <v>45908.6458333333</v>
      </c>
      <c r="H115" s="17">
        <f>IFERROR(__xludf.DUMMYFUNCTION("""COMPUTED_VALUE"""),1487.9)</f>
        <v>1487.9</v>
      </c>
      <c r="I115" s="16">
        <f>IFERROR(__xludf.DUMMYFUNCTION("""COMPUTED_VALUE"""),45908.6458333333)</f>
        <v>45908.6458333333</v>
      </c>
      <c r="J115" s="17">
        <f>IFERROR(__xludf.DUMMYFUNCTION("""COMPUTED_VALUE"""),1459)</f>
        <v>1459</v>
      </c>
      <c r="K115" s="3">
        <f t="shared" si="2"/>
        <v>0</v>
      </c>
      <c r="L115" s="3">
        <f t="shared" si="3"/>
        <v>1460.7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IFERROR(__xludf.DUMMYFUNCTION("""COMPUTED_VALUE"""),1498.2)</f>
        <v>1498.2</v>
      </c>
      <c r="C116" s="16">
        <f>IFERROR(__xludf.DUMMYFUNCTION("""COMPUTED_VALUE"""),45909.6458333333)</f>
        <v>45909.6458333333</v>
      </c>
      <c r="D116" s="17">
        <f>IFERROR(__xludf.DUMMYFUNCTION("""COMPUTED_VALUE"""),1466.6)</f>
        <v>1466.6</v>
      </c>
      <c r="E116" s="16">
        <f>IFERROR(__xludf.DUMMYFUNCTION("""COMPUTED_VALUE"""),45909.6458333333)</f>
        <v>45909.6458333333</v>
      </c>
      <c r="F116" s="17">
        <f>IFERROR(__xludf.DUMMYFUNCTION("""COMPUTED_VALUE"""),1749566)</f>
        <v>1749566</v>
      </c>
      <c r="G116" s="16">
        <f>IFERROR(__xludf.DUMMYFUNCTION("""COMPUTED_VALUE"""),45909.6458333333)</f>
        <v>45909.6458333333</v>
      </c>
      <c r="H116" s="17">
        <f>IFERROR(__xludf.DUMMYFUNCTION("""COMPUTED_VALUE"""),1500)</f>
        <v>1500</v>
      </c>
      <c r="I116" s="16">
        <f>IFERROR(__xludf.DUMMYFUNCTION("""COMPUTED_VALUE"""),45909.6458333333)</f>
        <v>45909.6458333333</v>
      </c>
      <c r="J116" s="17">
        <f>IFERROR(__xludf.DUMMYFUNCTION("""COMPUTED_VALUE"""),1465.7)</f>
        <v>1465.7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IFERROR(__xludf.DUMMYFUNCTION("""COMPUTED_VALUE"""),1526)</f>
        <v>1526</v>
      </c>
      <c r="C117" s="16">
        <f>IFERROR(__xludf.DUMMYFUNCTION("""COMPUTED_VALUE"""),45910.6458333333)</f>
        <v>45910.6458333333</v>
      </c>
      <c r="D117" s="17">
        <f>IFERROR(__xludf.DUMMYFUNCTION("""COMPUTED_VALUE"""),1503)</f>
        <v>1503</v>
      </c>
      <c r="E117" s="16">
        <f>IFERROR(__xludf.DUMMYFUNCTION("""COMPUTED_VALUE"""),45910.6458333333)</f>
        <v>45910.6458333333</v>
      </c>
      <c r="F117" s="17">
        <f>IFERROR(__xludf.DUMMYFUNCTION("""COMPUTED_VALUE"""),1660976)</f>
        <v>1660976</v>
      </c>
      <c r="G117" s="16">
        <f>IFERROR(__xludf.DUMMYFUNCTION("""COMPUTED_VALUE"""),45910.6458333333)</f>
        <v>45910.6458333333</v>
      </c>
      <c r="H117" s="17">
        <f>IFERROR(__xludf.DUMMYFUNCTION("""COMPUTED_VALUE"""),1536)</f>
        <v>1536</v>
      </c>
      <c r="I117" s="16">
        <f>IFERROR(__xludf.DUMMYFUNCTION("""COMPUTED_VALUE"""),45910.6458333333)</f>
        <v>45910.6458333333</v>
      </c>
      <c r="J117" s="17">
        <f>IFERROR(__xludf.DUMMYFUNCTION("""COMPUTED_VALUE"""),1501.8)</f>
        <v>1501.8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IFERROR(__xludf.DUMMYFUNCTION("""COMPUTED_VALUE"""),1521.2)</f>
        <v>1521.2</v>
      </c>
      <c r="C118" s="16">
        <f>IFERROR(__xludf.DUMMYFUNCTION("""COMPUTED_VALUE"""),45911.6458333333)</f>
        <v>45911.6458333333</v>
      </c>
      <c r="D118" s="17">
        <f>IFERROR(__xludf.DUMMYFUNCTION("""COMPUTED_VALUE"""),1526)</f>
        <v>1526</v>
      </c>
      <c r="E118" s="16">
        <f>IFERROR(__xludf.DUMMYFUNCTION("""COMPUTED_VALUE"""),45911.6458333333)</f>
        <v>45911.6458333333</v>
      </c>
      <c r="F118" s="17">
        <f>IFERROR(__xludf.DUMMYFUNCTION("""COMPUTED_VALUE"""),896908)</f>
        <v>896908</v>
      </c>
      <c r="G118" s="16">
        <f>IFERROR(__xludf.DUMMYFUNCTION("""COMPUTED_VALUE"""),45911.6458333333)</f>
        <v>45911.6458333333</v>
      </c>
      <c r="H118" s="17">
        <f>IFERROR(__xludf.DUMMYFUNCTION("""COMPUTED_VALUE"""),1531.5)</f>
        <v>1531.5</v>
      </c>
      <c r="I118" s="16">
        <f>IFERROR(__xludf.DUMMYFUNCTION("""COMPUTED_VALUE"""),45911.6458333333)</f>
        <v>45911.6458333333</v>
      </c>
      <c r="J118" s="17">
        <f>IFERROR(__xludf.DUMMYFUNCTION("""COMPUTED_VALUE"""),1505.7)</f>
        <v>1505.7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IFERROR(__xludf.DUMMYFUNCTION("""COMPUTED_VALUE"""),1525.5)</f>
        <v>1525.5</v>
      </c>
      <c r="C119" s="16">
        <f>IFERROR(__xludf.DUMMYFUNCTION("""COMPUTED_VALUE"""),45912.6458333333)</f>
        <v>45912.6458333333</v>
      </c>
      <c r="D119" s="17">
        <f>IFERROR(__xludf.DUMMYFUNCTION("""COMPUTED_VALUE"""),1529)</f>
        <v>1529</v>
      </c>
      <c r="E119" s="16">
        <f>IFERROR(__xludf.DUMMYFUNCTION("""COMPUTED_VALUE"""),45912.6458333333)</f>
        <v>45912.6458333333</v>
      </c>
      <c r="F119" s="17">
        <f>IFERROR(__xludf.DUMMYFUNCTION("""COMPUTED_VALUE"""),770698)</f>
        <v>770698</v>
      </c>
      <c r="G119" s="16">
        <f>IFERROR(__xludf.DUMMYFUNCTION("""COMPUTED_VALUE"""),45912.6458333333)</f>
        <v>45912.6458333333</v>
      </c>
      <c r="H119" s="17">
        <f>IFERROR(__xludf.DUMMYFUNCTION("""COMPUTED_VALUE"""),1530)</f>
        <v>1530</v>
      </c>
      <c r="I119" s="16">
        <f>IFERROR(__xludf.DUMMYFUNCTION("""COMPUTED_VALUE"""),45912.6458333333)</f>
        <v>45912.6458333333</v>
      </c>
      <c r="J119" s="17">
        <f>IFERROR(__xludf.DUMMYFUNCTION("""COMPUTED_VALUE"""),1512.5)</f>
        <v>1512.5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IFERROR(__xludf.DUMMYFUNCTION("""COMPUTED_VALUE"""),1519.8)</f>
        <v>1519.8</v>
      </c>
      <c r="C120" s="16">
        <f>IFERROR(__xludf.DUMMYFUNCTION("""COMPUTED_VALUE"""),45915.6458333333)</f>
        <v>45915.6458333333</v>
      </c>
      <c r="D120" s="17">
        <f>IFERROR(__xludf.DUMMYFUNCTION("""COMPUTED_VALUE"""),1527.9)</f>
        <v>1527.9</v>
      </c>
      <c r="E120" s="16">
        <f>IFERROR(__xludf.DUMMYFUNCTION("""COMPUTED_VALUE"""),45915.6458333333)</f>
        <v>45915.6458333333</v>
      </c>
      <c r="F120" s="17">
        <f>IFERROR(__xludf.DUMMYFUNCTION("""COMPUTED_VALUE"""),825515)</f>
        <v>825515</v>
      </c>
      <c r="G120" s="16">
        <f>IFERROR(__xludf.DUMMYFUNCTION("""COMPUTED_VALUE"""),45915.6458333333)</f>
        <v>45915.6458333333</v>
      </c>
      <c r="H120" s="17">
        <f>IFERROR(__xludf.DUMMYFUNCTION("""COMPUTED_VALUE"""),1527.9)</f>
        <v>1527.9</v>
      </c>
      <c r="I120" s="16">
        <f>IFERROR(__xludf.DUMMYFUNCTION("""COMPUTED_VALUE"""),45915.6458333333)</f>
        <v>45915.6458333333</v>
      </c>
      <c r="J120" s="17">
        <f>IFERROR(__xludf.DUMMYFUNCTION("""COMPUTED_VALUE"""),1505.6)</f>
        <v>1505.6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IFERROR(__xludf.DUMMYFUNCTION("""COMPUTED_VALUE"""),1531.5)</f>
        <v>1531.5</v>
      </c>
      <c r="C121" s="16">
        <f>IFERROR(__xludf.DUMMYFUNCTION("""COMPUTED_VALUE"""),45916.6458333333)</f>
        <v>45916.6458333333</v>
      </c>
      <c r="D121" s="17">
        <f>IFERROR(__xludf.DUMMYFUNCTION("""COMPUTED_VALUE"""),1522.9)</f>
        <v>1522.9</v>
      </c>
      <c r="E121" s="16">
        <f>IFERROR(__xludf.DUMMYFUNCTION("""COMPUTED_VALUE"""),45916.6458333333)</f>
        <v>45916.6458333333</v>
      </c>
      <c r="F121" s="17">
        <f>IFERROR(__xludf.DUMMYFUNCTION("""COMPUTED_VALUE"""),1011289)</f>
        <v>1011289</v>
      </c>
      <c r="G121" s="16">
        <f>IFERROR(__xludf.DUMMYFUNCTION("""COMPUTED_VALUE"""),45916.6458333333)</f>
        <v>45916.6458333333</v>
      </c>
      <c r="H121" s="17">
        <f>IFERROR(__xludf.DUMMYFUNCTION("""COMPUTED_VALUE"""),1534)</f>
        <v>1534</v>
      </c>
      <c r="I121" s="16">
        <f>IFERROR(__xludf.DUMMYFUNCTION("""COMPUTED_VALUE"""),45916.6458333333)</f>
        <v>45916.6458333333</v>
      </c>
      <c r="J121" s="17">
        <f>IFERROR(__xludf.DUMMYFUNCTION("""COMPUTED_VALUE"""),1510)</f>
        <v>1510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IFERROR(__xludf.DUMMYFUNCTION("""COMPUTED_VALUE"""),1547.2)</f>
        <v>1547.2</v>
      </c>
      <c r="C122" s="16">
        <f>IFERROR(__xludf.DUMMYFUNCTION("""COMPUTED_VALUE"""),45917.6458333333)</f>
        <v>45917.6458333333</v>
      </c>
      <c r="D122" s="17">
        <f>IFERROR(__xludf.DUMMYFUNCTION("""COMPUTED_VALUE"""),1538.3)</f>
        <v>1538.3</v>
      </c>
      <c r="E122" s="16">
        <f>IFERROR(__xludf.DUMMYFUNCTION("""COMPUTED_VALUE"""),45917.6458333333)</f>
        <v>45917.6458333333</v>
      </c>
      <c r="F122" s="17">
        <f>IFERROR(__xludf.DUMMYFUNCTION("""COMPUTED_VALUE"""),1946337)</f>
        <v>1946337</v>
      </c>
      <c r="G122" s="16">
        <f>IFERROR(__xludf.DUMMYFUNCTION("""COMPUTED_VALUE"""),45917.6458333333)</f>
        <v>45917.6458333333</v>
      </c>
      <c r="H122" s="17">
        <f>IFERROR(__xludf.DUMMYFUNCTION("""COMPUTED_VALUE"""),1549.4)</f>
        <v>1549.4</v>
      </c>
      <c r="I122" s="16">
        <f>IFERROR(__xludf.DUMMYFUNCTION("""COMPUTED_VALUE"""),45917.6458333333)</f>
        <v>45917.6458333333</v>
      </c>
      <c r="J122" s="17">
        <f>IFERROR(__xludf.DUMMYFUNCTION("""COMPUTED_VALUE"""),1525.6)</f>
        <v>1525.6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IFERROR(__xludf.DUMMYFUNCTION("""COMPUTED_VALUE"""),1550.7)</f>
        <v>1550.7</v>
      </c>
      <c r="C123" s="16">
        <f>IFERROR(__xludf.DUMMYFUNCTION("""COMPUTED_VALUE"""),45918.6458333333)</f>
        <v>45918.6458333333</v>
      </c>
      <c r="D123" s="17">
        <f>IFERROR(__xludf.DUMMYFUNCTION("""COMPUTED_VALUE"""),1556)</f>
        <v>1556</v>
      </c>
      <c r="E123" s="16">
        <f>IFERROR(__xludf.DUMMYFUNCTION("""COMPUTED_VALUE"""),45918.6458333333)</f>
        <v>45918.6458333333</v>
      </c>
      <c r="F123" s="17">
        <f>IFERROR(__xludf.DUMMYFUNCTION("""COMPUTED_VALUE"""),2246114)</f>
        <v>2246114</v>
      </c>
      <c r="G123" s="16">
        <f>IFERROR(__xludf.DUMMYFUNCTION("""COMPUTED_VALUE"""),45918.6458333333)</f>
        <v>45918.6458333333</v>
      </c>
      <c r="H123" s="17">
        <f>IFERROR(__xludf.DUMMYFUNCTION("""COMPUTED_VALUE"""),1566.9)</f>
        <v>1566.9</v>
      </c>
      <c r="I123" s="16">
        <f>IFERROR(__xludf.DUMMYFUNCTION("""COMPUTED_VALUE"""),45918.6458333333)</f>
        <v>45918.6458333333</v>
      </c>
      <c r="J123" s="17">
        <f>IFERROR(__xludf.DUMMYFUNCTION("""COMPUTED_VALUE"""),1541.8)</f>
        <v>1541.8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IFERROR(__xludf.DUMMYFUNCTION("""COMPUTED_VALUE"""),1553.8)</f>
        <v>1553.8</v>
      </c>
      <c r="C124" s="16">
        <f>IFERROR(__xludf.DUMMYFUNCTION("""COMPUTED_VALUE"""),45919.6458333333)</f>
        <v>45919.6458333333</v>
      </c>
      <c r="D124" s="17">
        <f>IFERROR(__xludf.DUMMYFUNCTION("""COMPUTED_VALUE"""),1551)</f>
        <v>1551</v>
      </c>
      <c r="E124" s="16">
        <f>IFERROR(__xludf.DUMMYFUNCTION("""COMPUTED_VALUE"""),45919.6458333333)</f>
        <v>45919.6458333333</v>
      </c>
      <c r="F124" s="17">
        <f>IFERROR(__xludf.DUMMYFUNCTION("""COMPUTED_VALUE"""),2621234)</f>
        <v>2621234</v>
      </c>
      <c r="G124" s="16">
        <f>IFERROR(__xludf.DUMMYFUNCTION("""COMPUTED_VALUE"""),45919.6458333333)</f>
        <v>45919.6458333333</v>
      </c>
      <c r="H124" s="17">
        <f>IFERROR(__xludf.DUMMYFUNCTION("""COMPUTED_VALUE"""),1557.4)</f>
        <v>1557.4</v>
      </c>
      <c r="I124" s="16">
        <f>IFERROR(__xludf.DUMMYFUNCTION("""COMPUTED_VALUE"""),45919.6458333333)</f>
        <v>45919.6458333333</v>
      </c>
      <c r="J124" s="17">
        <f>IFERROR(__xludf.DUMMYFUNCTION("""COMPUTED_VALUE"""),1541.6)</f>
        <v>1541.6</v>
      </c>
      <c r="K124" s="3">
        <f t="shared" si="2"/>
        <v>1553.8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IFERROR(__xludf.DUMMYFUNCTION("""COMPUTED_VALUE"""),1505.4)</f>
        <v>1505.4</v>
      </c>
      <c r="C125" s="16">
        <f>IFERROR(__xludf.DUMMYFUNCTION("""COMPUTED_VALUE"""),45922.6458333333)</f>
        <v>45922.6458333333</v>
      </c>
      <c r="D125" s="17">
        <f>IFERROR(__xludf.DUMMYFUNCTION("""COMPUTED_VALUE"""),1499)</f>
        <v>1499</v>
      </c>
      <c r="E125" s="16">
        <f>IFERROR(__xludf.DUMMYFUNCTION("""COMPUTED_VALUE"""),45922.6458333333)</f>
        <v>45922.6458333333</v>
      </c>
      <c r="F125" s="17">
        <f>IFERROR(__xludf.DUMMYFUNCTION("""COMPUTED_VALUE"""),5723501)</f>
        <v>5723501</v>
      </c>
      <c r="G125" s="16">
        <f>IFERROR(__xludf.DUMMYFUNCTION("""COMPUTED_VALUE"""),45922.6458333333)</f>
        <v>45922.6458333333</v>
      </c>
      <c r="H125" s="17">
        <f>IFERROR(__xludf.DUMMYFUNCTION("""COMPUTED_VALUE"""),1510)</f>
        <v>1510</v>
      </c>
      <c r="I125" s="16">
        <f>IFERROR(__xludf.DUMMYFUNCTION("""COMPUTED_VALUE"""),45922.6458333333)</f>
        <v>45922.6458333333</v>
      </c>
      <c r="J125" s="17">
        <f>IFERROR(__xludf.DUMMYFUNCTION("""COMPUTED_VALUE"""),1453.3)</f>
        <v>1453.3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IFERROR(__xludf.DUMMYFUNCTION("""COMPUTED_VALUE"""),1471.9)</f>
        <v>1471.9</v>
      </c>
      <c r="C126" s="16">
        <f>IFERROR(__xludf.DUMMYFUNCTION("""COMPUTED_VALUE"""),45923.6458333333)</f>
        <v>45923.6458333333</v>
      </c>
      <c r="D126" s="17">
        <f>IFERROR(__xludf.DUMMYFUNCTION("""COMPUTED_VALUE"""),1511.7)</f>
        <v>1511.7</v>
      </c>
      <c r="E126" s="16">
        <f>IFERROR(__xludf.DUMMYFUNCTION("""COMPUTED_VALUE"""),45923.6458333333)</f>
        <v>45923.6458333333</v>
      </c>
      <c r="F126" s="17">
        <f>IFERROR(__xludf.DUMMYFUNCTION("""COMPUTED_VALUE"""),1380054)</f>
        <v>1380054</v>
      </c>
      <c r="G126" s="16">
        <f>IFERROR(__xludf.DUMMYFUNCTION("""COMPUTED_VALUE"""),45923.6458333333)</f>
        <v>45923.6458333333</v>
      </c>
      <c r="H126" s="17">
        <f>IFERROR(__xludf.DUMMYFUNCTION("""COMPUTED_VALUE"""),1511.7)</f>
        <v>1511.7</v>
      </c>
      <c r="I126" s="16">
        <f>IFERROR(__xludf.DUMMYFUNCTION("""COMPUTED_VALUE"""),45923.6458333333)</f>
        <v>45923.6458333333</v>
      </c>
      <c r="J126" s="17">
        <f>IFERROR(__xludf.DUMMYFUNCTION("""COMPUTED_VALUE"""),1468.2)</f>
        <v>1468.2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IFERROR(__xludf.DUMMYFUNCTION("""COMPUTED_VALUE"""),1452.4)</f>
        <v>1452.4</v>
      </c>
      <c r="C127" s="16">
        <f>IFERROR(__xludf.DUMMYFUNCTION("""COMPUTED_VALUE"""),45924.6458333333)</f>
        <v>45924.6458333333</v>
      </c>
      <c r="D127" s="17">
        <f>IFERROR(__xludf.DUMMYFUNCTION("""COMPUTED_VALUE"""),1470)</f>
        <v>1470</v>
      </c>
      <c r="E127" s="16">
        <f>IFERROR(__xludf.DUMMYFUNCTION("""COMPUTED_VALUE"""),45924.6458333333)</f>
        <v>45924.6458333333</v>
      </c>
      <c r="F127" s="17">
        <f>IFERROR(__xludf.DUMMYFUNCTION("""COMPUTED_VALUE"""),2122106)</f>
        <v>2122106</v>
      </c>
      <c r="G127" s="16">
        <f>IFERROR(__xludf.DUMMYFUNCTION("""COMPUTED_VALUE"""),45924.6458333333)</f>
        <v>45924.6458333333</v>
      </c>
      <c r="H127" s="17">
        <f>IFERROR(__xludf.DUMMYFUNCTION("""COMPUTED_VALUE"""),1470)</f>
        <v>1470</v>
      </c>
      <c r="I127" s="16">
        <f>IFERROR(__xludf.DUMMYFUNCTION("""COMPUTED_VALUE"""),45924.6458333333)</f>
        <v>45924.6458333333</v>
      </c>
      <c r="J127" s="17">
        <f>IFERROR(__xludf.DUMMYFUNCTION("""COMPUTED_VALUE"""),1439)</f>
        <v>1439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IFERROR(__xludf.DUMMYFUNCTION("""COMPUTED_VALUE"""),1444.3)</f>
        <v>1444.3</v>
      </c>
      <c r="C128" s="16">
        <f>IFERROR(__xludf.DUMMYFUNCTION("""COMPUTED_VALUE"""),45925.6458333333)</f>
        <v>45925.6458333333</v>
      </c>
      <c r="D128" s="17">
        <f>IFERROR(__xludf.DUMMYFUNCTION("""COMPUTED_VALUE"""),1452)</f>
        <v>1452</v>
      </c>
      <c r="E128" s="16">
        <f>IFERROR(__xludf.DUMMYFUNCTION("""COMPUTED_VALUE"""),45925.6458333333)</f>
        <v>45925.6458333333</v>
      </c>
      <c r="F128" s="17">
        <f>IFERROR(__xludf.DUMMYFUNCTION("""COMPUTED_VALUE"""),1581629)</f>
        <v>1581629</v>
      </c>
      <c r="G128" s="16">
        <f>IFERROR(__xludf.DUMMYFUNCTION("""COMPUTED_VALUE"""),45925.6458333333)</f>
        <v>45925.6458333333</v>
      </c>
      <c r="H128" s="17">
        <f>IFERROR(__xludf.DUMMYFUNCTION("""COMPUTED_VALUE"""),1460.2)</f>
        <v>1460.2</v>
      </c>
      <c r="I128" s="16">
        <f>IFERROR(__xludf.DUMMYFUNCTION("""COMPUTED_VALUE"""),45925.6458333333)</f>
        <v>45925.6458333333</v>
      </c>
      <c r="J128" s="17">
        <f>IFERROR(__xludf.DUMMYFUNCTION("""COMPUTED_VALUE"""),1437)</f>
        <v>1437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IFERROR(__xludf.DUMMYFUNCTION("""COMPUTED_VALUE"""),1407.7)</f>
        <v>1407.7</v>
      </c>
      <c r="C129" s="16">
        <f>IFERROR(__xludf.DUMMYFUNCTION("""COMPUTED_VALUE"""),45926.6458333333)</f>
        <v>45926.6458333333</v>
      </c>
      <c r="D129" s="17">
        <f>IFERROR(__xludf.DUMMYFUNCTION("""COMPUTED_VALUE"""),1439.9)</f>
        <v>1439.9</v>
      </c>
      <c r="E129" s="16">
        <f>IFERROR(__xludf.DUMMYFUNCTION("""COMPUTED_VALUE"""),45926.6458333333)</f>
        <v>45926.6458333333</v>
      </c>
      <c r="F129" s="17">
        <f>IFERROR(__xludf.DUMMYFUNCTION("""COMPUTED_VALUE"""),1851067)</f>
        <v>1851067</v>
      </c>
      <c r="G129" s="16">
        <f>IFERROR(__xludf.DUMMYFUNCTION("""COMPUTED_VALUE"""),45926.6458333333)</f>
        <v>45926.6458333333</v>
      </c>
      <c r="H129" s="17">
        <f>IFERROR(__xludf.DUMMYFUNCTION("""COMPUTED_VALUE"""),1441.5)</f>
        <v>1441.5</v>
      </c>
      <c r="I129" s="16">
        <f>IFERROR(__xludf.DUMMYFUNCTION("""COMPUTED_VALUE"""),45926.6458333333)</f>
        <v>45926.6458333333</v>
      </c>
      <c r="J129" s="17">
        <f>IFERROR(__xludf.DUMMYFUNCTION("""COMPUTED_VALUE"""),1403.5)</f>
        <v>1403.5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88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""price"")"),3333)</f>
        <v>3333</v>
      </c>
      <c r="I3" s="22" t="s">
        <v>269</v>
      </c>
      <c r="J3" s="23">
        <f>IFERROR(__xludf.DUMMYFUNCTION("GOOGLEFINANCE(L3, ""volume"")"),7524068)</f>
        <v>7524068</v>
      </c>
      <c r="K3" s="24" t="s">
        <v>270</v>
      </c>
      <c r="L3" s="25" t="str">
        <f>Mastersheet!B40</f>
        <v>NSE:TITAN</v>
      </c>
      <c r="M3" s="26">
        <f>IFERROR(__xludf.DUMMYFUNCTION("""COMPUTED_VALUE"""),45926.6458333333)</f>
        <v>45926.6458333333</v>
      </c>
      <c r="N3" s="27">
        <f>IFERROR(__xludf.DUMMYFUNCTION("""COMPUTED_VALUE"""),3327.3)</f>
        <v>3327.3</v>
      </c>
      <c r="O3" s="26">
        <f>IFERROR(__xludf.DUMMYFUNCTION("""COMPUTED_VALUE"""),45926.6458333333)</f>
        <v>45926.6458333333</v>
      </c>
      <c r="P3" s="27">
        <f>IFERROR(__xludf.DUMMYFUNCTION("""COMPUTED_VALUE"""),3387.7)</f>
        <v>3387.7</v>
      </c>
      <c r="Q3" s="16">
        <f>IFERROR(__xludf.DUMMYFUNCTION("""COMPUTED_VALUE"""),45926.6458333333)</f>
        <v>45926.6458333333</v>
      </c>
      <c r="R3" s="17">
        <f>IFERROR(__xludf.DUMMYFUNCTION("""COMPUTED_VALUE"""),3402)</f>
        <v>3402</v>
      </c>
      <c r="S3" s="16">
        <f>IFERROR(__xludf.DUMMYFUNCTION("""COMPUTED_VALUE"""),45926.6458333333)</f>
        <v>45926.6458333333</v>
      </c>
      <c r="T3" s="17">
        <f>IFERROR(__xludf.DUMMYFUNCTION("""COMPUTED_VALUE"""),3303.1)</f>
        <v>3303.1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IFERROR(__xludf.DUMMYFUNCTION("""COMPUTED_VALUE"""),3087.65)</f>
        <v>3087.65</v>
      </c>
      <c r="C5" s="14">
        <f>IFERROR(__xludf.DUMMYFUNCTION("""COMPUTED_VALUE"""),45743.6458333333)</f>
        <v>45743.6458333333</v>
      </c>
      <c r="D5" s="15">
        <f>IFERROR(__xludf.DUMMYFUNCTION("""COMPUTED_VALUE"""),3047.55)</f>
        <v>3047.55</v>
      </c>
      <c r="E5" s="14">
        <f>IFERROR(__xludf.DUMMYFUNCTION("""COMPUTED_VALUE"""),45743.6458333333)</f>
        <v>45743.6458333333</v>
      </c>
      <c r="F5" s="15">
        <f>IFERROR(__xludf.DUMMYFUNCTION("""COMPUTED_VALUE"""),1635143)</f>
        <v>1635143</v>
      </c>
      <c r="G5" s="14">
        <f>IFERROR(__xludf.DUMMYFUNCTION("""COMPUTED_VALUE"""),45743.6458333333)</f>
        <v>45743.6458333333</v>
      </c>
      <c r="H5" s="15">
        <f>IFERROR(__xludf.DUMMYFUNCTION("""COMPUTED_VALUE"""),3097.7)</f>
        <v>3097.7</v>
      </c>
      <c r="I5" s="30">
        <f>IFERROR(__xludf.DUMMYFUNCTION("""COMPUTED_VALUE"""),45743.6458333333)</f>
        <v>45743.6458333333</v>
      </c>
      <c r="J5" s="3">
        <f>IFERROR(__xludf.DUMMYFUNCTION("""COMPUTED_VALUE"""),3047.55)</f>
        <v>3047.55</v>
      </c>
      <c r="K5" s="5"/>
      <c r="L5" s="5"/>
      <c r="M5" s="3">
        <f t="array" ref="M5">INDEX(K11:K124,MATCH(SMALL(ABS(K11:K124-H3),1),ABS(K11:K124-H3),0))</f>
        <v>3382.6</v>
      </c>
      <c r="N5" s="3">
        <f t="array" ref="N5">INDEX(K11:K124,MATCH(SMALL(ABS(K11:K124-H3),2),ABS(K11:K124-H3),0))</f>
        <v>3484.4</v>
      </c>
      <c r="O5" s="3">
        <f t="array" ref="O5">INDEX(L11:L124,MATCH(SMALL(ABS(L11:L124-H3),1),ABS(L11:L124-H3),0))</f>
        <v>3316</v>
      </c>
      <c r="P5" s="3">
        <f t="array" ref="P5">INDEX(L11:L124,MATCH(SMALL(ABS(L11:L124-H3),2),ABS(L11:L124-H3),0))</f>
        <v>3361.6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3541</v>
      </c>
      <c r="T5" s="17">
        <f ca="1">IF(AND(H3&gt;=Mastersheet!I3*S5,H3&lt;=Mastersheet!J3*S5),1,0)</f>
        <v>0</v>
      </c>
      <c r="U5" s="36">
        <f>(N3+P3)/2</f>
        <v>3357.5</v>
      </c>
      <c r="V5" s="17">
        <f>(N3+P3+R3+T3)/4</f>
        <v>3355.025</v>
      </c>
      <c r="W5" s="17">
        <f>IF(V5&gt;U5,1,0)</f>
        <v>0</v>
      </c>
      <c r="X5" s="17">
        <f>IF(V5&gt;U5,0,1)</f>
        <v>1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IFERROR(__xludf.DUMMYFUNCTION("""COMPUTED_VALUE"""),3063.35)</f>
        <v>3063.35</v>
      </c>
      <c r="C6" s="16">
        <f>IFERROR(__xludf.DUMMYFUNCTION("""COMPUTED_VALUE"""),45744.6458333333)</f>
        <v>45744.6458333333</v>
      </c>
      <c r="D6" s="17">
        <f>IFERROR(__xludf.DUMMYFUNCTION("""COMPUTED_VALUE"""),3094)</f>
        <v>3094</v>
      </c>
      <c r="E6" s="16">
        <f>IFERROR(__xludf.DUMMYFUNCTION("""COMPUTED_VALUE"""),45744.6458333333)</f>
        <v>45744.6458333333</v>
      </c>
      <c r="F6" s="17">
        <f>IFERROR(__xludf.DUMMYFUNCTION("""COMPUTED_VALUE"""),778417)</f>
        <v>778417</v>
      </c>
      <c r="G6" s="16">
        <f>IFERROR(__xludf.DUMMYFUNCTION("""COMPUTED_VALUE"""),45744.6458333333)</f>
        <v>45744.6458333333</v>
      </c>
      <c r="H6" s="17">
        <f>IFERROR(__xludf.DUMMYFUNCTION("""COMPUTED_VALUE"""),3111.8)</f>
        <v>3111.8</v>
      </c>
      <c r="I6" s="16">
        <f>IFERROR(__xludf.DUMMYFUNCTION("""COMPUTED_VALUE"""),45744.6458333333)</f>
        <v>45744.6458333333</v>
      </c>
      <c r="J6" s="17">
        <f>IFERROR(__xludf.DUMMYFUNCTION("""COMPUTED_VALUE"""),3051.05)</f>
        <v>3051.05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1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IFERROR(__xludf.DUMMYFUNCTION("""COMPUTED_VALUE"""),2986.95)</f>
        <v>2986.95</v>
      </c>
      <c r="C7" s="16">
        <f>IFERROR(__xludf.DUMMYFUNCTION("""COMPUTED_VALUE"""),45748.6458333333)</f>
        <v>45748.6458333333</v>
      </c>
      <c r="D7" s="17">
        <f>IFERROR(__xludf.DUMMYFUNCTION("""COMPUTED_VALUE"""),3053.7)</f>
        <v>3053.7</v>
      </c>
      <c r="E7" s="16">
        <f>IFERROR(__xludf.DUMMYFUNCTION("""COMPUTED_VALUE"""),45748.6458333333)</f>
        <v>45748.6458333333</v>
      </c>
      <c r="F7" s="17">
        <f>IFERROR(__xludf.DUMMYFUNCTION("""COMPUTED_VALUE"""),1068622)</f>
        <v>1068622</v>
      </c>
      <c r="G7" s="16">
        <f>IFERROR(__xludf.DUMMYFUNCTION("""COMPUTED_VALUE"""),45748.6458333333)</f>
        <v>45748.6458333333</v>
      </c>
      <c r="H7" s="17">
        <f>IFERROR(__xludf.DUMMYFUNCTION("""COMPUTED_VALUE"""),3075.7)</f>
        <v>3075.7</v>
      </c>
      <c r="I7" s="16">
        <f>IFERROR(__xludf.DUMMYFUNCTION("""COMPUTED_VALUE"""),45748.6458333333)</f>
        <v>45748.6458333333</v>
      </c>
      <c r="J7" s="17">
        <f>IFERROR(__xludf.DUMMYFUNCTION("""COMPUTED_VALUE"""),2982)</f>
        <v>2982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IFERROR(__xludf.DUMMYFUNCTION("""COMPUTED_VALUE"""),3098.45)</f>
        <v>3098.45</v>
      </c>
      <c r="C8" s="16">
        <f>IFERROR(__xludf.DUMMYFUNCTION("""COMPUTED_VALUE"""),45749.6458333333)</f>
        <v>45749.6458333333</v>
      </c>
      <c r="D8" s="17">
        <f>IFERROR(__xludf.DUMMYFUNCTION("""COMPUTED_VALUE"""),3011)</f>
        <v>3011</v>
      </c>
      <c r="E8" s="16">
        <f>IFERROR(__xludf.DUMMYFUNCTION("""COMPUTED_VALUE"""),45749.6458333333)</f>
        <v>45749.6458333333</v>
      </c>
      <c r="F8" s="17">
        <f>IFERROR(__xludf.DUMMYFUNCTION("""COMPUTED_VALUE"""),1674921)</f>
        <v>1674921</v>
      </c>
      <c r="G8" s="16">
        <f>IFERROR(__xludf.DUMMYFUNCTION("""COMPUTED_VALUE"""),45749.6458333333)</f>
        <v>45749.6458333333</v>
      </c>
      <c r="H8" s="17">
        <f>IFERROR(__xludf.DUMMYFUNCTION("""COMPUTED_VALUE"""),3105)</f>
        <v>3105</v>
      </c>
      <c r="I8" s="16">
        <f>IFERROR(__xludf.DUMMYFUNCTION("""COMPUTED_VALUE"""),45749.6458333333)</f>
        <v>45749.6458333333</v>
      </c>
      <c r="J8" s="17">
        <f>IFERROR(__xludf.DUMMYFUNCTION("""COMPUTED_VALUE"""),2971.15)</f>
        <v>2971.15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IFERROR(__xludf.DUMMYFUNCTION("""COMPUTED_VALUE"""),3127.55)</f>
        <v>3127.55</v>
      </c>
      <c r="C9" s="16">
        <f>IFERROR(__xludf.DUMMYFUNCTION("""COMPUTED_VALUE"""),45750.6458333333)</f>
        <v>45750.6458333333</v>
      </c>
      <c r="D9" s="17">
        <f>IFERROR(__xludf.DUMMYFUNCTION("""COMPUTED_VALUE"""),3071)</f>
        <v>3071</v>
      </c>
      <c r="E9" s="16">
        <f>IFERROR(__xludf.DUMMYFUNCTION("""COMPUTED_VALUE"""),45750.6458333333)</f>
        <v>45750.6458333333</v>
      </c>
      <c r="F9" s="17">
        <f>IFERROR(__xludf.DUMMYFUNCTION("""COMPUTED_VALUE"""),1115568)</f>
        <v>1115568</v>
      </c>
      <c r="G9" s="16">
        <f>IFERROR(__xludf.DUMMYFUNCTION("""COMPUTED_VALUE"""),45750.6458333333)</f>
        <v>45750.6458333333</v>
      </c>
      <c r="H9" s="17">
        <f>IFERROR(__xludf.DUMMYFUNCTION("""COMPUTED_VALUE"""),3151)</f>
        <v>3151</v>
      </c>
      <c r="I9" s="16">
        <f>IFERROR(__xludf.DUMMYFUNCTION("""COMPUTED_VALUE"""),45750.6458333333)</f>
        <v>45750.6458333333</v>
      </c>
      <c r="J9" s="17">
        <f>IFERROR(__xludf.DUMMYFUNCTION("""COMPUTED_VALUE"""),3068)</f>
        <v>3068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IFERROR(__xludf.DUMMYFUNCTION("""COMPUTED_VALUE"""),3076.2)</f>
        <v>3076.2</v>
      </c>
      <c r="C10" s="16">
        <f>IFERROR(__xludf.DUMMYFUNCTION("""COMPUTED_VALUE"""),45751.6458333333)</f>
        <v>45751.6458333333</v>
      </c>
      <c r="D10" s="17">
        <f>IFERROR(__xludf.DUMMYFUNCTION("""COMPUTED_VALUE"""),3099)</f>
        <v>3099</v>
      </c>
      <c r="E10" s="16">
        <f>IFERROR(__xludf.DUMMYFUNCTION("""COMPUTED_VALUE"""),45751.6458333333)</f>
        <v>45751.6458333333</v>
      </c>
      <c r="F10" s="17">
        <f>IFERROR(__xludf.DUMMYFUNCTION("""COMPUTED_VALUE"""),901801)</f>
        <v>901801</v>
      </c>
      <c r="G10" s="16">
        <f>IFERROR(__xludf.DUMMYFUNCTION("""COMPUTED_VALUE"""),45751.6458333333)</f>
        <v>45751.6458333333</v>
      </c>
      <c r="H10" s="17">
        <f>IFERROR(__xludf.DUMMYFUNCTION("""COMPUTED_VALUE"""),3114.9)</f>
        <v>3114.9</v>
      </c>
      <c r="I10" s="16">
        <f>IFERROR(__xludf.DUMMYFUNCTION("""COMPUTED_VALUE"""),45751.6458333333)</f>
        <v>45751.6458333333</v>
      </c>
      <c r="J10" s="17">
        <f>IFERROR(__xludf.DUMMYFUNCTION("""COMPUTED_VALUE"""),3050)</f>
        <v>3050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IFERROR(__xludf.DUMMYFUNCTION("""COMPUTED_VALUE"""),3022.2)</f>
        <v>3022.2</v>
      </c>
      <c r="C11" s="16">
        <f>IFERROR(__xludf.DUMMYFUNCTION("""COMPUTED_VALUE"""),45754.6458333333)</f>
        <v>45754.6458333333</v>
      </c>
      <c r="D11" s="17">
        <f>IFERROR(__xludf.DUMMYFUNCTION("""COMPUTED_VALUE"""),2925)</f>
        <v>2925</v>
      </c>
      <c r="E11" s="16">
        <f>IFERROR(__xludf.DUMMYFUNCTION("""COMPUTED_VALUE"""),45754.6458333333)</f>
        <v>45754.6458333333</v>
      </c>
      <c r="F11" s="17">
        <f>IFERROR(__xludf.DUMMYFUNCTION("""COMPUTED_VALUE"""),1378989)</f>
        <v>1378989</v>
      </c>
      <c r="G11" s="16">
        <f>IFERROR(__xludf.DUMMYFUNCTION("""COMPUTED_VALUE"""),45754.6458333333)</f>
        <v>45754.6458333333</v>
      </c>
      <c r="H11" s="17">
        <f>IFERROR(__xludf.DUMMYFUNCTION("""COMPUTED_VALUE"""),3048)</f>
        <v>3048</v>
      </c>
      <c r="I11" s="16">
        <f>IFERROR(__xludf.DUMMYFUNCTION("""COMPUTED_VALUE"""),45754.6458333333)</f>
        <v>45754.6458333333</v>
      </c>
      <c r="J11" s="17">
        <f>IFERROR(__xludf.DUMMYFUNCTION("""COMPUTED_VALUE"""),2925)</f>
        <v>2925</v>
      </c>
      <c r="K11" s="3">
        <f t="shared" ref="K11:K125" si="2">IF(B11=MAX(B5:B17),B11,0)</f>
        <v>0</v>
      </c>
      <c r="L11" s="3">
        <f t="shared" ref="L11:L125" si="3">IF(B11=MIN(B5:B17),B11,0)</f>
        <v>0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IFERROR(__xludf.DUMMYFUNCTION("""COMPUTED_VALUE"""),3122.3)</f>
        <v>3122.3</v>
      </c>
      <c r="C12" s="16">
        <f>IFERROR(__xludf.DUMMYFUNCTION("""COMPUTED_VALUE"""),45755.6458333333)</f>
        <v>45755.6458333333</v>
      </c>
      <c r="D12" s="17">
        <f>IFERROR(__xludf.DUMMYFUNCTION("""COMPUTED_VALUE"""),3149.7)</f>
        <v>3149.7</v>
      </c>
      <c r="E12" s="16">
        <f>IFERROR(__xludf.DUMMYFUNCTION("""COMPUTED_VALUE"""),45755.6458333333)</f>
        <v>45755.6458333333</v>
      </c>
      <c r="F12" s="17">
        <f>IFERROR(__xludf.DUMMYFUNCTION("""COMPUTED_VALUE"""),2830156)</f>
        <v>2830156</v>
      </c>
      <c r="G12" s="16">
        <f>IFERROR(__xludf.DUMMYFUNCTION("""COMPUTED_VALUE"""),45755.6458333333)</f>
        <v>45755.6458333333</v>
      </c>
      <c r="H12" s="17">
        <f>IFERROR(__xludf.DUMMYFUNCTION("""COMPUTED_VALUE"""),3227.25)</f>
        <v>3227.25</v>
      </c>
      <c r="I12" s="16">
        <f>IFERROR(__xludf.DUMMYFUNCTION("""COMPUTED_VALUE"""),45755.6458333333)</f>
        <v>45755.6458333333</v>
      </c>
      <c r="J12" s="17">
        <f>IFERROR(__xludf.DUMMYFUNCTION("""COMPUTED_VALUE"""),3101)</f>
        <v>3101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IFERROR(__xludf.DUMMYFUNCTION("""COMPUTED_VALUE"""),3174.15)</f>
        <v>3174.15</v>
      </c>
      <c r="C13" s="16">
        <f>IFERROR(__xludf.DUMMYFUNCTION("""COMPUTED_VALUE"""),45756.6458333333)</f>
        <v>45756.6458333333</v>
      </c>
      <c r="D13" s="17">
        <f>IFERROR(__xludf.DUMMYFUNCTION("""COMPUTED_VALUE"""),3137.85)</f>
        <v>3137.85</v>
      </c>
      <c r="E13" s="16">
        <f>IFERROR(__xludf.DUMMYFUNCTION("""COMPUTED_VALUE"""),45756.6458333333)</f>
        <v>45756.6458333333</v>
      </c>
      <c r="F13" s="17">
        <f>IFERROR(__xludf.DUMMYFUNCTION("""COMPUTED_VALUE"""),1215988)</f>
        <v>1215988</v>
      </c>
      <c r="G13" s="16">
        <f>IFERROR(__xludf.DUMMYFUNCTION("""COMPUTED_VALUE"""),45756.6458333333)</f>
        <v>45756.6458333333</v>
      </c>
      <c r="H13" s="17">
        <f>IFERROR(__xludf.DUMMYFUNCTION("""COMPUTED_VALUE"""),3188.25)</f>
        <v>3188.25</v>
      </c>
      <c r="I13" s="16">
        <f>IFERROR(__xludf.DUMMYFUNCTION("""COMPUTED_VALUE"""),45756.6458333333)</f>
        <v>45756.6458333333</v>
      </c>
      <c r="J13" s="17">
        <f>IFERROR(__xludf.DUMMYFUNCTION("""COMPUTED_VALUE"""),3090.7)</f>
        <v>3090.7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IFERROR(__xludf.DUMMYFUNCTION("""COMPUTED_VALUE"""),3234.9)</f>
        <v>3234.9</v>
      </c>
      <c r="C14" s="16">
        <f>IFERROR(__xludf.DUMMYFUNCTION("""COMPUTED_VALUE"""),45758.6458333333)</f>
        <v>45758.6458333333</v>
      </c>
      <c r="D14" s="17">
        <f>IFERROR(__xludf.DUMMYFUNCTION("""COMPUTED_VALUE"""),3222)</f>
        <v>3222</v>
      </c>
      <c r="E14" s="16">
        <f>IFERROR(__xludf.DUMMYFUNCTION("""COMPUTED_VALUE"""),45758.6458333333)</f>
        <v>45758.6458333333</v>
      </c>
      <c r="F14" s="17">
        <f>IFERROR(__xludf.DUMMYFUNCTION("""COMPUTED_VALUE"""),814920)</f>
        <v>814920</v>
      </c>
      <c r="G14" s="16">
        <f>IFERROR(__xludf.DUMMYFUNCTION("""COMPUTED_VALUE"""),45758.6458333333)</f>
        <v>45758.6458333333</v>
      </c>
      <c r="H14" s="17">
        <f>IFERROR(__xludf.DUMMYFUNCTION("""COMPUTED_VALUE"""),3242.55)</f>
        <v>3242.55</v>
      </c>
      <c r="I14" s="16">
        <f>IFERROR(__xludf.DUMMYFUNCTION("""COMPUTED_VALUE"""),45758.6458333333)</f>
        <v>45758.6458333333</v>
      </c>
      <c r="J14" s="17">
        <f>IFERROR(__xludf.DUMMYFUNCTION("""COMPUTED_VALUE"""),3201.25)</f>
        <v>3201.25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IFERROR(__xludf.DUMMYFUNCTION("""COMPUTED_VALUE"""),3273.4)</f>
        <v>3273.4</v>
      </c>
      <c r="C15" s="16">
        <f>IFERROR(__xludf.DUMMYFUNCTION("""COMPUTED_VALUE"""),45762.6458333333)</f>
        <v>45762.6458333333</v>
      </c>
      <c r="D15" s="17">
        <f>IFERROR(__xludf.DUMMYFUNCTION("""COMPUTED_VALUE"""),3270)</f>
        <v>3270</v>
      </c>
      <c r="E15" s="16">
        <f>IFERROR(__xludf.DUMMYFUNCTION("""COMPUTED_VALUE"""),45762.6458333333)</f>
        <v>45762.6458333333</v>
      </c>
      <c r="F15" s="17">
        <f>IFERROR(__xludf.DUMMYFUNCTION("""COMPUTED_VALUE"""),1121769)</f>
        <v>1121769</v>
      </c>
      <c r="G15" s="16">
        <f>IFERROR(__xludf.DUMMYFUNCTION("""COMPUTED_VALUE"""),45762.6458333333)</f>
        <v>45762.6458333333</v>
      </c>
      <c r="H15" s="17">
        <f>IFERROR(__xludf.DUMMYFUNCTION("""COMPUTED_VALUE"""),3285)</f>
        <v>3285</v>
      </c>
      <c r="I15" s="16">
        <f>IFERROR(__xludf.DUMMYFUNCTION("""COMPUTED_VALUE"""),45762.6458333333)</f>
        <v>45762.6458333333</v>
      </c>
      <c r="J15" s="17">
        <f>IFERROR(__xludf.DUMMYFUNCTION("""COMPUTED_VALUE"""),3245.1)</f>
        <v>3245.1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IFERROR(__xludf.DUMMYFUNCTION("""COMPUTED_VALUE"""),3272.1)</f>
        <v>3272.1</v>
      </c>
      <c r="C16" s="16">
        <f>IFERROR(__xludf.DUMMYFUNCTION("""COMPUTED_VALUE"""),45763.6458333333)</f>
        <v>45763.6458333333</v>
      </c>
      <c r="D16" s="17">
        <f>IFERROR(__xludf.DUMMYFUNCTION("""COMPUTED_VALUE"""),3250)</f>
        <v>3250</v>
      </c>
      <c r="E16" s="16">
        <f>IFERROR(__xludf.DUMMYFUNCTION("""COMPUTED_VALUE"""),45763.6458333333)</f>
        <v>45763.6458333333</v>
      </c>
      <c r="F16" s="17">
        <f>IFERROR(__xludf.DUMMYFUNCTION("""COMPUTED_VALUE"""),889943)</f>
        <v>889943</v>
      </c>
      <c r="G16" s="16">
        <f>IFERROR(__xludf.DUMMYFUNCTION("""COMPUTED_VALUE"""),45763.6458333333)</f>
        <v>45763.6458333333</v>
      </c>
      <c r="H16" s="17">
        <f>IFERROR(__xludf.DUMMYFUNCTION("""COMPUTED_VALUE"""),3286)</f>
        <v>3286</v>
      </c>
      <c r="I16" s="16">
        <f>IFERROR(__xludf.DUMMYFUNCTION("""COMPUTED_VALUE"""),45763.6458333333)</f>
        <v>45763.6458333333</v>
      </c>
      <c r="J16" s="17">
        <f>IFERROR(__xludf.DUMMYFUNCTION("""COMPUTED_VALUE"""),3245.1)</f>
        <v>3245.1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IFERROR(__xludf.DUMMYFUNCTION("""COMPUTED_VALUE"""),3327.5)</f>
        <v>3327.5</v>
      </c>
      <c r="C17" s="16">
        <f>IFERROR(__xludf.DUMMYFUNCTION("""COMPUTED_VALUE"""),45764.6458333333)</f>
        <v>45764.6458333333</v>
      </c>
      <c r="D17" s="17">
        <f>IFERROR(__xludf.DUMMYFUNCTION("""COMPUTED_VALUE"""),3250)</f>
        <v>3250</v>
      </c>
      <c r="E17" s="16">
        <f>IFERROR(__xludf.DUMMYFUNCTION("""COMPUTED_VALUE"""),45764.6458333333)</f>
        <v>45764.6458333333</v>
      </c>
      <c r="F17" s="17">
        <f>IFERROR(__xludf.DUMMYFUNCTION("""COMPUTED_VALUE"""),1083612)</f>
        <v>1083612</v>
      </c>
      <c r="G17" s="16">
        <f>IFERROR(__xludf.DUMMYFUNCTION("""COMPUTED_VALUE"""),45764.6458333333)</f>
        <v>45764.6458333333</v>
      </c>
      <c r="H17" s="17">
        <f>IFERROR(__xludf.DUMMYFUNCTION("""COMPUTED_VALUE"""),3334.8)</f>
        <v>3334.8</v>
      </c>
      <c r="I17" s="16">
        <f>IFERROR(__xludf.DUMMYFUNCTION("""COMPUTED_VALUE"""),45764.6458333333)</f>
        <v>45764.6458333333</v>
      </c>
      <c r="J17" s="17">
        <f>IFERROR(__xludf.DUMMYFUNCTION("""COMPUTED_VALUE"""),3211.2)</f>
        <v>3211.2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IFERROR(__xludf.DUMMYFUNCTION("""COMPUTED_VALUE"""),3336.1)</f>
        <v>3336.1</v>
      </c>
      <c r="C18" s="16">
        <f>IFERROR(__xludf.DUMMYFUNCTION("""COMPUTED_VALUE"""),45768.6458333333)</f>
        <v>45768.6458333333</v>
      </c>
      <c r="D18" s="17">
        <f>IFERROR(__xludf.DUMMYFUNCTION("""COMPUTED_VALUE"""),3314)</f>
        <v>3314</v>
      </c>
      <c r="E18" s="16">
        <f>IFERROR(__xludf.DUMMYFUNCTION("""COMPUTED_VALUE"""),45768.6458333333)</f>
        <v>45768.6458333333</v>
      </c>
      <c r="F18" s="17">
        <f>IFERROR(__xludf.DUMMYFUNCTION("""COMPUTED_VALUE"""),672129)</f>
        <v>672129</v>
      </c>
      <c r="G18" s="16">
        <f>IFERROR(__xludf.DUMMYFUNCTION("""COMPUTED_VALUE"""),45768.6458333333)</f>
        <v>45768.6458333333</v>
      </c>
      <c r="H18" s="17">
        <f>IFERROR(__xludf.DUMMYFUNCTION("""COMPUTED_VALUE"""),3353.5)</f>
        <v>3353.5</v>
      </c>
      <c r="I18" s="16">
        <f>IFERROR(__xludf.DUMMYFUNCTION("""COMPUTED_VALUE"""),45768.6458333333)</f>
        <v>45768.6458333333</v>
      </c>
      <c r="J18" s="17">
        <f>IFERROR(__xludf.DUMMYFUNCTION("""COMPUTED_VALUE"""),3290)</f>
        <v>3290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IFERROR(__xludf.DUMMYFUNCTION("""COMPUTED_VALUE"""),3337.4)</f>
        <v>3337.4</v>
      </c>
      <c r="C19" s="16">
        <f>IFERROR(__xludf.DUMMYFUNCTION("""COMPUTED_VALUE"""),45769.6458333333)</f>
        <v>45769.6458333333</v>
      </c>
      <c r="D19" s="17">
        <f>IFERROR(__xludf.DUMMYFUNCTION("""COMPUTED_VALUE"""),3336.1)</f>
        <v>3336.1</v>
      </c>
      <c r="E19" s="16">
        <f>IFERROR(__xludf.DUMMYFUNCTION("""COMPUTED_VALUE"""),45769.6458333333)</f>
        <v>45769.6458333333</v>
      </c>
      <c r="F19" s="17">
        <f>IFERROR(__xludf.DUMMYFUNCTION("""COMPUTED_VALUE"""),609213)</f>
        <v>609213</v>
      </c>
      <c r="G19" s="16">
        <f>IFERROR(__xludf.DUMMYFUNCTION("""COMPUTED_VALUE"""),45769.6458333333)</f>
        <v>45769.6458333333</v>
      </c>
      <c r="H19" s="17">
        <f>IFERROR(__xludf.DUMMYFUNCTION("""COMPUTED_VALUE"""),3358.8)</f>
        <v>3358.8</v>
      </c>
      <c r="I19" s="16">
        <f>IFERROR(__xludf.DUMMYFUNCTION("""COMPUTED_VALUE"""),45769.6458333333)</f>
        <v>45769.6458333333</v>
      </c>
      <c r="J19" s="17">
        <f>IFERROR(__xludf.DUMMYFUNCTION("""COMPUTED_VALUE"""),3320.1)</f>
        <v>3320.1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IFERROR(__xludf.DUMMYFUNCTION("""COMPUTED_VALUE"""),3357.3)</f>
        <v>3357.3</v>
      </c>
      <c r="C20" s="16">
        <f>IFERROR(__xludf.DUMMYFUNCTION("""COMPUTED_VALUE"""),45770.6458333333)</f>
        <v>45770.6458333333</v>
      </c>
      <c r="D20" s="17">
        <f>IFERROR(__xludf.DUMMYFUNCTION("""COMPUTED_VALUE"""),3357)</f>
        <v>3357</v>
      </c>
      <c r="E20" s="16">
        <f>IFERROR(__xludf.DUMMYFUNCTION("""COMPUTED_VALUE"""),45770.6458333333)</f>
        <v>45770.6458333333</v>
      </c>
      <c r="F20" s="17">
        <f>IFERROR(__xludf.DUMMYFUNCTION("""COMPUTED_VALUE"""),628656)</f>
        <v>628656</v>
      </c>
      <c r="G20" s="16">
        <f>IFERROR(__xludf.DUMMYFUNCTION("""COMPUTED_VALUE"""),45770.6458333333)</f>
        <v>45770.6458333333</v>
      </c>
      <c r="H20" s="17">
        <f>IFERROR(__xludf.DUMMYFUNCTION("""COMPUTED_VALUE"""),3373.7)</f>
        <v>3373.7</v>
      </c>
      <c r="I20" s="16">
        <f>IFERROR(__xludf.DUMMYFUNCTION("""COMPUTED_VALUE"""),45770.6458333333)</f>
        <v>45770.6458333333</v>
      </c>
      <c r="J20" s="17">
        <f>IFERROR(__xludf.DUMMYFUNCTION("""COMPUTED_VALUE"""),3315.5)</f>
        <v>3315.5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IFERROR(__xludf.DUMMYFUNCTION("""COMPUTED_VALUE"""),3382.6)</f>
        <v>3382.6</v>
      </c>
      <c r="C21" s="16">
        <f>IFERROR(__xludf.DUMMYFUNCTION("""COMPUTED_VALUE"""),45771.6458333333)</f>
        <v>45771.6458333333</v>
      </c>
      <c r="D21" s="17">
        <f>IFERROR(__xludf.DUMMYFUNCTION("""COMPUTED_VALUE"""),3356.8)</f>
        <v>3356.8</v>
      </c>
      <c r="E21" s="16">
        <f>IFERROR(__xludf.DUMMYFUNCTION("""COMPUTED_VALUE"""),45771.6458333333)</f>
        <v>45771.6458333333</v>
      </c>
      <c r="F21" s="17">
        <f>IFERROR(__xludf.DUMMYFUNCTION("""COMPUTED_VALUE"""),901747)</f>
        <v>901747</v>
      </c>
      <c r="G21" s="16">
        <f>IFERROR(__xludf.DUMMYFUNCTION("""COMPUTED_VALUE"""),45771.6458333333)</f>
        <v>45771.6458333333</v>
      </c>
      <c r="H21" s="17">
        <f>IFERROR(__xludf.DUMMYFUNCTION("""COMPUTED_VALUE"""),3395)</f>
        <v>3395</v>
      </c>
      <c r="I21" s="16">
        <f>IFERROR(__xludf.DUMMYFUNCTION("""COMPUTED_VALUE"""),45771.6458333333)</f>
        <v>45771.6458333333</v>
      </c>
      <c r="J21" s="17">
        <f>IFERROR(__xludf.DUMMYFUNCTION("""COMPUTED_VALUE"""),3344)</f>
        <v>3344</v>
      </c>
      <c r="K21" s="3">
        <f t="shared" si="2"/>
        <v>3382.6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IFERROR(__xludf.DUMMYFUNCTION("""COMPUTED_VALUE"""),3365.2)</f>
        <v>3365.2</v>
      </c>
      <c r="C22" s="16">
        <f>IFERROR(__xludf.DUMMYFUNCTION("""COMPUTED_VALUE"""),45772.6458333333)</f>
        <v>45772.6458333333</v>
      </c>
      <c r="D22" s="17">
        <f>IFERROR(__xludf.DUMMYFUNCTION("""COMPUTED_VALUE"""),3382.6)</f>
        <v>3382.6</v>
      </c>
      <c r="E22" s="16">
        <f>IFERROR(__xludf.DUMMYFUNCTION("""COMPUTED_VALUE"""),45772.6458333333)</f>
        <v>45772.6458333333</v>
      </c>
      <c r="F22" s="17">
        <f>IFERROR(__xludf.DUMMYFUNCTION("""COMPUTED_VALUE"""),704325)</f>
        <v>704325</v>
      </c>
      <c r="G22" s="16">
        <f>IFERROR(__xludf.DUMMYFUNCTION("""COMPUTED_VALUE"""),45772.6458333333)</f>
        <v>45772.6458333333</v>
      </c>
      <c r="H22" s="17">
        <f>IFERROR(__xludf.DUMMYFUNCTION("""COMPUTED_VALUE"""),3419.5)</f>
        <v>3419.5</v>
      </c>
      <c r="I22" s="16">
        <f>IFERROR(__xludf.DUMMYFUNCTION("""COMPUTED_VALUE"""),45772.6458333333)</f>
        <v>45772.6458333333</v>
      </c>
      <c r="J22" s="17">
        <f>IFERROR(__xludf.DUMMYFUNCTION("""COMPUTED_VALUE"""),3316)</f>
        <v>3316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IFERROR(__xludf.DUMMYFUNCTION("""COMPUTED_VALUE"""),3369.1)</f>
        <v>3369.1</v>
      </c>
      <c r="C23" s="16">
        <f>IFERROR(__xludf.DUMMYFUNCTION("""COMPUTED_VALUE"""),45775.6458333333)</f>
        <v>45775.6458333333</v>
      </c>
      <c r="D23" s="17">
        <f>IFERROR(__xludf.DUMMYFUNCTION("""COMPUTED_VALUE"""),3356)</f>
        <v>3356</v>
      </c>
      <c r="E23" s="16">
        <f>IFERROR(__xludf.DUMMYFUNCTION("""COMPUTED_VALUE"""),45775.6458333333)</f>
        <v>45775.6458333333</v>
      </c>
      <c r="F23" s="17">
        <f>IFERROR(__xludf.DUMMYFUNCTION("""COMPUTED_VALUE"""),384147)</f>
        <v>384147</v>
      </c>
      <c r="G23" s="16">
        <f>IFERROR(__xludf.DUMMYFUNCTION("""COMPUTED_VALUE"""),45775.6458333333)</f>
        <v>45775.6458333333</v>
      </c>
      <c r="H23" s="17">
        <f>IFERROR(__xludf.DUMMYFUNCTION("""COMPUTED_VALUE"""),3397.4)</f>
        <v>3397.4</v>
      </c>
      <c r="I23" s="16">
        <f>IFERROR(__xludf.DUMMYFUNCTION("""COMPUTED_VALUE"""),45775.6458333333)</f>
        <v>45775.6458333333</v>
      </c>
      <c r="J23" s="17">
        <f>IFERROR(__xludf.DUMMYFUNCTION("""COMPUTED_VALUE"""),3351)</f>
        <v>3351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IFERROR(__xludf.DUMMYFUNCTION("""COMPUTED_VALUE"""),3378.6)</f>
        <v>3378.6</v>
      </c>
      <c r="C24" s="16">
        <f>IFERROR(__xludf.DUMMYFUNCTION("""COMPUTED_VALUE"""),45776.6458333333)</f>
        <v>45776.6458333333</v>
      </c>
      <c r="D24" s="17">
        <f>IFERROR(__xludf.DUMMYFUNCTION("""COMPUTED_VALUE"""),3375.9)</f>
        <v>3375.9</v>
      </c>
      <c r="E24" s="16">
        <f>IFERROR(__xludf.DUMMYFUNCTION("""COMPUTED_VALUE"""),45776.6458333333)</f>
        <v>45776.6458333333</v>
      </c>
      <c r="F24" s="17">
        <f>IFERROR(__xludf.DUMMYFUNCTION("""COMPUTED_VALUE"""),575435)</f>
        <v>575435</v>
      </c>
      <c r="G24" s="16">
        <f>IFERROR(__xludf.DUMMYFUNCTION("""COMPUTED_VALUE"""),45776.6458333333)</f>
        <v>45776.6458333333</v>
      </c>
      <c r="H24" s="17">
        <f>IFERROR(__xludf.DUMMYFUNCTION("""COMPUTED_VALUE"""),3398)</f>
        <v>3398</v>
      </c>
      <c r="I24" s="16">
        <f>IFERROR(__xludf.DUMMYFUNCTION("""COMPUTED_VALUE"""),45776.6458333333)</f>
        <v>45776.6458333333</v>
      </c>
      <c r="J24" s="17">
        <f>IFERROR(__xludf.DUMMYFUNCTION("""COMPUTED_VALUE"""),3354)</f>
        <v>3354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IFERROR(__xludf.DUMMYFUNCTION("""COMPUTED_VALUE"""),3379.7)</f>
        <v>3379.7</v>
      </c>
      <c r="C25" s="16">
        <f>IFERROR(__xludf.DUMMYFUNCTION("""COMPUTED_VALUE"""),45777.6458333333)</f>
        <v>45777.6458333333</v>
      </c>
      <c r="D25" s="17">
        <f>IFERROR(__xludf.DUMMYFUNCTION("""COMPUTED_VALUE"""),3374)</f>
        <v>3374</v>
      </c>
      <c r="E25" s="16">
        <f>IFERROR(__xludf.DUMMYFUNCTION("""COMPUTED_VALUE"""),45777.6458333333)</f>
        <v>45777.6458333333</v>
      </c>
      <c r="F25" s="17">
        <f>IFERROR(__xludf.DUMMYFUNCTION("""COMPUTED_VALUE"""),708818)</f>
        <v>708818</v>
      </c>
      <c r="G25" s="16">
        <f>IFERROR(__xludf.DUMMYFUNCTION("""COMPUTED_VALUE"""),45777.6458333333)</f>
        <v>45777.6458333333</v>
      </c>
      <c r="H25" s="17">
        <f>IFERROR(__xludf.DUMMYFUNCTION("""COMPUTED_VALUE"""),3409)</f>
        <v>3409</v>
      </c>
      <c r="I25" s="16">
        <f>IFERROR(__xludf.DUMMYFUNCTION("""COMPUTED_VALUE"""),45777.6458333333)</f>
        <v>45777.6458333333</v>
      </c>
      <c r="J25" s="17">
        <f>IFERROR(__xludf.DUMMYFUNCTION("""COMPUTED_VALUE"""),3354.3)</f>
        <v>3354.3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IFERROR(__xludf.DUMMYFUNCTION("""COMPUTED_VALUE"""),3341)</f>
        <v>3341</v>
      </c>
      <c r="C26" s="16">
        <f>IFERROR(__xludf.DUMMYFUNCTION("""COMPUTED_VALUE"""),45779.6458333333)</f>
        <v>45779.6458333333</v>
      </c>
      <c r="D26" s="17">
        <f>IFERROR(__xludf.DUMMYFUNCTION("""COMPUTED_VALUE"""),3362.1)</f>
        <v>3362.1</v>
      </c>
      <c r="E26" s="16">
        <f>IFERROR(__xludf.DUMMYFUNCTION("""COMPUTED_VALUE"""),45779.6458333333)</f>
        <v>45779.6458333333</v>
      </c>
      <c r="F26" s="17">
        <f>IFERROR(__xludf.DUMMYFUNCTION("""COMPUTED_VALUE"""),514587)</f>
        <v>514587</v>
      </c>
      <c r="G26" s="16">
        <f>IFERROR(__xludf.DUMMYFUNCTION("""COMPUTED_VALUE"""),45779.6458333333)</f>
        <v>45779.6458333333</v>
      </c>
      <c r="H26" s="17">
        <f>IFERROR(__xludf.DUMMYFUNCTION("""COMPUTED_VALUE"""),3381.5)</f>
        <v>3381.5</v>
      </c>
      <c r="I26" s="16">
        <f>IFERROR(__xludf.DUMMYFUNCTION("""COMPUTED_VALUE"""),45779.6458333333)</f>
        <v>45779.6458333333</v>
      </c>
      <c r="J26" s="17">
        <f>IFERROR(__xludf.DUMMYFUNCTION("""COMPUTED_VALUE"""),3324)</f>
        <v>3324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IFERROR(__xludf.DUMMYFUNCTION("""COMPUTED_VALUE"""),3321.8)</f>
        <v>3321.8</v>
      </c>
      <c r="C27" s="16">
        <f>IFERROR(__xludf.DUMMYFUNCTION("""COMPUTED_VALUE"""),45782.6458333333)</f>
        <v>45782.6458333333</v>
      </c>
      <c r="D27" s="17">
        <f>IFERROR(__xludf.DUMMYFUNCTION("""COMPUTED_VALUE"""),3357.7)</f>
        <v>3357.7</v>
      </c>
      <c r="E27" s="16">
        <f>IFERROR(__xludf.DUMMYFUNCTION("""COMPUTED_VALUE"""),45782.6458333333)</f>
        <v>45782.6458333333</v>
      </c>
      <c r="F27" s="17">
        <f>IFERROR(__xludf.DUMMYFUNCTION("""COMPUTED_VALUE"""),565178)</f>
        <v>565178</v>
      </c>
      <c r="G27" s="16">
        <f>IFERROR(__xludf.DUMMYFUNCTION("""COMPUTED_VALUE"""),45782.6458333333)</f>
        <v>45782.6458333333</v>
      </c>
      <c r="H27" s="17">
        <f>IFERROR(__xludf.DUMMYFUNCTION("""COMPUTED_VALUE"""),3408.5)</f>
        <v>3408.5</v>
      </c>
      <c r="I27" s="16">
        <f>IFERROR(__xludf.DUMMYFUNCTION("""COMPUTED_VALUE"""),45782.6458333333)</f>
        <v>45782.6458333333</v>
      </c>
      <c r="J27" s="17">
        <f>IFERROR(__xludf.DUMMYFUNCTION("""COMPUTED_VALUE"""),3307)</f>
        <v>3307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IFERROR(__xludf.DUMMYFUNCTION("""COMPUTED_VALUE"""),3299.3)</f>
        <v>3299.3</v>
      </c>
      <c r="C28" s="16">
        <f>IFERROR(__xludf.DUMMYFUNCTION("""COMPUTED_VALUE"""),45783.6458333333)</f>
        <v>45783.6458333333</v>
      </c>
      <c r="D28" s="17">
        <f>IFERROR(__xludf.DUMMYFUNCTION("""COMPUTED_VALUE"""),3321.8)</f>
        <v>3321.8</v>
      </c>
      <c r="E28" s="16">
        <f>IFERROR(__xludf.DUMMYFUNCTION("""COMPUTED_VALUE"""),45783.6458333333)</f>
        <v>45783.6458333333</v>
      </c>
      <c r="F28" s="17">
        <f>IFERROR(__xludf.DUMMYFUNCTION("""COMPUTED_VALUE"""),650789)</f>
        <v>650789</v>
      </c>
      <c r="G28" s="16">
        <f>IFERROR(__xludf.DUMMYFUNCTION("""COMPUTED_VALUE"""),45783.6458333333)</f>
        <v>45783.6458333333</v>
      </c>
      <c r="H28" s="17">
        <f>IFERROR(__xludf.DUMMYFUNCTION("""COMPUTED_VALUE"""),3325.3)</f>
        <v>3325.3</v>
      </c>
      <c r="I28" s="16">
        <f>IFERROR(__xludf.DUMMYFUNCTION("""COMPUTED_VALUE"""),45783.6458333333)</f>
        <v>45783.6458333333</v>
      </c>
      <c r="J28" s="17">
        <f>IFERROR(__xludf.DUMMYFUNCTION("""COMPUTED_VALUE"""),3245.5)</f>
        <v>3245.5</v>
      </c>
      <c r="K28" s="3">
        <f t="shared" si="2"/>
        <v>0</v>
      </c>
      <c r="L28" s="3">
        <f t="shared" si="3"/>
        <v>3299.3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IFERROR(__xludf.DUMMYFUNCTION("""COMPUTED_VALUE"""),3338.9)</f>
        <v>3338.9</v>
      </c>
      <c r="C29" s="16">
        <f>IFERROR(__xludf.DUMMYFUNCTION("""COMPUTED_VALUE"""),45784.6458333333)</f>
        <v>45784.6458333333</v>
      </c>
      <c r="D29" s="17">
        <f>IFERROR(__xludf.DUMMYFUNCTION("""COMPUTED_VALUE"""),3280)</f>
        <v>3280</v>
      </c>
      <c r="E29" s="16">
        <f>IFERROR(__xludf.DUMMYFUNCTION("""COMPUTED_VALUE"""),45784.6458333333)</f>
        <v>45784.6458333333</v>
      </c>
      <c r="F29" s="17">
        <f>IFERROR(__xludf.DUMMYFUNCTION("""COMPUTED_VALUE"""),1047443)</f>
        <v>1047443</v>
      </c>
      <c r="G29" s="16">
        <f>IFERROR(__xludf.DUMMYFUNCTION("""COMPUTED_VALUE"""),45784.6458333333)</f>
        <v>45784.6458333333</v>
      </c>
      <c r="H29" s="17">
        <f>IFERROR(__xludf.DUMMYFUNCTION("""COMPUTED_VALUE"""),3381)</f>
        <v>3381</v>
      </c>
      <c r="I29" s="16">
        <f>IFERROR(__xludf.DUMMYFUNCTION("""COMPUTED_VALUE"""),45784.6458333333)</f>
        <v>45784.6458333333</v>
      </c>
      <c r="J29" s="17">
        <f>IFERROR(__xludf.DUMMYFUNCTION("""COMPUTED_VALUE"""),3260.2)</f>
        <v>3260.2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IFERROR(__xludf.DUMMYFUNCTION("""COMPUTED_VALUE"""),3369.3)</f>
        <v>3369.3</v>
      </c>
      <c r="C30" s="16">
        <f>IFERROR(__xludf.DUMMYFUNCTION("""COMPUTED_VALUE"""),45785.6458333333)</f>
        <v>45785.6458333333</v>
      </c>
      <c r="D30" s="17">
        <f>IFERROR(__xludf.DUMMYFUNCTION("""COMPUTED_VALUE"""),3349.9)</f>
        <v>3349.9</v>
      </c>
      <c r="E30" s="16">
        <f>IFERROR(__xludf.DUMMYFUNCTION("""COMPUTED_VALUE"""),45785.6458333333)</f>
        <v>45785.6458333333</v>
      </c>
      <c r="F30" s="17">
        <f>IFERROR(__xludf.DUMMYFUNCTION("""COMPUTED_VALUE"""),1597339)</f>
        <v>1597339</v>
      </c>
      <c r="G30" s="16">
        <f>IFERROR(__xludf.DUMMYFUNCTION("""COMPUTED_VALUE"""),45785.6458333333)</f>
        <v>45785.6458333333</v>
      </c>
      <c r="H30" s="17">
        <f>IFERROR(__xludf.DUMMYFUNCTION("""COMPUTED_VALUE"""),3412.5)</f>
        <v>3412.5</v>
      </c>
      <c r="I30" s="16">
        <f>IFERROR(__xludf.DUMMYFUNCTION("""COMPUTED_VALUE"""),45785.6458333333)</f>
        <v>45785.6458333333</v>
      </c>
      <c r="J30" s="17">
        <f>IFERROR(__xludf.DUMMYFUNCTION("""COMPUTED_VALUE"""),3325)</f>
        <v>3325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IFERROR(__xludf.DUMMYFUNCTION("""COMPUTED_VALUE"""),3510.3)</f>
        <v>3510.3</v>
      </c>
      <c r="C31" s="16">
        <f>IFERROR(__xludf.DUMMYFUNCTION("""COMPUTED_VALUE"""),45786.6458333333)</f>
        <v>45786.6458333333</v>
      </c>
      <c r="D31" s="17">
        <f>IFERROR(__xludf.DUMMYFUNCTION("""COMPUTED_VALUE"""),3367)</f>
        <v>3367</v>
      </c>
      <c r="E31" s="16">
        <f>IFERROR(__xludf.DUMMYFUNCTION("""COMPUTED_VALUE"""),45786.6458333333)</f>
        <v>45786.6458333333</v>
      </c>
      <c r="F31" s="17">
        <f>IFERROR(__xludf.DUMMYFUNCTION("""COMPUTED_VALUE"""),2863992)</f>
        <v>2863992</v>
      </c>
      <c r="G31" s="16">
        <f>IFERROR(__xludf.DUMMYFUNCTION("""COMPUTED_VALUE"""),45786.6458333333)</f>
        <v>45786.6458333333</v>
      </c>
      <c r="H31" s="17">
        <f>IFERROR(__xludf.DUMMYFUNCTION("""COMPUTED_VALUE"""),3530)</f>
        <v>3530</v>
      </c>
      <c r="I31" s="16">
        <f>IFERROR(__xludf.DUMMYFUNCTION("""COMPUTED_VALUE"""),45786.6458333333)</f>
        <v>45786.6458333333</v>
      </c>
      <c r="J31" s="17">
        <f>IFERROR(__xludf.DUMMYFUNCTION("""COMPUTED_VALUE"""),3354.2)</f>
        <v>3354.2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IFERROR(__xludf.DUMMYFUNCTION("""COMPUTED_VALUE"""),3562.9)</f>
        <v>3562.9</v>
      </c>
      <c r="C32" s="16">
        <f>IFERROR(__xludf.DUMMYFUNCTION("""COMPUTED_VALUE"""),45789.6458333333)</f>
        <v>45789.6458333333</v>
      </c>
      <c r="D32" s="17">
        <f>IFERROR(__xludf.DUMMYFUNCTION("""COMPUTED_VALUE"""),3537.2)</f>
        <v>3537.2</v>
      </c>
      <c r="E32" s="16">
        <f>IFERROR(__xludf.DUMMYFUNCTION("""COMPUTED_VALUE"""),45789.6458333333)</f>
        <v>45789.6458333333</v>
      </c>
      <c r="F32" s="17">
        <f>IFERROR(__xludf.DUMMYFUNCTION("""COMPUTED_VALUE"""),956930)</f>
        <v>956930</v>
      </c>
      <c r="G32" s="16">
        <f>IFERROR(__xludf.DUMMYFUNCTION("""COMPUTED_VALUE"""),45789.6458333333)</f>
        <v>45789.6458333333</v>
      </c>
      <c r="H32" s="17">
        <f>IFERROR(__xludf.DUMMYFUNCTION("""COMPUTED_VALUE"""),3585)</f>
        <v>3585</v>
      </c>
      <c r="I32" s="16">
        <f>IFERROR(__xludf.DUMMYFUNCTION("""COMPUTED_VALUE"""),45789.6458333333)</f>
        <v>45789.6458333333</v>
      </c>
      <c r="J32" s="17">
        <f>IFERROR(__xludf.DUMMYFUNCTION("""COMPUTED_VALUE"""),3530.3)</f>
        <v>3530.3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IFERROR(__xludf.DUMMYFUNCTION("""COMPUTED_VALUE"""),3563.2)</f>
        <v>3563.2</v>
      </c>
      <c r="C33" s="16">
        <f>IFERROR(__xludf.DUMMYFUNCTION("""COMPUTED_VALUE"""),45790.6458333333)</f>
        <v>45790.6458333333</v>
      </c>
      <c r="D33" s="17">
        <f>IFERROR(__xludf.DUMMYFUNCTION("""COMPUTED_VALUE"""),3562.9)</f>
        <v>3562.9</v>
      </c>
      <c r="E33" s="16">
        <f>IFERROR(__xludf.DUMMYFUNCTION("""COMPUTED_VALUE"""),45790.6458333333)</f>
        <v>45790.6458333333</v>
      </c>
      <c r="F33" s="17">
        <f>IFERROR(__xludf.DUMMYFUNCTION("""COMPUTED_VALUE"""),996541)</f>
        <v>996541</v>
      </c>
      <c r="G33" s="16">
        <f>IFERROR(__xludf.DUMMYFUNCTION("""COMPUTED_VALUE"""),45790.6458333333)</f>
        <v>45790.6458333333</v>
      </c>
      <c r="H33" s="17">
        <f>IFERROR(__xludf.DUMMYFUNCTION("""COMPUTED_VALUE"""),3588.4)</f>
        <v>3588.4</v>
      </c>
      <c r="I33" s="16">
        <f>IFERROR(__xludf.DUMMYFUNCTION("""COMPUTED_VALUE"""),45790.6458333333)</f>
        <v>45790.6458333333</v>
      </c>
      <c r="J33" s="17">
        <f>IFERROR(__xludf.DUMMYFUNCTION("""COMPUTED_VALUE"""),3540.1)</f>
        <v>3540.1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IFERROR(__xludf.DUMMYFUNCTION("""COMPUTED_VALUE"""),3587.6)</f>
        <v>3587.6</v>
      </c>
      <c r="C34" s="16">
        <f>IFERROR(__xludf.DUMMYFUNCTION("""COMPUTED_VALUE"""),45791.6458333333)</f>
        <v>45791.6458333333</v>
      </c>
      <c r="D34" s="17">
        <f>IFERROR(__xludf.DUMMYFUNCTION("""COMPUTED_VALUE"""),3555)</f>
        <v>3555</v>
      </c>
      <c r="E34" s="16">
        <f>IFERROR(__xludf.DUMMYFUNCTION("""COMPUTED_VALUE"""),45791.6458333333)</f>
        <v>45791.6458333333</v>
      </c>
      <c r="F34" s="17">
        <f>IFERROR(__xludf.DUMMYFUNCTION("""COMPUTED_VALUE"""),588159)</f>
        <v>588159</v>
      </c>
      <c r="G34" s="16">
        <f>IFERROR(__xludf.DUMMYFUNCTION("""COMPUTED_VALUE"""),45791.6458333333)</f>
        <v>45791.6458333333</v>
      </c>
      <c r="H34" s="17">
        <f>IFERROR(__xludf.DUMMYFUNCTION("""COMPUTED_VALUE"""),3610)</f>
        <v>3610</v>
      </c>
      <c r="I34" s="16">
        <f>IFERROR(__xludf.DUMMYFUNCTION("""COMPUTED_VALUE"""),45791.6458333333)</f>
        <v>45791.6458333333</v>
      </c>
      <c r="J34" s="17">
        <f>IFERROR(__xludf.DUMMYFUNCTION("""COMPUTED_VALUE"""),3550)</f>
        <v>3550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IFERROR(__xludf.DUMMYFUNCTION("""COMPUTED_VALUE"""),3636.8)</f>
        <v>3636.8</v>
      </c>
      <c r="C35" s="16">
        <f>IFERROR(__xludf.DUMMYFUNCTION("""COMPUTED_VALUE"""),45792.6458333333)</f>
        <v>45792.6458333333</v>
      </c>
      <c r="D35" s="17">
        <f>IFERROR(__xludf.DUMMYFUNCTION("""COMPUTED_VALUE"""),3597)</f>
        <v>3597</v>
      </c>
      <c r="E35" s="16">
        <f>IFERROR(__xludf.DUMMYFUNCTION("""COMPUTED_VALUE"""),45792.6458333333)</f>
        <v>45792.6458333333</v>
      </c>
      <c r="F35" s="17">
        <f>IFERROR(__xludf.DUMMYFUNCTION("""COMPUTED_VALUE"""),1227751)</f>
        <v>1227751</v>
      </c>
      <c r="G35" s="16">
        <f>IFERROR(__xludf.DUMMYFUNCTION("""COMPUTED_VALUE"""),45792.6458333333)</f>
        <v>45792.6458333333</v>
      </c>
      <c r="H35" s="17">
        <f>IFERROR(__xludf.DUMMYFUNCTION("""COMPUTED_VALUE"""),3665)</f>
        <v>3665</v>
      </c>
      <c r="I35" s="16">
        <f>IFERROR(__xludf.DUMMYFUNCTION("""COMPUTED_VALUE"""),45792.6458333333)</f>
        <v>45792.6458333333</v>
      </c>
      <c r="J35" s="17">
        <f>IFERROR(__xludf.DUMMYFUNCTION("""COMPUTED_VALUE"""),3553.9)</f>
        <v>3553.9</v>
      </c>
      <c r="K35" s="3">
        <f t="shared" si="2"/>
        <v>3636.8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IFERROR(__xludf.DUMMYFUNCTION("""COMPUTED_VALUE"""),3633.7)</f>
        <v>3633.7</v>
      </c>
      <c r="C36" s="16">
        <f>IFERROR(__xludf.DUMMYFUNCTION("""COMPUTED_VALUE"""),45793.6458333333)</f>
        <v>45793.6458333333</v>
      </c>
      <c r="D36" s="17">
        <f>IFERROR(__xludf.DUMMYFUNCTION("""COMPUTED_VALUE"""),3654)</f>
        <v>3654</v>
      </c>
      <c r="E36" s="16">
        <f>IFERROR(__xludf.DUMMYFUNCTION("""COMPUTED_VALUE"""),45793.6458333333)</f>
        <v>45793.6458333333</v>
      </c>
      <c r="F36" s="17">
        <f>IFERROR(__xludf.DUMMYFUNCTION("""COMPUTED_VALUE"""),525064)</f>
        <v>525064</v>
      </c>
      <c r="G36" s="16">
        <f>IFERROR(__xludf.DUMMYFUNCTION("""COMPUTED_VALUE"""),45793.6458333333)</f>
        <v>45793.6458333333</v>
      </c>
      <c r="H36" s="17">
        <f>IFERROR(__xludf.DUMMYFUNCTION("""COMPUTED_VALUE"""),3655.9)</f>
        <v>3655.9</v>
      </c>
      <c r="I36" s="16">
        <f>IFERROR(__xludf.DUMMYFUNCTION("""COMPUTED_VALUE"""),45793.6458333333)</f>
        <v>45793.6458333333</v>
      </c>
      <c r="J36" s="17">
        <f>IFERROR(__xludf.DUMMYFUNCTION("""COMPUTED_VALUE"""),3613.4)</f>
        <v>3613.4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IFERROR(__xludf.DUMMYFUNCTION("""COMPUTED_VALUE"""),3617.7)</f>
        <v>3617.7</v>
      </c>
      <c r="C37" s="16">
        <f>IFERROR(__xludf.DUMMYFUNCTION("""COMPUTED_VALUE"""),45796.6458333333)</f>
        <v>45796.6458333333</v>
      </c>
      <c r="D37" s="17">
        <f>IFERROR(__xludf.DUMMYFUNCTION("""COMPUTED_VALUE"""),3617)</f>
        <v>3617</v>
      </c>
      <c r="E37" s="16">
        <f>IFERROR(__xludf.DUMMYFUNCTION("""COMPUTED_VALUE"""),45796.6458333333)</f>
        <v>45796.6458333333</v>
      </c>
      <c r="F37" s="17">
        <f>IFERROR(__xludf.DUMMYFUNCTION("""COMPUTED_VALUE"""),376760)</f>
        <v>376760</v>
      </c>
      <c r="G37" s="16">
        <f>IFERROR(__xludf.DUMMYFUNCTION("""COMPUTED_VALUE"""),45796.6458333333)</f>
        <v>45796.6458333333</v>
      </c>
      <c r="H37" s="17">
        <f>IFERROR(__xludf.DUMMYFUNCTION("""COMPUTED_VALUE"""),3649.5)</f>
        <v>3649.5</v>
      </c>
      <c r="I37" s="16">
        <f>IFERROR(__xludf.DUMMYFUNCTION("""COMPUTED_VALUE"""),45796.6458333333)</f>
        <v>45796.6458333333</v>
      </c>
      <c r="J37" s="17">
        <f>IFERROR(__xludf.DUMMYFUNCTION("""COMPUTED_VALUE"""),3611.4)</f>
        <v>3611.4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IFERROR(__xludf.DUMMYFUNCTION("""COMPUTED_VALUE"""),3580.6)</f>
        <v>3580.6</v>
      </c>
      <c r="C38" s="16">
        <f>IFERROR(__xludf.DUMMYFUNCTION("""COMPUTED_VALUE"""),45797.6458333333)</f>
        <v>45797.6458333333</v>
      </c>
      <c r="D38" s="17">
        <f>IFERROR(__xludf.DUMMYFUNCTION("""COMPUTED_VALUE"""),3617.7)</f>
        <v>3617.7</v>
      </c>
      <c r="E38" s="16">
        <f>IFERROR(__xludf.DUMMYFUNCTION("""COMPUTED_VALUE"""),45797.6458333333)</f>
        <v>45797.6458333333</v>
      </c>
      <c r="F38" s="17">
        <f>IFERROR(__xludf.DUMMYFUNCTION("""COMPUTED_VALUE"""),811416)</f>
        <v>811416</v>
      </c>
      <c r="G38" s="16">
        <f>IFERROR(__xludf.DUMMYFUNCTION("""COMPUTED_VALUE"""),45797.6458333333)</f>
        <v>45797.6458333333</v>
      </c>
      <c r="H38" s="17">
        <f>IFERROR(__xludf.DUMMYFUNCTION("""COMPUTED_VALUE"""),3620)</f>
        <v>3620</v>
      </c>
      <c r="I38" s="16">
        <f>IFERROR(__xludf.DUMMYFUNCTION("""COMPUTED_VALUE"""),45797.6458333333)</f>
        <v>45797.6458333333</v>
      </c>
      <c r="J38" s="17">
        <f>IFERROR(__xludf.DUMMYFUNCTION("""COMPUTED_VALUE"""),3575.1)</f>
        <v>3575.1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IFERROR(__xludf.DUMMYFUNCTION("""COMPUTED_VALUE"""),3580.5)</f>
        <v>3580.5</v>
      </c>
      <c r="C39" s="16">
        <f>IFERROR(__xludf.DUMMYFUNCTION("""COMPUTED_VALUE"""),45798.6458333333)</f>
        <v>45798.6458333333</v>
      </c>
      <c r="D39" s="17">
        <f>IFERROR(__xludf.DUMMYFUNCTION("""COMPUTED_VALUE"""),3570)</f>
        <v>3570</v>
      </c>
      <c r="E39" s="16">
        <f>IFERROR(__xludf.DUMMYFUNCTION("""COMPUTED_VALUE"""),45798.6458333333)</f>
        <v>45798.6458333333</v>
      </c>
      <c r="F39" s="17">
        <f>IFERROR(__xludf.DUMMYFUNCTION("""COMPUTED_VALUE"""),415016)</f>
        <v>415016</v>
      </c>
      <c r="G39" s="16">
        <f>IFERROR(__xludf.DUMMYFUNCTION("""COMPUTED_VALUE"""),45798.6458333333)</f>
        <v>45798.6458333333</v>
      </c>
      <c r="H39" s="17">
        <f>IFERROR(__xludf.DUMMYFUNCTION("""COMPUTED_VALUE"""),3623.1)</f>
        <v>3623.1</v>
      </c>
      <c r="I39" s="16">
        <f>IFERROR(__xludf.DUMMYFUNCTION("""COMPUTED_VALUE"""),45798.6458333333)</f>
        <v>45798.6458333333</v>
      </c>
      <c r="J39" s="17">
        <f>IFERROR(__xludf.DUMMYFUNCTION("""COMPUTED_VALUE"""),3567.3)</f>
        <v>3567.3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IFERROR(__xludf.DUMMYFUNCTION("""COMPUTED_VALUE"""),3541)</f>
        <v>3541</v>
      </c>
      <c r="C40" s="16">
        <f>IFERROR(__xludf.DUMMYFUNCTION("""COMPUTED_VALUE"""),45799.6458333333)</f>
        <v>45799.6458333333</v>
      </c>
      <c r="D40" s="17">
        <f>IFERROR(__xludf.DUMMYFUNCTION("""COMPUTED_VALUE"""),3565)</f>
        <v>3565</v>
      </c>
      <c r="E40" s="16">
        <f>IFERROR(__xludf.DUMMYFUNCTION("""COMPUTED_VALUE"""),45799.6458333333)</f>
        <v>45799.6458333333</v>
      </c>
      <c r="F40" s="17">
        <f>IFERROR(__xludf.DUMMYFUNCTION("""COMPUTED_VALUE"""),709846)</f>
        <v>709846</v>
      </c>
      <c r="G40" s="16">
        <f>IFERROR(__xludf.DUMMYFUNCTION("""COMPUTED_VALUE"""),45799.6458333333)</f>
        <v>45799.6458333333</v>
      </c>
      <c r="H40" s="17">
        <f>IFERROR(__xludf.DUMMYFUNCTION("""COMPUTED_VALUE"""),3575)</f>
        <v>3575</v>
      </c>
      <c r="I40" s="16">
        <f>IFERROR(__xludf.DUMMYFUNCTION("""COMPUTED_VALUE"""),45799.6458333333)</f>
        <v>45799.6458333333</v>
      </c>
      <c r="J40" s="17">
        <f>IFERROR(__xludf.DUMMYFUNCTION("""COMPUTED_VALUE"""),3516.1)</f>
        <v>3516.1</v>
      </c>
      <c r="K40" s="3">
        <f t="shared" si="2"/>
        <v>0</v>
      </c>
      <c r="L40" s="3">
        <f t="shared" si="3"/>
        <v>3541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IFERROR(__xludf.DUMMYFUNCTION("""COMPUTED_VALUE"""),3579.7)</f>
        <v>3579.7</v>
      </c>
      <c r="C41" s="16">
        <f>IFERROR(__xludf.DUMMYFUNCTION("""COMPUTED_VALUE"""),45800.6458333333)</f>
        <v>45800.6458333333</v>
      </c>
      <c r="D41" s="17">
        <f>IFERROR(__xludf.DUMMYFUNCTION("""COMPUTED_VALUE"""),3531)</f>
        <v>3531</v>
      </c>
      <c r="E41" s="16">
        <f>IFERROR(__xludf.DUMMYFUNCTION("""COMPUTED_VALUE"""),45800.6458333333)</f>
        <v>45800.6458333333</v>
      </c>
      <c r="F41" s="17">
        <f>IFERROR(__xludf.DUMMYFUNCTION("""COMPUTED_VALUE"""),416717)</f>
        <v>416717</v>
      </c>
      <c r="G41" s="16">
        <f>IFERROR(__xludf.DUMMYFUNCTION("""COMPUTED_VALUE"""),45800.6458333333)</f>
        <v>45800.6458333333</v>
      </c>
      <c r="H41" s="17">
        <f>IFERROR(__xludf.DUMMYFUNCTION("""COMPUTED_VALUE"""),3606.3)</f>
        <v>3606.3</v>
      </c>
      <c r="I41" s="16">
        <f>IFERROR(__xludf.DUMMYFUNCTION("""COMPUTED_VALUE"""),45800.6458333333)</f>
        <v>45800.6458333333</v>
      </c>
      <c r="J41" s="17">
        <f>IFERROR(__xludf.DUMMYFUNCTION("""COMPUTED_VALUE"""),3523)</f>
        <v>3523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IFERROR(__xludf.DUMMYFUNCTION("""COMPUTED_VALUE"""),3610.3)</f>
        <v>3610.3</v>
      </c>
      <c r="C42" s="16">
        <f>IFERROR(__xludf.DUMMYFUNCTION("""COMPUTED_VALUE"""),45803.6458333333)</f>
        <v>45803.6458333333</v>
      </c>
      <c r="D42" s="17">
        <f>IFERROR(__xludf.DUMMYFUNCTION("""COMPUTED_VALUE"""),3576)</f>
        <v>3576</v>
      </c>
      <c r="E42" s="16">
        <f>IFERROR(__xludf.DUMMYFUNCTION("""COMPUTED_VALUE"""),45803.6458333333)</f>
        <v>45803.6458333333</v>
      </c>
      <c r="F42" s="17">
        <f>IFERROR(__xludf.DUMMYFUNCTION("""COMPUTED_VALUE"""),525514)</f>
        <v>525514</v>
      </c>
      <c r="G42" s="16">
        <f>IFERROR(__xludf.DUMMYFUNCTION("""COMPUTED_VALUE"""),45803.6458333333)</f>
        <v>45803.6458333333</v>
      </c>
      <c r="H42" s="17">
        <f>IFERROR(__xludf.DUMMYFUNCTION("""COMPUTED_VALUE"""),3640)</f>
        <v>3640</v>
      </c>
      <c r="I42" s="16">
        <f>IFERROR(__xludf.DUMMYFUNCTION("""COMPUTED_VALUE"""),45803.6458333333)</f>
        <v>45803.6458333333</v>
      </c>
      <c r="J42" s="17">
        <f>IFERROR(__xludf.DUMMYFUNCTION("""COMPUTED_VALUE"""),3570.4)</f>
        <v>3570.4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IFERROR(__xludf.DUMMYFUNCTION("""COMPUTED_VALUE"""),3589.4)</f>
        <v>3589.4</v>
      </c>
      <c r="C43" s="16">
        <f>IFERROR(__xludf.DUMMYFUNCTION("""COMPUTED_VALUE"""),45804.6458333333)</f>
        <v>45804.6458333333</v>
      </c>
      <c r="D43" s="17">
        <f>IFERROR(__xludf.DUMMYFUNCTION("""COMPUTED_VALUE"""),3615)</f>
        <v>3615</v>
      </c>
      <c r="E43" s="16">
        <f>IFERROR(__xludf.DUMMYFUNCTION("""COMPUTED_VALUE"""),45804.6458333333)</f>
        <v>45804.6458333333</v>
      </c>
      <c r="F43" s="17">
        <f>IFERROR(__xludf.DUMMYFUNCTION("""COMPUTED_VALUE"""),1019733)</f>
        <v>1019733</v>
      </c>
      <c r="G43" s="16">
        <f>IFERROR(__xludf.DUMMYFUNCTION("""COMPUTED_VALUE"""),45804.6458333333)</f>
        <v>45804.6458333333</v>
      </c>
      <c r="H43" s="17">
        <f>IFERROR(__xludf.DUMMYFUNCTION("""COMPUTED_VALUE"""),3639)</f>
        <v>3639</v>
      </c>
      <c r="I43" s="16">
        <f>IFERROR(__xludf.DUMMYFUNCTION("""COMPUTED_VALUE"""),45804.6458333333)</f>
        <v>45804.6458333333</v>
      </c>
      <c r="J43" s="17">
        <f>IFERROR(__xludf.DUMMYFUNCTION("""COMPUTED_VALUE"""),3562.2)</f>
        <v>3562.2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IFERROR(__xludf.DUMMYFUNCTION("""COMPUTED_VALUE"""),3574.7)</f>
        <v>3574.7</v>
      </c>
      <c r="C44" s="16">
        <f>IFERROR(__xludf.DUMMYFUNCTION("""COMPUTED_VALUE"""),45805.6458333333)</f>
        <v>45805.6458333333</v>
      </c>
      <c r="D44" s="17">
        <f>IFERROR(__xludf.DUMMYFUNCTION("""COMPUTED_VALUE"""),3595)</f>
        <v>3595</v>
      </c>
      <c r="E44" s="16">
        <f>IFERROR(__xludf.DUMMYFUNCTION("""COMPUTED_VALUE"""),45805.6458333333)</f>
        <v>45805.6458333333</v>
      </c>
      <c r="F44" s="17">
        <f>IFERROR(__xludf.DUMMYFUNCTION("""COMPUTED_VALUE"""),449324)</f>
        <v>449324</v>
      </c>
      <c r="G44" s="16">
        <f>IFERROR(__xludf.DUMMYFUNCTION("""COMPUTED_VALUE"""),45805.6458333333)</f>
        <v>45805.6458333333</v>
      </c>
      <c r="H44" s="17">
        <f>IFERROR(__xludf.DUMMYFUNCTION("""COMPUTED_VALUE"""),3601.6)</f>
        <v>3601.6</v>
      </c>
      <c r="I44" s="16">
        <f>IFERROR(__xludf.DUMMYFUNCTION("""COMPUTED_VALUE"""),45805.6458333333)</f>
        <v>45805.6458333333</v>
      </c>
      <c r="J44" s="17">
        <f>IFERROR(__xludf.DUMMYFUNCTION("""COMPUTED_VALUE"""),3545)</f>
        <v>3545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IFERROR(__xludf.DUMMYFUNCTION("""COMPUTED_VALUE"""),3588.3)</f>
        <v>3588.3</v>
      </c>
      <c r="C45" s="16">
        <f>IFERROR(__xludf.DUMMYFUNCTION("""COMPUTED_VALUE"""),45806.6458333333)</f>
        <v>45806.6458333333</v>
      </c>
      <c r="D45" s="17">
        <f>IFERROR(__xludf.DUMMYFUNCTION("""COMPUTED_VALUE"""),3580)</f>
        <v>3580</v>
      </c>
      <c r="E45" s="16">
        <f>IFERROR(__xludf.DUMMYFUNCTION("""COMPUTED_VALUE"""),45806.6458333333)</f>
        <v>45806.6458333333</v>
      </c>
      <c r="F45" s="17">
        <f>IFERROR(__xludf.DUMMYFUNCTION("""COMPUTED_VALUE"""),513095)</f>
        <v>513095</v>
      </c>
      <c r="G45" s="16">
        <f>IFERROR(__xludf.DUMMYFUNCTION("""COMPUTED_VALUE"""),45806.6458333333)</f>
        <v>45806.6458333333</v>
      </c>
      <c r="H45" s="17">
        <f>IFERROR(__xludf.DUMMYFUNCTION("""COMPUTED_VALUE"""),3600)</f>
        <v>3600</v>
      </c>
      <c r="I45" s="16">
        <f>IFERROR(__xludf.DUMMYFUNCTION("""COMPUTED_VALUE"""),45806.6458333333)</f>
        <v>45806.6458333333</v>
      </c>
      <c r="J45" s="17">
        <f>IFERROR(__xludf.DUMMYFUNCTION("""COMPUTED_VALUE"""),3560.1)</f>
        <v>3560.1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IFERROR(__xludf.DUMMYFUNCTION("""COMPUTED_VALUE"""),3555)</f>
        <v>3555</v>
      </c>
      <c r="C46" s="16">
        <f>IFERROR(__xludf.DUMMYFUNCTION("""COMPUTED_VALUE"""),45807.6458333333)</f>
        <v>45807.6458333333</v>
      </c>
      <c r="D46" s="17">
        <f>IFERROR(__xludf.DUMMYFUNCTION("""COMPUTED_VALUE"""),3580)</f>
        <v>3580</v>
      </c>
      <c r="E46" s="16">
        <f>IFERROR(__xludf.DUMMYFUNCTION("""COMPUTED_VALUE"""),45807.6458333333)</f>
        <v>45807.6458333333</v>
      </c>
      <c r="F46" s="17">
        <f>IFERROR(__xludf.DUMMYFUNCTION("""COMPUTED_VALUE"""),962944)</f>
        <v>962944</v>
      </c>
      <c r="G46" s="16">
        <f>IFERROR(__xludf.DUMMYFUNCTION("""COMPUTED_VALUE"""),45807.6458333333)</f>
        <v>45807.6458333333</v>
      </c>
      <c r="H46" s="17">
        <f>IFERROR(__xludf.DUMMYFUNCTION("""COMPUTED_VALUE"""),3605)</f>
        <v>3605</v>
      </c>
      <c r="I46" s="16">
        <f>IFERROR(__xludf.DUMMYFUNCTION("""COMPUTED_VALUE"""),45807.6458333333)</f>
        <v>45807.6458333333</v>
      </c>
      <c r="J46" s="17">
        <f>IFERROR(__xludf.DUMMYFUNCTION("""COMPUTED_VALUE"""),3542.1)</f>
        <v>3542.1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IFERROR(__xludf.DUMMYFUNCTION("""COMPUTED_VALUE"""),3525.5)</f>
        <v>3525.5</v>
      </c>
      <c r="C47" s="16">
        <f>IFERROR(__xludf.DUMMYFUNCTION("""COMPUTED_VALUE"""),45810.6458333333)</f>
        <v>45810.6458333333</v>
      </c>
      <c r="D47" s="17">
        <f>IFERROR(__xludf.DUMMYFUNCTION("""COMPUTED_VALUE"""),3525.1)</f>
        <v>3525.1</v>
      </c>
      <c r="E47" s="16">
        <f>IFERROR(__xludf.DUMMYFUNCTION("""COMPUTED_VALUE"""),45810.6458333333)</f>
        <v>45810.6458333333</v>
      </c>
      <c r="F47" s="17">
        <f>IFERROR(__xludf.DUMMYFUNCTION("""COMPUTED_VALUE"""),726392)</f>
        <v>726392</v>
      </c>
      <c r="G47" s="16">
        <f>IFERROR(__xludf.DUMMYFUNCTION("""COMPUTED_VALUE"""),45810.6458333333)</f>
        <v>45810.6458333333</v>
      </c>
      <c r="H47" s="17">
        <f>IFERROR(__xludf.DUMMYFUNCTION("""COMPUTED_VALUE"""),3542)</f>
        <v>3542</v>
      </c>
      <c r="I47" s="16">
        <f>IFERROR(__xludf.DUMMYFUNCTION("""COMPUTED_VALUE"""),45810.6458333333)</f>
        <v>45810.6458333333</v>
      </c>
      <c r="J47" s="17">
        <f>IFERROR(__xludf.DUMMYFUNCTION("""COMPUTED_VALUE"""),3475.9)</f>
        <v>3475.9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IFERROR(__xludf.DUMMYFUNCTION("""COMPUTED_VALUE"""),3519.8)</f>
        <v>3519.8</v>
      </c>
      <c r="C48" s="16">
        <f>IFERROR(__xludf.DUMMYFUNCTION("""COMPUTED_VALUE"""),45811.6458333333)</f>
        <v>45811.6458333333</v>
      </c>
      <c r="D48" s="17">
        <f>IFERROR(__xludf.DUMMYFUNCTION("""COMPUTED_VALUE"""),3525.5)</f>
        <v>3525.5</v>
      </c>
      <c r="E48" s="16">
        <f>IFERROR(__xludf.DUMMYFUNCTION("""COMPUTED_VALUE"""),45811.6458333333)</f>
        <v>45811.6458333333</v>
      </c>
      <c r="F48" s="17">
        <f>IFERROR(__xludf.DUMMYFUNCTION("""COMPUTED_VALUE"""),676943)</f>
        <v>676943</v>
      </c>
      <c r="G48" s="16">
        <f>IFERROR(__xludf.DUMMYFUNCTION("""COMPUTED_VALUE"""),45811.6458333333)</f>
        <v>45811.6458333333</v>
      </c>
      <c r="H48" s="17">
        <f>IFERROR(__xludf.DUMMYFUNCTION("""COMPUTED_VALUE"""),3580)</f>
        <v>3580</v>
      </c>
      <c r="I48" s="16">
        <f>IFERROR(__xludf.DUMMYFUNCTION("""COMPUTED_VALUE"""),45811.6458333333)</f>
        <v>45811.6458333333</v>
      </c>
      <c r="J48" s="17">
        <f>IFERROR(__xludf.DUMMYFUNCTION("""COMPUTED_VALUE"""),3503.5)</f>
        <v>3503.5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IFERROR(__xludf.DUMMYFUNCTION("""COMPUTED_VALUE"""),3499.8)</f>
        <v>3499.8</v>
      </c>
      <c r="C49" s="16">
        <f>IFERROR(__xludf.DUMMYFUNCTION("""COMPUTED_VALUE"""),45812.6458333333)</f>
        <v>45812.6458333333</v>
      </c>
      <c r="D49" s="17">
        <f>IFERROR(__xludf.DUMMYFUNCTION("""COMPUTED_VALUE"""),3506.1)</f>
        <v>3506.1</v>
      </c>
      <c r="E49" s="16">
        <f>IFERROR(__xludf.DUMMYFUNCTION("""COMPUTED_VALUE"""),45812.6458333333)</f>
        <v>45812.6458333333</v>
      </c>
      <c r="F49" s="17">
        <f>IFERROR(__xludf.DUMMYFUNCTION("""COMPUTED_VALUE"""),410354)</f>
        <v>410354</v>
      </c>
      <c r="G49" s="16">
        <f>IFERROR(__xludf.DUMMYFUNCTION("""COMPUTED_VALUE"""),45812.6458333333)</f>
        <v>45812.6458333333</v>
      </c>
      <c r="H49" s="17">
        <f>IFERROR(__xludf.DUMMYFUNCTION("""COMPUTED_VALUE"""),3519.8)</f>
        <v>3519.8</v>
      </c>
      <c r="I49" s="16">
        <f>IFERROR(__xludf.DUMMYFUNCTION("""COMPUTED_VALUE"""),45812.6458333333)</f>
        <v>45812.6458333333</v>
      </c>
      <c r="J49" s="17">
        <f>IFERROR(__xludf.DUMMYFUNCTION("""COMPUTED_VALUE"""),3486)</f>
        <v>3486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IFERROR(__xludf.DUMMYFUNCTION("""COMPUTED_VALUE"""),3504)</f>
        <v>3504</v>
      </c>
      <c r="C50" s="16">
        <f>IFERROR(__xludf.DUMMYFUNCTION("""COMPUTED_VALUE"""),45813.6458333333)</f>
        <v>45813.6458333333</v>
      </c>
      <c r="D50" s="17">
        <f>IFERROR(__xludf.DUMMYFUNCTION("""COMPUTED_VALUE"""),3498.7)</f>
        <v>3498.7</v>
      </c>
      <c r="E50" s="16">
        <f>IFERROR(__xludf.DUMMYFUNCTION("""COMPUTED_VALUE"""),45813.6458333333)</f>
        <v>45813.6458333333</v>
      </c>
      <c r="F50" s="17">
        <f>IFERROR(__xludf.DUMMYFUNCTION("""COMPUTED_VALUE"""),608651)</f>
        <v>608651</v>
      </c>
      <c r="G50" s="16">
        <f>IFERROR(__xludf.DUMMYFUNCTION("""COMPUTED_VALUE"""),45813.6458333333)</f>
        <v>45813.6458333333</v>
      </c>
      <c r="H50" s="17">
        <f>IFERROR(__xludf.DUMMYFUNCTION("""COMPUTED_VALUE"""),3535)</f>
        <v>3535</v>
      </c>
      <c r="I50" s="16">
        <f>IFERROR(__xludf.DUMMYFUNCTION("""COMPUTED_VALUE"""),45813.6458333333)</f>
        <v>45813.6458333333</v>
      </c>
      <c r="J50" s="17">
        <f>IFERROR(__xludf.DUMMYFUNCTION("""COMPUTED_VALUE"""),3474.2)</f>
        <v>3474.2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IFERROR(__xludf.DUMMYFUNCTION("""COMPUTED_VALUE"""),3559.9)</f>
        <v>3559.9</v>
      </c>
      <c r="C51" s="16">
        <f>IFERROR(__xludf.DUMMYFUNCTION("""COMPUTED_VALUE"""),45814.6458333333)</f>
        <v>45814.6458333333</v>
      </c>
      <c r="D51" s="17">
        <f>IFERROR(__xludf.DUMMYFUNCTION("""COMPUTED_VALUE"""),3524)</f>
        <v>3524</v>
      </c>
      <c r="E51" s="16">
        <f>IFERROR(__xludf.DUMMYFUNCTION("""COMPUTED_VALUE"""),45814.6458333333)</f>
        <v>45814.6458333333</v>
      </c>
      <c r="F51" s="17">
        <f>IFERROR(__xludf.DUMMYFUNCTION("""COMPUTED_VALUE"""),602422)</f>
        <v>602422</v>
      </c>
      <c r="G51" s="16">
        <f>IFERROR(__xludf.DUMMYFUNCTION("""COMPUTED_VALUE"""),45814.6458333333)</f>
        <v>45814.6458333333</v>
      </c>
      <c r="H51" s="17">
        <f>IFERROR(__xludf.DUMMYFUNCTION("""COMPUTED_VALUE"""),3570.9)</f>
        <v>3570.9</v>
      </c>
      <c r="I51" s="16">
        <f>IFERROR(__xludf.DUMMYFUNCTION("""COMPUTED_VALUE"""),45814.6458333333)</f>
        <v>45814.6458333333</v>
      </c>
      <c r="J51" s="17">
        <f>IFERROR(__xludf.DUMMYFUNCTION("""COMPUTED_VALUE"""),3486.2)</f>
        <v>3486.2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IFERROR(__xludf.DUMMYFUNCTION("""COMPUTED_VALUE"""),3533.9)</f>
        <v>3533.9</v>
      </c>
      <c r="C52" s="16">
        <f>IFERROR(__xludf.DUMMYFUNCTION("""COMPUTED_VALUE"""),45817.6458333333)</f>
        <v>45817.6458333333</v>
      </c>
      <c r="D52" s="17">
        <f>IFERROR(__xludf.DUMMYFUNCTION("""COMPUTED_VALUE"""),3564.8)</f>
        <v>3564.8</v>
      </c>
      <c r="E52" s="16">
        <f>IFERROR(__xludf.DUMMYFUNCTION("""COMPUTED_VALUE"""),45817.6458333333)</f>
        <v>45817.6458333333</v>
      </c>
      <c r="F52" s="17">
        <f>IFERROR(__xludf.DUMMYFUNCTION("""COMPUTED_VALUE"""),540262)</f>
        <v>540262</v>
      </c>
      <c r="G52" s="16">
        <f>IFERROR(__xludf.DUMMYFUNCTION("""COMPUTED_VALUE"""),45817.6458333333)</f>
        <v>45817.6458333333</v>
      </c>
      <c r="H52" s="17">
        <f>IFERROR(__xludf.DUMMYFUNCTION("""COMPUTED_VALUE"""),3580)</f>
        <v>3580</v>
      </c>
      <c r="I52" s="16">
        <f>IFERROR(__xludf.DUMMYFUNCTION("""COMPUTED_VALUE"""),45817.6458333333)</f>
        <v>45817.6458333333</v>
      </c>
      <c r="J52" s="17">
        <f>IFERROR(__xludf.DUMMYFUNCTION("""COMPUTED_VALUE"""),3521.2)</f>
        <v>3521.2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IFERROR(__xludf.DUMMYFUNCTION("""COMPUTED_VALUE"""),3524.2)</f>
        <v>3524.2</v>
      </c>
      <c r="C53" s="16">
        <f>IFERROR(__xludf.DUMMYFUNCTION("""COMPUTED_VALUE"""),45818.6458333333)</f>
        <v>45818.6458333333</v>
      </c>
      <c r="D53" s="17">
        <f>IFERROR(__xludf.DUMMYFUNCTION("""COMPUTED_VALUE"""),3545)</f>
        <v>3545</v>
      </c>
      <c r="E53" s="16">
        <f>IFERROR(__xludf.DUMMYFUNCTION("""COMPUTED_VALUE"""),45818.6458333333)</f>
        <v>45818.6458333333</v>
      </c>
      <c r="F53" s="17">
        <f>IFERROR(__xludf.DUMMYFUNCTION("""COMPUTED_VALUE"""),561695)</f>
        <v>561695</v>
      </c>
      <c r="G53" s="16">
        <f>IFERROR(__xludf.DUMMYFUNCTION("""COMPUTED_VALUE"""),45818.6458333333)</f>
        <v>45818.6458333333</v>
      </c>
      <c r="H53" s="17">
        <f>IFERROR(__xludf.DUMMYFUNCTION("""COMPUTED_VALUE"""),3545)</f>
        <v>3545</v>
      </c>
      <c r="I53" s="16">
        <f>IFERROR(__xludf.DUMMYFUNCTION("""COMPUTED_VALUE"""),45818.6458333333)</f>
        <v>45818.6458333333</v>
      </c>
      <c r="J53" s="17">
        <f>IFERROR(__xludf.DUMMYFUNCTION("""COMPUTED_VALUE"""),3506.1)</f>
        <v>3506.1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IFERROR(__xludf.DUMMYFUNCTION("""COMPUTED_VALUE"""),3541.6)</f>
        <v>3541.6</v>
      </c>
      <c r="C54" s="16">
        <f>IFERROR(__xludf.DUMMYFUNCTION("""COMPUTED_VALUE"""),45819.6458333333)</f>
        <v>45819.6458333333</v>
      </c>
      <c r="D54" s="17">
        <f>IFERROR(__xludf.DUMMYFUNCTION("""COMPUTED_VALUE"""),3525)</f>
        <v>3525</v>
      </c>
      <c r="E54" s="16">
        <f>IFERROR(__xludf.DUMMYFUNCTION("""COMPUTED_VALUE"""),45819.6458333333)</f>
        <v>45819.6458333333</v>
      </c>
      <c r="F54" s="17">
        <f>IFERROR(__xludf.DUMMYFUNCTION("""COMPUTED_VALUE"""),505077)</f>
        <v>505077</v>
      </c>
      <c r="G54" s="16">
        <f>IFERROR(__xludf.DUMMYFUNCTION("""COMPUTED_VALUE"""),45819.6458333333)</f>
        <v>45819.6458333333</v>
      </c>
      <c r="H54" s="17">
        <f>IFERROR(__xludf.DUMMYFUNCTION("""COMPUTED_VALUE"""),3549)</f>
        <v>3549</v>
      </c>
      <c r="I54" s="16">
        <f>IFERROR(__xludf.DUMMYFUNCTION("""COMPUTED_VALUE"""),45819.6458333333)</f>
        <v>45819.6458333333</v>
      </c>
      <c r="J54" s="17">
        <f>IFERROR(__xludf.DUMMYFUNCTION("""COMPUTED_VALUE"""),3505)</f>
        <v>3505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IFERROR(__xludf.DUMMYFUNCTION("""COMPUTED_VALUE"""),3452.7)</f>
        <v>3452.7</v>
      </c>
      <c r="C55" s="16">
        <f>IFERROR(__xludf.DUMMYFUNCTION("""COMPUTED_VALUE"""),45820.6458333333)</f>
        <v>45820.6458333333</v>
      </c>
      <c r="D55" s="17">
        <f>IFERROR(__xludf.DUMMYFUNCTION("""COMPUTED_VALUE"""),3548)</f>
        <v>3548</v>
      </c>
      <c r="E55" s="16">
        <f>IFERROR(__xludf.DUMMYFUNCTION("""COMPUTED_VALUE"""),45820.6458333333)</f>
        <v>45820.6458333333</v>
      </c>
      <c r="F55" s="17">
        <f>IFERROR(__xludf.DUMMYFUNCTION("""COMPUTED_VALUE"""),811822)</f>
        <v>811822</v>
      </c>
      <c r="G55" s="16">
        <f>IFERROR(__xludf.DUMMYFUNCTION("""COMPUTED_VALUE"""),45820.6458333333)</f>
        <v>45820.6458333333</v>
      </c>
      <c r="H55" s="17">
        <f>IFERROR(__xludf.DUMMYFUNCTION("""COMPUTED_VALUE"""),3559.8)</f>
        <v>3559.8</v>
      </c>
      <c r="I55" s="16">
        <f>IFERROR(__xludf.DUMMYFUNCTION("""COMPUTED_VALUE"""),45820.6458333333)</f>
        <v>45820.6458333333</v>
      </c>
      <c r="J55" s="17">
        <f>IFERROR(__xludf.DUMMYFUNCTION("""COMPUTED_VALUE"""),3445.5)</f>
        <v>3445.5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IFERROR(__xludf.DUMMYFUNCTION("""COMPUTED_VALUE"""),3421.9)</f>
        <v>3421.9</v>
      </c>
      <c r="C56" s="16">
        <f>IFERROR(__xludf.DUMMYFUNCTION("""COMPUTED_VALUE"""),45821.6458333333)</f>
        <v>45821.6458333333</v>
      </c>
      <c r="D56" s="17">
        <f>IFERROR(__xludf.DUMMYFUNCTION("""COMPUTED_VALUE"""),3409.7)</f>
        <v>3409.7</v>
      </c>
      <c r="E56" s="16">
        <f>IFERROR(__xludf.DUMMYFUNCTION("""COMPUTED_VALUE"""),45821.6458333333)</f>
        <v>45821.6458333333</v>
      </c>
      <c r="F56" s="17">
        <f>IFERROR(__xludf.DUMMYFUNCTION("""COMPUTED_VALUE"""),821750)</f>
        <v>821750</v>
      </c>
      <c r="G56" s="16">
        <f>IFERROR(__xludf.DUMMYFUNCTION("""COMPUTED_VALUE"""),45821.6458333333)</f>
        <v>45821.6458333333</v>
      </c>
      <c r="H56" s="17">
        <f>IFERROR(__xludf.DUMMYFUNCTION("""COMPUTED_VALUE"""),3440.8)</f>
        <v>3440.8</v>
      </c>
      <c r="I56" s="16">
        <f>IFERROR(__xludf.DUMMYFUNCTION("""COMPUTED_VALUE"""),45821.6458333333)</f>
        <v>45821.6458333333</v>
      </c>
      <c r="J56" s="17">
        <f>IFERROR(__xludf.DUMMYFUNCTION("""COMPUTED_VALUE"""),3383)</f>
        <v>3383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IFERROR(__xludf.DUMMYFUNCTION("""COMPUTED_VALUE"""),3438.1)</f>
        <v>3438.1</v>
      </c>
      <c r="C57" s="16">
        <f>IFERROR(__xludf.DUMMYFUNCTION("""COMPUTED_VALUE"""),45824.6458333333)</f>
        <v>45824.6458333333</v>
      </c>
      <c r="D57" s="17">
        <f>IFERROR(__xludf.DUMMYFUNCTION("""COMPUTED_VALUE"""),3411)</f>
        <v>3411</v>
      </c>
      <c r="E57" s="16">
        <f>IFERROR(__xludf.DUMMYFUNCTION("""COMPUTED_VALUE"""),45824.6458333333)</f>
        <v>45824.6458333333</v>
      </c>
      <c r="F57" s="17">
        <f>IFERROR(__xludf.DUMMYFUNCTION("""COMPUTED_VALUE"""),534665)</f>
        <v>534665</v>
      </c>
      <c r="G57" s="16">
        <f>IFERROR(__xludf.DUMMYFUNCTION("""COMPUTED_VALUE"""),45824.6458333333)</f>
        <v>45824.6458333333</v>
      </c>
      <c r="H57" s="17">
        <f>IFERROR(__xludf.DUMMYFUNCTION("""COMPUTED_VALUE"""),3453.7)</f>
        <v>3453.7</v>
      </c>
      <c r="I57" s="16">
        <f>IFERROR(__xludf.DUMMYFUNCTION("""COMPUTED_VALUE"""),45824.6458333333)</f>
        <v>45824.6458333333</v>
      </c>
      <c r="J57" s="17">
        <f>IFERROR(__xludf.DUMMYFUNCTION("""COMPUTED_VALUE"""),3396.2)</f>
        <v>3396.2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IFERROR(__xludf.DUMMYFUNCTION("""COMPUTED_VALUE"""),3405.7)</f>
        <v>3405.7</v>
      </c>
      <c r="C58" s="16">
        <f>IFERROR(__xludf.DUMMYFUNCTION("""COMPUTED_VALUE"""),45825.6458333333)</f>
        <v>45825.6458333333</v>
      </c>
      <c r="D58" s="17">
        <f>IFERROR(__xludf.DUMMYFUNCTION("""COMPUTED_VALUE"""),3428)</f>
        <v>3428</v>
      </c>
      <c r="E58" s="16">
        <f>IFERROR(__xludf.DUMMYFUNCTION("""COMPUTED_VALUE"""),45825.6458333333)</f>
        <v>45825.6458333333</v>
      </c>
      <c r="F58" s="17">
        <f>IFERROR(__xludf.DUMMYFUNCTION("""COMPUTED_VALUE"""),1000345)</f>
        <v>1000345</v>
      </c>
      <c r="G58" s="16">
        <f>IFERROR(__xludf.DUMMYFUNCTION("""COMPUTED_VALUE"""),45825.6458333333)</f>
        <v>45825.6458333333</v>
      </c>
      <c r="H58" s="17">
        <f>IFERROR(__xludf.DUMMYFUNCTION("""COMPUTED_VALUE"""),3437.6)</f>
        <v>3437.6</v>
      </c>
      <c r="I58" s="16">
        <f>IFERROR(__xludf.DUMMYFUNCTION("""COMPUTED_VALUE"""),45825.6458333333)</f>
        <v>45825.6458333333</v>
      </c>
      <c r="J58" s="17">
        <f>IFERROR(__xludf.DUMMYFUNCTION("""COMPUTED_VALUE"""),3395.4)</f>
        <v>3395.4</v>
      </c>
      <c r="K58" s="3">
        <f t="shared" si="2"/>
        <v>0</v>
      </c>
      <c r="L58" s="3">
        <f t="shared" si="3"/>
        <v>3405.7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IFERROR(__xludf.DUMMYFUNCTION("""COMPUTED_VALUE"""),3467.8)</f>
        <v>3467.8</v>
      </c>
      <c r="C59" s="16">
        <f>IFERROR(__xludf.DUMMYFUNCTION("""COMPUTED_VALUE"""),45826.6458333333)</f>
        <v>45826.6458333333</v>
      </c>
      <c r="D59" s="17">
        <f>IFERROR(__xludf.DUMMYFUNCTION("""COMPUTED_VALUE"""),3406)</f>
        <v>3406</v>
      </c>
      <c r="E59" s="16">
        <f>IFERROR(__xludf.DUMMYFUNCTION("""COMPUTED_VALUE"""),45826.6458333333)</f>
        <v>45826.6458333333</v>
      </c>
      <c r="F59" s="17">
        <f>IFERROR(__xludf.DUMMYFUNCTION("""COMPUTED_VALUE"""),972739)</f>
        <v>972739</v>
      </c>
      <c r="G59" s="16">
        <f>IFERROR(__xludf.DUMMYFUNCTION("""COMPUTED_VALUE"""),45826.6458333333)</f>
        <v>45826.6458333333</v>
      </c>
      <c r="H59" s="17">
        <f>IFERROR(__xludf.DUMMYFUNCTION("""COMPUTED_VALUE"""),3480)</f>
        <v>3480</v>
      </c>
      <c r="I59" s="16">
        <f>IFERROR(__xludf.DUMMYFUNCTION("""COMPUTED_VALUE"""),45826.6458333333)</f>
        <v>45826.6458333333</v>
      </c>
      <c r="J59" s="17">
        <f>IFERROR(__xludf.DUMMYFUNCTION("""COMPUTED_VALUE"""),3390)</f>
        <v>3390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IFERROR(__xludf.DUMMYFUNCTION("""COMPUTED_VALUE"""),3505.4)</f>
        <v>3505.4</v>
      </c>
      <c r="C60" s="16">
        <f>IFERROR(__xludf.DUMMYFUNCTION("""COMPUTED_VALUE"""),45827.6458333333)</f>
        <v>45827.6458333333</v>
      </c>
      <c r="D60" s="17">
        <f>IFERROR(__xludf.DUMMYFUNCTION("""COMPUTED_VALUE"""),3478.8)</f>
        <v>3478.8</v>
      </c>
      <c r="E60" s="16">
        <f>IFERROR(__xludf.DUMMYFUNCTION("""COMPUTED_VALUE"""),45827.6458333333)</f>
        <v>45827.6458333333</v>
      </c>
      <c r="F60" s="17">
        <f>IFERROR(__xludf.DUMMYFUNCTION("""COMPUTED_VALUE"""),1022566)</f>
        <v>1022566</v>
      </c>
      <c r="G60" s="16">
        <f>IFERROR(__xludf.DUMMYFUNCTION("""COMPUTED_VALUE"""),45827.6458333333)</f>
        <v>45827.6458333333</v>
      </c>
      <c r="H60" s="17">
        <f>IFERROR(__xludf.DUMMYFUNCTION("""COMPUTED_VALUE"""),3521.6)</f>
        <v>3521.6</v>
      </c>
      <c r="I60" s="16">
        <f>IFERROR(__xludf.DUMMYFUNCTION("""COMPUTED_VALUE"""),45827.6458333333)</f>
        <v>45827.6458333333</v>
      </c>
      <c r="J60" s="17">
        <f>IFERROR(__xludf.DUMMYFUNCTION("""COMPUTED_VALUE"""),3467.8)</f>
        <v>3467.8</v>
      </c>
      <c r="K60" s="3">
        <f t="shared" si="2"/>
        <v>0</v>
      </c>
      <c r="L60" s="3">
        <f t="shared" si="3"/>
        <v>0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IFERROR(__xludf.DUMMYFUNCTION("""COMPUTED_VALUE"""),3519)</f>
        <v>3519</v>
      </c>
      <c r="C61" s="16">
        <f>IFERROR(__xludf.DUMMYFUNCTION("""COMPUTED_VALUE"""),45828.6458333333)</f>
        <v>45828.6458333333</v>
      </c>
      <c r="D61" s="17">
        <f>IFERROR(__xludf.DUMMYFUNCTION("""COMPUTED_VALUE"""),3500)</f>
        <v>3500</v>
      </c>
      <c r="E61" s="16">
        <f>IFERROR(__xludf.DUMMYFUNCTION("""COMPUTED_VALUE"""),45828.6458333333)</f>
        <v>45828.6458333333</v>
      </c>
      <c r="F61" s="17">
        <f>IFERROR(__xludf.DUMMYFUNCTION("""COMPUTED_VALUE"""),2941214)</f>
        <v>2941214</v>
      </c>
      <c r="G61" s="16">
        <f>IFERROR(__xludf.DUMMYFUNCTION("""COMPUTED_VALUE"""),45828.6458333333)</f>
        <v>45828.6458333333</v>
      </c>
      <c r="H61" s="17">
        <f>IFERROR(__xludf.DUMMYFUNCTION("""COMPUTED_VALUE"""),3545)</f>
        <v>3545</v>
      </c>
      <c r="I61" s="16">
        <f>IFERROR(__xludf.DUMMYFUNCTION("""COMPUTED_VALUE"""),45828.6458333333)</f>
        <v>45828.6458333333</v>
      </c>
      <c r="J61" s="17">
        <f>IFERROR(__xludf.DUMMYFUNCTION("""COMPUTED_VALUE"""),3489)</f>
        <v>3489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IFERROR(__xludf.DUMMYFUNCTION("""COMPUTED_VALUE"""),3505.7)</f>
        <v>3505.7</v>
      </c>
      <c r="C62" s="16">
        <f>IFERROR(__xludf.DUMMYFUNCTION("""COMPUTED_VALUE"""),45831.6458333333)</f>
        <v>45831.6458333333</v>
      </c>
      <c r="D62" s="17">
        <f>IFERROR(__xludf.DUMMYFUNCTION("""COMPUTED_VALUE"""),3480.2)</f>
        <v>3480.2</v>
      </c>
      <c r="E62" s="16">
        <f>IFERROR(__xludf.DUMMYFUNCTION("""COMPUTED_VALUE"""),45831.6458333333)</f>
        <v>45831.6458333333</v>
      </c>
      <c r="F62" s="17">
        <f>IFERROR(__xludf.DUMMYFUNCTION("""COMPUTED_VALUE"""),643325)</f>
        <v>643325</v>
      </c>
      <c r="G62" s="16">
        <f>IFERROR(__xludf.DUMMYFUNCTION("""COMPUTED_VALUE"""),45831.6458333333)</f>
        <v>45831.6458333333</v>
      </c>
      <c r="H62" s="17">
        <f>IFERROR(__xludf.DUMMYFUNCTION("""COMPUTED_VALUE"""),3528.5)</f>
        <v>3528.5</v>
      </c>
      <c r="I62" s="16">
        <f>IFERROR(__xludf.DUMMYFUNCTION("""COMPUTED_VALUE"""),45831.6458333333)</f>
        <v>45831.6458333333</v>
      </c>
      <c r="J62" s="17">
        <f>IFERROR(__xludf.DUMMYFUNCTION("""COMPUTED_VALUE"""),3473)</f>
        <v>3473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IFERROR(__xludf.DUMMYFUNCTION("""COMPUTED_VALUE"""),3526)</f>
        <v>3526</v>
      </c>
      <c r="C63" s="16">
        <f>IFERROR(__xludf.DUMMYFUNCTION("""COMPUTED_VALUE"""),45832.6458333333)</f>
        <v>45832.6458333333</v>
      </c>
      <c r="D63" s="17">
        <f>IFERROR(__xludf.DUMMYFUNCTION("""COMPUTED_VALUE"""),3523.1)</f>
        <v>3523.1</v>
      </c>
      <c r="E63" s="16">
        <f>IFERROR(__xludf.DUMMYFUNCTION("""COMPUTED_VALUE"""),45832.6458333333)</f>
        <v>45832.6458333333</v>
      </c>
      <c r="F63" s="17">
        <f>IFERROR(__xludf.DUMMYFUNCTION("""COMPUTED_VALUE"""),968797)</f>
        <v>968797</v>
      </c>
      <c r="G63" s="16">
        <f>IFERROR(__xludf.DUMMYFUNCTION("""COMPUTED_VALUE"""),45832.6458333333)</f>
        <v>45832.6458333333</v>
      </c>
      <c r="H63" s="17">
        <f>IFERROR(__xludf.DUMMYFUNCTION("""COMPUTED_VALUE"""),3567)</f>
        <v>3567</v>
      </c>
      <c r="I63" s="16">
        <f>IFERROR(__xludf.DUMMYFUNCTION("""COMPUTED_VALUE"""),45832.6458333333)</f>
        <v>45832.6458333333</v>
      </c>
      <c r="J63" s="17">
        <f>IFERROR(__xludf.DUMMYFUNCTION("""COMPUTED_VALUE"""),3506.1)</f>
        <v>3506.1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IFERROR(__xludf.DUMMYFUNCTION("""COMPUTED_VALUE"""),3652.2)</f>
        <v>3652.2</v>
      </c>
      <c r="C64" s="16">
        <f>IFERROR(__xludf.DUMMYFUNCTION("""COMPUTED_VALUE"""),45833.6458333333)</f>
        <v>45833.6458333333</v>
      </c>
      <c r="D64" s="17">
        <f>IFERROR(__xludf.DUMMYFUNCTION("""COMPUTED_VALUE"""),3550)</f>
        <v>3550</v>
      </c>
      <c r="E64" s="16">
        <f>IFERROR(__xludf.DUMMYFUNCTION("""COMPUTED_VALUE"""),45833.6458333333)</f>
        <v>45833.6458333333</v>
      </c>
      <c r="F64" s="17">
        <f>IFERROR(__xludf.DUMMYFUNCTION("""COMPUTED_VALUE"""),2697912)</f>
        <v>2697912</v>
      </c>
      <c r="G64" s="16">
        <f>IFERROR(__xludf.DUMMYFUNCTION("""COMPUTED_VALUE"""),45833.6458333333)</f>
        <v>45833.6458333333</v>
      </c>
      <c r="H64" s="17">
        <f>IFERROR(__xludf.DUMMYFUNCTION("""COMPUTED_VALUE"""),3665)</f>
        <v>3665</v>
      </c>
      <c r="I64" s="16">
        <f>IFERROR(__xludf.DUMMYFUNCTION("""COMPUTED_VALUE"""),45833.6458333333)</f>
        <v>45833.6458333333</v>
      </c>
      <c r="J64" s="17">
        <f>IFERROR(__xludf.DUMMYFUNCTION("""COMPUTED_VALUE"""),3550)</f>
        <v>3550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IFERROR(__xludf.DUMMYFUNCTION("""COMPUTED_VALUE"""),3694.7)</f>
        <v>3694.7</v>
      </c>
      <c r="C65" s="16">
        <f>IFERROR(__xludf.DUMMYFUNCTION("""COMPUTED_VALUE"""),45834.6458333333)</f>
        <v>45834.6458333333</v>
      </c>
      <c r="D65" s="17">
        <f>IFERROR(__xludf.DUMMYFUNCTION("""COMPUTED_VALUE"""),3655)</f>
        <v>3655</v>
      </c>
      <c r="E65" s="16">
        <f>IFERROR(__xludf.DUMMYFUNCTION("""COMPUTED_VALUE"""),45834.6458333333)</f>
        <v>45834.6458333333</v>
      </c>
      <c r="F65" s="17">
        <f>IFERROR(__xludf.DUMMYFUNCTION("""COMPUTED_VALUE"""),1620497)</f>
        <v>1620497</v>
      </c>
      <c r="G65" s="16">
        <f>IFERROR(__xludf.DUMMYFUNCTION("""COMPUTED_VALUE"""),45834.6458333333)</f>
        <v>45834.6458333333</v>
      </c>
      <c r="H65" s="17">
        <f>IFERROR(__xludf.DUMMYFUNCTION("""COMPUTED_VALUE"""),3700.5)</f>
        <v>3700.5</v>
      </c>
      <c r="I65" s="16">
        <f>IFERROR(__xludf.DUMMYFUNCTION("""COMPUTED_VALUE"""),45834.6458333333)</f>
        <v>45834.6458333333</v>
      </c>
      <c r="J65" s="17">
        <f>IFERROR(__xludf.DUMMYFUNCTION("""COMPUTED_VALUE"""),3644)</f>
        <v>3644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IFERROR(__xludf.DUMMYFUNCTION("""COMPUTED_VALUE"""),3666.2)</f>
        <v>3666.2</v>
      </c>
      <c r="C66" s="16">
        <f>IFERROR(__xludf.DUMMYFUNCTION("""COMPUTED_VALUE"""),45835.6458333333)</f>
        <v>45835.6458333333</v>
      </c>
      <c r="D66" s="17">
        <f>IFERROR(__xludf.DUMMYFUNCTION("""COMPUTED_VALUE"""),3700)</f>
        <v>3700</v>
      </c>
      <c r="E66" s="16">
        <f>IFERROR(__xludf.DUMMYFUNCTION("""COMPUTED_VALUE"""),45835.6458333333)</f>
        <v>45835.6458333333</v>
      </c>
      <c r="F66" s="17">
        <f>IFERROR(__xludf.DUMMYFUNCTION("""COMPUTED_VALUE"""),601285)</f>
        <v>601285</v>
      </c>
      <c r="G66" s="16">
        <f>IFERROR(__xludf.DUMMYFUNCTION("""COMPUTED_VALUE"""),45835.6458333333)</f>
        <v>45835.6458333333</v>
      </c>
      <c r="H66" s="17">
        <f>IFERROR(__xludf.DUMMYFUNCTION("""COMPUTED_VALUE"""),3709.1)</f>
        <v>3709.1</v>
      </c>
      <c r="I66" s="16">
        <f>IFERROR(__xludf.DUMMYFUNCTION("""COMPUTED_VALUE"""),45835.6458333333)</f>
        <v>45835.6458333333</v>
      </c>
      <c r="J66" s="17">
        <f>IFERROR(__xludf.DUMMYFUNCTION("""COMPUTED_VALUE"""),3659.5)</f>
        <v>3659.5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IFERROR(__xludf.DUMMYFUNCTION("""COMPUTED_VALUE"""),3690.2)</f>
        <v>3690.2</v>
      </c>
      <c r="C67" s="16">
        <f>IFERROR(__xludf.DUMMYFUNCTION("""COMPUTED_VALUE"""),45838.6458333333)</f>
        <v>45838.6458333333</v>
      </c>
      <c r="D67" s="17">
        <f>IFERROR(__xludf.DUMMYFUNCTION("""COMPUTED_VALUE"""),3666.2)</f>
        <v>3666.2</v>
      </c>
      <c r="E67" s="16">
        <f>IFERROR(__xludf.DUMMYFUNCTION("""COMPUTED_VALUE"""),45838.6458333333)</f>
        <v>45838.6458333333</v>
      </c>
      <c r="F67" s="17">
        <f>IFERROR(__xludf.DUMMYFUNCTION("""COMPUTED_VALUE"""),921775)</f>
        <v>921775</v>
      </c>
      <c r="G67" s="16">
        <f>IFERROR(__xludf.DUMMYFUNCTION("""COMPUTED_VALUE"""),45838.6458333333)</f>
        <v>45838.6458333333</v>
      </c>
      <c r="H67" s="17">
        <f>IFERROR(__xludf.DUMMYFUNCTION("""COMPUTED_VALUE"""),3698.5)</f>
        <v>3698.5</v>
      </c>
      <c r="I67" s="16">
        <f>IFERROR(__xludf.DUMMYFUNCTION("""COMPUTED_VALUE"""),45838.6458333333)</f>
        <v>45838.6458333333</v>
      </c>
      <c r="J67" s="17">
        <f>IFERROR(__xludf.DUMMYFUNCTION("""COMPUTED_VALUE"""),3652)</f>
        <v>3652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IFERROR(__xludf.DUMMYFUNCTION("""COMPUTED_VALUE"""),3700.5)</f>
        <v>3700.5</v>
      </c>
      <c r="C68" s="16">
        <f>IFERROR(__xludf.DUMMYFUNCTION("""COMPUTED_VALUE"""),45839.6458333333)</f>
        <v>45839.6458333333</v>
      </c>
      <c r="D68" s="17">
        <f>IFERROR(__xludf.DUMMYFUNCTION("""COMPUTED_VALUE"""),3699)</f>
        <v>3699</v>
      </c>
      <c r="E68" s="16">
        <f>IFERROR(__xludf.DUMMYFUNCTION("""COMPUTED_VALUE"""),45839.6458333333)</f>
        <v>45839.6458333333</v>
      </c>
      <c r="F68" s="17">
        <f>IFERROR(__xludf.DUMMYFUNCTION("""COMPUTED_VALUE"""),947173)</f>
        <v>947173</v>
      </c>
      <c r="G68" s="16">
        <f>IFERROR(__xludf.DUMMYFUNCTION("""COMPUTED_VALUE"""),45839.6458333333)</f>
        <v>45839.6458333333</v>
      </c>
      <c r="H68" s="17">
        <f>IFERROR(__xludf.DUMMYFUNCTION("""COMPUTED_VALUE"""),3726.5)</f>
        <v>3726.5</v>
      </c>
      <c r="I68" s="16">
        <f>IFERROR(__xludf.DUMMYFUNCTION("""COMPUTED_VALUE"""),45839.6458333333)</f>
        <v>45839.6458333333</v>
      </c>
      <c r="J68" s="17">
        <f>IFERROR(__xludf.DUMMYFUNCTION("""COMPUTED_VALUE"""),3667)</f>
        <v>3667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IFERROR(__xludf.DUMMYFUNCTION("""COMPUTED_VALUE"""),3708)</f>
        <v>3708</v>
      </c>
      <c r="C69" s="16">
        <f>IFERROR(__xludf.DUMMYFUNCTION("""COMPUTED_VALUE"""),45840.6458333333)</f>
        <v>45840.6458333333</v>
      </c>
      <c r="D69" s="17">
        <f>IFERROR(__xludf.DUMMYFUNCTION("""COMPUTED_VALUE"""),3705)</f>
        <v>3705</v>
      </c>
      <c r="E69" s="16">
        <f>IFERROR(__xludf.DUMMYFUNCTION("""COMPUTED_VALUE"""),45840.6458333333)</f>
        <v>45840.6458333333</v>
      </c>
      <c r="F69" s="17">
        <f>IFERROR(__xludf.DUMMYFUNCTION("""COMPUTED_VALUE"""),583514)</f>
        <v>583514</v>
      </c>
      <c r="G69" s="16">
        <f>IFERROR(__xludf.DUMMYFUNCTION("""COMPUTED_VALUE"""),45840.6458333333)</f>
        <v>45840.6458333333</v>
      </c>
      <c r="H69" s="17">
        <f>IFERROR(__xludf.DUMMYFUNCTION("""COMPUTED_VALUE"""),3721.9)</f>
        <v>3721.9</v>
      </c>
      <c r="I69" s="16">
        <f>IFERROR(__xludf.DUMMYFUNCTION("""COMPUTED_VALUE"""),45840.6458333333)</f>
        <v>45840.6458333333</v>
      </c>
      <c r="J69" s="17">
        <f>IFERROR(__xludf.DUMMYFUNCTION("""COMPUTED_VALUE"""),3689)</f>
        <v>3689</v>
      </c>
      <c r="K69" s="3">
        <f t="shared" si="2"/>
        <v>3708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IFERROR(__xludf.DUMMYFUNCTION("""COMPUTED_VALUE"""),3678.7)</f>
        <v>3678.7</v>
      </c>
      <c r="C70" s="16">
        <f>IFERROR(__xludf.DUMMYFUNCTION("""COMPUTED_VALUE"""),45841.6458333333)</f>
        <v>45841.6458333333</v>
      </c>
      <c r="D70" s="17">
        <f>IFERROR(__xludf.DUMMYFUNCTION("""COMPUTED_VALUE"""),3702)</f>
        <v>3702</v>
      </c>
      <c r="E70" s="16">
        <f>IFERROR(__xludf.DUMMYFUNCTION("""COMPUTED_VALUE"""),45841.6458333333)</f>
        <v>45841.6458333333</v>
      </c>
      <c r="F70" s="17">
        <f>IFERROR(__xludf.DUMMYFUNCTION("""COMPUTED_VALUE"""),528710)</f>
        <v>528710</v>
      </c>
      <c r="G70" s="16">
        <f>IFERROR(__xludf.DUMMYFUNCTION("""COMPUTED_VALUE"""),45841.6458333333)</f>
        <v>45841.6458333333</v>
      </c>
      <c r="H70" s="17">
        <f>IFERROR(__xludf.DUMMYFUNCTION("""COMPUTED_VALUE"""),3712.9)</f>
        <v>3712.9</v>
      </c>
      <c r="I70" s="16">
        <f>IFERROR(__xludf.DUMMYFUNCTION("""COMPUTED_VALUE"""),45841.6458333333)</f>
        <v>45841.6458333333</v>
      </c>
      <c r="J70" s="17">
        <f>IFERROR(__xludf.DUMMYFUNCTION("""COMPUTED_VALUE"""),3672.2)</f>
        <v>3672.2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IFERROR(__xludf.DUMMYFUNCTION("""COMPUTED_VALUE"""),3686.9)</f>
        <v>3686.9</v>
      </c>
      <c r="C71" s="16">
        <f>IFERROR(__xludf.DUMMYFUNCTION("""COMPUTED_VALUE"""),45842.6458333333)</f>
        <v>45842.6458333333</v>
      </c>
      <c r="D71" s="17">
        <f>IFERROR(__xludf.DUMMYFUNCTION("""COMPUTED_VALUE"""),3666)</f>
        <v>3666</v>
      </c>
      <c r="E71" s="16">
        <f>IFERROR(__xludf.DUMMYFUNCTION("""COMPUTED_VALUE"""),45842.6458333333)</f>
        <v>45842.6458333333</v>
      </c>
      <c r="F71" s="17">
        <f>IFERROR(__xludf.DUMMYFUNCTION("""COMPUTED_VALUE"""),629926)</f>
        <v>629926</v>
      </c>
      <c r="G71" s="16">
        <f>IFERROR(__xludf.DUMMYFUNCTION("""COMPUTED_VALUE"""),45842.6458333333)</f>
        <v>45842.6458333333</v>
      </c>
      <c r="H71" s="17">
        <f>IFERROR(__xludf.DUMMYFUNCTION("""COMPUTED_VALUE"""),3690.1)</f>
        <v>3690.1</v>
      </c>
      <c r="I71" s="16">
        <f>IFERROR(__xludf.DUMMYFUNCTION("""COMPUTED_VALUE"""),45842.6458333333)</f>
        <v>45842.6458333333</v>
      </c>
      <c r="J71" s="17">
        <f>IFERROR(__xludf.DUMMYFUNCTION("""COMPUTED_VALUE"""),3645.1)</f>
        <v>3645.1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IFERROR(__xludf.DUMMYFUNCTION("""COMPUTED_VALUE"""),3666.1)</f>
        <v>3666.1</v>
      </c>
      <c r="C72" s="16">
        <f>IFERROR(__xludf.DUMMYFUNCTION("""COMPUTED_VALUE"""),45845.6458333333)</f>
        <v>45845.6458333333</v>
      </c>
      <c r="D72" s="17">
        <f>IFERROR(__xludf.DUMMYFUNCTION("""COMPUTED_VALUE"""),3675.5)</f>
        <v>3675.5</v>
      </c>
      <c r="E72" s="16">
        <f>IFERROR(__xludf.DUMMYFUNCTION("""COMPUTED_VALUE"""),45845.6458333333)</f>
        <v>45845.6458333333</v>
      </c>
      <c r="F72" s="17">
        <f>IFERROR(__xludf.DUMMYFUNCTION("""COMPUTED_VALUE"""),829472)</f>
        <v>829472</v>
      </c>
      <c r="G72" s="16">
        <f>IFERROR(__xludf.DUMMYFUNCTION("""COMPUTED_VALUE"""),45845.6458333333)</f>
        <v>45845.6458333333</v>
      </c>
      <c r="H72" s="17">
        <f>IFERROR(__xludf.DUMMYFUNCTION("""COMPUTED_VALUE"""),3696)</f>
        <v>3696</v>
      </c>
      <c r="I72" s="16">
        <f>IFERROR(__xludf.DUMMYFUNCTION("""COMPUTED_VALUE"""),45845.6458333333)</f>
        <v>45845.6458333333</v>
      </c>
      <c r="J72" s="17">
        <f>IFERROR(__xludf.DUMMYFUNCTION("""COMPUTED_VALUE"""),3647.9)</f>
        <v>3647.9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IFERROR(__xludf.DUMMYFUNCTION("""COMPUTED_VALUE"""),3441.3)</f>
        <v>3441.3</v>
      </c>
      <c r="C73" s="16">
        <f>IFERROR(__xludf.DUMMYFUNCTION("""COMPUTED_VALUE"""),45846.6458333333)</f>
        <v>45846.6458333333</v>
      </c>
      <c r="D73" s="17">
        <f>IFERROR(__xludf.DUMMYFUNCTION("""COMPUTED_VALUE"""),3581.8)</f>
        <v>3581.8</v>
      </c>
      <c r="E73" s="16">
        <f>IFERROR(__xludf.DUMMYFUNCTION("""COMPUTED_VALUE"""),45846.6458333333)</f>
        <v>45846.6458333333</v>
      </c>
      <c r="F73" s="17">
        <f>IFERROR(__xludf.DUMMYFUNCTION("""COMPUTED_VALUE"""),3952270)</f>
        <v>3952270</v>
      </c>
      <c r="G73" s="16">
        <f>IFERROR(__xludf.DUMMYFUNCTION("""COMPUTED_VALUE"""),45846.6458333333)</f>
        <v>45846.6458333333</v>
      </c>
      <c r="H73" s="17">
        <f>IFERROR(__xludf.DUMMYFUNCTION("""COMPUTED_VALUE"""),3581.8)</f>
        <v>3581.8</v>
      </c>
      <c r="I73" s="16">
        <f>IFERROR(__xludf.DUMMYFUNCTION("""COMPUTED_VALUE"""),45846.6458333333)</f>
        <v>45846.6458333333</v>
      </c>
      <c r="J73" s="17">
        <f>IFERROR(__xludf.DUMMYFUNCTION("""COMPUTED_VALUE"""),3435)</f>
        <v>3435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IFERROR(__xludf.DUMMYFUNCTION("""COMPUTED_VALUE"""),3432.1)</f>
        <v>3432.1</v>
      </c>
      <c r="C74" s="16">
        <f>IFERROR(__xludf.DUMMYFUNCTION("""COMPUTED_VALUE"""),45847.6458333333)</f>
        <v>45847.6458333333</v>
      </c>
      <c r="D74" s="17">
        <f>IFERROR(__xludf.DUMMYFUNCTION("""COMPUTED_VALUE"""),3441.3)</f>
        <v>3441.3</v>
      </c>
      <c r="E74" s="16">
        <f>IFERROR(__xludf.DUMMYFUNCTION("""COMPUTED_VALUE"""),45847.6458333333)</f>
        <v>45847.6458333333</v>
      </c>
      <c r="F74" s="17">
        <f>IFERROR(__xludf.DUMMYFUNCTION("""COMPUTED_VALUE"""),1868271)</f>
        <v>1868271</v>
      </c>
      <c r="G74" s="16">
        <f>IFERROR(__xludf.DUMMYFUNCTION("""COMPUTED_VALUE"""),45847.6458333333)</f>
        <v>45847.6458333333</v>
      </c>
      <c r="H74" s="17">
        <f>IFERROR(__xludf.DUMMYFUNCTION("""COMPUTED_VALUE"""),3461.5)</f>
        <v>3461.5</v>
      </c>
      <c r="I74" s="16">
        <f>IFERROR(__xludf.DUMMYFUNCTION("""COMPUTED_VALUE"""),45847.6458333333)</f>
        <v>45847.6458333333</v>
      </c>
      <c r="J74" s="17">
        <f>IFERROR(__xludf.DUMMYFUNCTION("""COMPUTED_VALUE"""),3420.6)</f>
        <v>3420.6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IFERROR(__xludf.DUMMYFUNCTION("""COMPUTED_VALUE"""),3419.8)</f>
        <v>3419.8</v>
      </c>
      <c r="C75" s="16">
        <f>IFERROR(__xludf.DUMMYFUNCTION("""COMPUTED_VALUE"""),45848.6458333333)</f>
        <v>45848.6458333333</v>
      </c>
      <c r="D75" s="17">
        <f>IFERROR(__xludf.DUMMYFUNCTION("""COMPUTED_VALUE"""),3432.1)</f>
        <v>3432.1</v>
      </c>
      <c r="E75" s="16">
        <f>IFERROR(__xludf.DUMMYFUNCTION("""COMPUTED_VALUE"""),45848.6458333333)</f>
        <v>45848.6458333333</v>
      </c>
      <c r="F75" s="17">
        <f>IFERROR(__xludf.DUMMYFUNCTION("""COMPUTED_VALUE"""),496586)</f>
        <v>496586</v>
      </c>
      <c r="G75" s="16">
        <f>IFERROR(__xludf.DUMMYFUNCTION("""COMPUTED_VALUE"""),45848.6458333333)</f>
        <v>45848.6458333333</v>
      </c>
      <c r="H75" s="17">
        <f>IFERROR(__xludf.DUMMYFUNCTION("""COMPUTED_VALUE"""),3445)</f>
        <v>3445</v>
      </c>
      <c r="I75" s="16">
        <f>IFERROR(__xludf.DUMMYFUNCTION("""COMPUTED_VALUE"""),45848.6458333333)</f>
        <v>45848.6458333333</v>
      </c>
      <c r="J75" s="17">
        <f>IFERROR(__xludf.DUMMYFUNCTION("""COMPUTED_VALUE"""),3414)</f>
        <v>3414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IFERROR(__xludf.DUMMYFUNCTION("""COMPUTED_VALUE"""),3361.6)</f>
        <v>3361.6</v>
      </c>
      <c r="C76" s="16">
        <f>IFERROR(__xludf.DUMMYFUNCTION("""COMPUTED_VALUE"""),45849.6458333333)</f>
        <v>45849.6458333333</v>
      </c>
      <c r="D76" s="17">
        <f>IFERROR(__xludf.DUMMYFUNCTION("""COMPUTED_VALUE"""),3408)</f>
        <v>3408</v>
      </c>
      <c r="E76" s="16">
        <f>IFERROR(__xludf.DUMMYFUNCTION("""COMPUTED_VALUE"""),45849.6458333333)</f>
        <v>45849.6458333333</v>
      </c>
      <c r="F76" s="17">
        <f>IFERROR(__xludf.DUMMYFUNCTION("""COMPUTED_VALUE"""),856956)</f>
        <v>856956</v>
      </c>
      <c r="G76" s="16">
        <f>IFERROR(__xludf.DUMMYFUNCTION("""COMPUTED_VALUE"""),45849.6458333333)</f>
        <v>45849.6458333333</v>
      </c>
      <c r="H76" s="17">
        <f>IFERROR(__xludf.DUMMYFUNCTION("""COMPUTED_VALUE"""),3422.2)</f>
        <v>3422.2</v>
      </c>
      <c r="I76" s="16">
        <f>IFERROR(__xludf.DUMMYFUNCTION("""COMPUTED_VALUE"""),45849.6458333333)</f>
        <v>45849.6458333333</v>
      </c>
      <c r="J76" s="17">
        <f>IFERROR(__xludf.DUMMYFUNCTION("""COMPUTED_VALUE"""),3357)</f>
        <v>3357</v>
      </c>
      <c r="K76" s="3">
        <f t="shared" si="2"/>
        <v>0</v>
      </c>
      <c r="L76" s="3">
        <f t="shared" si="3"/>
        <v>3361.6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IFERROR(__xludf.DUMMYFUNCTION("""COMPUTED_VALUE"""),3404.7)</f>
        <v>3404.7</v>
      </c>
      <c r="C77" s="16">
        <f>IFERROR(__xludf.DUMMYFUNCTION("""COMPUTED_VALUE"""),45852.6458333333)</f>
        <v>45852.6458333333</v>
      </c>
      <c r="D77" s="17">
        <f>IFERROR(__xludf.DUMMYFUNCTION("""COMPUTED_VALUE"""),3372)</f>
        <v>3372</v>
      </c>
      <c r="E77" s="16">
        <f>IFERROR(__xludf.DUMMYFUNCTION("""COMPUTED_VALUE"""),45852.6458333333)</f>
        <v>45852.6458333333</v>
      </c>
      <c r="F77" s="17">
        <f>IFERROR(__xludf.DUMMYFUNCTION("""COMPUTED_VALUE"""),755781)</f>
        <v>755781</v>
      </c>
      <c r="G77" s="16">
        <f>IFERROR(__xludf.DUMMYFUNCTION("""COMPUTED_VALUE"""),45852.6458333333)</f>
        <v>45852.6458333333</v>
      </c>
      <c r="H77" s="17">
        <f>IFERROR(__xludf.DUMMYFUNCTION("""COMPUTED_VALUE"""),3410)</f>
        <v>3410</v>
      </c>
      <c r="I77" s="16">
        <f>IFERROR(__xludf.DUMMYFUNCTION("""COMPUTED_VALUE"""),45852.6458333333)</f>
        <v>45852.6458333333</v>
      </c>
      <c r="J77" s="17">
        <f>IFERROR(__xludf.DUMMYFUNCTION("""COMPUTED_VALUE"""),3344)</f>
        <v>3344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IFERROR(__xludf.DUMMYFUNCTION("""COMPUTED_VALUE"""),3415)</f>
        <v>3415</v>
      </c>
      <c r="C78" s="16">
        <f>IFERROR(__xludf.DUMMYFUNCTION("""COMPUTED_VALUE"""),45853.6458333333)</f>
        <v>45853.6458333333</v>
      </c>
      <c r="D78" s="17">
        <f>IFERROR(__xludf.DUMMYFUNCTION("""COMPUTED_VALUE"""),3418)</f>
        <v>3418</v>
      </c>
      <c r="E78" s="16">
        <f>IFERROR(__xludf.DUMMYFUNCTION("""COMPUTED_VALUE"""),45853.6458333333)</f>
        <v>45853.6458333333</v>
      </c>
      <c r="F78" s="17">
        <f>IFERROR(__xludf.DUMMYFUNCTION("""COMPUTED_VALUE"""),686088)</f>
        <v>686088</v>
      </c>
      <c r="G78" s="16">
        <f>IFERROR(__xludf.DUMMYFUNCTION("""COMPUTED_VALUE"""),45853.6458333333)</f>
        <v>45853.6458333333</v>
      </c>
      <c r="H78" s="17">
        <f>IFERROR(__xludf.DUMMYFUNCTION("""COMPUTED_VALUE"""),3422)</f>
        <v>3422</v>
      </c>
      <c r="I78" s="16">
        <f>IFERROR(__xludf.DUMMYFUNCTION("""COMPUTED_VALUE"""),45853.6458333333)</f>
        <v>45853.6458333333</v>
      </c>
      <c r="J78" s="17">
        <f>IFERROR(__xludf.DUMMYFUNCTION("""COMPUTED_VALUE"""),3387.7)</f>
        <v>3387.7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IFERROR(__xludf.DUMMYFUNCTION("""COMPUTED_VALUE"""),3417.3)</f>
        <v>3417.3</v>
      </c>
      <c r="C79" s="16">
        <f>IFERROR(__xludf.DUMMYFUNCTION("""COMPUTED_VALUE"""),45854.6458333333)</f>
        <v>45854.6458333333</v>
      </c>
      <c r="D79" s="17">
        <f>IFERROR(__xludf.DUMMYFUNCTION("""COMPUTED_VALUE"""),3417)</f>
        <v>3417</v>
      </c>
      <c r="E79" s="16">
        <f>IFERROR(__xludf.DUMMYFUNCTION("""COMPUTED_VALUE"""),45854.6458333333)</f>
        <v>45854.6458333333</v>
      </c>
      <c r="F79" s="17">
        <f>IFERROR(__xludf.DUMMYFUNCTION("""COMPUTED_VALUE"""),669532)</f>
        <v>669532</v>
      </c>
      <c r="G79" s="16">
        <f>IFERROR(__xludf.DUMMYFUNCTION("""COMPUTED_VALUE"""),45854.6458333333)</f>
        <v>45854.6458333333</v>
      </c>
      <c r="H79" s="17">
        <f>IFERROR(__xludf.DUMMYFUNCTION("""COMPUTED_VALUE"""),3422.2)</f>
        <v>3422.2</v>
      </c>
      <c r="I79" s="16">
        <f>IFERROR(__xludf.DUMMYFUNCTION("""COMPUTED_VALUE"""),45854.6458333333)</f>
        <v>45854.6458333333</v>
      </c>
      <c r="J79" s="17">
        <f>IFERROR(__xludf.DUMMYFUNCTION("""COMPUTED_VALUE"""),3388.5)</f>
        <v>3388.5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IFERROR(__xludf.DUMMYFUNCTION("""COMPUTED_VALUE"""),3433.3)</f>
        <v>3433.3</v>
      </c>
      <c r="C80" s="16">
        <f>IFERROR(__xludf.DUMMYFUNCTION("""COMPUTED_VALUE"""),45855.6458333333)</f>
        <v>45855.6458333333</v>
      </c>
      <c r="D80" s="17">
        <f>IFERROR(__xludf.DUMMYFUNCTION("""COMPUTED_VALUE"""),3418.4)</f>
        <v>3418.4</v>
      </c>
      <c r="E80" s="16">
        <f>IFERROR(__xludf.DUMMYFUNCTION("""COMPUTED_VALUE"""),45855.6458333333)</f>
        <v>45855.6458333333</v>
      </c>
      <c r="F80" s="17">
        <f>IFERROR(__xludf.DUMMYFUNCTION("""COMPUTED_VALUE"""),559482)</f>
        <v>559482</v>
      </c>
      <c r="G80" s="16">
        <f>IFERROR(__xludf.DUMMYFUNCTION("""COMPUTED_VALUE"""),45855.6458333333)</f>
        <v>45855.6458333333</v>
      </c>
      <c r="H80" s="17">
        <f>IFERROR(__xludf.DUMMYFUNCTION("""COMPUTED_VALUE"""),3448)</f>
        <v>3448</v>
      </c>
      <c r="I80" s="16">
        <f>IFERROR(__xludf.DUMMYFUNCTION("""COMPUTED_VALUE"""),45855.6458333333)</f>
        <v>45855.6458333333</v>
      </c>
      <c r="J80" s="17">
        <f>IFERROR(__xludf.DUMMYFUNCTION("""COMPUTED_VALUE"""),3416.5)</f>
        <v>3416.5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IFERROR(__xludf.DUMMYFUNCTION("""COMPUTED_VALUE"""),3402.9)</f>
        <v>3402.9</v>
      </c>
      <c r="C81" s="16">
        <f>IFERROR(__xludf.DUMMYFUNCTION("""COMPUTED_VALUE"""),45856.6458333333)</f>
        <v>45856.6458333333</v>
      </c>
      <c r="D81" s="17">
        <f>IFERROR(__xludf.DUMMYFUNCTION("""COMPUTED_VALUE"""),3444)</f>
        <v>3444</v>
      </c>
      <c r="E81" s="16">
        <f>IFERROR(__xludf.DUMMYFUNCTION("""COMPUTED_VALUE"""),45856.6458333333)</f>
        <v>45856.6458333333</v>
      </c>
      <c r="F81" s="17">
        <f>IFERROR(__xludf.DUMMYFUNCTION("""COMPUTED_VALUE"""),293360)</f>
        <v>293360</v>
      </c>
      <c r="G81" s="16">
        <f>IFERROR(__xludf.DUMMYFUNCTION("""COMPUTED_VALUE"""),45856.6458333333)</f>
        <v>45856.6458333333</v>
      </c>
      <c r="H81" s="17">
        <f>IFERROR(__xludf.DUMMYFUNCTION("""COMPUTED_VALUE"""),3444)</f>
        <v>3444</v>
      </c>
      <c r="I81" s="16">
        <f>IFERROR(__xludf.DUMMYFUNCTION("""COMPUTED_VALUE"""),45856.6458333333)</f>
        <v>45856.6458333333</v>
      </c>
      <c r="J81" s="17">
        <f>IFERROR(__xludf.DUMMYFUNCTION("""COMPUTED_VALUE"""),3392)</f>
        <v>3392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IFERROR(__xludf.DUMMYFUNCTION("""COMPUTED_VALUE"""),3433)</f>
        <v>3433</v>
      </c>
      <c r="C82" s="16">
        <f>IFERROR(__xludf.DUMMYFUNCTION("""COMPUTED_VALUE"""),45859.6458333333)</f>
        <v>45859.6458333333</v>
      </c>
      <c r="D82" s="17">
        <f>IFERROR(__xludf.DUMMYFUNCTION("""COMPUTED_VALUE"""),3391)</f>
        <v>3391</v>
      </c>
      <c r="E82" s="16">
        <f>IFERROR(__xludf.DUMMYFUNCTION("""COMPUTED_VALUE"""),45859.6458333333)</f>
        <v>45859.6458333333</v>
      </c>
      <c r="F82" s="17">
        <f>IFERROR(__xludf.DUMMYFUNCTION("""COMPUTED_VALUE"""),561799)</f>
        <v>561799</v>
      </c>
      <c r="G82" s="16">
        <f>IFERROR(__xludf.DUMMYFUNCTION("""COMPUTED_VALUE"""),45859.6458333333)</f>
        <v>45859.6458333333</v>
      </c>
      <c r="H82" s="17">
        <f>IFERROR(__xludf.DUMMYFUNCTION("""COMPUTED_VALUE"""),3439.1)</f>
        <v>3439.1</v>
      </c>
      <c r="I82" s="16">
        <f>IFERROR(__xludf.DUMMYFUNCTION("""COMPUTED_VALUE"""),45859.6458333333)</f>
        <v>45859.6458333333</v>
      </c>
      <c r="J82" s="17">
        <f>IFERROR(__xludf.DUMMYFUNCTION("""COMPUTED_VALUE"""),3365.2)</f>
        <v>3365.2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IFERROR(__xludf.DUMMYFUNCTION("""COMPUTED_VALUE"""),3472.4)</f>
        <v>3472.4</v>
      </c>
      <c r="C83" s="16">
        <f>IFERROR(__xludf.DUMMYFUNCTION("""COMPUTED_VALUE"""),45860.6458333333)</f>
        <v>45860.6458333333</v>
      </c>
      <c r="D83" s="17">
        <f>IFERROR(__xludf.DUMMYFUNCTION("""COMPUTED_VALUE"""),3450)</f>
        <v>3450</v>
      </c>
      <c r="E83" s="16">
        <f>IFERROR(__xludf.DUMMYFUNCTION("""COMPUTED_VALUE"""),45860.6458333333)</f>
        <v>45860.6458333333</v>
      </c>
      <c r="F83" s="17">
        <f>IFERROR(__xludf.DUMMYFUNCTION("""COMPUTED_VALUE"""),1752275)</f>
        <v>1752275</v>
      </c>
      <c r="G83" s="16">
        <f>IFERROR(__xludf.DUMMYFUNCTION("""COMPUTED_VALUE"""),45860.6458333333)</f>
        <v>45860.6458333333</v>
      </c>
      <c r="H83" s="17">
        <f>IFERROR(__xludf.DUMMYFUNCTION("""COMPUTED_VALUE"""),3490)</f>
        <v>3490</v>
      </c>
      <c r="I83" s="16">
        <f>IFERROR(__xludf.DUMMYFUNCTION("""COMPUTED_VALUE"""),45860.6458333333)</f>
        <v>45860.6458333333</v>
      </c>
      <c r="J83" s="17">
        <f>IFERROR(__xludf.DUMMYFUNCTION("""COMPUTED_VALUE"""),3430.3)</f>
        <v>3430.3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IFERROR(__xludf.DUMMYFUNCTION("""COMPUTED_VALUE"""),3471.4)</f>
        <v>3471.4</v>
      </c>
      <c r="C84" s="16">
        <f>IFERROR(__xludf.DUMMYFUNCTION("""COMPUTED_VALUE"""),45861.6458333333)</f>
        <v>45861.6458333333</v>
      </c>
      <c r="D84" s="17">
        <f>IFERROR(__xludf.DUMMYFUNCTION("""COMPUTED_VALUE"""),3472.4)</f>
        <v>3472.4</v>
      </c>
      <c r="E84" s="16">
        <f>IFERROR(__xludf.DUMMYFUNCTION("""COMPUTED_VALUE"""),45861.6458333333)</f>
        <v>45861.6458333333</v>
      </c>
      <c r="F84" s="17">
        <f>IFERROR(__xludf.DUMMYFUNCTION("""COMPUTED_VALUE"""),584590)</f>
        <v>584590</v>
      </c>
      <c r="G84" s="16">
        <f>IFERROR(__xludf.DUMMYFUNCTION("""COMPUTED_VALUE"""),45861.6458333333)</f>
        <v>45861.6458333333</v>
      </c>
      <c r="H84" s="17">
        <f>IFERROR(__xludf.DUMMYFUNCTION("""COMPUTED_VALUE"""),3481.9)</f>
        <v>3481.9</v>
      </c>
      <c r="I84" s="16">
        <f>IFERROR(__xludf.DUMMYFUNCTION("""COMPUTED_VALUE"""),45861.6458333333)</f>
        <v>45861.6458333333</v>
      </c>
      <c r="J84" s="17">
        <f>IFERROR(__xludf.DUMMYFUNCTION("""COMPUTED_VALUE"""),3444)</f>
        <v>3444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IFERROR(__xludf.DUMMYFUNCTION("""COMPUTED_VALUE"""),3484.4)</f>
        <v>3484.4</v>
      </c>
      <c r="C85" s="16">
        <f>IFERROR(__xludf.DUMMYFUNCTION("""COMPUTED_VALUE"""),45862.6458333333)</f>
        <v>45862.6458333333</v>
      </c>
      <c r="D85" s="17">
        <f>IFERROR(__xludf.DUMMYFUNCTION("""COMPUTED_VALUE"""),3467.4)</f>
        <v>3467.4</v>
      </c>
      <c r="E85" s="16">
        <f>IFERROR(__xludf.DUMMYFUNCTION("""COMPUTED_VALUE"""),45862.6458333333)</f>
        <v>45862.6458333333</v>
      </c>
      <c r="F85" s="17">
        <f>IFERROR(__xludf.DUMMYFUNCTION("""COMPUTED_VALUE"""),630718)</f>
        <v>630718</v>
      </c>
      <c r="G85" s="16">
        <f>IFERROR(__xludf.DUMMYFUNCTION("""COMPUTED_VALUE"""),45862.6458333333)</f>
        <v>45862.6458333333</v>
      </c>
      <c r="H85" s="17">
        <f>IFERROR(__xludf.DUMMYFUNCTION("""COMPUTED_VALUE"""),3489.8)</f>
        <v>3489.8</v>
      </c>
      <c r="I85" s="16">
        <f>IFERROR(__xludf.DUMMYFUNCTION("""COMPUTED_VALUE"""),45862.6458333333)</f>
        <v>45862.6458333333</v>
      </c>
      <c r="J85" s="17">
        <f>IFERROR(__xludf.DUMMYFUNCTION("""COMPUTED_VALUE"""),3458)</f>
        <v>3458</v>
      </c>
      <c r="K85" s="3">
        <f t="shared" si="2"/>
        <v>3484.4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IFERROR(__xludf.DUMMYFUNCTION("""COMPUTED_VALUE"""),3462.8)</f>
        <v>3462.8</v>
      </c>
      <c r="C86" s="16">
        <f>IFERROR(__xludf.DUMMYFUNCTION("""COMPUTED_VALUE"""),45863.6458333333)</f>
        <v>45863.6458333333</v>
      </c>
      <c r="D86" s="17">
        <f>IFERROR(__xludf.DUMMYFUNCTION("""COMPUTED_VALUE"""),3476.4)</f>
        <v>3476.4</v>
      </c>
      <c r="E86" s="16">
        <f>IFERROR(__xludf.DUMMYFUNCTION("""COMPUTED_VALUE"""),45863.6458333333)</f>
        <v>45863.6458333333</v>
      </c>
      <c r="F86" s="17">
        <f>IFERROR(__xludf.DUMMYFUNCTION("""COMPUTED_VALUE"""),624410)</f>
        <v>624410</v>
      </c>
      <c r="G86" s="16">
        <f>IFERROR(__xludf.DUMMYFUNCTION("""COMPUTED_VALUE"""),45863.6458333333)</f>
        <v>45863.6458333333</v>
      </c>
      <c r="H86" s="17">
        <f>IFERROR(__xludf.DUMMYFUNCTION("""COMPUTED_VALUE"""),3480)</f>
        <v>3480</v>
      </c>
      <c r="I86" s="16">
        <f>IFERROR(__xludf.DUMMYFUNCTION("""COMPUTED_VALUE"""),45863.6458333333)</f>
        <v>45863.6458333333</v>
      </c>
      <c r="J86" s="17">
        <f>IFERROR(__xludf.DUMMYFUNCTION("""COMPUTED_VALUE"""),3447)</f>
        <v>3447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IFERROR(__xludf.DUMMYFUNCTION("""COMPUTED_VALUE"""),3393)</f>
        <v>3393</v>
      </c>
      <c r="C87" s="16">
        <f>IFERROR(__xludf.DUMMYFUNCTION("""COMPUTED_VALUE"""),45866.6458333333)</f>
        <v>45866.6458333333</v>
      </c>
      <c r="D87" s="17">
        <f>IFERROR(__xludf.DUMMYFUNCTION("""COMPUTED_VALUE"""),3453)</f>
        <v>3453</v>
      </c>
      <c r="E87" s="16">
        <f>IFERROR(__xludf.DUMMYFUNCTION("""COMPUTED_VALUE"""),45866.6458333333)</f>
        <v>45866.6458333333</v>
      </c>
      <c r="F87" s="17">
        <f>IFERROR(__xludf.DUMMYFUNCTION("""COMPUTED_VALUE"""),603916)</f>
        <v>603916</v>
      </c>
      <c r="G87" s="16">
        <f>IFERROR(__xludf.DUMMYFUNCTION("""COMPUTED_VALUE"""),45866.6458333333)</f>
        <v>45866.6458333333</v>
      </c>
      <c r="H87" s="17">
        <f>IFERROR(__xludf.DUMMYFUNCTION("""COMPUTED_VALUE"""),3462.6)</f>
        <v>3462.6</v>
      </c>
      <c r="I87" s="16">
        <f>IFERROR(__xludf.DUMMYFUNCTION("""COMPUTED_VALUE"""),45866.6458333333)</f>
        <v>45866.6458333333</v>
      </c>
      <c r="J87" s="17">
        <f>IFERROR(__xludf.DUMMYFUNCTION("""COMPUTED_VALUE"""),3382)</f>
        <v>3382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IFERROR(__xludf.DUMMYFUNCTION("""COMPUTED_VALUE"""),3379.2)</f>
        <v>3379.2</v>
      </c>
      <c r="C88" s="16">
        <f>IFERROR(__xludf.DUMMYFUNCTION("""COMPUTED_VALUE"""),45867.6458333333)</f>
        <v>45867.6458333333</v>
      </c>
      <c r="D88" s="17">
        <f>IFERROR(__xludf.DUMMYFUNCTION("""COMPUTED_VALUE"""),3390)</f>
        <v>3390</v>
      </c>
      <c r="E88" s="16">
        <f>IFERROR(__xludf.DUMMYFUNCTION("""COMPUTED_VALUE"""),45867.6458333333)</f>
        <v>45867.6458333333</v>
      </c>
      <c r="F88" s="17">
        <f>IFERROR(__xludf.DUMMYFUNCTION("""COMPUTED_VALUE"""),511042)</f>
        <v>511042</v>
      </c>
      <c r="G88" s="16">
        <f>IFERROR(__xludf.DUMMYFUNCTION("""COMPUTED_VALUE"""),45867.6458333333)</f>
        <v>45867.6458333333</v>
      </c>
      <c r="H88" s="17">
        <f>IFERROR(__xludf.DUMMYFUNCTION("""COMPUTED_VALUE"""),3397)</f>
        <v>3397</v>
      </c>
      <c r="I88" s="16">
        <f>IFERROR(__xludf.DUMMYFUNCTION("""COMPUTED_VALUE"""),45867.6458333333)</f>
        <v>45867.6458333333</v>
      </c>
      <c r="J88" s="17">
        <f>IFERROR(__xludf.DUMMYFUNCTION("""COMPUTED_VALUE"""),3355.6)</f>
        <v>3355.6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IFERROR(__xludf.DUMMYFUNCTION("""COMPUTED_VALUE"""),3376.5)</f>
        <v>3376.5</v>
      </c>
      <c r="C89" s="16">
        <f>IFERROR(__xludf.DUMMYFUNCTION("""COMPUTED_VALUE"""),45868.6458333333)</f>
        <v>45868.6458333333</v>
      </c>
      <c r="D89" s="17">
        <f>IFERROR(__xludf.DUMMYFUNCTION("""COMPUTED_VALUE"""),3380)</f>
        <v>3380</v>
      </c>
      <c r="E89" s="16">
        <f>IFERROR(__xludf.DUMMYFUNCTION("""COMPUTED_VALUE"""),45868.6458333333)</f>
        <v>45868.6458333333</v>
      </c>
      <c r="F89" s="17">
        <f>IFERROR(__xludf.DUMMYFUNCTION("""COMPUTED_VALUE"""),443735)</f>
        <v>443735</v>
      </c>
      <c r="G89" s="16">
        <f>IFERROR(__xludf.DUMMYFUNCTION("""COMPUTED_VALUE"""),45868.6458333333)</f>
        <v>45868.6458333333</v>
      </c>
      <c r="H89" s="17">
        <f>IFERROR(__xludf.DUMMYFUNCTION("""COMPUTED_VALUE"""),3393.5)</f>
        <v>3393.5</v>
      </c>
      <c r="I89" s="16">
        <f>IFERROR(__xludf.DUMMYFUNCTION("""COMPUTED_VALUE"""),45868.6458333333)</f>
        <v>45868.6458333333</v>
      </c>
      <c r="J89" s="17">
        <f>IFERROR(__xludf.DUMMYFUNCTION("""COMPUTED_VALUE"""),3345.3)</f>
        <v>3345.3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IFERROR(__xludf.DUMMYFUNCTION("""COMPUTED_VALUE"""),3347.3)</f>
        <v>3347.3</v>
      </c>
      <c r="C90" s="16">
        <f>IFERROR(__xludf.DUMMYFUNCTION("""COMPUTED_VALUE"""),45869.6458333333)</f>
        <v>45869.6458333333</v>
      </c>
      <c r="D90" s="17">
        <f>IFERROR(__xludf.DUMMYFUNCTION("""COMPUTED_VALUE"""),3340)</f>
        <v>3340</v>
      </c>
      <c r="E90" s="16">
        <f>IFERROR(__xludf.DUMMYFUNCTION("""COMPUTED_VALUE"""),45869.6458333333)</f>
        <v>45869.6458333333</v>
      </c>
      <c r="F90" s="17">
        <f>IFERROR(__xludf.DUMMYFUNCTION("""COMPUTED_VALUE"""),553157)</f>
        <v>553157</v>
      </c>
      <c r="G90" s="16">
        <f>IFERROR(__xludf.DUMMYFUNCTION("""COMPUTED_VALUE"""),45869.6458333333)</f>
        <v>45869.6458333333</v>
      </c>
      <c r="H90" s="17">
        <f>IFERROR(__xludf.DUMMYFUNCTION("""COMPUTED_VALUE"""),3364.5)</f>
        <v>3364.5</v>
      </c>
      <c r="I90" s="16">
        <f>IFERROR(__xludf.DUMMYFUNCTION("""COMPUTED_VALUE"""),45869.6458333333)</f>
        <v>45869.6458333333</v>
      </c>
      <c r="J90" s="17">
        <f>IFERROR(__xludf.DUMMYFUNCTION("""COMPUTED_VALUE"""),3315.5)</f>
        <v>3315.5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IFERROR(__xludf.DUMMYFUNCTION("""COMPUTED_VALUE"""),3316)</f>
        <v>3316</v>
      </c>
      <c r="C91" s="16">
        <f>IFERROR(__xludf.DUMMYFUNCTION("""COMPUTED_VALUE"""),45870.6458333333)</f>
        <v>45870.6458333333</v>
      </c>
      <c r="D91" s="17">
        <f>IFERROR(__xludf.DUMMYFUNCTION("""COMPUTED_VALUE"""),3340)</f>
        <v>3340</v>
      </c>
      <c r="E91" s="16">
        <f>IFERROR(__xludf.DUMMYFUNCTION("""COMPUTED_VALUE"""),45870.6458333333)</f>
        <v>45870.6458333333</v>
      </c>
      <c r="F91" s="17">
        <f>IFERROR(__xludf.DUMMYFUNCTION("""COMPUTED_VALUE"""),422977)</f>
        <v>422977</v>
      </c>
      <c r="G91" s="16">
        <f>IFERROR(__xludf.DUMMYFUNCTION("""COMPUTED_VALUE"""),45870.6458333333)</f>
        <v>45870.6458333333</v>
      </c>
      <c r="H91" s="17">
        <f>IFERROR(__xludf.DUMMYFUNCTION("""COMPUTED_VALUE"""),3347.3)</f>
        <v>3347.3</v>
      </c>
      <c r="I91" s="16">
        <f>IFERROR(__xludf.DUMMYFUNCTION("""COMPUTED_VALUE"""),45870.6458333333)</f>
        <v>45870.6458333333</v>
      </c>
      <c r="J91" s="17">
        <f>IFERROR(__xludf.DUMMYFUNCTION("""COMPUTED_VALUE"""),3307)</f>
        <v>3307</v>
      </c>
      <c r="K91" s="3">
        <f t="shared" si="2"/>
        <v>0</v>
      </c>
      <c r="L91" s="3">
        <f t="shared" si="3"/>
        <v>3316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IFERROR(__xludf.DUMMYFUNCTION("""COMPUTED_VALUE"""),3356.3)</f>
        <v>3356.3</v>
      </c>
      <c r="C92" s="16">
        <f>IFERROR(__xludf.DUMMYFUNCTION("""COMPUTED_VALUE"""),45873.6458333333)</f>
        <v>45873.6458333333</v>
      </c>
      <c r="D92" s="17">
        <f>IFERROR(__xludf.DUMMYFUNCTION("""COMPUTED_VALUE"""),3315)</f>
        <v>3315</v>
      </c>
      <c r="E92" s="16">
        <f>IFERROR(__xludf.DUMMYFUNCTION("""COMPUTED_VALUE"""),45873.6458333333)</f>
        <v>45873.6458333333</v>
      </c>
      <c r="F92" s="17">
        <f>IFERROR(__xludf.DUMMYFUNCTION("""COMPUTED_VALUE"""),450434)</f>
        <v>450434</v>
      </c>
      <c r="G92" s="16">
        <f>IFERROR(__xludf.DUMMYFUNCTION("""COMPUTED_VALUE"""),45873.6458333333)</f>
        <v>45873.6458333333</v>
      </c>
      <c r="H92" s="17">
        <f>IFERROR(__xludf.DUMMYFUNCTION("""COMPUTED_VALUE"""),3365)</f>
        <v>3365</v>
      </c>
      <c r="I92" s="16">
        <f>IFERROR(__xludf.DUMMYFUNCTION("""COMPUTED_VALUE"""),45873.6458333333)</f>
        <v>45873.6458333333</v>
      </c>
      <c r="J92" s="17">
        <f>IFERROR(__xludf.DUMMYFUNCTION("""COMPUTED_VALUE"""),3308.1)</f>
        <v>3308.1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IFERROR(__xludf.DUMMYFUNCTION("""COMPUTED_VALUE"""),3418.2)</f>
        <v>3418.2</v>
      </c>
      <c r="C93" s="16">
        <f>IFERROR(__xludf.DUMMYFUNCTION("""COMPUTED_VALUE"""),45874.6458333333)</f>
        <v>45874.6458333333</v>
      </c>
      <c r="D93" s="17">
        <f>IFERROR(__xludf.DUMMYFUNCTION("""COMPUTED_VALUE"""),3356.3)</f>
        <v>3356.3</v>
      </c>
      <c r="E93" s="16">
        <f>IFERROR(__xludf.DUMMYFUNCTION("""COMPUTED_VALUE"""),45874.6458333333)</f>
        <v>45874.6458333333</v>
      </c>
      <c r="F93" s="17">
        <f>IFERROR(__xludf.DUMMYFUNCTION("""COMPUTED_VALUE"""),837335)</f>
        <v>837335</v>
      </c>
      <c r="G93" s="16">
        <f>IFERROR(__xludf.DUMMYFUNCTION("""COMPUTED_VALUE"""),45874.6458333333)</f>
        <v>45874.6458333333</v>
      </c>
      <c r="H93" s="17">
        <f>IFERROR(__xludf.DUMMYFUNCTION("""COMPUTED_VALUE"""),3443)</f>
        <v>3443</v>
      </c>
      <c r="I93" s="16">
        <f>IFERROR(__xludf.DUMMYFUNCTION("""COMPUTED_VALUE"""),45874.6458333333)</f>
        <v>45874.6458333333</v>
      </c>
      <c r="J93" s="17">
        <f>IFERROR(__xludf.DUMMYFUNCTION("""COMPUTED_VALUE"""),3348)</f>
        <v>3348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IFERROR(__xludf.DUMMYFUNCTION("""COMPUTED_VALUE"""),3417.7)</f>
        <v>3417.7</v>
      </c>
      <c r="C94" s="16">
        <f>IFERROR(__xludf.DUMMYFUNCTION("""COMPUTED_VALUE"""),45875.6458333333)</f>
        <v>45875.6458333333</v>
      </c>
      <c r="D94" s="17">
        <f>IFERROR(__xludf.DUMMYFUNCTION("""COMPUTED_VALUE"""),3437)</f>
        <v>3437</v>
      </c>
      <c r="E94" s="16">
        <f>IFERROR(__xludf.DUMMYFUNCTION("""COMPUTED_VALUE"""),45875.6458333333)</f>
        <v>45875.6458333333</v>
      </c>
      <c r="F94" s="17">
        <f>IFERROR(__xludf.DUMMYFUNCTION("""COMPUTED_VALUE"""),635456)</f>
        <v>635456</v>
      </c>
      <c r="G94" s="16">
        <f>IFERROR(__xludf.DUMMYFUNCTION("""COMPUTED_VALUE"""),45875.6458333333)</f>
        <v>45875.6458333333</v>
      </c>
      <c r="H94" s="17">
        <f>IFERROR(__xludf.DUMMYFUNCTION("""COMPUTED_VALUE"""),3462.4)</f>
        <v>3462.4</v>
      </c>
      <c r="I94" s="16">
        <f>IFERROR(__xludf.DUMMYFUNCTION("""COMPUTED_VALUE"""),45875.6458333333)</f>
        <v>45875.6458333333</v>
      </c>
      <c r="J94" s="17">
        <f>IFERROR(__xludf.DUMMYFUNCTION("""COMPUTED_VALUE"""),3400)</f>
        <v>3400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IFERROR(__xludf.DUMMYFUNCTION("""COMPUTED_VALUE"""),3415.7)</f>
        <v>3415.7</v>
      </c>
      <c r="C95" s="16">
        <f>IFERROR(__xludf.DUMMYFUNCTION("""COMPUTED_VALUE"""),45876.6458333333)</f>
        <v>45876.6458333333</v>
      </c>
      <c r="D95" s="17">
        <f>IFERROR(__xludf.DUMMYFUNCTION("""COMPUTED_VALUE"""),3380)</f>
        <v>3380</v>
      </c>
      <c r="E95" s="16">
        <f>IFERROR(__xludf.DUMMYFUNCTION("""COMPUTED_VALUE"""),45876.6458333333)</f>
        <v>45876.6458333333</v>
      </c>
      <c r="F95" s="17">
        <f>IFERROR(__xludf.DUMMYFUNCTION("""COMPUTED_VALUE"""),509599)</f>
        <v>509599</v>
      </c>
      <c r="G95" s="16">
        <f>IFERROR(__xludf.DUMMYFUNCTION("""COMPUTED_VALUE"""),45876.6458333333)</f>
        <v>45876.6458333333</v>
      </c>
      <c r="H95" s="17">
        <f>IFERROR(__xludf.DUMMYFUNCTION("""COMPUTED_VALUE"""),3437)</f>
        <v>3437</v>
      </c>
      <c r="I95" s="16">
        <f>IFERROR(__xludf.DUMMYFUNCTION("""COMPUTED_VALUE"""),45876.6458333333)</f>
        <v>45876.6458333333</v>
      </c>
      <c r="J95" s="17">
        <f>IFERROR(__xludf.DUMMYFUNCTION("""COMPUTED_VALUE"""),3377.7)</f>
        <v>3377.7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IFERROR(__xludf.DUMMYFUNCTION("""COMPUTED_VALUE"""),3460.2)</f>
        <v>3460.2</v>
      </c>
      <c r="C96" s="16">
        <f>IFERROR(__xludf.DUMMYFUNCTION("""COMPUTED_VALUE"""),45877.6458333333)</f>
        <v>45877.6458333333</v>
      </c>
      <c r="D96" s="17">
        <f>IFERROR(__xludf.DUMMYFUNCTION("""COMPUTED_VALUE"""),3450.1)</f>
        <v>3450.1</v>
      </c>
      <c r="E96" s="16">
        <f>IFERROR(__xludf.DUMMYFUNCTION("""COMPUTED_VALUE"""),45877.6458333333)</f>
        <v>45877.6458333333</v>
      </c>
      <c r="F96" s="17">
        <f>IFERROR(__xludf.DUMMYFUNCTION("""COMPUTED_VALUE"""),2184271)</f>
        <v>2184271</v>
      </c>
      <c r="G96" s="16">
        <f>IFERROR(__xludf.DUMMYFUNCTION("""COMPUTED_VALUE"""),45877.6458333333)</f>
        <v>45877.6458333333</v>
      </c>
      <c r="H96" s="17">
        <f>IFERROR(__xludf.DUMMYFUNCTION("""COMPUTED_VALUE"""),3489.8)</f>
        <v>3489.8</v>
      </c>
      <c r="I96" s="16">
        <f>IFERROR(__xludf.DUMMYFUNCTION("""COMPUTED_VALUE"""),45877.6458333333)</f>
        <v>45877.6458333333</v>
      </c>
      <c r="J96" s="17">
        <f>IFERROR(__xludf.DUMMYFUNCTION("""COMPUTED_VALUE"""),3403.1)</f>
        <v>3403.1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IFERROR(__xludf.DUMMYFUNCTION("""COMPUTED_VALUE"""),3467.9)</f>
        <v>3467.9</v>
      </c>
      <c r="C97" s="16">
        <f>IFERROR(__xludf.DUMMYFUNCTION("""COMPUTED_VALUE"""),45880.6458333333)</f>
        <v>45880.6458333333</v>
      </c>
      <c r="D97" s="17">
        <f>IFERROR(__xludf.DUMMYFUNCTION("""COMPUTED_VALUE"""),3473)</f>
        <v>3473</v>
      </c>
      <c r="E97" s="16">
        <f>IFERROR(__xludf.DUMMYFUNCTION("""COMPUTED_VALUE"""),45880.6458333333)</f>
        <v>45880.6458333333</v>
      </c>
      <c r="F97" s="17">
        <f>IFERROR(__xludf.DUMMYFUNCTION("""COMPUTED_VALUE"""),563586)</f>
        <v>563586</v>
      </c>
      <c r="G97" s="16">
        <f>IFERROR(__xludf.DUMMYFUNCTION("""COMPUTED_VALUE"""),45880.6458333333)</f>
        <v>45880.6458333333</v>
      </c>
      <c r="H97" s="17">
        <f>IFERROR(__xludf.DUMMYFUNCTION("""COMPUTED_VALUE"""),3487.3)</f>
        <v>3487.3</v>
      </c>
      <c r="I97" s="16">
        <f>IFERROR(__xludf.DUMMYFUNCTION("""COMPUTED_VALUE"""),45880.6458333333)</f>
        <v>45880.6458333333</v>
      </c>
      <c r="J97" s="17">
        <f>IFERROR(__xludf.DUMMYFUNCTION("""COMPUTED_VALUE"""),3402.8)</f>
        <v>3402.8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IFERROR(__xludf.DUMMYFUNCTION("""COMPUTED_VALUE"""),3486.8)</f>
        <v>3486.8</v>
      </c>
      <c r="C98" s="16">
        <f>IFERROR(__xludf.DUMMYFUNCTION("""COMPUTED_VALUE"""),45881.6458333333)</f>
        <v>45881.6458333333</v>
      </c>
      <c r="D98" s="17">
        <f>IFERROR(__xludf.DUMMYFUNCTION("""COMPUTED_VALUE"""),3467.9)</f>
        <v>3467.9</v>
      </c>
      <c r="E98" s="16">
        <f>IFERROR(__xludf.DUMMYFUNCTION("""COMPUTED_VALUE"""),45881.6458333333)</f>
        <v>45881.6458333333</v>
      </c>
      <c r="F98" s="17">
        <f>IFERROR(__xludf.DUMMYFUNCTION("""COMPUTED_VALUE"""),929276)</f>
        <v>929276</v>
      </c>
      <c r="G98" s="16">
        <f>IFERROR(__xludf.DUMMYFUNCTION("""COMPUTED_VALUE"""),45881.6458333333)</f>
        <v>45881.6458333333</v>
      </c>
      <c r="H98" s="17">
        <f>IFERROR(__xludf.DUMMYFUNCTION("""COMPUTED_VALUE"""),3534)</f>
        <v>3534</v>
      </c>
      <c r="I98" s="16">
        <f>IFERROR(__xludf.DUMMYFUNCTION("""COMPUTED_VALUE"""),45881.6458333333)</f>
        <v>45881.6458333333</v>
      </c>
      <c r="J98" s="17">
        <f>IFERROR(__xludf.DUMMYFUNCTION("""COMPUTED_VALUE"""),3460.1)</f>
        <v>3460.1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IFERROR(__xludf.DUMMYFUNCTION("""COMPUTED_VALUE"""),3466.8)</f>
        <v>3466.8</v>
      </c>
      <c r="C99" s="16">
        <f>IFERROR(__xludf.DUMMYFUNCTION("""COMPUTED_VALUE"""),45882.6458333333)</f>
        <v>45882.6458333333</v>
      </c>
      <c r="D99" s="17">
        <f>IFERROR(__xludf.DUMMYFUNCTION("""COMPUTED_VALUE"""),3486.8)</f>
        <v>3486.8</v>
      </c>
      <c r="E99" s="16">
        <f>IFERROR(__xludf.DUMMYFUNCTION("""COMPUTED_VALUE"""),45882.6458333333)</f>
        <v>45882.6458333333</v>
      </c>
      <c r="F99" s="17">
        <f>IFERROR(__xludf.DUMMYFUNCTION("""COMPUTED_VALUE"""),360474)</f>
        <v>360474</v>
      </c>
      <c r="G99" s="16">
        <f>IFERROR(__xludf.DUMMYFUNCTION("""COMPUTED_VALUE"""),45882.6458333333)</f>
        <v>45882.6458333333</v>
      </c>
      <c r="H99" s="17">
        <f>IFERROR(__xludf.DUMMYFUNCTION("""COMPUTED_VALUE"""),3494.9)</f>
        <v>3494.9</v>
      </c>
      <c r="I99" s="16">
        <f>IFERROR(__xludf.DUMMYFUNCTION("""COMPUTED_VALUE"""),45882.6458333333)</f>
        <v>45882.6458333333</v>
      </c>
      <c r="J99" s="17">
        <f>IFERROR(__xludf.DUMMYFUNCTION("""COMPUTED_VALUE"""),3463.2)</f>
        <v>3463.2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IFERROR(__xludf.DUMMYFUNCTION("""COMPUTED_VALUE"""),3489.4)</f>
        <v>3489.4</v>
      </c>
      <c r="C100" s="16">
        <f>IFERROR(__xludf.DUMMYFUNCTION("""COMPUTED_VALUE"""),45883.6458333333)</f>
        <v>45883.6458333333</v>
      </c>
      <c r="D100" s="17">
        <f>IFERROR(__xludf.DUMMYFUNCTION("""COMPUTED_VALUE"""),3476.5)</f>
        <v>3476.5</v>
      </c>
      <c r="E100" s="16">
        <f>IFERROR(__xludf.DUMMYFUNCTION("""COMPUTED_VALUE"""),45883.6458333333)</f>
        <v>45883.6458333333</v>
      </c>
      <c r="F100" s="17">
        <f>IFERROR(__xludf.DUMMYFUNCTION("""COMPUTED_VALUE"""),597987)</f>
        <v>597987</v>
      </c>
      <c r="G100" s="16">
        <f>IFERROR(__xludf.DUMMYFUNCTION("""COMPUTED_VALUE"""),45883.6458333333)</f>
        <v>45883.6458333333</v>
      </c>
      <c r="H100" s="17">
        <f>IFERROR(__xludf.DUMMYFUNCTION("""COMPUTED_VALUE"""),3505.8)</f>
        <v>3505.8</v>
      </c>
      <c r="I100" s="16">
        <f>IFERROR(__xludf.DUMMYFUNCTION("""COMPUTED_VALUE"""),45883.6458333333)</f>
        <v>45883.6458333333</v>
      </c>
      <c r="J100" s="17">
        <f>IFERROR(__xludf.DUMMYFUNCTION("""COMPUTED_VALUE"""),3464.1)</f>
        <v>3464.1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IFERROR(__xludf.DUMMYFUNCTION("""COMPUTED_VALUE"""),3554.8)</f>
        <v>3554.8</v>
      </c>
      <c r="C101" s="16">
        <f>IFERROR(__xludf.DUMMYFUNCTION("""COMPUTED_VALUE"""),45887.6458333333)</f>
        <v>45887.6458333333</v>
      </c>
      <c r="D101" s="17">
        <f>IFERROR(__xludf.DUMMYFUNCTION("""COMPUTED_VALUE"""),3496)</f>
        <v>3496</v>
      </c>
      <c r="E101" s="16">
        <f>IFERROR(__xludf.DUMMYFUNCTION("""COMPUTED_VALUE"""),45887.6458333333)</f>
        <v>45887.6458333333</v>
      </c>
      <c r="F101" s="17">
        <f>IFERROR(__xludf.DUMMYFUNCTION("""COMPUTED_VALUE"""),1253006)</f>
        <v>1253006</v>
      </c>
      <c r="G101" s="16">
        <f>IFERROR(__xludf.DUMMYFUNCTION("""COMPUTED_VALUE"""),45887.6458333333)</f>
        <v>45887.6458333333</v>
      </c>
      <c r="H101" s="17">
        <f>IFERROR(__xludf.DUMMYFUNCTION("""COMPUTED_VALUE"""),3574.8)</f>
        <v>3574.8</v>
      </c>
      <c r="I101" s="16">
        <f>IFERROR(__xludf.DUMMYFUNCTION("""COMPUTED_VALUE"""),45887.6458333333)</f>
        <v>45887.6458333333</v>
      </c>
      <c r="J101" s="17">
        <f>IFERROR(__xludf.DUMMYFUNCTION("""COMPUTED_VALUE"""),3493.5)</f>
        <v>3493.5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IFERROR(__xludf.DUMMYFUNCTION("""COMPUTED_VALUE"""),3568.1)</f>
        <v>3568.1</v>
      </c>
      <c r="C102" s="16">
        <f>IFERROR(__xludf.DUMMYFUNCTION("""COMPUTED_VALUE"""),45888.6458333333)</f>
        <v>45888.6458333333</v>
      </c>
      <c r="D102" s="17">
        <f>IFERROR(__xludf.DUMMYFUNCTION("""COMPUTED_VALUE"""),3555)</f>
        <v>3555</v>
      </c>
      <c r="E102" s="16">
        <f>IFERROR(__xludf.DUMMYFUNCTION("""COMPUTED_VALUE"""),45888.6458333333)</f>
        <v>45888.6458333333</v>
      </c>
      <c r="F102" s="17">
        <f>IFERROR(__xludf.DUMMYFUNCTION("""COMPUTED_VALUE"""),537433)</f>
        <v>537433</v>
      </c>
      <c r="G102" s="16">
        <f>IFERROR(__xludf.DUMMYFUNCTION("""COMPUTED_VALUE"""),45888.6458333333)</f>
        <v>45888.6458333333</v>
      </c>
      <c r="H102" s="17">
        <f>IFERROR(__xludf.DUMMYFUNCTION("""COMPUTED_VALUE"""),3577.3)</f>
        <v>3577.3</v>
      </c>
      <c r="I102" s="16">
        <f>IFERROR(__xludf.DUMMYFUNCTION("""COMPUTED_VALUE"""),45888.6458333333)</f>
        <v>45888.6458333333</v>
      </c>
      <c r="J102" s="17">
        <f>IFERROR(__xludf.DUMMYFUNCTION("""COMPUTED_VALUE"""),3545)</f>
        <v>3545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IFERROR(__xludf.DUMMYFUNCTION("""COMPUTED_VALUE"""),3595)</f>
        <v>3595</v>
      </c>
      <c r="C103" s="16">
        <f>IFERROR(__xludf.DUMMYFUNCTION("""COMPUTED_VALUE"""),45889.6458333333)</f>
        <v>45889.6458333333</v>
      </c>
      <c r="D103" s="17">
        <f>IFERROR(__xludf.DUMMYFUNCTION("""COMPUTED_VALUE"""),3560)</f>
        <v>3560</v>
      </c>
      <c r="E103" s="16">
        <f>IFERROR(__xludf.DUMMYFUNCTION("""COMPUTED_VALUE"""),45889.6458333333)</f>
        <v>45889.6458333333</v>
      </c>
      <c r="F103" s="17">
        <f>IFERROR(__xludf.DUMMYFUNCTION("""COMPUTED_VALUE"""),517031)</f>
        <v>517031</v>
      </c>
      <c r="G103" s="16">
        <f>IFERROR(__xludf.DUMMYFUNCTION("""COMPUTED_VALUE"""),45889.6458333333)</f>
        <v>45889.6458333333</v>
      </c>
      <c r="H103" s="17">
        <f>IFERROR(__xludf.DUMMYFUNCTION("""COMPUTED_VALUE"""),3602.9)</f>
        <v>3602.9</v>
      </c>
      <c r="I103" s="16">
        <f>IFERROR(__xludf.DUMMYFUNCTION("""COMPUTED_VALUE"""),45889.6458333333)</f>
        <v>45889.6458333333</v>
      </c>
      <c r="J103" s="17">
        <f>IFERROR(__xludf.DUMMYFUNCTION("""COMPUTED_VALUE"""),3552)</f>
        <v>3552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IFERROR(__xludf.DUMMYFUNCTION("""COMPUTED_VALUE"""),3616.3)</f>
        <v>3616.3</v>
      </c>
      <c r="C104" s="16">
        <f>IFERROR(__xludf.DUMMYFUNCTION("""COMPUTED_VALUE"""),45890.6458333333)</f>
        <v>45890.6458333333</v>
      </c>
      <c r="D104" s="17">
        <f>IFERROR(__xludf.DUMMYFUNCTION("""COMPUTED_VALUE"""),3595)</f>
        <v>3595</v>
      </c>
      <c r="E104" s="16">
        <f>IFERROR(__xludf.DUMMYFUNCTION("""COMPUTED_VALUE"""),45890.6458333333)</f>
        <v>45890.6458333333</v>
      </c>
      <c r="F104" s="17">
        <f>IFERROR(__xludf.DUMMYFUNCTION("""COMPUTED_VALUE"""),673486)</f>
        <v>673486</v>
      </c>
      <c r="G104" s="16">
        <f>IFERROR(__xludf.DUMMYFUNCTION("""COMPUTED_VALUE"""),45890.6458333333)</f>
        <v>45890.6458333333</v>
      </c>
      <c r="H104" s="17">
        <f>IFERROR(__xludf.DUMMYFUNCTION("""COMPUTED_VALUE"""),3625)</f>
        <v>3625</v>
      </c>
      <c r="I104" s="16">
        <f>IFERROR(__xludf.DUMMYFUNCTION("""COMPUTED_VALUE"""),45890.6458333333)</f>
        <v>45890.6458333333</v>
      </c>
      <c r="J104" s="17">
        <f>IFERROR(__xludf.DUMMYFUNCTION("""COMPUTED_VALUE"""),3588.2)</f>
        <v>3588.2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IFERROR(__xludf.DUMMYFUNCTION("""COMPUTED_VALUE"""),3621)</f>
        <v>3621</v>
      </c>
      <c r="C105" s="16">
        <f>IFERROR(__xludf.DUMMYFUNCTION("""COMPUTED_VALUE"""),45891.6458333333)</f>
        <v>45891.6458333333</v>
      </c>
      <c r="D105" s="17">
        <f>IFERROR(__xludf.DUMMYFUNCTION("""COMPUTED_VALUE"""),3616.3)</f>
        <v>3616.3</v>
      </c>
      <c r="E105" s="16">
        <f>IFERROR(__xludf.DUMMYFUNCTION("""COMPUTED_VALUE"""),45891.6458333333)</f>
        <v>45891.6458333333</v>
      </c>
      <c r="F105" s="17">
        <f>IFERROR(__xludf.DUMMYFUNCTION("""COMPUTED_VALUE"""),691835)</f>
        <v>691835</v>
      </c>
      <c r="G105" s="16">
        <f>IFERROR(__xludf.DUMMYFUNCTION("""COMPUTED_VALUE"""),45891.6458333333)</f>
        <v>45891.6458333333</v>
      </c>
      <c r="H105" s="17">
        <f>IFERROR(__xludf.DUMMYFUNCTION("""COMPUTED_VALUE"""),3641.4)</f>
        <v>3641.4</v>
      </c>
      <c r="I105" s="16">
        <f>IFERROR(__xludf.DUMMYFUNCTION("""COMPUTED_VALUE"""),45891.6458333333)</f>
        <v>45891.6458333333</v>
      </c>
      <c r="J105" s="17">
        <f>IFERROR(__xludf.DUMMYFUNCTION("""COMPUTED_VALUE"""),3607.7)</f>
        <v>3607.7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IFERROR(__xludf.DUMMYFUNCTION("""COMPUTED_VALUE"""),3651.4)</f>
        <v>3651.4</v>
      </c>
      <c r="C106" s="16">
        <f>IFERROR(__xludf.DUMMYFUNCTION("""COMPUTED_VALUE"""),45894.6458333333)</f>
        <v>45894.6458333333</v>
      </c>
      <c r="D106" s="17">
        <f>IFERROR(__xludf.DUMMYFUNCTION("""COMPUTED_VALUE"""),3629.7)</f>
        <v>3629.7</v>
      </c>
      <c r="E106" s="16">
        <f>IFERROR(__xludf.DUMMYFUNCTION("""COMPUTED_VALUE"""),45894.6458333333)</f>
        <v>45894.6458333333</v>
      </c>
      <c r="F106" s="17">
        <f>IFERROR(__xludf.DUMMYFUNCTION("""COMPUTED_VALUE"""),700503)</f>
        <v>700503</v>
      </c>
      <c r="G106" s="16">
        <f>IFERROR(__xludf.DUMMYFUNCTION("""COMPUTED_VALUE"""),45894.6458333333)</f>
        <v>45894.6458333333</v>
      </c>
      <c r="H106" s="17">
        <f>IFERROR(__xludf.DUMMYFUNCTION("""COMPUTED_VALUE"""),3669.6)</f>
        <v>3669.6</v>
      </c>
      <c r="I106" s="16">
        <f>IFERROR(__xludf.DUMMYFUNCTION("""COMPUTED_VALUE"""),45894.6458333333)</f>
        <v>45894.6458333333</v>
      </c>
      <c r="J106" s="17">
        <f>IFERROR(__xludf.DUMMYFUNCTION("""COMPUTED_VALUE"""),3615.5)</f>
        <v>3615.5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IFERROR(__xludf.DUMMYFUNCTION("""COMPUTED_VALUE"""),3594)</f>
        <v>3594</v>
      </c>
      <c r="C107" s="16">
        <f>IFERROR(__xludf.DUMMYFUNCTION("""COMPUTED_VALUE"""),45895.6458333333)</f>
        <v>45895.6458333333</v>
      </c>
      <c r="D107" s="17">
        <f>IFERROR(__xludf.DUMMYFUNCTION("""COMPUTED_VALUE"""),3662.8)</f>
        <v>3662.8</v>
      </c>
      <c r="E107" s="16">
        <f>IFERROR(__xludf.DUMMYFUNCTION("""COMPUTED_VALUE"""),45895.6458333333)</f>
        <v>45895.6458333333</v>
      </c>
      <c r="F107" s="17">
        <f>IFERROR(__xludf.DUMMYFUNCTION("""COMPUTED_VALUE"""),960778)</f>
        <v>960778</v>
      </c>
      <c r="G107" s="16">
        <f>IFERROR(__xludf.DUMMYFUNCTION("""COMPUTED_VALUE"""),45895.6458333333)</f>
        <v>45895.6458333333</v>
      </c>
      <c r="H107" s="17">
        <f>IFERROR(__xludf.DUMMYFUNCTION("""COMPUTED_VALUE"""),3672.8)</f>
        <v>3672.8</v>
      </c>
      <c r="I107" s="16">
        <f>IFERROR(__xludf.DUMMYFUNCTION("""COMPUTED_VALUE"""),45895.6458333333)</f>
        <v>45895.6458333333</v>
      </c>
      <c r="J107" s="17">
        <f>IFERROR(__xludf.DUMMYFUNCTION("""COMPUTED_VALUE"""),3589.1)</f>
        <v>3589.1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IFERROR(__xludf.DUMMYFUNCTION("""COMPUTED_VALUE"""),3637.7)</f>
        <v>3637.7</v>
      </c>
      <c r="C108" s="16">
        <f>IFERROR(__xludf.DUMMYFUNCTION("""COMPUTED_VALUE"""),45897.6458333333)</f>
        <v>45897.6458333333</v>
      </c>
      <c r="D108" s="17">
        <f>IFERROR(__xludf.DUMMYFUNCTION("""COMPUTED_VALUE"""),3552.1)</f>
        <v>3552.1</v>
      </c>
      <c r="E108" s="16">
        <f>IFERROR(__xludf.DUMMYFUNCTION("""COMPUTED_VALUE"""),45897.6458333333)</f>
        <v>45897.6458333333</v>
      </c>
      <c r="F108" s="17">
        <f>IFERROR(__xludf.DUMMYFUNCTION("""COMPUTED_VALUE"""),989246)</f>
        <v>989246</v>
      </c>
      <c r="G108" s="16">
        <f>IFERROR(__xludf.DUMMYFUNCTION("""COMPUTED_VALUE"""),45897.6458333333)</f>
        <v>45897.6458333333</v>
      </c>
      <c r="H108" s="17">
        <f>IFERROR(__xludf.DUMMYFUNCTION("""COMPUTED_VALUE"""),3650.9)</f>
        <v>3650.9</v>
      </c>
      <c r="I108" s="16">
        <f>IFERROR(__xludf.DUMMYFUNCTION("""COMPUTED_VALUE"""),45897.6458333333)</f>
        <v>45897.6458333333</v>
      </c>
      <c r="J108" s="17">
        <f>IFERROR(__xludf.DUMMYFUNCTION("""COMPUTED_VALUE"""),3552.1)</f>
        <v>3552.1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IFERROR(__xludf.DUMMYFUNCTION("""COMPUTED_VALUE"""),3628.8)</f>
        <v>3628.8</v>
      </c>
      <c r="C109" s="16">
        <f>IFERROR(__xludf.DUMMYFUNCTION("""COMPUTED_VALUE"""),45898.6458333333)</f>
        <v>45898.6458333333</v>
      </c>
      <c r="D109" s="17">
        <f>IFERROR(__xludf.DUMMYFUNCTION("""COMPUTED_VALUE"""),3637.7)</f>
        <v>3637.7</v>
      </c>
      <c r="E109" s="16">
        <f>IFERROR(__xludf.DUMMYFUNCTION("""COMPUTED_VALUE"""),45898.6458333333)</f>
        <v>45898.6458333333</v>
      </c>
      <c r="F109" s="17">
        <f>IFERROR(__xludf.DUMMYFUNCTION("""COMPUTED_VALUE"""),660956)</f>
        <v>660956</v>
      </c>
      <c r="G109" s="16">
        <f>IFERROR(__xludf.DUMMYFUNCTION("""COMPUTED_VALUE"""),45898.6458333333)</f>
        <v>45898.6458333333</v>
      </c>
      <c r="H109" s="17">
        <f>IFERROR(__xludf.DUMMYFUNCTION("""COMPUTED_VALUE"""),3642)</f>
        <v>3642</v>
      </c>
      <c r="I109" s="16">
        <f>IFERROR(__xludf.DUMMYFUNCTION("""COMPUTED_VALUE"""),45898.6458333333)</f>
        <v>45898.6458333333</v>
      </c>
      <c r="J109" s="17">
        <f>IFERROR(__xludf.DUMMYFUNCTION("""COMPUTED_VALUE"""),3603.6)</f>
        <v>3603.6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IFERROR(__xludf.DUMMYFUNCTION("""COMPUTED_VALUE"""),3618.6)</f>
        <v>3618.6</v>
      </c>
      <c r="C110" s="16">
        <f>IFERROR(__xludf.DUMMYFUNCTION("""COMPUTED_VALUE"""),45901.6458333333)</f>
        <v>45901.6458333333</v>
      </c>
      <c r="D110" s="17">
        <f>IFERROR(__xludf.DUMMYFUNCTION("""COMPUTED_VALUE"""),3631)</f>
        <v>3631</v>
      </c>
      <c r="E110" s="16">
        <f>IFERROR(__xludf.DUMMYFUNCTION("""COMPUTED_VALUE"""),45901.6458333333)</f>
        <v>45901.6458333333</v>
      </c>
      <c r="F110" s="17">
        <f>IFERROR(__xludf.DUMMYFUNCTION("""COMPUTED_VALUE"""),297533)</f>
        <v>297533</v>
      </c>
      <c r="G110" s="16">
        <f>IFERROR(__xludf.DUMMYFUNCTION("""COMPUTED_VALUE"""),45901.6458333333)</f>
        <v>45901.6458333333</v>
      </c>
      <c r="H110" s="17">
        <f>IFERROR(__xludf.DUMMYFUNCTION("""COMPUTED_VALUE"""),3653.4)</f>
        <v>3653.4</v>
      </c>
      <c r="I110" s="16">
        <f>IFERROR(__xludf.DUMMYFUNCTION("""COMPUTED_VALUE"""),45901.6458333333)</f>
        <v>45901.6458333333</v>
      </c>
      <c r="J110" s="17">
        <f>IFERROR(__xludf.DUMMYFUNCTION("""COMPUTED_VALUE"""),3610.4)</f>
        <v>3610.4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IFERROR(__xludf.DUMMYFUNCTION("""COMPUTED_VALUE"""),3620.6)</f>
        <v>3620.6</v>
      </c>
      <c r="C111" s="16">
        <f>IFERROR(__xludf.DUMMYFUNCTION("""COMPUTED_VALUE"""),45902.6458333333)</f>
        <v>45902.6458333333</v>
      </c>
      <c r="D111" s="17">
        <f>IFERROR(__xludf.DUMMYFUNCTION("""COMPUTED_VALUE"""),3614)</f>
        <v>3614</v>
      </c>
      <c r="E111" s="16">
        <f>IFERROR(__xludf.DUMMYFUNCTION("""COMPUTED_VALUE"""),45902.6458333333)</f>
        <v>45902.6458333333</v>
      </c>
      <c r="F111" s="17">
        <f>IFERROR(__xludf.DUMMYFUNCTION("""COMPUTED_VALUE"""),536300)</f>
        <v>536300</v>
      </c>
      <c r="G111" s="16">
        <f>IFERROR(__xludf.DUMMYFUNCTION("""COMPUTED_VALUE"""),45902.6458333333)</f>
        <v>45902.6458333333</v>
      </c>
      <c r="H111" s="17">
        <f>IFERROR(__xludf.DUMMYFUNCTION("""COMPUTED_VALUE"""),3655.8)</f>
        <v>3655.8</v>
      </c>
      <c r="I111" s="16">
        <f>IFERROR(__xludf.DUMMYFUNCTION("""COMPUTED_VALUE"""),45902.6458333333)</f>
        <v>45902.6458333333</v>
      </c>
      <c r="J111" s="17">
        <f>IFERROR(__xludf.DUMMYFUNCTION("""COMPUTED_VALUE"""),3606.1)</f>
        <v>3606.1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IFERROR(__xludf.DUMMYFUNCTION("""COMPUTED_VALUE"""),3690.6)</f>
        <v>3690.6</v>
      </c>
      <c r="C112" s="16">
        <f>IFERROR(__xludf.DUMMYFUNCTION("""COMPUTED_VALUE"""),45903.6458333333)</f>
        <v>45903.6458333333</v>
      </c>
      <c r="D112" s="17">
        <f>IFERROR(__xludf.DUMMYFUNCTION("""COMPUTED_VALUE"""),3605)</f>
        <v>3605</v>
      </c>
      <c r="E112" s="16">
        <f>IFERROR(__xludf.DUMMYFUNCTION("""COMPUTED_VALUE"""),45903.6458333333)</f>
        <v>45903.6458333333</v>
      </c>
      <c r="F112" s="17">
        <f>IFERROR(__xludf.DUMMYFUNCTION("""COMPUTED_VALUE"""),791874)</f>
        <v>791874</v>
      </c>
      <c r="G112" s="16">
        <f>IFERROR(__xludf.DUMMYFUNCTION("""COMPUTED_VALUE"""),45903.6458333333)</f>
        <v>45903.6458333333</v>
      </c>
      <c r="H112" s="17">
        <f>IFERROR(__xludf.DUMMYFUNCTION("""COMPUTED_VALUE"""),3697.9)</f>
        <v>3697.9</v>
      </c>
      <c r="I112" s="16">
        <f>IFERROR(__xludf.DUMMYFUNCTION("""COMPUTED_VALUE"""),45903.6458333333)</f>
        <v>45903.6458333333</v>
      </c>
      <c r="J112" s="17">
        <f>IFERROR(__xludf.DUMMYFUNCTION("""COMPUTED_VALUE"""),3590)</f>
        <v>3590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IFERROR(__xludf.DUMMYFUNCTION("""COMPUTED_VALUE"""),3691.1)</f>
        <v>3691.1</v>
      </c>
      <c r="C113" s="16">
        <f>IFERROR(__xludf.DUMMYFUNCTION("""COMPUTED_VALUE"""),45904.6458333333)</f>
        <v>45904.6458333333</v>
      </c>
      <c r="D113" s="17">
        <f>IFERROR(__xludf.DUMMYFUNCTION("""COMPUTED_VALUE"""),3740)</f>
        <v>3740</v>
      </c>
      <c r="E113" s="16">
        <f>IFERROR(__xludf.DUMMYFUNCTION("""COMPUTED_VALUE"""),45904.6458333333)</f>
        <v>45904.6458333333</v>
      </c>
      <c r="F113" s="17">
        <f>IFERROR(__xludf.DUMMYFUNCTION("""COMPUTED_VALUE"""),635811)</f>
        <v>635811</v>
      </c>
      <c r="G113" s="16">
        <f>IFERROR(__xludf.DUMMYFUNCTION("""COMPUTED_VALUE"""),45904.6458333333)</f>
        <v>45904.6458333333</v>
      </c>
      <c r="H113" s="17">
        <f>IFERROR(__xludf.DUMMYFUNCTION("""COMPUTED_VALUE"""),3740)</f>
        <v>3740</v>
      </c>
      <c r="I113" s="16">
        <f>IFERROR(__xludf.DUMMYFUNCTION("""COMPUTED_VALUE"""),45904.6458333333)</f>
        <v>45904.6458333333</v>
      </c>
      <c r="J113" s="17">
        <f>IFERROR(__xludf.DUMMYFUNCTION("""COMPUTED_VALUE"""),3676.8)</f>
        <v>3676.8</v>
      </c>
      <c r="K113" s="3">
        <f t="shared" si="2"/>
        <v>3691.1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IFERROR(__xludf.DUMMYFUNCTION("""COMPUTED_VALUE"""),3665.3)</f>
        <v>3665.3</v>
      </c>
      <c r="C114" s="16">
        <f>IFERROR(__xludf.DUMMYFUNCTION("""COMPUTED_VALUE"""),45905.6458333333)</f>
        <v>45905.6458333333</v>
      </c>
      <c r="D114" s="17">
        <f>IFERROR(__xludf.DUMMYFUNCTION("""COMPUTED_VALUE"""),3695)</f>
        <v>3695</v>
      </c>
      <c r="E114" s="16">
        <f>IFERROR(__xludf.DUMMYFUNCTION("""COMPUTED_VALUE"""),45905.6458333333)</f>
        <v>45905.6458333333</v>
      </c>
      <c r="F114" s="17">
        <f>IFERROR(__xludf.DUMMYFUNCTION("""COMPUTED_VALUE"""),454120)</f>
        <v>454120</v>
      </c>
      <c r="G114" s="16">
        <f>IFERROR(__xludf.DUMMYFUNCTION("""COMPUTED_VALUE"""),45905.6458333333)</f>
        <v>45905.6458333333</v>
      </c>
      <c r="H114" s="17">
        <f>IFERROR(__xludf.DUMMYFUNCTION("""COMPUTED_VALUE"""),3700)</f>
        <v>3700</v>
      </c>
      <c r="I114" s="16">
        <f>IFERROR(__xludf.DUMMYFUNCTION("""COMPUTED_VALUE"""),45905.6458333333)</f>
        <v>45905.6458333333</v>
      </c>
      <c r="J114" s="17">
        <f>IFERROR(__xludf.DUMMYFUNCTION("""COMPUTED_VALUE"""),3660)</f>
        <v>3660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IFERROR(__xludf.DUMMYFUNCTION("""COMPUTED_VALUE"""),3658)</f>
        <v>3658</v>
      </c>
      <c r="C115" s="16">
        <f>IFERROR(__xludf.DUMMYFUNCTION("""COMPUTED_VALUE"""),45908.6458333333)</f>
        <v>45908.6458333333</v>
      </c>
      <c r="D115" s="17">
        <f>IFERROR(__xludf.DUMMYFUNCTION("""COMPUTED_VALUE"""),3653)</f>
        <v>3653</v>
      </c>
      <c r="E115" s="16">
        <f>IFERROR(__xludf.DUMMYFUNCTION("""COMPUTED_VALUE"""),45908.6458333333)</f>
        <v>45908.6458333333</v>
      </c>
      <c r="F115" s="17">
        <f>IFERROR(__xludf.DUMMYFUNCTION("""COMPUTED_VALUE"""),548987)</f>
        <v>548987</v>
      </c>
      <c r="G115" s="16">
        <f>IFERROR(__xludf.DUMMYFUNCTION("""COMPUTED_VALUE"""),45908.6458333333)</f>
        <v>45908.6458333333</v>
      </c>
      <c r="H115" s="17">
        <f>IFERROR(__xludf.DUMMYFUNCTION("""COMPUTED_VALUE"""),3683.6)</f>
        <v>3683.6</v>
      </c>
      <c r="I115" s="16">
        <f>IFERROR(__xludf.DUMMYFUNCTION("""COMPUTED_VALUE"""),45908.6458333333)</f>
        <v>45908.6458333333</v>
      </c>
      <c r="J115" s="17">
        <f>IFERROR(__xludf.DUMMYFUNCTION("""COMPUTED_VALUE"""),3640)</f>
        <v>3640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IFERROR(__xludf.DUMMYFUNCTION("""COMPUTED_VALUE"""),3630.1)</f>
        <v>3630.1</v>
      </c>
      <c r="C116" s="16">
        <f>IFERROR(__xludf.DUMMYFUNCTION("""COMPUTED_VALUE"""),45909.6458333333)</f>
        <v>45909.6458333333</v>
      </c>
      <c r="D116" s="17">
        <f>IFERROR(__xludf.DUMMYFUNCTION("""COMPUTED_VALUE"""),3667.8)</f>
        <v>3667.8</v>
      </c>
      <c r="E116" s="16">
        <f>IFERROR(__xludf.DUMMYFUNCTION("""COMPUTED_VALUE"""),45909.6458333333)</f>
        <v>45909.6458333333</v>
      </c>
      <c r="F116" s="17">
        <f>IFERROR(__xludf.DUMMYFUNCTION("""COMPUTED_VALUE"""),428367)</f>
        <v>428367</v>
      </c>
      <c r="G116" s="16">
        <f>IFERROR(__xludf.DUMMYFUNCTION("""COMPUTED_VALUE"""),45909.6458333333)</f>
        <v>45909.6458333333</v>
      </c>
      <c r="H116" s="17">
        <f>IFERROR(__xludf.DUMMYFUNCTION("""COMPUTED_VALUE"""),3667.8)</f>
        <v>3667.8</v>
      </c>
      <c r="I116" s="16">
        <f>IFERROR(__xludf.DUMMYFUNCTION("""COMPUTED_VALUE"""),45909.6458333333)</f>
        <v>45909.6458333333</v>
      </c>
      <c r="J116" s="17">
        <f>IFERROR(__xludf.DUMMYFUNCTION("""COMPUTED_VALUE"""),3619.2)</f>
        <v>3619.2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IFERROR(__xludf.DUMMYFUNCTION("""COMPUTED_VALUE"""),3620.6)</f>
        <v>3620.6</v>
      </c>
      <c r="C117" s="16">
        <f>IFERROR(__xludf.DUMMYFUNCTION("""COMPUTED_VALUE"""),45910.6458333333)</f>
        <v>45910.6458333333</v>
      </c>
      <c r="D117" s="17">
        <f>IFERROR(__xludf.DUMMYFUNCTION("""COMPUTED_VALUE"""),3632)</f>
        <v>3632</v>
      </c>
      <c r="E117" s="16">
        <f>IFERROR(__xludf.DUMMYFUNCTION("""COMPUTED_VALUE"""),45910.6458333333)</f>
        <v>45910.6458333333</v>
      </c>
      <c r="F117" s="17">
        <f>IFERROR(__xludf.DUMMYFUNCTION("""COMPUTED_VALUE"""),408800)</f>
        <v>408800</v>
      </c>
      <c r="G117" s="16">
        <f>IFERROR(__xludf.DUMMYFUNCTION("""COMPUTED_VALUE"""),45910.6458333333)</f>
        <v>45910.6458333333</v>
      </c>
      <c r="H117" s="17">
        <f>IFERROR(__xludf.DUMMYFUNCTION("""COMPUTED_VALUE"""),3648.7)</f>
        <v>3648.7</v>
      </c>
      <c r="I117" s="16">
        <f>IFERROR(__xludf.DUMMYFUNCTION("""COMPUTED_VALUE"""),45910.6458333333)</f>
        <v>45910.6458333333</v>
      </c>
      <c r="J117" s="17">
        <f>IFERROR(__xludf.DUMMYFUNCTION("""COMPUTED_VALUE"""),3608.2)</f>
        <v>3608.2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IFERROR(__xludf.DUMMYFUNCTION("""COMPUTED_VALUE"""),3584.2)</f>
        <v>3584.2</v>
      </c>
      <c r="C118" s="16">
        <f>IFERROR(__xludf.DUMMYFUNCTION("""COMPUTED_VALUE"""),45911.6458333333)</f>
        <v>45911.6458333333</v>
      </c>
      <c r="D118" s="17">
        <f>IFERROR(__xludf.DUMMYFUNCTION("""COMPUTED_VALUE"""),3620)</f>
        <v>3620</v>
      </c>
      <c r="E118" s="16">
        <f>IFERROR(__xludf.DUMMYFUNCTION("""COMPUTED_VALUE"""),45911.6458333333)</f>
        <v>45911.6458333333</v>
      </c>
      <c r="F118" s="17">
        <f>IFERROR(__xludf.DUMMYFUNCTION("""COMPUTED_VALUE"""),495417)</f>
        <v>495417</v>
      </c>
      <c r="G118" s="16">
        <f>IFERROR(__xludf.DUMMYFUNCTION("""COMPUTED_VALUE"""),45911.6458333333)</f>
        <v>45911.6458333333</v>
      </c>
      <c r="H118" s="17">
        <f>IFERROR(__xludf.DUMMYFUNCTION("""COMPUTED_VALUE"""),3644)</f>
        <v>3644</v>
      </c>
      <c r="I118" s="16">
        <f>IFERROR(__xludf.DUMMYFUNCTION("""COMPUTED_VALUE"""),45911.6458333333)</f>
        <v>45911.6458333333</v>
      </c>
      <c r="J118" s="17">
        <f>IFERROR(__xludf.DUMMYFUNCTION("""COMPUTED_VALUE"""),3580)</f>
        <v>3580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IFERROR(__xludf.DUMMYFUNCTION("""COMPUTED_VALUE"""),3571.9)</f>
        <v>3571.9</v>
      </c>
      <c r="C119" s="16">
        <f>IFERROR(__xludf.DUMMYFUNCTION("""COMPUTED_VALUE"""),45912.6458333333)</f>
        <v>45912.6458333333</v>
      </c>
      <c r="D119" s="17">
        <f>IFERROR(__xludf.DUMMYFUNCTION("""COMPUTED_VALUE"""),3589.9)</f>
        <v>3589.9</v>
      </c>
      <c r="E119" s="16">
        <f>IFERROR(__xludf.DUMMYFUNCTION("""COMPUTED_VALUE"""),45912.6458333333)</f>
        <v>45912.6458333333</v>
      </c>
      <c r="F119" s="17">
        <f>IFERROR(__xludf.DUMMYFUNCTION("""COMPUTED_VALUE"""),275049)</f>
        <v>275049</v>
      </c>
      <c r="G119" s="16">
        <f>IFERROR(__xludf.DUMMYFUNCTION("""COMPUTED_VALUE"""),45912.6458333333)</f>
        <v>45912.6458333333</v>
      </c>
      <c r="H119" s="17">
        <f>IFERROR(__xludf.DUMMYFUNCTION("""COMPUTED_VALUE"""),3598.2)</f>
        <v>3598.2</v>
      </c>
      <c r="I119" s="16">
        <f>IFERROR(__xludf.DUMMYFUNCTION("""COMPUTED_VALUE"""),45912.6458333333)</f>
        <v>45912.6458333333</v>
      </c>
      <c r="J119" s="17">
        <f>IFERROR(__xludf.DUMMYFUNCTION("""COMPUTED_VALUE"""),3563.9)</f>
        <v>3563.9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IFERROR(__xludf.DUMMYFUNCTION("""COMPUTED_VALUE"""),3534.1)</f>
        <v>3534.1</v>
      </c>
      <c r="C120" s="16">
        <f>IFERROR(__xludf.DUMMYFUNCTION("""COMPUTED_VALUE"""),45915.6458333333)</f>
        <v>45915.6458333333</v>
      </c>
      <c r="D120" s="17">
        <f>IFERROR(__xludf.DUMMYFUNCTION("""COMPUTED_VALUE"""),3556)</f>
        <v>3556</v>
      </c>
      <c r="E120" s="16">
        <f>IFERROR(__xludf.DUMMYFUNCTION("""COMPUTED_VALUE"""),45915.6458333333)</f>
        <v>45915.6458333333</v>
      </c>
      <c r="F120" s="17">
        <f>IFERROR(__xludf.DUMMYFUNCTION("""COMPUTED_VALUE"""),362285)</f>
        <v>362285</v>
      </c>
      <c r="G120" s="16">
        <f>IFERROR(__xludf.DUMMYFUNCTION("""COMPUTED_VALUE"""),45915.6458333333)</f>
        <v>45915.6458333333</v>
      </c>
      <c r="H120" s="17">
        <f>IFERROR(__xludf.DUMMYFUNCTION("""COMPUTED_VALUE"""),3576.5)</f>
        <v>3576.5</v>
      </c>
      <c r="I120" s="16">
        <f>IFERROR(__xludf.DUMMYFUNCTION("""COMPUTED_VALUE"""),45915.6458333333)</f>
        <v>45915.6458333333</v>
      </c>
      <c r="J120" s="17">
        <f>IFERROR(__xludf.DUMMYFUNCTION("""COMPUTED_VALUE"""),3515)</f>
        <v>3515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IFERROR(__xludf.DUMMYFUNCTION("""COMPUTED_VALUE"""),3556.8)</f>
        <v>3556.8</v>
      </c>
      <c r="C121" s="16">
        <f>IFERROR(__xludf.DUMMYFUNCTION("""COMPUTED_VALUE"""),45916.6458333333)</f>
        <v>45916.6458333333</v>
      </c>
      <c r="D121" s="17">
        <f>IFERROR(__xludf.DUMMYFUNCTION("""COMPUTED_VALUE"""),3525)</f>
        <v>3525</v>
      </c>
      <c r="E121" s="16">
        <f>IFERROR(__xludf.DUMMYFUNCTION("""COMPUTED_VALUE"""),45916.6458333333)</f>
        <v>45916.6458333333</v>
      </c>
      <c r="F121" s="17">
        <f>IFERROR(__xludf.DUMMYFUNCTION("""COMPUTED_VALUE"""),724742)</f>
        <v>724742</v>
      </c>
      <c r="G121" s="16">
        <f>IFERROR(__xludf.DUMMYFUNCTION("""COMPUTED_VALUE"""),45916.6458333333)</f>
        <v>45916.6458333333</v>
      </c>
      <c r="H121" s="17">
        <f>IFERROR(__xludf.DUMMYFUNCTION("""COMPUTED_VALUE"""),3570.3)</f>
        <v>3570.3</v>
      </c>
      <c r="I121" s="16">
        <f>IFERROR(__xludf.DUMMYFUNCTION("""COMPUTED_VALUE"""),45916.6458333333)</f>
        <v>45916.6458333333</v>
      </c>
      <c r="J121" s="17">
        <f>IFERROR(__xludf.DUMMYFUNCTION("""COMPUTED_VALUE"""),3502)</f>
        <v>3502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IFERROR(__xludf.DUMMYFUNCTION("""COMPUTED_VALUE"""),3523)</f>
        <v>3523</v>
      </c>
      <c r="C122" s="16">
        <f>IFERROR(__xludf.DUMMYFUNCTION("""COMPUTED_VALUE"""),45917.6458333333)</f>
        <v>45917.6458333333</v>
      </c>
      <c r="D122" s="17">
        <f>IFERROR(__xludf.DUMMYFUNCTION("""COMPUTED_VALUE"""),3561.9)</f>
        <v>3561.9</v>
      </c>
      <c r="E122" s="16">
        <f>IFERROR(__xludf.DUMMYFUNCTION("""COMPUTED_VALUE"""),45917.6458333333)</f>
        <v>45917.6458333333</v>
      </c>
      <c r="F122" s="17">
        <f>IFERROR(__xludf.DUMMYFUNCTION("""COMPUTED_VALUE"""),659866)</f>
        <v>659866</v>
      </c>
      <c r="G122" s="16">
        <f>IFERROR(__xludf.DUMMYFUNCTION("""COMPUTED_VALUE"""),45917.6458333333)</f>
        <v>45917.6458333333</v>
      </c>
      <c r="H122" s="17">
        <f>IFERROR(__xludf.DUMMYFUNCTION("""COMPUTED_VALUE"""),3572.7)</f>
        <v>3572.7</v>
      </c>
      <c r="I122" s="16">
        <f>IFERROR(__xludf.DUMMYFUNCTION("""COMPUTED_VALUE"""),45917.6458333333)</f>
        <v>45917.6458333333</v>
      </c>
      <c r="J122" s="17">
        <f>IFERROR(__xludf.DUMMYFUNCTION("""COMPUTED_VALUE"""),3513.2)</f>
        <v>3513.2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IFERROR(__xludf.DUMMYFUNCTION("""COMPUTED_VALUE"""),3511.3)</f>
        <v>3511.3</v>
      </c>
      <c r="C123" s="16">
        <f>IFERROR(__xludf.DUMMYFUNCTION("""COMPUTED_VALUE"""),45918.6458333333)</f>
        <v>45918.6458333333</v>
      </c>
      <c r="D123" s="17">
        <f>IFERROR(__xludf.DUMMYFUNCTION("""COMPUTED_VALUE"""),3530)</f>
        <v>3530</v>
      </c>
      <c r="E123" s="16">
        <f>IFERROR(__xludf.DUMMYFUNCTION("""COMPUTED_VALUE"""),45918.6458333333)</f>
        <v>45918.6458333333</v>
      </c>
      <c r="F123" s="17">
        <f>IFERROR(__xludf.DUMMYFUNCTION("""COMPUTED_VALUE"""),829442)</f>
        <v>829442</v>
      </c>
      <c r="G123" s="16">
        <f>IFERROR(__xludf.DUMMYFUNCTION("""COMPUTED_VALUE"""),45918.6458333333)</f>
        <v>45918.6458333333</v>
      </c>
      <c r="H123" s="17">
        <f>IFERROR(__xludf.DUMMYFUNCTION("""COMPUTED_VALUE"""),3546)</f>
        <v>3546</v>
      </c>
      <c r="I123" s="16">
        <f>IFERROR(__xludf.DUMMYFUNCTION("""COMPUTED_VALUE"""),45918.6458333333)</f>
        <v>45918.6458333333</v>
      </c>
      <c r="J123" s="17">
        <f>IFERROR(__xludf.DUMMYFUNCTION("""COMPUTED_VALUE"""),3503.4)</f>
        <v>3503.4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IFERROR(__xludf.DUMMYFUNCTION("""COMPUTED_VALUE"""),3467.2)</f>
        <v>3467.2</v>
      </c>
      <c r="C124" s="16">
        <f>IFERROR(__xludf.DUMMYFUNCTION("""COMPUTED_VALUE"""),45919.6458333333)</f>
        <v>45919.6458333333</v>
      </c>
      <c r="D124" s="17">
        <f>IFERROR(__xludf.DUMMYFUNCTION("""COMPUTED_VALUE"""),3504)</f>
        <v>3504</v>
      </c>
      <c r="E124" s="16">
        <f>IFERROR(__xludf.DUMMYFUNCTION("""COMPUTED_VALUE"""),45919.6458333333)</f>
        <v>45919.6458333333</v>
      </c>
      <c r="F124" s="17">
        <f>IFERROR(__xludf.DUMMYFUNCTION("""COMPUTED_VALUE"""),2337255)</f>
        <v>2337255</v>
      </c>
      <c r="G124" s="16">
        <f>IFERROR(__xludf.DUMMYFUNCTION("""COMPUTED_VALUE"""),45919.6458333333)</f>
        <v>45919.6458333333</v>
      </c>
      <c r="H124" s="17">
        <f>IFERROR(__xludf.DUMMYFUNCTION("""COMPUTED_VALUE"""),3511.3)</f>
        <v>3511.3</v>
      </c>
      <c r="I124" s="16">
        <f>IFERROR(__xludf.DUMMYFUNCTION("""COMPUTED_VALUE"""),45919.6458333333)</f>
        <v>45919.6458333333</v>
      </c>
      <c r="J124" s="17">
        <f>IFERROR(__xludf.DUMMYFUNCTION("""COMPUTED_VALUE"""),3460)</f>
        <v>3460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IFERROR(__xludf.DUMMYFUNCTION("""COMPUTED_VALUE"""),3457.5)</f>
        <v>3457.5</v>
      </c>
      <c r="C125" s="16">
        <f>IFERROR(__xludf.DUMMYFUNCTION("""COMPUTED_VALUE"""),45922.6458333333)</f>
        <v>45922.6458333333</v>
      </c>
      <c r="D125" s="17">
        <f>IFERROR(__xludf.DUMMYFUNCTION("""COMPUTED_VALUE"""),3458.2)</f>
        <v>3458.2</v>
      </c>
      <c r="E125" s="16">
        <f>IFERROR(__xludf.DUMMYFUNCTION("""COMPUTED_VALUE"""),45922.6458333333)</f>
        <v>45922.6458333333</v>
      </c>
      <c r="F125" s="17">
        <f>IFERROR(__xludf.DUMMYFUNCTION("""COMPUTED_VALUE"""),817833)</f>
        <v>817833</v>
      </c>
      <c r="G125" s="16">
        <f>IFERROR(__xludf.DUMMYFUNCTION("""COMPUTED_VALUE"""),45922.6458333333)</f>
        <v>45922.6458333333</v>
      </c>
      <c r="H125" s="17">
        <f>IFERROR(__xludf.DUMMYFUNCTION("""COMPUTED_VALUE"""),3477)</f>
        <v>3477</v>
      </c>
      <c r="I125" s="16">
        <f>IFERROR(__xludf.DUMMYFUNCTION("""COMPUTED_VALUE"""),45922.6458333333)</f>
        <v>45922.6458333333</v>
      </c>
      <c r="J125" s="17">
        <f>IFERROR(__xludf.DUMMYFUNCTION("""COMPUTED_VALUE"""),3440)</f>
        <v>3440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IFERROR(__xludf.DUMMYFUNCTION("""COMPUTED_VALUE"""),3439.2)</f>
        <v>3439.2</v>
      </c>
      <c r="C126" s="16">
        <f>IFERROR(__xludf.DUMMYFUNCTION("""COMPUTED_VALUE"""),45923.6458333333)</f>
        <v>45923.6458333333</v>
      </c>
      <c r="D126" s="17">
        <f>IFERROR(__xludf.DUMMYFUNCTION("""COMPUTED_VALUE"""),3465.2)</f>
        <v>3465.2</v>
      </c>
      <c r="E126" s="16">
        <f>IFERROR(__xludf.DUMMYFUNCTION("""COMPUTED_VALUE"""),45923.6458333333)</f>
        <v>45923.6458333333</v>
      </c>
      <c r="F126" s="17">
        <f>IFERROR(__xludf.DUMMYFUNCTION("""COMPUTED_VALUE"""),1144975)</f>
        <v>1144975</v>
      </c>
      <c r="G126" s="16">
        <f>IFERROR(__xludf.DUMMYFUNCTION("""COMPUTED_VALUE"""),45923.6458333333)</f>
        <v>45923.6458333333</v>
      </c>
      <c r="H126" s="17">
        <f>IFERROR(__xludf.DUMMYFUNCTION("""COMPUTED_VALUE"""),3465.3)</f>
        <v>3465.3</v>
      </c>
      <c r="I126" s="16">
        <f>IFERROR(__xludf.DUMMYFUNCTION("""COMPUTED_VALUE"""),45923.6458333333)</f>
        <v>45923.6458333333</v>
      </c>
      <c r="J126" s="17">
        <f>IFERROR(__xludf.DUMMYFUNCTION("""COMPUTED_VALUE"""),3405)</f>
        <v>3405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IFERROR(__xludf.DUMMYFUNCTION("""COMPUTED_VALUE"""),3418.3)</f>
        <v>3418.3</v>
      </c>
      <c r="C127" s="16">
        <f>IFERROR(__xludf.DUMMYFUNCTION("""COMPUTED_VALUE"""),45924.6458333333)</f>
        <v>45924.6458333333</v>
      </c>
      <c r="D127" s="17">
        <f>IFERROR(__xludf.DUMMYFUNCTION("""COMPUTED_VALUE"""),3430)</f>
        <v>3430</v>
      </c>
      <c r="E127" s="16">
        <f>IFERROR(__xludf.DUMMYFUNCTION("""COMPUTED_VALUE"""),45924.6458333333)</f>
        <v>45924.6458333333</v>
      </c>
      <c r="F127" s="17">
        <f>IFERROR(__xludf.DUMMYFUNCTION("""COMPUTED_VALUE"""),690454)</f>
        <v>690454</v>
      </c>
      <c r="G127" s="16">
        <f>IFERROR(__xludf.DUMMYFUNCTION("""COMPUTED_VALUE"""),45924.6458333333)</f>
        <v>45924.6458333333</v>
      </c>
      <c r="H127" s="17">
        <f>IFERROR(__xludf.DUMMYFUNCTION("""COMPUTED_VALUE"""),3437.4)</f>
        <v>3437.4</v>
      </c>
      <c r="I127" s="16">
        <f>IFERROR(__xludf.DUMMYFUNCTION("""COMPUTED_VALUE"""),45924.6458333333)</f>
        <v>45924.6458333333</v>
      </c>
      <c r="J127" s="17">
        <f>IFERROR(__xludf.DUMMYFUNCTION("""COMPUTED_VALUE"""),3411)</f>
        <v>3411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IFERROR(__xludf.DUMMYFUNCTION("""COMPUTED_VALUE"""),3378.5)</f>
        <v>3378.5</v>
      </c>
      <c r="C128" s="16">
        <f>IFERROR(__xludf.DUMMYFUNCTION("""COMPUTED_VALUE"""),45925.6458333333)</f>
        <v>45925.6458333333</v>
      </c>
      <c r="D128" s="17">
        <f>IFERROR(__xludf.DUMMYFUNCTION("""COMPUTED_VALUE"""),3408)</f>
        <v>3408</v>
      </c>
      <c r="E128" s="16">
        <f>IFERROR(__xludf.DUMMYFUNCTION("""COMPUTED_VALUE"""),45925.6458333333)</f>
        <v>45925.6458333333</v>
      </c>
      <c r="F128" s="17">
        <f>IFERROR(__xludf.DUMMYFUNCTION("""COMPUTED_VALUE"""),1139904)</f>
        <v>1139904</v>
      </c>
      <c r="G128" s="16">
        <f>IFERROR(__xludf.DUMMYFUNCTION("""COMPUTED_VALUE"""),45925.6458333333)</f>
        <v>45925.6458333333</v>
      </c>
      <c r="H128" s="17">
        <f>IFERROR(__xludf.DUMMYFUNCTION("""COMPUTED_VALUE"""),3419.9)</f>
        <v>3419.9</v>
      </c>
      <c r="I128" s="16">
        <f>IFERROR(__xludf.DUMMYFUNCTION("""COMPUTED_VALUE"""),45925.6458333333)</f>
        <v>45925.6458333333</v>
      </c>
      <c r="J128" s="17">
        <f>IFERROR(__xludf.DUMMYFUNCTION("""COMPUTED_VALUE"""),3370)</f>
        <v>3370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IFERROR(__xludf.DUMMYFUNCTION("""COMPUTED_VALUE"""),3327.3)</f>
        <v>3327.3</v>
      </c>
      <c r="C129" s="16">
        <f>IFERROR(__xludf.DUMMYFUNCTION("""COMPUTED_VALUE"""),45926.6458333333)</f>
        <v>45926.6458333333</v>
      </c>
      <c r="D129" s="17">
        <f>IFERROR(__xludf.DUMMYFUNCTION("""COMPUTED_VALUE"""),3387.7)</f>
        <v>3387.7</v>
      </c>
      <c r="E129" s="16">
        <f>IFERROR(__xludf.DUMMYFUNCTION("""COMPUTED_VALUE"""),45926.6458333333)</f>
        <v>45926.6458333333</v>
      </c>
      <c r="F129" s="17">
        <f>IFERROR(__xludf.DUMMYFUNCTION("""COMPUTED_VALUE"""),7524068)</f>
        <v>7524068</v>
      </c>
      <c r="G129" s="16">
        <f>IFERROR(__xludf.DUMMYFUNCTION("""COMPUTED_VALUE"""),45926.6458333333)</f>
        <v>45926.6458333333</v>
      </c>
      <c r="H129" s="17">
        <f>IFERROR(__xludf.DUMMYFUNCTION("""COMPUTED_VALUE"""),3402)</f>
        <v>3402</v>
      </c>
      <c r="I129" s="16">
        <f>IFERROR(__xludf.DUMMYFUNCTION("""COMPUTED_VALUE"""),45926.6458333333)</f>
        <v>45926.6458333333</v>
      </c>
      <c r="J129" s="17">
        <f>IFERROR(__xludf.DUMMYFUNCTION("""COMPUTED_VALUE"""),3303.1)</f>
        <v>3303.1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90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""price"")"),12090)</f>
        <v>12090</v>
      </c>
      <c r="I3" s="22" t="s">
        <v>269</v>
      </c>
      <c r="J3" s="23">
        <f>IFERROR(__xludf.DUMMYFUNCTION("GOOGLEFINANCE(L3, ""volume"")"),181541)</f>
        <v>181541</v>
      </c>
      <c r="K3" s="24" t="s">
        <v>270</v>
      </c>
      <c r="L3" s="25" t="str">
        <f>Mastersheet!B41</f>
        <v>NSE:ULTRACEMCO</v>
      </c>
      <c r="M3" s="26">
        <f>IFERROR(__xludf.DUMMYFUNCTION("""COMPUTED_VALUE"""),45926.6458333333)</f>
        <v>45926.6458333333</v>
      </c>
      <c r="N3" s="27">
        <f>IFERROR(__xludf.DUMMYFUNCTION("""COMPUTED_VALUE"""),12070)</f>
        <v>12070</v>
      </c>
      <c r="O3" s="26">
        <f>IFERROR(__xludf.DUMMYFUNCTION("""COMPUTED_VALUE"""),45926.6458333333)</f>
        <v>45926.6458333333</v>
      </c>
      <c r="P3" s="27">
        <f>IFERROR(__xludf.DUMMYFUNCTION("""COMPUTED_VALUE"""),12140)</f>
        <v>12140</v>
      </c>
      <c r="Q3" s="16">
        <f>IFERROR(__xludf.DUMMYFUNCTION("""COMPUTED_VALUE"""),45926.6458333333)</f>
        <v>45926.6458333333</v>
      </c>
      <c r="R3" s="17">
        <f>IFERROR(__xludf.DUMMYFUNCTION("""COMPUTED_VALUE"""),12199)</f>
        <v>12199</v>
      </c>
      <c r="S3" s="16">
        <f>IFERROR(__xludf.DUMMYFUNCTION("""COMPUTED_VALUE"""),45926.6458333333)</f>
        <v>45926.6458333333</v>
      </c>
      <c r="T3" s="17">
        <f>IFERROR(__xludf.DUMMYFUNCTION("""COMPUTED_VALUE"""),11990)</f>
        <v>11990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IFERROR(__xludf.DUMMYFUNCTION("""COMPUTED_VALUE"""),11599.6)</f>
        <v>11599.6</v>
      </c>
      <c r="C5" s="14">
        <f>IFERROR(__xludf.DUMMYFUNCTION("""COMPUTED_VALUE"""),45743.6458333333)</f>
        <v>45743.6458333333</v>
      </c>
      <c r="D5" s="15">
        <f>IFERROR(__xludf.DUMMYFUNCTION("""COMPUTED_VALUE"""),11400.5)</f>
        <v>11400.5</v>
      </c>
      <c r="E5" s="14">
        <f>IFERROR(__xludf.DUMMYFUNCTION("""COMPUTED_VALUE"""),45743.6458333333)</f>
        <v>45743.6458333333</v>
      </c>
      <c r="F5" s="15">
        <f>IFERROR(__xludf.DUMMYFUNCTION("""COMPUTED_VALUE"""),406112)</f>
        <v>406112</v>
      </c>
      <c r="G5" s="14">
        <f>IFERROR(__xludf.DUMMYFUNCTION("""COMPUTED_VALUE"""),45743.6458333333)</f>
        <v>45743.6458333333</v>
      </c>
      <c r="H5" s="15">
        <f>IFERROR(__xludf.DUMMYFUNCTION("""COMPUTED_VALUE"""),11629.95)</f>
        <v>11629.95</v>
      </c>
      <c r="I5" s="30">
        <f>IFERROR(__xludf.DUMMYFUNCTION("""COMPUTED_VALUE"""),45743.6458333333)</f>
        <v>45743.6458333333</v>
      </c>
      <c r="J5" s="3">
        <f>IFERROR(__xludf.DUMMYFUNCTION("""COMPUTED_VALUE"""),11350)</f>
        <v>11350</v>
      </c>
      <c r="K5" s="5"/>
      <c r="L5" s="5"/>
      <c r="M5" s="3">
        <f t="array" ref="M5">INDEX(K11:K124,MATCH(SMALL(ABS(K11:K124-H3),1),ABS(K11:K124-H3),0))</f>
        <v>12237</v>
      </c>
      <c r="N5" s="3">
        <f t="array" ref="N5">INDEX(K11:K124,MATCH(SMALL(ABS(K11:K124-H3),2),ABS(K11:K124-H3),0))</f>
        <v>11929</v>
      </c>
      <c r="O5" s="3">
        <f t="array" ref="O5">INDEX(L11:L124,MATCH(SMALL(ABS(L11:L124-H3),1),ABS(L11:L124-H3),0))</f>
        <v>12113</v>
      </c>
      <c r="P5" s="3">
        <f t="array" ref="P5">INDEX(L11:L124,MATCH(SMALL(ABS(L11:L124-H3),2),ABS(L11:L124-H3),0))</f>
        <v>12370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12577</v>
      </c>
      <c r="T5" s="17">
        <f ca="1">IF(AND(H3&gt;=Mastersheet!I3*S5,H3&lt;=Mastersheet!J3*S5),1,0)</f>
        <v>0</v>
      </c>
      <c r="U5" s="36">
        <f>(N3+P3)/2</f>
        <v>12105</v>
      </c>
      <c r="V5" s="17">
        <f>(N3+P3+R3+T3)/4</f>
        <v>12099.75</v>
      </c>
      <c r="W5" s="17">
        <f>IF(V5&gt;U5,1,0)</f>
        <v>0</v>
      </c>
      <c r="X5" s="17">
        <f>IF(V5&gt;U5,0,1)</f>
        <v>1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IFERROR(__xludf.DUMMYFUNCTION("""COMPUTED_VALUE"""),11509.55)</f>
        <v>11509.55</v>
      </c>
      <c r="C6" s="16">
        <f>IFERROR(__xludf.DUMMYFUNCTION("""COMPUTED_VALUE"""),45744.6458333333)</f>
        <v>45744.6458333333</v>
      </c>
      <c r="D6" s="17">
        <f>IFERROR(__xludf.DUMMYFUNCTION("""COMPUTED_VALUE"""),11585.5)</f>
        <v>11585.5</v>
      </c>
      <c r="E6" s="16">
        <f>IFERROR(__xludf.DUMMYFUNCTION("""COMPUTED_VALUE"""),45744.6458333333)</f>
        <v>45744.6458333333</v>
      </c>
      <c r="F6" s="17">
        <f>IFERROR(__xludf.DUMMYFUNCTION("""COMPUTED_VALUE"""),280960)</f>
        <v>280960</v>
      </c>
      <c r="G6" s="16">
        <f>IFERROR(__xludf.DUMMYFUNCTION("""COMPUTED_VALUE"""),45744.6458333333)</f>
        <v>45744.6458333333</v>
      </c>
      <c r="H6" s="17">
        <f>IFERROR(__xludf.DUMMYFUNCTION("""COMPUTED_VALUE"""),11699)</f>
        <v>11699</v>
      </c>
      <c r="I6" s="16">
        <f>IFERROR(__xludf.DUMMYFUNCTION("""COMPUTED_VALUE"""),45744.6458333333)</f>
        <v>45744.6458333333</v>
      </c>
      <c r="J6" s="17">
        <f>IFERROR(__xludf.DUMMYFUNCTION("""COMPUTED_VALUE"""),11458.65)</f>
        <v>11458.65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1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IFERROR(__xludf.DUMMYFUNCTION("""COMPUTED_VALUE"""),11378.65)</f>
        <v>11378.65</v>
      </c>
      <c r="C7" s="16">
        <f>IFERROR(__xludf.DUMMYFUNCTION("""COMPUTED_VALUE"""),45748.6458333333)</f>
        <v>45748.6458333333</v>
      </c>
      <c r="D7" s="17">
        <f>IFERROR(__xludf.DUMMYFUNCTION("""COMPUTED_VALUE"""),11350)</f>
        <v>11350</v>
      </c>
      <c r="E7" s="16">
        <f>IFERROR(__xludf.DUMMYFUNCTION("""COMPUTED_VALUE"""),45748.6458333333)</f>
        <v>45748.6458333333</v>
      </c>
      <c r="F7" s="17">
        <f>IFERROR(__xludf.DUMMYFUNCTION("""COMPUTED_VALUE"""),263144)</f>
        <v>263144</v>
      </c>
      <c r="G7" s="16">
        <f>IFERROR(__xludf.DUMMYFUNCTION("""COMPUTED_VALUE"""),45748.6458333333)</f>
        <v>45748.6458333333</v>
      </c>
      <c r="H7" s="17">
        <f>IFERROR(__xludf.DUMMYFUNCTION("""COMPUTED_VALUE"""),11565.65)</f>
        <v>11565.65</v>
      </c>
      <c r="I7" s="16">
        <f>IFERROR(__xludf.DUMMYFUNCTION("""COMPUTED_VALUE"""),45748.6458333333)</f>
        <v>45748.6458333333</v>
      </c>
      <c r="J7" s="17">
        <f>IFERROR(__xludf.DUMMYFUNCTION("""COMPUTED_VALUE"""),11337.15)</f>
        <v>11337.15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IFERROR(__xludf.DUMMYFUNCTION("""COMPUTED_VALUE"""),11250.95)</f>
        <v>11250.95</v>
      </c>
      <c r="C8" s="16">
        <f>IFERROR(__xludf.DUMMYFUNCTION("""COMPUTED_VALUE"""),45749.6458333333)</f>
        <v>45749.6458333333</v>
      </c>
      <c r="D8" s="17">
        <f>IFERROR(__xludf.DUMMYFUNCTION("""COMPUTED_VALUE"""),11360)</f>
        <v>11360</v>
      </c>
      <c r="E8" s="16">
        <f>IFERROR(__xludf.DUMMYFUNCTION("""COMPUTED_VALUE"""),45749.6458333333)</f>
        <v>45749.6458333333</v>
      </c>
      <c r="F8" s="17">
        <f>IFERROR(__xludf.DUMMYFUNCTION("""COMPUTED_VALUE"""),376468)</f>
        <v>376468</v>
      </c>
      <c r="G8" s="16">
        <f>IFERROR(__xludf.DUMMYFUNCTION("""COMPUTED_VALUE"""),45749.6458333333)</f>
        <v>45749.6458333333</v>
      </c>
      <c r="H8" s="17">
        <f>IFERROR(__xludf.DUMMYFUNCTION("""COMPUTED_VALUE"""),11360)</f>
        <v>11360</v>
      </c>
      <c r="I8" s="16">
        <f>IFERROR(__xludf.DUMMYFUNCTION("""COMPUTED_VALUE"""),45749.6458333333)</f>
        <v>45749.6458333333</v>
      </c>
      <c r="J8" s="17">
        <f>IFERROR(__xludf.DUMMYFUNCTION("""COMPUTED_VALUE"""),11178.1)</f>
        <v>11178.1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IFERROR(__xludf.DUMMYFUNCTION("""COMPUTED_VALUE"""),11606.6)</f>
        <v>11606.6</v>
      </c>
      <c r="C9" s="16">
        <f>IFERROR(__xludf.DUMMYFUNCTION("""COMPUTED_VALUE"""),45750.6458333333)</f>
        <v>45750.6458333333</v>
      </c>
      <c r="D9" s="17">
        <f>IFERROR(__xludf.DUMMYFUNCTION("""COMPUTED_VALUE"""),11189)</f>
        <v>11189</v>
      </c>
      <c r="E9" s="16">
        <f>IFERROR(__xludf.DUMMYFUNCTION("""COMPUTED_VALUE"""),45750.6458333333)</f>
        <v>45750.6458333333</v>
      </c>
      <c r="F9" s="17">
        <f>IFERROR(__xludf.DUMMYFUNCTION("""COMPUTED_VALUE"""),361884)</f>
        <v>361884</v>
      </c>
      <c r="G9" s="16">
        <f>IFERROR(__xludf.DUMMYFUNCTION("""COMPUTED_VALUE"""),45750.6458333333)</f>
        <v>45750.6458333333</v>
      </c>
      <c r="H9" s="17">
        <f>IFERROR(__xludf.DUMMYFUNCTION("""COMPUTED_VALUE"""),11650.05)</f>
        <v>11650.05</v>
      </c>
      <c r="I9" s="16">
        <f>IFERROR(__xludf.DUMMYFUNCTION("""COMPUTED_VALUE"""),45750.6458333333)</f>
        <v>45750.6458333333</v>
      </c>
      <c r="J9" s="17">
        <f>IFERROR(__xludf.DUMMYFUNCTION("""COMPUTED_VALUE"""),11155)</f>
        <v>11155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IFERROR(__xludf.DUMMYFUNCTION("""COMPUTED_VALUE"""),11498.65)</f>
        <v>11498.65</v>
      </c>
      <c r="C10" s="16">
        <f>IFERROR(__xludf.DUMMYFUNCTION("""COMPUTED_VALUE"""),45751.6458333333)</f>
        <v>45751.6458333333</v>
      </c>
      <c r="D10" s="17">
        <f>IFERROR(__xludf.DUMMYFUNCTION("""COMPUTED_VALUE"""),11599)</f>
        <v>11599</v>
      </c>
      <c r="E10" s="16">
        <f>IFERROR(__xludf.DUMMYFUNCTION("""COMPUTED_VALUE"""),45751.6458333333)</f>
        <v>45751.6458333333</v>
      </c>
      <c r="F10" s="17">
        <f>IFERROR(__xludf.DUMMYFUNCTION("""COMPUTED_VALUE"""),222191)</f>
        <v>222191</v>
      </c>
      <c r="G10" s="16">
        <f>IFERROR(__xludf.DUMMYFUNCTION("""COMPUTED_VALUE"""),45751.6458333333)</f>
        <v>45751.6458333333</v>
      </c>
      <c r="H10" s="17">
        <f>IFERROR(__xludf.DUMMYFUNCTION("""COMPUTED_VALUE"""),11613.5)</f>
        <v>11613.5</v>
      </c>
      <c r="I10" s="16">
        <f>IFERROR(__xludf.DUMMYFUNCTION("""COMPUTED_VALUE"""),45751.6458333333)</f>
        <v>45751.6458333333</v>
      </c>
      <c r="J10" s="17">
        <f>IFERROR(__xludf.DUMMYFUNCTION("""COMPUTED_VALUE"""),11421)</f>
        <v>11421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IFERROR(__xludf.DUMMYFUNCTION("""COMPUTED_VALUE"""),11191.6)</f>
        <v>11191.6</v>
      </c>
      <c r="C11" s="16">
        <f>IFERROR(__xludf.DUMMYFUNCTION("""COMPUTED_VALUE"""),45754.6458333333)</f>
        <v>45754.6458333333</v>
      </c>
      <c r="D11" s="17">
        <f>IFERROR(__xludf.DUMMYFUNCTION("""COMPUTED_VALUE"""),11200)</f>
        <v>11200</v>
      </c>
      <c r="E11" s="16">
        <f>IFERROR(__xludf.DUMMYFUNCTION("""COMPUTED_VALUE"""),45754.6458333333)</f>
        <v>45754.6458333333</v>
      </c>
      <c r="F11" s="17">
        <f>IFERROR(__xludf.DUMMYFUNCTION("""COMPUTED_VALUE"""),484513)</f>
        <v>484513</v>
      </c>
      <c r="G11" s="16">
        <f>IFERROR(__xludf.DUMMYFUNCTION("""COMPUTED_VALUE"""),45754.6458333333)</f>
        <v>45754.6458333333</v>
      </c>
      <c r="H11" s="17">
        <f>IFERROR(__xludf.DUMMYFUNCTION("""COMPUTED_VALUE"""),11300.05)</f>
        <v>11300.05</v>
      </c>
      <c r="I11" s="16">
        <f>IFERROR(__xludf.DUMMYFUNCTION("""COMPUTED_VALUE"""),45754.6458333333)</f>
        <v>45754.6458333333</v>
      </c>
      <c r="J11" s="17">
        <f>IFERROR(__xludf.DUMMYFUNCTION("""COMPUTED_VALUE"""),11015.05)</f>
        <v>11015.05</v>
      </c>
      <c r="K11" s="3">
        <f t="shared" ref="K11:K125" si="2">IF(B11=MAX(B5:B17),B11,0)</f>
        <v>0</v>
      </c>
      <c r="L11" s="3">
        <f t="shared" ref="L11:L125" si="3">IF(B11=MIN(B5:B17),B11,0)</f>
        <v>11191.6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IFERROR(__xludf.DUMMYFUNCTION("""COMPUTED_VALUE"""),11270.45)</f>
        <v>11270.45</v>
      </c>
      <c r="C12" s="16">
        <f>IFERROR(__xludf.DUMMYFUNCTION("""COMPUTED_VALUE"""),45755.6458333333)</f>
        <v>45755.6458333333</v>
      </c>
      <c r="D12" s="17">
        <f>IFERROR(__xludf.DUMMYFUNCTION("""COMPUTED_VALUE"""),11317.75)</f>
        <v>11317.75</v>
      </c>
      <c r="E12" s="16">
        <f>IFERROR(__xludf.DUMMYFUNCTION("""COMPUTED_VALUE"""),45755.6458333333)</f>
        <v>45755.6458333333</v>
      </c>
      <c r="F12" s="17">
        <f>IFERROR(__xludf.DUMMYFUNCTION("""COMPUTED_VALUE"""),602120)</f>
        <v>602120</v>
      </c>
      <c r="G12" s="16">
        <f>IFERROR(__xludf.DUMMYFUNCTION("""COMPUTED_VALUE"""),45755.6458333333)</f>
        <v>45755.6458333333</v>
      </c>
      <c r="H12" s="17">
        <f>IFERROR(__xludf.DUMMYFUNCTION("""COMPUTED_VALUE"""),11542.75)</f>
        <v>11542.75</v>
      </c>
      <c r="I12" s="16">
        <f>IFERROR(__xludf.DUMMYFUNCTION("""COMPUTED_VALUE"""),45755.6458333333)</f>
        <v>45755.6458333333</v>
      </c>
      <c r="J12" s="17">
        <f>IFERROR(__xludf.DUMMYFUNCTION("""COMPUTED_VALUE"""),11240.8)</f>
        <v>11240.8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IFERROR(__xludf.DUMMYFUNCTION("""COMPUTED_VALUE"""),11397.05)</f>
        <v>11397.05</v>
      </c>
      <c r="C13" s="16">
        <f>IFERROR(__xludf.DUMMYFUNCTION("""COMPUTED_VALUE"""),45756.6458333333)</f>
        <v>45756.6458333333</v>
      </c>
      <c r="D13" s="17">
        <f>IFERROR(__xludf.DUMMYFUNCTION("""COMPUTED_VALUE"""),11288.85)</f>
        <v>11288.85</v>
      </c>
      <c r="E13" s="16">
        <f>IFERROR(__xludf.DUMMYFUNCTION("""COMPUTED_VALUE"""),45756.6458333333)</f>
        <v>45756.6458333333</v>
      </c>
      <c r="F13" s="17">
        <f>IFERROR(__xludf.DUMMYFUNCTION("""COMPUTED_VALUE"""),230611)</f>
        <v>230611</v>
      </c>
      <c r="G13" s="16">
        <f>IFERROR(__xludf.DUMMYFUNCTION("""COMPUTED_VALUE"""),45756.6458333333)</f>
        <v>45756.6458333333</v>
      </c>
      <c r="H13" s="17">
        <f>IFERROR(__xludf.DUMMYFUNCTION("""COMPUTED_VALUE"""),11423)</f>
        <v>11423</v>
      </c>
      <c r="I13" s="16">
        <f>IFERROR(__xludf.DUMMYFUNCTION("""COMPUTED_VALUE"""),45756.6458333333)</f>
        <v>45756.6458333333</v>
      </c>
      <c r="J13" s="17">
        <f>IFERROR(__xludf.DUMMYFUNCTION("""COMPUTED_VALUE"""),11180)</f>
        <v>11180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IFERROR(__xludf.DUMMYFUNCTION("""COMPUTED_VALUE"""),11502.65)</f>
        <v>11502.65</v>
      </c>
      <c r="C14" s="16">
        <f>IFERROR(__xludf.DUMMYFUNCTION("""COMPUTED_VALUE"""),45758.6458333333)</f>
        <v>45758.6458333333</v>
      </c>
      <c r="D14" s="17">
        <f>IFERROR(__xludf.DUMMYFUNCTION("""COMPUTED_VALUE"""),11842.35)</f>
        <v>11842.35</v>
      </c>
      <c r="E14" s="16">
        <f>IFERROR(__xludf.DUMMYFUNCTION("""COMPUTED_VALUE"""),45758.6458333333)</f>
        <v>45758.6458333333</v>
      </c>
      <c r="F14" s="17">
        <f>IFERROR(__xludf.DUMMYFUNCTION("""COMPUTED_VALUE"""),351037)</f>
        <v>351037</v>
      </c>
      <c r="G14" s="16">
        <f>IFERROR(__xludf.DUMMYFUNCTION("""COMPUTED_VALUE"""),45758.6458333333)</f>
        <v>45758.6458333333</v>
      </c>
      <c r="H14" s="17">
        <f>IFERROR(__xludf.DUMMYFUNCTION("""COMPUTED_VALUE"""),11842.35)</f>
        <v>11842.35</v>
      </c>
      <c r="I14" s="16">
        <f>IFERROR(__xludf.DUMMYFUNCTION("""COMPUTED_VALUE"""),45758.6458333333)</f>
        <v>45758.6458333333</v>
      </c>
      <c r="J14" s="17">
        <f>IFERROR(__xludf.DUMMYFUNCTION("""COMPUTED_VALUE"""),11454.05)</f>
        <v>11454.05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IFERROR(__xludf.DUMMYFUNCTION("""COMPUTED_VALUE"""),11719)</f>
        <v>11719</v>
      </c>
      <c r="C15" s="16">
        <f>IFERROR(__xludf.DUMMYFUNCTION("""COMPUTED_VALUE"""),45762.6458333333)</f>
        <v>45762.6458333333</v>
      </c>
      <c r="D15" s="17">
        <f>IFERROR(__xludf.DUMMYFUNCTION("""COMPUTED_VALUE"""),11749)</f>
        <v>11749</v>
      </c>
      <c r="E15" s="16">
        <f>IFERROR(__xludf.DUMMYFUNCTION("""COMPUTED_VALUE"""),45762.6458333333)</f>
        <v>45762.6458333333</v>
      </c>
      <c r="F15" s="17">
        <f>IFERROR(__xludf.DUMMYFUNCTION("""COMPUTED_VALUE"""),345260)</f>
        <v>345260</v>
      </c>
      <c r="G15" s="16">
        <f>IFERROR(__xludf.DUMMYFUNCTION("""COMPUTED_VALUE"""),45762.6458333333)</f>
        <v>45762.6458333333</v>
      </c>
      <c r="H15" s="17">
        <f>IFERROR(__xludf.DUMMYFUNCTION("""COMPUTED_VALUE"""),11749)</f>
        <v>11749</v>
      </c>
      <c r="I15" s="16">
        <f>IFERROR(__xludf.DUMMYFUNCTION("""COMPUTED_VALUE"""),45762.6458333333)</f>
        <v>45762.6458333333</v>
      </c>
      <c r="J15" s="17">
        <f>IFERROR(__xludf.DUMMYFUNCTION("""COMPUTED_VALUE"""),11581)</f>
        <v>11581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IFERROR(__xludf.DUMMYFUNCTION("""COMPUTED_VALUE"""),11728)</f>
        <v>11728</v>
      </c>
      <c r="C16" s="16">
        <f>IFERROR(__xludf.DUMMYFUNCTION("""COMPUTED_VALUE"""),45763.6458333333)</f>
        <v>45763.6458333333</v>
      </c>
      <c r="D16" s="17">
        <f>IFERROR(__xludf.DUMMYFUNCTION("""COMPUTED_VALUE"""),11667)</f>
        <v>11667</v>
      </c>
      <c r="E16" s="16">
        <f>IFERROR(__xludf.DUMMYFUNCTION("""COMPUTED_VALUE"""),45763.6458333333)</f>
        <v>45763.6458333333</v>
      </c>
      <c r="F16" s="17">
        <f>IFERROR(__xludf.DUMMYFUNCTION("""COMPUTED_VALUE"""),268150)</f>
        <v>268150</v>
      </c>
      <c r="G16" s="16">
        <f>IFERROR(__xludf.DUMMYFUNCTION("""COMPUTED_VALUE"""),45763.6458333333)</f>
        <v>45763.6458333333</v>
      </c>
      <c r="H16" s="17">
        <f>IFERROR(__xludf.DUMMYFUNCTION("""COMPUTED_VALUE"""),11827)</f>
        <v>11827</v>
      </c>
      <c r="I16" s="16">
        <f>IFERROR(__xludf.DUMMYFUNCTION("""COMPUTED_VALUE"""),45763.6458333333)</f>
        <v>45763.6458333333</v>
      </c>
      <c r="J16" s="17">
        <f>IFERROR(__xludf.DUMMYFUNCTION("""COMPUTED_VALUE"""),11667)</f>
        <v>11667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IFERROR(__xludf.DUMMYFUNCTION("""COMPUTED_VALUE"""),11901)</f>
        <v>11901</v>
      </c>
      <c r="C17" s="16">
        <f>IFERROR(__xludf.DUMMYFUNCTION("""COMPUTED_VALUE"""),45764.6458333333)</f>
        <v>45764.6458333333</v>
      </c>
      <c r="D17" s="17">
        <f>IFERROR(__xludf.DUMMYFUNCTION("""COMPUTED_VALUE"""),11667)</f>
        <v>11667</v>
      </c>
      <c r="E17" s="16">
        <f>IFERROR(__xludf.DUMMYFUNCTION("""COMPUTED_VALUE"""),45764.6458333333)</f>
        <v>45764.6458333333</v>
      </c>
      <c r="F17" s="17">
        <f>IFERROR(__xludf.DUMMYFUNCTION("""COMPUTED_VALUE"""),290473)</f>
        <v>290473</v>
      </c>
      <c r="G17" s="16">
        <f>IFERROR(__xludf.DUMMYFUNCTION("""COMPUTED_VALUE"""),45764.6458333333)</f>
        <v>45764.6458333333</v>
      </c>
      <c r="H17" s="17">
        <f>IFERROR(__xludf.DUMMYFUNCTION("""COMPUTED_VALUE"""),11922)</f>
        <v>11922</v>
      </c>
      <c r="I17" s="16">
        <f>IFERROR(__xludf.DUMMYFUNCTION("""COMPUTED_VALUE"""),45764.6458333333)</f>
        <v>45764.6458333333</v>
      </c>
      <c r="J17" s="17">
        <f>IFERROR(__xludf.DUMMYFUNCTION("""COMPUTED_VALUE"""),11600)</f>
        <v>11600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IFERROR(__xludf.DUMMYFUNCTION("""COMPUTED_VALUE"""),11934)</f>
        <v>11934</v>
      </c>
      <c r="C18" s="16">
        <f>IFERROR(__xludf.DUMMYFUNCTION("""COMPUTED_VALUE"""),45768.6458333333)</f>
        <v>45768.6458333333</v>
      </c>
      <c r="D18" s="17">
        <f>IFERROR(__xludf.DUMMYFUNCTION("""COMPUTED_VALUE"""),11816)</f>
        <v>11816</v>
      </c>
      <c r="E18" s="16">
        <f>IFERROR(__xludf.DUMMYFUNCTION("""COMPUTED_VALUE"""),45768.6458333333)</f>
        <v>45768.6458333333</v>
      </c>
      <c r="F18" s="17">
        <f>IFERROR(__xludf.DUMMYFUNCTION("""COMPUTED_VALUE"""),230595)</f>
        <v>230595</v>
      </c>
      <c r="G18" s="16">
        <f>IFERROR(__xludf.DUMMYFUNCTION("""COMPUTED_VALUE"""),45768.6458333333)</f>
        <v>45768.6458333333</v>
      </c>
      <c r="H18" s="17">
        <f>IFERROR(__xludf.DUMMYFUNCTION("""COMPUTED_VALUE"""),12110)</f>
        <v>12110</v>
      </c>
      <c r="I18" s="16">
        <f>IFERROR(__xludf.DUMMYFUNCTION("""COMPUTED_VALUE"""),45768.6458333333)</f>
        <v>45768.6458333333</v>
      </c>
      <c r="J18" s="17">
        <f>IFERROR(__xludf.DUMMYFUNCTION("""COMPUTED_VALUE"""),11781)</f>
        <v>11781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IFERROR(__xludf.DUMMYFUNCTION("""COMPUTED_VALUE"""),11959)</f>
        <v>11959</v>
      </c>
      <c r="C19" s="16">
        <f>IFERROR(__xludf.DUMMYFUNCTION("""COMPUTED_VALUE"""),45769.6458333333)</f>
        <v>45769.6458333333</v>
      </c>
      <c r="D19" s="17">
        <f>IFERROR(__xludf.DUMMYFUNCTION("""COMPUTED_VALUE"""),11934)</f>
        <v>11934</v>
      </c>
      <c r="E19" s="16">
        <f>IFERROR(__xludf.DUMMYFUNCTION("""COMPUTED_VALUE"""),45769.6458333333)</f>
        <v>45769.6458333333</v>
      </c>
      <c r="F19" s="17">
        <f>IFERROR(__xludf.DUMMYFUNCTION("""COMPUTED_VALUE"""),334667)</f>
        <v>334667</v>
      </c>
      <c r="G19" s="16">
        <f>IFERROR(__xludf.DUMMYFUNCTION("""COMPUTED_VALUE"""),45769.6458333333)</f>
        <v>45769.6458333333</v>
      </c>
      <c r="H19" s="17">
        <f>IFERROR(__xludf.DUMMYFUNCTION("""COMPUTED_VALUE"""),12017)</f>
        <v>12017</v>
      </c>
      <c r="I19" s="16">
        <f>IFERROR(__xludf.DUMMYFUNCTION("""COMPUTED_VALUE"""),45769.6458333333)</f>
        <v>45769.6458333333</v>
      </c>
      <c r="J19" s="17">
        <f>IFERROR(__xludf.DUMMYFUNCTION("""COMPUTED_VALUE"""),11850)</f>
        <v>11850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IFERROR(__xludf.DUMMYFUNCTION("""COMPUTED_VALUE"""),11949)</f>
        <v>11949</v>
      </c>
      <c r="C20" s="16">
        <f>IFERROR(__xludf.DUMMYFUNCTION("""COMPUTED_VALUE"""),45770.6458333333)</f>
        <v>45770.6458333333</v>
      </c>
      <c r="D20" s="17">
        <f>IFERROR(__xludf.DUMMYFUNCTION("""COMPUTED_VALUE"""),12040)</f>
        <v>12040</v>
      </c>
      <c r="E20" s="16">
        <f>IFERROR(__xludf.DUMMYFUNCTION("""COMPUTED_VALUE"""),45770.6458333333)</f>
        <v>45770.6458333333</v>
      </c>
      <c r="F20" s="17">
        <f>IFERROR(__xludf.DUMMYFUNCTION("""COMPUTED_VALUE"""),267716)</f>
        <v>267716</v>
      </c>
      <c r="G20" s="16">
        <f>IFERROR(__xludf.DUMMYFUNCTION("""COMPUTED_VALUE"""),45770.6458333333)</f>
        <v>45770.6458333333</v>
      </c>
      <c r="H20" s="17">
        <f>IFERROR(__xludf.DUMMYFUNCTION("""COMPUTED_VALUE"""),12040)</f>
        <v>12040</v>
      </c>
      <c r="I20" s="16">
        <f>IFERROR(__xludf.DUMMYFUNCTION("""COMPUTED_VALUE"""),45770.6458333333)</f>
        <v>45770.6458333333</v>
      </c>
      <c r="J20" s="17">
        <f>IFERROR(__xludf.DUMMYFUNCTION("""COMPUTED_VALUE"""),11826)</f>
        <v>11826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IFERROR(__xludf.DUMMYFUNCTION("""COMPUTED_VALUE"""),12159)</f>
        <v>12159</v>
      </c>
      <c r="C21" s="16">
        <f>IFERROR(__xludf.DUMMYFUNCTION("""COMPUTED_VALUE"""),45771.6458333333)</f>
        <v>45771.6458333333</v>
      </c>
      <c r="D21" s="17">
        <f>IFERROR(__xludf.DUMMYFUNCTION("""COMPUTED_VALUE"""),11877)</f>
        <v>11877</v>
      </c>
      <c r="E21" s="16">
        <f>IFERROR(__xludf.DUMMYFUNCTION("""COMPUTED_VALUE"""),45771.6458333333)</f>
        <v>45771.6458333333</v>
      </c>
      <c r="F21" s="17">
        <f>IFERROR(__xludf.DUMMYFUNCTION("""COMPUTED_VALUE"""),339743)</f>
        <v>339743</v>
      </c>
      <c r="G21" s="16">
        <f>IFERROR(__xludf.DUMMYFUNCTION("""COMPUTED_VALUE"""),45771.6458333333)</f>
        <v>45771.6458333333</v>
      </c>
      <c r="H21" s="17">
        <f>IFERROR(__xludf.DUMMYFUNCTION("""COMPUTED_VALUE"""),12188)</f>
        <v>12188</v>
      </c>
      <c r="I21" s="16">
        <f>IFERROR(__xludf.DUMMYFUNCTION("""COMPUTED_VALUE"""),45771.6458333333)</f>
        <v>45771.6458333333</v>
      </c>
      <c r="J21" s="17">
        <f>IFERROR(__xludf.DUMMYFUNCTION("""COMPUTED_VALUE"""),11870)</f>
        <v>11870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IFERROR(__xludf.DUMMYFUNCTION("""COMPUTED_VALUE"""),12237)</f>
        <v>12237</v>
      </c>
      <c r="C22" s="16">
        <f>IFERROR(__xludf.DUMMYFUNCTION("""COMPUTED_VALUE"""),45772.6458333333)</f>
        <v>45772.6458333333</v>
      </c>
      <c r="D22" s="17">
        <f>IFERROR(__xludf.DUMMYFUNCTION("""COMPUTED_VALUE"""),12149)</f>
        <v>12149</v>
      </c>
      <c r="E22" s="16">
        <f>IFERROR(__xludf.DUMMYFUNCTION("""COMPUTED_VALUE"""),45772.6458333333)</f>
        <v>45772.6458333333</v>
      </c>
      <c r="F22" s="17">
        <f>IFERROR(__xludf.DUMMYFUNCTION("""COMPUTED_VALUE"""),412558)</f>
        <v>412558</v>
      </c>
      <c r="G22" s="16">
        <f>IFERROR(__xludf.DUMMYFUNCTION("""COMPUTED_VALUE"""),45772.6458333333)</f>
        <v>45772.6458333333</v>
      </c>
      <c r="H22" s="17">
        <f>IFERROR(__xludf.DUMMYFUNCTION("""COMPUTED_VALUE"""),12304)</f>
        <v>12304</v>
      </c>
      <c r="I22" s="16">
        <f>IFERROR(__xludf.DUMMYFUNCTION("""COMPUTED_VALUE"""),45772.6458333333)</f>
        <v>45772.6458333333</v>
      </c>
      <c r="J22" s="17">
        <f>IFERROR(__xludf.DUMMYFUNCTION("""COMPUTED_VALUE"""),11860)</f>
        <v>11860</v>
      </c>
      <c r="K22" s="3">
        <f t="shared" si="2"/>
        <v>12237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IFERROR(__xludf.DUMMYFUNCTION("""COMPUTED_VALUE"""),12114)</f>
        <v>12114</v>
      </c>
      <c r="C23" s="16">
        <f>IFERROR(__xludf.DUMMYFUNCTION("""COMPUTED_VALUE"""),45775.6458333333)</f>
        <v>45775.6458333333</v>
      </c>
      <c r="D23" s="17">
        <f>IFERROR(__xludf.DUMMYFUNCTION("""COMPUTED_VALUE"""),12232)</f>
        <v>12232</v>
      </c>
      <c r="E23" s="16">
        <f>IFERROR(__xludf.DUMMYFUNCTION("""COMPUTED_VALUE"""),45775.6458333333)</f>
        <v>45775.6458333333</v>
      </c>
      <c r="F23" s="17">
        <f>IFERROR(__xludf.DUMMYFUNCTION("""COMPUTED_VALUE"""),516745)</f>
        <v>516745</v>
      </c>
      <c r="G23" s="16">
        <f>IFERROR(__xludf.DUMMYFUNCTION("""COMPUTED_VALUE"""),45775.6458333333)</f>
        <v>45775.6458333333</v>
      </c>
      <c r="H23" s="17">
        <f>IFERROR(__xludf.DUMMYFUNCTION("""COMPUTED_VALUE"""),12339)</f>
        <v>12339</v>
      </c>
      <c r="I23" s="16">
        <f>IFERROR(__xludf.DUMMYFUNCTION("""COMPUTED_VALUE"""),45775.6458333333)</f>
        <v>45775.6458333333</v>
      </c>
      <c r="J23" s="17">
        <f>IFERROR(__xludf.DUMMYFUNCTION("""COMPUTED_VALUE"""),12001)</f>
        <v>12001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IFERROR(__xludf.DUMMYFUNCTION("""COMPUTED_VALUE"""),11869)</f>
        <v>11869</v>
      </c>
      <c r="C24" s="16">
        <f>IFERROR(__xludf.DUMMYFUNCTION("""COMPUTED_VALUE"""),45776.6458333333)</f>
        <v>45776.6458333333</v>
      </c>
      <c r="D24" s="17">
        <f>IFERROR(__xludf.DUMMYFUNCTION("""COMPUTED_VALUE"""),12201)</f>
        <v>12201</v>
      </c>
      <c r="E24" s="16">
        <f>IFERROR(__xludf.DUMMYFUNCTION("""COMPUTED_VALUE"""),45776.6458333333)</f>
        <v>45776.6458333333</v>
      </c>
      <c r="F24" s="17">
        <f>IFERROR(__xludf.DUMMYFUNCTION("""COMPUTED_VALUE"""),516495)</f>
        <v>516495</v>
      </c>
      <c r="G24" s="16">
        <f>IFERROR(__xludf.DUMMYFUNCTION("""COMPUTED_VALUE"""),45776.6458333333)</f>
        <v>45776.6458333333</v>
      </c>
      <c r="H24" s="17">
        <f>IFERROR(__xludf.DUMMYFUNCTION("""COMPUTED_VALUE"""),12222)</f>
        <v>12222</v>
      </c>
      <c r="I24" s="16">
        <f>IFERROR(__xludf.DUMMYFUNCTION("""COMPUTED_VALUE"""),45776.6458333333)</f>
        <v>45776.6458333333</v>
      </c>
      <c r="J24" s="17">
        <f>IFERROR(__xludf.DUMMYFUNCTION("""COMPUTED_VALUE"""),11800)</f>
        <v>11800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IFERROR(__xludf.DUMMYFUNCTION("""COMPUTED_VALUE"""),11641)</f>
        <v>11641</v>
      </c>
      <c r="C25" s="16">
        <f>IFERROR(__xludf.DUMMYFUNCTION("""COMPUTED_VALUE"""),45777.6458333333)</f>
        <v>45777.6458333333</v>
      </c>
      <c r="D25" s="17">
        <f>IFERROR(__xludf.DUMMYFUNCTION("""COMPUTED_VALUE"""),11869)</f>
        <v>11869</v>
      </c>
      <c r="E25" s="16">
        <f>IFERROR(__xludf.DUMMYFUNCTION("""COMPUTED_VALUE"""),45777.6458333333)</f>
        <v>45777.6458333333</v>
      </c>
      <c r="F25" s="17">
        <f>IFERROR(__xludf.DUMMYFUNCTION("""COMPUTED_VALUE"""),630392)</f>
        <v>630392</v>
      </c>
      <c r="G25" s="16">
        <f>IFERROR(__xludf.DUMMYFUNCTION("""COMPUTED_VALUE"""),45777.6458333333)</f>
        <v>45777.6458333333</v>
      </c>
      <c r="H25" s="17">
        <f>IFERROR(__xludf.DUMMYFUNCTION("""COMPUTED_VALUE"""),11925)</f>
        <v>11925</v>
      </c>
      <c r="I25" s="16">
        <f>IFERROR(__xludf.DUMMYFUNCTION("""COMPUTED_VALUE"""),45777.6458333333)</f>
        <v>45777.6458333333</v>
      </c>
      <c r="J25" s="17">
        <f>IFERROR(__xludf.DUMMYFUNCTION("""COMPUTED_VALUE"""),11500)</f>
        <v>11500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IFERROR(__xludf.DUMMYFUNCTION("""COMPUTED_VALUE"""),11644)</f>
        <v>11644</v>
      </c>
      <c r="C26" s="16">
        <f>IFERROR(__xludf.DUMMYFUNCTION("""COMPUTED_VALUE"""),45779.6458333333)</f>
        <v>45779.6458333333</v>
      </c>
      <c r="D26" s="17">
        <f>IFERROR(__xludf.DUMMYFUNCTION("""COMPUTED_VALUE"""),11641)</f>
        <v>11641</v>
      </c>
      <c r="E26" s="16">
        <f>IFERROR(__xludf.DUMMYFUNCTION("""COMPUTED_VALUE"""),45779.6458333333)</f>
        <v>45779.6458333333</v>
      </c>
      <c r="F26" s="17">
        <f>IFERROR(__xludf.DUMMYFUNCTION("""COMPUTED_VALUE"""),189474)</f>
        <v>189474</v>
      </c>
      <c r="G26" s="16">
        <f>IFERROR(__xludf.DUMMYFUNCTION("""COMPUTED_VALUE"""),45779.6458333333)</f>
        <v>45779.6458333333</v>
      </c>
      <c r="H26" s="17">
        <f>IFERROR(__xludf.DUMMYFUNCTION("""COMPUTED_VALUE"""),11750)</f>
        <v>11750</v>
      </c>
      <c r="I26" s="16">
        <f>IFERROR(__xludf.DUMMYFUNCTION("""COMPUTED_VALUE"""),45779.6458333333)</f>
        <v>45779.6458333333</v>
      </c>
      <c r="J26" s="17">
        <f>IFERROR(__xludf.DUMMYFUNCTION("""COMPUTED_VALUE"""),11481)</f>
        <v>11481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IFERROR(__xludf.DUMMYFUNCTION("""COMPUTED_VALUE"""),11670)</f>
        <v>11670</v>
      </c>
      <c r="C27" s="16">
        <f>IFERROR(__xludf.DUMMYFUNCTION("""COMPUTED_VALUE"""),45782.6458333333)</f>
        <v>45782.6458333333</v>
      </c>
      <c r="D27" s="17">
        <f>IFERROR(__xludf.DUMMYFUNCTION("""COMPUTED_VALUE"""),11702)</f>
        <v>11702</v>
      </c>
      <c r="E27" s="16">
        <f>IFERROR(__xludf.DUMMYFUNCTION("""COMPUTED_VALUE"""),45782.6458333333)</f>
        <v>45782.6458333333</v>
      </c>
      <c r="F27" s="17">
        <f>IFERROR(__xludf.DUMMYFUNCTION("""COMPUTED_VALUE"""),145699)</f>
        <v>145699</v>
      </c>
      <c r="G27" s="16">
        <f>IFERROR(__xludf.DUMMYFUNCTION("""COMPUTED_VALUE"""),45782.6458333333)</f>
        <v>45782.6458333333</v>
      </c>
      <c r="H27" s="17">
        <f>IFERROR(__xludf.DUMMYFUNCTION("""COMPUTED_VALUE"""),11728)</f>
        <v>11728</v>
      </c>
      <c r="I27" s="16">
        <f>IFERROR(__xludf.DUMMYFUNCTION("""COMPUTED_VALUE"""),45782.6458333333)</f>
        <v>45782.6458333333</v>
      </c>
      <c r="J27" s="17">
        <f>IFERROR(__xludf.DUMMYFUNCTION("""COMPUTED_VALUE"""),11652)</f>
        <v>11652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IFERROR(__xludf.DUMMYFUNCTION("""COMPUTED_VALUE"""),11693)</f>
        <v>11693</v>
      </c>
      <c r="C28" s="16">
        <f>IFERROR(__xludf.DUMMYFUNCTION("""COMPUTED_VALUE"""),45783.6458333333)</f>
        <v>45783.6458333333</v>
      </c>
      <c r="D28" s="17">
        <f>IFERROR(__xludf.DUMMYFUNCTION("""COMPUTED_VALUE"""),11699)</f>
        <v>11699</v>
      </c>
      <c r="E28" s="16">
        <f>IFERROR(__xludf.DUMMYFUNCTION("""COMPUTED_VALUE"""),45783.6458333333)</f>
        <v>45783.6458333333</v>
      </c>
      <c r="F28" s="17">
        <f>IFERROR(__xludf.DUMMYFUNCTION("""COMPUTED_VALUE"""),273048)</f>
        <v>273048</v>
      </c>
      <c r="G28" s="16">
        <f>IFERROR(__xludf.DUMMYFUNCTION("""COMPUTED_VALUE"""),45783.6458333333)</f>
        <v>45783.6458333333</v>
      </c>
      <c r="H28" s="17">
        <f>IFERROR(__xludf.DUMMYFUNCTION("""COMPUTED_VALUE"""),11729)</f>
        <v>11729</v>
      </c>
      <c r="I28" s="16">
        <f>IFERROR(__xludf.DUMMYFUNCTION("""COMPUTED_VALUE"""),45783.6458333333)</f>
        <v>45783.6458333333</v>
      </c>
      <c r="J28" s="17">
        <f>IFERROR(__xludf.DUMMYFUNCTION("""COMPUTED_VALUE"""),11544)</f>
        <v>11544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IFERROR(__xludf.DUMMYFUNCTION("""COMPUTED_VALUE"""),11658)</f>
        <v>11658</v>
      </c>
      <c r="C29" s="16">
        <f>IFERROR(__xludf.DUMMYFUNCTION("""COMPUTED_VALUE"""),45784.6458333333)</f>
        <v>45784.6458333333</v>
      </c>
      <c r="D29" s="17">
        <f>IFERROR(__xludf.DUMMYFUNCTION("""COMPUTED_VALUE"""),11651)</f>
        <v>11651</v>
      </c>
      <c r="E29" s="16">
        <f>IFERROR(__xludf.DUMMYFUNCTION("""COMPUTED_VALUE"""),45784.6458333333)</f>
        <v>45784.6458333333</v>
      </c>
      <c r="F29" s="17">
        <f>IFERROR(__xludf.DUMMYFUNCTION("""COMPUTED_VALUE"""),217460)</f>
        <v>217460</v>
      </c>
      <c r="G29" s="16">
        <f>IFERROR(__xludf.DUMMYFUNCTION("""COMPUTED_VALUE"""),45784.6458333333)</f>
        <v>45784.6458333333</v>
      </c>
      <c r="H29" s="17">
        <f>IFERROR(__xludf.DUMMYFUNCTION("""COMPUTED_VALUE"""),11700)</f>
        <v>11700</v>
      </c>
      <c r="I29" s="16">
        <f>IFERROR(__xludf.DUMMYFUNCTION("""COMPUTED_VALUE"""),45784.6458333333)</f>
        <v>45784.6458333333</v>
      </c>
      <c r="J29" s="17">
        <f>IFERROR(__xludf.DUMMYFUNCTION("""COMPUTED_VALUE"""),11553)</f>
        <v>11553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IFERROR(__xludf.DUMMYFUNCTION("""COMPUTED_VALUE"""),11631)</f>
        <v>11631</v>
      </c>
      <c r="C30" s="16">
        <f>IFERROR(__xludf.DUMMYFUNCTION("""COMPUTED_VALUE"""),45785.6458333333)</f>
        <v>45785.6458333333</v>
      </c>
      <c r="D30" s="17">
        <f>IFERROR(__xludf.DUMMYFUNCTION("""COMPUTED_VALUE"""),11601)</f>
        <v>11601</v>
      </c>
      <c r="E30" s="16">
        <f>IFERROR(__xludf.DUMMYFUNCTION("""COMPUTED_VALUE"""),45785.6458333333)</f>
        <v>45785.6458333333</v>
      </c>
      <c r="F30" s="17">
        <f>IFERROR(__xludf.DUMMYFUNCTION("""COMPUTED_VALUE"""),388912)</f>
        <v>388912</v>
      </c>
      <c r="G30" s="16">
        <f>IFERROR(__xludf.DUMMYFUNCTION("""COMPUTED_VALUE"""),45785.6458333333)</f>
        <v>45785.6458333333</v>
      </c>
      <c r="H30" s="17">
        <f>IFERROR(__xludf.DUMMYFUNCTION("""COMPUTED_VALUE"""),11740)</f>
        <v>11740</v>
      </c>
      <c r="I30" s="16">
        <f>IFERROR(__xludf.DUMMYFUNCTION("""COMPUTED_VALUE"""),45785.6458333333)</f>
        <v>45785.6458333333</v>
      </c>
      <c r="J30" s="17">
        <f>IFERROR(__xludf.DUMMYFUNCTION("""COMPUTED_VALUE"""),11539)</f>
        <v>11539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IFERROR(__xludf.DUMMYFUNCTION("""COMPUTED_VALUE"""),11364)</f>
        <v>11364</v>
      </c>
      <c r="C31" s="16">
        <f>IFERROR(__xludf.DUMMYFUNCTION("""COMPUTED_VALUE"""),45786.6458333333)</f>
        <v>45786.6458333333</v>
      </c>
      <c r="D31" s="17">
        <f>IFERROR(__xludf.DUMMYFUNCTION("""COMPUTED_VALUE"""),11480)</f>
        <v>11480</v>
      </c>
      <c r="E31" s="16">
        <f>IFERROR(__xludf.DUMMYFUNCTION("""COMPUTED_VALUE"""),45786.6458333333)</f>
        <v>45786.6458333333</v>
      </c>
      <c r="F31" s="17">
        <f>IFERROR(__xludf.DUMMYFUNCTION("""COMPUTED_VALUE"""),200270)</f>
        <v>200270</v>
      </c>
      <c r="G31" s="16">
        <f>IFERROR(__xludf.DUMMYFUNCTION("""COMPUTED_VALUE"""),45786.6458333333)</f>
        <v>45786.6458333333</v>
      </c>
      <c r="H31" s="17">
        <f>IFERROR(__xludf.DUMMYFUNCTION("""COMPUTED_VALUE"""),11558)</f>
        <v>11558</v>
      </c>
      <c r="I31" s="16">
        <f>IFERROR(__xludf.DUMMYFUNCTION("""COMPUTED_VALUE"""),45786.6458333333)</f>
        <v>45786.6458333333</v>
      </c>
      <c r="J31" s="17">
        <f>IFERROR(__xludf.DUMMYFUNCTION("""COMPUTED_VALUE"""),11313)</f>
        <v>11313</v>
      </c>
      <c r="K31" s="3">
        <f t="shared" si="2"/>
        <v>0</v>
      </c>
      <c r="L31" s="3">
        <f t="shared" si="3"/>
        <v>11364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IFERROR(__xludf.DUMMYFUNCTION("""COMPUTED_VALUE"""),11736)</f>
        <v>11736</v>
      </c>
      <c r="C32" s="16">
        <f>IFERROR(__xludf.DUMMYFUNCTION("""COMPUTED_VALUE"""),45789.6458333333)</f>
        <v>45789.6458333333</v>
      </c>
      <c r="D32" s="17">
        <f>IFERROR(__xludf.DUMMYFUNCTION("""COMPUTED_VALUE"""),11590)</f>
        <v>11590</v>
      </c>
      <c r="E32" s="16">
        <f>IFERROR(__xludf.DUMMYFUNCTION("""COMPUTED_VALUE"""),45789.6458333333)</f>
        <v>45789.6458333333</v>
      </c>
      <c r="F32" s="17">
        <f>IFERROR(__xludf.DUMMYFUNCTION("""COMPUTED_VALUE"""),182795)</f>
        <v>182795</v>
      </c>
      <c r="G32" s="16">
        <f>IFERROR(__xludf.DUMMYFUNCTION("""COMPUTED_VALUE"""),45789.6458333333)</f>
        <v>45789.6458333333</v>
      </c>
      <c r="H32" s="17">
        <f>IFERROR(__xludf.DUMMYFUNCTION("""COMPUTED_VALUE"""),11767)</f>
        <v>11767</v>
      </c>
      <c r="I32" s="16">
        <f>IFERROR(__xludf.DUMMYFUNCTION("""COMPUTED_VALUE"""),45789.6458333333)</f>
        <v>45789.6458333333</v>
      </c>
      <c r="J32" s="17">
        <f>IFERROR(__xludf.DUMMYFUNCTION("""COMPUTED_VALUE"""),11565)</f>
        <v>11565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IFERROR(__xludf.DUMMYFUNCTION("""COMPUTED_VALUE"""),11661)</f>
        <v>11661</v>
      </c>
      <c r="C33" s="16">
        <f>IFERROR(__xludf.DUMMYFUNCTION("""COMPUTED_VALUE"""),45790.6458333333)</f>
        <v>45790.6458333333</v>
      </c>
      <c r="D33" s="17">
        <f>IFERROR(__xludf.DUMMYFUNCTION("""COMPUTED_VALUE"""),11700)</f>
        <v>11700</v>
      </c>
      <c r="E33" s="16">
        <f>IFERROR(__xludf.DUMMYFUNCTION("""COMPUTED_VALUE"""),45790.6458333333)</f>
        <v>45790.6458333333</v>
      </c>
      <c r="F33" s="17">
        <f>IFERROR(__xludf.DUMMYFUNCTION("""COMPUTED_VALUE"""),307678)</f>
        <v>307678</v>
      </c>
      <c r="G33" s="16">
        <f>IFERROR(__xludf.DUMMYFUNCTION("""COMPUTED_VALUE"""),45790.6458333333)</f>
        <v>45790.6458333333</v>
      </c>
      <c r="H33" s="17">
        <f>IFERROR(__xludf.DUMMYFUNCTION("""COMPUTED_VALUE"""),11748)</f>
        <v>11748</v>
      </c>
      <c r="I33" s="16">
        <f>IFERROR(__xludf.DUMMYFUNCTION("""COMPUTED_VALUE"""),45790.6458333333)</f>
        <v>45790.6458333333</v>
      </c>
      <c r="J33" s="17">
        <f>IFERROR(__xludf.DUMMYFUNCTION("""COMPUTED_VALUE"""),11566)</f>
        <v>11566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IFERROR(__xludf.DUMMYFUNCTION("""COMPUTED_VALUE"""),11672)</f>
        <v>11672</v>
      </c>
      <c r="C34" s="16">
        <f>IFERROR(__xludf.DUMMYFUNCTION("""COMPUTED_VALUE"""),45791.6458333333)</f>
        <v>45791.6458333333</v>
      </c>
      <c r="D34" s="17">
        <f>IFERROR(__xludf.DUMMYFUNCTION("""COMPUTED_VALUE"""),11676)</f>
        <v>11676</v>
      </c>
      <c r="E34" s="16">
        <f>IFERROR(__xludf.DUMMYFUNCTION("""COMPUTED_VALUE"""),45791.6458333333)</f>
        <v>45791.6458333333</v>
      </c>
      <c r="F34" s="17">
        <f>IFERROR(__xludf.DUMMYFUNCTION("""COMPUTED_VALUE"""),179337)</f>
        <v>179337</v>
      </c>
      <c r="G34" s="16">
        <f>IFERROR(__xludf.DUMMYFUNCTION("""COMPUTED_VALUE"""),45791.6458333333)</f>
        <v>45791.6458333333</v>
      </c>
      <c r="H34" s="17">
        <f>IFERROR(__xludf.DUMMYFUNCTION("""COMPUTED_VALUE"""),11741)</f>
        <v>11741</v>
      </c>
      <c r="I34" s="16">
        <f>IFERROR(__xludf.DUMMYFUNCTION("""COMPUTED_VALUE"""),45791.6458333333)</f>
        <v>45791.6458333333</v>
      </c>
      <c r="J34" s="17">
        <f>IFERROR(__xludf.DUMMYFUNCTION("""COMPUTED_VALUE"""),11624)</f>
        <v>11624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IFERROR(__xludf.DUMMYFUNCTION("""COMPUTED_VALUE"""),11894)</f>
        <v>11894</v>
      </c>
      <c r="C35" s="16">
        <f>IFERROR(__xludf.DUMMYFUNCTION("""COMPUTED_VALUE"""),45792.6458333333)</f>
        <v>45792.6458333333</v>
      </c>
      <c r="D35" s="17">
        <f>IFERROR(__xludf.DUMMYFUNCTION("""COMPUTED_VALUE"""),11672)</f>
        <v>11672</v>
      </c>
      <c r="E35" s="16">
        <f>IFERROR(__xludf.DUMMYFUNCTION("""COMPUTED_VALUE"""),45792.6458333333)</f>
        <v>45792.6458333333</v>
      </c>
      <c r="F35" s="17">
        <f>IFERROR(__xludf.DUMMYFUNCTION("""COMPUTED_VALUE"""),371371)</f>
        <v>371371</v>
      </c>
      <c r="G35" s="16">
        <f>IFERROR(__xludf.DUMMYFUNCTION("""COMPUTED_VALUE"""),45792.6458333333)</f>
        <v>45792.6458333333</v>
      </c>
      <c r="H35" s="17">
        <f>IFERROR(__xludf.DUMMYFUNCTION("""COMPUTED_VALUE"""),11932)</f>
        <v>11932</v>
      </c>
      <c r="I35" s="16">
        <f>IFERROR(__xludf.DUMMYFUNCTION("""COMPUTED_VALUE"""),45792.6458333333)</f>
        <v>45792.6458333333</v>
      </c>
      <c r="J35" s="17">
        <f>IFERROR(__xludf.DUMMYFUNCTION("""COMPUTED_VALUE"""),11643)</f>
        <v>11643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IFERROR(__xludf.DUMMYFUNCTION("""COMPUTED_VALUE"""),11905)</f>
        <v>11905</v>
      </c>
      <c r="C36" s="16">
        <f>IFERROR(__xludf.DUMMYFUNCTION("""COMPUTED_VALUE"""),45793.6458333333)</f>
        <v>45793.6458333333</v>
      </c>
      <c r="D36" s="17">
        <f>IFERROR(__xludf.DUMMYFUNCTION("""COMPUTED_VALUE"""),11950)</f>
        <v>11950</v>
      </c>
      <c r="E36" s="16">
        <f>IFERROR(__xludf.DUMMYFUNCTION("""COMPUTED_VALUE"""),45793.6458333333)</f>
        <v>45793.6458333333</v>
      </c>
      <c r="F36" s="17">
        <f>IFERROR(__xludf.DUMMYFUNCTION("""COMPUTED_VALUE"""),209706)</f>
        <v>209706</v>
      </c>
      <c r="G36" s="16">
        <f>IFERROR(__xludf.DUMMYFUNCTION("""COMPUTED_VALUE"""),45793.6458333333)</f>
        <v>45793.6458333333</v>
      </c>
      <c r="H36" s="17">
        <f>IFERROR(__xludf.DUMMYFUNCTION("""COMPUTED_VALUE"""),11990)</f>
        <v>11990</v>
      </c>
      <c r="I36" s="16">
        <f>IFERROR(__xludf.DUMMYFUNCTION("""COMPUTED_VALUE"""),45793.6458333333)</f>
        <v>45793.6458333333</v>
      </c>
      <c r="J36" s="17">
        <f>IFERROR(__xludf.DUMMYFUNCTION("""COMPUTED_VALUE"""),11857)</f>
        <v>11857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IFERROR(__xludf.DUMMYFUNCTION("""COMPUTED_VALUE"""),11929)</f>
        <v>11929</v>
      </c>
      <c r="C37" s="16">
        <f>IFERROR(__xludf.DUMMYFUNCTION("""COMPUTED_VALUE"""),45796.6458333333)</f>
        <v>45796.6458333333</v>
      </c>
      <c r="D37" s="17">
        <f>IFERROR(__xludf.DUMMYFUNCTION("""COMPUTED_VALUE"""),11904)</f>
        <v>11904</v>
      </c>
      <c r="E37" s="16">
        <f>IFERROR(__xludf.DUMMYFUNCTION("""COMPUTED_VALUE"""),45796.6458333333)</f>
        <v>45796.6458333333</v>
      </c>
      <c r="F37" s="17">
        <f>IFERROR(__xludf.DUMMYFUNCTION("""COMPUTED_VALUE"""),128237)</f>
        <v>128237</v>
      </c>
      <c r="G37" s="16">
        <f>IFERROR(__xludf.DUMMYFUNCTION("""COMPUTED_VALUE"""),45796.6458333333)</f>
        <v>45796.6458333333</v>
      </c>
      <c r="H37" s="17">
        <f>IFERROR(__xludf.DUMMYFUNCTION("""COMPUTED_VALUE"""),11991)</f>
        <v>11991</v>
      </c>
      <c r="I37" s="16">
        <f>IFERROR(__xludf.DUMMYFUNCTION("""COMPUTED_VALUE"""),45796.6458333333)</f>
        <v>45796.6458333333</v>
      </c>
      <c r="J37" s="17">
        <f>IFERROR(__xludf.DUMMYFUNCTION("""COMPUTED_VALUE"""),11880)</f>
        <v>11880</v>
      </c>
      <c r="K37" s="3">
        <f t="shared" si="2"/>
        <v>11929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IFERROR(__xludf.DUMMYFUNCTION("""COMPUTED_VALUE"""),11697)</f>
        <v>11697</v>
      </c>
      <c r="C38" s="16">
        <f>IFERROR(__xludf.DUMMYFUNCTION("""COMPUTED_VALUE"""),45797.6458333333)</f>
        <v>45797.6458333333</v>
      </c>
      <c r="D38" s="17">
        <f>IFERROR(__xludf.DUMMYFUNCTION("""COMPUTED_VALUE"""),11969)</f>
        <v>11969</v>
      </c>
      <c r="E38" s="16">
        <f>IFERROR(__xludf.DUMMYFUNCTION("""COMPUTED_VALUE"""),45797.6458333333)</f>
        <v>45797.6458333333</v>
      </c>
      <c r="F38" s="17">
        <f>IFERROR(__xludf.DUMMYFUNCTION("""COMPUTED_VALUE"""),158934)</f>
        <v>158934</v>
      </c>
      <c r="G38" s="16">
        <f>IFERROR(__xludf.DUMMYFUNCTION("""COMPUTED_VALUE"""),45797.6458333333)</f>
        <v>45797.6458333333</v>
      </c>
      <c r="H38" s="17">
        <f>IFERROR(__xludf.DUMMYFUNCTION("""COMPUTED_VALUE"""),11980)</f>
        <v>11980</v>
      </c>
      <c r="I38" s="16">
        <f>IFERROR(__xludf.DUMMYFUNCTION("""COMPUTED_VALUE"""),45797.6458333333)</f>
        <v>45797.6458333333</v>
      </c>
      <c r="J38" s="17">
        <f>IFERROR(__xludf.DUMMYFUNCTION("""COMPUTED_VALUE"""),11669)</f>
        <v>11669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IFERROR(__xludf.DUMMYFUNCTION("""COMPUTED_VALUE"""),11666)</f>
        <v>11666</v>
      </c>
      <c r="C39" s="16">
        <f>IFERROR(__xludf.DUMMYFUNCTION("""COMPUTED_VALUE"""),45798.6458333333)</f>
        <v>45798.6458333333</v>
      </c>
      <c r="D39" s="17">
        <f>IFERROR(__xludf.DUMMYFUNCTION("""COMPUTED_VALUE"""),11697)</f>
        <v>11697</v>
      </c>
      <c r="E39" s="16">
        <f>IFERROR(__xludf.DUMMYFUNCTION("""COMPUTED_VALUE"""),45798.6458333333)</f>
        <v>45798.6458333333</v>
      </c>
      <c r="F39" s="17">
        <f>IFERROR(__xludf.DUMMYFUNCTION("""COMPUTED_VALUE"""),173017)</f>
        <v>173017</v>
      </c>
      <c r="G39" s="16">
        <f>IFERROR(__xludf.DUMMYFUNCTION("""COMPUTED_VALUE"""),45798.6458333333)</f>
        <v>45798.6458333333</v>
      </c>
      <c r="H39" s="17">
        <f>IFERROR(__xludf.DUMMYFUNCTION("""COMPUTED_VALUE"""),11910)</f>
        <v>11910</v>
      </c>
      <c r="I39" s="16">
        <f>IFERROR(__xludf.DUMMYFUNCTION("""COMPUTED_VALUE"""),45798.6458333333)</f>
        <v>45798.6458333333</v>
      </c>
      <c r="J39" s="17">
        <f>IFERROR(__xludf.DUMMYFUNCTION("""COMPUTED_VALUE"""),11634)</f>
        <v>11634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IFERROR(__xludf.DUMMYFUNCTION("""COMPUTED_VALUE"""),11680)</f>
        <v>11680</v>
      </c>
      <c r="C40" s="16">
        <f>IFERROR(__xludf.DUMMYFUNCTION("""COMPUTED_VALUE"""),45799.6458333333)</f>
        <v>45799.6458333333</v>
      </c>
      <c r="D40" s="17">
        <f>IFERROR(__xludf.DUMMYFUNCTION("""COMPUTED_VALUE"""),11666)</f>
        <v>11666</v>
      </c>
      <c r="E40" s="16">
        <f>IFERROR(__xludf.DUMMYFUNCTION("""COMPUTED_VALUE"""),45799.6458333333)</f>
        <v>45799.6458333333</v>
      </c>
      <c r="F40" s="17">
        <f>IFERROR(__xludf.DUMMYFUNCTION("""COMPUTED_VALUE"""),175370)</f>
        <v>175370</v>
      </c>
      <c r="G40" s="16">
        <f>IFERROR(__xludf.DUMMYFUNCTION("""COMPUTED_VALUE"""),45799.6458333333)</f>
        <v>45799.6458333333</v>
      </c>
      <c r="H40" s="17">
        <f>IFERROR(__xludf.DUMMYFUNCTION("""COMPUTED_VALUE"""),11700)</f>
        <v>11700</v>
      </c>
      <c r="I40" s="16">
        <f>IFERROR(__xludf.DUMMYFUNCTION("""COMPUTED_VALUE"""),45799.6458333333)</f>
        <v>45799.6458333333</v>
      </c>
      <c r="J40" s="17">
        <f>IFERROR(__xludf.DUMMYFUNCTION("""COMPUTED_VALUE"""),11517)</f>
        <v>11517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IFERROR(__xludf.DUMMYFUNCTION("""COMPUTED_VALUE"""),11746)</f>
        <v>11746</v>
      </c>
      <c r="C41" s="16">
        <f>IFERROR(__xludf.DUMMYFUNCTION("""COMPUTED_VALUE"""),45800.6458333333)</f>
        <v>45800.6458333333</v>
      </c>
      <c r="D41" s="17">
        <f>IFERROR(__xludf.DUMMYFUNCTION("""COMPUTED_VALUE"""),11727)</f>
        <v>11727</v>
      </c>
      <c r="E41" s="16">
        <f>IFERROR(__xludf.DUMMYFUNCTION("""COMPUTED_VALUE"""),45800.6458333333)</f>
        <v>45800.6458333333</v>
      </c>
      <c r="F41" s="17">
        <f>IFERROR(__xludf.DUMMYFUNCTION("""COMPUTED_VALUE"""),181463)</f>
        <v>181463</v>
      </c>
      <c r="G41" s="16">
        <f>IFERROR(__xludf.DUMMYFUNCTION("""COMPUTED_VALUE"""),45800.6458333333)</f>
        <v>45800.6458333333</v>
      </c>
      <c r="H41" s="17">
        <f>IFERROR(__xludf.DUMMYFUNCTION("""COMPUTED_VALUE"""),11875)</f>
        <v>11875</v>
      </c>
      <c r="I41" s="16">
        <f>IFERROR(__xludf.DUMMYFUNCTION("""COMPUTED_VALUE"""),45800.6458333333)</f>
        <v>45800.6458333333</v>
      </c>
      <c r="J41" s="17">
        <f>IFERROR(__xludf.DUMMYFUNCTION("""COMPUTED_VALUE"""),11661)</f>
        <v>11661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IFERROR(__xludf.DUMMYFUNCTION("""COMPUTED_VALUE"""),11689)</f>
        <v>11689</v>
      </c>
      <c r="C42" s="16">
        <f>IFERROR(__xludf.DUMMYFUNCTION("""COMPUTED_VALUE"""),45803.6458333333)</f>
        <v>45803.6458333333</v>
      </c>
      <c r="D42" s="17">
        <f>IFERROR(__xludf.DUMMYFUNCTION("""COMPUTED_VALUE"""),11800)</f>
        <v>11800</v>
      </c>
      <c r="E42" s="16">
        <f>IFERROR(__xludf.DUMMYFUNCTION("""COMPUTED_VALUE"""),45803.6458333333)</f>
        <v>45803.6458333333</v>
      </c>
      <c r="F42" s="17">
        <f>IFERROR(__xludf.DUMMYFUNCTION("""COMPUTED_VALUE"""),198003)</f>
        <v>198003</v>
      </c>
      <c r="G42" s="16">
        <f>IFERROR(__xludf.DUMMYFUNCTION("""COMPUTED_VALUE"""),45803.6458333333)</f>
        <v>45803.6458333333</v>
      </c>
      <c r="H42" s="17">
        <f>IFERROR(__xludf.DUMMYFUNCTION("""COMPUTED_VALUE"""),11884)</f>
        <v>11884</v>
      </c>
      <c r="I42" s="16">
        <f>IFERROR(__xludf.DUMMYFUNCTION("""COMPUTED_VALUE"""),45803.6458333333)</f>
        <v>45803.6458333333</v>
      </c>
      <c r="J42" s="17">
        <f>IFERROR(__xludf.DUMMYFUNCTION("""COMPUTED_VALUE"""),11645)</f>
        <v>11645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IFERROR(__xludf.DUMMYFUNCTION("""COMPUTED_VALUE"""),11421)</f>
        <v>11421</v>
      </c>
      <c r="C43" s="16">
        <f>IFERROR(__xludf.DUMMYFUNCTION("""COMPUTED_VALUE"""),45804.6458333333)</f>
        <v>45804.6458333333</v>
      </c>
      <c r="D43" s="17">
        <f>IFERROR(__xludf.DUMMYFUNCTION("""COMPUTED_VALUE"""),11676)</f>
        <v>11676</v>
      </c>
      <c r="E43" s="16">
        <f>IFERROR(__xludf.DUMMYFUNCTION("""COMPUTED_VALUE"""),45804.6458333333)</f>
        <v>45804.6458333333</v>
      </c>
      <c r="F43" s="17">
        <f>IFERROR(__xludf.DUMMYFUNCTION("""COMPUTED_VALUE"""),478345)</f>
        <v>478345</v>
      </c>
      <c r="G43" s="16">
        <f>IFERROR(__xludf.DUMMYFUNCTION("""COMPUTED_VALUE"""),45804.6458333333)</f>
        <v>45804.6458333333</v>
      </c>
      <c r="H43" s="17">
        <f>IFERROR(__xludf.DUMMYFUNCTION("""COMPUTED_VALUE"""),11722)</f>
        <v>11722</v>
      </c>
      <c r="I43" s="16">
        <f>IFERROR(__xludf.DUMMYFUNCTION("""COMPUTED_VALUE"""),45804.6458333333)</f>
        <v>45804.6458333333</v>
      </c>
      <c r="J43" s="17">
        <f>IFERROR(__xludf.DUMMYFUNCTION("""COMPUTED_VALUE"""),11375)</f>
        <v>11375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IFERROR(__xludf.DUMMYFUNCTION("""COMPUTED_VALUE"""),11238)</f>
        <v>11238</v>
      </c>
      <c r="C44" s="16">
        <f>IFERROR(__xludf.DUMMYFUNCTION("""COMPUTED_VALUE"""),45805.6458333333)</f>
        <v>45805.6458333333</v>
      </c>
      <c r="D44" s="17">
        <f>IFERROR(__xludf.DUMMYFUNCTION("""COMPUTED_VALUE"""),11455)</f>
        <v>11455</v>
      </c>
      <c r="E44" s="16">
        <f>IFERROR(__xludf.DUMMYFUNCTION("""COMPUTED_VALUE"""),45805.6458333333)</f>
        <v>45805.6458333333</v>
      </c>
      <c r="F44" s="17">
        <f>IFERROR(__xludf.DUMMYFUNCTION("""COMPUTED_VALUE"""),201200)</f>
        <v>201200</v>
      </c>
      <c r="G44" s="16">
        <f>IFERROR(__xludf.DUMMYFUNCTION("""COMPUTED_VALUE"""),45805.6458333333)</f>
        <v>45805.6458333333</v>
      </c>
      <c r="H44" s="17">
        <f>IFERROR(__xludf.DUMMYFUNCTION("""COMPUTED_VALUE"""),11470)</f>
        <v>11470</v>
      </c>
      <c r="I44" s="16">
        <f>IFERROR(__xludf.DUMMYFUNCTION("""COMPUTED_VALUE"""),45805.6458333333)</f>
        <v>45805.6458333333</v>
      </c>
      <c r="J44" s="17">
        <f>IFERROR(__xludf.DUMMYFUNCTION("""COMPUTED_VALUE"""),11200)</f>
        <v>11200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IFERROR(__xludf.DUMMYFUNCTION("""COMPUTED_VALUE"""),11269)</f>
        <v>11269</v>
      </c>
      <c r="C45" s="16">
        <f>IFERROR(__xludf.DUMMYFUNCTION("""COMPUTED_VALUE"""),45806.6458333333)</f>
        <v>45806.6458333333</v>
      </c>
      <c r="D45" s="17">
        <f>IFERROR(__xludf.DUMMYFUNCTION("""COMPUTED_VALUE"""),11249)</f>
        <v>11249</v>
      </c>
      <c r="E45" s="16">
        <f>IFERROR(__xludf.DUMMYFUNCTION("""COMPUTED_VALUE"""),45806.6458333333)</f>
        <v>45806.6458333333</v>
      </c>
      <c r="F45" s="17">
        <f>IFERROR(__xludf.DUMMYFUNCTION("""COMPUTED_VALUE"""),350206)</f>
        <v>350206</v>
      </c>
      <c r="G45" s="16">
        <f>IFERROR(__xludf.DUMMYFUNCTION("""COMPUTED_VALUE"""),45806.6458333333)</f>
        <v>45806.6458333333</v>
      </c>
      <c r="H45" s="17">
        <f>IFERROR(__xludf.DUMMYFUNCTION("""COMPUTED_VALUE"""),11337)</f>
        <v>11337</v>
      </c>
      <c r="I45" s="16">
        <f>IFERROR(__xludf.DUMMYFUNCTION("""COMPUTED_VALUE"""),45806.6458333333)</f>
        <v>45806.6458333333</v>
      </c>
      <c r="J45" s="17">
        <f>IFERROR(__xludf.DUMMYFUNCTION("""COMPUTED_VALUE"""),11151)</f>
        <v>11151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IFERROR(__xludf.DUMMYFUNCTION("""COMPUTED_VALUE"""),11210)</f>
        <v>11210</v>
      </c>
      <c r="C46" s="16">
        <f>IFERROR(__xludf.DUMMYFUNCTION("""COMPUTED_VALUE"""),45807.6458333333)</f>
        <v>45807.6458333333</v>
      </c>
      <c r="D46" s="17">
        <f>IFERROR(__xludf.DUMMYFUNCTION("""COMPUTED_VALUE"""),11265)</f>
        <v>11265</v>
      </c>
      <c r="E46" s="16">
        <f>IFERROR(__xludf.DUMMYFUNCTION("""COMPUTED_VALUE"""),45807.6458333333)</f>
        <v>45807.6458333333</v>
      </c>
      <c r="F46" s="17">
        <f>IFERROR(__xludf.DUMMYFUNCTION("""COMPUTED_VALUE"""),394181)</f>
        <v>394181</v>
      </c>
      <c r="G46" s="16">
        <f>IFERROR(__xludf.DUMMYFUNCTION("""COMPUTED_VALUE"""),45807.6458333333)</f>
        <v>45807.6458333333</v>
      </c>
      <c r="H46" s="17">
        <f>IFERROR(__xludf.DUMMYFUNCTION("""COMPUTED_VALUE"""),11310)</f>
        <v>11310</v>
      </c>
      <c r="I46" s="16">
        <f>IFERROR(__xludf.DUMMYFUNCTION("""COMPUTED_VALUE"""),45807.6458333333)</f>
        <v>45807.6458333333</v>
      </c>
      <c r="J46" s="17">
        <f>IFERROR(__xludf.DUMMYFUNCTION("""COMPUTED_VALUE"""),11170)</f>
        <v>11170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IFERROR(__xludf.DUMMYFUNCTION("""COMPUTED_VALUE"""),11195)</f>
        <v>11195</v>
      </c>
      <c r="C47" s="16">
        <f>IFERROR(__xludf.DUMMYFUNCTION("""COMPUTED_VALUE"""),45810.6458333333)</f>
        <v>45810.6458333333</v>
      </c>
      <c r="D47" s="17">
        <f>IFERROR(__xludf.DUMMYFUNCTION("""COMPUTED_VALUE"""),11180)</f>
        <v>11180</v>
      </c>
      <c r="E47" s="16">
        <f>IFERROR(__xludf.DUMMYFUNCTION("""COMPUTED_VALUE"""),45810.6458333333)</f>
        <v>45810.6458333333</v>
      </c>
      <c r="F47" s="17">
        <f>IFERROR(__xludf.DUMMYFUNCTION("""COMPUTED_VALUE"""),314936)</f>
        <v>314936</v>
      </c>
      <c r="G47" s="16">
        <f>IFERROR(__xludf.DUMMYFUNCTION("""COMPUTED_VALUE"""),45810.6458333333)</f>
        <v>45810.6458333333</v>
      </c>
      <c r="H47" s="17">
        <f>IFERROR(__xludf.DUMMYFUNCTION("""COMPUTED_VALUE"""),11219)</f>
        <v>11219</v>
      </c>
      <c r="I47" s="16">
        <f>IFERROR(__xludf.DUMMYFUNCTION("""COMPUTED_VALUE"""),45810.6458333333)</f>
        <v>45810.6458333333</v>
      </c>
      <c r="J47" s="17">
        <f>IFERROR(__xludf.DUMMYFUNCTION("""COMPUTED_VALUE"""),11019)</f>
        <v>11019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IFERROR(__xludf.DUMMYFUNCTION("""COMPUTED_VALUE"""),11035)</f>
        <v>11035</v>
      </c>
      <c r="C48" s="16">
        <f>IFERROR(__xludf.DUMMYFUNCTION("""COMPUTED_VALUE"""),45811.6458333333)</f>
        <v>45811.6458333333</v>
      </c>
      <c r="D48" s="17">
        <f>IFERROR(__xludf.DUMMYFUNCTION("""COMPUTED_VALUE"""),11280)</f>
        <v>11280</v>
      </c>
      <c r="E48" s="16">
        <f>IFERROR(__xludf.DUMMYFUNCTION("""COMPUTED_VALUE"""),45811.6458333333)</f>
        <v>45811.6458333333</v>
      </c>
      <c r="F48" s="17">
        <f>IFERROR(__xludf.DUMMYFUNCTION("""COMPUTED_VALUE"""),349615)</f>
        <v>349615</v>
      </c>
      <c r="G48" s="16">
        <f>IFERROR(__xludf.DUMMYFUNCTION("""COMPUTED_VALUE"""),45811.6458333333)</f>
        <v>45811.6458333333</v>
      </c>
      <c r="H48" s="17">
        <f>IFERROR(__xludf.DUMMYFUNCTION("""COMPUTED_VALUE"""),11292)</f>
        <v>11292</v>
      </c>
      <c r="I48" s="16">
        <f>IFERROR(__xludf.DUMMYFUNCTION("""COMPUTED_VALUE"""),45811.6458333333)</f>
        <v>45811.6458333333</v>
      </c>
      <c r="J48" s="17">
        <f>IFERROR(__xludf.DUMMYFUNCTION("""COMPUTED_VALUE"""),11000)</f>
        <v>11000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IFERROR(__xludf.DUMMYFUNCTION("""COMPUTED_VALUE"""),11033)</f>
        <v>11033</v>
      </c>
      <c r="C49" s="16">
        <f>IFERROR(__xludf.DUMMYFUNCTION("""COMPUTED_VALUE"""),45812.6458333333)</f>
        <v>45812.6458333333</v>
      </c>
      <c r="D49" s="17">
        <f>IFERROR(__xludf.DUMMYFUNCTION("""COMPUTED_VALUE"""),11040)</f>
        <v>11040</v>
      </c>
      <c r="E49" s="16">
        <f>IFERROR(__xludf.DUMMYFUNCTION("""COMPUTED_VALUE"""),45812.6458333333)</f>
        <v>45812.6458333333</v>
      </c>
      <c r="F49" s="17">
        <f>IFERROR(__xludf.DUMMYFUNCTION("""COMPUTED_VALUE"""),345047)</f>
        <v>345047</v>
      </c>
      <c r="G49" s="16">
        <f>IFERROR(__xludf.DUMMYFUNCTION("""COMPUTED_VALUE"""),45812.6458333333)</f>
        <v>45812.6458333333</v>
      </c>
      <c r="H49" s="17">
        <f>IFERROR(__xludf.DUMMYFUNCTION("""COMPUTED_VALUE"""),11055)</f>
        <v>11055</v>
      </c>
      <c r="I49" s="16">
        <f>IFERROR(__xludf.DUMMYFUNCTION("""COMPUTED_VALUE"""),45812.6458333333)</f>
        <v>45812.6458333333</v>
      </c>
      <c r="J49" s="17">
        <f>IFERROR(__xludf.DUMMYFUNCTION("""COMPUTED_VALUE"""),10920)</f>
        <v>10920</v>
      </c>
      <c r="K49" s="3">
        <f t="shared" si="2"/>
        <v>0</v>
      </c>
      <c r="L49" s="3">
        <f t="shared" si="3"/>
        <v>11033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IFERROR(__xludf.DUMMYFUNCTION("""COMPUTED_VALUE"""),11159)</f>
        <v>11159</v>
      </c>
      <c r="C50" s="16">
        <f>IFERROR(__xludf.DUMMYFUNCTION("""COMPUTED_VALUE"""),45813.6458333333)</f>
        <v>45813.6458333333</v>
      </c>
      <c r="D50" s="17">
        <f>IFERROR(__xludf.DUMMYFUNCTION("""COMPUTED_VALUE"""),11038)</f>
        <v>11038</v>
      </c>
      <c r="E50" s="16">
        <f>IFERROR(__xludf.DUMMYFUNCTION("""COMPUTED_VALUE"""),45813.6458333333)</f>
        <v>45813.6458333333</v>
      </c>
      <c r="F50" s="17">
        <f>IFERROR(__xludf.DUMMYFUNCTION("""COMPUTED_VALUE"""),191183)</f>
        <v>191183</v>
      </c>
      <c r="G50" s="16">
        <f>IFERROR(__xludf.DUMMYFUNCTION("""COMPUTED_VALUE"""),45813.6458333333)</f>
        <v>45813.6458333333</v>
      </c>
      <c r="H50" s="17">
        <f>IFERROR(__xludf.DUMMYFUNCTION("""COMPUTED_VALUE"""),11180)</f>
        <v>11180</v>
      </c>
      <c r="I50" s="16">
        <f>IFERROR(__xludf.DUMMYFUNCTION("""COMPUTED_VALUE"""),45813.6458333333)</f>
        <v>45813.6458333333</v>
      </c>
      <c r="J50" s="17">
        <f>IFERROR(__xludf.DUMMYFUNCTION("""COMPUTED_VALUE"""),11003)</f>
        <v>11003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IFERROR(__xludf.DUMMYFUNCTION("""COMPUTED_VALUE"""),11253)</f>
        <v>11253</v>
      </c>
      <c r="C51" s="16">
        <f>IFERROR(__xludf.DUMMYFUNCTION("""COMPUTED_VALUE"""),45814.6458333333)</f>
        <v>45814.6458333333</v>
      </c>
      <c r="D51" s="17">
        <f>IFERROR(__xludf.DUMMYFUNCTION("""COMPUTED_VALUE"""),11180)</f>
        <v>11180</v>
      </c>
      <c r="E51" s="16">
        <f>IFERROR(__xludf.DUMMYFUNCTION("""COMPUTED_VALUE"""),45814.6458333333)</f>
        <v>45814.6458333333</v>
      </c>
      <c r="F51" s="17">
        <f>IFERROR(__xludf.DUMMYFUNCTION("""COMPUTED_VALUE"""),143723)</f>
        <v>143723</v>
      </c>
      <c r="G51" s="16">
        <f>IFERROR(__xludf.DUMMYFUNCTION("""COMPUTED_VALUE"""),45814.6458333333)</f>
        <v>45814.6458333333</v>
      </c>
      <c r="H51" s="17">
        <f>IFERROR(__xludf.DUMMYFUNCTION("""COMPUTED_VALUE"""),11311)</f>
        <v>11311</v>
      </c>
      <c r="I51" s="16">
        <f>IFERROR(__xludf.DUMMYFUNCTION("""COMPUTED_VALUE"""),45814.6458333333)</f>
        <v>45814.6458333333</v>
      </c>
      <c r="J51" s="17">
        <f>IFERROR(__xludf.DUMMYFUNCTION("""COMPUTED_VALUE"""),11120)</f>
        <v>11120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IFERROR(__xludf.DUMMYFUNCTION("""COMPUTED_VALUE"""),11260)</f>
        <v>11260</v>
      </c>
      <c r="C52" s="16">
        <f>IFERROR(__xludf.DUMMYFUNCTION("""COMPUTED_VALUE"""),45817.6458333333)</f>
        <v>45817.6458333333</v>
      </c>
      <c r="D52" s="17">
        <f>IFERROR(__xludf.DUMMYFUNCTION("""COMPUTED_VALUE"""),11260)</f>
        <v>11260</v>
      </c>
      <c r="E52" s="16">
        <f>IFERROR(__xludf.DUMMYFUNCTION("""COMPUTED_VALUE"""),45817.6458333333)</f>
        <v>45817.6458333333</v>
      </c>
      <c r="F52" s="17">
        <f>IFERROR(__xludf.DUMMYFUNCTION("""COMPUTED_VALUE"""),209231)</f>
        <v>209231</v>
      </c>
      <c r="G52" s="16">
        <f>IFERROR(__xludf.DUMMYFUNCTION("""COMPUTED_VALUE"""),45817.6458333333)</f>
        <v>45817.6458333333</v>
      </c>
      <c r="H52" s="17">
        <f>IFERROR(__xludf.DUMMYFUNCTION("""COMPUTED_VALUE"""),11318)</f>
        <v>11318</v>
      </c>
      <c r="I52" s="16">
        <f>IFERROR(__xludf.DUMMYFUNCTION("""COMPUTED_VALUE"""),45817.6458333333)</f>
        <v>45817.6458333333</v>
      </c>
      <c r="J52" s="17">
        <f>IFERROR(__xludf.DUMMYFUNCTION("""COMPUTED_VALUE"""),11166)</f>
        <v>11166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IFERROR(__xludf.DUMMYFUNCTION("""COMPUTED_VALUE"""),11391)</f>
        <v>11391</v>
      </c>
      <c r="C53" s="16">
        <f>IFERROR(__xludf.DUMMYFUNCTION("""COMPUTED_VALUE"""),45818.6458333333)</f>
        <v>45818.6458333333</v>
      </c>
      <c r="D53" s="17">
        <f>IFERROR(__xludf.DUMMYFUNCTION("""COMPUTED_VALUE"""),11410)</f>
        <v>11410</v>
      </c>
      <c r="E53" s="16">
        <f>IFERROR(__xludf.DUMMYFUNCTION("""COMPUTED_VALUE"""),45818.6458333333)</f>
        <v>45818.6458333333</v>
      </c>
      <c r="F53" s="17">
        <f>IFERROR(__xludf.DUMMYFUNCTION("""COMPUTED_VALUE"""),279918)</f>
        <v>279918</v>
      </c>
      <c r="G53" s="16">
        <f>IFERROR(__xludf.DUMMYFUNCTION("""COMPUTED_VALUE"""),45818.6458333333)</f>
        <v>45818.6458333333</v>
      </c>
      <c r="H53" s="17">
        <f>IFERROR(__xludf.DUMMYFUNCTION("""COMPUTED_VALUE"""),11484)</f>
        <v>11484</v>
      </c>
      <c r="I53" s="16">
        <f>IFERROR(__xludf.DUMMYFUNCTION("""COMPUTED_VALUE"""),45818.6458333333)</f>
        <v>45818.6458333333</v>
      </c>
      <c r="J53" s="17">
        <f>IFERROR(__xludf.DUMMYFUNCTION("""COMPUTED_VALUE"""),11335)</f>
        <v>11335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IFERROR(__xludf.DUMMYFUNCTION("""COMPUTED_VALUE"""),11464)</f>
        <v>11464</v>
      </c>
      <c r="C54" s="16">
        <f>IFERROR(__xludf.DUMMYFUNCTION("""COMPUTED_VALUE"""),45819.6458333333)</f>
        <v>45819.6458333333</v>
      </c>
      <c r="D54" s="17">
        <f>IFERROR(__xludf.DUMMYFUNCTION("""COMPUTED_VALUE"""),11380)</f>
        <v>11380</v>
      </c>
      <c r="E54" s="16">
        <f>IFERROR(__xludf.DUMMYFUNCTION("""COMPUTED_VALUE"""),45819.6458333333)</f>
        <v>45819.6458333333</v>
      </c>
      <c r="F54" s="17">
        <f>IFERROR(__xludf.DUMMYFUNCTION("""COMPUTED_VALUE"""),237747)</f>
        <v>237747</v>
      </c>
      <c r="G54" s="16">
        <f>IFERROR(__xludf.DUMMYFUNCTION("""COMPUTED_VALUE"""),45819.6458333333)</f>
        <v>45819.6458333333</v>
      </c>
      <c r="H54" s="17">
        <f>IFERROR(__xludf.DUMMYFUNCTION("""COMPUTED_VALUE"""),11518)</f>
        <v>11518</v>
      </c>
      <c r="I54" s="16">
        <f>IFERROR(__xludf.DUMMYFUNCTION("""COMPUTED_VALUE"""),45819.6458333333)</f>
        <v>45819.6458333333</v>
      </c>
      <c r="J54" s="17">
        <f>IFERROR(__xludf.DUMMYFUNCTION("""COMPUTED_VALUE"""),11340)</f>
        <v>11340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IFERROR(__xludf.DUMMYFUNCTION("""COMPUTED_VALUE"""),11323)</f>
        <v>11323</v>
      </c>
      <c r="C55" s="16">
        <f>IFERROR(__xludf.DUMMYFUNCTION("""COMPUTED_VALUE"""),45820.6458333333)</f>
        <v>45820.6458333333</v>
      </c>
      <c r="D55" s="17">
        <f>IFERROR(__xludf.DUMMYFUNCTION("""COMPUTED_VALUE"""),11475)</f>
        <v>11475</v>
      </c>
      <c r="E55" s="16">
        <f>IFERROR(__xludf.DUMMYFUNCTION("""COMPUTED_VALUE"""),45820.6458333333)</f>
        <v>45820.6458333333</v>
      </c>
      <c r="F55" s="17">
        <f>IFERROR(__xludf.DUMMYFUNCTION("""COMPUTED_VALUE"""),262530)</f>
        <v>262530</v>
      </c>
      <c r="G55" s="16">
        <f>IFERROR(__xludf.DUMMYFUNCTION("""COMPUTED_VALUE"""),45820.6458333333)</f>
        <v>45820.6458333333</v>
      </c>
      <c r="H55" s="17">
        <f>IFERROR(__xludf.DUMMYFUNCTION("""COMPUTED_VALUE"""),11505)</f>
        <v>11505</v>
      </c>
      <c r="I55" s="16">
        <f>IFERROR(__xludf.DUMMYFUNCTION("""COMPUTED_VALUE"""),45820.6458333333)</f>
        <v>45820.6458333333</v>
      </c>
      <c r="J55" s="17">
        <f>IFERROR(__xludf.DUMMYFUNCTION("""COMPUTED_VALUE"""),11280)</f>
        <v>11280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IFERROR(__xludf.DUMMYFUNCTION("""COMPUTED_VALUE"""),11224)</f>
        <v>11224</v>
      </c>
      <c r="C56" s="16">
        <f>IFERROR(__xludf.DUMMYFUNCTION("""COMPUTED_VALUE"""),45821.6458333333)</f>
        <v>45821.6458333333</v>
      </c>
      <c r="D56" s="17">
        <f>IFERROR(__xludf.DUMMYFUNCTION("""COMPUTED_VALUE"""),11111)</f>
        <v>11111</v>
      </c>
      <c r="E56" s="16">
        <f>IFERROR(__xludf.DUMMYFUNCTION("""COMPUTED_VALUE"""),45821.6458333333)</f>
        <v>45821.6458333333</v>
      </c>
      <c r="F56" s="17">
        <f>IFERROR(__xludf.DUMMYFUNCTION("""COMPUTED_VALUE"""),181355)</f>
        <v>181355</v>
      </c>
      <c r="G56" s="16">
        <f>IFERROR(__xludf.DUMMYFUNCTION("""COMPUTED_VALUE"""),45821.6458333333)</f>
        <v>45821.6458333333</v>
      </c>
      <c r="H56" s="17">
        <f>IFERROR(__xludf.DUMMYFUNCTION("""COMPUTED_VALUE"""),11250)</f>
        <v>11250</v>
      </c>
      <c r="I56" s="16">
        <f>IFERROR(__xludf.DUMMYFUNCTION("""COMPUTED_VALUE"""),45821.6458333333)</f>
        <v>45821.6458333333</v>
      </c>
      <c r="J56" s="17">
        <f>IFERROR(__xludf.DUMMYFUNCTION("""COMPUTED_VALUE"""),11018)</f>
        <v>11018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IFERROR(__xludf.DUMMYFUNCTION("""COMPUTED_VALUE"""),11495)</f>
        <v>11495</v>
      </c>
      <c r="C57" s="16">
        <f>IFERROR(__xludf.DUMMYFUNCTION("""COMPUTED_VALUE"""),45824.6458333333)</f>
        <v>45824.6458333333</v>
      </c>
      <c r="D57" s="17">
        <f>IFERROR(__xludf.DUMMYFUNCTION("""COMPUTED_VALUE"""),11270)</f>
        <v>11270</v>
      </c>
      <c r="E57" s="16">
        <f>IFERROR(__xludf.DUMMYFUNCTION("""COMPUTED_VALUE"""),45824.6458333333)</f>
        <v>45824.6458333333</v>
      </c>
      <c r="F57" s="17">
        <f>IFERROR(__xludf.DUMMYFUNCTION("""COMPUTED_VALUE"""),401104)</f>
        <v>401104</v>
      </c>
      <c r="G57" s="16">
        <f>IFERROR(__xludf.DUMMYFUNCTION("""COMPUTED_VALUE"""),45824.6458333333)</f>
        <v>45824.6458333333</v>
      </c>
      <c r="H57" s="17">
        <f>IFERROR(__xludf.DUMMYFUNCTION("""COMPUTED_VALUE"""),11518)</f>
        <v>11518</v>
      </c>
      <c r="I57" s="16">
        <f>IFERROR(__xludf.DUMMYFUNCTION("""COMPUTED_VALUE"""),45824.6458333333)</f>
        <v>45824.6458333333</v>
      </c>
      <c r="J57" s="17">
        <f>IFERROR(__xludf.DUMMYFUNCTION("""COMPUTED_VALUE"""),11197)</f>
        <v>11197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IFERROR(__xludf.DUMMYFUNCTION("""COMPUTED_VALUE"""),11383)</f>
        <v>11383</v>
      </c>
      <c r="C58" s="16">
        <f>IFERROR(__xludf.DUMMYFUNCTION("""COMPUTED_VALUE"""),45825.6458333333)</f>
        <v>45825.6458333333</v>
      </c>
      <c r="D58" s="17">
        <f>IFERROR(__xludf.DUMMYFUNCTION("""COMPUTED_VALUE"""),11500)</f>
        <v>11500</v>
      </c>
      <c r="E58" s="16">
        <f>IFERROR(__xludf.DUMMYFUNCTION("""COMPUTED_VALUE"""),45825.6458333333)</f>
        <v>45825.6458333333</v>
      </c>
      <c r="F58" s="17">
        <f>IFERROR(__xludf.DUMMYFUNCTION("""COMPUTED_VALUE"""),121415)</f>
        <v>121415</v>
      </c>
      <c r="G58" s="16">
        <f>IFERROR(__xludf.DUMMYFUNCTION("""COMPUTED_VALUE"""),45825.6458333333)</f>
        <v>45825.6458333333</v>
      </c>
      <c r="H58" s="17">
        <f>IFERROR(__xludf.DUMMYFUNCTION("""COMPUTED_VALUE"""),11509)</f>
        <v>11509</v>
      </c>
      <c r="I58" s="16">
        <f>IFERROR(__xludf.DUMMYFUNCTION("""COMPUTED_VALUE"""),45825.6458333333)</f>
        <v>45825.6458333333</v>
      </c>
      <c r="J58" s="17">
        <f>IFERROR(__xludf.DUMMYFUNCTION("""COMPUTED_VALUE"""),11360)</f>
        <v>11360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IFERROR(__xludf.DUMMYFUNCTION("""COMPUTED_VALUE"""),11406)</f>
        <v>11406</v>
      </c>
      <c r="C59" s="16">
        <f>IFERROR(__xludf.DUMMYFUNCTION("""COMPUTED_VALUE"""),45826.6458333333)</f>
        <v>45826.6458333333</v>
      </c>
      <c r="D59" s="17">
        <f>IFERROR(__xludf.DUMMYFUNCTION("""COMPUTED_VALUE"""),11383)</f>
        <v>11383</v>
      </c>
      <c r="E59" s="16">
        <f>IFERROR(__xludf.DUMMYFUNCTION("""COMPUTED_VALUE"""),45826.6458333333)</f>
        <v>45826.6458333333</v>
      </c>
      <c r="F59" s="17">
        <f>IFERROR(__xludf.DUMMYFUNCTION("""COMPUTED_VALUE"""),156816)</f>
        <v>156816</v>
      </c>
      <c r="G59" s="16">
        <f>IFERROR(__xludf.DUMMYFUNCTION("""COMPUTED_VALUE"""),45826.6458333333)</f>
        <v>45826.6458333333</v>
      </c>
      <c r="H59" s="17">
        <f>IFERROR(__xludf.DUMMYFUNCTION("""COMPUTED_VALUE"""),11479)</f>
        <v>11479</v>
      </c>
      <c r="I59" s="16">
        <f>IFERROR(__xludf.DUMMYFUNCTION("""COMPUTED_VALUE"""),45826.6458333333)</f>
        <v>45826.6458333333</v>
      </c>
      <c r="J59" s="17">
        <f>IFERROR(__xludf.DUMMYFUNCTION("""COMPUTED_VALUE"""),11343)</f>
        <v>11343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IFERROR(__xludf.DUMMYFUNCTION("""COMPUTED_VALUE"""),11420)</f>
        <v>11420</v>
      </c>
      <c r="C60" s="16">
        <f>IFERROR(__xludf.DUMMYFUNCTION("""COMPUTED_VALUE"""),45827.6458333333)</f>
        <v>45827.6458333333</v>
      </c>
      <c r="D60" s="17">
        <f>IFERROR(__xludf.DUMMYFUNCTION("""COMPUTED_VALUE"""),11400)</f>
        <v>11400</v>
      </c>
      <c r="E60" s="16">
        <f>IFERROR(__xludf.DUMMYFUNCTION("""COMPUTED_VALUE"""),45827.6458333333)</f>
        <v>45827.6458333333</v>
      </c>
      <c r="F60" s="17">
        <f>IFERROR(__xludf.DUMMYFUNCTION("""COMPUTED_VALUE"""),157757)</f>
        <v>157757</v>
      </c>
      <c r="G60" s="16">
        <f>IFERROR(__xludf.DUMMYFUNCTION("""COMPUTED_VALUE"""),45827.6458333333)</f>
        <v>45827.6458333333</v>
      </c>
      <c r="H60" s="17">
        <f>IFERROR(__xludf.DUMMYFUNCTION("""COMPUTED_VALUE"""),11485)</f>
        <v>11485</v>
      </c>
      <c r="I60" s="16">
        <f>IFERROR(__xludf.DUMMYFUNCTION("""COMPUTED_VALUE"""),45827.6458333333)</f>
        <v>45827.6458333333</v>
      </c>
      <c r="J60" s="17">
        <f>IFERROR(__xludf.DUMMYFUNCTION("""COMPUTED_VALUE"""),11353)</f>
        <v>11353</v>
      </c>
      <c r="K60" s="3">
        <f t="shared" si="2"/>
        <v>0</v>
      </c>
      <c r="L60" s="3">
        <f t="shared" si="3"/>
        <v>0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IFERROR(__xludf.DUMMYFUNCTION("""COMPUTED_VALUE"""),11458)</f>
        <v>11458</v>
      </c>
      <c r="C61" s="16">
        <f>IFERROR(__xludf.DUMMYFUNCTION("""COMPUTED_VALUE"""),45828.6458333333)</f>
        <v>45828.6458333333</v>
      </c>
      <c r="D61" s="17">
        <f>IFERROR(__xludf.DUMMYFUNCTION("""COMPUTED_VALUE"""),11420)</f>
        <v>11420</v>
      </c>
      <c r="E61" s="16">
        <f>IFERROR(__xludf.DUMMYFUNCTION("""COMPUTED_VALUE"""),45828.6458333333)</f>
        <v>45828.6458333333</v>
      </c>
      <c r="F61" s="17">
        <f>IFERROR(__xludf.DUMMYFUNCTION("""COMPUTED_VALUE"""),629895)</f>
        <v>629895</v>
      </c>
      <c r="G61" s="16">
        <f>IFERROR(__xludf.DUMMYFUNCTION("""COMPUTED_VALUE"""),45828.6458333333)</f>
        <v>45828.6458333333</v>
      </c>
      <c r="H61" s="17">
        <f>IFERROR(__xludf.DUMMYFUNCTION("""COMPUTED_VALUE"""),11525)</f>
        <v>11525</v>
      </c>
      <c r="I61" s="16">
        <f>IFERROR(__xludf.DUMMYFUNCTION("""COMPUTED_VALUE"""),45828.6458333333)</f>
        <v>45828.6458333333</v>
      </c>
      <c r="J61" s="17">
        <f>IFERROR(__xludf.DUMMYFUNCTION("""COMPUTED_VALUE"""),11370)</f>
        <v>11370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IFERROR(__xludf.DUMMYFUNCTION("""COMPUTED_VALUE"""),11449)</f>
        <v>11449</v>
      </c>
      <c r="C62" s="16">
        <f>IFERROR(__xludf.DUMMYFUNCTION("""COMPUTED_VALUE"""),45831.6458333333)</f>
        <v>45831.6458333333</v>
      </c>
      <c r="D62" s="17">
        <f>IFERROR(__xludf.DUMMYFUNCTION("""COMPUTED_VALUE"""),11401)</f>
        <v>11401</v>
      </c>
      <c r="E62" s="16">
        <f>IFERROR(__xludf.DUMMYFUNCTION("""COMPUTED_VALUE"""),45831.6458333333)</f>
        <v>45831.6458333333</v>
      </c>
      <c r="F62" s="17">
        <f>IFERROR(__xludf.DUMMYFUNCTION("""COMPUTED_VALUE"""),304907)</f>
        <v>304907</v>
      </c>
      <c r="G62" s="16">
        <f>IFERROR(__xludf.DUMMYFUNCTION("""COMPUTED_VALUE"""),45831.6458333333)</f>
        <v>45831.6458333333</v>
      </c>
      <c r="H62" s="17">
        <f>IFERROR(__xludf.DUMMYFUNCTION("""COMPUTED_VALUE"""),11490)</f>
        <v>11490</v>
      </c>
      <c r="I62" s="16">
        <f>IFERROR(__xludf.DUMMYFUNCTION("""COMPUTED_VALUE"""),45831.6458333333)</f>
        <v>45831.6458333333</v>
      </c>
      <c r="J62" s="17">
        <f>IFERROR(__xludf.DUMMYFUNCTION("""COMPUTED_VALUE"""),11321)</f>
        <v>11321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IFERROR(__xludf.DUMMYFUNCTION("""COMPUTED_VALUE"""),11579)</f>
        <v>11579</v>
      </c>
      <c r="C63" s="16">
        <f>IFERROR(__xludf.DUMMYFUNCTION("""COMPUTED_VALUE"""),45832.6458333333)</f>
        <v>45832.6458333333</v>
      </c>
      <c r="D63" s="17">
        <f>IFERROR(__xludf.DUMMYFUNCTION("""COMPUTED_VALUE"""),11559)</f>
        <v>11559</v>
      </c>
      <c r="E63" s="16">
        <f>IFERROR(__xludf.DUMMYFUNCTION("""COMPUTED_VALUE"""),45832.6458333333)</f>
        <v>45832.6458333333</v>
      </c>
      <c r="F63" s="17">
        <f>IFERROR(__xludf.DUMMYFUNCTION("""COMPUTED_VALUE"""),735700)</f>
        <v>735700</v>
      </c>
      <c r="G63" s="16">
        <f>IFERROR(__xludf.DUMMYFUNCTION("""COMPUTED_VALUE"""),45832.6458333333)</f>
        <v>45832.6458333333</v>
      </c>
      <c r="H63" s="17">
        <f>IFERROR(__xludf.DUMMYFUNCTION("""COMPUTED_VALUE"""),11824)</f>
        <v>11824</v>
      </c>
      <c r="I63" s="16">
        <f>IFERROR(__xludf.DUMMYFUNCTION("""COMPUTED_VALUE"""),45832.6458333333)</f>
        <v>45832.6458333333</v>
      </c>
      <c r="J63" s="17">
        <f>IFERROR(__xludf.DUMMYFUNCTION("""COMPUTED_VALUE"""),11514)</f>
        <v>11514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IFERROR(__xludf.DUMMYFUNCTION("""COMPUTED_VALUE"""),11733)</f>
        <v>11733</v>
      </c>
      <c r="C64" s="16">
        <f>IFERROR(__xludf.DUMMYFUNCTION("""COMPUTED_VALUE"""),45833.6458333333)</f>
        <v>45833.6458333333</v>
      </c>
      <c r="D64" s="17">
        <f>IFERROR(__xludf.DUMMYFUNCTION("""COMPUTED_VALUE"""),11635)</f>
        <v>11635</v>
      </c>
      <c r="E64" s="16">
        <f>IFERROR(__xludf.DUMMYFUNCTION("""COMPUTED_VALUE"""),45833.6458333333)</f>
        <v>45833.6458333333</v>
      </c>
      <c r="F64" s="17">
        <f>IFERROR(__xludf.DUMMYFUNCTION("""COMPUTED_VALUE"""),253134)</f>
        <v>253134</v>
      </c>
      <c r="G64" s="16">
        <f>IFERROR(__xludf.DUMMYFUNCTION("""COMPUTED_VALUE"""),45833.6458333333)</f>
        <v>45833.6458333333</v>
      </c>
      <c r="H64" s="17">
        <f>IFERROR(__xludf.DUMMYFUNCTION("""COMPUTED_VALUE"""),11771)</f>
        <v>11771</v>
      </c>
      <c r="I64" s="16">
        <f>IFERROR(__xludf.DUMMYFUNCTION("""COMPUTED_VALUE"""),45833.6458333333)</f>
        <v>45833.6458333333</v>
      </c>
      <c r="J64" s="17">
        <f>IFERROR(__xludf.DUMMYFUNCTION("""COMPUTED_VALUE"""),11634)</f>
        <v>11634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IFERROR(__xludf.DUMMYFUNCTION("""COMPUTED_VALUE"""),11951)</f>
        <v>11951</v>
      </c>
      <c r="C65" s="16">
        <f>IFERROR(__xludf.DUMMYFUNCTION("""COMPUTED_VALUE"""),45834.6458333333)</f>
        <v>45834.6458333333</v>
      </c>
      <c r="D65" s="17">
        <f>IFERROR(__xludf.DUMMYFUNCTION("""COMPUTED_VALUE"""),11690)</f>
        <v>11690</v>
      </c>
      <c r="E65" s="16">
        <f>IFERROR(__xludf.DUMMYFUNCTION("""COMPUTED_VALUE"""),45834.6458333333)</f>
        <v>45834.6458333333</v>
      </c>
      <c r="F65" s="17">
        <f>IFERROR(__xludf.DUMMYFUNCTION("""COMPUTED_VALUE"""),506580)</f>
        <v>506580</v>
      </c>
      <c r="G65" s="16">
        <f>IFERROR(__xludf.DUMMYFUNCTION("""COMPUTED_VALUE"""),45834.6458333333)</f>
        <v>45834.6458333333</v>
      </c>
      <c r="H65" s="17">
        <f>IFERROR(__xludf.DUMMYFUNCTION("""COMPUTED_VALUE"""),11986)</f>
        <v>11986</v>
      </c>
      <c r="I65" s="16">
        <f>IFERROR(__xludf.DUMMYFUNCTION("""COMPUTED_VALUE"""),45834.6458333333)</f>
        <v>45834.6458333333</v>
      </c>
      <c r="J65" s="17">
        <f>IFERROR(__xludf.DUMMYFUNCTION("""COMPUTED_VALUE"""),11681)</f>
        <v>11681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IFERROR(__xludf.DUMMYFUNCTION("""COMPUTED_VALUE"""),12213)</f>
        <v>12213</v>
      </c>
      <c r="C66" s="16">
        <f>IFERROR(__xludf.DUMMYFUNCTION("""COMPUTED_VALUE"""),45835.6458333333)</f>
        <v>45835.6458333333</v>
      </c>
      <c r="D66" s="17">
        <f>IFERROR(__xludf.DUMMYFUNCTION("""COMPUTED_VALUE"""),11980)</f>
        <v>11980</v>
      </c>
      <c r="E66" s="16">
        <f>IFERROR(__xludf.DUMMYFUNCTION("""COMPUTED_VALUE"""),45835.6458333333)</f>
        <v>45835.6458333333</v>
      </c>
      <c r="F66" s="17">
        <f>IFERROR(__xludf.DUMMYFUNCTION("""COMPUTED_VALUE"""),501287)</f>
        <v>501287</v>
      </c>
      <c r="G66" s="16">
        <f>IFERROR(__xludf.DUMMYFUNCTION("""COMPUTED_VALUE"""),45835.6458333333)</f>
        <v>45835.6458333333</v>
      </c>
      <c r="H66" s="17">
        <f>IFERROR(__xludf.DUMMYFUNCTION("""COMPUTED_VALUE"""),12246)</f>
        <v>12246</v>
      </c>
      <c r="I66" s="16">
        <f>IFERROR(__xludf.DUMMYFUNCTION("""COMPUTED_VALUE"""),45835.6458333333)</f>
        <v>45835.6458333333</v>
      </c>
      <c r="J66" s="17">
        <f>IFERROR(__xludf.DUMMYFUNCTION("""COMPUTED_VALUE"""),11917)</f>
        <v>11917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IFERROR(__xludf.DUMMYFUNCTION("""COMPUTED_VALUE"""),12093)</f>
        <v>12093</v>
      </c>
      <c r="C67" s="16">
        <f>IFERROR(__xludf.DUMMYFUNCTION("""COMPUTED_VALUE"""),45838.6458333333)</f>
        <v>45838.6458333333</v>
      </c>
      <c r="D67" s="17">
        <f>IFERROR(__xludf.DUMMYFUNCTION("""COMPUTED_VALUE"""),12215)</f>
        <v>12215</v>
      </c>
      <c r="E67" s="16">
        <f>IFERROR(__xludf.DUMMYFUNCTION("""COMPUTED_VALUE"""),45838.6458333333)</f>
        <v>45838.6458333333</v>
      </c>
      <c r="F67" s="17">
        <f>IFERROR(__xludf.DUMMYFUNCTION("""COMPUTED_VALUE"""),333104)</f>
        <v>333104</v>
      </c>
      <c r="G67" s="16">
        <f>IFERROR(__xludf.DUMMYFUNCTION("""COMPUTED_VALUE"""),45838.6458333333)</f>
        <v>45838.6458333333</v>
      </c>
      <c r="H67" s="17">
        <f>IFERROR(__xludf.DUMMYFUNCTION("""COMPUTED_VALUE"""),12271)</f>
        <v>12271</v>
      </c>
      <c r="I67" s="16">
        <f>IFERROR(__xludf.DUMMYFUNCTION("""COMPUTED_VALUE"""),45838.6458333333)</f>
        <v>45838.6458333333</v>
      </c>
      <c r="J67" s="17">
        <f>IFERROR(__xludf.DUMMYFUNCTION("""COMPUTED_VALUE"""),12018)</f>
        <v>12018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IFERROR(__xludf.DUMMYFUNCTION("""COMPUTED_VALUE"""),12210)</f>
        <v>12210</v>
      </c>
      <c r="C68" s="16">
        <f>IFERROR(__xludf.DUMMYFUNCTION("""COMPUTED_VALUE"""),45839.6458333333)</f>
        <v>45839.6458333333</v>
      </c>
      <c r="D68" s="17">
        <f>IFERROR(__xludf.DUMMYFUNCTION("""COMPUTED_VALUE"""),12105)</f>
        <v>12105</v>
      </c>
      <c r="E68" s="16">
        <f>IFERROR(__xludf.DUMMYFUNCTION("""COMPUTED_VALUE"""),45839.6458333333)</f>
        <v>45839.6458333333</v>
      </c>
      <c r="F68" s="17">
        <f>IFERROR(__xludf.DUMMYFUNCTION("""COMPUTED_VALUE"""),207437)</f>
        <v>207437</v>
      </c>
      <c r="G68" s="16">
        <f>IFERROR(__xludf.DUMMYFUNCTION("""COMPUTED_VALUE"""),45839.6458333333)</f>
        <v>45839.6458333333</v>
      </c>
      <c r="H68" s="17">
        <f>IFERROR(__xludf.DUMMYFUNCTION("""COMPUTED_VALUE"""),12225)</f>
        <v>12225</v>
      </c>
      <c r="I68" s="16">
        <f>IFERROR(__xludf.DUMMYFUNCTION("""COMPUTED_VALUE"""),45839.6458333333)</f>
        <v>45839.6458333333</v>
      </c>
      <c r="J68" s="17">
        <f>IFERROR(__xludf.DUMMYFUNCTION("""COMPUTED_VALUE"""),12060)</f>
        <v>12060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IFERROR(__xludf.DUMMYFUNCTION("""COMPUTED_VALUE"""),12436)</f>
        <v>12436</v>
      </c>
      <c r="C69" s="16">
        <f>IFERROR(__xludf.DUMMYFUNCTION("""COMPUTED_VALUE"""),45840.6458333333)</f>
        <v>45840.6458333333</v>
      </c>
      <c r="D69" s="17">
        <f>IFERROR(__xludf.DUMMYFUNCTION("""COMPUTED_VALUE"""),12210)</f>
        <v>12210</v>
      </c>
      <c r="E69" s="16">
        <f>IFERROR(__xludf.DUMMYFUNCTION("""COMPUTED_VALUE"""),45840.6458333333)</f>
        <v>45840.6458333333</v>
      </c>
      <c r="F69" s="17">
        <f>IFERROR(__xludf.DUMMYFUNCTION("""COMPUTED_VALUE"""),445829)</f>
        <v>445829</v>
      </c>
      <c r="G69" s="16">
        <f>IFERROR(__xludf.DUMMYFUNCTION("""COMPUTED_VALUE"""),45840.6458333333)</f>
        <v>45840.6458333333</v>
      </c>
      <c r="H69" s="17">
        <f>IFERROR(__xludf.DUMMYFUNCTION("""COMPUTED_VALUE"""),12527)</f>
        <v>12527</v>
      </c>
      <c r="I69" s="16">
        <f>IFERROR(__xludf.DUMMYFUNCTION("""COMPUTED_VALUE"""),45840.6458333333)</f>
        <v>45840.6458333333</v>
      </c>
      <c r="J69" s="17">
        <f>IFERROR(__xludf.DUMMYFUNCTION("""COMPUTED_VALUE"""),12170)</f>
        <v>12170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IFERROR(__xludf.DUMMYFUNCTION("""COMPUTED_VALUE"""),12398)</f>
        <v>12398</v>
      </c>
      <c r="C70" s="16">
        <f>IFERROR(__xludf.DUMMYFUNCTION("""COMPUTED_VALUE"""),45841.6458333333)</f>
        <v>45841.6458333333</v>
      </c>
      <c r="D70" s="17">
        <f>IFERROR(__xludf.DUMMYFUNCTION("""COMPUTED_VALUE"""),12436)</f>
        <v>12436</v>
      </c>
      <c r="E70" s="16">
        <f>IFERROR(__xludf.DUMMYFUNCTION("""COMPUTED_VALUE"""),45841.6458333333)</f>
        <v>45841.6458333333</v>
      </c>
      <c r="F70" s="17">
        <f>IFERROR(__xludf.DUMMYFUNCTION("""COMPUTED_VALUE"""),275755)</f>
        <v>275755</v>
      </c>
      <c r="G70" s="16">
        <f>IFERROR(__xludf.DUMMYFUNCTION("""COMPUTED_VALUE"""),45841.6458333333)</f>
        <v>45841.6458333333</v>
      </c>
      <c r="H70" s="17">
        <f>IFERROR(__xludf.DUMMYFUNCTION("""COMPUTED_VALUE"""),12575)</f>
        <v>12575</v>
      </c>
      <c r="I70" s="16">
        <f>IFERROR(__xludf.DUMMYFUNCTION("""COMPUTED_VALUE"""),45841.6458333333)</f>
        <v>45841.6458333333</v>
      </c>
      <c r="J70" s="17">
        <f>IFERROR(__xludf.DUMMYFUNCTION("""COMPUTED_VALUE"""),12376)</f>
        <v>12376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IFERROR(__xludf.DUMMYFUNCTION("""COMPUTED_VALUE"""),12506)</f>
        <v>12506</v>
      </c>
      <c r="C71" s="16">
        <f>IFERROR(__xludf.DUMMYFUNCTION("""COMPUTED_VALUE"""),45842.6458333333)</f>
        <v>45842.6458333333</v>
      </c>
      <c r="D71" s="17">
        <f>IFERROR(__xludf.DUMMYFUNCTION("""COMPUTED_VALUE"""),12400)</f>
        <v>12400</v>
      </c>
      <c r="E71" s="16">
        <f>IFERROR(__xludf.DUMMYFUNCTION("""COMPUTED_VALUE"""),45842.6458333333)</f>
        <v>45842.6458333333</v>
      </c>
      <c r="F71" s="17">
        <f>IFERROR(__xludf.DUMMYFUNCTION("""COMPUTED_VALUE"""),191516)</f>
        <v>191516</v>
      </c>
      <c r="G71" s="16">
        <f>IFERROR(__xludf.DUMMYFUNCTION("""COMPUTED_VALUE"""),45842.6458333333)</f>
        <v>45842.6458333333</v>
      </c>
      <c r="H71" s="17">
        <f>IFERROR(__xludf.DUMMYFUNCTION("""COMPUTED_VALUE"""),12542)</f>
        <v>12542</v>
      </c>
      <c r="I71" s="16">
        <f>IFERROR(__xludf.DUMMYFUNCTION("""COMPUTED_VALUE"""),45842.6458333333)</f>
        <v>45842.6458333333</v>
      </c>
      <c r="J71" s="17">
        <f>IFERROR(__xludf.DUMMYFUNCTION("""COMPUTED_VALUE"""),12341)</f>
        <v>12341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IFERROR(__xludf.DUMMYFUNCTION("""COMPUTED_VALUE"""),12345)</f>
        <v>12345</v>
      </c>
      <c r="C72" s="16">
        <f>IFERROR(__xludf.DUMMYFUNCTION("""COMPUTED_VALUE"""),45845.6458333333)</f>
        <v>45845.6458333333</v>
      </c>
      <c r="D72" s="17">
        <f>IFERROR(__xludf.DUMMYFUNCTION("""COMPUTED_VALUE"""),12476)</f>
        <v>12476</v>
      </c>
      <c r="E72" s="16">
        <f>IFERROR(__xludf.DUMMYFUNCTION("""COMPUTED_VALUE"""),45845.6458333333)</f>
        <v>45845.6458333333</v>
      </c>
      <c r="F72" s="17">
        <f>IFERROR(__xludf.DUMMYFUNCTION("""COMPUTED_VALUE"""),149939)</f>
        <v>149939</v>
      </c>
      <c r="G72" s="16">
        <f>IFERROR(__xludf.DUMMYFUNCTION("""COMPUTED_VALUE"""),45845.6458333333)</f>
        <v>45845.6458333333</v>
      </c>
      <c r="H72" s="17">
        <f>IFERROR(__xludf.DUMMYFUNCTION("""COMPUTED_VALUE"""),12500)</f>
        <v>12500</v>
      </c>
      <c r="I72" s="16">
        <f>IFERROR(__xludf.DUMMYFUNCTION("""COMPUTED_VALUE"""),45845.6458333333)</f>
        <v>45845.6458333333</v>
      </c>
      <c r="J72" s="17">
        <f>IFERROR(__xludf.DUMMYFUNCTION("""COMPUTED_VALUE"""),12306)</f>
        <v>12306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IFERROR(__xludf.DUMMYFUNCTION("""COMPUTED_VALUE"""),12445)</f>
        <v>12445</v>
      </c>
      <c r="C73" s="16">
        <f>IFERROR(__xludf.DUMMYFUNCTION("""COMPUTED_VALUE"""),45846.6458333333)</f>
        <v>45846.6458333333</v>
      </c>
      <c r="D73" s="17">
        <f>IFERROR(__xludf.DUMMYFUNCTION("""COMPUTED_VALUE"""),12345)</f>
        <v>12345</v>
      </c>
      <c r="E73" s="16">
        <f>IFERROR(__xludf.DUMMYFUNCTION("""COMPUTED_VALUE"""),45846.6458333333)</f>
        <v>45846.6458333333</v>
      </c>
      <c r="F73" s="17">
        <f>IFERROR(__xludf.DUMMYFUNCTION("""COMPUTED_VALUE"""),219226)</f>
        <v>219226</v>
      </c>
      <c r="G73" s="16">
        <f>IFERROR(__xludf.DUMMYFUNCTION("""COMPUTED_VALUE"""),45846.6458333333)</f>
        <v>45846.6458333333</v>
      </c>
      <c r="H73" s="17">
        <f>IFERROR(__xludf.DUMMYFUNCTION("""COMPUTED_VALUE"""),12495)</f>
        <v>12495</v>
      </c>
      <c r="I73" s="16">
        <f>IFERROR(__xludf.DUMMYFUNCTION("""COMPUTED_VALUE"""),45846.6458333333)</f>
        <v>45846.6458333333</v>
      </c>
      <c r="J73" s="17">
        <f>IFERROR(__xludf.DUMMYFUNCTION("""COMPUTED_VALUE"""),12305)</f>
        <v>12305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IFERROR(__xludf.DUMMYFUNCTION("""COMPUTED_VALUE"""),12562)</f>
        <v>12562</v>
      </c>
      <c r="C74" s="16">
        <f>IFERROR(__xludf.DUMMYFUNCTION("""COMPUTED_VALUE"""),45847.6458333333)</f>
        <v>45847.6458333333</v>
      </c>
      <c r="D74" s="17">
        <f>IFERROR(__xludf.DUMMYFUNCTION("""COMPUTED_VALUE"""),12410)</f>
        <v>12410</v>
      </c>
      <c r="E74" s="16">
        <f>IFERROR(__xludf.DUMMYFUNCTION("""COMPUTED_VALUE"""),45847.6458333333)</f>
        <v>45847.6458333333</v>
      </c>
      <c r="F74" s="17">
        <f>IFERROR(__xludf.DUMMYFUNCTION("""COMPUTED_VALUE"""),379924)</f>
        <v>379924</v>
      </c>
      <c r="G74" s="16">
        <f>IFERROR(__xludf.DUMMYFUNCTION("""COMPUTED_VALUE"""),45847.6458333333)</f>
        <v>45847.6458333333</v>
      </c>
      <c r="H74" s="17">
        <f>IFERROR(__xludf.DUMMYFUNCTION("""COMPUTED_VALUE"""),12580)</f>
        <v>12580</v>
      </c>
      <c r="I74" s="16">
        <f>IFERROR(__xludf.DUMMYFUNCTION("""COMPUTED_VALUE"""),45847.6458333333)</f>
        <v>45847.6458333333</v>
      </c>
      <c r="J74" s="17">
        <f>IFERROR(__xludf.DUMMYFUNCTION("""COMPUTED_VALUE"""),12376)</f>
        <v>12376</v>
      </c>
      <c r="K74" s="3">
        <f t="shared" si="2"/>
        <v>12562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IFERROR(__xludf.DUMMYFUNCTION("""COMPUTED_VALUE"""),12516)</f>
        <v>12516</v>
      </c>
      <c r="C75" s="16">
        <f>IFERROR(__xludf.DUMMYFUNCTION("""COMPUTED_VALUE"""),45848.6458333333)</f>
        <v>45848.6458333333</v>
      </c>
      <c r="D75" s="17">
        <f>IFERROR(__xludf.DUMMYFUNCTION("""COMPUTED_VALUE"""),12518)</f>
        <v>12518</v>
      </c>
      <c r="E75" s="16">
        <f>IFERROR(__xludf.DUMMYFUNCTION("""COMPUTED_VALUE"""),45848.6458333333)</f>
        <v>45848.6458333333</v>
      </c>
      <c r="F75" s="17">
        <f>IFERROR(__xludf.DUMMYFUNCTION("""COMPUTED_VALUE"""),269323)</f>
        <v>269323</v>
      </c>
      <c r="G75" s="16">
        <f>IFERROR(__xludf.DUMMYFUNCTION("""COMPUTED_VALUE"""),45848.6458333333)</f>
        <v>45848.6458333333</v>
      </c>
      <c r="H75" s="17">
        <f>IFERROR(__xludf.DUMMYFUNCTION("""COMPUTED_VALUE"""),12667)</f>
        <v>12667</v>
      </c>
      <c r="I75" s="16">
        <f>IFERROR(__xludf.DUMMYFUNCTION("""COMPUTED_VALUE"""),45848.6458333333)</f>
        <v>45848.6458333333</v>
      </c>
      <c r="J75" s="17">
        <f>IFERROR(__xludf.DUMMYFUNCTION("""COMPUTED_VALUE"""),12482)</f>
        <v>12482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IFERROR(__xludf.DUMMYFUNCTION("""COMPUTED_VALUE"""),12495)</f>
        <v>12495</v>
      </c>
      <c r="C76" s="16">
        <f>IFERROR(__xludf.DUMMYFUNCTION("""COMPUTED_VALUE"""),45849.6458333333)</f>
        <v>45849.6458333333</v>
      </c>
      <c r="D76" s="17">
        <f>IFERROR(__xludf.DUMMYFUNCTION("""COMPUTED_VALUE"""),12516)</f>
        <v>12516</v>
      </c>
      <c r="E76" s="16">
        <f>IFERROR(__xludf.DUMMYFUNCTION("""COMPUTED_VALUE"""),45849.6458333333)</f>
        <v>45849.6458333333</v>
      </c>
      <c r="F76" s="17">
        <f>IFERROR(__xludf.DUMMYFUNCTION("""COMPUTED_VALUE"""),240034)</f>
        <v>240034</v>
      </c>
      <c r="G76" s="16">
        <f>IFERROR(__xludf.DUMMYFUNCTION("""COMPUTED_VALUE"""),45849.6458333333)</f>
        <v>45849.6458333333</v>
      </c>
      <c r="H76" s="17">
        <f>IFERROR(__xludf.DUMMYFUNCTION("""COMPUTED_VALUE"""),12637)</f>
        <v>12637</v>
      </c>
      <c r="I76" s="16">
        <f>IFERROR(__xludf.DUMMYFUNCTION("""COMPUTED_VALUE"""),45849.6458333333)</f>
        <v>45849.6458333333</v>
      </c>
      <c r="J76" s="17">
        <f>IFERROR(__xludf.DUMMYFUNCTION("""COMPUTED_VALUE"""),12452)</f>
        <v>12452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IFERROR(__xludf.DUMMYFUNCTION("""COMPUTED_VALUE"""),12516)</f>
        <v>12516</v>
      </c>
      <c r="C77" s="16">
        <f>IFERROR(__xludf.DUMMYFUNCTION("""COMPUTED_VALUE"""),45852.6458333333)</f>
        <v>45852.6458333333</v>
      </c>
      <c r="D77" s="17">
        <f>IFERROR(__xludf.DUMMYFUNCTION("""COMPUTED_VALUE"""),12495)</f>
        <v>12495</v>
      </c>
      <c r="E77" s="16">
        <f>IFERROR(__xludf.DUMMYFUNCTION("""COMPUTED_VALUE"""),45852.6458333333)</f>
        <v>45852.6458333333</v>
      </c>
      <c r="F77" s="17">
        <f>IFERROR(__xludf.DUMMYFUNCTION("""COMPUTED_VALUE"""),278918)</f>
        <v>278918</v>
      </c>
      <c r="G77" s="16">
        <f>IFERROR(__xludf.DUMMYFUNCTION("""COMPUTED_VALUE"""),45852.6458333333)</f>
        <v>45852.6458333333</v>
      </c>
      <c r="H77" s="17">
        <f>IFERROR(__xludf.DUMMYFUNCTION("""COMPUTED_VALUE"""),12579)</f>
        <v>12579</v>
      </c>
      <c r="I77" s="16">
        <f>IFERROR(__xludf.DUMMYFUNCTION("""COMPUTED_VALUE"""),45852.6458333333)</f>
        <v>45852.6458333333</v>
      </c>
      <c r="J77" s="17">
        <f>IFERROR(__xludf.DUMMYFUNCTION("""COMPUTED_VALUE"""),12430)</f>
        <v>12430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IFERROR(__xludf.DUMMYFUNCTION("""COMPUTED_VALUE"""),12502)</f>
        <v>12502</v>
      </c>
      <c r="C78" s="16">
        <f>IFERROR(__xludf.DUMMYFUNCTION("""COMPUTED_VALUE"""),45853.6458333333)</f>
        <v>45853.6458333333</v>
      </c>
      <c r="D78" s="17">
        <f>IFERROR(__xludf.DUMMYFUNCTION("""COMPUTED_VALUE"""),12545)</f>
        <v>12545</v>
      </c>
      <c r="E78" s="16">
        <f>IFERROR(__xludf.DUMMYFUNCTION("""COMPUTED_VALUE"""),45853.6458333333)</f>
        <v>45853.6458333333</v>
      </c>
      <c r="F78" s="17">
        <f>IFERROR(__xludf.DUMMYFUNCTION("""COMPUTED_VALUE"""),154124)</f>
        <v>154124</v>
      </c>
      <c r="G78" s="16">
        <f>IFERROR(__xludf.DUMMYFUNCTION("""COMPUTED_VALUE"""),45853.6458333333)</f>
        <v>45853.6458333333</v>
      </c>
      <c r="H78" s="17">
        <f>IFERROR(__xludf.DUMMYFUNCTION("""COMPUTED_VALUE"""),12545)</f>
        <v>12545</v>
      </c>
      <c r="I78" s="16">
        <f>IFERROR(__xludf.DUMMYFUNCTION("""COMPUTED_VALUE"""),45853.6458333333)</f>
        <v>45853.6458333333</v>
      </c>
      <c r="J78" s="17">
        <f>IFERROR(__xludf.DUMMYFUNCTION("""COMPUTED_VALUE"""),12425)</f>
        <v>12425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IFERROR(__xludf.DUMMYFUNCTION("""COMPUTED_VALUE"""),12453)</f>
        <v>12453</v>
      </c>
      <c r="C79" s="16">
        <f>IFERROR(__xludf.DUMMYFUNCTION("""COMPUTED_VALUE"""),45854.6458333333)</f>
        <v>45854.6458333333</v>
      </c>
      <c r="D79" s="17">
        <f>IFERROR(__xludf.DUMMYFUNCTION("""COMPUTED_VALUE"""),12504)</f>
        <v>12504</v>
      </c>
      <c r="E79" s="16">
        <f>IFERROR(__xludf.DUMMYFUNCTION("""COMPUTED_VALUE"""),45854.6458333333)</f>
        <v>45854.6458333333</v>
      </c>
      <c r="F79" s="17">
        <f>IFERROR(__xludf.DUMMYFUNCTION("""COMPUTED_VALUE"""),156311)</f>
        <v>156311</v>
      </c>
      <c r="G79" s="16">
        <f>IFERROR(__xludf.DUMMYFUNCTION("""COMPUTED_VALUE"""),45854.6458333333)</f>
        <v>45854.6458333333</v>
      </c>
      <c r="H79" s="17">
        <f>IFERROR(__xludf.DUMMYFUNCTION("""COMPUTED_VALUE"""),12515)</f>
        <v>12515</v>
      </c>
      <c r="I79" s="16">
        <f>IFERROR(__xludf.DUMMYFUNCTION("""COMPUTED_VALUE"""),45854.6458333333)</f>
        <v>45854.6458333333</v>
      </c>
      <c r="J79" s="17">
        <f>IFERROR(__xludf.DUMMYFUNCTION("""COMPUTED_VALUE"""),12398)</f>
        <v>12398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IFERROR(__xludf.DUMMYFUNCTION("""COMPUTED_VALUE"""),12495)</f>
        <v>12495</v>
      </c>
      <c r="C80" s="16">
        <f>IFERROR(__xludf.DUMMYFUNCTION("""COMPUTED_VALUE"""),45855.6458333333)</f>
        <v>45855.6458333333</v>
      </c>
      <c r="D80" s="17">
        <f>IFERROR(__xludf.DUMMYFUNCTION("""COMPUTED_VALUE"""),12465)</f>
        <v>12465</v>
      </c>
      <c r="E80" s="16">
        <f>IFERROR(__xludf.DUMMYFUNCTION("""COMPUTED_VALUE"""),45855.6458333333)</f>
        <v>45855.6458333333</v>
      </c>
      <c r="F80" s="17">
        <f>IFERROR(__xludf.DUMMYFUNCTION("""COMPUTED_VALUE"""),166142)</f>
        <v>166142</v>
      </c>
      <c r="G80" s="16">
        <f>IFERROR(__xludf.DUMMYFUNCTION("""COMPUTED_VALUE"""),45855.6458333333)</f>
        <v>45855.6458333333</v>
      </c>
      <c r="H80" s="17">
        <f>IFERROR(__xludf.DUMMYFUNCTION("""COMPUTED_VALUE"""),12548)</f>
        <v>12548</v>
      </c>
      <c r="I80" s="16">
        <f>IFERROR(__xludf.DUMMYFUNCTION("""COMPUTED_VALUE"""),45855.6458333333)</f>
        <v>45855.6458333333</v>
      </c>
      <c r="J80" s="17">
        <f>IFERROR(__xludf.DUMMYFUNCTION("""COMPUTED_VALUE"""),12432)</f>
        <v>12432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IFERROR(__xludf.DUMMYFUNCTION("""COMPUTED_VALUE"""),12498)</f>
        <v>12498</v>
      </c>
      <c r="C81" s="16">
        <f>IFERROR(__xludf.DUMMYFUNCTION("""COMPUTED_VALUE"""),45856.6458333333)</f>
        <v>45856.6458333333</v>
      </c>
      <c r="D81" s="17">
        <f>IFERROR(__xludf.DUMMYFUNCTION("""COMPUTED_VALUE"""),12520)</f>
        <v>12520</v>
      </c>
      <c r="E81" s="16">
        <f>IFERROR(__xludf.DUMMYFUNCTION("""COMPUTED_VALUE"""),45856.6458333333)</f>
        <v>45856.6458333333</v>
      </c>
      <c r="F81" s="17">
        <f>IFERROR(__xludf.DUMMYFUNCTION("""COMPUTED_VALUE"""),98339)</f>
        <v>98339</v>
      </c>
      <c r="G81" s="16">
        <f>IFERROR(__xludf.DUMMYFUNCTION("""COMPUTED_VALUE"""),45856.6458333333)</f>
        <v>45856.6458333333</v>
      </c>
      <c r="H81" s="17">
        <f>IFERROR(__xludf.DUMMYFUNCTION("""COMPUTED_VALUE"""),12558)</f>
        <v>12558</v>
      </c>
      <c r="I81" s="16">
        <f>IFERROR(__xludf.DUMMYFUNCTION("""COMPUTED_VALUE"""),45856.6458333333)</f>
        <v>45856.6458333333</v>
      </c>
      <c r="J81" s="17">
        <f>IFERROR(__xludf.DUMMYFUNCTION("""COMPUTED_VALUE"""),12441)</f>
        <v>12441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IFERROR(__xludf.DUMMYFUNCTION("""COMPUTED_VALUE"""),12577)</f>
        <v>12577</v>
      </c>
      <c r="C82" s="16">
        <f>IFERROR(__xludf.DUMMYFUNCTION("""COMPUTED_VALUE"""),45859.6458333333)</f>
        <v>45859.6458333333</v>
      </c>
      <c r="D82" s="17">
        <f>IFERROR(__xludf.DUMMYFUNCTION("""COMPUTED_VALUE"""),12560)</f>
        <v>12560</v>
      </c>
      <c r="E82" s="16">
        <f>IFERROR(__xludf.DUMMYFUNCTION("""COMPUTED_VALUE"""),45859.6458333333)</f>
        <v>45859.6458333333</v>
      </c>
      <c r="F82" s="17">
        <f>IFERROR(__xludf.DUMMYFUNCTION("""COMPUTED_VALUE"""),512521)</f>
        <v>512521</v>
      </c>
      <c r="G82" s="16">
        <f>IFERROR(__xludf.DUMMYFUNCTION("""COMPUTED_VALUE"""),45859.6458333333)</f>
        <v>45859.6458333333</v>
      </c>
      <c r="H82" s="17">
        <f>IFERROR(__xludf.DUMMYFUNCTION("""COMPUTED_VALUE"""),12714)</f>
        <v>12714</v>
      </c>
      <c r="I82" s="16">
        <f>IFERROR(__xludf.DUMMYFUNCTION("""COMPUTED_VALUE"""),45859.6458333333)</f>
        <v>45859.6458333333</v>
      </c>
      <c r="J82" s="17">
        <f>IFERROR(__xludf.DUMMYFUNCTION("""COMPUTED_VALUE"""),12374)</f>
        <v>12374</v>
      </c>
      <c r="K82" s="3">
        <f t="shared" si="2"/>
        <v>12577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IFERROR(__xludf.DUMMYFUNCTION("""COMPUTED_VALUE"""),12452)</f>
        <v>12452</v>
      </c>
      <c r="C83" s="16">
        <f>IFERROR(__xludf.DUMMYFUNCTION("""COMPUTED_VALUE"""),45860.6458333333)</f>
        <v>45860.6458333333</v>
      </c>
      <c r="D83" s="17">
        <f>IFERROR(__xludf.DUMMYFUNCTION("""COMPUTED_VALUE"""),12649)</f>
        <v>12649</v>
      </c>
      <c r="E83" s="16">
        <f>IFERROR(__xludf.DUMMYFUNCTION("""COMPUTED_VALUE"""),45860.6458333333)</f>
        <v>45860.6458333333</v>
      </c>
      <c r="F83" s="17">
        <f>IFERROR(__xludf.DUMMYFUNCTION("""COMPUTED_VALUE"""),533617)</f>
        <v>533617</v>
      </c>
      <c r="G83" s="16">
        <f>IFERROR(__xludf.DUMMYFUNCTION("""COMPUTED_VALUE"""),45860.6458333333)</f>
        <v>45860.6458333333</v>
      </c>
      <c r="H83" s="17">
        <f>IFERROR(__xludf.DUMMYFUNCTION("""COMPUTED_VALUE"""),12699)</f>
        <v>12699</v>
      </c>
      <c r="I83" s="16">
        <f>IFERROR(__xludf.DUMMYFUNCTION("""COMPUTED_VALUE"""),45860.6458333333)</f>
        <v>45860.6458333333</v>
      </c>
      <c r="J83" s="17">
        <f>IFERROR(__xludf.DUMMYFUNCTION("""COMPUTED_VALUE"""),12295)</f>
        <v>12295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IFERROR(__xludf.DUMMYFUNCTION("""COMPUTED_VALUE"""),12372)</f>
        <v>12372</v>
      </c>
      <c r="C84" s="16">
        <f>IFERROR(__xludf.DUMMYFUNCTION("""COMPUTED_VALUE"""),45861.6458333333)</f>
        <v>45861.6458333333</v>
      </c>
      <c r="D84" s="17">
        <f>IFERROR(__xludf.DUMMYFUNCTION("""COMPUTED_VALUE"""),12460)</f>
        <v>12460</v>
      </c>
      <c r="E84" s="16">
        <f>IFERROR(__xludf.DUMMYFUNCTION("""COMPUTED_VALUE"""),45861.6458333333)</f>
        <v>45861.6458333333</v>
      </c>
      <c r="F84" s="17">
        <f>IFERROR(__xludf.DUMMYFUNCTION("""COMPUTED_VALUE"""),189617)</f>
        <v>189617</v>
      </c>
      <c r="G84" s="16">
        <f>IFERROR(__xludf.DUMMYFUNCTION("""COMPUTED_VALUE"""),45861.6458333333)</f>
        <v>45861.6458333333</v>
      </c>
      <c r="H84" s="17">
        <f>IFERROR(__xludf.DUMMYFUNCTION("""COMPUTED_VALUE"""),12515)</f>
        <v>12515</v>
      </c>
      <c r="I84" s="16">
        <f>IFERROR(__xludf.DUMMYFUNCTION("""COMPUTED_VALUE"""),45861.6458333333)</f>
        <v>45861.6458333333</v>
      </c>
      <c r="J84" s="17">
        <f>IFERROR(__xludf.DUMMYFUNCTION("""COMPUTED_VALUE"""),12358)</f>
        <v>12358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IFERROR(__xludf.DUMMYFUNCTION("""COMPUTED_VALUE"""),12304)</f>
        <v>12304</v>
      </c>
      <c r="C85" s="16">
        <f>IFERROR(__xludf.DUMMYFUNCTION("""COMPUTED_VALUE"""),45862.6458333333)</f>
        <v>45862.6458333333</v>
      </c>
      <c r="D85" s="17">
        <f>IFERROR(__xludf.DUMMYFUNCTION("""COMPUTED_VALUE"""),12372)</f>
        <v>12372</v>
      </c>
      <c r="E85" s="16">
        <f>IFERROR(__xludf.DUMMYFUNCTION("""COMPUTED_VALUE"""),45862.6458333333)</f>
        <v>45862.6458333333</v>
      </c>
      <c r="F85" s="17">
        <f>IFERROR(__xludf.DUMMYFUNCTION("""COMPUTED_VALUE"""),180080)</f>
        <v>180080</v>
      </c>
      <c r="G85" s="16">
        <f>IFERROR(__xludf.DUMMYFUNCTION("""COMPUTED_VALUE"""),45862.6458333333)</f>
        <v>45862.6458333333</v>
      </c>
      <c r="H85" s="17">
        <f>IFERROR(__xludf.DUMMYFUNCTION("""COMPUTED_VALUE"""),12399)</f>
        <v>12399</v>
      </c>
      <c r="I85" s="16">
        <f>IFERROR(__xludf.DUMMYFUNCTION("""COMPUTED_VALUE"""),45862.6458333333)</f>
        <v>45862.6458333333</v>
      </c>
      <c r="J85" s="17">
        <f>IFERROR(__xludf.DUMMYFUNCTION("""COMPUTED_VALUE"""),12230)</f>
        <v>12230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IFERROR(__xludf.DUMMYFUNCTION("""COMPUTED_VALUE"""),12250)</f>
        <v>12250</v>
      </c>
      <c r="C86" s="16">
        <f>IFERROR(__xludf.DUMMYFUNCTION("""COMPUTED_VALUE"""),45863.6458333333)</f>
        <v>45863.6458333333</v>
      </c>
      <c r="D86" s="17">
        <f>IFERROR(__xludf.DUMMYFUNCTION("""COMPUTED_VALUE"""),12245)</f>
        <v>12245</v>
      </c>
      <c r="E86" s="16">
        <f>IFERROR(__xludf.DUMMYFUNCTION("""COMPUTED_VALUE"""),45863.6458333333)</f>
        <v>45863.6458333333</v>
      </c>
      <c r="F86" s="17">
        <f>IFERROR(__xludf.DUMMYFUNCTION("""COMPUTED_VALUE"""),290381)</f>
        <v>290381</v>
      </c>
      <c r="G86" s="16">
        <f>IFERROR(__xludf.DUMMYFUNCTION("""COMPUTED_VALUE"""),45863.6458333333)</f>
        <v>45863.6458333333</v>
      </c>
      <c r="H86" s="17">
        <f>IFERROR(__xludf.DUMMYFUNCTION("""COMPUTED_VALUE"""),12345)</f>
        <v>12345</v>
      </c>
      <c r="I86" s="16">
        <f>IFERROR(__xludf.DUMMYFUNCTION("""COMPUTED_VALUE"""),45863.6458333333)</f>
        <v>45863.6458333333</v>
      </c>
      <c r="J86" s="17">
        <f>IFERROR(__xludf.DUMMYFUNCTION("""COMPUTED_VALUE"""),12193)</f>
        <v>12193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IFERROR(__xludf.DUMMYFUNCTION("""COMPUTED_VALUE"""),12240)</f>
        <v>12240</v>
      </c>
      <c r="C87" s="16">
        <f>IFERROR(__xludf.DUMMYFUNCTION("""COMPUTED_VALUE"""),45866.6458333333)</f>
        <v>45866.6458333333</v>
      </c>
      <c r="D87" s="17">
        <f>IFERROR(__xludf.DUMMYFUNCTION("""COMPUTED_VALUE"""),12274)</f>
        <v>12274</v>
      </c>
      <c r="E87" s="16">
        <f>IFERROR(__xludf.DUMMYFUNCTION("""COMPUTED_VALUE"""),45866.6458333333)</f>
        <v>45866.6458333333</v>
      </c>
      <c r="F87" s="17">
        <f>IFERROR(__xludf.DUMMYFUNCTION("""COMPUTED_VALUE"""),214107)</f>
        <v>214107</v>
      </c>
      <c r="G87" s="16">
        <f>IFERROR(__xludf.DUMMYFUNCTION("""COMPUTED_VALUE"""),45866.6458333333)</f>
        <v>45866.6458333333</v>
      </c>
      <c r="H87" s="17">
        <f>IFERROR(__xludf.DUMMYFUNCTION("""COMPUTED_VALUE"""),12368)</f>
        <v>12368</v>
      </c>
      <c r="I87" s="16">
        <f>IFERROR(__xludf.DUMMYFUNCTION("""COMPUTED_VALUE"""),45866.6458333333)</f>
        <v>45866.6458333333</v>
      </c>
      <c r="J87" s="17">
        <f>IFERROR(__xludf.DUMMYFUNCTION("""COMPUTED_VALUE"""),12210)</f>
        <v>12210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IFERROR(__xludf.DUMMYFUNCTION("""COMPUTED_VALUE"""),12221)</f>
        <v>12221</v>
      </c>
      <c r="C88" s="16">
        <f>IFERROR(__xludf.DUMMYFUNCTION("""COMPUTED_VALUE"""),45867.6458333333)</f>
        <v>45867.6458333333</v>
      </c>
      <c r="D88" s="17">
        <f>IFERROR(__xludf.DUMMYFUNCTION("""COMPUTED_VALUE"""),12200)</f>
        <v>12200</v>
      </c>
      <c r="E88" s="16">
        <f>IFERROR(__xludf.DUMMYFUNCTION("""COMPUTED_VALUE"""),45867.6458333333)</f>
        <v>45867.6458333333</v>
      </c>
      <c r="F88" s="17">
        <f>IFERROR(__xludf.DUMMYFUNCTION("""COMPUTED_VALUE"""),208446)</f>
        <v>208446</v>
      </c>
      <c r="G88" s="16">
        <f>IFERROR(__xludf.DUMMYFUNCTION("""COMPUTED_VALUE"""),45867.6458333333)</f>
        <v>45867.6458333333</v>
      </c>
      <c r="H88" s="17">
        <f>IFERROR(__xludf.DUMMYFUNCTION("""COMPUTED_VALUE"""),12262)</f>
        <v>12262</v>
      </c>
      <c r="I88" s="16">
        <f>IFERROR(__xludf.DUMMYFUNCTION("""COMPUTED_VALUE"""),45867.6458333333)</f>
        <v>45867.6458333333</v>
      </c>
      <c r="J88" s="17">
        <f>IFERROR(__xludf.DUMMYFUNCTION("""COMPUTED_VALUE"""),12122)</f>
        <v>12122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IFERROR(__xludf.DUMMYFUNCTION("""COMPUTED_VALUE"""),12268)</f>
        <v>12268</v>
      </c>
      <c r="C89" s="16">
        <f>IFERROR(__xludf.DUMMYFUNCTION("""COMPUTED_VALUE"""),45868.6458333333)</f>
        <v>45868.6458333333</v>
      </c>
      <c r="D89" s="17">
        <f>IFERROR(__xludf.DUMMYFUNCTION("""COMPUTED_VALUE"""),12205)</f>
        <v>12205</v>
      </c>
      <c r="E89" s="16">
        <f>IFERROR(__xludf.DUMMYFUNCTION("""COMPUTED_VALUE"""),45868.6458333333)</f>
        <v>45868.6458333333</v>
      </c>
      <c r="F89" s="17">
        <f>IFERROR(__xludf.DUMMYFUNCTION("""COMPUTED_VALUE"""),185681)</f>
        <v>185681</v>
      </c>
      <c r="G89" s="16">
        <f>IFERROR(__xludf.DUMMYFUNCTION("""COMPUTED_VALUE"""),45868.6458333333)</f>
        <v>45868.6458333333</v>
      </c>
      <c r="H89" s="17">
        <f>IFERROR(__xludf.DUMMYFUNCTION("""COMPUTED_VALUE"""),12381)</f>
        <v>12381</v>
      </c>
      <c r="I89" s="16">
        <f>IFERROR(__xludf.DUMMYFUNCTION("""COMPUTED_VALUE"""),45868.6458333333)</f>
        <v>45868.6458333333</v>
      </c>
      <c r="J89" s="17">
        <f>IFERROR(__xludf.DUMMYFUNCTION("""COMPUTED_VALUE"""),12201)</f>
        <v>12201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IFERROR(__xludf.DUMMYFUNCTION("""COMPUTED_VALUE"""),12249)</f>
        <v>12249</v>
      </c>
      <c r="C90" s="16">
        <f>IFERROR(__xludf.DUMMYFUNCTION("""COMPUTED_VALUE"""),45869.6458333333)</f>
        <v>45869.6458333333</v>
      </c>
      <c r="D90" s="17">
        <f>IFERROR(__xludf.DUMMYFUNCTION("""COMPUTED_VALUE"""),12201)</f>
        <v>12201</v>
      </c>
      <c r="E90" s="16">
        <f>IFERROR(__xludf.DUMMYFUNCTION("""COMPUTED_VALUE"""),45869.6458333333)</f>
        <v>45869.6458333333</v>
      </c>
      <c r="F90" s="17">
        <f>IFERROR(__xludf.DUMMYFUNCTION("""COMPUTED_VALUE"""),150379)</f>
        <v>150379</v>
      </c>
      <c r="G90" s="16">
        <f>IFERROR(__xludf.DUMMYFUNCTION("""COMPUTED_VALUE"""),45869.6458333333)</f>
        <v>45869.6458333333</v>
      </c>
      <c r="H90" s="17">
        <f>IFERROR(__xludf.DUMMYFUNCTION("""COMPUTED_VALUE"""),12329)</f>
        <v>12329</v>
      </c>
      <c r="I90" s="16">
        <f>IFERROR(__xludf.DUMMYFUNCTION("""COMPUTED_VALUE"""),45869.6458333333)</f>
        <v>45869.6458333333</v>
      </c>
      <c r="J90" s="17">
        <f>IFERROR(__xludf.DUMMYFUNCTION("""COMPUTED_VALUE"""),12155)</f>
        <v>12155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IFERROR(__xludf.DUMMYFUNCTION("""COMPUTED_VALUE"""),12113)</f>
        <v>12113</v>
      </c>
      <c r="C91" s="16">
        <f>IFERROR(__xludf.DUMMYFUNCTION("""COMPUTED_VALUE"""),45870.6458333333)</f>
        <v>45870.6458333333</v>
      </c>
      <c r="D91" s="17">
        <f>IFERROR(__xludf.DUMMYFUNCTION("""COMPUTED_VALUE"""),12181)</f>
        <v>12181</v>
      </c>
      <c r="E91" s="16">
        <f>IFERROR(__xludf.DUMMYFUNCTION("""COMPUTED_VALUE"""),45870.6458333333)</f>
        <v>45870.6458333333</v>
      </c>
      <c r="F91" s="17">
        <f>IFERROR(__xludf.DUMMYFUNCTION("""COMPUTED_VALUE"""),212570)</f>
        <v>212570</v>
      </c>
      <c r="G91" s="16">
        <f>IFERROR(__xludf.DUMMYFUNCTION("""COMPUTED_VALUE"""),45870.6458333333)</f>
        <v>45870.6458333333</v>
      </c>
      <c r="H91" s="17">
        <f>IFERROR(__xludf.DUMMYFUNCTION("""COMPUTED_VALUE"""),12289)</f>
        <v>12289</v>
      </c>
      <c r="I91" s="16">
        <f>IFERROR(__xludf.DUMMYFUNCTION("""COMPUTED_VALUE"""),45870.6458333333)</f>
        <v>45870.6458333333</v>
      </c>
      <c r="J91" s="17">
        <f>IFERROR(__xludf.DUMMYFUNCTION("""COMPUTED_VALUE"""),12075)</f>
        <v>12075</v>
      </c>
      <c r="K91" s="3">
        <f t="shared" si="2"/>
        <v>0</v>
      </c>
      <c r="L91" s="3">
        <f t="shared" si="3"/>
        <v>12113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IFERROR(__xludf.DUMMYFUNCTION("""COMPUTED_VALUE"""),12257)</f>
        <v>12257</v>
      </c>
      <c r="C92" s="16">
        <f>IFERROR(__xludf.DUMMYFUNCTION("""COMPUTED_VALUE"""),45873.6458333333)</f>
        <v>45873.6458333333</v>
      </c>
      <c r="D92" s="17">
        <f>IFERROR(__xludf.DUMMYFUNCTION("""COMPUTED_VALUE"""),12158)</f>
        <v>12158</v>
      </c>
      <c r="E92" s="16">
        <f>IFERROR(__xludf.DUMMYFUNCTION("""COMPUTED_VALUE"""),45873.6458333333)</f>
        <v>45873.6458333333</v>
      </c>
      <c r="F92" s="17">
        <f>IFERROR(__xludf.DUMMYFUNCTION("""COMPUTED_VALUE"""),207875)</f>
        <v>207875</v>
      </c>
      <c r="G92" s="16">
        <f>IFERROR(__xludf.DUMMYFUNCTION("""COMPUTED_VALUE"""),45873.6458333333)</f>
        <v>45873.6458333333</v>
      </c>
      <c r="H92" s="17">
        <f>IFERROR(__xludf.DUMMYFUNCTION("""COMPUTED_VALUE"""),12290)</f>
        <v>12290</v>
      </c>
      <c r="I92" s="16">
        <f>IFERROR(__xludf.DUMMYFUNCTION("""COMPUTED_VALUE"""),45873.6458333333)</f>
        <v>45873.6458333333</v>
      </c>
      <c r="J92" s="17">
        <f>IFERROR(__xludf.DUMMYFUNCTION("""COMPUTED_VALUE"""),12132)</f>
        <v>12132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IFERROR(__xludf.DUMMYFUNCTION("""COMPUTED_VALUE"""),12298)</f>
        <v>12298</v>
      </c>
      <c r="C93" s="16">
        <f>IFERROR(__xludf.DUMMYFUNCTION("""COMPUTED_VALUE"""),45874.6458333333)</f>
        <v>45874.6458333333</v>
      </c>
      <c r="D93" s="17">
        <f>IFERROR(__xludf.DUMMYFUNCTION("""COMPUTED_VALUE"""),12330)</f>
        <v>12330</v>
      </c>
      <c r="E93" s="16">
        <f>IFERROR(__xludf.DUMMYFUNCTION("""COMPUTED_VALUE"""),45874.6458333333)</f>
        <v>45874.6458333333</v>
      </c>
      <c r="F93" s="17">
        <f>IFERROR(__xludf.DUMMYFUNCTION("""COMPUTED_VALUE"""),267535)</f>
        <v>267535</v>
      </c>
      <c r="G93" s="16">
        <f>IFERROR(__xludf.DUMMYFUNCTION("""COMPUTED_VALUE"""),45874.6458333333)</f>
        <v>45874.6458333333</v>
      </c>
      <c r="H93" s="17">
        <f>IFERROR(__xludf.DUMMYFUNCTION("""COMPUTED_VALUE"""),12378)</f>
        <v>12378</v>
      </c>
      <c r="I93" s="16">
        <f>IFERROR(__xludf.DUMMYFUNCTION("""COMPUTED_VALUE"""),45874.6458333333)</f>
        <v>45874.6458333333</v>
      </c>
      <c r="J93" s="17">
        <f>IFERROR(__xludf.DUMMYFUNCTION("""COMPUTED_VALUE"""),12262)</f>
        <v>12262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IFERROR(__xludf.DUMMYFUNCTION("""COMPUTED_VALUE"""),12226)</f>
        <v>12226</v>
      </c>
      <c r="C94" s="16">
        <f>IFERROR(__xludf.DUMMYFUNCTION("""COMPUTED_VALUE"""),45875.6458333333)</f>
        <v>45875.6458333333</v>
      </c>
      <c r="D94" s="17">
        <f>IFERROR(__xludf.DUMMYFUNCTION("""COMPUTED_VALUE"""),12298)</f>
        <v>12298</v>
      </c>
      <c r="E94" s="16">
        <f>IFERROR(__xludf.DUMMYFUNCTION("""COMPUTED_VALUE"""),45875.6458333333)</f>
        <v>45875.6458333333</v>
      </c>
      <c r="F94" s="17">
        <f>IFERROR(__xludf.DUMMYFUNCTION("""COMPUTED_VALUE"""),192086)</f>
        <v>192086</v>
      </c>
      <c r="G94" s="16">
        <f>IFERROR(__xludf.DUMMYFUNCTION("""COMPUTED_VALUE"""),45875.6458333333)</f>
        <v>45875.6458333333</v>
      </c>
      <c r="H94" s="17">
        <f>IFERROR(__xludf.DUMMYFUNCTION("""COMPUTED_VALUE"""),12390)</f>
        <v>12390</v>
      </c>
      <c r="I94" s="16">
        <f>IFERROR(__xludf.DUMMYFUNCTION("""COMPUTED_VALUE"""),45875.6458333333)</f>
        <v>45875.6458333333</v>
      </c>
      <c r="J94" s="17">
        <f>IFERROR(__xludf.DUMMYFUNCTION("""COMPUTED_VALUE"""),12208)</f>
        <v>12208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IFERROR(__xludf.DUMMYFUNCTION("""COMPUTED_VALUE"""),12273)</f>
        <v>12273</v>
      </c>
      <c r="C95" s="16">
        <f>IFERROR(__xludf.DUMMYFUNCTION("""COMPUTED_VALUE"""),45876.6458333333)</f>
        <v>45876.6458333333</v>
      </c>
      <c r="D95" s="17">
        <f>IFERROR(__xludf.DUMMYFUNCTION("""COMPUTED_VALUE"""),12204)</f>
        <v>12204</v>
      </c>
      <c r="E95" s="16">
        <f>IFERROR(__xludf.DUMMYFUNCTION("""COMPUTED_VALUE"""),45876.6458333333)</f>
        <v>45876.6458333333</v>
      </c>
      <c r="F95" s="17">
        <f>IFERROR(__xludf.DUMMYFUNCTION("""COMPUTED_VALUE"""),202031)</f>
        <v>202031</v>
      </c>
      <c r="G95" s="16">
        <f>IFERROR(__xludf.DUMMYFUNCTION("""COMPUTED_VALUE"""),45876.6458333333)</f>
        <v>45876.6458333333</v>
      </c>
      <c r="H95" s="17">
        <f>IFERROR(__xludf.DUMMYFUNCTION("""COMPUTED_VALUE"""),12309)</f>
        <v>12309</v>
      </c>
      <c r="I95" s="16">
        <f>IFERROR(__xludf.DUMMYFUNCTION("""COMPUTED_VALUE"""),45876.6458333333)</f>
        <v>45876.6458333333</v>
      </c>
      <c r="J95" s="17">
        <f>IFERROR(__xludf.DUMMYFUNCTION("""COMPUTED_VALUE"""),12125)</f>
        <v>12125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IFERROR(__xludf.DUMMYFUNCTION("""COMPUTED_VALUE"""),12157)</f>
        <v>12157</v>
      </c>
      <c r="C96" s="16">
        <f>IFERROR(__xludf.DUMMYFUNCTION("""COMPUTED_VALUE"""),45877.6458333333)</f>
        <v>45877.6458333333</v>
      </c>
      <c r="D96" s="17">
        <f>IFERROR(__xludf.DUMMYFUNCTION("""COMPUTED_VALUE"""),12285)</f>
        <v>12285</v>
      </c>
      <c r="E96" s="16">
        <f>IFERROR(__xludf.DUMMYFUNCTION("""COMPUTED_VALUE"""),45877.6458333333)</f>
        <v>45877.6458333333</v>
      </c>
      <c r="F96" s="17">
        <f>IFERROR(__xludf.DUMMYFUNCTION("""COMPUTED_VALUE"""),201770)</f>
        <v>201770</v>
      </c>
      <c r="G96" s="16">
        <f>IFERROR(__xludf.DUMMYFUNCTION("""COMPUTED_VALUE"""),45877.6458333333)</f>
        <v>45877.6458333333</v>
      </c>
      <c r="H96" s="17">
        <f>IFERROR(__xludf.DUMMYFUNCTION("""COMPUTED_VALUE"""),12315)</f>
        <v>12315</v>
      </c>
      <c r="I96" s="16">
        <f>IFERROR(__xludf.DUMMYFUNCTION("""COMPUTED_VALUE"""),45877.6458333333)</f>
        <v>45877.6458333333</v>
      </c>
      <c r="J96" s="17">
        <f>IFERROR(__xludf.DUMMYFUNCTION("""COMPUTED_VALUE"""),12135)</f>
        <v>12135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IFERROR(__xludf.DUMMYFUNCTION("""COMPUTED_VALUE"""),12405)</f>
        <v>12405</v>
      </c>
      <c r="C97" s="16">
        <f>IFERROR(__xludf.DUMMYFUNCTION("""COMPUTED_VALUE"""),45880.6458333333)</f>
        <v>45880.6458333333</v>
      </c>
      <c r="D97" s="17">
        <f>IFERROR(__xludf.DUMMYFUNCTION("""COMPUTED_VALUE"""),12161)</f>
        <v>12161</v>
      </c>
      <c r="E97" s="16">
        <f>IFERROR(__xludf.DUMMYFUNCTION("""COMPUTED_VALUE"""),45880.6458333333)</f>
        <v>45880.6458333333</v>
      </c>
      <c r="F97" s="17">
        <f>IFERROR(__xludf.DUMMYFUNCTION("""COMPUTED_VALUE"""),218605)</f>
        <v>218605</v>
      </c>
      <c r="G97" s="16">
        <f>IFERROR(__xludf.DUMMYFUNCTION("""COMPUTED_VALUE"""),45880.6458333333)</f>
        <v>45880.6458333333</v>
      </c>
      <c r="H97" s="17">
        <f>IFERROR(__xludf.DUMMYFUNCTION("""COMPUTED_VALUE"""),12425)</f>
        <v>12425</v>
      </c>
      <c r="I97" s="16">
        <f>IFERROR(__xludf.DUMMYFUNCTION("""COMPUTED_VALUE"""),45880.6458333333)</f>
        <v>45880.6458333333</v>
      </c>
      <c r="J97" s="17">
        <f>IFERROR(__xludf.DUMMYFUNCTION("""COMPUTED_VALUE"""),12161)</f>
        <v>12161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IFERROR(__xludf.DUMMYFUNCTION("""COMPUTED_VALUE"""),12449)</f>
        <v>12449</v>
      </c>
      <c r="C98" s="16">
        <f>IFERROR(__xludf.DUMMYFUNCTION("""COMPUTED_VALUE"""),45881.6458333333)</f>
        <v>45881.6458333333</v>
      </c>
      <c r="D98" s="17">
        <f>IFERROR(__xludf.DUMMYFUNCTION("""COMPUTED_VALUE"""),12447)</f>
        <v>12447</v>
      </c>
      <c r="E98" s="16">
        <f>IFERROR(__xludf.DUMMYFUNCTION("""COMPUTED_VALUE"""),45881.6458333333)</f>
        <v>45881.6458333333</v>
      </c>
      <c r="F98" s="17">
        <f>IFERROR(__xludf.DUMMYFUNCTION("""COMPUTED_VALUE"""),334100)</f>
        <v>334100</v>
      </c>
      <c r="G98" s="16">
        <f>IFERROR(__xludf.DUMMYFUNCTION("""COMPUTED_VALUE"""),45881.6458333333)</f>
        <v>45881.6458333333</v>
      </c>
      <c r="H98" s="17">
        <f>IFERROR(__xludf.DUMMYFUNCTION("""COMPUTED_VALUE"""),12530)</f>
        <v>12530</v>
      </c>
      <c r="I98" s="16">
        <f>IFERROR(__xludf.DUMMYFUNCTION("""COMPUTED_VALUE"""),45881.6458333333)</f>
        <v>45881.6458333333</v>
      </c>
      <c r="J98" s="17">
        <f>IFERROR(__xludf.DUMMYFUNCTION("""COMPUTED_VALUE"""),12397)</f>
        <v>12397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IFERROR(__xludf.DUMMYFUNCTION("""COMPUTED_VALUE"""),12401)</f>
        <v>12401</v>
      </c>
      <c r="C99" s="16">
        <f>IFERROR(__xludf.DUMMYFUNCTION("""COMPUTED_VALUE"""),45882.6458333333)</f>
        <v>45882.6458333333</v>
      </c>
      <c r="D99" s="17">
        <f>IFERROR(__xludf.DUMMYFUNCTION("""COMPUTED_VALUE"""),12485)</f>
        <v>12485</v>
      </c>
      <c r="E99" s="16">
        <f>IFERROR(__xludf.DUMMYFUNCTION("""COMPUTED_VALUE"""),45882.6458333333)</f>
        <v>45882.6458333333</v>
      </c>
      <c r="F99" s="17">
        <f>IFERROR(__xludf.DUMMYFUNCTION("""COMPUTED_VALUE"""),207359)</f>
        <v>207359</v>
      </c>
      <c r="G99" s="16">
        <f>IFERROR(__xludf.DUMMYFUNCTION("""COMPUTED_VALUE"""),45882.6458333333)</f>
        <v>45882.6458333333</v>
      </c>
      <c r="H99" s="17">
        <f>IFERROR(__xludf.DUMMYFUNCTION("""COMPUTED_VALUE"""),12517)</f>
        <v>12517</v>
      </c>
      <c r="I99" s="16">
        <f>IFERROR(__xludf.DUMMYFUNCTION("""COMPUTED_VALUE"""),45882.6458333333)</f>
        <v>45882.6458333333</v>
      </c>
      <c r="J99" s="17">
        <f>IFERROR(__xludf.DUMMYFUNCTION("""COMPUTED_VALUE"""),12388)</f>
        <v>12388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IFERROR(__xludf.DUMMYFUNCTION("""COMPUTED_VALUE"""),12317)</f>
        <v>12317</v>
      </c>
      <c r="C100" s="16">
        <f>IFERROR(__xludf.DUMMYFUNCTION("""COMPUTED_VALUE"""),45883.6458333333)</f>
        <v>45883.6458333333</v>
      </c>
      <c r="D100" s="17">
        <f>IFERROR(__xludf.DUMMYFUNCTION("""COMPUTED_VALUE"""),12413)</f>
        <v>12413</v>
      </c>
      <c r="E100" s="16">
        <f>IFERROR(__xludf.DUMMYFUNCTION("""COMPUTED_VALUE"""),45883.6458333333)</f>
        <v>45883.6458333333</v>
      </c>
      <c r="F100" s="17">
        <f>IFERROR(__xludf.DUMMYFUNCTION("""COMPUTED_VALUE"""),235741)</f>
        <v>235741</v>
      </c>
      <c r="G100" s="16">
        <f>IFERROR(__xludf.DUMMYFUNCTION("""COMPUTED_VALUE"""),45883.6458333333)</f>
        <v>45883.6458333333</v>
      </c>
      <c r="H100" s="17">
        <f>IFERROR(__xludf.DUMMYFUNCTION("""COMPUTED_VALUE"""),12428)</f>
        <v>12428</v>
      </c>
      <c r="I100" s="16">
        <f>IFERROR(__xludf.DUMMYFUNCTION("""COMPUTED_VALUE"""),45883.6458333333)</f>
        <v>45883.6458333333</v>
      </c>
      <c r="J100" s="17">
        <f>IFERROR(__xludf.DUMMYFUNCTION("""COMPUTED_VALUE"""),12225)</f>
        <v>12225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IFERROR(__xludf.DUMMYFUNCTION("""COMPUTED_VALUE"""),12765)</f>
        <v>12765</v>
      </c>
      <c r="C101" s="16">
        <f>IFERROR(__xludf.DUMMYFUNCTION("""COMPUTED_VALUE"""),45887.6458333333)</f>
        <v>45887.6458333333</v>
      </c>
      <c r="D101" s="17">
        <f>IFERROR(__xludf.DUMMYFUNCTION("""COMPUTED_VALUE"""),12628)</f>
        <v>12628</v>
      </c>
      <c r="E101" s="16">
        <f>IFERROR(__xludf.DUMMYFUNCTION("""COMPUTED_VALUE"""),45887.6458333333)</f>
        <v>45887.6458333333</v>
      </c>
      <c r="F101" s="17">
        <f>IFERROR(__xludf.DUMMYFUNCTION("""COMPUTED_VALUE"""),808480)</f>
        <v>808480</v>
      </c>
      <c r="G101" s="16">
        <f>IFERROR(__xludf.DUMMYFUNCTION("""COMPUTED_VALUE"""),45887.6458333333)</f>
        <v>45887.6458333333</v>
      </c>
      <c r="H101" s="17">
        <f>IFERROR(__xludf.DUMMYFUNCTION("""COMPUTED_VALUE"""),12904)</f>
        <v>12904</v>
      </c>
      <c r="I101" s="16">
        <f>IFERROR(__xludf.DUMMYFUNCTION("""COMPUTED_VALUE"""),45887.6458333333)</f>
        <v>45887.6458333333</v>
      </c>
      <c r="J101" s="17">
        <f>IFERROR(__xludf.DUMMYFUNCTION("""COMPUTED_VALUE"""),12556)</f>
        <v>12556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IFERROR(__xludf.DUMMYFUNCTION("""COMPUTED_VALUE"""),12863)</f>
        <v>12863</v>
      </c>
      <c r="C102" s="16">
        <f>IFERROR(__xludf.DUMMYFUNCTION("""COMPUTED_VALUE"""),45888.6458333333)</f>
        <v>45888.6458333333</v>
      </c>
      <c r="D102" s="17">
        <f>IFERROR(__xludf.DUMMYFUNCTION("""COMPUTED_VALUE"""),12787)</f>
        <v>12787</v>
      </c>
      <c r="E102" s="16">
        <f>IFERROR(__xludf.DUMMYFUNCTION("""COMPUTED_VALUE"""),45888.6458333333)</f>
        <v>45888.6458333333</v>
      </c>
      <c r="F102" s="17">
        <f>IFERROR(__xludf.DUMMYFUNCTION("""COMPUTED_VALUE"""),351252)</f>
        <v>351252</v>
      </c>
      <c r="G102" s="16">
        <f>IFERROR(__xludf.DUMMYFUNCTION("""COMPUTED_VALUE"""),45888.6458333333)</f>
        <v>45888.6458333333</v>
      </c>
      <c r="H102" s="17">
        <f>IFERROR(__xludf.DUMMYFUNCTION("""COMPUTED_VALUE"""),12880)</f>
        <v>12880</v>
      </c>
      <c r="I102" s="16">
        <f>IFERROR(__xludf.DUMMYFUNCTION("""COMPUTED_VALUE"""),45888.6458333333)</f>
        <v>45888.6458333333</v>
      </c>
      <c r="J102" s="17">
        <f>IFERROR(__xludf.DUMMYFUNCTION("""COMPUTED_VALUE"""),12629)</f>
        <v>12629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IFERROR(__xludf.DUMMYFUNCTION("""COMPUTED_VALUE"""),12874)</f>
        <v>12874</v>
      </c>
      <c r="C103" s="16">
        <f>IFERROR(__xludf.DUMMYFUNCTION("""COMPUTED_VALUE"""),45889.6458333333)</f>
        <v>45889.6458333333</v>
      </c>
      <c r="D103" s="17">
        <f>IFERROR(__xludf.DUMMYFUNCTION("""COMPUTED_VALUE"""),12850)</f>
        <v>12850</v>
      </c>
      <c r="E103" s="16">
        <f>IFERROR(__xludf.DUMMYFUNCTION("""COMPUTED_VALUE"""),45889.6458333333)</f>
        <v>45889.6458333333</v>
      </c>
      <c r="F103" s="17">
        <f>IFERROR(__xludf.DUMMYFUNCTION("""COMPUTED_VALUE"""),290957)</f>
        <v>290957</v>
      </c>
      <c r="G103" s="16">
        <f>IFERROR(__xludf.DUMMYFUNCTION("""COMPUTED_VALUE"""),45889.6458333333)</f>
        <v>45889.6458333333</v>
      </c>
      <c r="H103" s="17">
        <f>IFERROR(__xludf.DUMMYFUNCTION("""COMPUTED_VALUE"""),12930)</f>
        <v>12930</v>
      </c>
      <c r="I103" s="16">
        <f>IFERROR(__xludf.DUMMYFUNCTION("""COMPUTED_VALUE"""),45889.6458333333)</f>
        <v>45889.6458333333</v>
      </c>
      <c r="J103" s="17">
        <f>IFERROR(__xludf.DUMMYFUNCTION("""COMPUTED_VALUE"""),12765)</f>
        <v>12765</v>
      </c>
      <c r="K103" s="3">
        <f t="shared" si="2"/>
        <v>12874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IFERROR(__xludf.DUMMYFUNCTION("""COMPUTED_VALUE"""),12870)</f>
        <v>12870</v>
      </c>
      <c r="C104" s="16">
        <f>IFERROR(__xludf.DUMMYFUNCTION("""COMPUTED_VALUE"""),45890.6458333333)</f>
        <v>45890.6458333333</v>
      </c>
      <c r="D104" s="17">
        <f>IFERROR(__xludf.DUMMYFUNCTION("""COMPUTED_VALUE"""),12890)</f>
        <v>12890</v>
      </c>
      <c r="E104" s="16">
        <f>IFERROR(__xludf.DUMMYFUNCTION("""COMPUTED_VALUE"""),45890.6458333333)</f>
        <v>45890.6458333333</v>
      </c>
      <c r="F104" s="17">
        <f>IFERROR(__xludf.DUMMYFUNCTION("""COMPUTED_VALUE"""),155457)</f>
        <v>155457</v>
      </c>
      <c r="G104" s="16">
        <f>IFERROR(__xludf.DUMMYFUNCTION("""COMPUTED_VALUE"""),45890.6458333333)</f>
        <v>45890.6458333333</v>
      </c>
      <c r="H104" s="17">
        <f>IFERROR(__xludf.DUMMYFUNCTION("""COMPUTED_VALUE"""),12906)</f>
        <v>12906</v>
      </c>
      <c r="I104" s="16">
        <f>IFERROR(__xludf.DUMMYFUNCTION("""COMPUTED_VALUE"""),45890.6458333333)</f>
        <v>45890.6458333333</v>
      </c>
      <c r="J104" s="17">
        <f>IFERROR(__xludf.DUMMYFUNCTION("""COMPUTED_VALUE"""),12790)</f>
        <v>12790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IFERROR(__xludf.DUMMYFUNCTION("""COMPUTED_VALUE"""),12589)</f>
        <v>12589</v>
      </c>
      <c r="C105" s="16">
        <f>IFERROR(__xludf.DUMMYFUNCTION("""COMPUTED_VALUE"""),45891.6458333333)</f>
        <v>45891.6458333333</v>
      </c>
      <c r="D105" s="17">
        <f>IFERROR(__xludf.DUMMYFUNCTION("""COMPUTED_VALUE"""),12864)</f>
        <v>12864</v>
      </c>
      <c r="E105" s="16">
        <f>IFERROR(__xludf.DUMMYFUNCTION("""COMPUTED_VALUE"""),45891.6458333333)</f>
        <v>45891.6458333333</v>
      </c>
      <c r="F105" s="17">
        <f>IFERROR(__xludf.DUMMYFUNCTION("""COMPUTED_VALUE"""),226948)</f>
        <v>226948</v>
      </c>
      <c r="G105" s="16">
        <f>IFERROR(__xludf.DUMMYFUNCTION("""COMPUTED_VALUE"""),45891.6458333333)</f>
        <v>45891.6458333333</v>
      </c>
      <c r="H105" s="17">
        <f>IFERROR(__xludf.DUMMYFUNCTION("""COMPUTED_VALUE"""),12864)</f>
        <v>12864</v>
      </c>
      <c r="I105" s="16">
        <f>IFERROR(__xludf.DUMMYFUNCTION("""COMPUTED_VALUE"""),45891.6458333333)</f>
        <v>45891.6458333333</v>
      </c>
      <c r="J105" s="17">
        <f>IFERROR(__xludf.DUMMYFUNCTION("""COMPUTED_VALUE"""),12563)</f>
        <v>12563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IFERROR(__xludf.DUMMYFUNCTION("""COMPUTED_VALUE"""),12606)</f>
        <v>12606</v>
      </c>
      <c r="C106" s="16">
        <f>IFERROR(__xludf.DUMMYFUNCTION("""COMPUTED_VALUE"""),45894.6458333333)</f>
        <v>45894.6458333333</v>
      </c>
      <c r="D106" s="17">
        <f>IFERROR(__xludf.DUMMYFUNCTION("""COMPUTED_VALUE"""),12648)</f>
        <v>12648</v>
      </c>
      <c r="E106" s="16">
        <f>IFERROR(__xludf.DUMMYFUNCTION("""COMPUTED_VALUE"""),45894.6458333333)</f>
        <v>45894.6458333333</v>
      </c>
      <c r="F106" s="17">
        <f>IFERROR(__xludf.DUMMYFUNCTION("""COMPUTED_VALUE"""),199190)</f>
        <v>199190</v>
      </c>
      <c r="G106" s="16">
        <f>IFERROR(__xludf.DUMMYFUNCTION("""COMPUTED_VALUE"""),45894.6458333333)</f>
        <v>45894.6458333333</v>
      </c>
      <c r="H106" s="17">
        <f>IFERROR(__xludf.DUMMYFUNCTION("""COMPUTED_VALUE"""),12731)</f>
        <v>12731</v>
      </c>
      <c r="I106" s="16">
        <f>IFERROR(__xludf.DUMMYFUNCTION("""COMPUTED_VALUE"""),45894.6458333333)</f>
        <v>45894.6458333333</v>
      </c>
      <c r="J106" s="17">
        <f>IFERROR(__xludf.DUMMYFUNCTION("""COMPUTED_VALUE"""),12556)</f>
        <v>12556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IFERROR(__xludf.DUMMYFUNCTION("""COMPUTED_VALUE"""),12610)</f>
        <v>12610</v>
      </c>
      <c r="C107" s="16">
        <f>IFERROR(__xludf.DUMMYFUNCTION("""COMPUTED_VALUE"""),45895.6458333333)</f>
        <v>45895.6458333333</v>
      </c>
      <c r="D107" s="17">
        <f>IFERROR(__xludf.DUMMYFUNCTION("""COMPUTED_VALUE"""),12581)</f>
        <v>12581</v>
      </c>
      <c r="E107" s="16">
        <f>IFERROR(__xludf.DUMMYFUNCTION("""COMPUTED_VALUE"""),45895.6458333333)</f>
        <v>45895.6458333333</v>
      </c>
      <c r="F107" s="17">
        <f>IFERROR(__xludf.DUMMYFUNCTION("""COMPUTED_VALUE"""),290322)</f>
        <v>290322</v>
      </c>
      <c r="G107" s="16">
        <f>IFERROR(__xludf.DUMMYFUNCTION("""COMPUTED_VALUE"""),45895.6458333333)</f>
        <v>45895.6458333333</v>
      </c>
      <c r="H107" s="17">
        <f>IFERROR(__xludf.DUMMYFUNCTION("""COMPUTED_VALUE"""),12770)</f>
        <v>12770</v>
      </c>
      <c r="I107" s="16">
        <f>IFERROR(__xludf.DUMMYFUNCTION("""COMPUTED_VALUE"""),45895.6458333333)</f>
        <v>45895.6458333333</v>
      </c>
      <c r="J107" s="17">
        <f>IFERROR(__xludf.DUMMYFUNCTION("""COMPUTED_VALUE"""),12480)</f>
        <v>12480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IFERROR(__xludf.DUMMYFUNCTION("""COMPUTED_VALUE"""),12521)</f>
        <v>12521</v>
      </c>
      <c r="C108" s="16">
        <f>IFERROR(__xludf.DUMMYFUNCTION("""COMPUTED_VALUE"""),45897.6458333333)</f>
        <v>45897.6458333333</v>
      </c>
      <c r="D108" s="17">
        <f>IFERROR(__xludf.DUMMYFUNCTION("""COMPUTED_VALUE"""),12570)</f>
        <v>12570</v>
      </c>
      <c r="E108" s="16">
        <f>IFERROR(__xludf.DUMMYFUNCTION("""COMPUTED_VALUE"""),45897.6458333333)</f>
        <v>45897.6458333333</v>
      </c>
      <c r="F108" s="17">
        <f>IFERROR(__xludf.DUMMYFUNCTION("""COMPUTED_VALUE"""),283677)</f>
        <v>283677</v>
      </c>
      <c r="G108" s="16">
        <f>IFERROR(__xludf.DUMMYFUNCTION("""COMPUTED_VALUE"""),45897.6458333333)</f>
        <v>45897.6458333333</v>
      </c>
      <c r="H108" s="17">
        <f>IFERROR(__xludf.DUMMYFUNCTION("""COMPUTED_VALUE"""),12648)</f>
        <v>12648</v>
      </c>
      <c r="I108" s="16">
        <f>IFERROR(__xludf.DUMMYFUNCTION("""COMPUTED_VALUE"""),45897.6458333333)</f>
        <v>45897.6458333333</v>
      </c>
      <c r="J108" s="17">
        <f>IFERROR(__xludf.DUMMYFUNCTION("""COMPUTED_VALUE"""),12472)</f>
        <v>12472</v>
      </c>
      <c r="K108" s="3">
        <f t="shared" si="2"/>
        <v>0</v>
      </c>
      <c r="L108" s="3">
        <f t="shared" si="3"/>
        <v>12521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IFERROR(__xludf.DUMMYFUNCTION("""COMPUTED_VALUE"""),12640)</f>
        <v>12640</v>
      </c>
      <c r="C109" s="16">
        <f>IFERROR(__xludf.DUMMYFUNCTION("""COMPUTED_VALUE"""),45898.6458333333)</f>
        <v>45898.6458333333</v>
      </c>
      <c r="D109" s="17">
        <f>IFERROR(__xludf.DUMMYFUNCTION("""COMPUTED_VALUE"""),12521)</f>
        <v>12521</v>
      </c>
      <c r="E109" s="16">
        <f>IFERROR(__xludf.DUMMYFUNCTION("""COMPUTED_VALUE"""),45898.6458333333)</f>
        <v>45898.6458333333</v>
      </c>
      <c r="F109" s="17">
        <f>IFERROR(__xludf.DUMMYFUNCTION("""COMPUTED_VALUE"""),177858)</f>
        <v>177858</v>
      </c>
      <c r="G109" s="16">
        <f>IFERROR(__xludf.DUMMYFUNCTION("""COMPUTED_VALUE"""),45898.6458333333)</f>
        <v>45898.6458333333</v>
      </c>
      <c r="H109" s="17">
        <f>IFERROR(__xludf.DUMMYFUNCTION("""COMPUTED_VALUE"""),12729)</f>
        <v>12729</v>
      </c>
      <c r="I109" s="16">
        <f>IFERROR(__xludf.DUMMYFUNCTION("""COMPUTED_VALUE"""),45898.6458333333)</f>
        <v>45898.6458333333</v>
      </c>
      <c r="J109" s="17">
        <f>IFERROR(__xludf.DUMMYFUNCTION("""COMPUTED_VALUE"""),12521)</f>
        <v>12521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IFERROR(__xludf.DUMMYFUNCTION("""COMPUTED_VALUE"""),12826)</f>
        <v>12826</v>
      </c>
      <c r="C110" s="16">
        <f>IFERROR(__xludf.DUMMYFUNCTION("""COMPUTED_VALUE"""),45901.6458333333)</f>
        <v>45901.6458333333</v>
      </c>
      <c r="D110" s="17">
        <f>IFERROR(__xludf.DUMMYFUNCTION("""COMPUTED_VALUE"""),12639)</f>
        <v>12639</v>
      </c>
      <c r="E110" s="16">
        <f>IFERROR(__xludf.DUMMYFUNCTION("""COMPUTED_VALUE"""),45901.6458333333)</f>
        <v>45901.6458333333</v>
      </c>
      <c r="F110" s="17">
        <f>IFERROR(__xludf.DUMMYFUNCTION("""COMPUTED_VALUE"""),214241)</f>
        <v>214241</v>
      </c>
      <c r="G110" s="16">
        <f>IFERROR(__xludf.DUMMYFUNCTION("""COMPUTED_VALUE"""),45901.6458333333)</f>
        <v>45901.6458333333</v>
      </c>
      <c r="H110" s="17">
        <f>IFERROR(__xludf.DUMMYFUNCTION("""COMPUTED_VALUE"""),12852)</f>
        <v>12852</v>
      </c>
      <c r="I110" s="16">
        <f>IFERROR(__xludf.DUMMYFUNCTION("""COMPUTED_VALUE"""),45901.6458333333)</f>
        <v>45901.6458333333</v>
      </c>
      <c r="J110" s="17">
        <f>IFERROR(__xludf.DUMMYFUNCTION("""COMPUTED_VALUE"""),12636)</f>
        <v>12636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IFERROR(__xludf.DUMMYFUNCTION("""COMPUTED_VALUE"""),12730)</f>
        <v>12730</v>
      </c>
      <c r="C111" s="16">
        <f>IFERROR(__xludf.DUMMYFUNCTION("""COMPUTED_VALUE"""),45902.6458333333)</f>
        <v>45902.6458333333</v>
      </c>
      <c r="D111" s="17">
        <f>IFERROR(__xludf.DUMMYFUNCTION("""COMPUTED_VALUE"""),12788)</f>
        <v>12788</v>
      </c>
      <c r="E111" s="16">
        <f>IFERROR(__xludf.DUMMYFUNCTION("""COMPUTED_VALUE"""),45902.6458333333)</f>
        <v>45902.6458333333</v>
      </c>
      <c r="F111" s="17">
        <f>IFERROR(__xludf.DUMMYFUNCTION("""COMPUTED_VALUE"""),214101)</f>
        <v>214101</v>
      </c>
      <c r="G111" s="16">
        <f>IFERROR(__xludf.DUMMYFUNCTION("""COMPUTED_VALUE"""),45902.6458333333)</f>
        <v>45902.6458333333</v>
      </c>
      <c r="H111" s="17">
        <f>IFERROR(__xludf.DUMMYFUNCTION("""COMPUTED_VALUE"""),12848)</f>
        <v>12848</v>
      </c>
      <c r="I111" s="16">
        <f>IFERROR(__xludf.DUMMYFUNCTION("""COMPUTED_VALUE"""),45902.6458333333)</f>
        <v>45902.6458333333</v>
      </c>
      <c r="J111" s="17">
        <f>IFERROR(__xludf.DUMMYFUNCTION("""COMPUTED_VALUE"""),12687)</f>
        <v>12687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IFERROR(__xludf.DUMMYFUNCTION("""COMPUTED_VALUE"""),12733)</f>
        <v>12733</v>
      </c>
      <c r="C112" s="16">
        <f>IFERROR(__xludf.DUMMYFUNCTION("""COMPUTED_VALUE"""),45903.6458333333)</f>
        <v>45903.6458333333</v>
      </c>
      <c r="D112" s="17">
        <f>IFERROR(__xludf.DUMMYFUNCTION("""COMPUTED_VALUE"""),12700)</f>
        <v>12700</v>
      </c>
      <c r="E112" s="16">
        <f>IFERROR(__xludf.DUMMYFUNCTION("""COMPUTED_VALUE"""),45903.6458333333)</f>
        <v>45903.6458333333</v>
      </c>
      <c r="F112" s="17">
        <f>IFERROR(__xludf.DUMMYFUNCTION("""COMPUTED_VALUE"""),140022)</f>
        <v>140022</v>
      </c>
      <c r="G112" s="16">
        <f>IFERROR(__xludf.DUMMYFUNCTION("""COMPUTED_VALUE"""),45903.6458333333)</f>
        <v>45903.6458333333</v>
      </c>
      <c r="H112" s="17">
        <f>IFERROR(__xludf.DUMMYFUNCTION("""COMPUTED_VALUE"""),12770)</f>
        <v>12770</v>
      </c>
      <c r="I112" s="16">
        <f>IFERROR(__xludf.DUMMYFUNCTION("""COMPUTED_VALUE"""),45903.6458333333)</f>
        <v>45903.6458333333</v>
      </c>
      <c r="J112" s="17">
        <f>IFERROR(__xludf.DUMMYFUNCTION("""COMPUTED_VALUE"""),12657)</f>
        <v>12657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IFERROR(__xludf.DUMMYFUNCTION("""COMPUTED_VALUE"""),12651)</f>
        <v>12651</v>
      </c>
      <c r="C113" s="16">
        <f>IFERROR(__xludf.DUMMYFUNCTION("""COMPUTED_VALUE"""),45904.6458333333)</f>
        <v>45904.6458333333</v>
      </c>
      <c r="D113" s="17">
        <f>IFERROR(__xludf.DUMMYFUNCTION("""COMPUTED_VALUE"""),13000)</f>
        <v>13000</v>
      </c>
      <c r="E113" s="16">
        <f>IFERROR(__xludf.DUMMYFUNCTION("""COMPUTED_VALUE"""),45904.6458333333)</f>
        <v>45904.6458333333</v>
      </c>
      <c r="F113" s="17">
        <f>IFERROR(__xludf.DUMMYFUNCTION("""COMPUTED_VALUE"""),305040)</f>
        <v>305040</v>
      </c>
      <c r="G113" s="16">
        <f>IFERROR(__xludf.DUMMYFUNCTION("""COMPUTED_VALUE"""),45904.6458333333)</f>
        <v>45904.6458333333</v>
      </c>
      <c r="H113" s="17">
        <f>IFERROR(__xludf.DUMMYFUNCTION("""COMPUTED_VALUE"""),13097)</f>
        <v>13097</v>
      </c>
      <c r="I113" s="16">
        <f>IFERROR(__xludf.DUMMYFUNCTION("""COMPUTED_VALUE"""),45904.6458333333)</f>
        <v>45904.6458333333</v>
      </c>
      <c r="J113" s="17">
        <f>IFERROR(__xludf.DUMMYFUNCTION("""COMPUTED_VALUE"""),12634)</f>
        <v>12634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IFERROR(__xludf.DUMMYFUNCTION("""COMPUTED_VALUE"""),12601)</f>
        <v>12601</v>
      </c>
      <c r="C114" s="16">
        <f>IFERROR(__xludf.DUMMYFUNCTION("""COMPUTED_VALUE"""),45905.6458333333)</f>
        <v>45905.6458333333</v>
      </c>
      <c r="D114" s="17">
        <f>IFERROR(__xludf.DUMMYFUNCTION("""COMPUTED_VALUE"""),12680)</f>
        <v>12680</v>
      </c>
      <c r="E114" s="16">
        <f>IFERROR(__xludf.DUMMYFUNCTION("""COMPUTED_VALUE"""),45905.6458333333)</f>
        <v>45905.6458333333</v>
      </c>
      <c r="F114" s="17">
        <f>IFERROR(__xludf.DUMMYFUNCTION("""COMPUTED_VALUE"""),153774)</f>
        <v>153774</v>
      </c>
      <c r="G114" s="16">
        <f>IFERROR(__xludf.DUMMYFUNCTION("""COMPUTED_VALUE"""),45905.6458333333)</f>
        <v>45905.6458333333</v>
      </c>
      <c r="H114" s="17">
        <f>IFERROR(__xludf.DUMMYFUNCTION("""COMPUTED_VALUE"""),12738)</f>
        <v>12738</v>
      </c>
      <c r="I114" s="16">
        <f>IFERROR(__xludf.DUMMYFUNCTION("""COMPUTED_VALUE"""),45905.6458333333)</f>
        <v>45905.6458333333</v>
      </c>
      <c r="J114" s="17">
        <f>IFERROR(__xludf.DUMMYFUNCTION("""COMPUTED_VALUE"""),12530)</f>
        <v>12530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IFERROR(__xludf.DUMMYFUNCTION("""COMPUTED_VALUE"""),12664)</f>
        <v>12664</v>
      </c>
      <c r="C115" s="16">
        <f>IFERROR(__xludf.DUMMYFUNCTION("""COMPUTED_VALUE"""),45908.6458333333)</f>
        <v>45908.6458333333</v>
      </c>
      <c r="D115" s="17">
        <f>IFERROR(__xludf.DUMMYFUNCTION("""COMPUTED_VALUE"""),12601)</f>
        <v>12601</v>
      </c>
      <c r="E115" s="16">
        <f>IFERROR(__xludf.DUMMYFUNCTION("""COMPUTED_VALUE"""),45908.6458333333)</f>
        <v>45908.6458333333</v>
      </c>
      <c r="F115" s="17">
        <f>IFERROR(__xludf.DUMMYFUNCTION("""COMPUTED_VALUE"""),126448)</f>
        <v>126448</v>
      </c>
      <c r="G115" s="16">
        <f>IFERROR(__xludf.DUMMYFUNCTION("""COMPUTED_VALUE"""),45908.6458333333)</f>
        <v>45908.6458333333</v>
      </c>
      <c r="H115" s="17">
        <f>IFERROR(__xludf.DUMMYFUNCTION("""COMPUTED_VALUE"""),12743)</f>
        <v>12743</v>
      </c>
      <c r="I115" s="16">
        <f>IFERROR(__xludf.DUMMYFUNCTION("""COMPUTED_VALUE"""),45908.6458333333)</f>
        <v>45908.6458333333</v>
      </c>
      <c r="J115" s="17">
        <f>IFERROR(__xludf.DUMMYFUNCTION("""COMPUTED_VALUE"""),12601)</f>
        <v>12601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IFERROR(__xludf.DUMMYFUNCTION("""COMPUTED_VALUE"""),12572)</f>
        <v>12572</v>
      </c>
      <c r="C116" s="16">
        <f>IFERROR(__xludf.DUMMYFUNCTION("""COMPUTED_VALUE"""),45909.6458333333)</f>
        <v>45909.6458333333</v>
      </c>
      <c r="D116" s="17">
        <f>IFERROR(__xludf.DUMMYFUNCTION("""COMPUTED_VALUE"""),12699)</f>
        <v>12699</v>
      </c>
      <c r="E116" s="16">
        <f>IFERROR(__xludf.DUMMYFUNCTION("""COMPUTED_VALUE"""),45909.6458333333)</f>
        <v>45909.6458333333</v>
      </c>
      <c r="F116" s="17">
        <f>IFERROR(__xludf.DUMMYFUNCTION("""COMPUTED_VALUE"""),240234)</f>
        <v>240234</v>
      </c>
      <c r="G116" s="16">
        <f>IFERROR(__xludf.DUMMYFUNCTION("""COMPUTED_VALUE"""),45909.6458333333)</f>
        <v>45909.6458333333</v>
      </c>
      <c r="H116" s="17">
        <f>IFERROR(__xludf.DUMMYFUNCTION("""COMPUTED_VALUE"""),12708)</f>
        <v>12708</v>
      </c>
      <c r="I116" s="16">
        <f>IFERROR(__xludf.DUMMYFUNCTION("""COMPUTED_VALUE"""),45909.6458333333)</f>
        <v>45909.6458333333</v>
      </c>
      <c r="J116" s="17">
        <f>IFERROR(__xludf.DUMMYFUNCTION("""COMPUTED_VALUE"""),12533)</f>
        <v>12533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IFERROR(__xludf.DUMMYFUNCTION("""COMPUTED_VALUE"""),12478)</f>
        <v>12478</v>
      </c>
      <c r="C117" s="16">
        <f>IFERROR(__xludf.DUMMYFUNCTION("""COMPUTED_VALUE"""),45910.6458333333)</f>
        <v>45910.6458333333</v>
      </c>
      <c r="D117" s="17">
        <f>IFERROR(__xludf.DUMMYFUNCTION("""COMPUTED_VALUE"""),12625)</f>
        <v>12625</v>
      </c>
      <c r="E117" s="16">
        <f>IFERROR(__xludf.DUMMYFUNCTION("""COMPUTED_VALUE"""),45910.6458333333)</f>
        <v>45910.6458333333</v>
      </c>
      <c r="F117" s="17">
        <f>IFERROR(__xludf.DUMMYFUNCTION("""COMPUTED_VALUE"""),175576)</f>
        <v>175576</v>
      </c>
      <c r="G117" s="16">
        <f>IFERROR(__xludf.DUMMYFUNCTION("""COMPUTED_VALUE"""),45910.6458333333)</f>
        <v>45910.6458333333</v>
      </c>
      <c r="H117" s="17">
        <f>IFERROR(__xludf.DUMMYFUNCTION("""COMPUTED_VALUE"""),12626)</f>
        <v>12626</v>
      </c>
      <c r="I117" s="16">
        <f>IFERROR(__xludf.DUMMYFUNCTION("""COMPUTED_VALUE"""),45910.6458333333)</f>
        <v>45910.6458333333</v>
      </c>
      <c r="J117" s="17">
        <f>IFERROR(__xludf.DUMMYFUNCTION("""COMPUTED_VALUE"""),12420)</f>
        <v>12420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IFERROR(__xludf.DUMMYFUNCTION("""COMPUTED_VALUE"""),12392)</f>
        <v>12392</v>
      </c>
      <c r="C118" s="16">
        <f>IFERROR(__xludf.DUMMYFUNCTION("""COMPUTED_VALUE"""),45911.6458333333)</f>
        <v>45911.6458333333</v>
      </c>
      <c r="D118" s="17">
        <f>IFERROR(__xludf.DUMMYFUNCTION("""COMPUTED_VALUE"""),12478)</f>
        <v>12478</v>
      </c>
      <c r="E118" s="16">
        <f>IFERROR(__xludf.DUMMYFUNCTION("""COMPUTED_VALUE"""),45911.6458333333)</f>
        <v>45911.6458333333</v>
      </c>
      <c r="F118" s="17">
        <f>IFERROR(__xludf.DUMMYFUNCTION("""COMPUTED_VALUE"""),132660)</f>
        <v>132660</v>
      </c>
      <c r="G118" s="16">
        <f>IFERROR(__xludf.DUMMYFUNCTION("""COMPUTED_VALUE"""),45911.6458333333)</f>
        <v>45911.6458333333</v>
      </c>
      <c r="H118" s="17">
        <f>IFERROR(__xludf.DUMMYFUNCTION("""COMPUTED_VALUE"""),12517)</f>
        <v>12517</v>
      </c>
      <c r="I118" s="16">
        <f>IFERROR(__xludf.DUMMYFUNCTION("""COMPUTED_VALUE"""),45911.6458333333)</f>
        <v>45911.6458333333</v>
      </c>
      <c r="J118" s="17">
        <f>IFERROR(__xludf.DUMMYFUNCTION("""COMPUTED_VALUE"""),12360)</f>
        <v>12360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IFERROR(__xludf.DUMMYFUNCTION("""COMPUTED_VALUE"""),12370)</f>
        <v>12370</v>
      </c>
      <c r="C119" s="16">
        <f>IFERROR(__xludf.DUMMYFUNCTION("""COMPUTED_VALUE"""),45912.6458333333)</f>
        <v>45912.6458333333</v>
      </c>
      <c r="D119" s="17">
        <f>IFERROR(__xludf.DUMMYFUNCTION("""COMPUTED_VALUE"""),12396)</f>
        <v>12396</v>
      </c>
      <c r="E119" s="16">
        <f>IFERROR(__xludf.DUMMYFUNCTION("""COMPUTED_VALUE"""),45912.6458333333)</f>
        <v>45912.6458333333</v>
      </c>
      <c r="F119" s="17">
        <f>IFERROR(__xludf.DUMMYFUNCTION("""COMPUTED_VALUE"""),153086)</f>
        <v>153086</v>
      </c>
      <c r="G119" s="16">
        <f>IFERROR(__xludf.DUMMYFUNCTION("""COMPUTED_VALUE"""),45912.6458333333)</f>
        <v>45912.6458333333</v>
      </c>
      <c r="H119" s="17">
        <f>IFERROR(__xludf.DUMMYFUNCTION("""COMPUTED_VALUE"""),12479)</f>
        <v>12479</v>
      </c>
      <c r="I119" s="16">
        <f>IFERROR(__xludf.DUMMYFUNCTION("""COMPUTED_VALUE"""),45912.6458333333)</f>
        <v>45912.6458333333</v>
      </c>
      <c r="J119" s="17">
        <f>IFERROR(__xludf.DUMMYFUNCTION("""COMPUTED_VALUE"""),12343)</f>
        <v>12343</v>
      </c>
      <c r="K119" s="3">
        <f t="shared" si="2"/>
        <v>0</v>
      </c>
      <c r="L119" s="3">
        <f t="shared" si="3"/>
        <v>12370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IFERROR(__xludf.DUMMYFUNCTION("""COMPUTED_VALUE"""),12435)</f>
        <v>12435</v>
      </c>
      <c r="C120" s="16">
        <f>IFERROR(__xludf.DUMMYFUNCTION("""COMPUTED_VALUE"""),45915.6458333333)</f>
        <v>45915.6458333333</v>
      </c>
      <c r="D120" s="17">
        <f>IFERROR(__xludf.DUMMYFUNCTION("""COMPUTED_VALUE"""),12370)</f>
        <v>12370</v>
      </c>
      <c r="E120" s="16">
        <f>IFERROR(__xludf.DUMMYFUNCTION("""COMPUTED_VALUE"""),45915.6458333333)</f>
        <v>45915.6458333333</v>
      </c>
      <c r="F120" s="17">
        <f>IFERROR(__xludf.DUMMYFUNCTION("""COMPUTED_VALUE"""),179530)</f>
        <v>179530</v>
      </c>
      <c r="G120" s="16">
        <f>IFERROR(__xludf.DUMMYFUNCTION("""COMPUTED_VALUE"""),45915.6458333333)</f>
        <v>45915.6458333333</v>
      </c>
      <c r="H120" s="17">
        <f>IFERROR(__xludf.DUMMYFUNCTION("""COMPUTED_VALUE"""),12481)</f>
        <v>12481</v>
      </c>
      <c r="I120" s="16">
        <f>IFERROR(__xludf.DUMMYFUNCTION("""COMPUTED_VALUE"""),45915.6458333333)</f>
        <v>45915.6458333333</v>
      </c>
      <c r="J120" s="17">
        <f>IFERROR(__xludf.DUMMYFUNCTION("""COMPUTED_VALUE"""),12324)</f>
        <v>12324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IFERROR(__xludf.DUMMYFUNCTION("""COMPUTED_VALUE"""),12578)</f>
        <v>12578</v>
      </c>
      <c r="C121" s="16">
        <f>IFERROR(__xludf.DUMMYFUNCTION("""COMPUTED_VALUE"""),45916.6458333333)</f>
        <v>45916.6458333333</v>
      </c>
      <c r="D121" s="17">
        <f>IFERROR(__xludf.DUMMYFUNCTION("""COMPUTED_VALUE"""),12497)</f>
        <v>12497</v>
      </c>
      <c r="E121" s="16">
        <f>IFERROR(__xludf.DUMMYFUNCTION("""COMPUTED_VALUE"""),45916.6458333333)</f>
        <v>45916.6458333333</v>
      </c>
      <c r="F121" s="17">
        <f>IFERROR(__xludf.DUMMYFUNCTION("""COMPUTED_VALUE"""),189043)</f>
        <v>189043</v>
      </c>
      <c r="G121" s="16">
        <f>IFERROR(__xludf.DUMMYFUNCTION("""COMPUTED_VALUE"""),45916.6458333333)</f>
        <v>45916.6458333333</v>
      </c>
      <c r="H121" s="17">
        <f>IFERROR(__xludf.DUMMYFUNCTION("""COMPUTED_VALUE"""),12599)</f>
        <v>12599</v>
      </c>
      <c r="I121" s="16">
        <f>IFERROR(__xludf.DUMMYFUNCTION("""COMPUTED_VALUE"""),45916.6458333333)</f>
        <v>45916.6458333333</v>
      </c>
      <c r="J121" s="17">
        <f>IFERROR(__xludf.DUMMYFUNCTION("""COMPUTED_VALUE"""),12446)</f>
        <v>12446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IFERROR(__xludf.DUMMYFUNCTION("""COMPUTED_VALUE"""),12721)</f>
        <v>12721</v>
      </c>
      <c r="C122" s="16">
        <f>IFERROR(__xludf.DUMMYFUNCTION("""COMPUTED_VALUE"""),45917.6458333333)</f>
        <v>45917.6458333333</v>
      </c>
      <c r="D122" s="17">
        <f>IFERROR(__xludf.DUMMYFUNCTION("""COMPUTED_VALUE"""),12678)</f>
        <v>12678</v>
      </c>
      <c r="E122" s="16">
        <f>IFERROR(__xludf.DUMMYFUNCTION("""COMPUTED_VALUE"""),45917.6458333333)</f>
        <v>45917.6458333333</v>
      </c>
      <c r="F122" s="17">
        <f>IFERROR(__xludf.DUMMYFUNCTION("""COMPUTED_VALUE"""),264319)</f>
        <v>264319</v>
      </c>
      <c r="G122" s="16">
        <f>IFERROR(__xludf.DUMMYFUNCTION("""COMPUTED_VALUE"""),45917.6458333333)</f>
        <v>45917.6458333333</v>
      </c>
      <c r="H122" s="17">
        <f>IFERROR(__xludf.DUMMYFUNCTION("""COMPUTED_VALUE"""),12800)</f>
        <v>12800</v>
      </c>
      <c r="I122" s="16">
        <f>IFERROR(__xludf.DUMMYFUNCTION("""COMPUTED_VALUE"""),45917.6458333333)</f>
        <v>45917.6458333333</v>
      </c>
      <c r="J122" s="17">
        <f>IFERROR(__xludf.DUMMYFUNCTION("""COMPUTED_VALUE"""),12614)</f>
        <v>12614</v>
      </c>
      <c r="K122" s="3">
        <f t="shared" si="2"/>
        <v>12721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IFERROR(__xludf.DUMMYFUNCTION("""COMPUTED_VALUE"""),12626)</f>
        <v>12626</v>
      </c>
      <c r="C123" s="16">
        <f>IFERROR(__xludf.DUMMYFUNCTION("""COMPUTED_VALUE"""),45918.6458333333)</f>
        <v>45918.6458333333</v>
      </c>
      <c r="D123" s="17">
        <f>IFERROR(__xludf.DUMMYFUNCTION("""COMPUTED_VALUE"""),12730)</f>
        <v>12730</v>
      </c>
      <c r="E123" s="16">
        <f>IFERROR(__xludf.DUMMYFUNCTION("""COMPUTED_VALUE"""),45918.6458333333)</f>
        <v>45918.6458333333</v>
      </c>
      <c r="F123" s="17">
        <f>IFERROR(__xludf.DUMMYFUNCTION("""COMPUTED_VALUE"""),190079)</f>
        <v>190079</v>
      </c>
      <c r="G123" s="16">
        <f>IFERROR(__xludf.DUMMYFUNCTION("""COMPUTED_VALUE"""),45918.6458333333)</f>
        <v>45918.6458333333</v>
      </c>
      <c r="H123" s="17">
        <f>IFERROR(__xludf.DUMMYFUNCTION("""COMPUTED_VALUE"""),12749)</f>
        <v>12749</v>
      </c>
      <c r="I123" s="16">
        <f>IFERROR(__xludf.DUMMYFUNCTION("""COMPUTED_VALUE"""),45918.6458333333)</f>
        <v>45918.6458333333</v>
      </c>
      <c r="J123" s="17">
        <f>IFERROR(__xludf.DUMMYFUNCTION("""COMPUTED_VALUE"""),12562)</f>
        <v>12562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IFERROR(__xludf.DUMMYFUNCTION("""COMPUTED_VALUE"""),12508)</f>
        <v>12508</v>
      </c>
      <c r="C124" s="16">
        <f>IFERROR(__xludf.DUMMYFUNCTION("""COMPUTED_VALUE"""),45919.6458333333)</f>
        <v>45919.6458333333</v>
      </c>
      <c r="D124" s="17">
        <f>IFERROR(__xludf.DUMMYFUNCTION("""COMPUTED_VALUE"""),12602)</f>
        <v>12602</v>
      </c>
      <c r="E124" s="16">
        <f>IFERROR(__xludf.DUMMYFUNCTION("""COMPUTED_VALUE"""),45919.6458333333)</f>
        <v>45919.6458333333</v>
      </c>
      <c r="F124" s="17">
        <f>IFERROR(__xludf.DUMMYFUNCTION("""COMPUTED_VALUE"""),571670)</f>
        <v>571670</v>
      </c>
      <c r="G124" s="16">
        <f>IFERROR(__xludf.DUMMYFUNCTION("""COMPUTED_VALUE"""),45919.6458333333)</f>
        <v>45919.6458333333</v>
      </c>
      <c r="H124" s="17">
        <f>IFERROR(__xludf.DUMMYFUNCTION("""COMPUTED_VALUE"""),12644)</f>
        <v>12644</v>
      </c>
      <c r="I124" s="16">
        <f>IFERROR(__xludf.DUMMYFUNCTION("""COMPUTED_VALUE"""),45919.6458333333)</f>
        <v>45919.6458333333</v>
      </c>
      <c r="J124" s="17">
        <f>IFERROR(__xludf.DUMMYFUNCTION("""COMPUTED_VALUE"""),12484)</f>
        <v>12484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IFERROR(__xludf.DUMMYFUNCTION("""COMPUTED_VALUE"""),12650)</f>
        <v>12650</v>
      </c>
      <c r="C125" s="16">
        <f>IFERROR(__xludf.DUMMYFUNCTION("""COMPUTED_VALUE"""),45922.6458333333)</f>
        <v>45922.6458333333</v>
      </c>
      <c r="D125" s="17">
        <f>IFERROR(__xludf.DUMMYFUNCTION("""COMPUTED_VALUE"""),12547)</f>
        <v>12547</v>
      </c>
      <c r="E125" s="16">
        <f>IFERROR(__xludf.DUMMYFUNCTION("""COMPUTED_VALUE"""),45922.6458333333)</f>
        <v>45922.6458333333</v>
      </c>
      <c r="F125" s="17">
        <f>IFERROR(__xludf.DUMMYFUNCTION("""COMPUTED_VALUE"""),499548)</f>
        <v>499548</v>
      </c>
      <c r="G125" s="16">
        <f>IFERROR(__xludf.DUMMYFUNCTION("""COMPUTED_VALUE"""),45922.6458333333)</f>
        <v>45922.6458333333</v>
      </c>
      <c r="H125" s="17">
        <f>IFERROR(__xludf.DUMMYFUNCTION("""COMPUTED_VALUE"""),12706)</f>
        <v>12706</v>
      </c>
      <c r="I125" s="16">
        <f>IFERROR(__xludf.DUMMYFUNCTION("""COMPUTED_VALUE"""),45922.6458333333)</f>
        <v>45922.6458333333</v>
      </c>
      <c r="J125" s="17">
        <f>IFERROR(__xludf.DUMMYFUNCTION("""COMPUTED_VALUE"""),12542)</f>
        <v>12542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IFERROR(__xludf.DUMMYFUNCTION("""COMPUTED_VALUE"""),12401)</f>
        <v>12401</v>
      </c>
      <c r="C126" s="16">
        <f>IFERROR(__xludf.DUMMYFUNCTION("""COMPUTED_VALUE"""),45923.6458333333)</f>
        <v>45923.6458333333</v>
      </c>
      <c r="D126" s="17">
        <f>IFERROR(__xludf.DUMMYFUNCTION("""COMPUTED_VALUE"""),12650)</f>
        <v>12650</v>
      </c>
      <c r="E126" s="16">
        <f>IFERROR(__xludf.DUMMYFUNCTION("""COMPUTED_VALUE"""),45923.6458333333)</f>
        <v>45923.6458333333</v>
      </c>
      <c r="F126" s="17">
        <f>IFERROR(__xludf.DUMMYFUNCTION("""COMPUTED_VALUE"""),403638)</f>
        <v>403638</v>
      </c>
      <c r="G126" s="16">
        <f>IFERROR(__xludf.DUMMYFUNCTION("""COMPUTED_VALUE"""),45923.6458333333)</f>
        <v>45923.6458333333</v>
      </c>
      <c r="H126" s="17">
        <f>IFERROR(__xludf.DUMMYFUNCTION("""COMPUTED_VALUE"""),12698)</f>
        <v>12698</v>
      </c>
      <c r="I126" s="16">
        <f>IFERROR(__xludf.DUMMYFUNCTION("""COMPUTED_VALUE"""),45923.6458333333)</f>
        <v>45923.6458333333</v>
      </c>
      <c r="J126" s="17">
        <f>IFERROR(__xludf.DUMMYFUNCTION("""COMPUTED_VALUE"""),12361)</f>
        <v>12361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IFERROR(__xludf.DUMMYFUNCTION("""COMPUTED_VALUE"""),12214)</f>
        <v>12214</v>
      </c>
      <c r="C127" s="16">
        <f>IFERROR(__xludf.DUMMYFUNCTION("""COMPUTED_VALUE"""),45924.6458333333)</f>
        <v>45924.6458333333</v>
      </c>
      <c r="D127" s="17">
        <f>IFERROR(__xludf.DUMMYFUNCTION("""COMPUTED_VALUE"""),12427)</f>
        <v>12427</v>
      </c>
      <c r="E127" s="16">
        <f>IFERROR(__xludf.DUMMYFUNCTION("""COMPUTED_VALUE"""),45924.6458333333)</f>
        <v>45924.6458333333</v>
      </c>
      <c r="F127" s="17">
        <f>IFERROR(__xludf.DUMMYFUNCTION("""COMPUTED_VALUE"""),166517)</f>
        <v>166517</v>
      </c>
      <c r="G127" s="16">
        <f>IFERROR(__xludf.DUMMYFUNCTION("""COMPUTED_VALUE"""),45924.6458333333)</f>
        <v>45924.6458333333</v>
      </c>
      <c r="H127" s="17">
        <f>IFERROR(__xludf.DUMMYFUNCTION("""COMPUTED_VALUE"""),12448)</f>
        <v>12448</v>
      </c>
      <c r="I127" s="16">
        <f>IFERROR(__xludf.DUMMYFUNCTION("""COMPUTED_VALUE"""),45924.6458333333)</f>
        <v>45924.6458333333</v>
      </c>
      <c r="J127" s="17">
        <f>IFERROR(__xludf.DUMMYFUNCTION("""COMPUTED_VALUE"""),12200)</f>
        <v>12200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IFERROR(__xludf.DUMMYFUNCTION("""COMPUTED_VALUE"""),12141)</f>
        <v>12141</v>
      </c>
      <c r="C128" s="16">
        <f>IFERROR(__xludf.DUMMYFUNCTION("""COMPUTED_VALUE"""),45925.6458333333)</f>
        <v>45925.6458333333</v>
      </c>
      <c r="D128" s="17">
        <f>IFERROR(__xludf.DUMMYFUNCTION("""COMPUTED_VALUE"""),12210)</f>
        <v>12210</v>
      </c>
      <c r="E128" s="16">
        <f>IFERROR(__xludf.DUMMYFUNCTION("""COMPUTED_VALUE"""),45925.6458333333)</f>
        <v>45925.6458333333</v>
      </c>
      <c r="F128" s="17">
        <f>IFERROR(__xludf.DUMMYFUNCTION("""COMPUTED_VALUE"""),272540)</f>
        <v>272540</v>
      </c>
      <c r="G128" s="16">
        <f>IFERROR(__xludf.DUMMYFUNCTION("""COMPUTED_VALUE"""),45925.6458333333)</f>
        <v>45925.6458333333</v>
      </c>
      <c r="H128" s="17">
        <f>IFERROR(__xludf.DUMMYFUNCTION("""COMPUTED_VALUE"""),12275)</f>
        <v>12275</v>
      </c>
      <c r="I128" s="16">
        <f>IFERROR(__xludf.DUMMYFUNCTION("""COMPUTED_VALUE"""),45925.6458333333)</f>
        <v>45925.6458333333</v>
      </c>
      <c r="J128" s="17">
        <f>IFERROR(__xludf.DUMMYFUNCTION("""COMPUTED_VALUE"""),12120)</f>
        <v>12120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IFERROR(__xludf.DUMMYFUNCTION("""COMPUTED_VALUE"""),12070)</f>
        <v>12070</v>
      </c>
      <c r="C129" s="16">
        <f>IFERROR(__xludf.DUMMYFUNCTION("""COMPUTED_VALUE"""),45926.6458333333)</f>
        <v>45926.6458333333</v>
      </c>
      <c r="D129" s="17">
        <f>IFERROR(__xludf.DUMMYFUNCTION("""COMPUTED_VALUE"""),12140)</f>
        <v>12140</v>
      </c>
      <c r="E129" s="16">
        <f>IFERROR(__xludf.DUMMYFUNCTION("""COMPUTED_VALUE"""),45926.6458333333)</f>
        <v>45926.6458333333</v>
      </c>
      <c r="F129" s="17">
        <f>IFERROR(__xludf.DUMMYFUNCTION("""COMPUTED_VALUE"""),181541)</f>
        <v>181541</v>
      </c>
      <c r="G129" s="16">
        <f>IFERROR(__xludf.DUMMYFUNCTION("""COMPUTED_VALUE"""),45926.6458333333)</f>
        <v>45926.6458333333</v>
      </c>
      <c r="H129" s="17">
        <f>IFERROR(__xludf.DUMMYFUNCTION("""COMPUTED_VALUE"""),12199)</f>
        <v>12199</v>
      </c>
      <c r="I129" s="16">
        <f>IFERROR(__xludf.DUMMYFUNCTION("""COMPUTED_VALUE"""),45926.6458333333)</f>
        <v>45926.6458333333</v>
      </c>
      <c r="J129" s="17">
        <f>IFERROR(__xludf.DUMMYFUNCTION("""COMPUTED_VALUE"""),11990)</f>
        <v>11990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92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""price"")"),236.5)</f>
        <v>236.5</v>
      </c>
      <c r="I3" s="22" t="s">
        <v>269</v>
      </c>
      <c r="J3" s="23">
        <f>IFERROR(__xludf.DUMMYFUNCTION("GOOGLEFINANCE(L3, ""volume"")"),16999628)</f>
        <v>16999628</v>
      </c>
      <c r="K3" s="24" t="s">
        <v>270</v>
      </c>
      <c r="L3" s="25" t="str">
        <f>Mastersheet!B42</f>
        <v>NSE:WIPRO</v>
      </c>
      <c r="M3" s="26">
        <f>IFERROR(__xludf.DUMMYFUNCTION("""COMPUTED_VALUE"""),45926.6458333333)</f>
        <v>45926.6458333333</v>
      </c>
      <c r="N3" s="27">
        <f>IFERROR(__xludf.DUMMYFUNCTION("""COMPUTED_VALUE"""),235.75)</f>
        <v>235.75</v>
      </c>
      <c r="O3" s="26">
        <f>IFERROR(__xludf.DUMMYFUNCTION("""COMPUTED_VALUE"""),45926.6458333333)</f>
        <v>45926.6458333333</v>
      </c>
      <c r="P3" s="27">
        <f>IFERROR(__xludf.DUMMYFUNCTION("""COMPUTED_VALUE"""),241.45)</f>
        <v>241.45</v>
      </c>
      <c r="Q3" s="16">
        <f>IFERROR(__xludf.DUMMYFUNCTION("""COMPUTED_VALUE"""),45926.6458333333)</f>
        <v>45926.6458333333</v>
      </c>
      <c r="R3" s="17">
        <f>IFERROR(__xludf.DUMMYFUNCTION("""COMPUTED_VALUE"""),241.55)</f>
        <v>241.55</v>
      </c>
      <c r="S3" s="16">
        <f>IFERROR(__xludf.DUMMYFUNCTION("""COMPUTED_VALUE"""),45926.6458333333)</f>
        <v>45926.6458333333</v>
      </c>
      <c r="T3" s="17">
        <f>IFERROR(__xludf.DUMMYFUNCTION("""COMPUTED_VALUE"""),235.01)</f>
        <v>235.01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IFERROR(__xludf.DUMMYFUNCTION("""COMPUTED_VALUE"""),272.2)</f>
        <v>272.2</v>
      </c>
      <c r="C5" s="14">
        <f>IFERROR(__xludf.DUMMYFUNCTION("""COMPUTED_VALUE"""),45743.6458333333)</f>
        <v>45743.6458333333</v>
      </c>
      <c r="D5" s="15">
        <f>IFERROR(__xludf.DUMMYFUNCTION("""COMPUTED_VALUE"""),270)</f>
        <v>270</v>
      </c>
      <c r="E5" s="14">
        <f>IFERROR(__xludf.DUMMYFUNCTION("""COMPUTED_VALUE"""),45743.6458333333)</f>
        <v>45743.6458333333</v>
      </c>
      <c r="F5" s="15">
        <f>IFERROR(__xludf.DUMMYFUNCTION("""COMPUTED_VALUE"""),14783522)</f>
        <v>14783522</v>
      </c>
      <c r="G5" s="14">
        <f>IFERROR(__xludf.DUMMYFUNCTION("""COMPUTED_VALUE"""),45743.6458333333)</f>
        <v>45743.6458333333</v>
      </c>
      <c r="H5" s="15">
        <f>IFERROR(__xludf.DUMMYFUNCTION("""COMPUTED_VALUE"""),273.55)</f>
        <v>273.55</v>
      </c>
      <c r="I5" s="30">
        <f>IFERROR(__xludf.DUMMYFUNCTION("""COMPUTED_VALUE"""),45743.6458333333)</f>
        <v>45743.6458333333</v>
      </c>
      <c r="J5" s="3">
        <f>IFERROR(__xludf.DUMMYFUNCTION("""COMPUTED_VALUE"""),269.6)</f>
        <v>269.6</v>
      </c>
      <c r="K5" s="5"/>
      <c r="L5" s="5"/>
      <c r="M5" s="3">
        <f t="array" ref="M5">INDEX(K11:K124,MATCH(SMALL(ABS(K11:K124-H3),1),ABS(K11:K124-H3),0))</f>
        <v>247.65</v>
      </c>
      <c r="N5" s="3">
        <f t="array" ref="N5">INDEX(K11:K124,MATCH(SMALL(ABS(K11:K124-H3),2),ABS(K11:K124-H3),0))</f>
        <v>253.84</v>
      </c>
      <c r="O5" s="3">
        <f t="array" ref="O5">INDEX(L11:L124,MATCH(SMALL(ABS(L11:L124-H3),1),ABS(L11:L124-H3),0))</f>
        <v>234.15</v>
      </c>
      <c r="P5" s="3">
        <f t="array" ref="P5">INDEX(L11:L124,MATCH(SMALL(ABS(L11:L124-H3),2),ABS(L11:L124-H3),0))</f>
        <v>239.05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253.84</v>
      </c>
      <c r="T5" s="17">
        <f ca="1">IF(AND(H3&gt;=Mastersheet!I3*S5,H3&lt;=Mastersheet!J3*S5),1,0)</f>
        <v>0</v>
      </c>
      <c r="U5" s="36">
        <f>(N3+P3)/2</f>
        <v>238.6</v>
      </c>
      <c r="V5" s="17">
        <f>(N3+P3+R3+T3)/4</f>
        <v>238.44</v>
      </c>
      <c r="W5" s="17">
        <f>IF(V5&gt;U5,1,0)</f>
        <v>0</v>
      </c>
      <c r="X5" s="17">
        <f>IF(V5&gt;U5,0,1)</f>
        <v>1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IFERROR(__xludf.DUMMYFUNCTION("""COMPUTED_VALUE"""),262.25)</f>
        <v>262.25</v>
      </c>
      <c r="C6" s="16">
        <f>IFERROR(__xludf.DUMMYFUNCTION("""COMPUTED_VALUE"""),45744.6458333333)</f>
        <v>45744.6458333333</v>
      </c>
      <c r="D6" s="17">
        <f>IFERROR(__xludf.DUMMYFUNCTION("""COMPUTED_VALUE"""),271)</f>
        <v>271</v>
      </c>
      <c r="E6" s="16">
        <f>IFERROR(__xludf.DUMMYFUNCTION("""COMPUTED_VALUE"""),45744.6458333333)</f>
        <v>45744.6458333333</v>
      </c>
      <c r="F6" s="17">
        <f>IFERROR(__xludf.DUMMYFUNCTION("""COMPUTED_VALUE"""),14283389)</f>
        <v>14283389</v>
      </c>
      <c r="G6" s="16">
        <f>IFERROR(__xludf.DUMMYFUNCTION("""COMPUTED_VALUE"""),45744.6458333333)</f>
        <v>45744.6458333333</v>
      </c>
      <c r="H6" s="17">
        <f>IFERROR(__xludf.DUMMYFUNCTION("""COMPUTED_VALUE"""),271.85)</f>
        <v>271.85</v>
      </c>
      <c r="I6" s="16">
        <f>IFERROR(__xludf.DUMMYFUNCTION("""COMPUTED_VALUE"""),45744.6458333333)</f>
        <v>45744.6458333333</v>
      </c>
      <c r="J6" s="17">
        <f>IFERROR(__xludf.DUMMYFUNCTION("""COMPUTED_VALUE"""),261.6)</f>
        <v>261.6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1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IFERROR(__xludf.DUMMYFUNCTION("""COMPUTED_VALUE"""),262.6)</f>
        <v>262.6</v>
      </c>
      <c r="C7" s="16">
        <f>IFERROR(__xludf.DUMMYFUNCTION("""COMPUTED_VALUE"""),45748.6458333333)</f>
        <v>45748.6458333333</v>
      </c>
      <c r="D7" s="17">
        <f>IFERROR(__xludf.DUMMYFUNCTION("""COMPUTED_VALUE"""),260.35)</f>
        <v>260.35</v>
      </c>
      <c r="E7" s="16">
        <f>IFERROR(__xludf.DUMMYFUNCTION("""COMPUTED_VALUE"""),45748.6458333333)</f>
        <v>45748.6458333333</v>
      </c>
      <c r="F7" s="17">
        <f>IFERROR(__xludf.DUMMYFUNCTION("""COMPUTED_VALUE"""),8388635)</f>
        <v>8388635</v>
      </c>
      <c r="G7" s="16">
        <f>IFERROR(__xludf.DUMMYFUNCTION("""COMPUTED_VALUE"""),45748.6458333333)</f>
        <v>45748.6458333333</v>
      </c>
      <c r="H7" s="17">
        <f>IFERROR(__xludf.DUMMYFUNCTION("""COMPUTED_VALUE"""),263)</f>
        <v>263</v>
      </c>
      <c r="I7" s="16">
        <f>IFERROR(__xludf.DUMMYFUNCTION("""COMPUTED_VALUE"""),45748.6458333333)</f>
        <v>45748.6458333333</v>
      </c>
      <c r="J7" s="17">
        <f>IFERROR(__xludf.DUMMYFUNCTION("""COMPUTED_VALUE"""),258.5)</f>
        <v>258.5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IFERROR(__xludf.DUMMYFUNCTION("""COMPUTED_VALUE"""),263.6)</f>
        <v>263.6</v>
      </c>
      <c r="C8" s="16">
        <f>IFERROR(__xludf.DUMMYFUNCTION("""COMPUTED_VALUE"""),45749.6458333333)</f>
        <v>45749.6458333333</v>
      </c>
      <c r="D8" s="17">
        <f>IFERROR(__xludf.DUMMYFUNCTION("""COMPUTED_VALUE"""),262.8)</f>
        <v>262.8</v>
      </c>
      <c r="E8" s="16">
        <f>IFERROR(__xludf.DUMMYFUNCTION("""COMPUTED_VALUE"""),45749.6458333333)</f>
        <v>45749.6458333333</v>
      </c>
      <c r="F8" s="17">
        <f>IFERROR(__xludf.DUMMYFUNCTION("""COMPUTED_VALUE"""),7136992)</f>
        <v>7136992</v>
      </c>
      <c r="G8" s="16">
        <f>IFERROR(__xludf.DUMMYFUNCTION("""COMPUTED_VALUE"""),45749.6458333333)</f>
        <v>45749.6458333333</v>
      </c>
      <c r="H8" s="17">
        <f>IFERROR(__xludf.DUMMYFUNCTION("""COMPUTED_VALUE"""),265.55)</f>
        <v>265.55</v>
      </c>
      <c r="I8" s="16">
        <f>IFERROR(__xludf.DUMMYFUNCTION("""COMPUTED_VALUE"""),45749.6458333333)</f>
        <v>45749.6458333333</v>
      </c>
      <c r="J8" s="17">
        <f>IFERROR(__xludf.DUMMYFUNCTION("""COMPUTED_VALUE"""),261.1)</f>
        <v>261.1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IFERROR(__xludf.DUMMYFUNCTION("""COMPUTED_VALUE"""),256.35)</f>
        <v>256.35</v>
      </c>
      <c r="C9" s="16">
        <f>IFERROR(__xludf.DUMMYFUNCTION("""COMPUTED_VALUE"""),45750.6458333333)</f>
        <v>45750.6458333333</v>
      </c>
      <c r="D9" s="17">
        <f>IFERROR(__xludf.DUMMYFUNCTION("""COMPUTED_VALUE"""),259.9)</f>
        <v>259.9</v>
      </c>
      <c r="E9" s="16">
        <f>IFERROR(__xludf.DUMMYFUNCTION("""COMPUTED_VALUE"""),45750.6458333333)</f>
        <v>45750.6458333333</v>
      </c>
      <c r="F9" s="17">
        <f>IFERROR(__xludf.DUMMYFUNCTION("""COMPUTED_VALUE"""),12262561)</f>
        <v>12262561</v>
      </c>
      <c r="G9" s="16">
        <f>IFERROR(__xludf.DUMMYFUNCTION("""COMPUTED_VALUE"""),45750.6458333333)</f>
        <v>45750.6458333333</v>
      </c>
      <c r="H9" s="17">
        <f>IFERROR(__xludf.DUMMYFUNCTION("""COMPUTED_VALUE"""),260.5)</f>
        <v>260.5</v>
      </c>
      <c r="I9" s="16">
        <f>IFERROR(__xludf.DUMMYFUNCTION("""COMPUTED_VALUE"""),45750.6458333333)</f>
        <v>45750.6458333333</v>
      </c>
      <c r="J9" s="17">
        <f>IFERROR(__xludf.DUMMYFUNCTION("""COMPUTED_VALUE"""),255.3)</f>
        <v>255.3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IFERROR(__xludf.DUMMYFUNCTION("""COMPUTED_VALUE"""),246.3)</f>
        <v>246.3</v>
      </c>
      <c r="C10" s="16">
        <f>IFERROR(__xludf.DUMMYFUNCTION("""COMPUTED_VALUE"""),45751.6458333333)</f>
        <v>45751.6458333333</v>
      </c>
      <c r="D10" s="17">
        <f>IFERROR(__xludf.DUMMYFUNCTION("""COMPUTED_VALUE"""),253)</f>
        <v>253</v>
      </c>
      <c r="E10" s="16">
        <f>IFERROR(__xludf.DUMMYFUNCTION("""COMPUTED_VALUE"""),45751.6458333333)</f>
        <v>45751.6458333333</v>
      </c>
      <c r="F10" s="17">
        <f>IFERROR(__xludf.DUMMYFUNCTION("""COMPUTED_VALUE"""),14639785)</f>
        <v>14639785</v>
      </c>
      <c r="G10" s="16">
        <f>IFERROR(__xludf.DUMMYFUNCTION("""COMPUTED_VALUE"""),45751.6458333333)</f>
        <v>45751.6458333333</v>
      </c>
      <c r="H10" s="17">
        <f>IFERROR(__xludf.DUMMYFUNCTION("""COMPUTED_VALUE"""),253.95)</f>
        <v>253.95</v>
      </c>
      <c r="I10" s="16">
        <f>IFERROR(__xludf.DUMMYFUNCTION("""COMPUTED_VALUE"""),45751.6458333333)</f>
        <v>45751.6458333333</v>
      </c>
      <c r="J10" s="17">
        <f>IFERROR(__xludf.DUMMYFUNCTION("""COMPUTED_VALUE"""),244.85)</f>
        <v>244.85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IFERROR(__xludf.DUMMYFUNCTION("""COMPUTED_VALUE"""),242.9)</f>
        <v>242.9</v>
      </c>
      <c r="C11" s="16">
        <f>IFERROR(__xludf.DUMMYFUNCTION("""COMPUTED_VALUE"""),45754.6458333333)</f>
        <v>45754.6458333333</v>
      </c>
      <c r="D11" s="17">
        <f>IFERROR(__xludf.DUMMYFUNCTION("""COMPUTED_VALUE"""),231.05)</f>
        <v>231.05</v>
      </c>
      <c r="E11" s="16">
        <f>IFERROR(__xludf.DUMMYFUNCTION("""COMPUTED_VALUE"""),45754.6458333333)</f>
        <v>45754.6458333333</v>
      </c>
      <c r="F11" s="17">
        <f>IFERROR(__xludf.DUMMYFUNCTION("""COMPUTED_VALUE"""),13011904)</f>
        <v>13011904</v>
      </c>
      <c r="G11" s="16">
        <f>IFERROR(__xludf.DUMMYFUNCTION("""COMPUTED_VALUE"""),45754.6458333333)</f>
        <v>45754.6458333333</v>
      </c>
      <c r="H11" s="17">
        <f>IFERROR(__xludf.DUMMYFUNCTION("""COMPUTED_VALUE"""),243.85)</f>
        <v>243.85</v>
      </c>
      <c r="I11" s="16">
        <f>IFERROR(__xludf.DUMMYFUNCTION("""COMPUTED_VALUE"""),45754.6458333333)</f>
        <v>45754.6458333333</v>
      </c>
      <c r="J11" s="17">
        <f>IFERROR(__xludf.DUMMYFUNCTION("""COMPUTED_VALUE"""),228)</f>
        <v>228</v>
      </c>
      <c r="K11" s="3">
        <f t="shared" ref="K11:K125" si="2">IF(B11=MAX(B5:B17),B11,0)</f>
        <v>0</v>
      </c>
      <c r="L11" s="3">
        <f t="shared" ref="L11:L125" si="3">IF(B11=MIN(B5:B17),B11,0)</f>
        <v>0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IFERROR(__xludf.DUMMYFUNCTION("""COMPUTED_VALUE"""),247.25)</f>
        <v>247.25</v>
      </c>
      <c r="C12" s="16">
        <f>IFERROR(__xludf.DUMMYFUNCTION("""COMPUTED_VALUE"""),45755.6458333333)</f>
        <v>45755.6458333333</v>
      </c>
      <c r="D12" s="17">
        <f>IFERROR(__xludf.DUMMYFUNCTION("""COMPUTED_VALUE"""),244.75)</f>
        <v>244.75</v>
      </c>
      <c r="E12" s="16">
        <f>IFERROR(__xludf.DUMMYFUNCTION("""COMPUTED_VALUE"""),45755.6458333333)</f>
        <v>45755.6458333333</v>
      </c>
      <c r="F12" s="17">
        <f>IFERROR(__xludf.DUMMYFUNCTION("""COMPUTED_VALUE"""),13806651)</f>
        <v>13806651</v>
      </c>
      <c r="G12" s="16">
        <f>IFERROR(__xludf.DUMMYFUNCTION("""COMPUTED_VALUE"""),45755.6458333333)</f>
        <v>45755.6458333333</v>
      </c>
      <c r="H12" s="17">
        <f>IFERROR(__xludf.DUMMYFUNCTION("""COMPUTED_VALUE"""),249.5)</f>
        <v>249.5</v>
      </c>
      <c r="I12" s="16">
        <f>IFERROR(__xludf.DUMMYFUNCTION("""COMPUTED_VALUE"""),45755.6458333333)</f>
        <v>45755.6458333333</v>
      </c>
      <c r="J12" s="17">
        <f>IFERROR(__xludf.DUMMYFUNCTION("""COMPUTED_VALUE"""),243.85)</f>
        <v>243.85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IFERROR(__xludf.DUMMYFUNCTION("""COMPUTED_VALUE"""),236.65)</f>
        <v>236.65</v>
      </c>
      <c r="C13" s="16">
        <f>IFERROR(__xludf.DUMMYFUNCTION("""COMPUTED_VALUE"""),45756.6458333333)</f>
        <v>45756.6458333333</v>
      </c>
      <c r="D13" s="17">
        <f>IFERROR(__xludf.DUMMYFUNCTION("""COMPUTED_VALUE"""),240.7)</f>
        <v>240.7</v>
      </c>
      <c r="E13" s="16">
        <f>IFERROR(__xludf.DUMMYFUNCTION("""COMPUTED_VALUE"""),45756.6458333333)</f>
        <v>45756.6458333333</v>
      </c>
      <c r="F13" s="17">
        <f>IFERROR(__xludf.DUMMYFUNCTION("""COMPUTED_VALUE"""),19063559)</f>
        <v>19063559</v>
      </c>
      <c r="G13" s="16">
        <f>IFERROR(__xludf.DUMMYFUNCTION("""COMPUTED_VALUE"""),45756.6458333333)</f>
        <v>45756.6458333333</v>
      </c>
      <c r="H13" s="17">
        <f>IFERROR(__xludf.DUMMYFUNCTION("""COMPUTED_VALUE"""),242.3)</f>
        <v>242.3</v>
      </c>
      <c r="I13" s="16">
        <f>IFERROR(__xludf.DUMMYFUNCTION("""COMPUTED_VALUE"""),45756.6458333333)</f>
        <v>45756.6458333333</v>
      </c>
      <c r="J13" s="17">
        <f>IFERROR(__xludf.DUMMYFUNCTION("""COMPUTED_VALUE"""),234)</f>
        <v>234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IFERROR(__xludf.DUMMYFUNCTION("""COMPUTED_VALUE"""),239.75)</f>
        <v>239.75</v>
      </c>
      <c r="C14" s="16">
        <f>IFERROR(__xludf.DUMMYFUNCTION("""COMPUTED_VALUE"""),45758.6458333333)</f>
        <v>45758.6458333333</v>
      </c>
      <c r="D14" s="17">
        <f>IFERROR(__xludf.DUMMYFUNCTION("""COMPUTED_VALUE"""),245)</f>
        <v>245</v>
      </c>
      <c r="E14" s="16">
        <f>IFERROR(__xludf.DUMMYFUNCTION("""COMPUTED_VALUE"""),45758.6458333333)</f>
        <v>45758.6458333333</v>
      </c>
      <c r="F14" s="17">
        <f>IFERROR(__xludf.DUMMYFUNCTION("""COMPUTED_VALUE"""),11205821)</f>
        <v>11205821</v>
      </c>
      <c r="G14" s="16">
        <f>IFERROR(__xludf.DUMMYFUNCTION("""COMPUTED_VALUE"""),45758.6458333333)</f>
        <v>45758.6458333333</v>
      </c>
      <c r="H14" s="17">
        <f>IFERROR(__xludf.DUMMYFUNCTION("""COMPUTED_VALUE"""),245)</f>
        <v>245</v>
      </c>
      <c r="I14" s="16">
        <f>IFERROR(__xludf.DUMMYFUNCTION("""COMPUTED_VALUE"""),45758.6458333333)</f>
        <v>45758.6458333333</v>
      </c>
      <c r="J14" s="17">
        <f>IFERROR(__xludf.DUMMYFUNCTION("""COMPUTED_VALUE"""),238.35)</f>
        <v>238.35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IFERROR(__xludf.DUMMYFUNCTION("""COMPUTED_VALUE"""),244)</f>
        <v>244</v>
      </c>
      <c r="C15" s="16">
        <f>IFERROR(__xludf.DUMMYFUNCTION("""COMPUTED_VALUE"""),45762.6458333333)</f>
        <v>45762.6458333333</v>
      </c>
      <c r="D15" s="17">
        <f>IFERROR(__xludf.DUMMYFUNCTION("""COMPUTED_VALUE"""),245.05)</f>
        <v>245.05</v>
      </c>
      <c r="E15" s="16">
        <f>IFERROR(__xludf.DUMMYFUNCTION("""COMPUTED_VALUE"""),45762.6458333333)</f>
        <v>45762.6458333333</v>
      </c>
      <c r="F15" s="17">
        <f>IFERROR(__xludf.DUMMYFUNCTION("""COMPUTED_VALUE"""),10694621)</f>
        <v>10694621</v>
      </c>
      <c r="G15" s="16">
        <f>IFERROR(__xludf.DUMMYFUNCTION("""COMPUTED_VALUE"""),45762.6458333333)</f>
        <v>45762.6458333333</v>
      </c>
      <c r="H15" s="17">
        <f>IFERROR(__xludf.DUMMYFUNCTION("""COMPUTED_VALUE"""),245.05)</f>
        <v>245.05</v>
      </c>
      <c r="I15" s="16">
        <f>IFERROR(__xludf.DUMMYFUNCTION("""COMPUTED_VALUE"""),45762.6458333333)</f>
        <v>45762.6458333333</v>
      </c>
      <c r="J15" s="17">
        <f>IFERROR(__xludf.DUMMYFUNCTION("""COMPUTED_VALUE"""),241.35)</f>
        <v>241.35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IFERROR(__xludf.DUMMYFUNCTION("""COMPUTED_VALUE"""),247.65)</f>
        <v>247.65</v>
      </c>
      <c r="C16" s="16">
        <f>IFERROR(__xludf.DUMMYFUNCTION("""COMPUTED_VALUE"""),45763.6458333333)</f>
        <v>45763.6458333333</v>
      </c>
      <c r="D16" s="17">
        <f>IFERROR(__xludf.DUMMYFUNCTION("""COMPUTED_VALUE"""),244)</f>
        <v>244</v>
      </c>
      <c r="E16" s="16">
        <f>IFERROR(__xludf.DUMMYFUNCTION("""COMPUTED_VALUE"""),45763.6458333333)</f>
        <v>45763.6458333333</v>
      </c>
      <c r="F16" s="17">
        <f>IFERROR(__xludf.DUMMYFUNCTION("""COMPUTED_VALUE"""),16203319)</f>
        <v>16203319</v>
      </c>
      <c r="G16" s="16">
        <f>IFERROR(__xludf.DUMMYFUNCTION("""COMPUTED_VALUE"""),45763.6458333333)</f>
        <v>45763.6458333333</v>
      </c>
      <c r="H16" s="17">
        <f>IFERROR(__xludf.DUMMYFUNCTION("""COMPUTED_VALUE"""),248.45)</f>
        <v>248.45</v>
      </c>
      <c r="I16" s="16">
        <f>IFERROR(__xludf.DUMMYFUNCTION("""COMPUTED_VALUE"""),45763.6458333333)</f>
        <v>45763.6458333333</v>
      </c>
      <c r="J16" s="17">
        <f>IFERROR(__xludf.DUMMYFUNCTION("""COMPUTED_VALUE"""),241.2)</f>
        <v>241.2</v>
      </c>
      <c r="K16" s="3">
        <f t="shared" si="2"/>
        <v>247.65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IFERROR(__xludf.DUMMYFUNCTION("""COMPUTED_VALUE"""),236.9)</f>
        <v>236.9</v>
      </c>
      <c r="C17" s="16">
        <f>IFERROR(__xludf.DUMMYFUNCTION("""COMPUTED_VALUE"""),45764.6458333333)</f>
        <v>45764.6458333333</v>
      </c>
      <c r="D17" s="17">
        <f>IFERROR(__xludf.DUMMYFUNCTION("""COMPUTED_VALUE"""),235)</f>
        <v>235</v>
      </c>
      <c r="E17" s="16">
        <f>IFERROR(__xludf.DUMMYFUNCTION("""COMPUTED_VALUE"""),45764.6458333333)</f>
        <v>45764.6458333333</v>
      </c>
      <c r="F17" s="17">
        <f>IFERROR(__xludf.DUMMYFUNCTION("""COMPUTED_VALUE"""),54875421)</f>
        <v>54875421</v>
      </c>
      <c r="G17" s="16">
        <f>IFERROR(__xludf.DUMMYFUNCTION("""COMPUTED_VALUE"""),45764.6458333333)</f>
        <v>45764.6458333333</v>
      </c>
      <c r="H17" s="17">
        <f>IFERROR(__xludf.DUMMYFUNCTION("""COMPUTED_VALUE"""),237.8)</f>
        <v>237.8</v>
      </c>
      <c r="I17" s="16">
        <f>IFERROR(__xludf.DUMMYFUNCTION("""COMPUTED_VALUE"""),45764.6458333333)</f>
        <v>45764.6458333333</v>
      </c>
      <c r="J17" s="17">
        <f>IFERROR(__xludf.DUMMYFUNCTION("""COMPUTED_VALUE"""),232.15)</f>
        <v>232.15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IFERROR(__xludf.DUMMYFUNCTION("""COMPUTED_VALUE"""),238.45)</f>
        <v>238.45</v>
      </c>
      <c r="C18" s="16">
        <f>IFERROR(__xludf.DUMMYFUNCTION("""COMPUTED_VALUE"""),45768.6458333333)</f>
        <v>45768.6458333333</v>
      </c>
      <c r="D18" s="17">
        <f>IFERROR(__xludf.DUMMYFUNCTION("""COMPUTED_VALUE"""),237.4)</f>
        <v>237.4</v>
      </c>
      <c r="E18" s="16">
        <f>IFERROR(__xludf.DUMMYFUNCTION("""COMPUTED_VALUE"""),45768.6458333333)</f>
        <v>45768.6458333333</v>
      </c>
      <c r="F18" s="17">
        <f>IFERROR(__xludf.DUMMYFUNCTION("""COMPUTED_VALUE"""),16298364)</f>
        <v>16298364</v>
      </c>
      <c r="G18" s="16">
        <f>IFERROR(__xludf.DUMMYFUNCTION("""COMPUTED_VALUE"""),45768.6458333333)</f>
        <v>45768.6458333333</v>
      </c>
      <c r="H18" s="17">
        <f>IFERROR(__xludf.DUMMYFUNCTION("""COMPUTED_VALUE"""),240.8)</f>
        <v>240.8</v>
      </c>
      <c r="I18" s="16">
        <f>IFERROR(__xludf.DUMMYFUNCTION("""COMPUTED_VALUE"""),45768.6458333333)</f>
        <v>45768.6458333333</v>
      </c>
      <c r="J18" s="17">
        <f>IFERROR(__xludf.DUMMYFUNCTION("""COMPUTED_VALUE"""),237.4)</f>
        <v>237.4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IFERROR(__xludf.DUMMYFUNCTION("""COMPUTED_VALUE"""),234.15)</f>
        <v>234.15</v>
      </c>
      <c r="C19" s="16">
        <f>IFERROR(__xludf.DUMMYFUNCTION("""COMPUTED_VALUE"""),45769.6458333333)</f>
        <v>45769.6458333333</v>
      </c>
      <c r="D19" s="17">
        <f>IFERROR(__xludf.DUMMYFUNCTION("""COMPUTED_VALUE"""),238.45)</f>
        <v>238.45</v>
      </c>
      <c r="E19" s="16">
        <f>IFERROR(__xludf.DUMMYFUNCTION("""COMPUTED_VALUE"""),45769.6458333333)</f>
        <v>45769.6458333333</v>
      </c>
      <c r="F19" s="17">
        <f>IFERROR(__xludf.DUMMYFUNCTION("""COMPUTED_VALUE"""),18367713)</f>
        <v>18367713</v>
      </c>
      <c r="G19" s="16">
        <f>IFERROR(__xludf.DUMMYFUNCTION("""COMPUTED_VALUE"""),45769.6458333333)</f>
        <v>45769.6458333333</v>
      </c>
      <c r="H19" s="17">
        <f>IFERROR(__xludf.DUMMYFUNCTION("""COMPUTED_VALUE"""),239)</f>
        <v>239</v>
      </c>
      <c r="I19" s="16">
        <f>IFERROR(__xludf.DUMMYFUNCTION("""COMPUTED_VALUE"""),45769.6458333333)</f>
        <v>45769.6458333333</v>
      </c>
      <c r="J19" s="17">
        <f>IFERROR(__xludf.DUMMYFUNCTION("""COMPUTED_VALUE"""),233.5)</f>
        <v>233.5</v>
      </c>
      <c r="K19" s="3">
        <f t="shared" si="2"/>
        <v>0</v>
      </c>
      <c r="L19" s="3">
        <f t="shared" si="3"/>
        <v>234.15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IFERROR(__xludf.DUMMYFUNCTION("""COMPUTED_VALUE"""),243.6)</f>
        <v>243.6</v>
      </c>
      <c r="C20" s="16">
        <f>IFERROR(__xludf.DUMMYFUNCTION("""COMPUTED_VALUE"""),45770.6458333333)</f>
        <v>45770.6458333333</v>
      </c>
      <c r="D20" s="17">
        <f>IFERROR(__xludf.DUMMYFUNCTION("""COMPUTED_VALUE"""),237.2)</f>
        <v>237.2</v>
      </c>
      <c r="E20" s="16">
        <f>IFERROR(__xludf.DUMMYFUNCTION("""COMPUTED_VALUE"""),45770.6458333333)</f>
        <v>45770.6458333333</v>
      </c>
      <c r="F20" s="17">
        <f>IFERROR(__xludf.DUMMYFUNCTION("""COMPUTED_VALUE"""),31898042)</f>
        <v>31898042</v>
      </c>
      <c r="G20" s="16">
        <f>IFERROR(__xludf.DUMMYFUNCTION("""COMPUTED_VALUE"""),45770.6458333333)</f>
        <v>45770.6458333333</v>
      </c>
      <c r="H20" s="17">
        <f>IFERROR(__xludf.DUMMYFUNCTION("""COMPUTED_VALUE"""),245.35)</f>
        <v>245.35</v>
      </c>
      <c r="I20" s="16">
        <f>IFERROR(__xludf.DUMMYFUNCTION("""COMPUTED_VALUE"""),45770.6458333333)</f>
        <v>45770.6458333333</v>
      </c>
      <c r="J20" s="17">
        <f>IFERROR(__xludf.DUMMYFUNCTION("""COMPUTED_VALUE"""),236.1)</f>
        <v>236.1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IFERROR(__xludf.DUMMYFUNCTION("""COMPUTED_VALUE"""),242.75)</f>
        <v>242.75</v>
      </c>
      <c r="C21" s="16">
        <f>IFERROR(__xludf.DUMMYFUNCTION("""COMPUTED_VALUE"""),45771.6458333333)</f>
        <v>45771.6458333333</v>
      </c>
      <c r="D21" s="17">
        <f>IFERROR(__xludf.DUMMYFUNCTION("""COMPUTED_VALUE"""),244.8)</f>
        <v>244.8</v>
      </c>
      <c r="E21" s="16">
        <f>IFERROR(__xludf.DUMMYFUNCTION("""COMPUTED_VALUE"""),45771.6458333333)</f>
        <v>45771.6458333333</v>
      </c>
      <c r="F21" s="17">
        <f>IFERROR(__xludf.DUMMYFUNCTION("""COMPUTED_VALUE"""),23000820)</f>
        <v>23000820</v>
      </c>
      <c r="G21" s="16">
        <f>IFERROR(__xludf.DUMMYFUNCTION("""COMPUTED_VALUE"""),45771.6458333333)</f>
        <v>45771.6458333333</v>
      </c>
      <c r="H21" s="17">
        <f>IFERROR(__xludf.DUMMYFUNCTION("""COMPUTED_VALUE"""),245.15)</f>
        <v>245.15</v>
      </c>
      <c r="I21" s="16">
        <f>IFERROR(__xludf.DUMMYFUNCTION("""COMPUTED_VALUE"""),45771.6458333333)</f>
        <v>45771.6458333333</v>
      </c>
      <c r="J21" s="17">
        <f>IFERROR(__xludf.DUMMYFUNCTION("""COMPUTED_VALUE"""),241.5)</f>
        <v>241.5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IFERROR(__xludf.DUMMYFUNCTION("""COMPUTED_VALUE"""),240.9)</f>
        <v>240.9</v>
      </c>
      <c r="C22" s="16">
        <f>IFERROR(__xludf.DUMMYFUNCTION("""COMPUTED_VALUE"""),45772.6458333333)</f>
        <v>45772.6458333333</v>
      </c>
      <c r="D22" s="17">
        <f>IFERROR(__xludf.DUMMYFUNCTION("""COMPUTED_VALUE"""),243.95)</f>
        <v>243.95</v>
      </c>
      <c r="E22" s="16">
        <f>IFERROR(__xludf.DUMMYFUNCTION("""COMPUTED_VALUE"""),45772.6458333333)</f>
        <v>45772.6458333333</v>
      </c>
      <c r="F22" s="17">
        <f>IFERROR(__xludf.DUMMYFUNCTION("""COMPUTED_VALUE"""),16620430)</f>
        <v>16620430</v>
      </c>
      <c r="G22" s="16">
        <f>IFERROR(__xludf.DUMMYFUNCTION("""COMPUTED_VALUE"""),45772.6458333333)</f>
        <v>45772.6458333333</v>
      </c>
      <c r="H22" s="17">
        <f>IFERROR(__xludf.DUMMYFUNCTION("""COMPUTED_VALUE"""),246.15)</f>
        <v>246.15</v>
      </c>
      <c r="I22" s="16">
        <f>IFERROR(__xludf.DUMMYFUNCTION("""COMPUTED_VALUE"""),45772.6458333333)</f>
        <v>45772.6458333333</v>
      </c>
      <c r="J22" s="17">
        <f>IFERROR(__xludf.DUMMYFUNCTION("""COMPUTED_VALUE"""),238.05)</f>
        <v>238.05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IFERROR(__xludf.DUMMYFUNCTION("""COMPUTED_VALUE"""),240.5)</f>
        <v>240.5</v>
      </c>
      <c r="C23" s="16">
        <f>IFERROR(__xludf.DUMMYFUNCTION("""COMPUTED_VALUE"""),45775.6458333333)</f>
        <v>45775.6458333333</v>
      </c>
      <c r="D23" s="17">
        <f>IFERROR(__xludf.DUMMYFUNCTION("""COMPUTED_VALUE"""),240.5)</f>
        <v>240.5</v>
      </c>
      <c r="E23" s="16">
        <f>IFERROR(__xludf.DUMMYFUNCTION("""COMPUTED_VALUE"""),45775.6458333333)</f>
        <v>45775.6458333333</v>
      </c>
      <c r="F23" s="17">
        <f>IFERROR(__xludf.DUMMYFUNCTION("""COMPUTED_VALUE"""),14218414)</f>
        <v>14218414</v>
      </c>
      <c r="G23" s="16">
        <f>IFERROR(__xludf.DUMMYFUNCTION("""COMPUTED_VALUE"""),45775.6458333333)</f>
        <v>45775.6458333333</v>
      </c>
      <c r="H23" s="17">
        <f>IFERROR(__xludf.DUMMYFUNCTION("""COMPUTED_VALUE"""),241.95)</f>
        <v>241.95</v>
      </c>
      <c r="I23" s="16">
        <f>IFERROR(__xludf.DUMMYFUNCTION("""COMPUTED_VALUE"""),45775.6458333333)</f>
        <v>45775.6458333333</v>
      </c>
      <c r="J23" s="17">
        <f>IFERROR(__xludf.DUMMYFUNCTION("""COMPUTED_VALUE"""),238.75)</f>
        <v>238.75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IFERROR(__xludf.DUMMYFUNCTION("""COMPUTED_VALUE"""),241.4)</f>
        <v>241.4</v>
      </c>
      <c r="C24" s="16">
        <f>IFERROR(__xludf.DUMMYFUNCTION("""COMPUTED_VALUE"""),45776.6458333333)</f>
        <v>45776.6458333333</v>
      </c>
      <c r="D24" s="17">
        <f>IFERROR(__xludf.DUMMYFUNCTION("""COMPUTED_VALUE"""),241.6)</f>
        <v>241.6</v>
      </c>
      <c r="E24" s="16">
        <f>IFERROR(__xludf.DUMMYFUNCTION("""COMPUTED_VALUE"""),45776.6458333333)</f>
        <v>45776.6458333333</v>
      </c>
      <c r="F24" s="17">
        <f>IFERROR(__xludf.DUMMYFUNCTION("""COMPUTED_VALUE"""),16647246)</f>
        <v>16647246</v>
      </c>
      <c r="G24" s="16">
        <f>IFERROR(__xludf.DUMMYFUNCTION("""COMPUTED_VALUE"""),45776.6458333333)</f>
        <v>45776.6458333333</v>
      </c>
      <c r="H24" s="17">
        <f>IFERROR(__xludf.DUMMYFUNCTION("""COMPUTED_VALUE"""),243.6)</f>
        <v>243.6</v>
      </c>
      <c r="I24" s="16">
        <f>IFERROR(__xludf.DUMMYFUNCTION("""COMPUTED_VALUE"""),45776.6458333333)</f>
        <v>45776.6458333333</v>
      </c>
      <c r="J24" s="17">
        <f>IFERROR(__xludf.DUMMYFUNCTION("""COMPUTED_VALUE"""),239.85)</f>
        <v>239.85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IFERROR(__xludf.DUMMYFUNCTION("""COMPUTED_VALUE"""),241.5)</f>
        <v>241.5</v>
      </c>
      <c r="C25" s="16">
        <f>IFERROR(__xludf.DUMMYFUNCTION("""COMPUTED_VALUE"""),45777.6458333333)</f>
        <v>45777.6458333333</v>
      </c>
      <c r="D25" s="17">
        <f>IFERROR(__xludf.DUMMYFUNCTION("""COMPUTED_VALUE"""),241.55)</f>
        <v>241.55</v>
      </c>
      <c r="E25" s="16">
        <f>IFERROR(__xludf.DUMMYFUNCTION("""COMPUTED_VALUE"""),45777.6458333333)</f>
        <v>45777.6458333333</v>
      </c>
      <c r="F25" s="17">
        <f>IFERROR(__xludf.DUMMYFUNCTION("""COMPUTED_VALUE"""),14206640)</f>
        <v>14206640</v>
      </c>
      <c r="G25" s="16">
        <f>IFERROR(__xludf.DUMMYFUNCTION("""COMPUTED_VALUE"""),45777.6458333333)</f>
        <v>45777.6458333333</v>
      </c>
      <c r="H25" s="17">
        <f>IFERROR(__xludf.DUMMYFUNCTION("""COMPUTED_VALUE"""),243.4)</f>
        <v>243.4</v>
      </c>
      <c r="I25" s="16">
        <f>IFERROR(__xludf.DUMMYFUNCTION("""COMPUTED_VALUE"""),45777.6458333333)</f>
        <v>45777.6458333333</v>
      </c>
      <c r="J25" s="17">
        <f>IFERROR(__xludf.DUMMYFUNCTION("""COMPUTED_VALUE"""),239.2)</f>
        <v>239.2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IFERROR(__xludf.DUMMYFUNCTION("""COMPUTED_VALUE"""),242.87)</f>
        <v>242.87</v>
      </c>
      <c r="C26" s="16">
        <f>IFERROR(__xludf.DUMMYFUNCTION("""COMPUTED_VALUE"""),45779.6458333333)</f>
        <v>45779.6458333333</v>
      </c>
      <c r="D26" s="17">
        <f>IFERROR(__xludf.DUMMYFUNCTION("""COMPUTED_VALUE"""),242.04)</f>
        <v>242.04</v>
      </c>
      <c r="E26" s="16">
        <f>IFERROR(__xludf.DUMMYFUNCTION("""COMPUTED_VALUE"""),45779.6458333333)</f>
        <v>45779.6458333333</v>
      </c>
      <c r="F26" s="17">
        <f>IFERROR(__xludf.DUMMYFUNCTION("""COMPUTED_VALUE"""),10822257)</f>
        <v>10822257</v>
      </c>
      <c r="G26" s="16">
        <f>IFERROR(__xludf.DUMMYFUNCTION("""COMPUTED_VALUE"""),45779.6458333333)</f>
        <v>45779.6458333333</v>
      </c>
      <c r="H26" s="17">
        <f>IFERROR(__xludf.DUMMYFUNCTION("""COMPUTED_VALUE"""),245.8)</f>
        <v>245.8</v>
      </c>
      <c r="I26" s="16">
        <f>IFERROR(__xludf.DUMMYFUNCTION("""COMPUTED_VALUE"""),45779.6458333333)</f>
        <v>45779.6458333333</v>
      </c>
      <c r="J26" s="17">
        <f>IFERROR(__xludf.DUMMYFUNCTION("""COMPUTED_VALUE"""),240.75)</f>
        <v>240.75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IFERROR(__xludf.DUMMYFUNCTION("""COMPUTED_VALUE"""),243.57)</f>
        <v>243.57</v>
      </c>
      <c r="C27" s="16">
        <f>IFERROR(__xludf.DUMMYFUNCTION("""COMPUTED_VALUE"""),45782.6458333333)</f>
        <v>45782.6458333333</v>
      </c>
      <c r="D27" s="17">
        <f>IFERROR(__xludf.DUMMYFUNCTION("""COMPUTED_VALUE"""),244)</f>
        <v>244</v>
      </c>
      <c r="E27" s="16">
        <f>IFERROR(__xludf.DUMMYFUNCTION("""COMPUTED_VALUE"""),45782.6458333333)</f>
        <v>45782.6458333333</v>
      </c>
      <c r="F27" s="17">
        <f>IFERROR(__xludf.DUMMYFUNCTION("""COMPUTED_VALUE"""),12170446)</f>
        <v>12170446</v>
      </c>
      <c r="G27" s="16">
        <f>IFERROR(__xludf.DUMMYFUNCTION("""COMPUTED_VALUE"""),45782.6458333333)</f>
        <v>45782.6458333333</v>
      </c>
      <c r="H27" s="17">
        <f>IFERROR(__xludf.DUMMYFUNCTION("""COMPUTED_VALUE"""),246.87)</f>
        <v>246.87</v>
      </c>
      <c r="I27" s="16">
        <f>IFERROR(__xludf.DUMMYFUNCTION("""COMPUTED_VALUE"""),45782.6458333333)</f>
        <v>45782.6458333333</v>
      </c>
      <c r="J27" s="17">
        <f>IFERROR(__xludf.DUMMYFUNCTION("""COMPUTED_VALUE"""),242.7)</f>
        <v>242.7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IFERROR(__xludf.DUMMYFUNCTION("""COMPUTED_VALUE"""),241.19)</f>
        <v>241.19</v>
      </c>
      <c r="C28" s="16">
        <f>IFERROR(__xludf.DUMMYFUNCTION("""COMPUTED_VALUE"""),45783.6458333333)</f>
        <v>45783.6458333333</v>
      </c>
      <c r="D28" s="17">
        <f>IFERROR(__xludf.DUMMYFUNCTION("""COMPUTED_VALUE"""),244.5)</f>
        <v>244.5</v>
      </c>
      <c r="E28" s="16">
        <f>IFERROR(__xludf.DUMMYFUNCTION("""COMPUTED_VALUE"""),45783.6458333333)</f>
        <v>45783.6458333333</v>
      </c>
      <c r="F28" s="17">
        <f>IFERROR(__xludf.DUMMYFUNCTION("""COMPUTED_VALUE"""),8869045)</f>
        <v>8869045</v>
      </c>
      <c r="G28" s="16">
        <f>IFERROR(__xludf.DUMMYFUNCTION("""COMPUTED_VALUE"""),45783.6458333333)</f>
        <v>45783.6458333333</v>
      </c>
      <c r="H28" s="17">
        <f>IFERROR(__xludf.DUMMYFUNCTION("""COMPUTED_VALUE"""),245.9)</f>
        <v>245.9</v>
      </c>
      <c r="I28" s="16">
        <f>IFERROR(__xludf.DUMMYFUNCTION("""COMPUTED_VALUE"""),45783.6458333333)</f>
        <v>45783.6458333333</v>
      </c>
      <c r="J28" s="17">
        <f>IFERROR(__xludf.DUMMYFUNCTION("""COMPUTED_VALUE"""),240.61)</f>
        <v>240.61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IFERROR(__xludf.DUMMYFUNCTION("""COMPUTED_VALUE"""),244.04)</f>
        <v>244.04</v>
      </c>
      <c r="C29" s="16">
        <f>IFERROR(__xludf.DUMMYFUNCTION("""COMPUTED_VALUE"""),45784.6458333333)</f>
        <v>45784.6458333333</v>
      </c>
      <c r="D29" s="17">
        <f>IFERROR(__xludf.DUMMYFUNCTION("""COMPUTED_VALUE"""),236.01)</f>
        <v>236.01</v>
      </c>
      <c r="E29" s="16">
        <f>IFERROR(__xludf.DUMMYFUNCTION("""COMPUTED_VALUE"""),45784.6458333333)</f>
        <v>45784.6458333333</v>
      </c>
      <c r="F29" s="17">
        <f>IFERROR(__xludf.DUMMYFUNCTION("""COMPUTED_VALUE"""),9130056)</f>
        <v>9130056</v>
      </c>
      <c r="G29" s="16">
        <f>IFERROR(__xludf.DUMMYFUNCTION("""COMPUTED_VALUE"""),45784.6458333333)</f>
        <v>45784.6458333333</v>
      </c>
      <c r="H29" s="17">
        <f>IFERROR(__xludf.DUMMYFUNCTION("""COMPUTED_VALUE"""),244.45)</f>
        <v>244.45</v>
      </c>
      <c r="I29" s="16">
        <f>IFERROR(__xludf.DUMMYFUNCTION("""COMPUTED_VALUE"""),45784.6458333333)</f>
        <v>45784.6458333333</v>
      </c>
      <c r="J29" s="17">
        <f>IFERROR(__xludf.DUMMYFUNCTION("""COMPUTED_VALUE"""),236.01)</f>
        <v>236.01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IFERROR(__xludf.DUMMYFUNCTION("""COMPUTED_VALUE"""),241.57)</f>
        <v>241.57</v>
      </c>
      <c r="C30" s="16">
        <f>IFERROR(__xludf.DUMMYFUNCTION("""COMPUTED_VALUE"""),45785.6458333333)</f>
        <v>45785.6458333333</v>
      </c>
      <c r="D30" s="17">
        <f>IFERROR(__xludf.DUMMYFUNCTION("""COMPUTED_VALUE"""),243.11)</f>
        <v>243.11</v>
      </c>
      <c r="E30" s="16">
        <f>IFERROR(__xludf.DUMMYFUNCTION("""COMPUTED_VALUE"""),45785.6458333333)</f>
        <v>45785.6458333333</v>
      </c>
      <c r="F30" s="17">
        <f>IFERROR(__xludf.DUMMYFUNCTION("""COMPUTED_VALUE"""),11434833)</f>
        <v>11434833</v>
      </c>
      <c r="G30" s="16">
        <f>IFERROR(__xludf.DUMMYFUNCTION("""COMPUTED_VALUE"""),45785.6458333333)</f>
        <v>45785.6458333333</v>
      </c>
      <c r="H30" s="17">
        <f>IFERROR(__xludf.DUMMYFUNCTION("""COMPUTED_VALUE"""),245.83)</f>
        <v>245.83</v>
      </c>
      <c r="I30" s="16">
        <f>IFERROR(__xludf.DUMMYFUNCTION("""COMPUTED_VALUE"""),45785.6458333333)</f>
        <v>45785.6458333333</v>
      </c>
      <c r="J30" s="17">
        <f>IFERROR(__xludf.DUMMYFUNCTION("""COMPUTED_VALUE"""),239.31)</f>
        <v>239.31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IFERROR(__xludf.DUMMYFUNCTION("""COMPUTED_VALUE"""),242.01)</f>
        <v>242.01</v>
      </c>
      <c r="C31" s="16">
        <f>IFERROR(__xludf.DUMMYFUNCTION("""COMPUTED_VALUE"""),45786.6458333333)</f>
        <v>45786.6458333333</v>
      </c>
      <c r="D31" s="17">
        <f>IFERROR(__xludf.DUMMYFUNCTION("""COMPUTED_VALUE"""),236.6)</f>
        <v>236.6</v>
      </c>
      <c r="E31" s="16">
        <f>IFERROR(__xludf.DUMMYFUNCTION("""COMPUTED_VALUE"""),45786.6458333333)</f>
        <v>45786.6458333333</v>
      </c>
      <c r="F31" s="17">
        <f>IFERROR(__xludf.DUMMYFUNCTION("""COMPUTED_VALUE"""),10582438)</f>
        <v>10582438</v>
      </c>
      <c r="G31" s="16">
        <f>IFERROR(__xludf.DUMMYFUNCTION("""COMPUTED_VALUE"""),45786.6458333333)</f>
        <v>45786.6458333333</v>
      </c>
      <c r="H31" s="17">
        <f>IFERROR(__xludf.DUMMYFUNCTION("""COMPUTED_VALUE"""),242.95)</f>
        <v>242.95</v>
      </c>
      <c r="I31" s="16">
        <f>IFERROR(__xludf.DUMMYFUNCTION("""COMPUTED_VALUE"""),45786.6458333333)</f>
        <v>45786.6458333333</v>
      </c>
      <c r="J31" s="17">
        <f>IFERROR(__xludf.DUMMYFUNCTION("""COMPUTED_VALUE"""),236.5)</f>
        <v>236.5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IFERROR(__xludf.DUMMYFUNCTION("""COMPUTED_VALUE"""),257.28)</f>
        <v>257.28</v>
      </c>
      <c r="C32" s="16">
        <f>IFERROR(__xludf.DUMMYFUNCTION("""COMPUTED_VALUE"""),45789.6458333333)</f>
        <v>45789.6458333333</v>
      </c>
      <c r="D32" s="17">
        <f>IFERROR(__xludf.DUMMYFUNCTION("""COMPUTED_VALUE"""),245.09)</f>
        <v>245.09</v>
      </c>
      <c r="E32" s="16">
        <f>IFERROR(__xludf.DUMMYFUNCTION("""COMPUTED_VALUE"""),45789.6458333333)</f>
        <v>45789.6458333333</v>
      </c>
      <c r="F32" s="17">
        <f>IFERROR(__xludf.DUMMYFUNCTION("""COMPUTED_VALUE"""),19791711)</f>
        <v>19791711</v>
      </c>
      <c r="G32" s="16">
        <f>IFERROR(__xludf.DUMMYFUNCTION("""COMPUTED_VALUE"""),45789.6458333333)</f>
        <v>45789.6458333333</v>
      </c>
      <c r="H32" s="17">
        <f>IFERROR(__xludf.DUMMYFUNCTION("""COMPUTED_VALUE"""),257.94)</f>
        <v>257.94</v>
      </c>
      <c r="I32" s="16">
        <f>IFERROR(__xludf.DUMMYFUNCTION("""COMPUTED_VALUE"""),45789.6458333333)</f>
        <v>45789.6458333333</v>
      </c>
      <c r="J32" s="17">
        <f>IFERROR(__xludf.DUMMYFUNCTION("""COMPUTED_VALUE"""),244.88)</f>
        <v>244.88</v>
      </c>
      <c r="K32" s="3">
        <f t="shared" si="2"/>
        <v>257.28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IFERROR(__xludf.DUMMYFUNCTION("""COMPUTED_VALUE"""),251.57)</f>
        <v>251.57</v>
      </c>
      <c r="C33" s="16">
        <f>IFERROR(__xludf.DUMMYFUNCTION("""COMPUTED_VALUE"""),45790.6458333333)</f>
        <v>45790.6458333333</v>
      </c>
      <c r="D33" s="17">
        <f>IFERROR(__xludf.DUMMYFUNCTION("""COMPUTED_VALUE"""),256.95)</f>
        <v>256.95</v>
      </c>
      <c r="E33" s="16">
        <f>IFERROR(__xludf.DUMMYFUNCTION("""COMPUTED_VALUE"""),45790.6458333333)</f>
        <v>45790.6458333333</v>
      </c>
      <c r="F33" s="17">
        <f>IFERROR(__xludf.DUMMYFUNCTION("""COMPUTED_VALUE"""),11714159)</f>
        <v>11714159</v>
      </c>
      <c r="G33" s="16">
        <f>IFERROR(__xludf.DUMMYFUNCTION("""COMPUTED_VALUE"""),45790.6458333333)</f>
        <v>45790.6458333333</v>
      </c>
      <c r="H33" s="17">
        <f>IFERROR(__xludf.DUMMYFUNCTION("""COMPUTED_VALUE"""),256.95)</f>
        <v>256.95</v>
      </c>
      <c r="I33" s="16">
        <f>IFERROR(__xludf.DUMMYFUNCTION("""COMPUTED_VALUE"""),45790.6458333333)</f>
        <v>45790.6458333333</v>
      </c>
      <c r="J33" s="17">
        <f>IFERROR(__xludf.DUMMYFUNCTION("""COMPUTED_VALUE"""),250.62)</f>
        <v>250.62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IFERROR(__xludf.DUMMYFUNCTION("""COMPUTED_VALUE"""),252.94)</f>
        <v>252.94</v>
      </c>
      <c r="C34" s="16">
        <f>IFERROR(__xludf.DUMMYFUNCTION("""COMPUTED_VALUE"""),45791.6458333333)</f>
        <v>45791.6458333333</v>
      </c>
      <c r="D34" s="17">
        <f>IFERROR(__xludf.DUMMYFUNCTION("""COMPUTED_VALUE"""),251.57)</f>
        <v>251.57</v>
      </c>
      <c r="E34" s="16">
        <f>IFERROR(__xludf.DUMMYFUNCTION("""COMPUTED_VALUE"""),45791.6458333333)</f>
        <v>45791.6458333333</v>
      </c>
      <c r="F34" s="17">
        <f>IFERROR(__xludf.DUMMYFUNCTION("""COMPUTED_VALUE"""),8839105)</f>
        <v>8839105</v>
      </c>
      <c r="G34" s="16">
        <f>IFERROR(__xludf.DUMMYFUNCTION("""COMPUTED_VALUE"""),45791.6458333333)</f>
        <v>45791.6458333333</v>
      </c>
      <c r="H34" s="17">
        <f>IFERROR(__xludf.DUMMYFUNCTION("""COMPUTED_VALUE"""),253.69)</f>
        <v>253.69</v>
      </c>
      <c r="I34" s="16">
        <f>IFERROR(__xludf.DUMMYFUNCTION("""COMPUTED_VALUE"""),45791.6458333333)</f>
        <v>45791.6458333333</v>
      </c>
      <c r="J34" s="17">
        <f>IFERROR(__xludf.DUMMYFUNCTION("""COMPUTED_VALUE"""),250.75)</f>
        <v>250.75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IFERROR(__xludf.DUMMYFUNCTION("""COMPUTED_VALUE"""),256.57)</f>
        <v>256.57</v>
      </c>
      <c r="C35" s="16">
        <f>IFERROR(__xludf.DUMMYFUNCTION("""COMPUTED_VALUE"""),45792.6458333333)</f>
        <v>45792.6458333333</v>
      </c>
      <c r="D35" s="17">
        <f>IFERROR(__xludf.DUMMYFUNCTION("""COMPUTED_VALUE"""),253.2)</f>
        <v>253.2</v>
      </c>
      <c r="E35" s="16">
        <f>IFERROR(__xludf.DUMMYFUNCTION("""COMPUTED_VALUE"""),45792.6458333333)</f>
        <v>45792.6458333333</v>
      </c>
      <c r="F35" s="17">
        <f>IFERROR(__xludf.DUMMYFUNCTION("""COMPUTED_VALUE"""),12083645)</f>
        <v>12083645</v>
      </c>
      <c r="G35" s="16">
        <f>IFERROR(__xludf.DUMMYFUNCTION("""COMPUTED_VALUE"""),45792.6458333333)</f>
        <v>45792.6458333333</v>
      </c>
      <c r="H35" s="17">
        <f>IFERROR(__xludf.DUMMYFUNCTION("""COMPUTED_VALUE"""),257.1)</f>
        <v>257.1</v>
      </c>
      <c r="I35" s="16">
        <f>IFERROR(__xludf.DUMMYFUNCTION("""COMPUTED_VALUE"""),45792.6458333333)</f>
        <v>45792.6458333333</v>
      </c>
      <c r="J35" s="17">
        <f>IFERROR(__xludf.DUMMYFUNCTION("""COMPUTED_VALUE"""),250.62)</f>
        <v>250.62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IFERROR(__xludf.DUMMYFUNCTION("""COMPUTED_VALUE"""),254.31)</f>
        <v>254.31</v>
      </c>
      <c r="C36" s="16">
        <f>IFERROR(__xludf.DUMMYFUNCTION("""COMPUTED_VALUE"""),45793.6458333333)</f>
        <v>45793.6458333333</v>
      </c>
      <c r="D36" s="17">
        <f>IFERROR(__xludf.DUMMYFUNCTION("""COMPUTED_VALUE"""),257)</f>
        <v>257</v>
      </c>
      <c r="E36" s="16">
        <f>IFERROR(__xludf.DUMMYFUNCTION("""COMPUTED_VALUE"""),45793.6458333333)</f>
        <v>45793.6458333333</v>
      </c>
      <c r="F36" s="17">
        <f>IFERROR(__xludf.DUMMYFUNCTION("""COMPUTED_VALUE"""),6640387)</f>
        <v>6640387</v>
      </c>
      <c r="G36" s="16">
        <f>IFERROR(__xludf.DUMMYFUNCTION("""COMPUTED_VALUE"""),45793.6458333333)</f>
        <v>45793.6458333333</v>
      </c>
      <c r="H36" s="17">
        <f>IFERROR(__xludf.DUMMYFUNCTION("""COMPUTED_VALUE"""),257)</f>
        <v>257</v>
      </c>
      <c r="I36" s="16">
        <f>IFERROR(__xludf.DUMMYFUNCTION("""COMPUTED_VALUE"""),45793.6458333333)</f>
        <v>45793.6458333333</v>
      </c>
      <c r="J36" s="17">
        <f>IFERROR(__xludf.DUMMYFUNCTION("""COMPUTED_VALUE"""),253.53)</f>
        <v>253.53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IFERROR(__xludf.DUMMYFUNCTION("""COMPUTED_VALUE"""),251.75)</f>
        <v>251.75</v>
      </c>
      <c r="C37" s="16">
        <f>IFERROR(__xludf.DUMMYFUNCTION("""COMPUTED_VALUE"""),45796.6458333333)</f>
        <v>45796.6458333333</v>
      </c>
      <c r="D37" s="17">
        <f>IFERROR(__xludf.DUMMYFUNCTION("""COMPUTED_VALUE"""),254.31)</f>
        <v>254.31</v>
      </c>
      <c r="E37" s="16">
        <f>IFERROR(__xludf.DUMMYFUNCTION("""COMPUTED_VALUE"""),45796.6458333333)</f>
        <v>45796.6458333333</v>
      </c>
      <c r="F37" s="17">
        <f>IFERROR(__xludf.DUMMYFUNCTION("""COMPUTED_VALUE"""),6788784)</f>
        <v>6788784</v>
      </c>
      <c r="G37" s="16">
        <f>IFERROR(__xludf.DUMMYFUNCTION("""COMPUTED_VALUE"""),45796.6458333333)</f>
        <v>45796.6458333333</v>
      </c>
      <c r="H37" s="17">
        <f>IFERROR(__xludf.DUMMYFUNCTION("""COMPUTED_VALUE"""),254.74)</f>
        <v>254.74</v>
      </c>
      <c r="I37" s="16">
        <f>IFERROR(__xludf.DUMMYFUNCTION("""COMPUTED_VALUE"""),45796.6458333333)</f>
        <v>45796.6458333333</v>
      </c>
      <c r="J37" s="17">
        <f>IFERROR(__xludf.DUMMYFUNCTION("""COMPUTED_VALUE"""),251.28)</f>
        <v>251.28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IFERROR(__xludf.DUMMYFUNCTION("""COMPUTED_VALUE"""),249.71)</f>
        <v>249.71</v>
      </c>
      <c r="C38" s="16">
        <f>IFERROR(__xludf.DUMMYFUNCTION("""COMPUTED_VALUE"""),45797.6458333333)</f>
        <v>45797.6458333333</v>
      </c>
      <c r="D38" s="17">
        <f>IFERROR(__xludf.DUMMYFUNCTION("""COMPUTED_VALUE"""),253)</f>
        <v>253</v>
      </c>
      <c r="E38" s="16">
        <f>IFERROR(__xludf.DUMMYFUNCTION("""COMPUTED_VALUE"""),45797.6458333333)</f>
        <v>45797.6458333333</v>
      </c>
      <c r="F38" s="17">
        <f>IFERROR(__xludf.DUMMYFUNCTION("""COMPUTED_VALUE"""),9366429)</f>
        <v>9366429</v>
      </c>
      <c r="G38" s="16">
        <f>IFERROR(__xludf.DUMMYFUNCTION("""COMPUTED_VALUE"""),45797.6458333333)</f>
        <v>45797.6458333333</v>
      </c>
      <c r="H38" s="17">
        <f>IFERROR(__xludf.DUMMYFUNCTION("""COMPUTED_VALUE"""),254.6)</f>
        <v>254.6</v>
      </c>
      <c r="I38" s="16">
        <f>IFERROR(__xludf.DUMMYFUNCTION("""COMPUTED_VALUE"""),45797.6458333333)</f>
        <v>45797.6458333333</v>
      </c>
      <c r="J38" s="17">
        <f>IFERROR(__xludf.DUMMYFUNCTION("""COMPUTED_VALUE"""),249.31)</f>
        <v>249.31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IFERROR(__xludf.DUMMYFUNCTION("""COMPUTED_VALUE"""),250.92)</f>
        <v>250.92</v>
      </c>
      <c r="C39" s="16">
        <f>IFERROR(__xludf.DUMMYFUNCTION("""COMPUTED_VALUE"""),45798.6458333333)</f>
        <v>45798.6458333333</v>
      </c>
      <c r="D39" s="17">
        <f>IFERROR(__xludf.DUMMYFUNCTION("""COMPUTED_VALUE"""),249.71)</f>
        <v>249.71</v>
      </c>
      <c r="E39" s="16">
        <f>IFERROR(__xludf.DUMMYFUNCTION("""COMPUTED_VALUE"""),45798.6458333333)</f>
        <v>45798.6458333333</v>
      </c>
      <c r="F39" s="17">
        <f>IFERROR(__xludf.DUMMYFUNCTION("""COMPUTED_VALUE"""),5313593)</f>
        <v>5313593</v>
      </c>
      <c r="G39" s="16">
        <f>IFERROR(__xludf.DUMMYFUNCTION("""COMPUTED_VALUE"""),45798.6458333333)</f>
        <v>45798.6458333333</v>
      </c>
      <c r="H39" s="17">
        <f>IFERROR(__xludf.DUMMYFUNCTION("""COMPUTED_VALUE"""),252.11)</f>
        <v>252.11</v>
      </c>
      <c r="I39" s="16">
        <f>IFERROR(__xludf.DUMMYFUNCTION("""COMPUTED_VALUE"""),45798.6458333333)</f>
        <v>45798.6458333333</v>
      </c>
      <c r="J39" s="17">
        <f>IFERROR(__xludf.DUMMYFUNCTION("""COMPUTED_VALUE"""),248.1)</f>
        <v>248.1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IFERROR(__xludf.DUMMYFUNCTION("""COMPUTED_VALUE"""),245.94)</f>
        <v>245.94</v>
      </c>
      <c r="C40" s="16">
        <f>IFERROR(__xludf.DUMMYFUNCTION("""COMPUTED_VALUE"""),45799.6458333333)</f>
        <v>45799.6458333333</v>
      </c>
      <c r="D40" s="17">
        <f>IFERROR(__xludf.DUMMYFUNCTION("""COMPUTED_VALUE"""),249)</f>
        <v>249</v>
      </c>
      <c r="E40" s="16">
        <f>IFERROR(__xludf.DUMMYFUNCTION("""COMPUTED_VALUE"""),45799.6458333333)</f>
        <v>45799.6458333333</v>
      </c>
      <c r="F40" s="17">
        <f>IFERROR(__xludf.DUMMYFUNCTION("""COMPUTED_VALUE"""),11469037)</f>
        <v>11469037</v>
      </c>
      <c r="G40" s="16">
        <f>IFERROR(__xludf.DUMMYFUNCTION("""COMPUTED_VALUE"""),45799.6458333333)</f>
        <v>45799.6458333333</v>
      </c>
      <c r="H40" s="17">
        <f>IFERROR(__xludf.DUMMYFUNCTION("""COMPUTED_VALUE"""),249.89)</f>
        <v>249.89</v>
      </c>
      <c r="I40" s="16">
        <f>IFERROR(__xludf.DUMMYFUNCTION("""COMPUTED_VALUE"""),45799.6458333333)</f>
        <v>45799.6458333333</v>
      </c>
      <c r="J40" s="17">
        <f>IFERROR(__xludf.DUMMYFUNCTION("""COMPUTED_VALUE"""),245)</f>
        <v>245</v>
      </c>
      <c r="K40" s="3">
        <f t="shared" si="2"/>
        <v>0</v>
      </c>
      <c r="L40" s="3">
        <f t="shared" si="3"/>
        <v>245.94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IFERROR(__xludf.DUMMYFUNCTION("""COMPUTED_VALUE"""),247.36)</f>
        <v>247.36</v>
      </c>
      <c r="C41" s="16">
        <f>IFERROR(__xludf.DUMMYFUNCTION("""COMPUTED_VALUE"""),45800.6458333333)</f>
        <v>45800.6458333333</v>
      </c>
      <c r="D41" s="17">
        <f>IFERROR(__xludf.DUMMYFUNCTION("""COMPUTED_VALUE"""),246.1)</f>
        <v>246.1</v>
      </c>
      <c r="E41" s="16">
        <f>IFERROR(__xludf.DUMMYFUNCTION("""COMPUTED_VALUE"""),45800.6458333333)</f>
        <v>45800.6458333333</v>
      </c>
      <c r="F41" s="17">
        <f>IFERROR(__xludf.DUMMYFUNCTION("""COMPUTED_VALUE"""),7437642)</f>
        <v>7437642</v>
      </c>
      <c r="G41" s="16">
        <f>IFERROR(__xludf.DUMMYFUNCTION("""COMPUTED_VALUE"""),45800.6458333333)</f>
        <v>45800.6458333333</v>
      </c>
      <c r="H41" s="17">
        <f>IFERROR(__xludf.DUMMYFUNCTION("""COMPUTED_VALUE"""),250.49)</f>
        <v>250.49</v>
      </c>
      <c r="I41" s="16">
        <f>IFERROR(__xludf.DUMMYFUNCTION("""COMPUTED_VALUE"""),45800.6458333333)</f>
        <v>45800.6458333333</v>
      </c>
      <c r="J41" s="17">
        <f>IFERROR(__xludf.DUMMYFUNCTION("""COMPUTED_VALUE"""),245.6)</f>
        <v>245.6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IFERROR(__xludf.DUMMYFUNCTION("""COMPUTED_VALUE"""),250.24)</f>
        <v>250.24</v>
      </c>
      <c r="C42" s="16">
        <f>IFERROR(__xludf.DUMMYFUNCTION("""COMPUTED_VALUE"""),45803.6458333333)</f>
        <v>45803.6458333333</v>
      </c>
      <c r="D42" s="17">
        <f>IFERROR(__xludf.DUMMYFUNCTION("""COMPUTED_VALUE"""),248.49)</f>
        <v>248.49</v>
      </c>
      <c r="E42" s="16">
        <f>IFERROR(__xludf.DUMMYFUNCTION("""COMPUTED_VALUE"""),45803.6458333333)</f>
        <v>45803.6458333333</v>
      </c>
      <c r="F42" s="17">
        <f>IFERROR(__xludf.DUMMYFUNCTION("""COMPUTED_VALUE"""),3690751)</f>
        <v>3690751</v>
      </c>
      <c r="G42" s="16">
        <f>IFERROR(__xludf.DUMMYFUNCTION("""COMPUTED_VALUE"""),45803.6458333333)</f>
        <v>45803.6458333333</v>
      </c>
      <c r="H42" s="17">
        <f>IFERROR(__xludf.DUMMYFUNCTION("""COMPUTED_VALUE"""),250.85)</f>
        <v>250.85</v>
      </c>
      <c r="I42" s="16">
        <f>IFERROR(__xludf.DUMMYFUNCTION("""COMPUTED_VALUE"""),45803.6458333333)</f>
        <v>45803.6458333333</v>
      </c>
      <c r="J42" s="17">
        <f>IFERROR(__xludf.DUMMYFUNCTION("""COMPUTED_VALUE"""),248.2)</f>
        <v>248.2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IFERROR(__xludf.DUMMYFUNCTION("""COMPUTED_VALUE"""),248.25)</f>
        <v>248.25</v>
      </c>
      <c r="C43" s="16">
        <f>IFERROR(__xludf.DUMMYFUNCTION("""COMPUTED_VALUE"""),45804.6458333333)</f>
        <v>45804.6458333333</v>
      </c>
      <c r="D43" s="17">
        <f>IFERROR(__xludf.DUMMYFUNCTION("""COMPUTED_VALUE"""),250.99)</f>
        <v>250.99</v>
      </c>
      <c r="E43" s="16">
        <f>IFERROR(__xludf.DUMMYFUNCTION("""COMPUTED_VALUE"""),45804.6458333333)</f>
        <v>45804.6458333333</v>
      </c>
      <c r="F43" s="17">
        <f>IFERROR(__xludf.DUMMYFUNCTION("""COMPUTED_VALUE"""),6861143)</f>
        <v>6861143</v>
      </c>
      <c r="G43" s="16">
        <f>IFERROR(__xludf.DUMMYFUNCTION("""COMPUTED_VALUE"""),45804.6458333333)</f>
        <v>45804.6458333333</v>
      </c>
      <c r="H43" s="17">
        <f>IFERROR(__xludf.DUMMYFUNCTION("""COMPUTED_VALUE"""),250.99)</f>
        <v>250.99</v>
      </c>
      <c r="I43" s="16">
        <f>IFERROR(__xludf.DUMMYFUNCTION("""COMPUTED_VALUE"""),45804.6458333333)</f>
        <v>45804.6458333333</v>
      </c>
      <c r="J43" s="17">
        <f>IFERROR(__xludf.DUMMYFUNCTION("""COMPUTED_VALUE"""),247.99)</f>
        <v>247.99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IFERROR(__xludf.DUMMYFUNCTION("""COMPUTED_VALUE"""),247.43)</f>
        <v>247.43</v>
      </c>
      <c r="C44" s="16">
        <f>IFERROR(__xludf.DUMMYFUNCTION("""COMPUTED_VALUE"""),45805.6458333333)</f>
        <v>45805.6458333333</v>
      </c>
      <c r="D44" s="17">
        <f>IFERROR(__xludf.DUMMYFUNCTION("""COMPUTED_VALUE"""),249.59)</f>
        <v>249.59</v>
      </c>
      <c r="E44" s="16">
        <f>IFERROR(__xludf.DUMMYFUNCTION("""COMPUTED_VALUE"""),45805.6458333333)</f>
        <v>45805.6458333333</v>
      </c>
      <c r="F44" s="17">
        <f>IFERROR(__xludf.DUMMYFUNCTION("""COMPUTED_VALUE"""),6205160)</f>
        <v>6205160</v>
      </c>
      <c r="G44" s="16">
        <f>IFERROR(__xludf.DUMMYFUNCTION("""COMPUTED_VALUE"""),45805.6458333333)</f>
        <v>45805.6458333333</v>
      </c>
      <c r="H44" s="17">
        <f>IFERROR(__xludf.DUMMYFUNCTION("""COMPUTED_VALUE"""),250.14)</f>
        <v>250.14</v>
      </c>
      <c r="I44" s="16">
        <f>IFERROR(__xludf.DUMMYFUNCTION("""COMPUTED_VALUE"""),45805.6458333333)</f>
        <v>45805.6458333333</v>
      </c>
      <c r="J44" s="17">
        <f>IFERROR(__xludf.DUMMYFUNCTION("""COMPUTED_VALUE"""),246.96)</f>
        <v>246.96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IFERROR(__xludf.DUMMYFUNCTION("""COMPUTED_VALUE"""),250.14)</f>
        <v>250.14</v>
      </c>
      <c r="C45" s="16">
        <f>IFERROR(__xludf.DUMMYFUNCTION("""COMPUTED_VALUE"""),45806.6458333333)</f>
        <v>45806.6458333333</v>
      </c>
      <c r="D45" s="17">
        <f>IFERROR(__xludf.DUMMYFUNCTION("""COMPUTED_VALUE"""),249.65)</f>
        <v>249.65</v>
      </c>
      <c r="E45" s="16">
        <f>IFERROR(__xludf.DUMMYFUNCTION("""COMPUTED_VALUE"""),45806.6458333333)</f>
        <v>45806.6458333333</v>
      </c>
      <c r="F45" s="17">
        <f>IFERROR(__xludf.DUMMYFUNCTION("""COMPUTED_VALUE"""),11785042)</f>
        <v>11785042</v>
      </c>
      <c r="G45" s="16">
        <f>IFERROR(__xludf.DUMMYFUNCTION("""COMPUTED_VALUE"""),45806.6458333333)</f>
        <v>45806.6458333333</v>
      </c>
      <c r="H45" s="17">
        <f>IFERROR(__xludf.DUMMYFUNCTION("""COMPUTED_VALUE"""),251.74)</f>
        <v>251.74</v>
      </c>
      <c r="I45" s="16">
        <f>IFERROR(__xludf.DUMMYFUNCTION("""COMPUTED_VALUE"""),45806.6458333333)</f>
        <v>45806.6458333333</v>
      </c>
      <c r="J45" s="17">
        <f>IFERROR(__xludf.DUMMYFUNCTION("""COMPUTED_VALUE"""),248.1)</f>
        <v>248.1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IFERROR(__xludf.DUMMYFUNCTION("""COMPUTED_VALUE"""),249.67)</f>
        <v>249.67</v>
      </c>
      <c r="C46" s="16">
        <f>IFERROR(__xludf.DUMMYFUNCTION("""COMPUTED_VALUE"""),45807.6458333333)</f>
        <v>45807.6458333333</v>
      </c>
      <c r="D46" s="17">
        <f>IFERROR(__xludf.DUMMYFUNCTION("""COMPUTED_VALUE"""),250)</f>
        <v>250</v>
      </c>
      <c r="E46" s="16">
        <f>IFERROR(__xludf.DUMMYFUNCTION("""COMPUTED_VALUE"""),45807.6458333333)</f>
        <v>45807.6458333333</v>
      </c>
      <c r="F46" s="17">
        <f>IFERROR(__xludf.DUMMYFUNCTION("""COMPUTED_VALUE"""),13858429)</f>
        <v>13858429</v>
      </c>
      <c r="G46" s="16">
        <f>IFERROR(__xludf.DUMMYFUNCTION("""COMPUTED_VALUE"""),45807.6458333333)</f>
        <v>45807.6458333333</v>
      </c>
      <c r="H46" s="17">
        <f>IFERROR(__xludf.DUMMYFUNCTION("""COMPUTED_VALUE"""),251.11)</f>
        <v>251.11</v>
      </c>
      <c r="I46" s="16">
        <f>IFERROR(__xludf.DUMMYFUNCTION("""COMPUTED_VALUE"""),45807.6458333333)</f>
        <v>45807.6458333333</v>
      </c>
      <c r="J46" s="17">
        <f>IFERROR(__xludf.DUMMYFUNCTION("""COMPUTED_VALUE"""),248.52)</f>
        <v>248.52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IFERROR(__xludf.DUMMYFUNCTION("""COMPUTED_VALUE"""),247.68)</f>
        <v>247.68</v>
      </c>
      <c r="C47" s="16">
        <f>IFERROR(__xludf.DUMMYFUNCTION("""COMPUTED_VALUE"""),45810.6458333333)</f>
        <v>45810.6458333333</v>
      </c>
      <c r="D47" s="17">
        <f>IFERROR(__xludf.DUMMYFUNCTION("""COMPUTED_VALUE"""),247.6)</f>
        <v>247.6</v>
      </c>
      <c r="E47" s="16">
        <f>IFERROR(__xludf.DUMMYFUNCTION("""COMPUTED_VALUE"""),45810.6458333333)</f>
        <v>45810.6458333333</v>
      </c>
      <c r="F47" s="17">
        <f>IFERROR(__xludf.DUMMYFUNCTION("""COMPUTED_VALUE"""),5846259)</f>
        <v>5846259</v>
      </c>
      <c r="G47" s="16">
        <f>IFERROR(__xludf.DUMMYFUNCTION("""COMPUTED_VALUE"""),45810.6458333333)</f>
        <v>45810.6458333333</v>
      </c>
      <c r="H47" s="17">
        <f>IFERROR(__xludf.DUMMYFUNCTION("""COMPUTED_VALUE"""),248.42)</f>
        <v>248.42</v>
      </c>
      <c r="I47" s="16">
        <f>IFERROR(__xludf.DUMMYFUNCTION("""COMPUTED_VALUE"""),45810.6458333333)</f>
        <v>45810.6458333333</v>
      </c>
      <c r="J47" s="17">
        <f>IFERROR(__xludf.DUMMYFUNCTION("""COMPUTED_VALUE"""),246.2)</f>
        <v>246.2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IFERROR(__xludf.DUMMYFUNCTION("""COMPUTED_VALUE"""),246.22)</f>
        <v>246.22</v>
      </c>
      <c r="C48" s="16">
        <f>IFERROR(__xludf.DUMMYFUNCTION("""COMPUTED_VALUE"""),45811.6458333333)</f>
        <v>45811.6458333333</v>
      </c>
      <c r="D48" s="17">
        <f>IFERROR(__xludf.DUMMYFUNCTION("""COMPUTED_VALUE"""),248)</f>
        <v>248</v>
      </c>
      <c r="E48" s="16">
        <f>IFERROR(__xludf.DUMMYFUNCTION("""COMPUTED_VALUE"""),45811.6458333333)</f>
        <v>45811.6458333333</v>
      </c>
      <c r="F48" s="17">
        <f>IFERROR(__xludf.DUMMYFUNCTION("""COMPUTED_VALUE"""),8573438)</f>
        <v>8573438</v>
      </c>
      <c r="G48" s="16">
        <f>IFERROR(__xludf.DUMMYFUNCTION("""COMPUTED_VALUE"""),45811.6458333333)</f>
        <v>45811.6458333333</v>
      </c>
      <c r="H48" s="17">
        <f>IFERROR(__xludf.DUMMYFUNCTION("""COMPUTED_VALUE"""),249.5)</f>
        <v>249.5</v>
      </c>
      <c r="I48" s="16">
        <f>IFERROR(__xludf.DUMMYFUNCTION("""COMPUTED_VALUE"""),45811.6458333333)</f>
        <v>45811.6458333333</v>
      </c>
      <c r="J48" s="17">
        <f>IFERROR(__xludf.DUMMYFUNCTION("""COMPUTED_VALUE"""),245.73)</f>
        <v>245.73</v>
      </c>
      <c r="K48" s="3">
        <f t="shared" si="2"/>
        <v>0</v>
      </c>
      <c r="L48" s="3">
        <f t="shared" si="3"/>
        <v>246.22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IFERROR(__xludf.DUMMYFUNCTION("""COMPUTED_VALUE"""),246.86)</f>
        <v>246.86</v>
      </c>
      <c r="C49" s="16">
        <f>IFERROR(__xludf.DUMMYFUNCTION("""COMPUTED_VALUE"""),45812.6458333333)</f>
        <v>45812.6458333333</v>
      </c>
      <c r="D49" s="17">
        <f>IFERROR(__xludf.DUMMYFUNCTION("""COMPUTED_VALUE"""),246.51)</f>
        <v>246.51</v>
      </c>
      <c r="E49" s="16">
        <f>IFERROR(__xludf.DUMMYFUNCTION("""COMPUTED_VALUE"""),45812.6458333333)</f>
        <v>45812.6458333333</v>
      </c>
      <c r="F49" s="17">
        <f>IFERROR(__xludf.DUMMYFUNCTION("""COMPUTED_VALUE"""),6698150)</f>
        <v>6698150</v>
      </c>
      <c r="G49" s="16">
        <f>IFERROR(__xludf.DUMMYFUNCTION("""COMPUTED_VALUE"""),45812.6458333333)</f>
        <v>45812.6458333333</v>
      </c>
      <c r="H49" s="17">
        <f>IFERROR(__xludf.DUMMYFUNCTION("""COMPUTED_VALUE"""),249.81)</f>
        <v>249.81</v>
      </c>
      <c r="I49" s="16">
        <f>IFERROR(__xludf.DUMMYFUNCTION("""COMPUTED_VALUE"""),45812.6458333333)</f>
        <v>45812.6458333333</v>
      </c>
      <c r="J49" s="17">
        <f>IFERROR(__xludf.DUMMYFUNCTION("""COMPUTED_VALUE"""),246.51)</f>
        <v>246.51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IFERROR(__xludf.DUMMYFUNCTION("""COMPUTED_VALUE"""),247.94)</f>
        <v>247.94</v>
      </c>
      <c r="C50" s="16">
        <f>IFERROR(__xludf.DUMMYFUNCTION("""COMPUTED_VALUE"""),45813.6458333333)</f>
        <v>45813.6458333333</v>
      </c>
      <c r="D50" s="17">
        <f>IFERROR(__xludf.DUMMYFUNCTION("""COMPUTED_VALUE"""),246.9)</f>
        <v>246.9</v>
      </c>
      <c r="E50" s="16">
        <f>IFERROR(__xludf.DUMMYFUNCTION("""COMPUTED_VALUE"""),45813.6458333333)</f>
        <v>45813.6458333333</v>
      </c>
      <c r="F50" s="17">
        <f>IFERROR(__xludf.DUMMYFUNCTION("""COMPUTED_VALUE"""),6468060)</f>
        <v>6468060</v>
      </c>
      <c r="G50" s="16">
        <f>IFERROR(__xludf.DUMMYFUNCTION("""COMPUTED_VALUE"""),45813.6458333333)</f>
        <v>45813.6458333333</v>
      </c>
      <c r="H50" s="17">
        <f>IFERROR(__xludf.DUMMYFUNCTION("""COMPUTED_VALUE"""),249.49)</f>
        <v>249.49</v>
      </c>
      <c r="I50" s="16">
        <f>IFERROR(__xludf.DUMMYFUNCTION("""COMPUTED_VALUE"""),45813.6458333333)</f>
        <v>45813.6458333333</v>
      </c>
      <c r="J50" s="17">
        <f>IFERROR(__xludf.DUMMYFUNCTION("""COMPUTED_VALUE"""),246.88)</f>
        <v>246.88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IFERROR(__xludf.DUMMYFUNCTION("""COMPUTED_VALUE"""),248.59)</f>
        <v>248.59</v>
      </c>
      <c r="C51" s="16">
        <f>IFERROR(__xludf.DUMMYFUNCTION("""COMPUTED_VALUE"""),45814.6458333333)</f>
        <v>45814.6458333333</v>
      </c>
      <c r="D51" s="17">
        <f>IFERROR(__xludf.DUMMYFUNCTION("""COMPUTED_VALUE"""),247.1)</f>
        <v>247.1</v>
      </c>
      <c r="E51" s="16">
        <f>IFERROR(__xludf.DUMMYFUNCTION("""COMPUTED_VALUE"""),45814.6458333333)</f>
        <v>45814.6458333333</v>
      </c>
      <c r="F51" s="17">
        <f>IFERROR(__xludf.DUMMYFUNCTION("""COMPUTED_VALUE"""),4445411)</f>
        <v>4445411</v>
      </c>
      <c r="G51" s="16">
        <f>IFERROR(__xludf.DUMMYFUNCTION("""COMPUTED_VALUE"""),45814.6458333333)</f>
        <v>45814.6458333333</v>
      </c>
      <c r="H51" s="17">
        <f>IFERROR(__xludf.DUMMYFUNCTION("""COMPUTED_VALUE"""),249.98)</f>
        <v>249.98</v>
      </c>
      <c r="I51" s="16">
        <f>IFERROR(__xludf.DUMMYFUNCTION("""COMPUTED_VALUE"""),45814.6458333333)</f>
        <v>45814.6458333333</v>
      </c>
      <c r="J51" s="17">
        <f>IFERROR(__xludf.DUMMYFUNCTION("""COMPUTED_VALUE"""),247.1)</f>
        <v>247.1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IFERROR(__xludf.DUMMYFUNCTION("""COMPUTED_VALUE"""),251.29)</f>
        <v>251.29</v>
      </c>
      <c r="C52" s="16">
        <f>IFERROR(__xludf.DUMMYFUNCTION("""COMPUTED_VALUE"""),45817.6458333333)</f>
        <v>45817.6458333333</v>
      </c>
      <c r="D52" s="17">
        <f>IFERROR(__xludf.DUMMYFUNCTION("""COMPUTED_VALUE"""),249.6)</f>
        <v>249.6</v>
      </c>
      <c r="E52" s="16">
        <f>IFERROR(__xludf.DUMMYFUNCTION("""COMPUTED_VALUE"""),45817.6458333333)</f>
        <v>45817.6458333333</v>
      </c>
      <c r="F52" s="17">
        <f>IFERROR(__xludf.DUMMYFUNCTION("""COMPUTED_VALUE"""),9193904)</f>
        <v>9193904</v>
      </c>
      <c r="G52" s="16">
        <f>IFERROR(__xludf.DUMMYFUNCTION("""COMPUTED_VALUE"""),45817.6458333333)</f>
        <v>45817.6458333333</v>
      </c>
      <c r="H52" s="17">
        <f>IFERROR(__xludf.DUMMYFUNCTION("""COMPUTED_VALUE"""),253.4)</f>
        <v>253.4</v>
      </c>
      <c r="I52" s="16">
        <f>IFERROR(__xludf.DUMMYFUNCTION("""COMPUTED_VALUE"""),45817.6458333333)</f>
        <v>45817.6458333333</v>
      </c>
      <c r="J52" s="17">
        <f>IFERROR(__xludf.DUMMYFUNCTION("""COMPUTED_VALUE"""),249.22)</f>
        <v>249.22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IFERROR(__xludf.DUMMYFUNCTION("""COMPUTED_VALUE"""),254.87)</f>
        <v>254.87</v>
      </c>
      <c r="C53" s="16">
        <f>IFERROR(__xludf.DUMMYFUNCTION("""COMPUTED_VALUE"""),45818.6458333333)</f>
        <v>45818.6458333333</v>
      </c>
      <c r="D53" s="17">
        <f>IFERROR(__xludf.DUMMYFUNCTION("""COMPUTED_VALUE"""),252.9)</f>
        <v>252.9</v>
      </c>
      <c r="E53" s="16">
        <f>IFERROR(__xludf.DUMMYFUNCTION("""COMPUTED_VALUE"""),45818.6458333333)</f>
        <v>45818.6458333333</v>
      </c>
      <c r="F53" s="17">
        <f>IFERROR(__xludf.DUMMYFUNCTION("""COMPUTED_VALUE"""),10739851)</f>
        <v>10739851</v>
      </c>
      <c r="G53" s="16">
        <f>IFERROR(__xludf.DUMMYFUNCTION("""COMPUTED_VALUE"""),45818.6458333333)</f>
        <v>45818.6458333333</v>
      </c>
      <c r="H53" s="17">
        <f>IFERROR(__xludf.DUMMYFUNCTION("""COMPUTED_VALUE"""),255.8)</f>
        <v>255.8</v>
      </c>
      <c r="I53" s="16">
        <f>IFERROR(__xludf.DUMMYFUNCTION("""COMPUTED_VALUE"""),45818.6458333333)</f>
        <v>45818.6458333333</v>
      </c>
      <c r="J53" s="17">
        <f>IFERROR(__xludf.DUMMYFUNCTION("""COMPUTED_VALUE"""),251.83)</f>
        <v>251.83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IFERROR(__xludf.DUMMYFUNCTION("""COMPUTED_VALUE"""),258.92)</f>
        <v>258.92</v>
      </c>
      <c r="C54" s="16">
        <f>IFERROR(__xludf.DUMMYFUNCTION("""COMPUTED_VALUE"""),45819.6458333333)</f>
        <v>45819.6458333333</v>
      </c>
      <c r="D54" s="17">
        <f>IFERROR(__xludf.DUMMYFUNCTION("""COMPUTED_VALUE"""),256.02)</f>
        <v>256.02</v>
      </c>
      <c r="E54" s="16">
        <f>IFERROR(__xludf.DUMMYFUNCTION("""COMPUTED_VALUE"""),45819.6458333333)</f>
        <v>45819.6458333333</v>
      </c>
      <c r="F54" s="17">
        <f>IFERROR(__xludf.DUMMYFUNCTION("""COMPUTED_VALUE"""),17268454)</f>
        <v>17268454</v>
      </c>
      <c r="G54" s="16">
        <f>IFERROR(__xludf.DUMMYFUNCTION("""COMPUTED_VALUE"""),45819.6458333333)</f>
        <v>45819.6458333333</v>
      </c>
      <c r="H54" s="17">
        <f>IFERROR(__xludf.DUMMYFUNCTION("""COMPUTED_VALUE"""),261.6)</f>
        <v>261.6</v>
      </c>
      <c r="I54" s="16">
        <f>IFERROR(__xludf.DUMMYFUNCTION("""COMPUTED_VALUE"""),45819.6458333333)</f>
        <v>45819.6458333333</v>
      </c>
      <c r="J54" s="17">
        <f>IFERROR(__xludf.DUMMYFUNCTION("""COMPUTED_VALUE"""),254.1)</f>
        <v>254.1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IFERROR(__xludf.DUMMYFUNCTION("""COMPUTED_VALUE"""),259.61)</f>
        <v>259.61</v>
      </c>
      <c r="C55" s="16">
        <f>IFERROR(__xludf.DUMMYFUNCTION("""COMPUTED_VALUE"""),45820.6458333333)</f>
        <v>45820.6458333333</v>
      </c>
      <c r="D55" s="17">
        <f>IFERROR(__xludf.DUMMYFUNCTION("""COMPUTED_VALUE"""),260)</f>
        <v>260</v>
      </c>
      <c r="E55" s="16">
        <f>IFERROR(__xludf.DUMMYFUNCTION("""COMPUTED_VALUE"""),45820.6458333333)</f>
        <v>45820.6458333333</v>
      </c>
      <c r="F55" s="17">
        <f>IFERROR(__xludf.DUMMYFUNCTION("""COMPUTED_VALUE"""),14528657)</f>
        <v>14528657</v>
      </c>
      <c r="G55" s="16">
        <f>IFERROR(__xludf.DUMMYFUNCTION("""COMPUTED_VALUE"""),45820.6458333333)</f>
        <v>45820.6458333333</v>
      </c>
      <c r="H55" s="17">
        <f>IFERROR(__xludf.DUMMYFUNCTION("""COMPUTED_VALUE"""),263)</f>
        <v>263</v>
      </c>
      <c r="I55" s="16">
        <f>IFERROR(__xludf.DUMMYFUNCTION("""COMPUTED_VALUE"""),45820.6458333333)</f>
        <v>45820.6458333333</v>
      </c>
      <c r="J55" s="17">
        <f>IFERROR(__xludf.DUMMYFUNCTION("""COMPUTED_VALUE"""),256.32)</f>
        <v>256.32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IFERROR(__xludf.DUMMYFUNCTION("""COMPUTED_VALUE"""),260.21)</f>
        <v>260.21</v>
      </c>
      <c r="C56" s="16">
        <f>IFERROR(__xludf.DUMMYFUNCTION("""COMPUTED_VALUE"""),45821.6458333333)</f>
        <v>45821.6458333333</v>
      </c>
      <c r="D56" s="17">
        <f>IFERROR(__xludf.DUMMYFUNCTION("""COMPUTED_VALUE"""),255)</f>
        <v>255</v>
      </c>
      <c r="E56" s="16">
        <f>IFERROR(__xludf.DUMMYFUNCTION("""COMPUTED_VALUE"""),45821.6458333333)</f>
        <v>45821.6458333333</v>
      </c>
      <c r="F56" s="17">
        <f>IFERROR(__xludf.DUMMYFUNCTION("""COMPUTED_VALUE"""),8692116)</f>
        <v>8692116</v>
      </c>
      <c r="G56" s="16">
        <f>IFERROR(__xludf.DUMMYFUNCTION("""COMPUTED_VALUE"""),45821.6458333333)</f>
        <v>45821.6458333333</v>
      </c>
      <c r="H56" s="17">
        <f>IFERROR(__xludf.DUMMYFUNCTION("""COMPUTED_VALUE"""),262.25)</f>
        <v>262.25</v>
      </c>
      <c r="I56" s="16">
        <f>IFERROR(__xludf.DUMMYFUNCTION("""COMPUTED_VALUE"""),45821.6458333333)</f>
        <v>45821.6458333333</v>
      </c>
      <c r="J56" s="17">
        <f>IFERROR(__xludf.DUMMYFUNCTION("""COMPUTED_VALUE"""),254)</f>
        <v>254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IFERROR(__xludf.DUMMYFUNCTION("""COMPUTED_VALUE"""),262.89)</f>
        <v>262.89</v>
      </c>
      <c r="C57" s="16">
        <f>IFERROR(__xludf.DUMMYFUNCTION("""COMPUTED_VALUE"""),45824.6458333333)</f>
        <v>45824.6458333333</v>
      </c>
      <c r="D57" s="17">
        <f>IFERROR(__xludf.DUMMYFUNCTION("""COMPUTED_VALUE"""),260)</f>
        <v>260</v>
      </c>
      <c r="E57" s="16">
        <f>IFERROR(__xludf.DUMMYFUNCTION("""COMPUTED_VALUE"""),45824.6458333333)</f>
        <v>45824.6458333333</v>
      </c>
      <c r="F57" s="17">
        <f>IFERROR(__xludf.DUMMYFUNCTION("""COMPUTED_VALUE"""),10935361)</f>
        <v>10935361</v>
      </c>
      <c r="G57" s="16">
        <f>IFERROR(__xludf.DUMMYFUNCTION("""COMPUTED_VALUE"""),45824.6458333333)</f>
        <v>45824.6458333333</v>
      </c>
      <c r="H57" s="17">
        <f>IFERROR(__xludf.DUMMYFUNCTION("""COMPUTED_VALUE"""),265.31)</f>
        <v>265.31</v>
      </c>
      <c r="I57" s="16">
        <f>IFERROR(__xludf.DUMMYFUNCTION("""COMPUTED_VALUE"""),45824.6458333333)</f>
        <v>45824.6458333333</v>
      </c>
      <c r="J57" s="17">
        <f>IFERROR(__xludf.DUMMYFUNCTION("""COMPUTED_VALUE"""),258)</f>
        <v>258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IFERROR(__xludf.DUMMYFUNCTION("""COMPUTED_VALUE"""),262.91)</f>
        <v>262.91</v>
      </c>
      <c r="C58" s="16">
        <f>IFERROR(__xludf.DUMMYFUNCTION("""COMPUTED_VALUE"""),45825.6458333333)</f>
        <v>45825.6458333333</v>
      </c>
      <c r="D58" s="17">
        <f>IFERROR(__xludf.DUMMYFUNCTION("""COMPUTED_VALUE"""),262.89)</f>
        <v>262.89</v>
      </c>
      <c r="E58" s="16">
        <f>IFERROR(__xludf.DUMMYFUNCTION("""COMPUTED_VALUE"""),45825.6458333333)</f>
        <v>45825.6458333333</v>
      </c>
      <c r="F58" s="17">
        <f>IFERROR(__xludf.DUMMYFUNCTION("""COMPUTED_VALUE"""),7528454)</f>
        <v>7528454</v>
      </c>
      <c r="G58" s="16">
        <f>IFERROR(__xludf.DUMMYFUNCTION("""COMPUTED_VALUE"""),45825.6458333333)</f>
        <v>45825.6458333333</v>
      </c>
      <c r="H58" s="17">
        <f>IFERROR(__xludf.DUMMYFUNCTION("""COMPUTED_VALUE"""),265.45)</f>
        <v>265.45</v>
      </c>
      <c r="I58" s="16">
        <f>IFERROR(__xludf.DUMMYFUNCTION("""COMPUTED_VALUE"""),45825.6458333333)</f>
        <v>45825.6458333333</v>
      </c>
      <c r="J58" s="17">
        <f>IFERROR(__xludf.DUMMYFUNCTION("""COMPUTED_VALUE"""),261.66)</f>
        <v>261.66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IFERROR(__xludf.DUMMYFUNCTION("""COMPUTED_VALUE"""),261.59)</f>
        <v>261.59</v>
      </c>
      <c r="C59" s="16">
        <f>IFERROR(__xludf.DUMMYFUNCTION("""COMPUTED_VALUE"""),45826.6458333333)</f>
        <v>45826.6458333333</v>
      </c>
      <c r="D59" s="17">
        <f>IFERROR(__xludf.DUMMYFUNCTION("""COMPUTED_VALUE"""),262.9)</f>
        <v>262.9</v>
      </c>
      <c r="E59" s="16">
        <f>IFERROR(__xludf.DUMMYFUNCTION("""COMPUTED_VALUE"""),45826.6458333333)</f>
        <v>45826.6458333333</v>
      </c>
      <c r="F59" s="17">
        <f>IFERROR(__xludf.DUMMYFUNCTION("""COMPUTED_VALUE"""),5016660)</f>
        <v>5016660</v>
      </c>
      <c r="G59" s="16">
        <f>IFERROR(__xludf.DUMMYFUNCTION("""COMPUTED_VALUE"""),45826.6458333333)</f>
        <v>45826.6458333333</v>
      </c>
      <c r="H59" s="17">
        <f>IFERROR(__xludf.DUMMYFUNCTION("""COMPUTED_VALUE"""),265.6)</f>
        <v>265.6</v>
      </c>
      <c r="I59" s="16">
        <f>IFERROR(__xludf.DUMMYFUNCTION("""COMPUTED_VALUE"""),45826.6458333333)</f>
        <v>45826.6458333333</v>
      </c>
      <c r="J59" s="17">
        <f>IFERROR(__xludf.DUMMYFUNCTION("""COMPUTED_VALUE"""),261.03)</f>
        <v>261.03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IFERROR(__xludf.DUMMYFUNCTION("""COMPUTED_VALUE"""),265.58)</f>
        <v>265.58</v>
      </c>
      <c r="C60" s="16">
        <f>IFERROR(__xludf.DUMMYFUNCTION("""COMPUTED_VALUE"""),45827.6458333333)</f>
        <v>45827.6458333333</v>
      </c>
      <c r="D60" s="17">
        <f>IFERROR(__xludf.DUMMYFUNCTION("""COMPUTED_VALUE"""),262.85)</f>
        <v>262.85</v>
      </c>
      <c r="E60" s="16">
        <f>IFERROR(__xludf.DUMMYFUNCTION("""COMPUTED_VALUE"""),45827.6458333333)</f>
        <v>45827.6458333333</v>
      </c>
      <c r="F60" s="17">
        <f>IFERROR(__xludf.DUMMYFUNCTION("""COMPUTED_VALUE"""),14184486)</f>
        <v>14184486</v>
      </c>
      <c r="G60" s="16">
        <f>IFERROR(__xludf.DUMMYFUNCTION("""COMPUTED_VALUE"""),45827.6458333333)</f>
        <v>45827.6458333333</v>
      </c>
      <c r="H60" s="17">
        <f>IFERROR(__xludf.DUMMYFUNCTION("""COMPUTED_VALUE"""),266.44)</f>
        <v>266.44</v>
      </c>
      <c r="I60" s="16">
        <f>IFERROR(__xludf.DUMMYFUNCTION("""COMPUTED_VALUE"""),45827.6458333333)</f>
        <v>45827.6458333333</v>
      </c>
      <c r="J60" s="17">
        <f>IFERROR(__xludf.DUMMYFUNCTION("""COMPUTED_VALUE"""),261.81)</f>
        <v>261.81</v>
      </c>
      <c r="K60" s="3">
        <f t="shared" si="2"/>
        <v>0</v>
      </c>
      <c r="L60" s="3">
        <f t="shared" si="3"/>
        <v>0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IFERROR(__xludf.DUMMYFUNCTION("""COMPUTED_VALUE"""),266.54)</f>
        <v>266.54</v>
      </c>
      <c r="C61" s="16">
        <f>IFERROR(__xludf.DUMMYFUNCTION("""COMPUTED_VALUE"""),45828.6458333333)</f>
        <v>45828.6458333333</v>
      </c>
      <c r="D61" s="17">
        <f>IFERROR(__xludf.DUMMYFUNCTION("""COMPUTED_VALUE"""),266)</f>
        <v>266</v>
      </c>
      <c r="E61" s="16">
        <f>IFERROR(__xludf.DUMMYFUNCTION("""COMPUTED_VALUE"""),45828.6458333333)</f>
        <v>45828.6458333333</v>
      </c>
      <c r="F61" s="17">
        <f>IFERROR(__xludf.DUMMYFUNCTION("""COMPUTED_VALUE"""),12904674)</f>
        <v>12904674</v>
      </c>
      <c r="G61" s="16">
        <f>IFERROR(__xludf.DUMMYFUNCTION("""COMPUTED_VALUE"""),45828.6458333333)</f>
        <v>45828.6458333333</v>
      </c>
      <c r="H61" s="17">
        <f>IFERROR(__xludf.DUMMYFUNCTION("""COMPUTED_VALUE"""),267.2)</f>
        <v>267.2</v>
      </c>
      <c r="I61" s="16">
        <f>IFERROR(__xludf.DUMMYFUNCTION("""COMPUTED_VALUE"""),45828.6458333333)</f>
        <v>45828.6458333333</v>
      </c>
      <c r="J61" s="17">
        <f>IFERROR(__xludf.DUMMYFUNCTION("""COMPUTED_VALUE"""),262.87)</f>
        <v>262.87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IFERROR(__xludf.DUMMYFUNCTION("""COMPUTED_VALUE"""),263.24)</f>
        <v>263.24</v>
      </c>
      <c r="C62" s="16">
        <f>IFERROR(__xludf.DUMMYFUNCTION("""COMPUTED_VALUE"""),45831.6458333333)</f>
        <v>45831.6458333333</v>
      </c>
      <c r="D62" s="17">
        <f>IFERROR(__xludf.DUMMYFUNCTION("""COMPUTED_VALUE"""),264)</f>
        <v>264</v>
      </c>
      <c r="E62" s="16">
        <f>IFERROR(__xludf.DUMMYFUNCTION("""COMPUTED_VALUE"""),45831.6458333333)</f>
        <v>45831.6458333333</v>
      </c>
      <c r="F62" s="17">
        <f>IFERROR(__xludf.DUMMYFUNCTION("""COMPUTED_VALUE"""),6214062)</f>
        <v>6214062</v>
      </c>
      <c r="G62" s="16">
        <f>IFERROR(__xludf.DUMMYFUNCTION("""COMPUTED_VALUE"""),45831.6458333333)</f>
        <v>45831.6458333333</v>
      </c>
      <c r="H62" s="17">
        <f>IFERROR(__xludf.DUMMYFUNCTION("""COMPUTED_VALUE"""),265.2)</f>
        <v>265.2</v>
      </c>
      <c r="I62" s="16">
        <f>IFERROR(__xludf.DUMMYFUNCTION("""COMPUTED_VALUE"""),45831.6458333333)</f>
        <v>45831.6458333333</v>
      </c>
      <c r="J62" s="17">
        <f>IFERROR(__xludf.DUMMYFUNCTION("""COMPUTED_VALUE"""),261.81)</f>
        <v>261.81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IFERROR(__xludf.DUMMYFUNCTION("""COMPUTED_VALUE"""),264.97)</f>
        <v>264.97</v>
      </c>
      <c r="C63" s="16">
        <f>IFERROR(__xludf.DUMMYFUNCTION("""COMPUTED_VALUE"""),45832.6458333333)</f>
        <v>45832.6458333333</v>
      </c>
      <c r="D63" s="17">
        <f>IFERROR(__xludf.DUMMYFUNCTION("""COMPUTED_VALUE"""),265.5)</f>
        <v>265.5</v>
      </c>
      <c r="E63" s="16">
        <f>IFERROR(__xludf.DUMMYFUNCTION("""COMPUTED_VALUE"""),45832.6458333333)</f>
        <v>45832.6458333333</v>
      </c>
      <c r="F63" s="17">
        <f>IFERROR(__xludf.DUMMYFUNCTION("""COMPUTED_VALUE"""),6319428)</f>
        <v>6319428</v>
      </c>
      <c r="G63" s="16">
        <f>IFERROR(__xludf.DUMMYFUNCTION("""COMPUTED_VALUE"""),45832.6458333333)</f>
        <v>45832.6458333333</v>
      </c>
      <c r="H63" s="17">
        <f>IFERROR(__xludf.DUMMYFUNCTION("""COMPUTED_VALUE"""),268.65)</f>
        <v>268.65</v>
      </c>
      <c r="I63" s="16">
        <f>IFERROR(__xludf.DUMMYFUNCTION("""COMPUTED_VALUE"""),45832.6458333333)</f>
        <v>45832.6458333333</v>
      </c>
      <c r="J63" s="17">
        <f>IFERROR(__xludf.DUMMYFUNCTION("""COMPUTED_VALUE"""),264.71)</f>
        <v>264.71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IFERROR(__xludf.DUMMYFUNCTION("""COMPUTED_VALUE"""),269.41)</f>
        <v>269.41</v>
      </c>
      <c r="C64" s="16">
        <f>IFERROR(__xludf.DUMMYFUNCTION("""COMPUTED_VALUE"""),45833.6458333333)</f>
        <v>45833.6458333333</v>
      </c>
      <c r="D64" s="17">
        <f>IFERROR(__xludf.DUMMYFUNCTION("""COMPUTED_VALUE"""),265.9)</f>
        <v>265.9</v>
      </c>
      <c r="E64" s="16">
        <f>IFERROR(__xludf.DUMMYFUNCTION("""COMPUTED_VALUE"""),45833.6458333333)</f>
        <v>45833.6458333333</v>
      </c>
      <c r="F64" s="17">
        <f>IFERROR(__xludf.DUMMYFUNCTION("""COMPUTED_VALUE"""),5331739)</f>
        <v>5331739</v>
      </c>
      <c r="G64" s="16">
        <f>IFERROR(__xludf.DUMMYFUNCTION("""COMPUTED_VALUE"""),45833.6458333333)</f>
        <v>45833.6458333333</v>
      </c>
      <c r="H64" s="17">
        <f>IFERROR(__xludf.DUMMYFUNCTION("""COMPUTED_VALUE"""),269.96)</f>
        <v>269.96</v>
      </c>
      <c r="I64" s="16">
        <f>IFERROR(__xludf.DUMMYFUNCTION("""COMPUTED_VALUE"""),45833.6458333333)</f>
        <v>45833.6458333333</v>
      </c>
      <c r="J64" s="17">
        <f>IFERROR(__xludf.DUMMYFUNCTION("""COMPUTED_VALUE"""),265.85)</f>
        <v>265.85</v>
      </c>
      <c r="K64" s="3">
        <f t="shared" si="2"/>
        <v>269.41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IFERROR(__xludf.DUMMYFUNCTION("""COMPUTED_VALUE"""),268.52)</f>
        <v>268.52</v>
      </c>
      <c r="C65" s="16">
        <f>IFERROR(__xludf.DUMMYFUNCTION("""COMPUTED_VALUE"""),45834.6458333333)</f>
        <v>45834.6458333333</v>
      </c>
      <c r="D65" s="17">
        <f>IFERROR(__xludf.DUMMYFUNCTION("""COMPUTED_VALUE"""),269.1)</f>
        <v>269.1</v>
      </c>
      <c r="E65" s="16">
        <f>IFERROR(__xludf.DUMMYFUNCTION("""COMPUTED_VALUE"""),45834.6458333333)</f>
        <v>45834.6458333333</v>
      </c>
      <c r="F65" s="17">
        <f>IFERROR(__xludf.DUMMYFUNCTION("""COMPUTED_VALUE"""),8564099)</f>
        <v>8564099</v>
      </c>
      <c r="G65" s="16">
        <f>IFERROR(__xludf.DUMMYFUNCTION("""COMPUTED_VALUE"""),45834.6458333333)</f>
        <v>45834.6458333333</v>
      </c>
      <c r="H65" s="17">
        <f>IFERROR(__xludf.DUMMYFUNCTION("""COMPUTED_VALUE"""),271.3)</f>
        <v>271.3</v>
      </c>
      <c r="I65" s="16">
        <f>IFERROR(__xludf.DUMMYFUNCTION("""COMPUTED_VALUE"""),45834.6458333333)</f>
        <v>45834.6458333333</v>
      </c>
      <c r="J65" s="17">
        <f>IFERROR(__xludf.DUMMYFUNCTION("""COMPUTED_VALUE"""),267.19)</f>
        <v>267.19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IFERROR(__xludf.DUMMYFUNCTION("""COMPUTED_VALUE"""),265.05)</f>
        <v>265.05</v>
      </c>
      <c r="C66" s="16">
        <f>IFERROR(__xludf.DUMMYFUNCTION("""COMPUTED_VALUE"""),45835.6458333333)</f>
        <v>45835.6458333333</v>
      </c>
      <c r="D66" s="17">
        <f>IFERROR(__xludf.DUMMYFUNCTION("""COMPUTED_VALUE"""),269)</f>
        <v>269</v>
      </c>
      <c r="E66" s="16">
        <f>IFERROR(__xludf.DUMMYFUNCTION("""COMPUTED_VALUE"""),45835.6458333333)</f>
        <v>45835.6458333333</v>
      </c>
      <c r="F66" s="17">
        <f>IFERROR(__xludf.DUMMYFUNCTION("""COMPUTED_VALUE"""),8906108)</f>
        <v>8906108</v>
      </c>
      <c r="G66" s="16">
        <f>IFERROR(__xludf.DUMMYFUNCTION("""COMPUTED_VALUE"""),45835.6458333333)</f>
        <v>45835.6458333333</v>
      </c>
      <c r="H66" s="17">
        <f>IFERROR(__xludf.DUMMYFUNCTION("""COMPUTED_VALUE"""),270)</f>
        <v>270</v>
      </c>
      <c r="I66" s="16">
        <f>IFERROR(__xludf.DUMMYFUNCTION("""COMPUTED_VALUE"""),45835.6458333333)</f>
        <v>45835.6458333333</v>
      </c>
      <c r="J66" s="17">
        <f>IFERROR(__xludf.DUMMYFUNCTION("""COMPUTED_VALUE"""),264.5)</f>
        <v>264.5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IFERROR(__xludf.DUMMYFUNCTION("""COMPUTED_VALUE"""),265.98)</f>
        <v>265.98</v>
      </c>
      <c r="C67" s="16">
        <f>IFERROR(__xludf.DUMMYFUNCTION("""COMPUTED_VALUE"""),45838.6458333333)</f>
        <v>45838.6458333333</v>
      </c>
      <c r="D67" s="17">
        <f>IFERROR(__xludf.DUMMYFUNCTION("""COMPUTED_VALUE"""),266.1)</f>
        <v>266.1</v>
      </c>
      <c r="E67" s="16">
        <f>IFERROR(__xludf.DUMMYFUNCTION("""COMPUTED_VALUE"""),45838.6458333333)</f>
        <v>45838.6458333333</v>
      </c>
      <c r="F67" s="17">
        <f>IFERROR(__xludf.DUMMYFUNCTION("""COMPUTED_VALUE"""),7119563)</f>
        <v>7119563</v>
      </c>
      <c r="G67" s="16">
        <f>IFERROR(__xludf.DUMMYFUNCTION("""COMPUTED_VALUE"""),45838.6458333333)</f>
        <v>45838.6458333333</v>
      </c>
      <c r="H67" s="17">
        <f>IFERROR(__xludf.DUMMYFUNCTION("""COMPUTED_VALUE"""),266.74)</f>
        <v>266.74</v>
      </c>
      <c r="I67" s="16">
        <f>IFERROR(__xludf.DUMMYFUNCTION("""COMPUTED_VALUE"""),45838.6458333333)</f>
        <v>45838.6458333333</v>
      </c>
      <c r="J67" s="17">
        <f>IFERROR(__xludf.DUMMYFUNCTION("""COMPUTED_VALUE"""),262.9)</f>
        <v>262.9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IFERROR(__xludf.DUMMYFUNCTION("""COMPUTED_VALUE"""),264.55)</f>
        <v>264.55</v>
      </c>
      <c r="C68" s="16">
        <f>IFERROR(__xludf.DUMMYFUNCTION("""COMPUTED_VALUE"""),45839.6458333333)</f>
        <v>45839.6458333333</v>
      </c>
      <c r="D68" s="17">
        <f>IFERROR(__xludf.DUMMYFUNCTION("""COMPUTED_VALUE"""),265.5)</f>
        <v>265.5</v>
      </c>
      <c r="E68" s="16">
        <f>IFERROR(__xludf.DUMMYFUNCTION("""COMPUTED_VALUE"""),45839.6458333333)</f>
        <v>45839.6458333333</v>
      </c>
      <c r="F68" s="17">
        <f>IFERROR(__xludf.DUMMYFUNCTION("""COMPUTED_VALUE"""),3886095)</f>
        <v>3886095</v>
      </c>
      <c r="G68" s="16">
        <f>IFERROR(__xludf.DUMMYFUNCTION("""COMPUTED_VALUE"""),45839.6458333333)</f>
        <v>45839.6458333333</v>
      </c>
      <c r="H68" s="17">
        <f>IFERROR(__xludf.DUMMYFUNCTION("""COMPUTED_VALUE"""),268.35)</f>
        <v>268.35</v>
      </c>
      <c r="I68" s="16">
        <f>IFERROR(__xludf.DUMMYFUNCTION("""COMPUTED_VALUE"""),45839.6458333333)</f>
        <v>45839.6458333333</v>
      </c>
      <c r="J68" s="17">
        <f>IFERROR(__xludf.DUMMYFUNCTION("""COMPUTED_VALUE"""),263.7)</f>
        <v>263.7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IFERROR(__xludf.DUMMYFUNCTION("""COMPUTED_VALUE"""),267)</f>
        <v>267</v>
      </c>
      <c r="C69" s="16">
        <f>IFERROR(__xludf.DUMMYFUNCTION("""COMPUTED_VALUE"""),45840.6458333333)</f>
        <v>45840.6458333333</v>
      </c>
      <c r="D69" s="17">
        <f>IFERROR(__xludf.DUMMYFUNCTION("""COMPUTED_VALUE"""),265)</f>
        <v>265</v>
      </c>
      <c r="E69" s="16">
        <f>IFERROR(__xludf.DUMMYFUNCTION("""COMPUTED_VALUE"""),45840.6458333333)</f>
        <v>45840.6458333333</v>
      </c>
      <c r="F69" s="17">
        <f>IFERROR(__xludf.DUMMYFUNCTION("""COMPUTED_VALUE"""),8750887)</f>
        <v>8750887</v>
      </c>
      <c r="G69" s="16">
        <f>IFERROR(__xludf.DUMMYFUNCTION("""COMPUTED_VALUE"""),45840.6458333333)</f>
        <v>45840.6458333333</v>
      </c>
      <c r="H69" s="17">
        <f>IFERROR(__xludf.DUMMYFUNCTION("""COMPUTED_VALUE"""),268.7)</f>
        <v>268.7</v>
      </c>
      <c r="I69" s="16">
        <f>IFERROR(__xludf.DUMMYFUNCTION("""COMPUTED_VALUE"""),45840.6458333333)</f>
        <v>45840.6458333333</v>
      </c>
      <c r="J69" s="17">
        <f>IFERROR(__xludf.DUMMYFUNCTION("""COMPUTED_VALUE"""),264.45)</f>
        <v>264.45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IFERROR(__xludf.DUMMYFUNCTION("""COMPUTED_VALUE"""),267.05)</f>
        <v>267.05</v>
      </c>
      <c r="C70" s="16">
        <f>IFERROR(__xludf.DUMMYFUNCTION("""COMPUTED_VALUE"""),45841.6458333333)</f>
        <v>45841.6458333333</v>
      </c>
      <c r="D70" s="17">
        <f>IFERROR(__xludf.DUMMYFUNCTION("""COMPUTED_VALUE"""),268.4)</f>
        <v>268.4</v>
      </c>
      <c r="E70" s="16">
        <f>IFERROR(__xludf.DUMMYFUNCTION("""COMPUTED_VALUE"""),45841.6458333333)</f>
        <v>45841.6458333333</v>
      </c>
      <c r="F70" s="17">
        <f>IFERROR(__xludf.DUMMYFUNCTION("""COMPUTED_VALUE"""),9357962)</f>
        <v>9357962</v>
      </c>
      <c r="G70" s="16">
        <f>IFERROR(__xludf.DUMMYFUNCTION("""COMPUTED_VALUE"""),45841.6458333333)</f>
        <v>45841.6458333333</v>
      </c>
      <c r="H70" s="17">
        <f>IFERROR(__xludf.DUMMYFUNCTION("""COMPUTED_VALUE"""),270.85)</f>
        <v>270.85</v>
      </c>
      <c r="I70" s="16">
        <f>IFERROR(__xludf.DUMMYFUNCTION("""COMPUTED_VALUE"""),45841.6458333333)</f>
        <v>45841.6458333333</v>
      </c>
      <c r="J70" s="17">
        <f>IFERROR(__xludf.DUMMYFUNCTION("""COMPUTED_VALUE"""),266.45)</f>
        <v>266.45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IFERROR(__xludf.DUMMYFUNCTION("""COMPUTED_VALUE"""),270.05)</f>
        <v>270.05</v>
      </c>
      <c r="C71" s="16">
        <f>IFERROR(__xludf.DUMMYFUNCTION("""COMPUTED_VALUE"""),45842.6458333333)</f>
        <v>45842.6458333333</v>
      </c>
      <c r="D71" s="17">
        <f>IFERROR(__xludf.DUMMYFUNCTION("""COMPUTED_VALUE"""),268.3)</f>
        <v>268.3</v>
      </c>
      <c r="E71" s="16">
        <f>IFERROR(__xludf.DUMMYFUNCTION("""COMPUTED_VALUE"""),45842.6458333333)</f>
        <v>45842.6458333333</v>
      </c>
      <c r="F71" s="17">
        <f>IFERROR(__xludf.DUMMYFUNCTION("""COMPUTED_VALUE"""),7141779)</f>
        <v>7141779</v>
      </c>
      <c r="G71" s="16">
        <f>IFERROR(__xludf.DUMMYFUNCTION("""COMPUTED_VALUE"""),45842.6458333333)</f>
        <v>45842.6458333333</v>
      </c>
      <c r="H71" s="17">
        <f>IFERROR(__xludf.DUMMYFUNCTION("""COMPUTED_VALUE"""),271.4)</f>
        <v>271.4</v>
      </c>
      <c r="I71" s="16">
        <f>IFERROR(__xludf.DUMMYFUNCTION("""COMPUTED_VALUE"""),45842.6458333333)</f>
        <v>45842.6458333333</v>
      </c>
      <c r="J71" s="17">
        <f>IFERROR(__xludf.DUMMYFUNCTION("""COMPUTED_VALUE"""),267.5)</f>
        <v>267.5</v>
      </c>
      <c r="K71" s="3">
        <f t="shared" si="2"/>
        <v>270.05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IFERROR(__xludf.DUMMYFUNCTION("""COMPUTED_VALUE"""),267.75)</f>
        <v>267.75</v>
      </c>
      <c r="C72" s="16">
        <f>IFERROR(__xludf.DUMMYFUNCTION("""COMPUTED_VALUE"""),45845.6458333333)</f>
        <v>45845.6458333333</v>
      </c>
      <c r="D72" s="17">
        <f>IFERROR(__xludf.DUMMYFUNCTION("""COMPUTED_VALUE"""),270.05)</f>
        <v>270.05</v>
      </c>
      <c r="E72" s="16">
        <f>IFERROR(__xludf.DUMMYFUNCTION("""COMPUTED_VALUE"""),45845.6458333333)</f>
        <v>45845.6458333333</v>
      </c>
      <c r="F72" s="17">
        <f>IFERROR(__xludf.DUMMYFUNCTION("""COMPUTED_VALUE"""),4849218)</f>
        <v>4849218</v>
      </c>
      <c r="G72" s="16">
        <f>IFERROR(__xludf.DUMMYFUNCTION("""COMPUTED_VALUE"""),45845.6458333333)</f>
        <v>45845.6458333333</v>
      </c>
      <c r="H72" s="17">
        <f>IFERROR(__xludf.DUMMYFUNCTION("""COMPUTED_VALUE"""),270.55)</f>
        <v>270.55</v>
      </c>
      <c r="I72" s="16">
        <f>IFERROR(__xludf.DUMMYFUNCTION("""COMPUTED_VALUE"""),45845.6458333333)</f>
        <v>45845.6458333333</v>
      </c>
      <c r="J72" s="17">
        <f>IFERROR(__xludf.DUMMYFUNCTION("""COMPUTED_VALUE"""),267.3)</f>
        <v>267.3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IFERROR(__xludf.DUMMYFUNCTION("""COMPUTED_VALUE"""),269.65)</f>
        <v>269.65</v>
      </c>
      <c r="C73" s="16">
        <f>IFERROR(__xludf.DUMMYFUNCTION("""COMPUTED_VALUE"""),45846.6458333333)</f>
        <v>45846.6458333333</v>
      </c>
      <c r="D73" s="17">
        <f>IFERROR(__xludf.DUMMYFUNCTION("""COMPUTED_VALUE"""),267.8)</f>
        <v>267.8</v>
      </c>
      <c r="E73" s="16">
        <f>IFERROR(__xludf.DUMMYFUNCTION("""COMPUTED_VALUE"""),45846.6458333333)</f>
        <v>45846.6458333333</v>
      </c>
      <c r="F73" s="17">
        <f>IFERROR(__xludf.DUMMYFUNCTION("""COMPUTED_VALUE"""),5519016)</f>
        <v>5519016</v>
      </c>
      <c r="G73" s="16">
        <f>IFERROR(__xludf.DUMMYFUNCTION("""COMPUTED_VALUE"""),45846.6458333333)</f>
        <v>45846.6458333333</v>
      </c>
      <c r="H73" s="17">
        <f>IFERROR(__xludf.DUMMYFUNCTION("""COMPUTED_VALUE"""),270.3)</f>
        <v>270.3</v>
      </c>
      <c r="I73" s="16">
        <f>IFERROR(__xludf.DUMMYFUNCTION("""COMPUTED_VALUE"""),45846.6458333333)</f>
        <v>45846.6458333333</v>
      </c>
      <c r="J73" s="17">
        <f>IFERROR(__xludf.DUMMYFUNCTION("""COMPUTED_VALUE"""),267.35)</f>
        <v>267.35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IFERROR(__xludf.DUMMYFUNCTION("""COMPUTED_VALUE"""),267.8)</f>
        <v>267.8</v>
      </c>
      <c r="C74" s="16">
        <f>IFERROR(__xludf.DUMMYFUNCTION("""COMPUTED_VALUE"""),45847.6458333333)</f>
        <v>45847.6458333333</v>
      </c>
      <c r="D74" s="17">
        <f>IFERROR(__xludf.DUMMYFUNCTION("""COMPUTED_VALUE"""),268)</f>
        <v>268</v>
      </c>
      <c r="E74" s="16">
        <f>IFERROR(__xludf.DUMMYFUNCTION("""COMPUTED_VALUE"""),45847.6458333333)</f>
        <v>45847.6458333333</v>
      </c>
      <c r="F74" s="17">
        <f>IFERROR(__xludf.DUMMYFUNCTION("""COMPUTED_VALUE"""),11564433)</f>
        <v>11564433</v>
      </c>
      <c r="G74" s="16">
        <f>IFERROR(__xludf.DUMMYFUNCTION("""COMPUTED_VALUE"""),45847.6458333333)</f>
        <v>45847.6458333333</v>
      </c>
      <c r="H74" s="17">
        <f>IFERROR(__xludf.DUMMYFUNCTION("""COMPUTED_VALUE"""),269.4)</f>
        <v>269.4</v>
      </c>
      <c r="I74" s="16">
        <f>IFERROR(__xludf.DUMMYFUNCTION("""COMPUTED_VALUE"""),45847.6458333333)</f>
        <v>45847.6458333333</v>
      </c>
      <c r="J74" s="17">
        <f>IFERROR(__xludf.DUMMYFUNCTION("""COMPUTED_VALUE"""),264.85)</f>
        <v>264.85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IFERROR(__xludf.DUMMYFUNCTION("""COMPUTED_VALUE"""),265.05)</f>
        <v>265.05</v>
      </c>
      <c r="C75" s="16">
        <f>IFERROR(__xludf.DUMMYFUNCTION("""COMPUTED_VALUE"""),45848.6458333333)</f>
        <v>45848.6458333333</v>
      </c>
      <c r="D75" s="17">
        <f>IFERROR(__xludf.DUMMYFUNCTION("""COMPUTED_VALUE"""),267.55)</f>
        <v>267.55</v>
      </c>
      <c r="E75" s="16">
        <f>IFERROR(__xludf.DUMMYFUNCTION("""COMPUTED_VALUE"""),45848.6458333333)</f>
        <v>45848.6458333333</v>
      </c>
      <c r="F75" s="17">
        <f>IFERROR(__xludf.DUMMYFUNCTION("""COMPUTED_VALUE"""),6911031)</f>
        <v>6911031</v>
      </c>
      <c r="G75" s="16">
        <f>IFERROR(__xludf.DUMMYFUNCTION("""COMPUTED_VALUE"""),45848.6458333333)</f>
        <v>45848.6458333333</v>
      </c>
      <c r="H75" s="17">
        <f>IFERROR(__xludf.DUMMYFUNCTION("""COMPUTED_VALUE"""),267.55)</f>
        <v>267.55</v>
      </c>
      <c r="I75" s="16">
        <f>IFERROR(__xludf.DUMMYFUNCTION("""COMPUTED_VALUE"""),45848.6458333333)</f>
        <v>45848.6458333333</v>
      </c>
      <c r="J75" s="17">
        <f>IFERROR(__xludf.DUMMYFUNCTION("""COMPUTED_VALUE"""),263.15)</f>
        <v>263.15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IFERROR(__xludf.DUMMYFUNCTION("""COMPUTED_VALUE"""),258.3)</f>
        <v>258.3</v>
      </c>
      <c r="C76" s="16">
        <f>IFERROR(__xludf.DUMMYFUNCTION("""COMPUTED_VALUE"""),45849.6458333333)</f>
        <v>45849.6458333333</v>
      </c>
      <c r="D76" s="17">
        <f>IFERROR(__xludf.DUMMYFUNCTION("""COMPUTED_VALUE"""),261)</f>
        <v>261</v>
      </c>
      <c r="E76" s="16">
        <f>IFERROR(__xludf.DUMMYFUNCTION("""COMPUTED_VALUE"""),45849.6458333333)</f>
        <v>45849.6458333333</v>
      </c>
      <c r="F76" s="17">
        <f>IFERROR(__xludf.DUMMYFUNCTION("""COMPUTED_VALUE"""),13109857)</f>
        <v>13109857</v>
      </c>
      <c r="G76" s="16">
        <f>IFERROR(__xludf.DUMMYFUNCTION("""COMPUTED_VALUE"""),45849.6458333333)</f>
        <v>45849.6458333333</v>
      </c>
      <c r="H76" s="17">
        <f>IFERROR(__xludf.DUMMYFUNCTION("""COMPUTED_VALUE"""),262.05)</f>
        <v>262.05</v>
      </c>
      <c r="I76" s="16">
        <f>IFERROR(__xludf.DUMMYFUNCTION("""COMPUTED_VALUE"""),45849.6458333333)</f>
        <v>45849.6458333333</v>
      </c>
      <c r="J76" s="17">
        <f>IFERROR(__xludf.DUMMYFUNCTION("""COMPUTED_VALUE"""),257.75)</f>
        <v>257.75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IFERROR(__xludf.DUMMYFUNCTION("""COMPUTED_VALUE"""),254.25)</f>
        <v>254.25</v>
      </c>
      <c r="C77" s="16">
        <f>IFERROR(__xludf.DUMMYFUNCTION("""COMPUTED_VALUE"""),45852.6458333333)</f>
        <v>45852.6458333333</v>
      </c>
      <c r="D77" s="17">
        <f>IFERROR(__xludf.DUMMYFUNCTION("""COMPUTED_VALUE"""),258.3)</f>
        <v>258.3</v>
      </c>
      <c r="E77" s="16">
        <f>IFERROR(__xludf.DUMMYFUNCTION("""COMPUTED_VALUE"""),45852.6458333333)</f>
        <v>45852.6458333333</v>
      </c>
      <c r="F77" s="17">
        <f>IFERROR(__xludf.DUMMYFUNCTION("""COMPUTED_VALUE"""),10388421)</f>
        <v>10388421</v>
      </c>
      <c r="G77" s="16">
        <f>IFERROR(__xludf.DUMMYFUNCTION("""COMPUTED_VALUE"""),45852.6458333333)</f>
        <v>45852.6458333333</v>
      </c>
      <c r="H77" s="17">
        <f>IFERROR(__xludf.DUMMYFUNCTION("""COMPUTED_VALUE"""),259.55)</f>
        <v>259.55</v>
      </c>
      <c r="I77" s="16">
        <f>IFERROR(__xludf.DUMMYFUNCTION("""COMPUTED_VALUE"""),45852.6458333333)</f>
        <v>45852.6458333333</v>
      </c>
      <c r="J77" s="17">
        <f>IFERROR(__xludf.DUMMYFUNCTION("""COMPUTED_VALUE"""),251.65)</f>
        <v>251.65</v>
      </c>
      <c r="K77" s="3">
        <f t="shared" si="2"/>
        <v>0</v>
      </c>
      <c r="L77" s="3">
        <f t="shared" si="3"/>
        <v>254.25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IFERROR(__xludf.DUMMYFUNCTION("""COMPUTED_VALUE"""),257.4)</f>
        <v>257.4</v>
      </c>
      <c r="C78" s="16">
        <f>IFERROR(__xludf.DUMMYFUNCTION("""COMPUTED_VALUE"""),45853.6458333333)</f>
        <v>45853.6458333333</v>
      </c>
      <c r="D78" s="17">
        <f>IFERROR(__xludf.DUMMYFUNCTION("""COMPUTED_VALUE"""),254)</f>
        <v>254</v>
      </c>
      <c r="E78" s="16">
        <f>IFERROR(__xludf.DUMMYFUNCTION("""COMPUTED_VALUE"""),45853.6458333333)</f>
        <v>45853.6458333333</v>
      </c>
      <c r="F78" s="17">
        <f>IFERROR(__xludf.DUMMYFUNCTION("""COMPUTED_VALUE"""),8750149)</f>
        <v>8750149</v>
      </c>
      <c r="G78" s="16">
        <f>IFERROR(__xludf.DUMMYFUNCTION("""COMPUTED_VALUE"""),45853.6458333333)</f>
        <v>45853.6458333333</v>
      </c>
      <c r="H78" s="17">
        <f>IFERROR(__xludf.DUMMYFUNCTION("""COMPUTED_VALUE"""),259.85)</f>
        <v>259.85</v>
      </c>
      <c r="I78" s="16">
        <f>IFERROR(__xludf.DUMMYFUNCTION("""COMPUTED_VALUE"""),45853.6458333333)</f>
        <v>45853.6458333333</v>
      </c>
      <c r="J78" s="17">
        <f>IFERROR(__xludf.DUMMYFUNCTION("""COMPUTED_VALUE"""),252.8)</f>
        <v>252.8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IFERROR(__xludf.DUMMYFUNCTION("""COMPUTED_VALUE"""),262.8)</f>
        <v>262.8</v>
      </c>
      <c r="C79" s="16">
        <f>IFERROR(__xludf.DUMMYFUNCTION("""COMPUTED_VALUE"""),45854.6458333333)</f>
        <v>45854.6458333333</v>
      </c>
      <c r="D79" s="17">
        <f>IFERROR(__xludf.DUMMYFUNCTION("""COMPUTED_VALUE"""),257.4)</f>
        <v>257.4</v>
      </c>
      <c r="E79" s="16">
        <f>IFERROR(__xludf.DUMMYFUNCTION("""COMPUTED_VALUE"""),45854.6458333333)</f>
        <v>45854.6458333333</v>
      </c>
      <c r="F79" s="17">
        <f>IFERROR(__xludf.DUMMYFUNCTION("""COMPUTED_VALUE"""),12179338)</f>
        <v>12179338</v>
      </c>
      <c r="G79" s="16">
        <f>IFERROR(__xludf.DUMMYFUNCTION("""COMPUTED_VALUE"""),45854.6458333333)</f>
        <v>45854.6458333333</v>
      </c>
      <c r="H79" s="17">
        <f>IFERROR(__xludf.DUMMYFUNCTION("""COMPUTED_VALUE"""),264)</f>
        <v>264</v>
      </c>
      <c r="I79" s="16">
        <f>IFERROR(__xludf.DUMMYFUNCTION("""COMPUTED_VALUE"""),45854.6458333333)</f>
        <v>45854.6458333333</v>
      </c>
      <c r="J79" s="17">
        <f>IFERROR(__xludf.DUMMYFUNCTION("""COMPUTED_VALUE"""),256.05)</f>
        <v>256.05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IFERROR(__xludf.DUMMYFUNCTION("""COMPUTED_VALUE"""),260.6)</f>
        <v>260.6</v>
      </c>
      <c r="C80" s="16">
        <f>IFERROR(__xludf.DUMMYFUNCTION("""COMPUTED_VALUE"""),45855.6458333333)</f>
        <v>45855.6458333333</v>
      </c>
      <c r="D80" s="17">
        <f>IFERROR(__xludf.DUMMYFUNCTION("""COMPUTED_VALUE"""),263.85)</f>
        <v>263.85</v>
      </c>
      <c r="E80" s="16">
        <f>IFERROR(__xludf.DUMMYFUNCTION("""COMPUTED_VALUE"""),45855.6458333333)</f>
        <v>45855.6458333333</v>
      </c>
      <c r="F80" s="17">
        <f>IFERROR(__xludf.DUMMYFUNCTION("""COMPUTED_VALUE"""),7484171)</f>
        <v>7484171</v>
      </c>
      <c r="G80" s="16">
        <f>IFERROR(__xludf.DUMMYFUNCTION("""COMPUTED_VALUE"""),45855.6458333333)</f>
        <v>45855.6458333333</v>
      </c>
      <c r="H80" s="17">
        <f>IFERROR(__xludf.DUMMYFUNCTION("""COMPUTED_VALUE"""),264.35)</f>
        <v>264.35</v>
      </c>
      <c r="I80" s="16">
        <f>IFERROR(__xludf.DUMMYFUNCTION("""COMPUTED_VALUE"""),45855.6458333333)</f>
        <v>45855.6458333333</v>
      </c>
      <c r="J80" s="17">
        <f>IFERROR(__xludf.DUMMYFUNCTION("""COMPUTED_VALUE"""),258)</f>
        <v>258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IFERROR(__xludf.DUMMYFUNCTION("""COMPUTED_VALUE"""),266.95)</f>
        <v>266.95</v>
      </c>
      <c r="C81" s="16">
        <f>IFERROR(__xludf.DUMMYFUNCTION("""COMPUTED_VALUE"""),45856.6458333333)</f>
        <v>45856.6458333333</v>
      </c>
      <c r="D81" s="17">
        <f>IFERROR(__xludf.DUMMYFUNCTION("""COMPUTED_VALUE"""),268.6)</f>
        <v>268.6</v>
      </c>
      <c r="E81" s="16">
        <f>IFERROR(__xludf.DUMMYFUNCTION("""COMPUTED_VALUE"""),45856.6458333333)</f>
        <v>45856.6458333333</v>
      </c>
      <c r="F81" s="17">
        <f>IFERROR(__xludf.DUMMYFUNCTION("""COMPUTED_VALUE"""),30319126)</f>
        <v>30319126</v>
      </c>
      <c r="G81" s="16">
        <f>IFERROR(__xludf.DUMMYFUNCTION("""COMPUTED_VALUE"""),45856.6458333333)</f>
        <v>45856.6458333333</v>
      </c>
      <c r="H81" s="17">
        <f>IFERROR(__xludf.DUMMYFUNCTION("""COMPUTED_VALUE"""),271.9)</f>
        <v>271.9</v>
      </c>
      <c r="I81" s="16">
        <f>IFERROR(__xludf.DUMMYFUNCTION("""COMPUTED_VALUE"""),45856.6458333333)</f>
        <v>45856.6458333333</v>
      </c>
      <c r="J81" s="17">
        <f>IFERROR(__xludf.DUMMYFUNCTION("""COMPUTED_VALUE"""),265.6)</f>
        <v>265.6</v>
      </c>
      <c r="K81" s="3">
        <f t="shared" si="2"/>
        <v>266.95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IFERROR(__xludf.DUMMYFUNCTION("""COMPUTED_VALUE"""),260.35)</f>
        <v>260.35</v>
      </c>
      <c r="C82" s="16">
        <f>IFERROR(__xludf.DUMMYFUNCTION("""COMPUTED_VALUE"""),45859.6458333333)</f>
        <v>45859.6458333333</v>
      </c>
      <c r="D82" s="17">
        <f>IFERROR(__xludf.DUMMYFUNCTION("""COMPUTED_VALUE"""),266.95)</f>
        <v>266.95</v>
      </c>
      <c r="E82" s="16">
        <f>IFERROR(__xludf.DUMMYFUNCTION("""COMPUTED_VALUE"""),45859.6458333333)</f>
        <v>45859.6458333333</v>
      </c>
      <c r="F82" s="17">
        <f>IFERROR(__xludf.DUMMYFUNCTION("""COMPUTED_VALUE"""),12190000)</f>
        <v>12190000</v>
      </c>
      <c r="G82" s="16">
        <f>IFERROR(__xludf.DUMMYFUNCTION("""COMPUTED_VALUE"""),45859.6458333333)</f>
        <v>45859.6458333333</v>
      </c>
      <c r="H82" s="17">
        <f>IFERROR(__xludf.DUMMYFUNCTION("""COMPUTED_VALUE"""),267.15)</f>
        <v>267.15</v>
      </c>
      <c r="I82" s="16">
        <f>IFERROR(__xludf.DUMMYFUNCTION("""COMPUTED_VALUE"""),45859.6458333333)</f>
        <v>45859.6458333333</v>
      </c>
      <c r="J82" s="17">
        <f>IFERROR(__xludf.DUMMYFUNCTION("""COMPUTED_VALUE"""),259.2)</f>
        <v>259.2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IFERROR(__xludf.DUMMYFUNCTION("""COMPUTED_VALUE"""),259.7)</f>
        <v>259.7</v>
      </c>
      <c r="C83" s="16">
        <f>IFERROR(__xludf.DUMMYFUNCTION("""COMPUTED_VALUE"""),45860.6458333333)</f>
        <v>45860.6458333333</v>
      </c>
      <c r="D83" s="17">
        <f>IFERROR(__xludf.DUMMYFUNCTION("""COMPUTED_VALUE"""),261.7)</f>
        <v>261.7</v>
      </c>
      <c r="E83" s="16">
        <f>IFERROR(__xludf.DUMMYFUNCTION("""COMPUTED_VALUE"""),45860.6458333333)</f>
        <v>45860.6458333333</v>
      </c>
      <c r="F83" s="17">
        <f>IFERROR(__xludf.DUMMYFUNCTION("""COMPUTED_VALUE"""),6724044)</f>
        <v>6724044</v>
      </c>
      <c r="G83" s="16">
        <f>IFERROR(__xludf.DUMMYFUNCTION("""COMPUTED_VALUE"""),45860.6458333333)</f>
        <v>45860.6458333333</v>
      </c>
      <c r="H83" s="17">
        <f>IFERROR(__xludf.DUMMYFUNCTION("""COMPUTED_VALUE"""),262.15)</f>
        <v>262.15</v>
      </c>
      <c r="I83" s="16">
        <f>IFERROR(__xludf.DUMMYFUNCTION("""COMPUTED_VALUE"""),45860.6458333333)</f>
        <v>45860.6458333333</v>
      </c>
      <c r="J83" s="17">
        <f>IFERROR(__xludf.DUMMYFUNCTION("""COMPUTED_VALUE"""),258.75)</f>
        <v>258.75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IFERROR(__xludf.DUMMYFUNCTION("""COMPUTED_VALUE"""),261.4)</f>
        <v>261.4</v>
      </c>
      <c r="C84" s="16">
        <f>IFERROR(__xludf.DUMMYFUNCTION("""COMPUTED_VALUE"""),45861.6458333333)</f>
        <v>45861.6458333333</v>
      </c>
      <c r="D84" s="17">
        <f>IFERROR(__xludf.DUMMYFUNCTION("""COMPUTED_VALUE"""),260.25)</f>
        <v>260.25</v>
      </c>
      <c r="E84" s="16">
        <f>IFERROR(__xludf.DUMMYFUNCTION("""COMPUTED_VALUE"""),45861.6458333333)</f>
        <v>45861.6458333333</v>
      </c>
      <c r="F84" s="17">
        <f>IFERROR(__xludf.DUMMYFUNCTION("""COMPUTED_VALUE"""),6510321)</f>
        <v>6510321</v>
      </c>
      <c r="G84" s="16">
        <f>IFERROR(__xludf.DUMMYFUNCTION("""COMPUTED_VALUE"""),45861.6458333333)</f>
        <v>45861.6458333333</v>
      </c>
      <c r="H84" s="17">
        <f>IFERROR(__xludf.DUMMYFUNCTION("""COMPUTED_VALUE"""),261.75)</f>
        <v>261.75</v>
      </c>
      <c r="I84" s="16">
        <f>IFERROR(__xludf.DUMMYFUNCTION("""COMPUTED_VALUE"""),45861.6458333333)</f>
        <v>45861.6458333333</v>
      </c>
      <c r="J84" s="17">
        <f>IFERROR(__xludf.DUMMYFUNCTION("""COMPUTED_VALUE"""),258.15)</f>
        <v>258.15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IFERROR(__xludf.DUMMYFUNCTION("""COMPUTED_VALUE"""),261.85)</f>
        <v>261.85</v>
      </c>
      <c r="C85" s="16">
        <f>IFERROR(__xludf.DUMMYFUNCTION("""COMPUTED_VALUE"""),45862.6458333333)</f>
        <v>45862.6458333333</v>
      </c>
      <c r="D85" s="17">
        <f>IFERROR(__xludf.DUMMYFUNCTION("""COMPUTED_VALUE"""),262)</f>
        <v>262</v>
      </c>
      <c r="E85" s="16">
        <f>IFERROR(__xludf.DUMMYFUNCTION("""COMPUTED_VALUE"""),45862.6458333333)</f>
        <v>45862.6458333333</v>
      </c>
      <c r="F85" s="17">
        <f>IFERROR(__xludf.DUMMYFUNCTION("""COMPUTED_VALUE"""),8139900)</f>
        <v>8139900</v>
      </c>
      <c r="G85" s="16">
        <f>IFERROR(__xludf.DUMMYFUNCTION("""COMPUTED_VALUE"""),45862.6458333333)</f>
        <v>45862.6458333333</v>
      </c>
      <c r="H85" s="17">
        <f>IFERROR(__xludf.DUMMYFUNCTION("""COMPUTED_VALUE"""),263.4)</f>
        <v>263.4</v>
      </c>
      <c r="I85" s="16">
        <f>IFERROR(__xludf.DUMMYFUNCTION("""COMPUTED_VALUE"""),45862.6458333333)</f>
        <v>45862.6458333333</v>
      </c>
      <c r="J85" s="17">
        <f>IFERROR(__xludf.DUMMYFUNCTION("""COMPUTED_VALUE"""),260.25)</f>
        <v>260.25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IFERROR(__xludf.DUMMYFUNCTION("""COMPUTED_VALUE"""),259.2)</f>
        <v>259.2</v>
      </c>
      <c r="C86" s="16">
        <f>IFERROR(__xludf.DUMMYFUNCTION("""COMPUTED_VALUE"""),45863.6458333333)</f>
        <v>45863.6458333333</v>
      </c>
      <c r="D86" s="17">
        <f>IFERROR(__xludf.DUMMYFUNCTION("""COMPUTED_VALUE"""),261.8)</f>
        <v>261.8</v>
      </c>
      <c r="E86" s="16">
        <f>IFERROR(__xludf.DUMMYFUNCTION("""COMPUTED_VALUE"""),45863.6458333333)</f>
        <v>45863.6458333333</v>
      </c>
      <c r="F86" s="17">
        <f>IFERROR(__xludf.DUMMYFUNCTION("""COMPUTED_VALUE"""),8427780)</f>
        <v>8427780</v>
      </c>
      <c r="G86" s="16">
        <f>IFERROR(__xludf.DUMMYFUNCTION("""COMPUTED_VALUE"""),45863.6458333333)</f>
        <v>45863.6458333333</v>
      </c>
      <c r="H86" s="17">
        <f>IFERROR(__xludf.DUMMYFUNCTION("""COMPUTED_VALUE"""),262.05)</f>
        <v>262.05</v>
      </c>
      <c r="I86" s="16">
        <f>IFERROR(__xludf.DUMMYFUNCTION("""COMPUTED_VALUE"""),45863.6458333333)</f>
        <v>45863.6458333333</v>
      </c>
      <c r="J86" s="17">
        <f>IFERROR(__xludf.DUMMYFUNCTION("""COMPUTED_VALUE"""),256.05)</f>
        <v>256.05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IFERROR(__xludf.DUMMYFUNCTION("""COMPUTED_VALUE"""),250.05)</f>
        <v>250.05</v>
      </c>
      <c r="C87" s="16">
        <f>IFERROR(__xludf.DUMMYFUNCTION("""COMPUTED_VALUE"""),45866.6458333333)</f>
        <v>45866.6458333333</v>
      </c>
      <c r="D87" s="17">
        <f>IFERROR(__xludf.DUMMYFUNCTION("""COMPUTED_VALUE"""),254)</f>
        <v>254</v>
      </c>
      <c r="E87" s="16">
        <f>IFERROR(__xludf.DUMMYFUNCTION("""COMPUTED_VALUE"""),45866.6458333333)</f>
        <v>45866.6458333333</v>
      </c>
      <c r="F87" s="17">
        <f>IFERROR(__xludf.DUMMYFUNCTION("""COMPUTED_VALUE"""),8998911)</f>
        <v>8998911</v>
      </c>
      <c r="G87" s="16">
        <f>IFERROR(__xludf.DUMMYFUNCTION("""COMPUTED_VALUE"""),45866.6458333333)</f>
        <v>45866.6458333333</v>
      </c>
      <c r="H87" s="17">
        <f>IFERROR(__xludf.DUMMYFUNCTION("""COMPUTED_VALUE"""),254)</f>
        <v>254</v>
      </c>
      <c r="I87" s="16">
        <f>IFERROR(__xludf.DUMMYFUNCTION("""COMPUTED_VALUE"""),45866.6458333333)</f>
        <v>45866.6458333333</v>
      </c>
      <c r="J87" s="17">
        <f>IFERROR(__xludf.DUMMYFUNCTION("""COMPUTED_VALUE"""),249)</f>
        <v>249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IFERROR(__xludf.DUMMYFUNCTION("""COMPUTED_VALUE"""),251.8)</f>
        <v>251.8</v>
      </c>
      <c r="C88" s="16">
        <f>IFERROR(__xludf.DUMMYFUNCTION("""COMPUTED_VALUE"""),45867.6458333333)</f>
        <v>45867.6458333333</v>
      </c>
      <c r="D88" s="17">
        <f>IFERROR(__xludf.DUMMYFUNCTION("""COMPUTED_VALUE"""),249.2)</f>
        <v>249.2</v>
      </c>
      <c r="E88" s="16">
        <f>IFERROR(__xludf.DUMMYFUNCTION("""COMPUTED_VALUE"""),45867.6458333333)</f>
        <v>45867.6458333333</v>
      </c>
      <c r="F88" s="17">
        <f>IFERROR(__xludf.DUMMYFUNCTION("""COMPUTED_VALUE"""),12923128)</f>
        <v>12923128</v>
      </c>
      <c r="G88" s="16">
        <f>IFERROR(__xludf.DUMMYFUNCTION("""COMPUTED_VALUE"""),45867.6458333333)</f>
        <v>45867.6458333333</v>
      </c>
      <c r="H88" s="17">
        <f>IFERROR(__xludf.DUMMYFUNCTION("""COMPUTED_VALUE"""),252.7)</f>
        <v>252.7</v>
      </c>
      <c r="I88" s="16">
        <f>IFERROR(__xludf.DUMMYFUNCTION("""COMPUTED_VALUE"""),45867.6458333333)</f>
        <v>45867.6458333333</v>
      </c>
      <c r="J88" s="17">
        <f>IFERROR(__xludf.DUMMYFUNCTION("""COMPUTED_VALUE"""),247.25)</f>
        <v>247.25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IFERROR(__xludf.DUMMYFUNCTION("""COMPUTED_VALUE"""),250.2)</f>
        <v>250.2</v>
      </c>
      <c r="C89" s="16">
        <f>IFERROR(__xludf.DUMMYFUNCTION("""COMPUTED_VALUE"""),45868.6458333333)</f>
        <v>45868.6458333333</v>
      </c>
      <c r="D89" s="17">
        <f>IFERROR(__xludf.DUMMYFUNCTION("""COMPUTED_VALUE"""),251.45)</f>
        <v>251.45</v>
      </c>
      <c r="E89" s="16">
        <f>IFERROR(__xludf.DUMMYFUNCTION("""COMPUTED_VALUE"""),45868.6458333333)</f>
        <v>45868.6458333333</v>
      </c>
      <c r="F89" s="17">
        <f>IFERROR(__xludf.DUMMYFUNCTION("""COMPUTED_VALUE"""),6057152)</f>
        <v>6057152</v>
      </c>
      <c r="G89" s="16">
        <f>IFERROR(__xludf.DUMMYFUNCTION("""COMPUTED_VALUE"""),45868.6458333333)</f>
        <v>45868.6458333333</v>
      </c>
      <c r="H89" s="17">
        <f>IFERROR(__xludf.DUMMYFUNCTION("""COMPUTED_VALUE"""),252.5)</f>
        <v>252.5</v>
      </c>
      <c r="I89" s="16">
        <f>IFERROR(__xludf.DUMMYFUNCTION("""COMPUTED_VALUE"""),45868.6458333333)</f>
        <v>45868.6458333333</v>
      </c>
      <c r="J89" s="17">
        <f>IFERROR(__xludf.DUMMYFUNCTION("""COMPUTED_VALUE"""),249.2)</f>
        <v>249.2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IFERROR(__xludf.DUMMYFUNCTION("""COMPUTED_VALUE"""),248.3)</f>
        <v>248.3</v>
      </c>
      <c r="C90" s="16">
        <f>IFERROR(__xludf.DUMMYFUNCTION("""COMPUTED_VALUE"""),45869.6458333333)</f>
        <v>45869.6458333333</v>
      </c>
      <c r="D90" s="17">
        <f>IFERROR(__xludf.DUMMYFUNCTION("""COMPUTED_VALUE"""),248.1)</f>
        <v>248.1</v>
      </c>
      <c r="E90" s="16">
        <f>IFERROR(__xludf.DUMMYFUNCTION("""COMPUTED_VALUE"""),45869.6458333333)</f>
        <v>45869.6458333333</v>
      </c>
      <c r="F90" s="17">
        <f>IFERROR(__xludf.DUMMYFUNCTION("""COMPUTED_VALUE"""),7338764)</f>
        <v>7338764</v>
      </c>
      <c r="G90" s="16">
        <f>IFERROR(__xludf.DUMMYFUNCTION("""COMPUTED_VALUE"""),45869.6458333333)</f>
        <v>45869.6458333333</v>
      </c>
      <c r="H90" s="17">
        <f>IFERROR(__xludf.DUMMYFUNCTION("""COMPUTED_VALUE"""),250.15)</f>
        <v>250.15</v>
      </c>
      <c r="I90" s="16">
        <f>IFERROR(__xludf.DUMMYFUNCTION("""COMPUTED_VALUE"""),45869.6458333333)</f>
        <v>45869.6458333333</v>
      </c>
      <c r="J90" s="17">
        <f>IFERROR(__xludf.DUMMYFUNCTION("""COMPUTED_VALUE"""),246.05)</f>
        <v>246.05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IFERROR(__xludf.DUMMYFUNCTION("""COMPUTED_VALUE"""),242.75)</f>
        <v>242.75</v>
      </c>
      <c r="C91" s="16">
        <f>IFERROR(__xludf.DUMMYFUNCTION("""COMPUTED_VALUE"""),45870.6458333333)</f>
        <v>45870.6458333333</v>
      </c>
      <c r="D91" s="17">
        <f>IFERROR(__xludf.DUMMYFUNCTION("""COMPUTED_VALUE"""),246.5)</f>
        <v>246.5</v>
      </c>
      <c r="E91" s="16">
        <f>IFERROR(__xludf.DUMMYFUNCTION("""COMPUTED_VALUE"""),45870.6458333333)</f>
        <v>45870.6458333333</v>
      </c>
      <c r="F91" s="17">
        <f>IFERROR(__xludf.DUMMYFUNCTION("""COMPUTED_VALUE"""),7436999)</f>
        <v>7436999</v>
      </c>
      <c r="G91" s="16">
        <f>IFERROR(__xludf.DUMMYFUNCTION("""COMPUTED_VALUE"""),45870.6458333333)</f>
        <v>45870.6458333333</v>
      </c>
      <c r="H91" s="17">
        <f>IFERROR(__xludf.DUMMYFUNCTION("""COMPUTED_VALUE"""),246.9)</f>
        <v>246.9</v>
      </c>
      <c r="I91" s="16">
        <f>IFERROR(__xludf.DUMMYFUNCTION("""COMPUTED_VALUE"""),45870.6458333333)</f>
        <v>45870.6458333333</v>
      </c>
      <c r="J91" s="17">
        <f>IFERROR(__xludf.DUMMYFUNCTION("""COMPUTED_VALUE"""),242.2)</f>
        <v>242.2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IFERROR(__xludf.DUMMYFUNCTION("""COMPUTED_VALUE"""),246.05)</f>
        <v>246.05</v>
      </c>
      <c r="C92" s="16">
        <f>IFERROR(__xludf.DUMMYFUNCTION("""COMPUTED_VALUE"""),45873.6458333333)</f>
        <v>45873.6458333333</v>
      </c>
      <c r="D92" s="17">
        <f>IFERROR(__xludf.DUMMYFUNCTION("""COMPUTED_VALUE"""),242.75)</f>
        <v>242.75</v>
      </c>
      <c r="E92" s="16">
        <f>IFERROR(__xludf.DUMMYFUNCTION("""COMPUTED_VALUE"""),45873.6458333333)</f>
        <v>45873.6458333333</v>
      </c>
      <c r="F92" s="17">
        <f>IFERROR(__xludf.DUMMYFUNCTION("""COMPUTED_VALUE"""),5234393)</f>
        <v>5234393</v>
      </c>
      <c r="G92" s="16">
        <f>IFERROR(__xludf.DUMMYFUNCTION("""COMPUTED_VALUE"""),45873.6458333333)</f>
        <v>45873.6458333333</v>
      </c>
      <c r="H92" s="17">
        <f>IFERROR(__xludf.DUMMYFUNCTION("""COMPUTED_VALUE"""),246.42)</f>
        <v>246.42</v>
      </c>
      <c r="I92" s="16">
        <f>IFERROR(__xludf.DUMMYFUNCTION("""COMPUTED_VALUE"""),45873.6458333333)</f>
        <v>45873.6458333333</v>
      </c>
      <c r="J92" s="17">
        <f>IFERROR(__xludf.DUMMYFUNCTION("""COMPUTED_VALUE"""),241.1)</f>
        <v>241.1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IFERROR(__xludf.DUMMYFUNCTION("""COMPUTED_VALUE"""),245.91)</f>
        <v>245.91</v>
      </c>
      <c r="C93" s="16">
        <f>IFERROR(__xludf.DUMMYFUNCTION("""COMPUTED_VALUE"""),45874.6458333333)</f>
        <v>45874.6458333333</v>
      </c>
      <c r="D93" s="17">
        <f>IFERROR(__xludf.DUMMYFUNCTION("""COMPUTED_VALUE"""),246.05)</f>
        <v>246.05</v>
      </c>
      <c r="E93" s="16">
        <f>IFERROR(__xludf.DUMMYFUNCTION("""COMPUTED_VALUE"""),45874.6458333333)</f>
        <v>45874.6458333333</v>
      </c>
      <c r="F93" s="17">
        <f>IFERROR(__xludf.DUMMYFUNCTION("""COMPUTED_VALUE"""),7383968)</f>
        <v>7383968</v>
      </c>
      <c r="G93" s="16">
        <f>IFERROR(__xludf.DUMMYFUNCTION("""COMPUTED_VALUE"""),45874.6458333333)</f>
        <v>45874.6458333333</v>
      </c>
      <c r="H93" s="17">
        <f>IFERROR(__xludf.DUMMYFUNCTION("""COMPUTED_VALUE"""),246.95)</f>
        <v>246.95</v>
      </c>
      <c r="I93" s="16">
        <f>IFERROR(__xludf.DUMMYFUNCTION("""COMPUTED_VALUE"""),45874.6458333333)</f>
        <v>45874.6458333333</v>
      </c>
      <c r="J93" s="17">
        <f>IFERROR(__xludf.DUMMYFUNCTION("""COMPUTED_VALUE"""),244.53)</f>
        <v>244.53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IFERROR(__xludf.DUMMYFUNCTION("""COMPUTED_VALUE"""),239.96)</f>
        <v>239.96</v>
      </c>
      <c r="C94" s="16">
        <f>IFERROR(__xludf.DUMMYFUNCTION("""COMPUTED_VALUE"""),45875.6458333333)</f>
        <v>45875.6458333333</v>
      </c>
      <c r="D94" s="17">
        <f>IFERROR(__xludf.DUMMYFUNCTION("""COMPUTED_VALUE"""),246)</f>
        <v>246</v>
      </c>
      <c r="E94" s="16">
        <f>IFERROR(__xludf.DUMMYFUNCTION("""COMPUTED_VALUE"""),45875.6458333333)</f>
        <v>45875.6458333333</v>
      </c>
      <c r="F94" s="17">
        <f>IFERROR(__xludf.DUMMYFUNCTION("""COMPUTED_VALUE"""),7700190)</f>
        <v>7700190</v>
      </c>
      <c r="G94" s="16">
        <f>IFERROR(__xludf.DUMMYFUNCTION("""COMPUTED_VALUE"""),45875.6458333333)</f>
        <v>45875.6458333333</v>
      </c>
      <c r="H94" s="17">
        <f>IFERROR(__xludf.DUMMYFUNCTION("""COMPUTED_VALUE"""),246)</f>
        <v>246</v>
      </c>
      <c r="I94" s="16">
        <f>IFERROR(__xludf.DUMMYFUNCTION("""COMPUTED_VALUE"""),45875.6458333333)</f>
        <v>45875.6458333333</v>
      </c>
      <c r="J94" s="17">
        <f>IFERROR(__xludf.DUMMYFUNCTION("""COMPUTED_VALUE"""),239.31)</f>
        <v>239.31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IFERROR(__xludf.DUMMYFUNCTION("""COMPUTED_VALUE"""),242.32)</f>
        <v>242.32</v>
      </c>
      <c r="C95" s="16">
        <f>IFERROR(__xludf.DUMMYFUNCTION("""COMPUTED_VALUE"""),45876.6458333333)</f>
        <v>45876.6458333333</v>
      </c>
      <c r="D95" s="17">
        <f>IFERROR(__xludf.DUMMYFUNCTION("""COMPUTED_VALUE"""),239.11)</f>
        <v>239.11</v>
      </c>
      <c r="E95" s="16">
        <f>IFERROR(__xludf.DUMMYFUNCTION("""COMPUTED_VALUE"""),45876.6458333333)</f>
        <v>45876.6458333333</v>
      </c>
      <c r="F95" s="17">
        <f>IFERROR(__xludf.DUMMYFUNCTION("""COMPUTED_VALUE"""),6190830)</f>
        <v>6190830</v>
      </c>
      <c r="G95" s="16">
        <f>IFERROR(__xludf.DUMMYFUNCTION("""COMPUTED_VALUE"""),45876.6458333333)</f>
        <v>45876.6458333333</v>
      </c>
      <c r="H95" s="17">
        <f>IFERROR(__xludf.DUMMYFUNCTION("""COMPUTED_VALUE"""),243.18)</f>
        <v>243.18</v>
      </c>
      <c r="I95" s="16">
        <f>IFERROR(__xludf.DUMMYFUNCTION("""COMPUTED_VALUE"""),45876.6458333333)</f>
        <v>45876.6458333333</v>
      </c>
      <c r="J95" s="17">
        <f>IFERROR(__xludf.DUMMYFUNCTION("""COMPUTED_VALUE"""),238.61)</f>
        <v>238.61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IFERROR(__xludf.DUMMYFUNCTION("""COMPUTED_VALUE"""),239.05)</f>
        <v>239.05</v>
      </c>
      <c r="C96" s="16">
        <f>IFERROR(__xludf.DUMMYFUNCTION("""COMPUTED_VALUE"""),45877.6458333333)</f>
        <v>45877.6458333333</v>
      </c>
      <c r="D96" s="17">
        <f>IFERROR(__xludf.DUMMYFUNCTION("""COMPUTED_VALUE"""),242.4)</f>
        <v>242.4</v>
      </c>
      <c r="E96" s="16">
        <f>IFERROR(__xludf.DUMMYFUNCTION("""COMPUTED_VALUE"""),45877.6458333333)</f>
        <v>45877.6458333333</v>
      </c>
      <c r="F96" s="17">
        <f>IFERROR(__xludf.DUMMYFUNCTION("""COMPUTED_VALUE"""),8922847)</f>
        <v>8922847</v>
      </c>
      <c r="G96" s="16">
        <f>IFERROR(__xludf.DUMMYFUNCTION("""COMPUTED_VALUE"""),45877.6458333333)</f>
        <v>45877.6458333333</v>
      </c>
      <c r="H96" s="17">
        <f>IFERROR(__xludf.DUMMYFUNCTION("""COMPUTED_VALUE"""),243.25)</f>
        <v>243.25</v>
      </c>
      <c r="I96" s="16">
        <f>IFERROR(__xludf.DUMMYFUNCTION("""COMPUTED_VALUE"""),45877.6458333333)</f>
        <v>45877.6458333333</v>
      </c>
      <c r="J96" s="17">
        <f>IFERROR(__xludf.DUMMYFUNCTION("""COMPUTED_VALUE"""),238.4)</f>
        <v>238.4</v>
      </c>
      <c r="K96" s="3">
        <f t="shared" si="2"/>
        <v>0</v>
      </c>
      <c r="L96" s="3">
        <f t="shared" si="3"/>
        <v>239.05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IFERROR(__xludf.DUMMYFUNCTION("""COMPUTED_VALUE"""),241.62)</f>
        <v>241.62</v>
      </c>
      <c r="C97" s="16">
        <f>IFERROR(__xludf.DUMMYFUNCTION("""COMPUTED_VALUE"""),45880.6458333333)</f>
        <v>45880.6458333333</v>
      </c>
      <c r="D97" s="17">
        <f>IFERROR(__xludf.DUMMYFUNCTION("""COMPUTED_VALUE"""),239.05)</f>
        <v>239.05</v>
      </c>
      <c r="E97" s="16">
        <f>IFERROR(__xludf.DUMMYFUNCTION("""COMPUTED_VALUE"""),45880.6458333333)</f>
        <v>45880.6458333333</v>
      </c>
      <c r="F97" s="17">
        <f>IFERROR(__xludf.DUMMYFUNCTION("""COMPUTED_VALUE"""),3047287)</f>
        <v>3047287</v>
      </c>
      <c r="G97" s="16">
        <f>IFERROR(__xludf.DUMMYFUNCTION("""COMPUTED_VALUE"""),45880.6458333333)</f>
        <v>45880.6458333333</v>
      </c>
      <c r="H97" s="17">
        <f>IFERROR(__xludf.DUMMYFUNCTION("""COMPUTED_VALUE"""),244.75)</f>
        <v>244.75</v>
      </c>
      <c r="I97" s="16">
        <f>IFERROR(__xludf.DUMMYFUNCTION("""COMPUTED_VALUE"""),45880.6458333333)</f>
        <v>45880.6458333333</v>
      </c>
      <c r="J97" s="17">
        <f>IFERROR(__xludf.DUMMYFUNCTION("""COMPUTED_VALUE"""),238.62)</f>
        <v>238.62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IFERROR(__xludf.DUMMYFUNCTION("""COMPUTED_VALUE"""),241.72)</f>
        <v>241.72</v>
      </c>
      <c r="C98" s="16">
        <f>IFERROR(__xludf.DUMMYFUNCTION("""COMPUTED_VALUE"""),45881.6458333333)</f>
        <v>45881.6458333333</v>
      </c>
      <c r="D98" s="17">
        <f>IFERROR(__xludf.DUMMYFUNCTION("""COMPUTED_VALUE"""),242.7)</f>
        <v>242.7</v>
      </c>
      <c r="E98" s="16">
        <f>IFERROR(__xludf.DUMMYFUNCTION("""COMPUTED_VALUE"""),45881.6458333333)</f>
        <v>45881.6458333333</v>
      </c>
      <c r="F98" s="17">
        <f>IFERROR(__xludf.DUMMYFUNCTION("""COMPUTED_VALUE"""),8101435)</f>
        <v>8101435</v>
      </c>
      <c r="G98" s="16">
        <f>IFERROR(__xludf.DUMMYFUNCTION("""COMPUTED_VALUE"""),45881.6458333333)</f>
        <v>45881.6458333333</v>
      </c>
      <c r="H98" s="17">
        <f>IFERROR(__xludf.DUMMYFUNCTION("""COMPUTED_VALUE"""),246.29)</f>
        <v>246.29</v>
      </c>
      <c r="I98" s="16">
        <f>IFERROR(__xludf.DUMMYFUNCTION("""COMPUTED_VALUE"""),45881.6458333333)</f>
        <v>45881.6458333333</v>
      </c>
      <c r="J98" s="17">
        <f>IFERROR(__xludf.DUMMYFUNCTION("""COMPUTED_VALUE"""),241.1)</f>
        <v>241.1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IFERROR(__xludf.DUMMYFUNCTION("""COMPUTED_VALUE"""),241.65)</f>
        <v>241.65</v>
      </c>
      <c r="C99" s="16">
        <f>IFERROR(__xludf.DUMMYFUNCTION("""COMPUTED_VALUE"""),45882.6458333333)</f>
        <v>45882.6458333333</v>
      </c>
      <c r="D99" s="17">
        <f>IFERROR(__xludf.DUMMYFUNCTION("""COMPUTED_VALUE"""),242.89)</f>
        <v>242.89</v>
      </c>
      <c r="E99" s="16">
        <f>IFERROR(__xludf.DUMMYFUNCTION("""COMPUTED_VALUE"""),45882.6458333333)</f>
        <v>45882.6458333333</v>
      </c>
      <c r="F99" s="17">
        <f>IFERROR(__xludf.DUMMYFUNCTION("""COMPUTED_VALUE"""),5820844)</f>
        <v>5820844</v>
      </c>
      <c r="G99" s="16">
        <f>IFERROR(__xludf.DUMMYFUNCTION("""COMPUTED_VALUE"""),45882.6458333333)</f>
        <v>45882.6458333333</v>
      </c>
      <c r="H99" s="17">
        <f>IFERROR(__xludf.DUMMYFUNCTION("""COMPUTED_VALUE"""),242.89)</f>
        <v>242.89</v>
      </c>
      <c r="I99" s="16">
        <f>IFERROR(__xludf.DUMMYFUNCTION("""COMPUTED_VALUE"""),45882.6458333333)</f>
        <v>45882.6458333333</v>
      </c>
      <c r="J99" s="17">
        <f>IFERROR(__xludf.DUMMYFUNCTION("""COMPUTED_VALUE"""),240.12)</f>
        <v>240.12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IFERROR(__xludf.DUMMYFUNCTION("""COMPUTED_VALUE"""),246.81)</f>
        <v>246.81</v>
      </c>
      <c r="C100" s="16">
        <f>IFERROR(__xludf.DUMMYFUNCTION("""COMPUTED_VALUE"""),45883.6458333333)</f>
        <v>45883.6458333333</v>
      </c>
      <c r="D100" s="17">
        <f>IFERROR(__xludf.DUMMYFUNCTION("""COMPUTED_VALUE"""),243.1)</f>
        <v>243.1</v>
      </c>
      <c r="E100" s="16">
        <f>IFERROR(__xludf.DUMMYFUNCTION("""COMPUTED_VALUE"""),45883.6458333333)</f>
        <v>45883.6458333333</v>
      </c>
      <c r="F100" s="17">
        <f>IFERROR(__xludf.DUMMYFUNCTION("""COMPUTED_VALUE"""),12857225)</f>
        <v>12857225</v>
      </c>
      <c r="G100" s="16">
        <f>IFERROR(__xludf.DUMMYFUNCTION("""COMPUTED_VALUE"""),45883.6458333333)</f>
        <v>45883.6458333333</v>
      </c>
      <c r="H100" s="17">
        <f>IFERROR(__xludf.DUMMYFUNCTION("""COMPUTED_VALUE"""),248.43)</f>
        <v>248.43</v>
      </c>
      <c r="I100" s="16">
        <f>IFERROR(__xludf.DUMMYFUNCTION("""COMPUTED_VALUE"""),45883.6458333333)</f>
        <v>45883.6458333333</v>
      </c>
      <c r="J100" s="17">
        <f>IFERROR(__xludf.DUMMYFUNCTION("""COMPUTED_VALUE"""),242.41)</f>
        <v>242.41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IFERROR(__xludf.DUMMYFUNCTION("""COMPUTED_VALUE"""),245.21)</f>
        <v>245.21</v>
      </c>
      <c r="C101" s="16">
        <f>IFERROR(__xludf.DUMMYFUNCTION("""COMPUTED_VALUE"""),45887.6458333333)</f>
        <v>45887.6458333333</v>
      </c>
      <c r="D101" s="17">
        <f>IFERROR(__xludf.DUMMYFUNCTION("""COMPUTED_VALUE"""),248.64)</f>
        <v>248.64</v>
      </c>
      <c r="E101" s="16">
        <f>IFERROR(__xludf.DUMMYFUNCTION("""COMPUTED_VALUE"""),45887.6458333333)</f>
        <v>45887.6458333333</v>
      </c>
      <c r="F101" s="17">
        <f>IFERROR(__xludf.DUMMYFUNCTION("""COMPUTED_VALUE"""),5789317)</f>
        <v>5789317</v>
      </c>
      <c r="G101" s="16">
        <f>IFERROR(__xludf.DUMMYFUNCTION("""COMPUTED_VALUE"""),45887.6458333333)</f>
        <v>45887.6458333333</v>
      </c>
      <c r="H101" s="17">
        <f>IFERROR(__xludf.DUMMYFUNCTION("""COMPUTED_VALUE"""),249.01)</f>
        <v>249.01</v>
      </c>
      <c r="I101" s="16">
        <f>IFERROR(__xludf.DUMMYFUNCTION("""COMPUTED_VALUE"""),45887.6458333333)</f>
        <v>45887.6458333333</v>
      </c>
      <c r="J101" s="17">
        <f>IFERROR(__xludf.DUMMYFUNCTION("""COMPUTED_VALUE"""),244.76)</f>
        <v>244.76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IFERROR(__xludf.DUMMYFUNCTION("""COMPUTED_VALUE"""),246.96)</f>
        <v>246.96</v>
      </c>
      <c r="C102" s="16">
        <f>IFERROR(__xludf.DUMMYFUNCTION("""COMPUTED_VALUE"""),45888.6458333333)</f>
        <v>45888.6458333333</v>
      </c>
      <c r="D102" s="17">
        <f>IFERROR(__xludf.DUMMYFUNCTION("""COMPUTED_VALUE"""),245.46)</f>
        <v>245.46</v>
      </c>
      <c r="E102" s="16">
        <f>IFERROR(__xludf.DUMMYFUNCTION("""COMPUTED_VALUE"""),45888.6458333333)</f>
        <v>45888.6458333333</v>
      </c>
      <c r="F102" s="17">
        <f>IFERROR(__xludf.DUMMYFUNCTION("""COMPUTED_VALUE"""),4090961)</f>
        <v>4090961</v>
      </c>
      <c r="G102" s="16">
        <f>IFERROR(__xludf.DUMMYFUNCTION("""COMPUTED_VALUE"""),45888.6458333333)</f>
        <v>45888.6458333333</v>
      </c>
      <c r="H102" s="17">
        <f>IFERROR(__xludf.DUMMYFUNCTION("""COMPUTED_VALUE"""),247.5)</f>
        <v>247.5</v>
      </c>
      <c r="I102" s="16">
        <f>IFERROR(__xludf.DUMMYFUNCTION("""COMPUTED_VALUE"""),45888.6458333333)</f>
        <v>45888.6458333333</v>
      </c>
      <c r="J102" s="17">
        <f>IFERROR(__xludf.DUMMYFUNCTION("""COMPUTED_VALUE"""),244.78)</f>
        <v>244.78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IFERROR(__xludf.DUMMYFUNCTION("""COMPUTED_VALUE"""),250.84)</f>
        <v>250.84</v>
      </c>
      <c r="C103" s="16">
        <f>IFERROR(__xludf.DUMMYFUNCTION("""COMPUTED_VALUE"""),45889.6458333333)</f>
        <v>45889.6458333333</v>
      </c>
      <c r="D103" s="17">
        <f>IFERROR(__xludf.DUMMYFUNCTION("""COMPUTED_VALUE"""),245.3)</f>
        <v>245.3</v>
      </c>
      <c r="E103" s="16">
        <f>IFERROR(__xludf.DUMMYFUNCTION("""COMPUTED_VALUE"""),45889.6458333333)</f>
        <v>45889.6458333333</v>
      </c>
      <c r="F103" s="17">
        <f>IFERROR(__xludf.DUMMYFUNCTION("""COMPUTED_VALUE"""),10099384)</f>
        <v>10099384</v>
      </c>
      <c r="G103" s="16">
        <f>IFERROR(__xludf.DUMMYFUNCTION("""COMPUTED_VALUE"""),45889.6458333333)</f>
        <v>45889.6458333333</v>
      </c>
      <c r="H103" s="17">
        <f>IFERROR(__xludf.DUMMYFUNCTION("""COMPUTED_VALUE"""),252.89)</f>
        <v>252.89</v>
      </c>
      <c r="I103" s="16">
        <f>IFERROR(__xludf.DUMMYFUNCTION("""COMPUTED_VALUE"""),45889.6458333333)</f>
        <v>45889.6458333333</v>
      </c>
      <c r="J103" s="17">
        <f>IFERROR(__xludf.DUMMYFUNCTION("""COMPUTED_VALUE"""),245.3)</f>
        <v>245.3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IFERROR(__xludf.DUMMYFUNCTION("""COMPUTED_VALUE"""),249.91)</f>
        <v>249.91</v>
      </c>
      <c r="C104" s="16">
        <f>IFERROR(__xludf.DUMMYFUNCTION("""COMPUTED_VALUE"""),45890.6458333333)</f>
        <v>45890.6458333333</v>
      </c>
      <c r="D104" s="17">
        <f>IFERROR(__xludf.DUMMYFUNCTION("""COMPUTED_VALUE"""),252.74)</f>
        <v>252.74</v>
      </c>
      <c r="E104" s="16">
        <f>IFERROR(__xludf.DUMMYFUNCTION("""COMPUTED_VALUE"""),45890.6458333333)</f>
        <v>45890.6458333333</v>
      </c>
      <c r="F104" s="17">
        <f>IFERROR(__xludf.DUMMYFUNCTION("""COMPUTED_VALUE"""),7607486)</f>
        <v>7607486</v>
      </c>
      <c r="G104" s="16">
        <f>IFERROR(__xludf.DUMMYFUNCTION("""COMPUTED_VALUE"""),45890.6458333333)</f>
        <v>45890.6458333333</v>
      </c>
      <c r="H104" s="17">
        <f>IFERROR(__xludf.DUMMYFUNCTION("""COMPUTED_VALUE"""),252.74)</f>
        <v>252.74</v>
      </c>
      <c r="I104" s="16">
        <f>IFERROR(__xludf.DUMMYFUNCTION("""COMPUTED_VALUE"""),45890.6458333333)</f>
        <v>45890.6458333333</v>
      </c>
      <c r="J104" s="17">
        <f>IFERROR(__xludf.DUMMYFUNCTION("""COMPUTED_VALUE"""),249.61)</f>
        <v>249.61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IFERROR(__xludf.DUMMYFUNCTION("""COMPUTED_VALUE"""),248.64)</f>
        <v>248.64</v>
      </c>
      <c r="C105" s="16">
        <f>IFERROR(__xludf.DUMMYFUNCTION("""COMPUTED_VALUE"""),45891.6458333333)</f>
        <v>45891.6458333333</v>
      </c>
      <c r="D105" s="17">
        <f>IFERROR(__xludf.DUMMYFUNCTION("""COMPUTED_VALUE"""),252)</f>
        <v>252</v>
      </c>
      <c r="E105" s="16">
        <f>IFERROR(__xludf.DUMMYFUNCTION("""COMPUTED_VALUE"""),45891.6458333333)</f>
        <v>45891.6458333333</v>
      </c>
      <c r="F105" s="17">
        <f>IFERROR(__xludf.DUMMYFUNCTION("""COMPUTED_VALUE"""),13572686)</f>
        <v>13572686</v>
      </c>
      <c r="G105" s="16">
        <f>IFERROR(__xludf.DUMMYFUNCTION("""COMPUTED_VALUE"""),45891.6458333333)</f>
        <v>45891.6458333333</v>
      </c>
      <c r="H105" s="17">
        <f>IFERROR(__xludf.DUMMYFUNCTION("""COMPUTED_VALUE"""),253)</f>
        <v>253</v>
      </c>
      <c r="I105" s="16">
        <f>IFERROR(__xludf.DUMMYFUNCTION("""COMPUTED_VALUE"""),45891.6458333333)</f>
        <v>45891.6458333333</v>
      </c>
      <c r="J105" s="17">
        <f>IFERROR(__xludf.DUMMYFUNCTION("""COMPUTED_VALUE"""),247.61)</f>
        <v>247.61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IFERROR(__xludf.DUMMYFUNCTION("""COMPUTED_VALUE"""),253.84)</f>
        <v>253.84</v>
      </c>
      <c r="C106" s="16">
        <f>IFERROR(__xludf.DUMMYFUNCTION("""COMPUTED_VALUE"""),45894.6458333333)</f>
        <v>45894.6458333333</v>
      </c>
      <c r="D106" s="17">
        <f>IFERROR(__xludf.DUMMYFUNCTION("""COMPUTED_VALUE"""),250.6)</f>
        <v>250.6</v>
      </c>
      <c r="E106" s="16">
        <f>IFERROR(__xludf.DUMMYFUNCTION("""COMPUTED_VALUE"""),45894.6458333333)</f>
        <v>45894.6458333333</v>
      </c>
      <c r="F106" s="17">
        <f>IFERROR(__xludf.DUMMYFUNCTION("""COMPUTED_VALUE"""),16391069)</f>
        <v>16391069</v>
      </c>
      <c r="G106" s="16">
        <f>IFERROR(__xludf.DUMMYFUNCTION("""COMPUTED_VALUE"""),45894.6458333333)</f>
        <v>45894.6458333333</v>
      </c>
      <c r="H106" s="17">
        <f>IFERROR(__xludf.DUMMYFUNCTION("""COMPUTED_VALUE"""),257.29)</f>
        <v>257.29</v>
      </c>
      <c r="I106" s="16">
        <f>IFERROR(__xludf.DUMMYFUNCTION("""COMPUTED_VALUE"""),45894.6458333333)</f>
        <v>45894.6458333333</v>
      </c>
      <c r="J106" s="17">
        <f>IFERROR(__xludf.DUMMYFUNCTION("""COMPUTED_VALUE"""),250.6)</f>
        <v>250.6</v>
      </c>
      <c r="K106" s="3">
        <f t="shared" si="2"/>
        <v>253.84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IFERROR(__xludf.DUMMYFUNCTION("""COMPUTED_VALUE"""),252.03)</f>
        <v>252.03</v>
      </c>
      <c r="C107" s="16">
        <f>IFERROR(__xludf.DUMMYFUNCTION("""COMPUTED_VALUE"""),45895.6458333333)</f>
        <v>45895.6458333333</v>
      </c>
      <c r="D107" s="17">
        <f>IFERROR(__xludf.DUMMYFUNCTION("""COMPUTED_VALUE"""),253)</f>
        <v>253</v>
      </c>
      <c r="E107" s="16">
        <f>IFERROR(__xludf.DUMMYFUNCTION("""COMPUTED_VALUE"""),45895.6458333333)</f>
        <v>45895.6458333333</v>
      </c>
      <c r="F107" s="17">
        <f>IFERROR(__xludf.DUMMYFUNCTION("""COMPUTED_VALUE"""),15797327)</f>
        <v>15797327</v>
      </c>
      <c r="G107" s="16">
        <f>IFERROR(__xludf.DUMMYFUNCTION("""COMPUTED_VALUE"""),45895.6458333333)</f>
        <v>45895.6458333333</v>
      </c>
      <c r="H107" s="17">
        <f>IFERROR(__xludf.DUMMYFUNCTION("""COMPUTED_VALUE"""),254.82)</f>
        <v>254.82</v>
      </c>
      <c r="I107" s="16">
        <f>IFERROR(__xludf.DUMMYFUNCTION("""COMPUTED_VALUE"""),45895.6458333333)</f>
        <v>45895.6458333333</v>
      </c>
      <c r="J107" s="17">
        <f>IFERROR(__xludf.DUMMYFUNCTION("""COMPUTED_VALUE"""),251.31)</f>
        <v>251.31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IFERROR(__xludf.DUMMYFUNCTION("""COMPUTED_VALUE"""),250.65)</f>
        <v>250.65</v>
      </c>
      <c r="C108" s="16">
        <f>IFERROR(__xludf.DUMMYFUNCTION("""COMPUTED_VALUE"""),45897.6458333333)</f>
        <v>45897.6458333333</v>
      </c>
      <c r="D108" s="17">
        <f>IFERROR(__xludf.DUMMYFUNCTION("""COMPUTED_VALUE"""),252.02)</f>
        <v>252.02</v>
      </c>
      <c r="E108" s="16">
        <f>IFERROR(__xludf.DUMMYFUNCTION("""COMPUTED_VALUE"""),45897.6458333333)</f>
        <v>45897.6458333333</v>
      </c>
      <c r="F108" s="17">
        <f>IFERROR(__xludf.DUMMYFUNCTION("""COMPUTED_VALUE"""),5851451)</f>
        <v>5851451</v>
      </c>
      <c r="G108" s="16">
        <f>IFERROR(__xludf.DUMMYFUNCTION("""COMPUTED_VALUE"""),45897.6458333333)</f>
        <v>45897.6458333333</v>
      </c>
      <c r="H108" s="17">
        <f>IFERROR(__xludf.DUMMYFUNCTION("""COMPUTED_VALUE"""),252.35)</f>
        <v>252.35</v>
      </c>
      <c r="I108" s="16">
        <f>IFERROR(__xludf.DUMMYFUNCTION("""COMPUTED_VALUE"""),45897.6458333333)</f>
        <v>45897.6458333333</v>
      </c>
      <c r="J108" s="17">
        <f>IFERROR(__xludf.DUMMYFUNCTION("""COMPUTED_VALUE"""),249.08)</f>
        <v>249.08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IFERROR(__xludf.DUMMYFUNCTION("""COMPUTED_VALUE"""),249.41)</f>
        <v>249.41</v>
      </c>
      <c r="C109" s="16">
        <f>IFERROR(__xludf.DUMMYFUNCTION("""COMPUTED_VALUE"""),45898.6458333333)</f>
        <v>45898.6458333333</v>
      </c>
      <c r="D109" s="17">
        <f>IFERROR(__xludf.DUMMYFUNCTION("""COMPUTED_VALUE"""),250.5)</f>
        <v>250.5</v>
      </c>
      <c r="E109" s="16">
        <f>IFERROR(__xludf.DUMMYFUNCTION("""COMPUTED_VALUE"""),45898.6458333333)</f>
        <v>45898.6458333333</v>
      </c>
      <c r="F109" s="17">
        <f>IFERROR(__xludf.DUMMYFUNCTION("""COMPUTED_VALUE"""),10117017)</f>
        <v>10117017</v>
      </c>
      <c r="G109" s="16">
        <f>IFERROR(__xludf.DUMMYFUNCTION("""COMPUTED_VALUE"""),45898.6458333333)</f>
        <v>45898.6458333333</v>
      </c>
      <c r="H109" s="17">
        <f>IFERROR(__xludf.DUMMYFUNCTION("""COMPUTED_VALUE"""),253.1)</f>
        <v>253.1</v>
      </c>
      <c r="I109" s="16">
        <f>IFERROR(__xludf.DUMMYFUNCTION("""COMPUTED_VALUE"""),45898.6458333333)</f>
        <v>45898.6458333333</v>
      </c>
      <c r="J109" s="17">
        <f>IFERROR(__xludf.DUMMYFUNCTION("""COMPUTED_VALUE"""),248.66)</f>
        <v>248.66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IFERROR(__xludf.DUMMYFUNCTION("""COMPUTED_VALUE"""),250.36)</f>
        <v>250.36</v>
      </c>
      <c r="C110" s="16">
        <f>IFERROR(__xludf.DUMMYFUNCTION("""COMPUTED_VALUE"""),45901.6458333333)</f>
        <v>45901.6458333333</v>
      </c>
      <c r="D110" s="17">
        <f>IFERROR(__xludf.DUMMYFUNCTION("""COMPUTED_VALUE"""),249.42)</f>
        <v>249.42</v>
      </c>
      <c r="E110" s="16">
        <f>IFERROR(__xludf.DUMMYFUNCTION("""COMPUTED_VALUE"""),45901.6458333333)</f>
        <v>45901.6458333333</v>
      </c>
      <c r="F110" s="17">
        <f>IFERROR(__xludf.DUMMYFUNCTION("""COMPUTED_VALUE"""),3198345)</f>
        <v>3198345</v>
      </c>
      <c r="G110" s="16">
        <f>IFERROR(__xludf.DUMMYFUNCTION("""COMPUTED_VALUE"""),45901.6458333333)</f>
        <v>45901.6458333333</v>
      </c>
      <c r="H110" s="17">
        <f>IFERROR(__xludf.DUMMYFUNCTION("""COMPUTED_VALUE"""),252.99)</f>
        <v>252.99</v>
      </c>
      <c r="I110" s="16">
        <f>IFERROR(__xludf.DUMMYFUNCTION("""COMPUTED_VALUE"""),45901.6458333333)</f>
        <v>45901.6458333333</v>
      </c>
      <c r="J110" s="17">
        <f>IFERROR(__xludf.DUMMYFUNCTION("""COMPUTED_VALUE"""),249.4)</f>
        <v>249.4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IFERROR(__xludf.DUMMYFUNCTION("""COMPUTED_VALUE"""),250.93)</f>
        <v>250.93</v>
      </c>
      <c r="C111" s="16">
        <f>IFERROR(__xludf.DUMMYFUNCTION("""COMPUTED_VALUE"""),45902.6458333333)</f>
        <v>45902.6458333333</v>
      </c>
      <c r="D111" s="17">
        <f>IFERROR(__xludf.DUMMYFUNCTION("""COMPUTED_VALUE"""),250.36)</f>
        <v>250.36</v>
      </c>
      <c r="E111" s="16">
        <f>IFERROR(__xludf.DUMMYFUNCTION("""COMPUTED_VALUE"""),45902.6458333333)</f>
        <v>45902.6458333333</v>
      </c>
      <c r="F111" s="17">
        <f>IFERROR(__xludf.DUMMYFUNCTION("""COMPUTED_VALUE"""),5046939)</f>
        <v>5046939</v>
      </c>
      <c r="G111" s="16">
        <f>IFERROR(__xludf.DUMMYFUNCTION("""COMPUTED_VALUE"""),45902.6458333333)</f>
        <v>45902.6458333333</v>
      </c>
      <c r="H111" s="17">
        <f>IFERROR(__xludf.DUMMYFUNCTION("""COMPUTED_VALUE"""),253.15)</f>
        <v>253.15</v>
      </c>
      <c r="I111" s="16">
        <f>IFERROR(__xludf.DUMMYFUNCTION("""COMPUTED_VALUE"""),45902.6458333333)</f>
        <v>45902.6458333333</v>
      </c>
      <c r="J111" s="17">
        <f>IFERROR(__xludf.DUMMYFUNCTION("""COMPUTED_VALUE"""),249.6)</f>
        <v>249.6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IFERROR(__xludf.DUMMYFUNCTION("""COMPUTED_VALUE"""),249.56)</f>
        <v>249.56</v>
      </c>
      <c r="C112" s="16">
        <f>IFERROR(__xludf.DUMMYFUNCTION("""COMPUTED_VALUE"""),45903.6458333333)</f>
        <v>45903.6458333333</v>
      </c>
      <c r="D112" s="17">
        <f>IFERROR(__xludf.DUMMYFUNCTION("""COMPUTED_VALUE"""),251.9)</f>
        <v>251.9</v>
      </c>
      <c r="E112" s="16">
        <f>IFERROR(__xludf.DUMMYFUNCTION("""COMPUTED_VALUE"""),45903.6458333333)</f>
        <v>45903.6458333333</v>
      </c>
      <c r="F112" s="17">
        <f>IFERROR(__xludf.DUMMYFUNCTION("""COMPUTED_VALUE"""),3862765)</f>
        <v>3862765</v>
      </c>
      <c r="G112" s="16">
        <f>IFERROR(__xludf.DUMMYFUNCTION("""COMPUTED_VALUE"""),45903.6458333333)</f>
        <v>45903.6458333333</v>
      </c>
      <c r="H112" s="17">
        <f>IFERROR(__xludf.DUMMYFUNCTION("""COMPUTED_VALUE"""),252.4)</f>
        <v>252.4</v>
      </c>
      <c r="I112" s="16">
        <f>IFERROR(__xludf.DUMMYFUNCTION("""COMPUTED_VALUE"""),45903.6458333333)</f>
        <v>45903.6458333333</v>
      </c>
      <c r="J112" s="17">
        <f>IFERROR(__xludf.DUMMYFUNCTION("""COMPUTED_VALUE"""),249.12)</f>
        <v>249.12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IFERROR(__xludf.DUMMYFUNCTION("""COMPUTED_VALUE"""),244.97)</f>
        <v>244.97</v>
      </c>
      <c r="C113" s="16">
        <f>IFERROR(__xludf.DUMMYFUNCTION("""COMPUTED_VALUE"""),45904.6458333333)</f>
        <v>45904.6458333333</v>
      </c>
      <c r="D113" s="17">
        <f>IFERROR(__xludf.DUMMYFUNCTION("""COMPUTED_VALUE"""),249.5)</f>
        <v>249.5</v>
      </c>
      <c r="E113" s="16">
        <f>IFERROR(__xludf.DUMMYFUNCTION("""COMPUTED_VALUE"""),45904.6458333333)</f>
        <v>45904.6458333333</v>
      </c>
      <c r="F113" s="17">
        <f>IFERROR(__xludf.DUMMYFUNCTION("""COMPUTED_VALUE"""),5021036)</f>
        <v>5021036</v>
      </c>
      <c r="G113" s="16">
        <f>IFERROR(__xludf.DUMMYFUNCTION("""COMPUTED_VALUE"""),45904.6458333333)</f>
        <v>45904.6458333333</v>
      </c>
      <c r="H113" s="17">
        <f>IFERROR(__xludf.DUMMYFUNCTION("""COMPUTED_VALUE"""),250.34)</f>
        <v>250.34</v>
      </c>
      <c r="I113" s="16">
        <f>IFERROR(__xludf.DUMMYFUNCTION("""COMPUTED_VALUE"""),45904.6458333333)</f>
        <v>45904.6458333333</v>
      </c>
      <c r="J113" s="17">
        <f>IFERROR(__xludf.DUMMYFUNCTION("""COMPUTED_VALUE"""),244.44)</f>
        <v>244.44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IFERROR(__xludf.DUMMYFUNCTION("""COMPUTED_VALUE"""),243.67)</f>
        <v>243.67</v>
      </c>
      <c r="C114" s="16">
        <f>IFERROR(__xludf.DUMMYFUNCTION("""COMPUTED_VALUE"""),45905.6458333333)</f>
        <v>45905.6458333333</v>
      </c>
      <c r="D114" s="17">
        <f>IFERROR(__xludf.DUMMYFUNCTION("""COMPUTED_VALUE"""),246.1)</f>
        <v>246.1</v>
      </c>
      <c r="E114" s="16">
        <f>IFERROR(__xludf.DUMMYFUNCTION("""COMPUTED_VALUE"""),45905.6458333333)</f>
        <v>45905.6458333333</v>
      </c>
      <c r="F114" s="17">
        <f>IFERROR(__xludf.DUMMYFUNCTION("""COMPUTED_VALUE"""),6233782)</f>
        <v>6233782</v>
      </c>
      <c r="G114" s="16">
        <f>IFERROR(__xludf.DUMMYFUNCTION("""COMPUTED_VALUE"""),45905.6458333333)</f>
        <v>45905.6458333333</v>
      </c>
      <c r="H114" s="17">
        <f>IFERROR(__xludf.DUMMYFUNCTION("""COMPUTED_VALUE"""),247.32)</f>
        <v>247.32</v>
      </c>
      <c r="I114" s="16">
        <f>IFERROR(__xludf.DUMMYFUNCTION("""COMPUTED_VALUE"""),45905.6458333333)</f>
        <v>45905.6458333333</v>
      </c>
      <c r="J114" s="17">
        <f>IFERROR(__xludf.DUMMYFUNCTION("""COMPUTED_VALUE"""),241.27)</f>
        <v>241.27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IFERROR(__xludf.DUMMYFUNCTION("""COMPUTED_VALUE"""),242.52)</f>
        <v>242.52</v>
      </c>
      <c r="C115" s="16">
        <f>IFERROR(__xludf.DUMMYFUNCTION("""COMPUTED_VALUE"""),45908.6458333333)</f>
        <v>45908.6458333333</v>
      </c>
      <c r="D115" s="17">
        <f>IFERROR(__xludf.DUMMYFUNCTION("""COMPUTED_VALUE"""),244.36)</f>
        <v>244.36</v>
      </c>
      <c r="E115" s="16">
        <f>IFERROR(__xludf.DUMMYFUNCTION("""COMPUTED_VALUE"""),45908.6458333333)</f>
        <v>45908.6458333333</v>
      </c>
      <c r="F115" s="17">
        <f>IFERROR(__xludf.DUMMYFUNCTION("""COMPUTED_VALUE"""),6596932)</f>
        <v>6596932</v>
      </c>
      <c r="G115" s="16">
        <f>IFERROR(__xludf.DUMMYFUNCTION("""COMPUTED_VALUE"""),45908.6458333333)</f>
        <v>45908.6458333333</v>
      </c>
      <c r="H115" s="17">
        <f>IFERROR(__xludf.DUMMYFUNCTION("""COMPUTED_VALUE"""),246.99)</f>
        <v>246.99</v>
      </c>
      <c r="I115" s="16">
        <f>IFERROR(__xludf.DUMMYFUNCTION("""COMPUTED_VALUE"""),45908.6458333333)</f>
        <v>45908.6458333333</v>
      </c>
      <c r="J115" s="17">
        <f>IFERROR(__xludf.DUMMYFUNCTION("""COMPUTED_VALUE"""),242.2)</f>
        <v>242.2</v>
      </c>
      <c r="K115" s="3">
        <f t="shared" si="2"/>
        <v>0</v>
      </c>
      <c r="L115" s="3">
        <f t="shared" si="3"/>
        <v>242.52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IFERROR(__xludf.DUMMYFUNCTION("""COMPUTED_VALUE"""),249.15)</f>
        <v>249.15</v>
      </c>
      <c r="C116" s="16">
        <f>IFERROR(__xludf.DUMMYFUNCTION("""COMPUTED_VALUE"""),45909.6458333333)</f>
        <v>45909.6458333333</v>
      </c>
      <c r="D116" s="17">
        <f>IFERROR(__xludf.DUMMYFUNCTION("""COMPUTED_VALUE"""),245)</f>
        <v>245</v>
      </c>
      <c r="E116" s="16">
        <f>IFERROR(__xludf.DUMMYFUNCTION("""COMPUTED_VALUE"""),45909.6458333333)</f>
        <v>45909.6458333333</v>
      </c>
      <c r="F116" s="17">
        <f>IFERROR(__xludf.DUMMYFUNCTION("""COMPUTED_VALUE"""),12836972)</f>
        <v>12836972</v>
      </c>
      <c r="G116" s="16">
        <f>IFERROR(__xludf.DUMMYFUNCTION("""COMPUTED_VALUE"""),45909.6458333333)</f>
        <v>45909.6458333333</v>
      </c>
      <c r="H116" s="17">
        <f>IFERROR(__xludf.DUMMYFUNCTION("""COMPUTED_VALUE"""),249.85)</f>
        <v>249.85</v>
      </c>
      <c r="I116" s="16">
        <f>IFERROR(__xludf.DUMMYFUNCTION("""COMPUTED_VALUE"""),45909.6458333333)</f>
        <v>45909.6458333333</v>
      </c>
      <c r="J116" s="17">
        <f>IFERROR(__xludf.DUMMYFUNCTION("""COMPUTED_VALUE"""),245)</f>
        <v>245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IFERROR(__xludf.DUMMYFUNCTION("""COMPUTED_VALUE"""),255.75)</f>
        <v>255.75</v>
      </c>
      <c r="C117" s="16">
        <f>IFERROR(__xludf.DUMMYFUNCTION("""COMPUTED_VALUE"""),45910.6458333333)</f>
        <v>45910.6458333333</v>
      </c>
      <c r="D117" s="17">
        <f>IFERROR(__xludf.DUMMYFUNCTION("""COMPUTED_VALUE"""),249.3)</f>
        <v>249.3</v>
      </c>
      <c r="E117" s="16">
        <f>IFERROR(__xludf.DUMMYFUNCTION("""COMPUTED_VALUE"""),45910.6458333333)</f>
        <v>45910.6458333333</v>
      </c>
      <c r="F117" s="17">
        <f>IFERROR(__xludf.DUMMYFUNCTION("""COMPUTED_VALUE"""),15261331)</f>
        <v>15261331</v>
      </c>
      <c r="G117" s="16">
        <f>IFERROR(__xludf.DUMMYFUNCTION("""COMPUTED_VALUE"""),45910.6458333333)</f>
        <v>45910.6458333333</v>
      </c>
      <c r="H117" s="17">
        <f>IFERROR(__xludf.DUMMYFUNCTION("""COMPUTED_VALUE"""),257.17)</f>
        <v>257.17</v>
      </c>
      <c r="I117" s="16">
        <f>IFERROR(__xludf.DUMMYFUNCTION("""COMPUTED_VALUE"""),45910.6458333333)</f>
        <v>45910.6458333333</v>
      </c>
      <c r="J117" s="17">
        <f>IFERROR(__xludf.DUMMYFUNCTION("""COMPUTED_VALUE"""),249.25)</f>
        <v>249.25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IFERROR(__xludf.DUMMYFUNCTION("""COMPUTED_VALUE"""),253.91)</f>
        <v>253.91</v>
      </c>
      <c r="C118" s="16">
        <f>IFERROR(__xludf.DUMMYFUNCTION("""COMPUTED_VALUE"""),45911.6458333333)</f>
        <v>45911.6458333333</v>
      </c>
      <c r="D118" s="17">
        <f>IFERROR(__xludf.DUMMYFUNCTION("""COMPUTED_VALUE"""),255.7)</f>
        <v>255.7</v>
      </c>
      <c r="E118" s="16">
        <f>IFERROR(__xludf.DUMMYFUNCTION("""COMPUTED_VALUE"""),45911.6458333333)</f>
        <v>45911.6458333333</v>
      </c>
      <c r="F118" s="17">
        <f>IFERROR(__xludf.DUMMYFUNCTION("""COMPUTED_VALUE"""),5865301)</f>
        <v>5865301</v>
      </c>
      <c r="G118" s="16">
        <f>IFERROR(__xludf.DUMMYFUNCTION("""COMPUTED_VALUE"""),45911.6458333333)</f>
        <v>45911.6458333333</v>
      </c>
      <c r="H118" s="17">
        <f>IFERROR(__xludf.DUMMYFUNCTION("""COMPUTED_VALUE"""),255.7)</f>
        <v>255.7</v>
      </c>
      <c r="I118" s="16">
        <f>IFERROR(__xludf.DUMMYFUNCTION("""COMPUTED_VALUE"""),45911.6458333333)</f>
        <v>45911.6458333333</v>
      </c>
      <c r="J118" s="17">
        <f>IFERROR(__xludf.DUMMYFUNCTION("""COMPUTED_VALUE"""),252.17)</f>
        <v>252.17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IFERROR(__xludf.DUMMYFUNCTION("""COMPUTED_VALUE"""),251.94)</f>
        <v>251.94</v>
      </c>
      <c r="C119" s="16">
        <f>IFERROR(__xludf.DUMMYFUNCTION("""COMPUTED_VALUE"""),45912.6458333333)</f>
        <v>45912.6458333333</v>
      </c>
      <c r="D119" s="17">
        <f>IFERROR(__xludf.DUMMYFUNCTION("""COMPUTED_VALUE"""),254.88)</f>
        <v>254.88</v>
      </c>
      <c r="E119" s="16">
        <f>IFERROR(__xludf.DUMMYFUNCTION("""COMPUTED_VALUE"""),45912.6458333333)</f>
        <v>45912.6458333333</v>
      </c>
      <c r="F119" s="17">
        <f>IFERROR(__xludf.DUMMYFUNCTION("""COMPUTED_VALUE"""),5345794)</f>
        <v>5345794</v>
      </c>
      <c r="G119" s="16">
        <f>IFERROR(__xludf.DUMMYFUNCTION("""COMPUTED_VALUE"""),45912.6458333333)</f>
        <v>45912.6458333333</v>
      </c>
      <c r="H119" s="17">
        <f>IFERROR(__xludf.DUMMYFUNCTION("""COMPUTED_VALUE"""),255.9)</f>
        <v>255.9</v>
      </c>
      <c r="I119" s="16">
        <f>IFERROR(__xludf.DUMMYFUNCTION("""COMPUTED_VALUE"""),45912.6458333333)</f>
        <v>45912.6458333333</v>
      </c>
      <c r="J119" s="17">
        <f>IFERROR(__xludf.DUMMYFUNCTION("""COMPUTED_VALUE"""),250.82)</f>
        <v>250.82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IFERROR(__xludf.DUMMYFUNCTION("""COMPUTED_VALUE"""),251.28)</f>
        <v>251.28</v>
      </c>
      <c r="C120" s="16">
        <f>IFERROR(__xludf.DUMMYFUNCTION("""COMPUTED_VALUE"""),45915.6458333333)</f>
        <v>45915.6458333333</v>
      </c>
      <c r="D120" s="17">
        <f>IFERROR(__xludf.DUMMYFUNCTION("""COMPUTED_VALUE"""),251.5)</f>
        <v>251.5</v>
      </c>
      <c r="E120" s="16">
        <f>IFERROR(__xludf.DUMMYFUNCTION("""COMPUTED_VALUE"""),45915.6458333333)</f>
        <v>45915.6458333333</v>
      </c>
      <c r="F120" s="17">
        <f>IFERROR(__xludf.DUMMYFUNCTION("""COMPUTED_VALUE"""),3700703)</f>
        <v>3700703</v>
      </c>
      <c r="G120" s="16">
        <f>IFERROR(__xludf.DUMMYFUNCTION("""COMPUTED_VALUE"""),45915.6458333333)</f>
        <v>45915.6458333333</v>
      </c>
      <c r="H120" s="17">
        <f>IFERROR(__xludf.DUMMYFUNCTION("""COMPUTED_VALUE"""),251.79)</f>
        <v>251.79</v>
      </c>
      <c r="I120" s="16">
        <f>IFERROR(__xludf.DUMMYFUNCTION("""COMPUTED_VALUE"""),45915.6458333333)</f>
        <v>45915.6458333333</v>
      </c>
      <c r="J120" s="17">
        <f>IFERROR(__xludf.DUMMYFUNCTION("""COMPUTED_VALUE"""),249.6)</f>
        <v>249.6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IFERROR(__xludf.DUMMYFUNCTION("""COMPUTED_VALUE"""),254.01)</f>
        <v>254.01</v>
      </c>
      <c r="C121" s="16">
        <f>IFERROR(__xludf.DUMMYFUNCTION("""COMPUTED_VALUE"""),45916.6458333333)</f>
        <v>45916.6458333333</v>
      </c>
      <c r="D121" s="17">
        <f>IFERROR(__xludf.DUMMYFUNCTION("""COMPUTED_VALUE"""),252)</f>
        <v>252</v>
      </c>
      <c r="E121" s="16">
        <f>IFERROR(__xludf.DUMMYFUNCTION("""COMPUTED_VALUE"""),45916.6458333333)</f>
        <v>45916.6458333333</v>
      </c>
      <c r="F121" s="17">
        <f>IFERROR(__xludf.DUMMYFUNCTION("""COMPUTED_VALUE"""),7316998)</f>
        <v>7316998</v>
      </c>
      <c r="G121" s="16">
        <f>IFERROR(__xludf.DUMMYFUNCTION("""COMPUTED_VALUE"""),45916.6458333333)</f>
        <v>45916.6458333333</v>
      </c>
      <c r="H121" s="17">
        <f>IFERROR(__xludf.DUMMYFUNCTION("""COMPUTED_VALUE"""),254.5)</f>
        <v>254.5</v>
      </c>
      <c r="I121" s="16">
        <f>IFERROR(__xludf.DUMMYFUNCTION("""COMPUTED_VALUE"""),45916.6458333333)</f>
        <v>45916.6458333333</v>
      </c>
      <c r="J121" s="17">
        <f>IFERROR(__xludf.DUMMYFUNCTION("""COMPUTED_VALUE"""),250.2)</f>
        <v>250.2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IFERROR(__xludf.DUMMYFUNCTION("""COMPUTED_VALUE"""),254.15)</f>
        <v>254.15</v>
      </c>
      <c r="C122" s="16">
        <f>IFERROR(__xludf.DUMMYFUNCTION("""COMPUTED_VALUE"""),45917.6458333333)</f>
        <v>45917.6458333333</v>
      </c>
      <c r="D122" s="17">
        <f>IFERROR(__xludf.DUMMYFUNCTION("""COMPUTED_VALUE"""),253.3)</f>
        <v>253.3</v>
      </c>
      <c r="E122" s="16">
        <f>IFERROR(__xludf.DUMMYFUNCTION("""COMPUTED_VALUE"""),45917.6458333333)</f>
        <v>45917.6458333333</v>
      </c>
      <c r="F122" s="17">
        <f>IFERROR(__xludf.DUMMYFUNCTION("""COMPUTED_VALUE"""),7339871)</f>
        <v>7339871</v>
      </c>
      <c r="G122" s="16">
        <f>IFERROR(__xludf.DUMMYFUNCTION("""COMPUTED_VALUE"""),45917.6458333333)</f>
        <v>45917.6458333333</v>
      </c>
      <c r="H122" s="17">
        <f>IFERROR(__xludf.DUMMYFUNCTION("""COMPUTED_VALUE"""),255.5)</f>
        <v>255.5</v>
      </c>
      <c r="I122" s="16">
        <f>IFERROR(__xludf.DUMMYFUNCTION("""COMPUTED_VALUE"""),45917.6458333333)</f>
        <v>45917.6458333333</v>
      </c>
      <c r="J122" s="17">
        <f>IFERROR(__xludf.DUMMYFUNCTION("""COMPUTED_VALUE"""),252.85)</f>
        <v>252.85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IFERROR(__xludf.DUMMYFUNCTION("""COMPUTED_VALUE"""),256.93)</f>
        <v>256.93</v>
      </c>
      <c r="C123" s="16">
        <f>IFERROR(__xludf.DUMMYFUNCTION("""COMPUTED_VALUE"""),45918.6458333333)</f>
        <v>45918.6458333333</v>
      </c>
      <c r="D123" s="17">
        <f>IFERROR(__xludf.DUMMYFUNCTION("""COMPUTED_VALUE"""),257)</f>
        <v>257</v>
      </c>
      <c r="E123" s="16">
        <f>IFERROR(__xludf.DUMMYFUNCTION("""COMPUTED_VALUE"""),45918.6458333333)</f>
        <v>45918.6458333333</v>
      </c>
      <c r="F123" s="17">
        <f>IFERROR(__xludf.DUMMYFUNCTION("""COMPUTED_VALUE"""),10498239)</f>
        <v>10498239</v>
      </c>
      <c r="G123" s="16">
        <f>IFERROR(__xludf.DUMMYFUNCTION("""COMPUTED_VALUE"""),45918.6458333333)</f>
        <v>45918.6458333333</v>
      </c>
      <c r="H123" s="17">
        <f>IFERROR(__xludf.DUMMYFUNCTION("""COMPUTED_VALUE"""),259.8)</f>
        <v>259.8</v>
      </c>
      <c r="I123" s="16">
        <f>IFERROR(__xludf.DUMMYFUNCTION("""COMPUTED_VALUE"""),45918.6458333333)</f>
        <v>45918.6458333333</v>
      </c>
      <c r="J123" s="17">
        <f>IFERROR(__xludf.DUMMYFUNCTION("""COMPUTED_VALUE"""),256)</f>
        <v>256</v>
      </c>
      <c r="K123" s="3">
        <f t="shared" si="2"/>
        <v>256.93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IFERROR(__xludf.DUMMYFUNCTION("""COMPUTED_VALUE"""),255.88)</f>
        <v>255.88</v>
      </c>
      <c r="C124" s="16">
        <f>IFERROR(__xludf.DUMMYFUNCTION("""COMPUTED_VALUE"""),45919.6458333333)</f>
        <v>45919.6458333333</v>
      </c>
      <c r="D124" s="17">
        <f>IFERROR(__xludf.DUMMYFUNCTION("""COMPUTED_VALUE"""),257)</f>
        <v>257</v>
      </c>
      <c r="E124" s="16">
        <f>IFERROR(__xludf.DUMMYFUNCTION("""COMPUTED_VALUE"""),45919.6458333333)</f>
        <v>45919.6458333333</v>
      </c>
      <c r="F124" s="17">
        <f>IFERROR(__xludf.DUMMYFUNCTION("""COMPUTED_VALUE"""),10741757)</f>
        <v>10741757</v>
      </c>
      <c r="G124" s="16">
        <f>IFERROR(__xludf.DUMMYFUNCTION("""COMPUTED_VALUE"""),45919.6458333333)</f>
        <v>45919.6458333333</v>
      </c>
      <c r="H124" s="17">
        <f>IFERROR(__xludf.DUMMYFUNCTION("""COMPUTED_VALUE"""),257.66)</f>
        <v>257.66</v>
      </c>
      <c r="I124" s="16">
        <f>IFERROR(__xludf.DUMMYFUNCTION("""COMPUTED_VALUE"""),45919.6458333333)</f>
        <v>45919.6458333333</v>
      </c>
      <c r="J124" s="17">
        <f>IFERROR(__xludf.DUMMYFUNCTION("""COMPUTED_VALUE"""),254.7)</f>
        <v>254.7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IFERROR(__xludf.DUMMYFUNCTION("""COMPUTED_VALUE"""),250.33)</f>
        <v>250.33</v>
      </c>
      <c r="C125" s="16">
        <f>IFERROR(__xludf.DUMMYFUNCTION("""COMPUTED_VALUE"""),45922.6458333333)</f>
        <v>45922.6458333333</v>
      </c>
      <c r="D125" s="17">
        <f>IFERROR(__xludf.DUMMYFUNCTION("""COMPUTED_VALUE"""),248.55)</f>
        <v>248.55</v>
      </c>
      <c r="E125" s="16">
        <f>IFERROR(__xludf.DUMMYFUNCTION("""COMPUTED_VALUE"""),45922.6458333333)</f>
        <v>45922.6458333333</v>
      </c>
      <c r="F125" s="17">
        <f>IFERROR(__xludf.DUMMYFUNCTION("""COMPUTED_VALUE"""),15784007)</f>
        <v>15784007</v>
      </c>
      <c r="G125" s="16">
        <f>IFERROR(__xludf.DUMMYFUNCTION("""COMPUTED_VALUE"""),45922.6458333333)</f>
        <v>45922.6458333333</v>
      </c>
      <c r="H125" s="17">
        <f>IFERROR(__xludf.DUMMYFUNCTION("""COMPUTED_VALUE"""),251.78)</f>
        <v>251.78</v>
      </c>
      <c r="I125" s="16">
        <f>IFERROR(__xludf.DUMMYFUNCTION("""COMPUTED_VALUE"""),45922.6458333333)</f>
        <v>45922.6458333333</v>
      </c>
      <c r="J125" s="17">
        <f>IFERROR(__xludf.DUMMYFUNCTION("""COMPUTED_VALUE"""),247.21)</f>
        <v>247.21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IFERROR(__xludf.DUMMYFUNCTION("""COMPUTED_VALUE"""),249.63)</f>
        <v>249.63</v>
      </c>
      <c r="C126" s="16">
        <f>IFERROR(__xludf.DUMMYFUNCTION("""COMPUTED_VALUE"""),45923.6458333333)</f>
        <v>45923.6458333333</v>
      </c>
      <c r="D126" s="17">
        <f>IFERROR(__xludf.DUMMYFUNCTION("""COMPUTED_VALUE"""),250.22)</f>
        <v>250.22</v>
      </c>
      <c r="E126" s="16">
        <f>IFERROR(__xludf.DUMMYFUNCTION("""COMPUTED_VALUE"""),45923.6458333333)</f>
        <v>45923.6458333333</v>
      </c>
      <c r="F126" s="17">
        <f>IFERROR(__xludf.DUMMYFUNCTION("""COMPUTED_VALUE"""),8674114)</f>
        <v>8674114</v>
      </c>
      <c r="G126" s="16">
        <f>IFERROR(__xludf.DUMMYFUNCTION("""COMPUTED_VALUE"""),45923.6458333333)</f>
        <v>45923.6458333333</v>
      </c>
      <c r="H126" s="17">
        <f>IFERROR(__xludf.DUMMYFUNCTION("""COMPUTED_VALUE"""),252)</f>
        <v>252</v>
      </c>
      <c r="I126" s="16">
        <f>IFERROR(__xludf.DUMMYFUNCTION("""COMPUTED_VALUE"""),45923.6458333333)</f>
        <v>45923.6458333333</v>
      </c>
      <c r="J126" s="17">
        <f>IFERROR(__xludf.DUMMYFUNCTION("""COMPUTED_VALUE"""),248.75)</f>
        <v>248.75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IFERROR(__xludf.DUMMYFUNCTION("""COMPUTED_VALUE"""),244.59)</f>
        <v>244.59</v>
      </c>
      <c r="C127" s="16">
        <f>IFERROR(__xludf.DUMMYFUNCTION("""COMPUTED_VALUE"""),45924.6458333333)</f>
        <v>45924.6458333333</v>
      </c>
      <c r="D127" s="17">
        <f>IFERROR(__xludf.DUMMYFUNCTION("""COMPUTED_VALUE"""),248.33)</f>
        <v>248.33</v>
      </c>
      <c r="E127" s="16">
        <f>IFERROR(__xludf.DUMMYFUNCTION("""COMPUTED_VALUE"""),45924.6458333333)</f>
        <v>45924.6458333333</v>
      </c>
      <c r="F127" s="17">
        <f>IFERROR(__xludf.DUMMYFUNCTION("""COMPUTED_VALUE"""),7888797)</f>
        <v>7888797</v>
      </c>
      <c r="G127" s="16">
        <f>IFERROR(__xludf.DUMMYFUNCTION("""COMPUTED_VALUE"""),45924.6458333333)</f>
        <v>45924.6458333333</v>
      </c>
      <c r="H127" s="17">
        <f>IFERROR(__xludf.DUMMYFUNCTION("""COMPUTED_VALUE"""),249.12)</f>
        <v>249.12</v>
      </c>
      <c r="I127" s="16">
        <f>IFERROR(__xludf.DUMMYFUNCTION("""COMPUTED_VALUE"""),45924.6458333333)</f>
        <v>45924.6458333333</v>
      </c>
      <c r="J127" s="17">
        <f>IFERROR(__xludf.DUMMYFUNCTION("""COMPUTED_VALUE"""),244.25)</f>
        <v>244.25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IFERROR(__xludf.DUMMYFUNCTION("""COMPUTED_VALUE"""),242)</f>
        <v>242</v>
      </c>
      <c r="C128" s="16">
        <f>IFERROR(__xludf.DUMMYFUNCTION("""COMPUTED_VALUE"""),45925.6458333333)</f>
        <v>45925.6458333333</v>
      </c>
      <c r="D128" s="17">
        <f>IFERROR(__xludf.DUMMYFUNCTION("""COMPUTED_VALUE"""),245.45)</f>
        <v>245.45</v>
      </c>
      <c r="E128" s="16">
        <f>IFERROR(__xludf.DUMMYFUNCTION("""COMPUTED_VALUE"""),45925.6458333333)</f>
        <v>45925.6458333333</v>
      </c>
      <c r="F128" s="17">
        <f>IFERROR(__xludf.DUMMYFUNCTION("""COMPUTED_VALUE"""),7957740)</f>
        <v>7957740</v>
      </c>
      <c r="G128" s="16">
        <f>IFERROR(__xludf.DUMMYFUNCTION("""COMPUTED_VALUE"""),45925.6458333333)</f>
        <v>45925.6458333333</v>
      </c>
      <c r="H128" s="17">
        <f>IFERROR(__xludf.DUMMYFUNCTION("""COMPUTED_VALUE"""),245.64)</f>
        <v>245.64</v>
      </c>
      <c r="I128" s="16">
        <f>IFERROR(__xludf.DUMMYFUNCTION("""COMPUTED_VALUE"""),45925.6458333333)</f>
        <v>45925.6458333333</v>
      </c>
      <c r="J128" s="17">
        <f>IFERROR(__xludf.DUMMYFUNCTION("""COMPUTED_VALUE"""),241.28)</f>
        <v>241.28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IFERROR(__xludf.DUMMYFUNCTION("""COMPUTED_VALUE"""),235.75)</f>
        <v>235.75</v>
      </c>
      <c r="C129" s="16">
        <f>IFERROR(__xludf.DUMMYFUNCTION("""COMPUTED_VALUE"""),45926.6458333333)</f>
        <v>45926.6458333333</v>
      </c>
      <c r="D129" s="17">
        <f>IFERROR(__xludf.DUMMYFUNCTION("""COMPUTED_VALUE"""),241.45)</f>
        <v>241.45</v>
      </c>
      <c r="E129" s="16">
        <f>IFERROR(__xludf.DUMMYFUNCTION("""COMPUTED_VALUE"""),45926.6458333333)</f>
        <v>45926.6458333333</v>
      </c>
      <c r="F129" s="17">
        <f>IFERROR(__xludf.DUMMYFUNCTION("""COMPUTED_VALUE"""),16999628)</f>
        <v>16999628</v>
      </c>
      <c r="G129" s="16">
        <f>IFERROR(__xludf.DUMMYFUNCTION("""COMPUTED_VALUE"""),45926.6458333333)</f>
        <v>45926.6458333333</v>
      </c>
      <c r="H129" s="17">
        <f>IFERROR(__xludf.DUMMYFUNCTION("""COMPUTED_VALUE"""),241.55)</f>
        <v>241.55</v>
      </c>
      <c r="I129" s="16">
        <f>IFERROR(__xludf.DUMMYFUNCTION("""COMPUTED_VALUE"""),45926.6458333333)</f>
        <v>45926.6458333333</v>
      </c>
      <c r="J129" s="17">
        <f>IFERROR(__xludf.DUMMYFUNCTION("""COMPUTED_VALUE"""),235.01)</f>
        <v>235.01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94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""price"")"),20.99)</f>
        <v>20.99</v>
      </c>
      <c r="I3" s="22" t="s">
        <v>269</v>
      </c>
      <c r="J3" s="23">
        <f>IFERROR(__xludf.DUMMYFUNCTION("GOOGLEFINANCE(L3, ""volume"")"),85479445)</f>
        <v>85479445</v>
      </c>
      <c r="K3" s="24" t="s">
        <v>270</v>
      </c>
      <c r="L3" s="25" t="str">
        <f>Mastersheet!B43</f>
        <v>NSE:YESBANK</v>
      </c>
      <c r="M3" s="26">
        <f>IFERROR(__xludf.DUMMYFUNCTION("""COMPUTED_VALUE"""),45926.6458333333)</f>
        <v>45926.6458333333</v>
      </c>
      <c r="N3" s="27">
        <f>IFERROR(__xludf.DUMMYFUNCTION("""COMPUTED_VALUE"""),20.97)</f>
        <v>20.97</v>
      </c>
      <c r="O3" s="26">
        <f>IFERROR(__xludf.DUMMYFUNCTION("""COMPUTED_VALUE"""),45926.6458333333)</f>
        <v>45926.6458333333</v>
      </c>
      <c r="P3" s="27">
        <f>IFERROR(__xludf.DUMMYFUNCTION("""COMPUTED_VALUE"""),21.35)</f>
        <v>21.35</v>
      </c>
      <c r="Q3" s="16">
        <f>IFERROR(__xludf.DUMMYFUNCTION("""COMPUTED_VALUE"""),45926.6458333333)</f>
        <v>45926.6458333333</v>
      </c>
      <c r="R3" s="17">
        <f>IFERROR(__xludf.DUMMYFUNCTION("""COMPUTED_VALUE"""),21.4)</f>
        <v>21.4</v>
      </c>
      <c r="S3" s="16">
        <f>IFERROR(__xludf.DUMMYFUNCTION("""COMPUTED_VALUE"""),45926.6458333333)</f>
        <v>45926.6458333333</v>
      </c>
      <c r="T3" s="17">
        <f>IFERROR(__xludf.DUMMYFUNCTION("""COMPUTED_VALUE"""),20.9)</f>
        <v>20.9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IFERROR(__xludf.DUMMYFUNCTION("""COMPUTED_VALUE"""),17.26)</f>
        <v>17.26</v>
      </c>
      <c r="C5" s="14">
        <f>IFERROR(__xludf.DUMMYFUNCTION("""COMPUTED_VALUE"""),45743.6458333333)</f>
        <v>45743.6458333333</v>
      </c>
      <c r="D5" s="15">
        <f>IFERROR(__xludf.DUMMYFUNCTION("""COMPUTED_VALUE"""),16.93)</f>
        <v>16.93</v>
      </c>
      <c r="E5" s="14">
        <f>IFERROR(__xludf.DUMMYFUNCTION("""COMPUTED_VALUE"""),45743.6458333333)</f>
        <v>45743.6458333333</v>
      </c>
      <c r="F5" s="15">
        <f>IFERROR(__xludf.DUMMYFUNCTION("""COMPUTED_VALUE"""),214871192)</f>
        <v>214871192</v>
      </c>
      <c r="G5" s="14">
        <f>IFERROR(__xludf.DUMMYFUNCTION("""COMPUTED_VALUE"""),45743.6458333333)</f>
        <v>45743.6458333333</v>
      </c>
      <c r="H5" s="15">
        <f>IFERROR(__xludf.DUMMYFUNCTION("""COMPUTED_VALUE"""),17.5)</f>
        <v>17.5</v>
      </c>
      <c r="I5" s="30">
        <f>IFERROR(__xludf.DUMMYFUNCTION("""COMPUTED_VALUE"""),45743.6458333333)</f>
        <v>45743.6458333333</v>
      </c>
      <c r="J5" s="3">
        <f>IFERROR(__xludf.DUMMYFUNCTION("""COMPUTED_VALUE"""),16.78)</f>
        <v>16.78</v>
      </c>
      <c r="K5" s="5"/>
      <c r="L5" s="5"/>
      <c r="M5" s="3">
        <f t="array" ref="M5">INDEX(K11:K124,MATCH(SMALL(ABS(K11:K124-H3),1),ABS(K11:K124-H3),0))</f>
        <v>20.46</v>
      </c>
      <c r="N5" s="3">
        <f t="array" ref="N5">INDEX(K11:K124,MATCH(SMALL(ABS(K11:K124-H3),2),ABS(K11:K124-H3),0))</f>
        <v>20.43</v>
      </c>
      <c r="O5" s="3">
        <f t="array" ref="O5">INDEX(L11:L124,MATCH(SMALL(ABS(L11:L124-H3),1),ABS(L11:L124-H3),0))</f>
        <v>19.66</v>
      </c>
      <c r="P5" s="3">
        <f t="array" ref="P5">INDEX(L11:L124,MATCH(SMALL(ABS(L11:L124-H3),2),ABS(L11:L124-H3),0))</f>
        <v>19.41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18.82</v>
      </c>
      <c r="T5" s="17">
        <f ca="1">IF(AND(H3&gt;=Mastersheet!I3*S5,H3&lt;=Mastersheet!J3*S5),1,0)</f>
        <v>0</v>
      </c>
      <c r="U5" s="36">
        <f>(N3+P3)/2</f>
        <v>21.16</v>
      </c>
      <c r="V5" s="17">
        <f>(N3+P3+R3+T3)/4</f>
        <v>21.155</v>
      </c>
      <c r="W5" s="17">
        <f>IF(V5&gt;U5,1,0)</f>
        <v>0</v>
      </c>
      <c r="X5" s="17">
        <f>IF(V5&gt;U5,0,1)</f>
        <v>1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IFERROR(__xludf.DUMMYFUNCTION("""COMPUTED_VALUE"""),16.88)</f>
        <v>16.88</v>
      </c>
      <c r="C6" s="16">
        <f>IFERROR(__xludf.DUMMYFUNCTION("""COMPUTED_VALUE"""),45744.6458333333)</f>
        <v>45744.6458333333</v>
      </c>
      <c r="D6" s="17">
        <f>IFERROR(__xludf.DUMMYFUNCTION("""COMPUTED_VALUE"""),17.26)</f>
        <v>17.26</v>
      </c>
      <c r="E6" s="16">
        <f>IFERROR(__xludf.DUMMYFUNCTION("""COMPUTED_VALUE"""),45744.6458333333)</f>
        <v>45744.6458333333</v>
      </c>
      <c r="F6" s="17">
        <f>IFERROR(__xludf.DUMMYFUNCTION("""COMPUTED_VALUE"""),98061236)</f>
        <v>98061236</v>
      </c>
      <c r="G6" s="16">
        <f>IFERROR(__xludf.DUMMYFUNCTION("""COMPUTED_VALUE"""),45744.6458333333)</f>
        <v>45744.6458333333</v>
      </c>
      <c r="H6" s="17">
        <f>IFERROR(__xludf.DUMMYFUNCTION("""COMPUTED_VALUE"""),17.5)</f>
        <v>17.5</v>
      </c>
      <c r="I6" s="16">
        <f>IFERROR(__xludf.DUMMYFUNCTION("""COMPUTED_VALUE"""),45744.6458333333)</f>
        <v>45744.6458333333</v>
      </c>
      <c r="J6" s="17">
        <f>IFERROR(__xludf.DUMMYFUNCTION("""COMPUTED_VALUE"""),16.83)</f>
        <v>16.83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1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IFERROR(__xludf.DUMMYFUNCTION("""COMPUTED_VALUE"""),17.33)</f>
        <v>17.33</v>
      </c>
      <c r="C7" s="16">
        <f>IFERROR(__xludf.DUMMYFUNCTION("""COMPUTED_VALUE"""),45748.6458333333)</f>
        <v>45748.6458333333</v>
      </c>
      <c r="D7" s="17">
        <f>IFERROR(__xludf.DUMMYFUNCTION("""COMPUTED_VALUE"""),16.74)</f>
        <v>16.74</v>
      </c>
      <c r="E7" s="16">
        <f>IFERROR(__xludf.DUMMYFUNCTION("""COMPUTED_VALUE"""),45748.6458333333)</f>
        <v>45748.6458333333</v>
      </c>
      <c r="F7" s="17">
        <f>IFERROR(__xludf.DUMMYFUNCTION("""COMPUTED_VALUE"""),90534491)</f>
        <v>90534491</v>
      </c>
      <c r="G7" s="16">
        <f>IFERROR(__xludf.DUMMYFUNCTION("""COMPUTED_VALUE"""),45748.6458333333)</f>
        <v>45748.6458333333</v>
      </c>
      <c r="H7" s="17">
        <f>IFERROR(__xludf.DUMMYFUNCTION("""COMPUTED_VALUE"""),17.43)</f>
        <v>17.43</v>
      </c>
      <c r="I7" s="16">
        <f>IFERROR(__xludf.DUMMYFUNCTION("""COMPUTED_VALUE"""),45748.6458333333)</f>
        <v>45748.6458333333</v>
      </c>
      <c r="J7" s="17">
        <f>IFERROR(__xludf.DUMMYFUNCTION("""COMPUTED_VALUE"""),16.63)</f>
        <v>16.63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IFERROR(__xludf.DUMMYFUNCTION("""COMPUTED_VALUE"""),17.4)</f>
        <v>17.4</v>
      </c>
      <c r="C8" s="16">
        <f>IFERROR(__xludf.DUMMYFUNCTION("""COMPUTED_VALUE"""),45749.6458333333)</f>
        <v>45749.6458333333</v>
      </c>
      <c r="D8" s="17">
        <f>IFERROR(__xludf.DUMMYFUNCTION("""COMPUTED_VALUE"""),17.2)</f>
        <v>17.2</v>
      </c>
      <c r="E8" s="16">
        <f>IFERROR(__xludf.DUMMYFUNCTION("""COMPUTED_VALUE"""),45749.6458333333)</f>
        <v>45749.6458333333</v>
      </c>
      <c r="F8" s="17">
        <f>IFERROR(__xludf.DUMMYFUNCTION("""COMPUTED_VALUE"""),67818784)</f>
        <v>67818784</v>
      </c>
      <c r="G8" s="16">
        <f>IFERROR(__xludf.DUMMYFUNCTION("""COMPUTED_VALUE"""),45749.6458333333)</f>
        <v>45749.6458333333</v>
      </c>
      <c r="H8" s="17">
        <f>IFERROR(__xludf.DUMMYFUNCTION("""COMPUTED_VALUE"""),17.45)</f>
        <v>17.45</v>
      </c>
      <c r="I8" s="16">
        <f>IFERROR(__xludf.DUMMYFUNCTION("""COMPUTED_VALUE"""),45749.6458333333)</f>
        <v>45749.6458333333</v>
      </c>
      <c r="J8" s="17">
        <f>IFERROR(__xludf.DUMMYFUNCTION("""COMPUTED_VALUE"""),17.01)</f>
        <v>17.01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IFERROR(__xludf.DUMMYFUNCTION("""COMPUTED_VALUE"""),17.95)</f>
        <v>17.95</v>
      </c>
      <c r="C9" s="16">
        <f>IFERROR(__xludf.DUMMYFUNCTION("""COMPUTED_VALUE"""),45750.6458333333)</f>
        <v>45750.6458333333</v>
      </c>
      <c r="D9" s="17">
        <f>IFERROR(__xludf.DUMMYFUNCTION("""COMPUTED_VALUE"""),17.11)</f>
        <v>17.11</v>
      </c>
      <c r="E9" s="16">
        <f>IFERROR(__xludf.DUMMYFUNCTION("""COMPUTED_VALUE"""),45750.6458333333)</f>
        <v>45750.6458333333</v>
      </c>
      <c r="F9" s="17">
        <f>IFERROR(__xludf.DUMMYFUNCTION("""COMPUTED_VALUE"""),94350870)</f>
        <v>94350870</v>
      </c>
      <c r="G9" s="16">
        <f>IFERROR(__xludf.DUMMYFUNCTION("""COMPUTED_VALUE"""),45750.6458333333)</f>
        <v>45750.6458333333</v>
      </c>
      <c r="H9" s="17">
        <f>IFERROR(__xludf.DUMMYFUNCTION("""COMPUTED_VALUE"""),18.04)</f>
        <v>18.04</v>
      </c>
      <c r="I9" s="16">
        <f>IFERROR(__xludf.DUMMYFUNCTION("""COMPUTED_VALUE"""),45750.6458333333)</f>
        <v>45750.6458333333</v>
      </c>
      <c r="J9" s="17">
        <f>IFERROR(__xludf.DUMMYFUNCTION("""COMPUTED_VALUE"""),17.11)</f>
        <v>17.11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IFERROR(__xludf.DUMMYFUNCTION("""COMPUTED_VALUE"""),17.19)</f>
        <v>17.19</v>
      </c>
      <c r="C10" s="16">
        <f>IFERROR(__xludf.DUMMYFUNCTION("""COMPUTED_VALUE"""),45751.6458333333)</f>
        <v>45751.6458333333</v>
      </c>
      <c r="D10" s="17">
        <f>IFERROR(__xludf.DUMMYFUNCTION("""COMPUTED_VALUE"""),17.94)</f>
        <v>17.94</v>
      </c>
      <c r="E10" s="16">
        <f>IFERROR(__xludf.DUMMYFUNCTION("""COMPUTED_VALUE"""),45751.6458333333)</f>
        <v>45751.6458333333</v>
      </c>
      <c r="F10" s="17">
        <f>IFERROR(__xludf.DUMMYFUNCTION("""COMPUTED_VALUE"""),111241105)</f>
        <v>111241105</v>
      </c>
      <c r="G10" s="16">
        <f>IFERROR(__xludf.DUMMYFUNCTION("""COMPUTED_VALUE"""),45751.6458333333)</f>
        <v>45751.6458333333</v>
      </c>
      <c r="H10" s="17">
        <f>IFERROR(__xludf.DUMMYFUNCTION("""COMPUTED_VALUE"""),17.96)</f>
        <v>17.96</v>
      </c>
      <c r="I10" s="16">
        <f>IFERROR(__xludf.DUMMYFUNCTION("""COMPUTED_VALUE"""),45751.6458333333)</f>
        <v>45751.6458333333</v>
      </c>
      <c r="J10" s="17">
        <f>IFERROR(__xludf.DUMMYFUNCTION("""COMPUTED_VALUE"""),17.11)</f>
        <v>17.11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IFERROR(__xludf.DUMMYFUNCTION("""COMPUTED_VALUE"""),16.85)</f>
        <v>16.85</v>
      </c>
      <c r="C11" s="16">
        <f>IFERROR(__xludf.DUMMYFUNCTION("""COMPUTED_VALUE"""),45754.6458333333)</f>
        <v>45754.6458333333</v>
      </c>
      <c r="D11" s="17">
        <f>IFERROR(__xludf.DUMMYFUNCTION("""COMPUTED_VALUE"""),16.21)</f>
        <v>16.21</v>
      </c>
      <c r="E11" s="16">
        <f>IFERROR(__xludf.DUMMYFUNCTION("""COMPUTED_VALUE"""),45754.6458333333)</f>
        <v>45754.6458333333</v>
      </c>
      <c r="F11" s="17">
        <f>IFERROR(__xludf.DUMMYFUNCTION("""COMPUTED_VALUE"""),122495456)</f>
        <v>122495456</v>
      </c>
      <c r="G11" s="16">
        <f>IFERROR(__xludf.DUMMYFUNCTION("""COMPUTED_VALUE"""),45754.6458333333)</f>
        <v>45754.6458333333</v>
      </c>
      <c r="H11" s="17">
        <f>IFERROR(__xludf.DUMMYFUNCTION("""COMPUTED_VALUE"""),16.93)</f>
        <v>16.93</v>
      </c>
      <c r="I11" s="16">
        <f>IFERROR(__xludf.DUMMYFUNCTION("""COMPUTED_VALUE"""),45754.6458333333)</f>
        <v>45754.6458333333</v>
      </c>
      <c r="J11" s="17">
        <f>IFERROR(__xludf.DUMMYFUNCTION("""COMPUTED_VALUE"""),16.16)</f>
        <v>16.16</v>
      </c>
      <c r="K11" s="3">
        <f t="shared" ref="K11:K125" si="2">IF(B11=MAX(B5:B17),B11,0)</f>
        <v>0</v>
      </c>
      <c r="L11" s="3">
        <f t="shared" ref="L11:L125" si="3">IF(B11=MIN(B5:B17),B11,0)</f>
        <v>16.85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IFERROR(__xludf.DUMMYFUNCTION("""COMPUTED_VALUE"""),17.17)</f>
        <v>17.17</v>
      </c>
      <c r="C12" s="16">
        <f>IFERROR(__xludf.DUMMYFUNCTION("""COMPUTED_VALUE"""),45755.6458333333)</f>
        <v>45755.6458333333</v>
      </c>
      <c r="D12" s="17">
        <f>IFERROR(__xludf.DUMMYFUNCTION("""COMPUTED_VALUE"""),17.05)</f>
        <v>17.05</v>
      </c>
      <c r="E12" s="16">
        <f>IFERROR(__xludf.DUMMYFUNCTION("""COMPUTED_VALUE"""),45755.6458333333)</f>
        <v>45755.6458333333</v>
      </c>
      <c r="F12" s="17">
        <f>IFERROR(__xludf.DUMMYFUNCTION("""COMPUTED_VALUE"""),81632731)</f>
        <v>81632731</v>
      </c>
      <c r="G12" s="16">
        <f>IFERROR(__xludf.DUMMYFUNCTION("""COMPUTED_VALUE"""),45755.6458333333)</f>
        <v>45755.6458333333</v>
      </c>
      <c r="H12" s="17">
        <f>IFERROR(__xludf.DUMMYFUNCTION("""COMPUTED_VALUE"""),17.35)</f>
        <v>17.35</v>
      </c>
      <c r="I12" s="16">
        <f>IFERROR(__xludf.DUMMYFUNCTION("""COMPUTED_VALUE"""),45755.6458333333)</f>
        <v>45755.6458333333</v>
      </c>
      <c r="J12" s="17">
        <f>IFERROR(__xludf.DUMMYFUNCTION("""COMPUTED_VALUE"""),16.9)</f>
        <v>16.9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IFERROR(__xludf.DUMMYFUNCTION("""COMPUTED_VALUE"""),17.16)</f>
        <v>17.16</v>
      </c>
      <c r="C13" s="16">
        <f>IFERROR(__xludf.DUMMYFUNCTION("""COMPUTED_VALUE"""),45756.6458333333)</f>
        <v>45756.6458333333</v>
      </c>
      <c r="D13" s="17">
        <f>IFERROR(__xludf.DUMMYFUNCTION("""COMPUTED_VALUE"""),17.14)</f>
        <v>17.14</v>
      </c>
      <c r="E13" s="16">
        <f>IFERROR(__xludf.DUMMYFUNCTION("""COMPUTED_VALUE"""),45756.6458333333)</f>
        <v>45756.6458333333</v>
      </c>
      <c r="F13" s="17">
        <f>IFERROR(__xludf.DUMMYFUNCTION("""COMPUTED_VALUE"""),69547580)</f>
        <v>69547580</v>
      </c>
      <c r="G13" s="16">
        <f>IFERROR(__xludf.DUMMYFUNCTION("""COMPUTED_VALUE"""),45756.6458333333)</f>
        <v>45756.6458333333</v>
      </c>
      <c r="H13" s="17">
        <f>IFERROR(__xludf.DUMMYFUNCTION("""COMPUTED_VALUE"""),17.3)</f>
        <v>17.3</v>
      </c>
      <c r="I13" s="16">
        <f>IFERROR(__xludf.DUMMYFUNCTION("""COMPUTED_VALUE"""),45756.6458333333)</f>
        <v>45756.6458333333</v>
      </c>
      <c r="J13" s="17">
        <f>IFERROR(__xludf.DUMMYFUNCTION("""COMPUTED_VALUE"""),16.9)</f>
        <v>16.9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IFERROR(__xludf.DUMMYFUNCTION("""COMPUTED_VALUE"""),17.15)</f>
        <v>17.15</v>
      </c>
      <c r="C14" s="16">
        <f>IFERROR(__xludf.DUMMYFUNCTION("""COMPUTED_VALUE"""),45758.6458333333)</f>
        <v>45758.6458333333</v>
      </c>
      <c r="D14" s="17">
        <f>IFERROR(__xludf.DUMMYFUNCTION("""COMPUTED_VALUE"""),17.5)</f>
        <v>17.5</v>
      </c>
      <c r="E14" s="16">
        <f>IFERROR(__xludf.DUMMYFUNCTION("""COMPUTED_VALUE"""),45758.6458333333)</f>
        <v>45758.6458333333</v>
      </c>
      <c r="F14" s="17">
        <f>IFERROR(__xludf.DUMMYFUNCTION("""COMPUTED_VALUE"""),52543433)</f>
        <v>52543433</v>
      </c>
      <c r="G14" s="16">
        <f>IFERROR(__xludf.DUMMYFUNCTION("""COMPUTED_VALUE"""),45758.6458333333)</f>
        <v>45758.6458333333</v>
      </c>
      <c r="H14" s="17">
        <f>IFERROR(__xludf.DUMMYFUNCTION("""COMPUTED_VALUE"""),17.5)</f>
        <v>17.5</v>
      </c>
      <c r="I14" s="16">
        <f>IFERROR(__xludf.DUMMYFUNCTION("""COMPUTED_VALUE"""),45758.6458333333)</f>
        <v>45758.6458333333</v>
      </c>
      <c r="J14" s="17">
        <f>IFERROR(__xludf.DUMMYFUNCTION("""COMPUTED_VALUE"""),17.11)</f>
        <v>17.11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IFERROR(__xludf.DUMMYFUNCTION("""COMPUTED_VALUE"""),17.52)</f>
        <v>17.52</v>
      </c>
      <c r="C15" s="16">
        <f>IFERROR(__xludf.DUMMYFUNCTION("""COMPUTED_VALUE"""),45762.6458333333)</f>
        <v>45762.6458333333</v>
      </c>
      <c r="D15" s="17">
        <f>IFERROR(__xludf.DUMMYFUNCTION("""COMPUTED_VALUE"""),17.49)</f>
        <v>17.49</v>
      </c>
      <c r="E15" s="16">
        <f>IFERROR(__xludf.DUMMYFUNCTION("""COMPUTED_VALUE"""),45762.6458333333)</f>
        <v>45762.6458333333</v>
      </c>
      <c r="F15" s="17">
        <f>IFERROR(__xludf.DUMMYFUNCTION("""COMPUTED_VALUE"""),61294441)</f>
        <v>61294441</v>
      </c>
      <c r="G15" s="16">
        <f>IFERROR(__xludf.DUMMYFUNCTION("""COMPUTED_VALUE"""),45762.6458333333)</f>
        <v>45762.6458333333</v>
      </c>
      <c r="H15" s="17">
        <f>IFERROR(__xludf.DUMMYFUNCTION("""COMPUTED_VALUE"""),17.59)</f>
        <v>17.59</v>
      </c>
      <c r="I15" s="16">
        <f>IFERROR(__xludf.DUMMYFUNCTION("""COMPUTED_VALUE"""),45762.6458333333)</f>
        <v>45762.6458333333</v>
      </c>
      <c r="J15" s="17">
        <f>IFERROR(__xludf.DUMMYFUNCTION("""COMPUTED_VALUE"""),17.31)</f>
        <v>17.31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IFERROR(__xludf.DUMMYFUNCTION("""COMPUTED_VALUE"""),17.87)</f>
        <v>17.87</v>
      </c>
      <c r="C16" s="16">
        <f>IFERROR(__xludf.DUMMYFUNCTION("""COMPUTED_VALUE"""),45763.6458333333)</f>
        <v>45763.6458333333</v>
      </c>
      <c r="D16" s="17">
        <f>IFERROR(__xludf.DUMMYFUNCTION("""COMPUTED_VALUE"""),17.6)</f>
        <v>17.6</v>
      </c>
      <c r="E16" s="16">
        <f>IFERROR(__xludf.DUMMYFUNCTION("""COMPUTED_VALUE"""),45763.6458333333)</f>
        <v>45763.6458333333</v>
      </c>
      <c r="F16" s="17">
        <f>IFERROR(__xludf.DUMMYFUNCTION("""COMPUTED_VALUE"""),85730443)</f>
        <v>85730443</v>
      </c>
      <c r="G16" s="16">
        <f>IFERROR(__xludf.DUMMYFUNCTION("""COMPUTED_VALUE"""),45763.6458333333)</f>
        <v>45763.6458333333</v>
      </c>
      <c r="H16" s="17">
        <f>IFERROR(__xludf.DUMMYFUNCTION("""COMPUTED_VALUE"""),18.05)</f>
        <v>18.05</v>
      </c>
      <c r="I16" s="16">
        <f>IFERROR(__xludf.DUMMYFUNCTION("""COMPUTED_VALUE"""),45763.6458333333)</f>
        <v>45763.6458333333</v>
      </c>
      <c r="J16" s="17">
        <f>IFERROR(__xludf.DUMMYFUNCTION("""COMPUTED_VALUE"""),17.55)</f>
        <v>17.55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IFERROR(__xludf.DUMMYFUNCTION("""COMPUTED_VALUE"""),18.09)</f>
        <v>18.09</v>
      </c>
      <c r="C17" s="16">
        <f>IFERROR(__xludf.DUMMYFUNCTION("""COMPUTED_VALUE"""),45764.6458333333)</f>
        <v>45764.6458333333</v>
      </c>
      <c r="D17" s="17">
        <f>IFERROR(__xludf.DUMMYFUNCTION("""COMPUTED_VALUE"""),17.84)</f>
        <v>17.84</v>
      </c>
      <c r="E17" s="16">
        <f>IFERROR(__xludf.DUMMYFUNCTION("""COMPUTED_VALUE"""),45764.6458333333)</f>
        <v>45764.6458333333</v>
      </c>
      <c r="F17" s="17">
        <f>IFERROR(__xludf.DUMMYFUNCTION("""COMPUTED_VALUE"""),99208246)</f>
        <v>99208246</v>
      </c>
      <c r="G17" s="16">
        <f>IFERROR(__xludf.DUMMYFUNCTION("""COMPUTED_VALUE"""),45764.6458333333)</f>
        <v>45764.6458333333</v>
      </c>
      <c r="H17" s="17">
        <f>IFERROR(__xludf.DUMMYFUNCTION("""COMPUTED_VALUE"""),18.15)</f>
        <v>18.15</v>
      </c>
      <c r="I17" s="16">
        <f>IFERROR(__xludf.DUMMYFUNCTION("""COMPUTED_VALUE"""),45764.6458333333)</f>
        <v>45764.6458333333</v>
      </c>
      <c r="J17" s="17">
        <f>IFERROR(__xludf.DUMMYFUNCTION("""COMPUTED_VALUE"""),17.72)</f>
        <v>17.72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IFERROR(__xludf.DUMMYFUNCTION("""COMPUTED_VALUE"""),18.82)</f>
        <v>18.82</v>
      </c>
      <c r="C18" s="16">
        <f>IFERROR(__xludf.DUMMYFUNCTION("""COMPUTED_VALUE"""),45768.6458333333)</f>
        <v>45768.6458333333</v>
      </c>
      <c r="D18" s="17">
        <f>IFERROR(__xludf.DUMMYFUNCTION("""COMPUTED_VALUE"""),19.14)</f>
        <v>19.14</v>
      </c>
      <c r="E18" s="16">
        <f>IFERROR(__xludf.DUMMYFUNCTION("""COMPUTED_VALUE"""),45768.6458333333)</f>
        <v>45768.6458333333</v>
      </c>
      <c r="F18" s="17">
        <f>IFERROR(__xludf.DUMMYFUNCTION("""COMPUTED_VALUE"""),212102753)</f>
        <v>212102753</v>
      </c>
      <c r="G18" s="16">
        <f>IFERROR(__xludf.DUMMYFUNCTION("""COMPUTED_VALUE"""),45768.6458333333)</f>
        <v>45768.6458333333</v>
      </c>
      <c r="H18" s="17">
        <f>IFERROR(__xludf.DUMMYFUNCTION("""COMPUTED_VALUE"""),19.35)</f>
        <v>19.35</v>
      </c>
      <c r="I18" s="16">
        <f>IFERROR(__xludf.DUMMYFUNCTION("""COMPUTED_VALUE"""),45768.6458333333)</f>
        <v>45768.6458333333</v>
      </c>
      <c r="J18" s="17">
        <f>IFERROR(__xludf.DUMMYFUNCTION("""COMPUTED_VALUE"""),18.78)</f>
        <v>18.78</v>
      </c>
      <c r="K18" s="3">
        <f t="shared" si="2"/>
        <v>18.82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IFERROR(__xludf.DUMMYFUNCTION("""COMPUTED_VALUE"""),18.69)</f>
        <v>18.69</v>
      </c>
      <c r="C19" s="16">
        <f>IFERROR(__xludf.DUMMYFUNCTION("""COMPUTED_VALUE"""),45769.6458333333)</f>
        <v>45769.6458333333</v>
      </c>
      <c r="D19" s="17">
        <f>IFERROR(__xludf.DUMMYFUNCTION("""COMPUTED_VALUE"""),18.94)</f>
        <v>18.94</v>
      </c>
      <c r="E19" s="16">
        <f>IFERROR(__xludf.DUMMYFUNCTION("""COMPUTED_VALUE"""),45769.6458333333)</f>
        <v>45769.6458333333</v>
      </c>
      <c r="F19" s="17">
        <f>IFERROR(__xludf.DUMMYFUNCTION("""COMPUTED_VALUE"""),76060910)</f>
        <v>76060910</v>
      </c>
      <c r="G19" s="16">
        <f>IFERROR(__xludf.DUMMYFUNCTION("""COMPUTED_VALUE"""),45769.6458333333)</f>
        <v>45769.6458333333</v>
      </c>
      <c r="H19" s="17">
        <f>IFERROR(__xludf.DUMMYFUNCTION("""COMPUTED_VALUE"""),18.99)</f>
        <v>18.99</v>
      </c>
      <c r="I19" s="16">
        <f>IFERROR(__xludf.DUMMYFUNCTION("""COMPUTED_VALUE"""),45769.6458333333)</f>
        <v>45769.6458333333</v>
      </c>
      <c r="J19" s="17">
        <f>IFERROR(__xludf.DUMMYFUNCTION("""COMPUTED_VALUE"""),18.64)</f>
        <v>18.64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IFERROR(__xludf.DUMMYFUNCTION("""COMPUTED_VALUE"""),18.42)</f>
        <v>18.42</v>
      </c>
      <c r="C20" s="16">
        <f>IFERROR(__xludf.DUMMYFUNCTION("""COMPUTED_VALUE"""),45770.6458333333)</f>
        <v>45770.6458333333</v>
      </c>
      <c r="D20" s="17">
        <f>IFERROR(__xludf.DUMMYFUNCTION("""COMPUTED_VALUE"""),18.81)</f>
        <v>18.81</v>
      </c>
      <c r="E20" s="16">
        <f>IFERROR(__xludf.DUMMYFUNCTION("""COMPUTED_VALUE"""),45770.6458333333)</f>
        <v>45770.6458333333</v>
      </c>
      <c r="F20" s="17">
        <f>IFERROR(__xludf.DUMMYFUNCTION("""COMPUTED_VALUE"""),89519210)</f>
        <v>89519210</v>
      </c>
      <c r="G20" s="16">
        <f>IFERROR(__xludf.DUMMYFUNCTION("""COMPUTED_VALUE"""),45770.6458333333)</f>
        <v>45770.6458333333</v>
      </c>
      <c r="H20" s="17">
        <f>IFERROR(__xludf.DUMMYFUNCTION("""COMPUTED_VALUE"""),18.82)</f>
        <v>18.82</v>
      </c>
      <c r="I20" s="16">
        <f>IFERROR(__xludf.DUMMYFUNCTION("""COMPUTED_VALUE"""),45770.6458333333)</f>
        <v>45770.6458333333</v>
      </c>
      <c r="J20" s="17">
        <f>IFERROR(__xludf.DUMMYFUNCTION("""COMPUTED_VALUE"""),18.16)</f>
        <v>18.16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IFERROR(__xludf.DUMMYFUNCTION("""COMPUTED_VALUE"""),18.43)</f>
        <v>18.43</v>
      </c>
      <c r="C21" s="16">
        <f>IFERROR(__xludf.DUMMYFUNCTION("""COMPUTED_VALUE"""),45771.6458333333)</f>
        <v>45771.6458333333</v>
      </c>
      <c r="D21" s="17">
        <f>IFERROR(__xludf.DUMMYFUNCTION("""COMPUTED_VALUE"""),18.4)</f>
        <v>18.4</v>
      </c>
      <c r="E21" s="16">
        <f>IFERROR(__xludf.DUMMYFUNCTION("""COMPUTED_VALUE"""),45771.6458333333)</f>
        <v>45771.6458333333</v>
      </c>
      <c r="F21" s="17">
        <f>IFERROR(__xludf.DUMMYFUNCTION("""COMPUTED_VALUE"""),65182036)</f>
        <v>65182036</v>
      </c>
      <c r="G21" s="16">
        <f>IFERROR(__xludf.DUMMYFUNCTION("""COMPUTED_VALUE"""),45771.6458333333)</f>
        <v>45771.6458333333</v>
      </c>
      <c r="H21" s="17">
        <f>IFERROR(__xludf.DUMMYFUNCTION("""COMPUTED_VALUE"""),18.66)</f>
        <v>18.66</v>
      </c>
      <c r="I21" s="16">
        <f>IFERROR(__xludf.DUMMYFUNCTION("""COMPUTED_VALUE"""),45771.6458333333)</f>
        <v>45771.6458333333</v>
      </c>
      <c r="J21" s="17">
        <f>IFERROR(__xludf.DUMMYFUNCTION("""COMPUTED_VALUE"""),18.33)</f>
        <v>18.33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IFERROR(__xludf.DUMMYFUNCTION("""COMPUTED_VALUE"""),17.77)</f>
        <v>17.77</v>
      </c>
      <c r="C22" s="16">
        <f>IFERROR(__xludf.DUMMYFUNCTION("""COMPUTED_VALUE"""),45772.6458333333)</f>
        <v>45772.6458333333</v>
      </c>
      <c r="D22" s="17">
        <f>IFERROR(__xludf.DUMMYFUNCTION("""COMPUTED_VALUE"""),18.45)</f>
        <v>18.45</v>
      </c>
      <c r="E22" s="16">
        <f>IFERROR(__xludf.DUMMYFUNCTION("""COMPUTED_VALUE"""),45772.6458333333)</f>
        <v>45772.6458333333</v>
      </c>
      <c r="F22" s="17">
        <f>IFERROR(__xludf.DUMMYFUNCTION("""COMPUTED_VALUE"""),109327218)</f>
        <v>109327218</v>
      </c>
      <c r="G22" s="16">
        <f>IFERROR(__xludf.DUMMYFUNCTION("""COMPUTED_VALUE"""),45772.6458333333)</f>
        <v>45772.6458333333</v>
      </c>
      <c r="H22" s="17">
        <f>IFERROR(__xludf.DUMMYFUNCTION("""COMPUTED_VALUE"""),18.54)</f>
        <v>18.54</v>
      </c>
      <c r="I22" s="16">
        <f>IFERROR(__xludf.DUMMYFUNCTION("""COMPUTED_VALUE"""),45772.6458333333)</f>
        <v>45772.6458333333</v>
      </c>
      <c r="J22" s="17">
        <f>IFERROR(__xludf.DUMMYFUNCTION("""COMPUTED_VALUE"""),17.62)</f>
        <v>17.62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IFERROR(__xludf.DUMMYFUNCTION("""COMPUTED_VALUE"""),18.09)</f>
        <v>18.09</v>
      </c>
      <c r="C23" s="16">
        <f>IFERROR(__xludf.DUMMYFUNCTION("""COMPUTED_VALUE"""),45775.6458333333)</f>
        <v>45775.6458333333</v>
      </c>
      <c r="D23" s="17">
        <f>IFERROR(__xludf.DUMMYFUNCTION("""COMPUTED_VALUE"""),17.78)</f>
        <v>17.78</v>
      </c>
      <c r="E23" s="16">
        <f>IFERROR(__xludf.DUMMYFUNCTION("""COMPUTED_VALUE"""),45775.6458333333)</f>
        <v>45775.6458333333</v>
      </c>
      <c r="F23" s="17">
        <f>IFERROR(__xludf.DUMMYFUNCTION("""COMPUTED_VALUE"""),73449583)</f>
        <v>73449583</v>
      </c>
      <c r="G23" s="16">
        <f>IFERROR(__xludf.DUMMYFUNCTION("""COMPUTED_VALUE"""),45775.6458333333)</f>
        <v>45775.6458333333</v>
      </c>
      <c r="H23" s="17">
        <f>IFERROR(__xludf.DUMMYFUNCTION("""COMPUTED_VALUE"""),18.16)</f>
        <v>18.16</v>
      </c>
      <c r="I23" s="16">
        <f>IFERROR(__xludf.DUMMYFUNCTION("""COMPUTED_VALUE"""),45775.6458333333)</f>
        <v>45775.6458333333</v>
      </c>
      <c r="J23" s="17">
        <f>IFERROR(__xludf.DUMMYFUNCTION("""COMPUTED_VALUE"""),17.71)</f>
        <v>17.71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IFERROR(__xludf.DUMMYFUNCTION("""COMPUTED_VALUE"""),17.99)</f>
        <v>17.99</v>
      </c>
      <c r="C24" s="16">
        <f>IFERROR(__xludf.DUMMYFUNCTION("""COMPUTED_VALUE"""),45776.6458333333)</f>
        <v>45776.6458333333</v>
      </c>
      <c r="D24" s="17">
        <f>IFERROR(__xludf.DUMMYFUNCTION("""COMPUTED_VALUE"""),18.25)</f>
        <v>18.25</v>
      </c>
      <c r="E24" s="16">
        <f>IFERROR(__xludf.DUMMYFUNCTION("""COMPUTED_VALUE"""),45776.6458333333)</f>
        <v>45776.6458333333</v>
      </c>
      <c r="F24" s="17">
        <f>IFERROR(__xludf.DUMMYFUNCTION("""COMPUTED_VALUE"""),59829539)</f>
        <v>59829539</v>
      </c>
      <c r="G24" s="16">
        <f>IFERROR(__xludf.DUMMYFUNCTION("""COMPUTED_VALUE"""),45776.6458333333)</f>
        <v>45776.6458333333</v>
      </c>
      <c r="H24" s="17">
        <f>IFERROR(__xludf.DUMMYFUNCTION("""COMPUTED_VALUE"""),18.39)</f>
        <v>18.39</v>
      </c>
      <c r="I24" s="16">
        <f>IFERROR(__xludf.DUMMYFUNCTION("""COMPUTED_VALUE"""),45776.6458333333)</f>
        <v>45776.6458333333</v>
      </c>
      <c r="J24" s="17">
        <f>IFERROR(__xludf.DUMMYFUNCTION("""COMPUTED_VALUE"""),17.93)</f>
        <v>17.93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IFERROR(__xludf.DUMMYFUNCTION("""COMPUTED_VALUE"""),17.72)</f>
        <v>17.72</v>
      </c>
      <c r="C25" s="16">
        <f>IFERROR(__xludf.DUMMYFUNCTION("""COMPUTED_VALUE"""),45777.6458333333)</f>
        <v>45777.6458333333</v>
      </c>
      <c r="D25" s="17">
        <f>IFERROR(__xludf.DUMMYFUNCTION("""COMPUTED_VALUE"""),17.98)</f>
        <v>17.98</v>
      </c>
      <c r="E25" s="16">
        <f>IFERROR(__xludf.DUMMYFUNCTION("""COMPUTED_VALUE"""),45777.6458333333)</f>
        <v>45777.6458333333</v>
      </c>
      <c r="F25" s="17">
        <f>IFERROR(__xludf.DUMMYFUNCTION("""COMPUTED_VALUE"""),54958582)</f>
        <v>54958582</v>
      </c>
      <c r="G25" s="16">
        <f>IFERROR(__xludf.DUMMYFUNCTION("""COMPUTED_VALUE"""),45777.6458333333)</f>
        <v>45777.6458333333</v>
      </c>
      <c r="H25" s="17">
        <f>IFERROR(__xludf.DUMMYFUNCTION("""COMPUTED_VALUE"""),18.03)</f>
        <v>18.03</v>
      </c>
      <c r="I25" s="16">
        <f>IFERROR(__xludf.DUMMYFUNCTION("""COMPUTED_VALUE"""),45777.6458333333)</f>
        <v>45777.6458333333</v>
      </c>
      <c r="J25" s="17">
        <f>IFERROR(__xludf.DUMMYFUNCTION("""COMPUTED_VALUE"""),17.64)</f>
        <v>17.64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IFERROR(__xludf.DUMMYFUNCTION("""COMPUTED_VALUE"""),17.7)</f>
        <v>17.7</v>
      </c>
      <c r="C26" s="16">
        <f>IFERROR(__xludf.DUMMYFUNCTION("""COMPUTED_VALUE"""),45779.6458333333)</f>
        <v>45779.6458333333</v>
      </c>
      <c r="D26" s="17">
        <f>IFERROR(__xludf.DUMMYFUNCTION("""COMPUTED_VALUE"""),17.72)</f>
        <v>17.72</v>
      </c>
      <c r="E26" s="16">
        <f>IFERROR(__xludf.DUMMYFUNCTION("""COMPUTED_VALUE"""),45779.6458333333)</f>
        <v>45779.6458333333</v>
      </c>
      <c r="F26" s="17">
        <f>IFERROR(__xludf.DUMMYFUNCTION("""COMPUTED_VALUE"""),46832614)</f>
        <v>46832614</v>
      </c>
      <c r="G26" s="16">
        <f>IFERROR(__xludf.DUMMYFUNCTION("""COMPUTED_VALUE"""),45779.6458333333)</f>
        <v>45779.6458333333</v>
      </c>
      <c r="H26" s="17">
        <f>IFERROR(__xludf.DUMMYFUNCTION("""COMPUTED_VALUE"""),17.99)</f>
        <v>17.99</v>
      </c>
      <c r="I26" s="16">
        <f>IFERROR(__xludf.DUMMYFUNCTION("""COMPUTED_VALUE"""),45779.6458333333)</f>
        <v>45779.6458333333</v>
      </c>
      <c r="J26" s="17">
        <f>IFERROR(__xludf.DUMMYFUNCTION("""COMPUTED_VALUE"""),17.63)</f>
        <v>17.63</v>
      </c>
      <c r="K26" s="3">
        <f t="shared" si="2"/>
        <v>0</v>
      </c>
      <c r="L26" s="3">
        <f t="shared" si="3"/>
        <v>17.7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IFERROR(__xludf.DUMMYFUNCTION("""COMPUTED_VALUE"""),17.73)</f>
        <v>17.73</v>
      </c>
      <c r="C27" s="16">
        <f>IFERROR(__xludf.DUMMYFUNCTION("""COMPUTED_VALUE"""),45782.6458333333)</f>
        <v>45782.6458333333</v>
      </c>
      <c r="D27" s="17">
        <f>IFERROR(__xludf.DUMMYFUNCTION("""COMPUTED_VALUE"""),17.7)</f>
        <v>17.7</v>
      </c>
      <c r="E27" s="16">
        <f>IFERROR(__xludf.DUMMYFUNCTION("""COMPUTED_VALUE"""),45782.6458333333)</f>
        <v>45782.6458333333</v>
      </c>
      <c r="F27" s="17">
        <f>IFERROR(__xludf.DUMMYFUNCTION("""COMPUTED_VALUE"""),49326496)</f>
        <v>49326496</v>
      </c>
      <c r="G27" s="16">
        <f>IFERROR(__xludf.DUMMYFUNCTION("""COMPUTED_VALUE"""),45782.6458333333)</f>
        <v>45782.6458333333</v>
      </c>
      <c r="H27" s="17">
        <f>IFERROR(__xludf.DUMMYFUNCTION("""COMPUTED_VALUE"""),17.84)</f>
        <v>17.84</v>
      </c>
      <c r="I27" s="16">
        <f>IFERROR(__xludf.DUMMYFUNCTION("""COMPUTED_VALUE"""),45782.6458333333)</f>
        <v>45782.6458333333</v>
      </c>
      <c r="J27" s="17">
        <f>IFERROR(__xludf.DUMMYFUNCTION("""COMPUTED_VALUE"""),17.51)</f>
        <v>17.51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IFERROR(__xludf.DUMMYFUNCTION("""COMPUTED_VALUE"""),17.93)</f>
        <v>17.93</v>
      </c>
      <c r="C28" s="16">
        <f>IFERROR(__xludf.DUMMYFUNCTION("""COMPUTED_VALUE"""),45783.6458333333)</f>
        <v>45783.6458333333</v>
      </c>
      <c r="D28" s="17">
        <f>IFERROR(__xludf.DUMMYFUNCTION("""COMPUTED_VALUE"""),19.24)</f>
        <v>19.24</v>
      </c>
      <c r="E28" s="16">
        <f>IFERROR(__xludf.DUMMYFUNCTION("""COMPUTED_VALUE"""),45783.6458333333)</f>
        <v>45783.6458333333</v>
      </c>
      <c r="F28" s="17">
        <f>IFERROR(__xludf.DUMMYFUNCTION("""COMPUTED_VALUE"""),480714088)</f>
        <v>480714088</v>
      </c>
      <c r="G28" s="16">
        <f>IFERROR(__xludf.DUMMYFUNCTION("""COMPUTED_VALUE"""),45783.6458333333)</f>
        <v>45783.6458333333</v>
      </c>
      <c r="H28" s="17">
        <f>IFERROR(__xludf.DUMMYFUNCTION("""COMPUTED_VALUE"""),19.44)</f>
        <v>19.44</v>
      </c>
      <c r="I28" s="16">
        <f>IFERROR(__xludf.DUMMYFUNCTION("""COMPUTED_VALUE"""),45783.6458333333)</f>
        <v>45783.6458333333</v>
      </c>
      <c r="J28" s="17">
        <f>IFERROR(__xludf.DUMMYFUNCTION("""COMPUTED_VALUE"""),17.88)</f>
        <v>17.88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IFERROR(__xludf.DUMMYFUNCTION("""COMPUTED_VALUE"""),18.27)</f>
        <v>18.27</v>
      </c>
      <c r="C29" s="16">
        <f>IFERROR(__xludf.DUMMYFUNCTION("""COMPUTED_VALUE"""),45784.6458333333)</f>
        <v>45784.6458333333</v>
      </c>
      <c r="D29" s="17">
        <f>IFERROR(__xludf.DUMMYFUNCTION("""COMPUTED_VALUE"""),17.87)</f>
        <v>17.87</v>
      </c>
      <c r="E29" s="16">
        <f>IFERROR(__xludf.DUMMYFUNCTION("""COMPUTED_VALUE"""),45784.6458333333)</f>
        <v>45784.6458333333</v>
      </c>
      <c r="F29" s="17">
        <f>IFERROR(__xludf.DUMMYFUNCTION("""COMPUTED_VALUE"""),140782313)</f>
        <v>140782313</v>
      </c>
      <c r="G29" s="16">
        <f>IFERROR(__xludf.DUMMYFUNCTION("""COMPUTED_VALUE"""),45784.6458333333)</f>
        <v>45784.6458333333</v>
      </c>
      <c r="H29" s="17">
        <f>IFERROR(__xludf.DUMMYFUNCTION("""COMPUTED_VALUE"""),18.38)</f>
        <v>18.38</v>
      </c>
      <c r="I29" s="16">
        <f>IFERROR(__xludf.DUMMYFUNCTION("""COMPUTED_VALUE"""),45784.6458333333)</f>
        <v>45784.6458333333</v>
      </c>
      <c r="J29" s="17">
        <f>IFERROR(__xludf.DUMMYFUNCTION("""COMPUTED_VALUE"""),17.73)</f>
        <v>17.73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IFERROR(__xludf.DUMMYFUNCTION("""COMPUTED_VALUE"""),18.23)</f>
        <v>18.23</v>
      </c>
      <c r="C30" s="16">
        <f>IFERROR(__xludf.DUMMYFUNCTION("""COMPUTED_VALUE"""),45785.6458333333)</f>
        <v>45785.6458333333</v>
      </c>
      <c r="D30" s="17">
        <f>IFERROR(__xludf.DUMMYFUNCTION("""COMPUTED_VALUE"""),18.35)</f>
        <v>18.35</v>
      </c>
      <c r="E30" s="16">
        <f>IFERROR(__xludf.DUMMYFUNCTION("""COMPUTED_VALUE"""),45785.6458333333)</f>
        <v>45785.6458333333</v>
      </c>
      <c r="F30" s="17">
        <f>IFERROR(__xludf.DUMMYFUNCTION("""COMPUTED_VALUE"""),157515725)</f>
        <v>157515725</v>
      </c>
      <c r="G30" s="16">
        <f>IFERROR(__xludf.DUMMYFUNCTION("""COMPUTED_VALUE"""),45785.6458333333)</f>
        <v>45785.6458333333</v>
      </c>
      <c r="H30" s="17">
        <f>IFERROR(__xludf.DUMMYFUNCTION("""COMPUTED_VALUE"""),18.81)</f>
        <v>18.81</v>
      </c>
      <c r="I30" s="16">
        <f>IFERROR(__xludf.DUMMYFUNCTION("""COMPUTED_VALUE"""),45785.6458333333)</f>
        <v>45785.6458333333</v>
      </c>
      <c r="J30" s="17">
        <f>IFERROR(__xludf.DUMMYFUNCTION("""COMPUTED_VALUE"""),18.15)</f>
        <v>18.15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IFERROR(__xludf.DUMMYFUNCTION("""COMPUTED_VALUE"""),20.02)</f>
        <v>20.02</v>
      </c>
      <c r="C31" s="16">
        <f>IFERROR(__xludf.DUMMYFUNCTION("""COMPUTED_VALUE"""),45786.6458333333)</f>
        <v>45786.6458333333</v>
      </c>
      <c r="D31" s="17">
        <f>IFERROR(__xludf.DUMMYFUNCTION("""COMPUTED_VALUE"""),17.8)</f>
        <v>17.8</v>
      </c>
      <c r="E31" s="16">
        <f>IFERROR(__xludf.DUMMYFUNCTION("""COMPUTED_VALUE"""),45786.6458333333)</f>
        <v>45786.6458333333</v>
      </c>
      <c r="F31" s="17">
        <f>IFERROR(__xludf.DUMMYFUNCTION("""COMPUTED_VALUE"""),728005767)</f>
        <v>728005767</v>
      </c>
      <c r="G31" s="16">
        <f>IFERROR(__xludf.DUMMYFUNCTION("""COMPUTED_VALUE"""),45786.6458333333)</f>
        <v>45786.6458333333</v>
      </c>
      <c r="H31" s="17">
        <f>IFERROR(__xludf.DUMMYFUNCTION("""COMPUTED_VALUE"""),20.37)</f>
        <v>20.37</v>
      </c>
      <c r="I31" s="16">
        <f>IFERROR(__xludf.DUMMYFUNCTION("""COMPUTED_VALUE"""),45786.6458333333)</f>
        <v>45786.6458333333</v>
      </c>
      <c r="J31" s="17">
        <f>IFERROR(__xludf.DUMMYFUNCTION("""COMPUTED_VALUE"""),17.77)</f>
        <v>17.77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IFERROR(__xludf.DUMMYFUNCTION("""COMPUTED_VALUE"""),20.41)</f>
        <v>20.41</v>
      </c>
      <c r="C32" s="16">
        <f>IFERROR(__xludf.DUMMYFUNCTION("""COMPUTED_VALUE"""),45789.6458333333)</f>
        <v>45789.6458333333</v>
      </c>
      <c r="D32" s="17">
        <f>IFERROR(__xludf.DUMMYFUNCTION("""COMPUTED_VALUE"""),21.7)</f>
        <v>21.7</v>
      </c>
      <c r="E32" s="16">
        <f>IFERROR(__xludf.DUMMYFUNCTION("""COMPUTED_VALUE"""),45789.6458333333)</f>
        <v>45789.6458333333</v>
      </c>
      <c r="F32" s="17">
        <f>IFERROR(__xludf.DUMMYFUNCTION("""COMPUTED_VALUE"""),527532441)</f>
        <v>527532441</v>
      </c>
      <c r="G32" s="16">
        <f>IFERROR(__xludf.DUMMYFUNCTION("""COMPUTED_VALUE"""),45789.6458333333)</f>
        <v>45789.6458333333</v>
      </c>
      <c r="H32" s="17">
        <f>IFERROR(__xludf.DUMMYFUNCTION("""COMPUTED_VALUE"""),21.7)</f>
        <v>21.7</v>
      </c>
      <c r="I32" s="16">
        <f>IFERROR(__xludf.DUMMYFUNCTION("""COMPUTED_VALUE"""),45789.6458333333)</f>
        <v>45789.6458333333</v>
      </c>
      <c r="J32" s="17">
        <f>IFERROR(__xludf.DUMMYFUNCTION("""COMPUTED_VALUE"""),20.3)</f>
        <v>20.3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IFERROR(__xludf.DUMMYFUNCTION("""COMPUTED_VALUE"""),20.87)</f>
        <v>20.87</v>
      </c>
      <c r="C33" s="16">
        <f>IFERROR(__xludf.DUMMYFUNCTION("""COMPUTED_VALUE"""),45790.6458333333)</f>
        <v>45790.6458333333</v>
      </c>
      <c r="D33" s="17">
        <f>IFERROR(__xludf.DUMMYFUNCTION("""COMPUTED_VALUE"""),20.5)</f>
        <v>20.5</v>
      </c>
      <c r="E33" s="16">
        <f>IFERROR(__xludf.DUMMYFUNCTION("""COMPUTED_VALUE"""),45790.6458333333)</f>
        <v>45790.6458333333</v>
      </c>
      <c r="F33" s="17">
        <f>IFERROR(__xludf.DUMMYFUNCTION("""COMPUTED_VALUE"""),285354139)</f>
        <v>285354139</v>
      </c>
      <c r="G33" s="16">
        <f>IFERROR(__xludf.DUMMYFUNCTION("""COMPUTED_VALUE"""),45790.6458333333)</f>
        <v>45790.6458333333</v>
      </c>
      <c r="H33" s="17">
        <f>IFERROR(__xludf.DUMMYFUNCTION("""COMPUTED_VALUE"""),21.39)</f>
        <v>21.39</v>
      </c>
      <c r="I33" s="16">
        <f>IFERROR(__xludf.DUMMYFUNCTION("""COMPUTED_VALUE"""),45790.6458333333)</f>
        <v>45790.6458333333</v>
      </c>
      <c r="J33" s="17">
        <f>IFERROR(__xludf.DUMMYFUNCTION("""COMPUTED_VALUE"""),20.26)</f>
        <v>20.26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IFERROR(__xludf.DUMMYFUNCTION("""COMPUTED_VALUE"""),20.96)</f>
        <v>20.96</v>
      </c>
      <c r="C34" s="16">
        <f>IFERROR(__xludf.DUMMYFUNCTION("""COMPUTED_VALUE"""),45791.6458333333)</f>
        <v>45791.6458333333</v>
      </c>
      <c r="D34" s="17">
        <f>IFERROR(__xludf.DUMMYFUNCTION("""COMPUTED_VALUE"""),21.29)</f>
        <v>21.29</v>
      </c>
      <c r="E34" s="16">
        <f>IFERROR(__xludf.DUMMYFUNCTION("""COMPUTED_VALUE"""),45791.6458333333)</f>
        <v>45791.6458333333</v>
      </c>
      <c r="F34" s="17">
        <f>IFERROR(__xludf.DUMMYFUNCTION("""COMPUTED_VALUE"""),201882995)</f>
        <v>201882995</v>
      </c>
      <c r="G34" s="16">
        <f>IFERROR(__xludf.DUMMYFUNCTION("""COMPUTED_VALUE"""),45791.6458333333)</f>
        <v>45791.6458333333</v>
      </c>
      <c r="H34" s="17">
        <f>IFERROR(__xludf.DUMMYFUNCTION("""COMPUTED_VALUE"""),21.29)</f>
        <v>21.29</v>
      </c>
      <c r="I34" s="16">
        <f>IFERROR(__xludf.DUMMYFUNCTION("""COMPUTED_VALUE"""),45791.6458333333)</f>
        <v>45791.6458333333</v>
      </c>
      <c r="J34" s="17">
        <f>IFERROR(__xludf.DUMMYFUNCTION("""COMPUTED_VALUE"""),20.69)</f>
        <v>20.69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IFERROR(__xludf.DUMMYFUNCTION("""COMPUTED_VALUE"""),21.51)</f>
        <v>21.51</v>
      </c>
      <c r="C35" s="16">
        <f>IFERROR(__xludf.DUMMYFUNCTION("""COMPUTED_VALUE"""),45792.6458333333)</f>
        <v>45792.6458333333</v>
      </c>
      <c r="D35" s="17">
        <f>IFERROR(__xludf.DUMMYFUNCTION("""COMPUTED_VALUE"""),21.1)</f>
        <v>21.1</v>
      </c>
      <c r="E35" s="16">
        <f>IFERROR(__xludf.DUMMYFUNCTION("""COMPUTED_VALUE"""),45792.6458333333)</f>
        <v>45792.6458333333</v>
      </c>
      <c r="F35" s="17">
        <f>IFERROR(__xludf.DUMMYFUNCTION("""COMPUTED_VALUE"""),264756782)</f>
        <v>264756782</v>
      </c>
      <c r="G35" s="16">
        <f>IFERROR(__xludf.DUMMYFUNCTION("""COMPUTED_VALUE"""),45792.6458333333)</f>
        <v>45792.6458333333</v>
      </c>
      <c r="H35" s="17">
        <f>IFERROR(__xludf.DUMMYFUNCTION("""COMPUTED_VALUE"""),21.7)</f>
        <v>21.7</v>
      </c>
      <c r="I35" s="16">
        <f>IFERROR(__xludf.DUMMYFUNCTION("""COMPUTED_VALUE"""),45792.6458333333)</f>
        <v>45792.6458333333</v>
      </c>
      <c r="J35" s="17">
        <f>IFERROR(__xludf.DUMMYFUNCTION("""COMPUTED_VALUE"""),20.96)</f>
        <v>20.96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IFERROR(__xludf.DUMMYFUNCTION("""COMPUTED_VALUE"""),21.55)</f>
        <v>21.55</v>
      </c>
      <c r="C36" s="16">
        <f>IFERROR(__xludf.DUMMYFUNCTION("""COMPUTED_VALUE"""),45793.6458333333)</f>
        <v>45793.6458333333</v>
      </c>
      <c r="D36" s="17">
        <f>IFERROR(__xludf.DUMMYFUNCTION("""COMPUTED_VALUE"""),21.5)</f>
        <v>21.5</v>
      </c>
      <c r="E36" s="16">
        <f>IFERROR(__xludf.DUMMYFUNCTION("""COMPUTED_VALUE"""),45793.6458333333)</f>
        <v>45793.6458333333</v>
      </c>
      <c r="F36" s="17">
        <f>IFERROR(__xludf.DUMMYFUNCTION("""COMPUTED_VALUE"""),193427371)</f>
        <v>193427371</v>
      </c>
      <c r="G36" s="16">
        <f>IFERROR(__xludf.DUMMYFUNCTION("""COMPUTED_VALUE"""),45793.6458333333)</f>
        <v>45793.6458333333</v>
      </c>
      <c r="H36" s="17">
        <f>IFERROR(__xludf.DUMMYFUNCTION("""COMPUTED_VALUE"""),21.95)</f>
        <v>21.95</v>
      </c>
      <c r="I36" s="16">
        <f>IFERROR(__xludf.DUMMYFUNCTION("""COMPUTED_VALUE"""),45793.6458333333)</f>
        <v>45793.6458333333</v>
      </c>
      <c r="J36" s="17">
        <f>IFERROR(__xludf.DUMMYFUNCTION("""COMPUTED_VALUE"""),21.25)</f>
        <v>21.25</v>
      </c>
      <c r="K36" s="3">
        <f t="shared" si="2"/>
        <v>21.55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IFERROR(__xludf.DUMMYFUNCTION("""COMPUTED_VALUE"""),21.2)</f>
        <v>21.2</v>
      </c>
      <c r="C37" s="16">
        <f>IFERROR(__xludf.DUMMYFUNCTION("""COMPUTED_VALUE"""),45796.6458333333)</f>
        <v>45796.6458333333</v>
      </c>
      <c r="D37" s="17">
        <f>IFERROR(__xludf.DUMMYFUNCTION("""COMPUTED_VALUE"""),21.56)</f>
        <v>21.56</v>
      </c>
      <c r="E37" s="16">
        <f>IFERROR(__xludf.DUMMYFUNCTION("""COMPUTED_VALUE"""),45796.6458333333)</f>
        <v>45796.6458333333</v>
      </c>
      <c r="F37" s="17">
        <f>IFERROR(__xludf.DUMMYFUNCTION("""COMPUTED_VALUE"""),146527941)</f>
        <v>146527941</v>
      </c>
      <c r="G37" s="16">
        <f>IFERROR(__xludf.DUMMYFUNCTION("""COMPUTED_VALUE"""),45796.6458333333)</f>
        <v>45796.6458333333</v>
      </c>
      <c r="H37" s="17">
        <f>IFERROR(__xludf.DUMMYFUNCTION("""COMPUTED_VALUE"""),21.68)</f>
        <v>21.68</v>
      </c>
      <c r="I37" s="16">
        <f>IFERROR(__xludf.DUMMYFUNCTION("""COMPUTED_VALUE"""),45796.6458333333)</f>
        <v>45796.6458333333</v>
      </c>
      <c r="J37" s="17">
        <f>IFERROR(__xludf.DUMMYFUNCTION("""COMPUTED_VALUE"""),21.15)</f>
        <v>21.15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IFERROR(__xludf.DUMMYFUNCTION("""COMPUTED_VALUE"""),20.82)</f>
        <v>20.82</v>
      </c>
      <c r="C38" s="16">
        <f>IFERROR(__xludf.DUMMYFUNCTION("""COMPUTED_VALUE"""),45797.6458333333)</f>
        <v>45797.6458333333</v>
      </c>
      <c r="D38" s="17">
        <f>IFERROR(__xludf.DUMMYFUNCTION("""COMPUTED_VALUE"""),21.24)</f>
        <v>21.24</v>
      </c>
      <c r="E38" s="16">
        <f>IFERROR(__xludf.DUMMYFUNCTION("""COMPUTED_VALUE"""),45797.6458333333)</f>
        <v>45797.6458333333</v>
      </c>
      <c r="F38" s="17">
        <f>IFERROR(__xludf.DUMMYFUNCTION("""COMPUTED_VALUE"""),116009986)</f>
        <v>116009986</v>
      </c>
      <c r="G38" s="16">
        <f>IFERROR(__xludf.DUMMYFUNCTION("""COMPUTED_VALUE"""),45797.6458333333)</f>
        <v>45797.6458333333</v>
      </c>
      <c r="H38" s="17">
        <f>IFERROR(__xludf.DUMMYFUNCTION("""COMPUTED_VALUE"""),21.4)</f>
        <v>21.4</v>
      </c>
      <c r="I38" s="16">
        <f>IFERROR(__xludf.DUMMYFUNCTION("""COMPUTED_VALUE"""),45797.6458333333)</f>
        <v>45797.6458333333</v>
      </c>
      <c r="J38" s="17">
        <f>IFERROR(__xludf.DUMMYFUNCTION("""COMPUTED_VALUE"""),20.78)</f>
        <v>20.78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IFERROR(__xludf.DUMMYFUNCTION("""COMPUTED_VALUE"""),20.98)</f>
        <v>20.98</v>
      </c>
      <c r="C39" s="16">
        <f>IFERROR(__xludf.DUMMYFUNCTION("""COMPUTED_VALUE"""),45798.6458333333)</f>
        <v>45798.6458333333</v>
      </c>
      <c r="D39" s="17">
        <f>IFERROR(__xludf.DUMMYFUNCTION("""COMPUTED_VALUE"""),20.83)</f>
        <v>20.83</v>
      </c>
      <c r="E39" s="16">
        <f>IFERROR(__xludf.DUMMYFUNCTION("""COMPUTED_VALUE"""),45798.6458333333)</f>
        <v>45798.6458333333</v>
      </c>
      <c r="F39" s="17">
        <f>IFERROR(__xludf.DUMMYFUNCTION("""COMPUTED_VALUE"""),103111472)</f>
        <v>103111472</v>
      </c>
      <c r="G39" s="16">
        <f>IFERROR(__xludf.DUMMYFUNCTION("""COMPUTED_VALUE"""),45798.6458333333)</f>
        <v>45798.6458333333</v>
      </c>
      <c r="H39" s="17">
        <f>IFERROR(__xludf.DUMMYFUNCTION("""COMPUTED_VALUE"""),21.1)</f>
        <v>21.1</v>
      </c>
      <c r="I39" s="16">
        <f>IFERROR(__xludf.DUMMYFUNCTION("""COMPUTED_VALUE"""),45798.6458333333)</f>
        <v>45798.6458333333</v>
      </c>
      <c r="J39" s="17">
        <f>IFERROR(__xludf.DUMMYFUNCTION("""COMPUTED_VALUE"""),20.63)</f>
        <v>20.63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IFERROR(__xludf.DUMMYFUNCTION("""COMPUTED_VALUE"""),20.97)</f>
        <v>20.97</v>
      </c>
      <c r="C40" s="16">
        <f>IFERROR(__xludf.DUMMYFUNCTION("""COMPUTED_VALUE"""),45799.6458333333)</f>
        <v>45799.6458333333</v>
      </c>
      <c r="D40" s="17">
        <f>IFERROR(__xludf.DUMMYFUNCTION("""COMPUTED_VALUE"""),20.99)</f>
        <v>20.99</v>
      </c>
      <c r="E40" s="16">
        <f>IFERROR(__xludf.DUMMYFUNCTION("""COMPUTED_VALUE"""),45799.6458333333)</f>
        <v>45799.6458333333</v>
      </c>
      <c r="F40" s="17">
        <f>IFERROR(__xludf.DUMMYFUNCTION("""COMPUTED_VALUE"""),84194525)</f>
        <v>84194525</v>
      </c>
      <c r="G40" s="16">
        <f>IFERROR(__xludf.DUMMYFUNCTION("""COMPUTED_VALUE"""),45799.6458333333)</f>
        <v>45799.6458333333</v>
      </c>
      <c r="H40" s="17">
        <f>IFERROR(__xludf.DUMMYFUNCTION("""COMPUTED_VALUE"""),21.24)</f>
        <v>21.24</v>
      </c>
      <c r="I40" s="16">
        <f>IFERROR(__xludf.DUMMYFUNCTION("""COMPUTED_VALUE"""),45799.6458333333)</f>
        <v>45799.6458333333</v>
      </c>
      <c r="J40" s="17">
        <f>IFERROR(__xludf.DUMMYFUNCTION("""COMPUTED_VALUE"""),20.78)</f>
        <v>20.78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IFERROR(__xludf.DUMMYFUNCTION("""COMPUTED_VALUE"""),21.15)</f>
        <v>21.15</v>
      </c>
      <c r="C41" s="16">
        <f>IFERROR(__xludf.DUMMYFUNCTION("""COMPUTED_VALUE"""),45800.6458333333)</f>
        <v>45800.6458333333</v>
      </c>
      <c r="D41" s="17">
        <f>IFERROR(__xludf.DUMMYFUNCTION("""COMPUTED_VALUE"""),20.98)</f>
        <v>20.98</v>
      </c>
      <c r="E41" s="16">
        <f>IFERROR(__xludf.DUMMYFUNCTION("""COMPUTED_VALUE"""),45800.6458333333)</f>
        <v>45800.6458333333</v>
      </c>
      <c r="F41" s="17">
        <f>IFERROR(__xludf.DUMMYFUNCTION("""COMPUTED_VALUE"""),84046831)</f>
        <v>84046831</v>
      </c>
      <c r="G41" s="16">
        <f>IFERROR(__xludf.DUMMYFUNCTION("""COMPUTED_VALUE"""),45800.6458333333)</f>
        <v>45800.6458333333</v>
      </c>
      <c r="H41" s="17">
        <f>IFERROR(__xludf.DUMMYFUNCTION("""COMPUTED_VALUE"""),21.23)</f>
        <v>21.23</v>
      </c>
      <c r="I41" s="16">
        <f>IFERROR(__xludf.DUMMYFUNCTION("""COMPUTED_VALUE"""),45800.6458333333)</f>
        <v>45800.6458333333</v>
      </c>
      <c r="J41" s="17">
        <f>IFERROR(__xludf.DUMMYFUNCTION("""COMPUTED_VALUE"""),20.87)</f>
        <v>20.87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IFERROR(__xludf.DUMMYFUNCTION("""COMPUTED_VALUE"""),20.99)</f>
        <v>20.99</v>
      </c>
      <c r="C42" s="16">
        <f>IFERROR(__xludf.DUMMYFUNCTION("""COMPUTED_VALUE"""),45803.6458333333)</f>
        <v>45803.6458333333</v>
      </c>
      <c r="D42" s="17">
        <f>IFERROR(__xludf.DUMMYFUNCTION("""COMPUTED_VALUE"""),21.21)</f>
        <v>21.21</v>
      </c>
      <c r="E42" s="16">
        <f>IFERROR(__xludf.DUMMYFUNCTION("""COMPUTED_VALUE"""),45803.6458333333)</f>
        <v>45803.6458333333</v>
      </c>
      <c r="F42" s="17">
        <f>IFERROR(__xludf.DUMMYFUNCTION("""COMPUTED_VALUE"""),59611150)</f>
        <v>59611150</v>
      </c>
      <c r="G42" s="16">
        <f>IFERROR(__xludf.DUMMYFUNCTION("""COMPUTED_VALUE"""),45803.6458333333)</f>
        <v>45803.6458333333</v>
      </c>
      <c r="H42" s="17">
        <f>IFERROR(__xludf.DUMMYFUNCTION("""COMPUTED_VALUE"""),21.22)</f>
        <v>21.22</v>
      </c>
      <c r="I42" s="16">
        <f>IFERROR(__xludf.DUMMYFUNCTION("""COMPUTED_VALUE"""),45803.6458333333)</f>
        <v>45803.6458333333</v>
      </c>
      <c r="J42" s="17">
        <f>IFERROR(__xludf.DUMMYFUNCTION("""COMPUTED_VALUE"""),20.95)</f>
        <v>20.95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IFERROR(__xludf.DUMMYFUNCTION("""COMPUTED_VALUE"""),21.13)</f>
        <v>21.13</v>
      </c>
      <c r="C43" s="16">
        <f>IFERROR(__xludf.DUMMYFUNCTION("""COMPUTED_VALUE"""),45804.6458333333)</f>
        <v>45804.6458333333</v>
      </c>
      <c r="D43" s="17">
        <f>IFERROR(__xludf.DUMMYFUNCTION("""COMPUTED_VALUE"""),20.99)</f>
        <v>20.99</v>
      </c>
      <c r="E43" s="16">
        <f>IFERROR(__xludf.DUMMYFUNCTION("""COMPUTED_VALUE"""),45804.6458333333)</f>
        <v>45804.6458333333</v>
      </c>
      <c r="F43" s="17">
        <f>IFERROR(__xludf.DUMMYFUNCTION("""COMPUTED_VALUE"""),79024752)</f>
        <v>79024752</v>
      </c>
      <c r="G43" s="16">
        <f>IFERROR(__xludf.DUMMYFUNCTION("""COMPUTED_VALUE"""),45804.6458333333)</f>
        <v>45804.6458333333</v>
      </c>
      <c r="H43" s="17">
        <f>IFERROR(__xludf.DUMMYFUNCTION("""COMPUTED_VALUE"""),21.2)</f>
        <v>21.2</v>
      </c>
      <c r="I43" s="16">
        <f>IFERROR(__xludf.DUMMYFUNCTION("""COMPUTED_VALUE"""),45804.6458333333)</f>
        <v>45804.6458333333</v>
      </c>
      <c r="J43" s="17">
        <f>IFERROR(__xludf.DUMMYFUNCTION("""COMPUTED_VALUE"""),20.87)</f>
        <v>20.87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IFERROR(__xludf.DUMMYFUNCTION("""COMPUTED_VALUE"""),21.11)</f>
        <v>21.11</v>
      </c>
      <c r="C44" s="16">
        <f>IFERROR(__xludf.DUMMYFUNCTION("""COMPUTED_VALUE"""),45805.6458333333)</f>
        <v>45805.6458333333</v>
      </c>
      <c r="D44" s="17">
        <f>IFERROR(__xludf.DUMMYFUNCTION("""COMPUTED_VALUE"""),21.13)</f>
        <v>21.13</v>
      </c>
      <c r="E44" s="16">
        <f>IFERROR(__xludf.DUMMYFUNCTION("""COMPUTED_VALUE"""),45805.6458333333)</f>
        <v>45805.6458333333</v>
      </c>
      <c r="F44" s="17">
        <f>IFERROR(__xludf.DUMMYFUNCTION("""COMPUTED_VALUE"""),76178634)</f>
        <v>76178634</v>
      </c>
      <c r="G44" s="16">
        <f>IFERROR(__xludf.DUMMYFUNCTION("""COMPUTED_VALUE"""),45805.6458333333)</f>
        <v>45805.6458333333</v>
      </c>
      <c r="H44" s="17">
        <f>IFERROR(__xludf.DUMMYFUNCTION("""COMPUTED_VALUE"""),21.43)</f>
        <v>21.43</v>
      </c>
      <c r="I44" s="16">
        <f>IFERROR(__xludf.DUMMYFUNCTION("""COMPUTED_VALUE"""),45805.6458333333)</f>
        <v>45805.6458333333</v>
      </c>
      <c r="J44" s="17">
        <f>IFERROR(__xludf.DUMMYFUNCTION("""COMPUTED_VALUE"""),21.07)</f>
        <v>21.07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IFERROR(__xludf.DUMMYFUNCTION("""COMPUTED_VALUE"""),21.31)</f>
        <v>21.31</v>
      </c>
      <c r="C45" s="16">
        <f>IFERROR(__xludf.DUMMYFUNCTION("""COMPUTED_VALUE"""),45806.6458333333)</f>
        <v>45806.6458333333</v>
      </c>
      <c r="D45" s="17">
        <f>IFERROR(__xludf.DUMMYFUNCTION("""COMPUTED_VALUE"""),21.21)</f>
        <v>21.21</v>
      </c>
      <c r="E45" s="16">
        <f>IFERROR(__xludf.DUMMYFUNCTION("""COMPUTED_VALUE"""),45806.6458333333)</f>
        <v>45806.6458333333</v>
      </c>
      <c r="F45" s="17">
        <f>IFERROR(__xludf.DUMMYFUNCTION("""COMPUTED_VALUE"""),76589813)</f>
        <v>76589813</v>
      </c>
      <c r="G45" s="16">
        <f>IFERROR(__xludf.DUMMYFUNCTION("""COMPUTED_VALUE"""),45806.6458333333)</f>
        <v>45806.6458333333</v>
      </c>
      <c r="H45" s="17">
        <f>IFERROR(__xludf.DUMMYFUNCTION("""COMPUTED_VALUE"""),21.36)</f>
        <v>21.36</v>
      </c>
      <c r="I45" s="16">
        <f>IFERROR(__xludf.DUMMYFUNCTION("""COMPUTED_VALUE"""),45806.6458333333)</f>
        <v>45806.6458333333</v>
      </c>
      <c r="J45" s="17">
        <f>IFERROR(__xludf.DUMMYFUNCTION("""COMPUTED_VALUE"""),21.09)</f>
        <v>21.09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IFERROR(__xludf.DUMMYFUNCTION("""COMPUTED_VALUE"""),21.48)</f>
        <v>21.48</v>
      </c>
      <c r="C46" s="16">
        <f>IFERROR(__xludf.DUMMYFUNCTION("""COMPUTED_VALUE"""),45807.6458333333)</f>
        <v>45807.6458333333</v>
      </c>
      <c r="D46" s="17">
        <f>IFERROR(__xludf.DUMMYFUNCTION("""COMPUTED_VALUE"""),21.34)</f>
        <v>21.34</v>
      </c>
      <c r="E46" s="16">
        <f>IFERROR(__xludf.DUMMYFUNCTION("""COMPUTED_VALUE"""),45807.6458333333)</f>
        <v>45807.6458333333</v>
      </c>
      <c r="F46" s="17">
        <f>IFERROR(__xludf.DUMMYFUNCTION("""COMPUTED_VALUE"""),156224502)</f>
        <v>156224502</v>
      </c>
      <c r="G46" s="16">
        <f>IFERROR(__xludf.DUMMYFUNCTION("""COMPUTED_VALUE"""),45807.6458333333)</f>
        <v>45807.6458333333</v>
      </c>
      <c r="H46" s="17">
        <f>IFERROR(__xludf.DUMMYFUNCTION("""COMPUTED_VALUE"""),21.65)</f>
        <v>21.65</v>
      </c>
      <c r="I46" s="16">
        <f>IFERROR(__xludf.DUMMYFUNCTION("""COMPUTED_VALUE"""),45807.6458333333)</f>
        <v>45807.6458333333</v>
      </c>
      <c r="J46" s="17">
        <f>IFERROR(__xludf.DUMMYFUNCTION("""COMPUTED_VALUE"""),21.02)</f>
        <v>21.02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IFERROR(__xludf.DUMMYFUNCTION("""COMPUTED_VALUE"""),23.28)</f>
        <v>23.28</v>
      </c>
      <c r="C47" s="16">
        <f>IFERROR(__xludf.DUMMYFUNCTION("""COMPUTED_VALUE"""),45810.6458333333)</f>
        <v>45810.6458333333</v>
      </c>
      <c r="D47" s="17">
        <f>IFERROR(__xludf.DUMMYFUNCTION("""COMPUTED_VALUE"""),21.4)</f>
        <v>21.4</v>
      </c>
      <c r="E47" s="16">
        <f>IFERROR(__xludf.DUMMYFUNCTION("""COMPUTED_VALUE"""),45810.6458333333)</f>
        <v>45810.6458333333</v>
      </c>
      <c r="F47" s="17">
        <f>IFERROR(__xludf.DUMMYFUNCTION("""COMPUTED_VALUE"""),556213846)</f>
        <v>556213846</v>
      </c>
      <c r="G47" s="16">
        <f>IFERROR(__xludf.DUMMYFUNCTION("""COMPUTED_VALUE"""),45810.6458333333)</f>
        <v>45810.6458333333</v>
      </c>
      <c r="H47" s="17">
        <f>IFERROR(__xludf.DUMMYFUNCTION("""COMPUTED_VALUE"""),23.39)</f>
        <v>23.39</v>
      </c>
      <c r="I47" s="16">
        <f>IFERROR(__xludf.DUMMYFUNCTION("""COMPUTED_VALUE"""),45810.6458333333)</f>
        <v>45810.6458333333</v>
      </c>
      <c r="J47" s="17">
        <f>IFERROR(__xludf.DUMMYFUNCTION("""COMPUTED_VALUE"""),21.35)</f>
        <v>21.35</v>
      </c>
      <c r="K47" s="3">
        <f t="shared" si="2"/>
        <v>23.28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IFERROR(__xludf.DUMMYFUNCTION("""COMPUTED_VALUE"""),20.86)</f>
        <v>20.86</v>
      </c>
      <c r="C48" s="16">
        <f>IFERROR(__xludf.DUMMYFUNCTION("""COMPUTED_VALUE"""),45811.6458333333)</f>
        <v>45811.6458333333</v>
      </c>
      <c r="D48" s="17">
        <f>IFERROR(__xludf.DUMMYFUNCTION("""COMPUTED_VALUE"""),22.93)</f>
        <v>22.93</v>
      </c>
      <c r="E48" s="16">
        <f>IFERROR(__xludf.DUMMYFUNCTION("""COMPUTED_VALUE"""),45811.6458333333)</f>
        <v>45811.6458333333</v>
      </c>
      <c r="F48" s="17">
        <f>IFERROR(__xludf.DUMMYFUNCTION("""COMPUTED_VALUE"""),351913170)</f>
        <v>351913170</v>
      </c>
      <c r="G48" s="16">
        <f>IFERROR(__xludf.DUMMYFUNCTION("""COMPUTED_VALUE"""),45811.6458333333)</f>
        <v>45811.6458333333</v>
      </c>
      <c r="H48" s="17">
        <f>IFERROR(__xludf.DUMMYFUNCTION("""COMPUTED_VALUE"""),22.93)</f>
        <v>22.93</v>
      </c>
      <c r="I48" s="16">
        <f>IFERROR(__xludf.DUMMYFUNCTION("""COMPUTED_VALUE"""),45811.6458333333)</f>
        <v>45811.6458333333</v>
      </c>
      <c r="J48" s="17">
        <f>IFERROR(__xludf.DUMMYFUNCTION("""COMPUTED_VALUE"""),20.71)</f>
        <v>20.71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IFERROR(__xludf.DUMMYFUNCTION("""COMPUTED_VALUE"""),21.14)</f>
        <v>21.14</v>
      </c>
      <c r="C49" s="16">
        <f>IFERROR(__xludf.DUMMYFUNCTION("""COMPUTED_VALUE"""),45812.6458333333)</f>
        <v>45812.6458333333</v>
      </c>
      <c r="D49" s="17">
        <f>IFERROR(__xludf.DUMMYFUNCTION("""COMPUTED_VALUE"""),21.1)</f>
        <v>21.1</v>
      </c>
      <c r="E49" s="16">
        <f>IFERROR(__xludf.DUMMYFUNCTION("""COMPUTED_VALUE"""),45812.6458333333)</f>
        <v>45812.6458333333</v>
      </c>
      <c r="F49" s="17">
        <f>IFERROR(__xludf.DUMMYFUNCTION("""COMPUTED_VALUE"""),246958946)</f>
        <v>246958946</v>
      </c>
      <c r="G49" s="16">
        <f>IFERROR(__xludf.DUMMYFUNCTION("""COMPUTED_VALUE"""),45812.6458333333)</f>
        <v>45812.6458333333</v>
      </c>
      <c r="H49" s="17">
        <f>IFERROR(__xludf.DUMMYFUNCTION("""COMPUTED_VALUE"""),21.36)</f>
        <v>21.36</v>
      </c>
      <c r="I49" s="16">
        <f>IFERROR(__xludf.DUMMYFUNCTION("""COMPUTED_VALUE"""),45812.6458333333)</f>
        <v>45812.6458333333</v>
      </c>
      <c r="J49" s="17">
        <f>IFERROR(__xludf.DUMMYFUNCTION("""COMPUTED_VALUE"""),20.74)</f>
        <v>20.74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IFERROR(__xludf.DUMMYFUNCTION("""COMPUTED_VALUE"""),20.93)</f>
        <v>20.93</v>
      </c>
      <c r="C50" s="16">
        <f>IFERROR(__xludf.DUMMYFUNCTION("""COMPUTED_VALUE"""),45813.6458333333)</f>
        <v>45813.6458333333</v>
      </c>
      <c r="D50" s="17">
        <f>IFERROR(__xludf.DUMMYFUNCTION("""COMPUTED_VALUE"""),21.29)</f>
        <v>21.29</v>
      </c>
      <c r="E50" s="16">
        <f>IFERROR(__xludf.DUMMYFUNCTION("""COMPUTED_VALUE"""),45813.6458333333)</f>
        <v>45813.6458333333</v>
      </c>
      <c r="F50" s="17">
        <f>IFERROR(__xludf.DUMMYFUNCTION("""COMPUTED_VALUE"""),117110247)</f>
        <v>117110247</v>
      </c>
      <c r="G50" s="16">
        <f>IFERROR(__xludf.DUMMYFUNCTION("""COMPUTED_VALUE"""),45813.6458333333)</f>
        <v>45813.6458333333</v>
      </c>
      <c r="H50" s="17">
        <f>IFERROR(__xludf.DUMMYFUNCTION("""COMPUTED_VALUE"""),21.29)</f>
        <v>21.29</v>
      </c>
      <c r="I50" s="16">
        <f>IFERROR(__xludf.DUMMYFUNCTION("""COMPUTED_VALUE"""),45813.6458333333)</f>
        <v>45813.6458333333</v>
      </c>
      <c r="J50" s="17">
        <f>IFERROR(__xludf.DUMMYFUNCTION("""COMPUTED_VALUE"""),20.89)</f>
        <v>20.89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IFERROR(__xludf.DUMMYFUNCTION("""COMPUTED_VALUE"""),20.85)</f>
        <v>20.85</v>
      </c>
      <c r="C51" s="16">
        <f>IFERROR(__xludf.DUMMYFUNCTION("""COMPUTED_VALUE"""),45814.6458333333)</f>
        <v>45814.6458333333</v>
      </c>
      <c r="D51" s="17">
        <f>IFERROR(__xludf.DUMMYFUNCTION("""COMPUTED_VALUE"""),20.95)</f>
        <v>20.95</v>
      </c>
      <c r="E51" s="16">
        <f>IFERROR(__xludf.DUMMYFUNCTION("""COMPUTED_VALUE"""),45814.6458333333)</f>
        <v>45814.6458333333</v>
      </c>
      <c r="F51" s="17">
        <f>IFERROR(__xludf.DUMMYFUNCTION("""COMPUTED_VALUE"""),112153888)</f>
        <v>112153888</v>
      </c>
      <c r="G51" s="16">
        <f>IFERROR(__xludf.DUMMYFUNCTION("""COMPUTED_VALUE"""),45814.6458333333)</f>
        <v>45814.6458333333</v>
      </c>
      <c r="H51" s="17">
        <f>IFERROR(__xludf.DUMMYFUNCTION("""COMPUTED_VALUE"""),21.08)</f>
        <v>21.08</v>
      </c>
      <c r="I51" s="16">
        <f>IFERROR(__xludf.DUMMYFUNCTION("""COMPUTED_VALUE"""),45814.6458333333)</f>
        <v>45814.6458333333</v>
      </c>
      <c r="J51" s="17">
        <f>IFERROR(__xludf.DUMMYFUNCTION("""COMPUTED_VALUE"""),20.78)</f>
        <v>20.78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IFERROR(__xludf.DUMMYFUNCTION("""COMPUTED_VALUE"""),21.02)</f>
        <v>21.02</v>
      </c>
      <c r="C52" s="16">
        <f>IFERROR(__xludf.DUMMYFUNCTION("""COMPUTED_VALUE"""),45817.6458333333)</f>
        <v>45817.6458333333</v>
      </c>
      <c r="D52" s="17">
        <f>IFERROR(__xludf.DUMMYFUNCTION("""COMPUTED_VALUE"""),20.97)</f>
        <v>20.97</v>
      </c>
      <c r="E52" s="16">
        <f>IFERROR(__xludf.DUMMYFUNCTION("""COMPUTED_VALUE"""),45817.6458333333)</f>
        <v>45817.6458333333</v>
      </c>
      <c r="F52" s="17">
        <f>IFERROR(__xludf.DUMMYFUNCTION("""COMPUTED_VALUE"""),79444934)</f>
        <v>79444934</v>
      </c>
      <c r="G52" s="16">
        <f>IFERROR(__xludf.DUMMYFUNCTION("""COMPUTED_VALUE"""),45817.6458333333)</f>
        <v>45817.6458333333</v>
      </c>
      <c r="H52" s="17">
        <f>IFERROR(__xludf.DUMMYFUNCTION("""COMPUTED_VALUE"""),21.12)</f>
        <v>21.12</v>
      </c>
      <c r="I52" s="16">
        <f>IFERROR(__xludf.DUMMYFUNCTION("""COMPUTED_VALUE"""),45817.6458333333)</f>
        <v>45817.6458333333</v>
      </c>
      <c r="J52" s="17">
        <f>IFERROR(__xludf.DUMMYFUNCTION("""COMPUTED_VALUE"""),20.95)</f>
        <v>20.95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IFERROR(__xludf.DUMMYFUNCTION("""COMPUTED_VALUE"""),20.83)</f>
        <v>20.83</v>
      </c>
      <c r="C53" s="16">
        <f>IFERROR(__xludf.DUMMYFUNCTION("""COMPUTED_VALUE"""),45818.6458333333)</f>
        <v>45818.6458333333</v>
      </c>
      <c r="D53" s="17">
        <f>IFERROR(__xludf.DUMMYFUNCTION("""COMPUTED_VALUE"""),21.09)</f>
        <v>21.09</v>
      </c>
      <c r="E53" s="16">
        <f>IFERROR(__xludf.DUMMYFUNCTION("""COMPUTED_VALUE"""),45818.6458333333)</f>
        <v>45818.6458333333</v>
      </c>
      <c r="F53" s="17">
        <f>IFERROR(__xludf.DUMMYFUNCTION("""COMPUTED_VALUE"""),83741142)</f>
        <v>83741142</v>
      </c>
      <c r="G53" s="16">
        <f>IFERROR(__xludf.DUMMYFUNCTION("""COMPUTED_VALUE"""),45818.6458333333)</f>
        <v>45818.6458333333</v>
      </c>
      <c r="H53" s="17">
        <f>IFERROR(__xludf.DUMMYFUNCTION("""COMPUTED_VALUE"""),21.09)</f>
        <v>21.09</v>
      </c>
      <c r="I53" s="16">
        <f>IFERROR(__xludf.DUMMYFUNCTION("""COMPUTED_VALUE"""),45818.6458333333)</f>
        <v>45818.6458333333</v>
      </c>
      <c r="J53" s="17">
        <f>IFERROR(__xludf.DUMMYFUNCTION("""COMPUTED_VALUE"""),20.81)</f>
        <v>20.81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IFERROR(__xludf.DUMMYFUNCTION("""COMPUTED_VALUE"""),20.71)</f>
        <v>20.71</v>
      </c>
      <c r="C54" s="16">
        <f>IFERROR(__xludf.DUMMYFUNCTION("""COMPUTED_VALUE"""),45819.6458333333)</f>
        <v>45819.6458333333</v>
      </c>
      <c r="D54" s="17">
        <f>IFERROR(__xludf.DUMMYFUNCTION("""COMPUTED_VALUE"""),20.85)</f>
        <v>20.85</v>
      </c>
      <c r="E54" s="16">
        <f>IFERROR(__xludf.DUMMYFUNCTION("""COMPUTED_VALUE"""),45819.6458333333)</f>
        <v>45819.6458333333</v>
      </c>
      <c r="F54" s="17">
        <f>IFERROR(__xludf.DUMMYFUNCTION("""COMPUTED_VALUE"""),87551682)</f>
        <v>87551682</v>
      </c>
      <c r="G54" s="16">
        <f>IFERROR(__xludf.DUMMYFUNCTION("""COMPUTED_VALUE"""),45819.6458333333)</f>
        <v>45819.6458333333</v>
      </c>
      <c r="H54" s="17">
        <f>IFERROR(__xludf.DUMMYFUNCTION("""COMPUTED_VALUE"""),21.08)</f>
        <v>21.08</v>
      </c>
      <c r="I54" s="16">
        <f>IFERROR(__xludf.DUMMYFUNCTION("""COMPUTED_VALUE"""),45819.6458333333)</f>
        <v>45819.6458333333</v>
      </c>
      <c r="J54" s="17">
        <f>IFERROR(__xludf.DUMMYFUNCTION("""COMPUTED_VALUE"""),20.68)</f>
        <v>20.68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IFERROR(__xludf.DUMMYFUNCTION("""COMPUTED_VALUE"""),20.42)</f>
        <v>20.42</v>
      </c>
      <c r="C55" s="16">
        <f>IFERROR(__xludf.DUMMYFUNCTION("""COMPUTED_VALUE"""),45820.6458333333)</f>
        <v>45820.6458333333</v>
      </c>
      <c r="D55" s="17">
        <f>IFERROR(__xludf.DUMMYFUNCTION("""COMPUTED_VALUE"""),20.71)</f>
        <v>20.71</v>
      </c>
      <c r="E55" s="16">
        <f>IFERROR(__xludf.DUMMYFUNCTION("""COMPUTED_VALUE"""),45820.6458333333)</f>
        <v>45820.6458333333</v>
      </c>
      <c r="F55" s="17">
        <f>IFERROR(__xludf.DUMMYFUNCTION("""COMPUTED_VALUE"""),75498210)</f>
        <v>75498210</v>
      </c>
      <c r="G55" s="16">
        <f>IFERROR(__xludf.DUMMYFUNCTION("""COMPUTED_VALUE"""),45820.6458333333)</f>
        <v>45820.6458333333</v>
      </c>
      <c r="H55" s="17">
        <f>IFERROR(__xludf.DUMMYFUNCTION("""COMPUTED_VALUE"""),20.76)</f>
        <v>20.76</v>
      </c>
      <c r="I55" s="16">
        <f>IFERROR(__xludf.DUMMYFUNCTION("""COMPUTED_VALUE"""),45820.6458333333)</f>
        <v>45820.6458333333</v>
      </c>
      <c r="J55" s="17">
        <f>IFERROR(__xludf.DUMMYFUNCTION("""COMPUTED_VALUE"""),20.36)</f>
        <v>20.36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IFERROR(__xludf.DUMMYFUNCTION("""COMPUTED_VALUE"""),20.16)</f>
        <v>20.16</v>
      </c>
      <c r="C56" s="16">
        <f>IFERROR(__xludf.DUMMYFUNCTION("""COMPUTED_VALUE"""),45821.6458333333)</f>
        <v>45821.6458333333</v>
      </c>
      <c r="D56" s="17">
        <f>IFERROR(__xludf.DUMMYFUNCTION("""COMPUTED_VALUE"""),20)</f>
        <v>20</v>
      </c>
      <c r="E56" s="16">
        <f>IFERROR(__xludf.DUMMYFUNCTION("""COMPUTED_VALUE"""),45821.6458333333)</f>
        <v>45821.6458333333</v>
      </c>
      <c r="F56" s="17">
        <f>IFERROR(__xludf.DUMMYFUNCTION("""COMPUTED_VALUE"""),86716463)</f>
        <v>86716463</v>
      </c>
      <c r="G56" s="16">
        <f>IFERROR(__xludf.DUMMYFUNCTION("""COMPUTED_VALUE"""),45821.6458333333)</f>
        <v>45821.6458333333</v>
      </c>
      <c r="H56" s="17">
        <f>IFERROR(__xludf.DUMMYFUNCTION("""COMPUTED_VALUE"""),20.29)</f>
        <v>20.29</v>
      </c>
      <c r="I56" s="16">
        <f>IFERROR(__xludf.DUMMYFUNCTION("""COMPUTED_VALUE"""),45821.6458333333)</f>
        <v>45821.6458333333</v>
      </c>
      <c r="J56" s="17">
        <f>IFERROR(__xludf.DUMMYFUNCTION("""COMPUTED_VALUE"""),19.92)</f>
        <v>19.92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IFERROR(__xludf.DUMMYFUNCTION("""COMPUTED_VALUE"""),20.24)</f>
        <v>20.24</v>
      </c>
      <c r="C57" s="16">
        <f>IFERROR(__xludf.DUMMYFUNCTION("""COMPUTED_VALUE"""),45824.6458333333)</f>
        <v>45824.6458333333</v>
      </c>
      <c r="D57" s="17">
        <f>IFERROR(__xludf.DUMMYFUNCTION("""COMPUTED_VALUE"""),20.2)</f>
        <v>20.2</v>
      </c>
      <c r="E57" s="16">
        <f>IFERROR(__xludf.DUMMYFUNCTION("""COMPUTED_VALUE"""),45824.6458333333)</f>
        <v>45824.6458333333</v>
      </c>
      <c r="F57" s="17">
        <f>IFERROR(__xludf.DUMMYFUNCTION("""COMPUTED_VALUE"""),127118891)</f>
        <v>127118891</v>
      </c>
      <c r="G57" s="16">
        <f>IFERROR(__xludf.DUMMYFUNCTION("""COMPUTED_VALUE"""),45824.6458333333)</f>
        <v>45824.6458333333</v>
      </c>
      <c r="H57" s="17">
        <f>IFERROR(__xludf.DUMMYFUNCTION("""COMPUTED_VALUE"""),20.42)</f>
        <v>20.42</v>
      </c>
      <c r="I57" s="16">
        <f>IFERROR(__xludf.DUMMYFUNCTION("""COMPUTED_VALUE"""),45824.6458333333)</f>
        <v>45824.6458333333</v>
      </c>
      <c r="J57" s="17">
        <f>IFERROR(__xludf.DUMMYFUNCTION("""COMPUTED_VALUE"""),19.87)</f>
        <v>19.87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IFERROR(__xludf.DUMMYFUNCTION("""COMPUTED_VALUE"""),19.94)</f>
        <v>19.94</v>
      </c>
      <c r="C58" s="16">
        <f>IFERROR(__xludf.DUMMYFUNCTION("""COMPUTED_VALUE"""),45825.6458333333)</f>
        <v>45825.6458333333</v>
      </c>
      <c r="D58" s="17">
        <f>IFERROR(__xludf.DUMMYFUNCTION("""COMPUTED_VALUE"""),20.24)</f>
        <v>20.24</v>
      </c>
      <c r="E58" s="16">
        <f>IFERROR(__xludf.DUMMYFUNCTION("""COMPUTED_VALUE"""),45825.6458333333)</f>
        <v>45825.6458333333</v>
      </c>
      <c r="F58" s="17">
        <f>IFERROR(__xludf.DUMMYFUNCTION("""COMPUTED_VALUE"""),106940351)</f>
        <v>106940351</v>
      </c>
      <c r="G58" s="16">
        <f>IFERROR(__xludf.DUMMYFUNCTION("""COMPUTED_VALUE"""),45825.6458333333)</f>
        <v>45825.6458333333</v>
      </c>
      <c r="H58" s="17">
        <f>IFERROR(__xludf.DUMMYFUNCTION("""COMPUTED_VALUE"""),20.34)</f>
        <v>20.34</v>
      </c>
      <c r="I58" s="16">
        <f>IFERROR(__xludf.DUMMYFUNCTION("""COMPUTED_VALUE"""),45825.6458333333)</f>
        <v>45825.6458333333</v>
      </c>
      <c r="J58" s="17">
        <f>IFERROR(__xludf.DUMMYFUNCTION("""COMPUTED_VALUE"""),19.81)</f>
        <v>19.81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IFERROR(__xludf.DUMMYFUNCTION("""COMPUTED_VALUE"""),19.89)</f>
        <v>19.89</v>
      </c>
      <c r="C59" s="16">
        <f>IFERROR(__xludf.DUMMYFUNCTION("""COMPUTED_VALUE"""),45826.6458333333)</f>
        <v>45826.6458333333</v>
      </c>
      <c r="D59" s="17">
        <f>IFERROR(__xludf.DUMMYFUNCTION("""COMPUTED_VALUE"""),19.94)</f>
        <v>19.94</v>
      </c>
      <c r="E59" s="16">
        <f>IFERROR(__xludf.DUMMYFUNCTION("""COMPUTED_VALUE"""),45826.6458333333)</f>
        <v>45826.6458333333</v>
      </c>
      <c r="F59" s="17">
        <f>IFERROR(__xludf.DUMMYFUNCTION("""COMPUTED_VALUE"""),70942059)</f>
        <v>70942059</v>
      </c>
      <c r="G59" s="16">
        <f>IFERROR(__xludf.DUMMYFUNCTION("""COMPUTED_VALUE"""),45826.6458333333)</f>
        <v>45826.6458333333</v>
      </c>
      <c r="H59" s="17">
        <f>IFERROR(__xludf.DUMMYFUNCTION("""COMPUTED_VALUE"""),20.13)</f>
        <v>20.13</v>
      </c>
      <c r="I59" s="16">
        <f>IFERROR(__xludf.DUMMYFUNCTION("""COMPUTED_VALUE"""),45826.6458333333)</f>
        <v>45826.6458333333</v>
      </c>
      <c r="J59" s="17">
        <f>IFERROR(__xludf.DUMMYFUNCTION("""COMPUTED_VALUE"""),19.74)</f>
        <v>19.74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IFERROR(__xludf.DUMMYFUNCTION("""COMPUTED_VALUE"""),19.41)</f>
        <v>19.41</v>
      </c>
      <c r="C60" s="16">
        <f>IFERROR(__xludf.DUMMYFUNCTION("""COMPUTED_VALUE"""),45827.6458333333)</f>
        <v>45827.6458333333</v>
      </c>
      <c r="D60" s="17">
        <f>IFERROR(__xludf.DUMMYFUNCTION("""COMPUTED_VALUE"""),19.89)</f>
        <v>19.89</v>
      </c>
      <c r="E60" s="16">
        <f>IFERROR(__xludf.DUMMYFUNCTION("""COMPUTED_VALUE"""),45827.6458333333)</f>
        <v>45827.6458333333</v>
      </c>
      <c r="F60" s="17">
        <f>IFERROR(__xludf.DUMMYFUNCTION("""COMPUTED_VALUE"""),121108336)</f>
        <v>121108336</v>
      </c>
      <c r="G60" s="16">
        <f>IFERROR(__xludf.DUMMYFUNCTION("""COMPUTED_VALUE"""),45827.6458333333)</f>
        <v>45827.6458333333</v>
      </c>
      <c r="H60" s="17">
        <f>IFERROR(__xludf.DUMMYFUNCTION("""COMPUTED_VALUE"""),19.95)</f>
        <v>19.95</v>
      </c>
      <c r="I60" s="16">
        <f>IFERROR(__xludf.DUMMYFUNCTION("""COMPUTED_VALUE"""),45827.6458333333)</f>
        <v>45827.6458333333</v>
      </c>
      <c r="J60" s="17">
        <f>IFERROR(__xludf.DUMMYFUNCTION("""COMPUTED_VALUE"""),19.32)</f>
        <v>19.32</v>
      </c>
      <c r="K60" s="3">
        <f t="shared" si="2"/>
        <v>0</v>
      </c>
      <c r="L60" s="3">
        <f t="shared" si="3"/>
        <v>19.41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IFERROR(__xludf.DUMMYFUNCTION("""COMPUTED_VALUE"""),19.73)</f>
        <v>19.73</v>
      </c>
      <c r="C61" s="16">
        <f>IFERROR(__xludf.DUMMYFUNCTION("""COMPUTED_VALUE"""),45828.6458333333)</f>
        <v>45828.6458333333</v>
      </c>
      <c r="D61" s="17">
        <f>IFERROR(__xludf.DUMMYFUNCTION("""COMPUTED_VALUE"""),19.41)</f>
        <v>19.41</v>
      </c>
      <c r="E61" s="16">
        <f>IFERROR(__xludf.DUMMYFUNCTION("""COMPUTED_VALUE"""),45828.6458333333)</f>
        <v>45828.6458333333</v>
      </c>
      <c r="F61" s="17">
        <f>IFERROR(__xludf.DUMMYFUNCTION("""COMPUTED_VALUE"""),137535775)</f>
        <v>137535775</v>
      </c>
      <c r="G61" s="16">
        <f>IFERROR(__xludf.DUMMYFUNCTION("""COMPUTED_VALUE"""),45828.6458333333)</f>
        <v>45828.6458333333</v>
      </c>
      <c r="H61" s="17">
        <f>IFERROR(__xludf.DUMMYFUNCTION("""COMPUTED_VALUE"""),19.82)</f>
        <v>19.82</v>
      </c>
      <c r="I61" s="16">
        <f>IFERROR(__xludf.DUMMYFUNCTION("""COMPUTED_VALUE"""),45828.6458333333)</f>
        <v>45828.6458333333</v>
      </c>
      <c r="J61" s="17">
        <f>IFERROR(__xludf.DUMMYFUNCTION("""COMPUTED_VALUE"""),19.4)</f>
        <v>19.4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IFERROR(__xludf.DUMMYFUNCTION("""COMPUTED_VALUE"""),19.88)</f>
        <v>19.88</v>
      </c>
      <c r="C62" s="16">
        <f>IFERROR(__xludf.DUMMYFUNCTION("""COMPUTED_VALUE"""),45831.6458333333)</f>
        <v>45831.6458333333</v>
      </c>
      <c r="D62" s="17">
        <f>IFERROR(__xludf.DUMMYFUNCTION("""COMPUTED_VALUE"""),19.72)</f>
        <v>19.72</v>
      </c>
      <c r="E62" s="16">
        <f>IFERROR(__xludf.DUMMYFUNCTION("""COMPUTED_VALUE"""),45831.6458333333)</f>
        <v>45831.6458333333</v>
      </c>
      <c r="F62" s="17">
        <f>IFERROR(__xludf.DUMMYFUNCTION("""COMPUTED_VALUE"""),84683129)</f>
        <v>84683129</v>
      </c>
      <c r="G62" s="16">
        <f>IFERROR(__xludf.DUMMYFUNCTION("""COMPUTED_VALUE"""),45831.6458333333)</f>
        <v>45831.6458333333</v>
      </c>
      <c r="H62" s="17">
        <f>IFERROR(__xludf.DUMMYFUNCTION("""COMPUTED_VALUE"""),19.96)</f>
        <v>19.96</v>
      </c>
      <c r="I62" s="16">
        <f>IFERROR(__xludf.DUMMYFUNCTION("""COMPUTED_VALUE"""),45831.6458333333)</f>
        <v>45831.6458333333</v>
      </c>
      <c r="J62" s="17">
        <f>IFERROR(__xludf.DUMMYFUNCTION("""COMPUTED_VALUE"""),19.62)</f>
        <v>19.62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IFERROR(__xludf.DUMMYFUNCTION("""COMPUTED_VALUE"""),19.97)</f>
        <v>19.97</v>
      </c>
      <c r="C63" s="16">
        <f>IFERROR(__xludf.DUMMYFUNCTION("""COMPUTED_VALUE"""),45832.6458333333)</f>
        <v>45832.6458333333</v>
      </c>
      <c r="D63" s="17">
        <f>IFERROR(__xludf.DUMMYFUNCTION("""COMPUTED_VALUE"""),20.06)</f>
        <v>20.06</v>
      </c>
      <c r="E63" s="16">
        <f>IFERROR(__xludf.DUMMYFUNCTION("""COMPUTED_VALUE"""),45832.6458333333)</f>
        <v>45832.6458333333</v>
      </c>
      <c r="F63" s="17">
        <f>IFERROR(__xludf.DUMMYFUNCTION("""COMPUTED_VALUE"""),111385760)</f>
        <v>111385760</v>
      </c>
      <c r="G63" s="16">
        <f>IFERROR(__xludf.DUMMYFUNCTION("""COMPUTED_VALUE"""),45832.6458333333)</f>
        <v>45832.6458333333</v>
      </c>
      <c r="H63" s="17">
        <f>IFERROR(__xludf.DUMMYFUNCTION("""COMPUTED_VALUE"""),20.17)</f>
        <v>20.17</v>
      </c>
      <c r="I63" s="16">
        <f>IFERROR(__xludf.DUMMYFUNCTION("""COMPUTED_VALUE"""),45832.6458333333)</f>
        <v>45832.6458333333</v>
      </c>
      <c r="J63" s="17">
        <f>IFERROR(__xludf.DUMMYFUNCTION("""COMPUTED_VALUE"""),19.94)</f>
        <v>19.94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IFERROR(__xludf.DUMMYFUNCTION("""COMPUTED_VALUE"""),20.23)</f>
        <v>20.23</v>
      </c>
      <c r="C64" s="16">
        <f>IFERROR(__xludf.DUMMYFUNCTION("""COMPUTED_VALUE"""),45833.6458333333)</f>
        <v>45833.6458333333</v>
      </c>
      <c r="D64" s="17">
        <f>IFERROR(__xludf.DUMMYFUNCTION("""COMPUTED_VALUE"""),19.97)</f>
        <v>19.97</v>
      </c>
      <c r="E64" s="16">
        <f>IFERROR(__xludf.DUMMYFUNCTION("""COMPUTED_VALUE"""),45833.6458333333)</f>
        <v>45833.6458333333</v>
      </c>
      <c r="F64" s="17">
        <f>IFERROR(__xludf.DUMMYFUNCTION("""COMPUTED_VALUE"""),102424811)</f>
        <v>102424811</v>
      </c>
      <c r="G64" s="16">
        <f>IFERROR(__xludf.DUMMYFUNCTION("""COMPUTED_VALUE"""),45833.6458333333)</f>
        <v>45833.6458333333</v>
      </c>
      <c r="H64" s="17">
        <f>IFERROR(__xludf.DUMMYFUNCTION("""COMPUTED_VALUE"""),20.28)</f>
        <v>20.28</v>
      </c>
      <c r="I64" s="16">
        <f>IFERROR(__xludf.DUMMYFUNCTION("""COMPUTED_VALUE"""),45833.6458333333)</f>
        <v>45833.6458333333</v>
      </c>
      <c r="J64" s="17">
        <f>IFERROR(__xludf.DUMMYFUNCTION("""COMPUTED_VALUE"""),19.97)</f>
        <v>19.97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IFERROR(__xludf.DUMMYFUNCTION("""COMPUTED_VALUE"""),20.08)</f>
        <v>20.08</v>
      </c>
      <c r="C65" s="16">
        <f>IFERROR(__xludf.DUMMYFUNCTION("""COMPUTED_VALUE"""),45834.6458333333)</f>
        <v>45834.6458333333</v>
      </c>
      <c r="D65" s="17">
        <f>IFERROR(__xludf.DUMMYFUNCTION("""COMPUTED_VALUE"""),20.26)</f>
        <v>20.26</v>
      </c>
      <c r="E65" s="16">
        <f>IFERROR(__xludf.DUMMYFUNCTION("""COMPUTED_VALUE"""),45834.6458333333)</f>
        <v>45834.6458333333</v>
      </c>
      <c r="F65" s="17">
        <f>IFERROR(__xludf.DUMMYFUNCTION("""COMPUTED_VALUE"""),89018955)</f>
        <v>89018955</v>
      </c>
      <c r="G65" s="16">
        <f>IFERROR(__xludf.DUMMYFUNCTION("""COMPUTED_VALUE"""),45834.6458333333)</f>
        <v>45834.6458333333</v>
      </c>
      <c r="H65" s="17">
        <f>IFERROR(__xludf.DUMMYFUNCTION("""COMPUTED_VALUE"""),20.31)</f>
        <v>20.31</v>
      </c>
      <c r="I65" s="16">
        <f>IFERROR(__xludf.DUMMYFUNCTION("""COMPUTED_VALUE"""),45834.6458333333)</f>
        <v>45834.6458333333</v>
      </c>
      <c r="J65" s="17">
        <f>IFERROR(__xludf.DUMMYFUNCTION("""COMPUTED_VALUE"""),20.02)</f>
        <v>20.02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IFERROR(__xludf.DUMMYFUNCTION("""COMPUTED_VALUE"""),20.18)</f>
        <v>20.18</v>
      </c>
      <c r="C66" s="16">
        <f>IFERROR(__xludf.DUMMYFUNCTION("""COMPUTED_VALUE"""),45835.6458333333)</f>
        <v>45835.6458333333</v>
      </c>
      <c r="D66" s="17">
        <f>IFERROR(__xludf.DUMMYFUNCTION("""COMPUTED_VALUE"""),20.1)</f>
        <v>20.1</v>
      </c>
      <c r="E66" s="16">
        <f>IFERROR(__xludf.DUMMYFUNCTION("""COMPUTED_VALUE"""),45835.6458333333)</f>
        <v>45835.6458333333</v>
      </c>
      <c r="F66" s="17">
        <f>IFERROR(__xludf.DUMMYFUNCTION("""COMPUTED_VALUE"""),105112009)</f>
        <v>105112009</v>
      </c>
      <c r="G66" s="16">
        <f>IFERROR(__xludf.DUMMYFUNCTION("""COMPUTED_VALUE"""),45835.6458333333)</f>
        <v>45835.6458333333</v>
      </c>
      <c r="H66" s="17">
        <f>IFERROR(__xludf.DUMMYFUNCTION("""COMPUTED_VALUE"""),20.49)</f>
        <v>20.49</v>
      </c>
      <c r="I66" s="16">
        <f>IFERROR(__xludf.DUMMYFUNCTION("""COMPUTED_VALUE"""),45835.6458333333)</f>
        <v>45835.6458333333</v>
      </c>
      <c r="J66" s="17">
        <f>IFERROR(__xludf.DUMMYFUNCTION("""COMPUTED_VALUE"""),20.1)</f>
        <v>20.1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IFERROR(__xludf.DUMMYFUNCTION("""COMPUTED_VALUE"""),20.34)</f>
        <v>20.34</v>
      </c>
      <c r="C67" s="16">
        <f>IFERROR(__xludf.DUMMYFUNCTION("""COMPUTED_VALUE"""),45838.6458333333)</f>
        <v>45838.6458333333</v>
      </c>
      <c r="D67" s="17">
        <f>IFERROR(__xludf.DUMMYFUNCTION("""COMPUTED_VALUE"""),20.22)</f>
        <v>20.22</v>
      </c>
      <c r="E67" s="16">
        <f>IFERROR(__xludf.DUMMYFUNCTION("""COMPUTED_VALUE"""),45838.6458333333)</f>
        <v>45838.6458333333</v>
      </c>
      <c r="F67" s="17">
        <f>IFERROR(__xludf.DUMMYFUNCTION("""COMPUTED_VALUE"""),96513607)</f>
        <v>96513607</v>
      </c>
      <c r="G67" s="16">
        <f>IFERROR(__xludf.DUMMYFUNCTION("""COMPUTED_VALUE"""),45838.6458333333)</f>
        <v>45838.6458333333</v>
      </c>
      <c r="H67" s="17">
        <f>IFERROR(__xludf.DUMMYFUNCTION("""COMPUTED_VALUE"""),20.6)</f>
        <v>20.6</v>
      </c>
      <c r="I67" s="16">
        <f>IFERROR(__xludf.DUMMYFUNCTION("""COMPUTED_VALUE"""),45838.6458333333)</f>
        <v>45838.6458333333</v>
      </c>
      <c r="J67" s="17">
        <f>IFERROR(__xludf.DUMMYFUNCTION("""COMPUTED_VALUE"""),20.21)</f>
        <v>20.21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IFERROR(__xludf.DUMMYFUNCTION("""COMPUTED_VALUE"""),20.43)</f>
        <v>20.43</v>
      </c>
      <c r="C68" s="16">
        <f>IFERROR(__xludf.DUMMYFUNCTION("""COMPUTED_VALUE"""),45839.6458333333)</f>
        <v>45839.6458333333</v>
      </c>
      <c r="D68" s="17">
        <f>IFERROR(__xludf.DUMMYFUNCTION("""COMPUTED_VALUE"""),20.4)</f>
        <v>20.4</v>
      </c>
      <c r="E68" s="16">
        <f>IFERROR(__xludf.DUMMYFUNCTION("""COMPUTED_VALUE"""),45839.6458333333)</f>
        <v>45839.6458333333</v>
      </c>
      <c r="F68" s="17">
        <f>IFERROR(__xludf.DUMMYFUNCTION("""COMPUTED_VALUE"""),79199190)</f>
        <v>79199190</v>
      </c>
      <c r="G68" s="16">
        <f>IFERROR(__xludf.DUMMYFUNCTION("""COMPUTED_VALUE"""),45839.6458333333)</f>
        <v>45839.6458333333</v>
      </c>
      <c r="H68" s="17">
        <f>IFERROR(__xludf.DUMMYFUNCTION("""COMPUTED_VALUE"""),20.48)</f>
        <v>20.48</v>
      </c>
      <c r="I68" s="16">
        <f>IFERROR(__xludf.DUMMYFUNCTION("""COMPUTED_VALUE"""),45839.6458333333)</f>
        <v>45839.6458333333</v>
      </c>
      <c r="J68" s="17">
        <f>IFERROR(__xludf.DUMMYFUNCTION("""COMPUTED_VALUE"""),20.15)</f>
        <v>20.15</v>
      </c>
      <c r="K68" s="3">
        <f t="shared" si="2"/>
        <v>20.43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IFERROR(__xludf.DUMMYFUNCTION("""COMPUTED_VALUE"""),20.28)</f>
        <v>20.28</v>
      </c>
      <c r="C69" s="16">
        <f>IFERROR(__xludf.DUMMYFUNCTION("""COMPUTED_VALUE"""),45840.6458333333)</f>
        <v>45840.6458333333</v>
      </c>
      <c r="D69" s="17">
        <f>IFERROR(__xludf.DUMMYFUNCTION("""COMPUTED_VALUE"""),20.5)</f>
        <v>20.5</v>
      </c>
      <c r="E69" s="16">
        <f>IFERROR(__xludf.DUMMYFUNCTION("""COMPUTED_VALUE"""),45840.6458333333)</f>
        <v>45840.6458333333</v>
      </c>
      <c r="F69" s="17">
        <f>IFERROR(__xludf.DUMMYFUNCTION("""COMPUTED_VALUE"""),57391538)</f>
        <v>57391538</v>
      </c>
      <c r="G69" s="16">
        <f>IFERROR(__xludf.DUMMYFUNCTION("""COMPUTED_VALUE"""),45840.6458333333)</f>
        <v>45840.6458333333</v>
      </c>
      <c r="H69" s="17">
        <f>IFERROR(__xludf.DUMMYFUNCTION("""COMPUTED_VALUE"""),20.5)</f>
        <v>20.5</v>
      </c>
      <c r="I69" s="16">
        <f>IFERROR(__xludf.DUMMYFUNCTION("""COMPUTED_VALUE"""),45840.6458333333)</f>
        <v>45840.6458333333</v>
      </c>
      <c r="J69" s="17">
        <f>IFERROR(__xludf.DUMMYFUNCTION("""COMPUTED_VALUE"""),20.18)</f>
        <v>20.18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IFERROR(__xludf.DUMMYFUNCTION("""COMPUTED_VALUE"""),20.15)</f>
        <v>20.15</v>
      </c>
      <c r="C70" s="16">
        <f>IFERROR(__xludf.DUMMYFUNCTION("""COMPUTED_VALUE"""),45841.6458333333)</f>
        <v>45841.6458333333</v>
      </c>
      <c r="D70" s="17">
        <f>IFERROR(__xludf.DUMMYFUNCTION("""COMPUTED_VALUE"""),20.3)</f>
        <v>20.3</v>
      </c>
      <c r="E70" s="16">
        <f>IFERROR(__xludf.DUMMYFUNCTION("""COMPUTED_VALUE"""),45841.6458333333)</f>
        <v>45841.6458333333</v>
      </c>
      <c r="F70" s="17">
        <f>IFERROR(__xludf.DUMMYFUNCTION("""COMPUTED_VALUE"""),55964363)</f>
        <v>55964363</v>
      </c>
      <c r="G70" s="16">
        <f>IFERROR(__xludf.DUMMYFUNCTION("""COMPUTED_VALUE"""),45841.6458333333)</f>
        <v>45841.6458333333</v>
      </c>
      <c r="H70" s="17">
        <f>IFERROR(__xludf.DUMMYFUNCTION("""COMPUTED_VALUE"""),20.33)</f>
        <v>20.33</v>
      </c>
      <c r="I70" s="16">
        <f>IFERROR(__xludf.DUMMYFUNCTION("""COMPUTED_VALUE"""),45841.6458333333)</f>
        <v>45841.6458333333</v>
      </c>
      <c r="J70" s="17">
        <f>IFERROR(__xludf.DUMMYFUNCTION("""COMPUTED_VALUE"""),20.12)</f>
        <v>20.12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IFERROR(__xludf.DUMMYFUNCTION("""COMPUTED_VALUE"""),20.05)</f>
        <v>20.05</v>
      </c>
      <c r="C71" s="16">
        <f>IFERROR(__xludf.DUMMYFUNCTION("""COMPUTED_VALUE"""),45842.6458333333)</f>
        <v>45842.6458333333</v>
      </c>
      <c r="D71" s="17">
        <f>IFERROR(__xludf.DUMMYFUNCTION("""COMPUTED_VALUE"""),20.15)</f>
        <v>20.15</v>
      </c>
      <c r="E71" s="16">
        <f>IFERROR(__xludf.DUMMYFUNCTION("""COMPUTED_VALUE"""),45842.6458333333)</f>
        <v>45842.6458333333</v>
      </c>
      <c r="F71" s="17">
        <f>IFERROR(__xludf.DUMMYFUNCTION("""COMPUTED_VALUE"""),59748051)</f>
        <v>59748051</v>
      </c>
      <c r="G71" s="16">
        <f>IFERROR(__xludf.DUMMYFUNCTION("""COMPUTED_VALUE"""),45842.6458333333)</f>
        <v>45842.6458333333</v>
      </c>
      <c r="H71" s="17">
        <f>IFERROR(__xludf.DUMMYFUNCTION("""COMPUTED_VALUE"""),20.2)</f>
        <v>20.2</v>
      </c>
      <c r="I71" s="16">
        <f>IFERROR(__xludf.DUMMYFUNCTION("""COMPUTED_VALUE"""),45842.6458333333)</f>
        <v>45842.6458333333</v>
      </c>
      <c r="J71" s="17">
        <f>IFERROR(__xludf.DUMMYFUNCTION("""COMPUTED_VALUE"""),19.98)</f>
        <v>19.98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IFERROR(__xludf.DUMMYFUNCTION("""COMPUTED_VALUE"""),20)</f>
        <v>20</v>
      </c>
      <c r="C72" s="16">
        <f>IFERROR(__xludf.DUMMYFUNCTION("""COMPUTED_VALUE"""),45845.6458333333)</f>
        <v>45845.6458333333</v>
      </c>
      <c r="D72" s="17">
        <f>IFERROR(__xludf.DUMMYFUNCTION("""COMPUTED_VALUE"""),20.05)</f>
        <v>20.05</v>
      </c>
      <c r="E72" s="16">
        <f>IFERROR(__xludf.DUMMYFUNCTION("""COMPUTED_VALUE"""),45845.6458333333)</f>
        <v>45845.6458333333</v>
      </c>
      <c r="F72" s="17">
        <f>IFERROR(__xludf.DUMMYFUNCTION("""COMPUTED_VALUE"""),49824401)</f>
        <v>49824401</v>
      </c>
      <c r="G72" s="16">
        <f>IFERROR(__xludf.DUMMYFUNCTION("""COMPUTED_VALUE"""),45845.6458333333)</f>
        <v>45845.6458333333</v>
      </c>
      <c r="H72" s="17">
        <f>IFERROR(__xludf.DUMMYFUNCTION("""COMPUTED_VALUE"""),20.19)</f>
        <v>20.19</v>
      </c>
      <c r="I72" s="16">
        <f>IFERROR(__xludf.DUMMYFUNCTION("""COMPUTED_VALUE"""),45845.6458333333)</f>
        <v>45845.6458333333</v>
      </c>
      <c r="J72" s="17">
        <f>IFERROR(__xludf.DUMMYFUNCTION("""COMPUTED_VALUE"""),19.98)</f>
        <v>19.98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IFERROR(__xludf.DUMMYFUNCTION("""COMPUTED_VALUE"""),20)</f>
        <v>20</v>
      </c>
      <c r="C73" s="16">
        <f>IFERROR(__xludf.DUMMYFUNCTION("""COMPUTED_VALUE"""),45846.6458333333)</f>
        <v>45846.6458333333</v>
      </c>
      <c r="D73" s="17">
        <f>IFERROR(__xludf.DUMMYFUNCTION("""COMPUTED_VALUE"""),20.03)</f>
        <v>20.03</v>
      </c>
      <c r="E73" s="16">
        <f>IFERROR(__xludf.DUMMYFUNCTION("""COMPUTED_VALUE"""),45846.6458333333)</f>
        <v>45846.6458333333</v>
      </c>
      <c r="F73" s="17">
        <f>IFERROR(__xludf.DUMMYFUNCTION("""COMPUTED_VALUE"""),39857418)</f>
        <v>39857418</v>
      </c>
      <c r="G73" s="16">
        <f>IFERROR(__xludf.DUMMYFUNCTION("""COMPUTED_VALUE"""),45846.6458333333)</f>
        <v>45846.6458333333</v>
      </c>
      <c r="H73" s="17">
        <f>IFERROR(__xludf.DUMMYFUNCTION("""COMPUTED_VALUE"""),20.09)</f>
        <v>20.09</v>
      </c>
      <c r="I73" s="16">
        <f>IFERROR(__xludf.DUMMYFUNCTION("""COMPUTED_VALUE"""),45846.6458333333)</f>
        <v>45846.6458333333</v>
      </c>
      <c r="J73" s="17">
        <f>IFERROR(__xludf.DUMMYFUNCTION("""COMPUTED_VALUE"""),19.9)</f>
        <v>19.9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IFERROR(__xludf.DUMMYFUNCTION("""COMPUTED_VALUE"""),19.91)</f>
        <v>19.91</v>
      </c>
      <c r="C74" s="16">
        <f>IFERROR(__xludf.DUMMYFUNCTION("""COMPUTED_VALUE"""),45847.6458333333)</f>
        <v>45847.6458333333</v>
      </c>
      <c r="D74" s="17">
        <f>IFERROR(__xludf.DUMMYFUNCTION("""COMPUTED_VALUE"""),20.01)</f>
        <v>20.01</v>
      </c>
      <c r="E74" s="16">
        <f>IFERROR(__xludf.DUMMYFUNCTION("""COMPUTED_VALUE"""),45847.6458333333)</f>
        <v>45847.6458333333</v>
      </c>
      <c r="F74" s="17">
        <f>IFERROR(__xludf.DUMMYFUNCTION("""COMPUTED_VALUE"""),44640150)</f>
        <v>44640150</v>
      </c>
      <c r="G74" s="16">
        <f>IFERROR(__xludf.DUMMYFUNCTION("""COMPUTED_VALUE"""),45847.6458333333)</f>
        <v>45847.6458333333</v>
      </c>
      <c r="H74" s="17">
        <f>IFERROR(__xludf.DUMMYFUNCTION("""COMPUTED_VALUE"""),20.11)</f>
        <v>20.11</v>
      </c>
      <c r="I74" s="16">
        <f>IFERROR(__xludf.DUMMYFUNCTION("""COMPUTED_VALUE"""),45847.6458333333)</f>
        <v>45847.6458333333</v>
      </c>
      <c r="J74" s="17">
        <f>IFERROR(__xludf.DUMMYFUNCTION("""COMPUTED_VALUE"""),19.86)</f>
        <v>19.86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IFERROR(__xludf.DUMMYFUNCTION("""COMPUTED_VALUE"""),19.81)</f>
        <v>19.81</v>
      </c>
      <c r="C75" s="16">
        <f>IFERROR(__xludf.DUMMYFUNCTION("""COMPUTED_VALUE"""),45848.6458333333)</f>
        <v>45848.6458333333</v>
      </c>
      <c r="D75" s="17">
        <f>IFERROR(__xludf.DUMMYFUNCTION("""COMPUTED_VALUE"""),19.95)</f>
        <v>19.95</v>
      </c>
      <c r="E75" s="16">
        <f>IFERROR(__xludf.DUMMYFUNCTION("""COMPUTED_VALUE"""),45848.6458333333)</f>
        <v>45848.6458333333</v>
      </c>
      <c r="F75" s="17">
        <f>IFERROR(__xludf.DUMMYFUNCTION("""COMPUTED_VALUE"""),43768292)</f>
        <v>43768292</v>
      </c>
      <c r="G75" s="16">
        <f>IFERROR(__xludf.DUMMYFUNCTION("""COMPUTED_VALUE"""),45848.6458333333)</f>
        <v>45848.6458333333</v>
      </c>
      <c r="H75" s="17">
        <f>IFERROR(__xludf.DUMMYFUNCTION("""COMPUTED_VALUE"""),19.99)</f>
        <v>19.99</v>
      </c>
      <c r="I75" s="16">
        <f>IFERROR(__xludf.DUMMYFUNCTION("""COMPUTED_VALUE"""),45848.6458333333)</f>
        <v>45848.6458333333</v>
      </c>
      <c r="J75" s="17">
        <f>IFERROR(__xludf.DUMMYFUNCTION("""COMPUTED_VALUE"""),19.76)</f>
        <v>19.76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IFERROR(__xludf.DUMMYFUNCTION("""COMPUTED_VALUE"""),19.66)</f>
        <v>19.66</v>
      </c>
      <c r="C76" s="16">
        <f>IFERROR(__xludf.DUMMYFUNCTION("""COMPUTED_VALUE"""),45849.6458333333)</f>
        <v>45849.6458333333</v>
      </c>
      <c r="D76" s="17">
        <f>IFERROR(__xludf.DUMMYFUNCTION("""COMPUTED_VALUE"""),19.81)</f>
        <v>19.81</v>
      </c>
      <c r="E76" s="16">
        <f>IFERROR(__xludf.DUMMYFUNCTION("""COMPUTED_VALUE"""),45849.6458333333)</f>
        <v>45849.6458333333</v>
      </c>
      <c r="F76" s="17">
        <f>IFERROR(__xludf.DUMMYFUNCTION("""COMPUTED_VALUE"""),43213838)</f>
        <v>43213838</v>
      </c>
      <c r="G76" s="16">
        <f>IFERROR(__xludf.DUMMYFUNCTION("""COMPUTED_VALUE"""),45849.6458333333)</f>
        <v>45849.6458333333</v>
      </c>
      <c r="H76" s="17">
        <f>IFERROR(__xludf.DUMMYFUNCTION("""COMPUTED_VALUE"""),19.95)</f>
        <v>19.95</v>
      </c>
      <c r="I76" s="16">
        <f>IFERROR(__xludf.DUMMYFUNCTION("""COMPUTED_VALUE"""),45849.6458333333)</f>
        <v>45849.6458333333</v>
      </c>
      <c r="J76" s="17">
        <f>IFERROR(__xludf.DUMMYFUNCTION("""COMPUTED_VALUE"""),19.61)</f>
        <v>19.61</v>
      </c>
      <c r="K76" s="3">
        <f t="shared" si="2"/>
        <v>0</v>
      </c>
      <c r="L76" s="3">
        <f t="shared" si="3"/>
        <v>19.66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IFERROR(__xludf.DUMMYFUNCTION("""COMPUTED_VALUE"""),19.99)</f>
        <v>19.99</v>
      </c>
      <c r="C77" s="16">
        <f>IFERROR(__xludf.DUMMYFUNCTION("""COMPUTED_VALUE"""),45852.6458333333)</f>
        <v>45852.6458333333</v>
      </c>
      <c r="D77" s="17">
        <f>IFERROR(__xludf.DUMMYFUNCTION("""COMPUTED_VALUE"""),19.66)</f>
        <v>19.66</v>
      </c>
      <c r="E77" s="16">
        <f>IFERROR(__xludf.DUMMYFUNCTION("""COMPUTED_VALUE"""),45852.6458333333)</f>
        <v>45852.6458333333</v>
      </c>
      <c r="F77" s="17">
        <f>IFERROR(__xludf.DUMMYFUNCTION("""COMPUTED_VALUE"""),81039620)</f>
        <v>81039620</v>
      </c>
      <c r="G77" s="16">
        <f>IFERROR(__xludf.DUMMYFUNCTION("""COMPUTED_VALUE"""),45852.6458333333)</f>
        <v>45852.6458333333</v>
      </c>
      <c r="H77" s="17">
        <f>IFERROR(__xludf.DUMMYFUNCTION("""COMPUTED_VALUE"""),20.06)</f>
        <v>20.06</v>
      </c>
      <c r="I77" s="16">
        <f>IFERROR(__xludf.DUMMYFUNCTION("""COMPUTED_VALUE"""),45852.6458333333)</f>
        <v>45852.6458333333</v>
      </c>
      <c r="J77" s="17">
        <f>IFERROR(__xludf.DUMMYFUNCTION("""COMPUTED_VALUE"""),19.55)</f>
        <v>19.55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IFERROR(__xludf.DUMMYFUNCTION("""COMPUTED_VALUE"""),20.46)</f>
        <v>20.46</v>
      </c>
      <c r="C78" s="16">
        <f>IFERROR(__xludf.DUMMYFUNCTION("""COMPUTED_VALUE"""),45853.6458333333)</f>
        <v>45853.6458333333</v>
      </c>
      <c r="D78" s="17">
        <f>IFERROR(__xludf.DUMMYFUNCTION("""COMPUTED_VALUE"""),20.09)</f>
        <v>20.09</v>
      </c>
      <c r="E78" s="16">
        <f>IFERROR(__xludf.DUMMYFUNCTION("""COMPUTED_VALUE"""),45853.6458333333)</f>
        <v>45853.6458333333</v>
      </c>
      <c r="F78" s="17">
        <f>IFERROR(__xludf.DUMMYFUNCTION("""COMPUTED_VALUE"""),155046810)</f>
        <v>155046810</v>
      </c>
      <c r="G78" s="16">
        <f>IFERROR(__xludf.DUMMYFUNCTION("""COMPUTED_VALUE"""),45853.6458333333)</f>
        <v>45853.6458333333</v>
      </c>
      <c r="H78" s="17">
        <f>IFERROR(__xludf.DUMMYFUNCTION("""COMPUTED_VALUE"""),20.65)</f>
        <v>20.65</v>
      </c>
      <c r="I78" s="16">
        <f>IFERROR(__xludf.DUMMYFUNCTION("""COMPUTED_VALUE"""),45853.6458333333)</f>
        <v>45853.6458333333</v>
      </c>
      <c r="J78" s="17">
        <f>IFERROR(__xludf.DUMMYFUNCTION("""COMPUTED_VALUE"""),19.98)</f>
        <v>19.98</v>
      </c>
      <c r="K78" s="3">
        <f t="shared" si="2"/>
        <v>20.46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IFERROR(__xludf.DUMMYFUNCTION("""COMPUTED_VALUE"""),20.24)</f>
        <v>20.24</v>
      </c>
      <c r="C79" s="16">
        <f>IFERROR(__xludf.DUMMYFUNCTION("""COMPUTED_VALUE"""),45854.6458333333)</f>
        <v>45854.6458333333</v>
      </c>
      <c r="D79" s="17">
        <f>IFERROR(__xludf.DUMMYFUNCTION("""COMPUTED_VALUE"""),20.53)</f>
        <v>20.53</v>
      </c>
      <c r="E79" s="16">
        <f>IFERROR(__xludf.DUMMYFUNCTION("""COMPUTED_VALUE"""),45854.6458333333)</f>
        <v>45854.6458333333</v>
      </c>
      <c r="F79" s="17">
        <f>IFERROR(__xludf.DUMMYFUNCTION("""COMPUTED_VALUE"""),80436508)</f>
        <v>80436508</v>
      </c>
      <c r="G79" s="16">
        <f>IFERROR(__xludf.DUMMYFUNCTION("""COMPUTED_VALUE"""),45854.6458333333)</f>
        <v>45854.6458333333</v>
      </c>
      <c r="H79" s="17">
        <f>IFERROR(__xludf.DUMMYFUNCTION("""COMPUTED_VALUE"""),20.56)</f>
        <v>20.56</v>
      </c>
      <c r="I79" s="16">
        <f>IFERROR(__xludf.DUMMYFUNCTION("""COMPUTED_VALUE"""),45854.6458333333)</f>
        <v>45854.6458333333</v>
      </c>
      <c r="J79" s="17">
        <f>IFERROR(__xludf.DUMMYFUNCTION("""COMPUTED_VALUE"""),20.16)</f>
        <v>20.16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IFERROR(__xludf.DUMMYFUNCTION("""COMPUTED_VALUE"""),20.14)</f>
        <v>20.14</v>
      </c>
      <c r="C80" s="16">
        <f>IFERROR(__xludf.DUMMYFUNCTION("""COMPUTED_VALUE"""),45855.6458333333)</f>
        <v>45855.6458333333</v>
      </c>
      <c r="D80" s="17">
        <f>IFERROR(__xludf.DUMMYFUNCTION("""COMPUTED_VALUE"""),20.26)</f>
        <v>20.26</v>
      </c>
      <c r="E80" s="16">
        <f>IFERROR(__xludf.DUMMYFUNCTION("""COMPUTED_VALUE"""),45855.6458333333)</f>
        <v>45855.6458333333</v>
      </c>
      <c r="F80" s="17">
        <f>IFERROR(__xludf.DUMMYFUNCTION("""COMPUTED_VALUE"""),49121789)</f>
        <v>49121789</v>
      </c>
      <c r="G80" s="16">
        <f>IFERROR(__xludf.DUMMYFUNCTION("""COMPUTED_VALUE"""),45855.6458333333)</f>
        <v>45855.6458333333</v>
      </c>
      <c r="H80" s="17">
        <f>IFERROR(__xludf.DUMMYFUNCTION("""COMPUTED_VALUE"""),20.33)</f>
        <v>20.33</v>
      </c>
      <c r="I80" s="16">
        <f>IFERROR(__xludf.DUMMYFUNCTION("""COMPUTED_VALUE"""),45855.6458333333)</f>
        <v>45855.6458333333</v>
      </c>
      <c r="J80" s="17">
        <f>IFERROR(__xludf.DUMMYFUNCTION("""COMPUTED_VALUE"""),20.12)</f>
        <v>20.12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IFERROR(__xludf.DUMMYFUNCTION("""COMPUTED_VALUE"""),20.17)</f>
        <v>20.17</v>
      </c>
      <c r="C81" s="16">
        <f>IFERROR(__xludf.DUMMYFUNCTION("""COMPUTED_VALUE"""),45856.6458333333)</f>
        <v>45856.6458333333</v>
      </c>
      <c r="D81" s="17">
        <f>IFERROR(__xludf.DUMMYFUNCTION("""COMPUTED_VALUE"""),20.2)</f>
        <v>20.2</v>
      </c>
      <c r="E81" s="16">
        <f>IFERROR(__xludf.DUMMYFUNCTION("""COMPUTED_VALUE"""),45856.6458333333)</f>
        <v>45856.6458333333</v>
      </c>
      <c r="F81" s="17">
        <f>IFERROR(__xludf.DUMMYFUNCTION("""COMPUTED_VALUE"""),55784919)</f>
        <v>55784919</v>
      </c>
      <c r="G81" s="16">
        <f>IFERROR(__xludf.DUMMYFUNCTION("""COMPUTED_VALUE"""),45856.6458333333)</f>
        <v>45856.6458333333</v>
      </c>
      <c r="H81" s="17">
        <f>IFERROR(__xludf.DUMMYFUNCTION("""COMPUTED_VALUE"""),20.25)</f>
        <v>20.25</v>
      </c>
      <c r="I81" s="16">
        <f>IFERROR(__xludf.DUMMYFUNCTION("""COMPUTED_VALUE"""),45856.6458333333)</f>
        <v>45856.6458333333</v>
      </c>
      <c r="J81" s="17">
        <f>IFERROR(__xludf.DUMMYFUNCTION("""COMPUTED_VALUE"""),20.05)</f>
        <v>20.05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IFERROR(__xludf.DUMMYFUNCTION("""COMPUTED_VALUE"""),20.16)</f>
        <v>20.16</v>
      </c>
      <c r="C82" s="16">
        <f>IFERROR(__xludf.DUMMYFUNCTION("""COMPUTED_VALUE"""),45859.6458333333)</f>
        <v>45859.6458333333</v>
      </c>
      <c r="D82" s="17">
        <f>IFERROR(__xludf.DUMMYFUNCTION("""COMPUTED_VALUE"""),20.48)</f>
        <v>20.48</v>
      </c>
      <c r="E82" s="16">
        <f>IFERROR(__xludf.DUMMYFUNCTION("""COMPUTED_VALUE"""),45859.6458333333)</f>
        <v>45859.6458333333</v>
      </c>
      <c r="F82" s="17">
        <f>IFERROR(__xludf.DUMMYFUNCTION("""COMPUTED_VALUE"""),126790484)</f>
        <v>126790484</v>
      </c>
      <c r="G82" s="16">
        <f>IFERROR(__xludf.DUMMYFUNCTION("""COMPUTED_VALUE"""),45859.6458333333)</f>
        <v>45859.6458333333</v>
      </c>
      <c r="H82" s="17">
        <f>IFERROR(__xludf.DUMMYFUNCTION("""COMPUTED_VALUE"""),20.48)</f>
        <v>20.48</v>
      </c>
      <c r="I82" s="16">
        <f>IFERROR(__xludf.DUMMYFUNCTION("""COMPUTED_VALUE"""),45859.6458333333)</f>
        <v>45859.6458333333</v>
      </c>
      <c r="J82" s="17">
        <f>IFERROR(__xludf.DUMMYFUNCTION("""COMPUTED_VALUE"""),20.1)</f>
        <v>20.1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IFERROR(__xludf.DUMMYFUNCTION("""COMPUTED_VALUE"""),19.99)</f>
        <v>19.99</v>
      </c>
      <c r="C83" s="16">
        <f>IFERROR(__xludf.DUMMYFUNCTION("""COMPUTED_VALUE"""),45860.6458333333)</f>
        <v>45860.6458333333</v>
      </c>
      <c r="D83" s="17">
        <f>IFERROR(__xludf.DUMMYFUNCTION("""COMPUTED_VALUE"""),20.24)</f>
        <v>20.24</v>
      </c>
      <c r="E83" s="16">
        <f>IFERROR(__xludf.DUMMYFUNCTION("""COMPUTED_VALUE"""),45860.6458333333)</f>
        <v>45860.6458333333</v>
      </c>
      <c r="F83" s="17">
        <f>IFERROR(__xludf.DUMMYFUNCTION("""COMPUTED_VALUE"""),56424796)</f>
        <v>56424796</v>
      </c>
      <c r="G83" s="16">
        <f>IFERROR(__xludf.DUMMYFUNCTION("""COMPUTED_VALUE"""),45860.6458333333)</f>
        <v>45860.6458333333</v>
      </c>
      <c r="H83" s="17">
        <f>IFERROR(__xludf.DUMMYFUNCTION("""COMPUTED_VALUE"""),20.28)</f>
        <v>20.28</v>
      </c>
      <c r="I83" s="16">
        <f>IFERROR(__xludf.DUMMYFUNCTION("""COMPUTED_VALUE"""),45860.6458333333)</f>
        <v>45860.6458333333</v>
      </c>
      <c r="J83" s="17">
        <f>IFERROR(__xludf.DUMMYFUNCTION("""COMPUTED_VALUE"""),19.95)</f>
        <v>19.95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IFERROR(__xludf.DUMMYFUNCTION("""COMPUTED_VALUE"""),19.9)</f>
        <v>19.9</v>
      </c>
      <c r="C84" s="16">
        <f>IFERROR(__xludf.DUMMYFUNCTION("""COMPUTED_VALUE"""),45861.6458333333)</f>
        <v>45861.6458333333</v>
      </c>
      <c r="D84" s="17">
        <f>IFERROR(__xludf.DUMMYFUNCTION("""COMPUTED_VALUE"""),20)</f>
        <v>20</v>
      </c>
      <c r="E84" s="16">
        <f>IFERROR(__xludf.DUMMYFUNCTION("""COMPUTED_VALUE"""),45861.6458333333)</f>
        <v>45861.6458333333</v>
      </c>
      <c r="F84" s="17">
        <f>IFERROR(__xludf.DUMMYFUNCTION("""COMPUTED_VALUE"""),48443347)</f>
        <v>48443347</v>
      </c>
      <c r="G84" s="16">
        <f>IFERROR(__xludf.DUMMYFUNCTION("""COMPUTED_VALUE"""),45861.6458333333)</f>
        <v>45861.6458333333</v>
      </c>
      <c r="H84" s="17">
        <f>IFERROR(__xludf.DUMMYFUNCTION("""COMPUTED_VALUE"""),20.05)</f>
        <v>20.05</v>
      </c>
      <c r="I84" s="16">
        <f>IFERROR(__xludf.DUMMYFUNCTION("""COMPUTED_VALUE"""),45861.6458333333)</f>
        <v>45861.6458333333</v>
      </c>
      <c r="J84" s="17">
        <f>IFERROR(__xludf.DUMMYFUNCTION("""COMPUTED_VALUE"""),19.81)</f>
        <v>19.81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IFERROR(__xludf.DUMMYFUNCTION("""COMPUTED_VALUE"""),20.01)</f>
        <v>20.01</v>
      </c>
      <c r="C85" s="16">
        <f>IFERROR(__xludf.DUMMYFUNCTION("""COMPUTED_VALUE"""),45862.6458333333)</f>
        <v>45862.6458333333</v>
      </c>
      <c r="D85" s="17">
        <f>IFERROR(__xludf.DUMMYFUNCTION("""COMPUTED_VALUE"""),19.99)</f>
        <v>19.99</v>
      </c>
      <c r="E85" s="16">
        <f>IFERROR(__xludf.DUMMYFUNCTION("""COMPUTED_VALUE"""),45862.6458333333)</f>
        <v>45862.6458333333</v>
      </c>
      <c r="F85" s="17">
        <f>IFERROR(__xludf.DUMMYFUNCTION("""COMPUTED_VALUE"""),94999548)</f>
        <v>94999548</v>
      </c>
      <c r="G85" s="16">
        <f>IFERROR(__xludf.DUMMYFUNCTION("""COMPUTED_VALUE"""),45862.6458333333)</f>
        <v>45862.6458333333</v>
      </c>
      <c r="H85" s="17">
        <f>IFERROR(__xludf.DUMMYFUNCTION("""COMPUTED_VALUE"""),20.08)</f>
        <v>20.08</v>
      </c>
      <c r="I85" s="16">
        <f>IFERROR(__xludf.DUMMYFUNCTION("""COMPUTED_VALUE"""),45862.6458333333)</f>
        <v>45862.6458333333</v>
      </c>
      <c r="J85" s="17">
        <f>IFERROR(__xludf.DUMMYFUNCTION("""COMPUTED_VALUE"""),19.43)</f>
        <v>19.43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IFERROR(__xludf.DUMMYFUNCTION("""COMPUTED_VALUE"""),19.6)</f>
        <v>19.6</v>
      </c>
      <c r="C86" s="16">
        <f>IFERROR(__xludf.DUMMYFUNCTION("""COMPUTED_VALUE"""),45863.6458333333)</f>
        <v>45863.6458333333</v>
      </c>
      <c r="D86" s="17">
        <f>IFERROR(__xludf.DUMMYFUNCTION("""COMPUTED_VALUE"""),19.95)</f>
        <v>19.95</v>
      </c>
      <c r="E86" s="16">
        <f>IFERROR(__xludf.DUMMYFUNCTION("""COMPUTED_VALUE"""),45863.6458333333)</f>
        <v>45863.6458333333</v>
      </c>
      <c r="F86" s="17">
        <f>IFERROR(__xludf.DUMMYFUNCTION("""COMPUTED_VALUE"""),76975220)</f>
        <v>76975220</v>
      </c>
      <c r="G86" s="16">
        <f>IFERROR(__xludf.DUMMYFUNCTION("""COMPUTED_VALUE"""),45863.6458333333)</f>
        <v>45863.6458333333</v>
      </c>
      <c r="H86" s="17">
        <f>IFERROR(__xludf.DUMMYFUNCTION("""COMPUTED_VALUE"""),19.99)</f>
        <v>19.99</v>
      </c>
      <c r="I86" s="16">
        <f>IFERROR(__xludf.DUMMYFUNCTION("""COMPUTED_VALUE"""),45863.6458333333)</f>
        <v>45863.6458333333</v>
      </c>
      <c r="J86" s="17">
        <f>IFERROR(__xludf.DUMMYFUNCTION("""COMPUTED_VALUE"""),19.58)</f>
        <v>19.58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IFERROR(__xludf.DUMMYFUNCTION("""COMPUTED_VALUE"""),19.33)</f>
        <v>19.33</v>
      </c>
      <c r="C87" s="16">
        <f>IFERROR(__xludf.DUMMYFUNCTION("""COMPUTED_VALUE"""),45866.6458333333)</f>
        <v>45866.6458333333</v>
      </c>
      <c r="D87" s="17">
        <f>IFERROR(__xludf.DUMMYFUNCTION("""COMPUTED_VALUE"""),19.64)</f>
        <v>19.64</v>
      </c>
      <c r="E87" s="16">
        <f>IFERROR(__xludf.DUMMYFUNCTION("""COMPUTED_VALUE"""),45866.6458333333)</f>
        <v>45866.6458333333</v>
      </c>
      <c r="F87" s="17">
        <f>IFERROR(__xludf.DUMMYFUNCTION("""COMPUTED_VALUE"""),61286631)</f>
        <v>61286631</v>
      </c>
      <c r="G87" s="16">
        <f>IFERROR(__xludf.DUMMYFUNCTION("""COMPUTED_VALUE"""),45866.6458333333)</f>
        <v>45866.6458333333</v>
      </c>
      <c r="H87" s="17">
        <f>IFERROR(__xludf.DUMMYFUNCTION("""COMPUTED_VALUE"""),19.81)</f>
        <v>19.81</v>
      </c>
      <c r="I87" s="16">
        <f>IFERROR(__xludf.DUMMYFUNCTION("""COMPUTED_VALUE"""),45866.6458333333)</f>
        <v>45866.6458333333</v>
      </c>
      <c r="J87" s="17">
        <f>IFERROR(__xludf.DUMMYFUNCTION("""COMPUTED_VALUE"""),19.28)</f>
        <v>19.28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IFERROR(__xludf.DUMMYFUNCTION("""COMPUTED_VALUE"""),19.4)</f>
        <v>19.4</v>
      </c>
      <c r="C88" s="16">
        <f>IFERROR(__xludf.DUMMYFUNCTION("""COMPUTED_VALUE"""),45867.6458333333)</f>
        <v>45867.6458333333</v>
      </c>
      <c r="D88" s="17">
        <f>IFERROR(__xludf.DUMMYFUNCTION("""COMPUTED_VALUE"""),19.34)</f>
        <v>19.34</v>
      </c>
      <c r="E88" s="16">
        <f>IFERROR(__xludf.DUMMYFUNCTION("""COMPUTED_VALUE"""),45867.6458333333)</f>
        <v>45867.6458333333</v>
      </c>
      <c r="F88" s="17">
        <f>IFERROR(__xludf.DUMMYFUNCTION("""COMPUTED_VALUE"""),56102137)</f>
        <v>56102137</v>
      </c>
      <c r="G88" s="16">
        <f>IFERROR(__xludf.DUMMYFUNCTION("""COMPUTED_VALUE"""),45867.6458333333)</f>
        <v>45867.6458333333</v>
      </c>
      <c r="H88" s="17">
        <f>IFERROR(__xludf.DUMMYFUNCTION("""COMPUTED_VALUE"""),19.54)</f>
        <v>19.54</v>
      </c>
      <c r="I88" s="16">
        <f>IFERROR(__xludf.DUMMYFUNCTION("""COMPUTED_VALUE"""),45867.6458333333)</f>
        <v>45867.6458333333</v>
      </c>
      <c r="J88" s="17">
        <f>IFERROR(__xludf.DUMMYFUNCTION("""COMPUTED_VALUE"""),19.31)</f>
        <v>19.31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IFERROR(__xludf.DUMMYFUNCTION("""COMPUTED_VALUE"""),19.22)</f>
        <v>19.22</v>
      </c>
      <c r="C89" s="16">
        <f>IFERROR(__xludf.DUMMYFUNCTION("""COMPUTED_VALUE"""),45868.6458333333)</f>
        <v>45868.6458333333</v>
      </c>
      <c r="D89" s="17">
        <f>IFERROR(__xludf.DUMMYFUNCTION("""COMPUTED_VALUE"""),19.44)</f>
        <v>19.44</v>
      </c>
      <c r="E89" s="16">
        <f>IFERROR(__xludf.DUMMYFUNCTION("""COMPUTED_VALUE"""),45868.6458333333)</f>
        <v>45868.6458333333</v>
      </c>
      <c r="F89" s="17">
        <f>IFERROR(__xludf.DUMMYFUNCTION("""COMPUTED_VALUE"""),53521061)</f>
        <v>53521061</v>
      </c>
      <c r="G89" s="16">
        <f>IFERROR(__xludf.DUMMYFUNCTION("""COMPUTED_VALUE"""),45868.6458333333)</f>
        <v>45868.6458333333</v>
      </c>
      <c r="H89" s="17">
        <f>IFERROR(__xludf.DUMMYFUNCTION("""COMPUTED_VALUE"""),19.49)</f>
        <v>19.49</v>
      </c>
      <c r="I89" s="16">
        <f>IFERROR(__xludf.DUMMYFUNCTION("""COMPUTED_VALUE"""),45868.6458333333)</f>
        <v>45868.6458333333</v>
      </c>
      <c r="J89" s="17">
        <f>IFERROR(__xludf.DUMMYFUNCTION("""COMPUTED_VALUE"""),19.18)</f>
        <v>19.18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IFERROR(__xludf.DUMMYFUNCTION("""COMPUTED_VALUE"""),18.92)</f>
        <v>18.92</v>
      </c>
      <c r="C90" s="16">
        <f>IFERROR(__xludf.DUMMYFUNCTION("""COMPUTED_VALUE"""),45869.6458333333)</f>
        <v>45869.6458333333</v>
      </c>
      <c r="D90" s="17">
        <f>IFERROR(__xludf.DUMMYFUNCTION("""COMPUTED_VALUE"""),19.1)</f>
        <v>19.1</v>
      </c>
      <c r="E90" s="16">
        <f>IFERROR(__xludf.DUMMYFUNCTION("""COMPUTED_VALUE"""),45869.6458333333)</f>
        <v>45869.6458333333</v>
      </c>
      <c r="F90" s="17">
        <f>IFERROR(__xludf.DUMMYFUNCTION("""COMPUTED_VALUE"""),93683521)</f>
        <v>93683521</v>
      </c>
      <c r="G90" s="16">
        <f>IFERROR(__xludf.DUMMYFUNCTION("""COMPUTED_VALUE"""),45869.6458333333)</f>
        <v>45869.6458333333</v>
      </c>
      <c r="H90" s="17">
        <f>IFERROR(__xludf.DUMMYFUNCTION("""COMPUTED_VALUE"""),19.12)</f>
        <v>19.12</v>
      </c>
      <c r="I90" s="16">
        <f>IFERROR(__xludf.DUMMYFUNCTION("""COMPUTED_VALUE"""),45869.6458333333)</f>
        <v>45869.6458333333</v>
      </c>
      <c r="J90" s="17">
        <f>IFERROR(__xludf.DUMMYFUNCTION("""COMPUTED_VALUE"""),18.84)</f>
        <v>18.84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IFERROR(__xludf.DUMMYFUNCTION("""COMPUTED_VALUE"""),18.6)</f>
        <v>18.6</v>
      </c>
      <c r="C91" s="16">
        <f>IFERROR(__xludf.DUMMYFUNCTION("""COMPUTED_VALUE"""),45870.6458333333)</f>
        <v>45870.6458333333</v>
      </c>
      <c r="D91" s="17">
        <f>IFERROR(__xludf.DUMMYFUNCTION("""COMPUTED_VALUE"""),18.92)</f>
        <v>18.92</v>
      </c>
      <c r="E91" s="16">
        <f>IFERROR(__xludf.DUMMYFUNCTION("""COMPUTED_VALUE"""),45870.6458333333)</f>
        <v>45870.6458333333</v>
      </c>
      <c r="F91" s="17">
        <f>IFERROR(__xludf.DUMMYFUNCTION("""COMPUTED_VALUE"""),58206240)</f>
        <v>58206240</v>
      </c>
      <c r="G91" s="16">
        <f>IFERROR(__xludf.DUMMYFUNCTION("""COMPUTED_VALUE"""),45870.6458333333)</f>
        <v>45870.6458333333</v>
      </c>
      <c r="H91" s="17">
        <f>IFERROR(__xludf.DUMMYFUNCTION("""COMPUTED_VALUE"""),18.99)</f>
        <v>18.99</v>
      </c>
      <c r="I91" s="16">
        <f>IFERROR(__xludf.DUMMYFUNCTION("""COMPUTED_VALUE"""),45870.6458333333)</f>
        <v>45870.6458333333</v>
      </c>
      <c r="J91" s="17">
        <f>IFERROR(__xludf.DUMMYFUNCTION("""COMPUTED_VALUE"""),18.55)</f>
        <v>18.55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IFERROR(__xludf.DUMMYFUNCTION("""COMPUTED_VALUE"""),18.89)</f>
        <v>18.89</v>
      </c>
      <c r="C92" s="16">
        <f>IFERROR(__xludf.DUMMYFUNCTION("""COMPUTED_VALUE"""),45873.6458333333)</f>
        <v>45873.6458333333</v>
      </c>
      <c r="D92" s="17">
        <f>IFERROR(__xludf.DUMMYFUNCTION("""COMPUTED_VALUE"""),18.61)</f>
        <v>18.61</v>
      </c>
      <c r="E92" s="16">
        <f>IFERROR(__xludf.DUMMYFUNCTION("""COMPUTED_VALUE"""),45873.6458333333)</f>
        <v>45873.6458333333</v>
      </c>
      <c r="F92" s="17">
        <f>IFERROR(__xludf.DUMMYFUNCTION("""COMPUTED_VALUE"""),73368669)</f>
        <v>73368669</v>
      </c>
      <c r="G92" s="16">
        <f>IFERROR(__xludf.DUMMYFUNCTION("""COMPUTED_VALUE"""),45873.6458333333)</f>
        <v>45873.6458333333</v>
      </c>
      <c r="H92" s="17">
        <f>IFERROR(__xludf.DUMMYFUNCTION("""COMPUTED_VALUE"""),19.07)</f>
        <v>19.07</v>
      </c>
      <c r="I92" s="16">
        <f>IFERROR(__xludf.DUMMYFUNCTION("""COMPUTED_VALUE"""),45873.6458333333)</f>
        <v>45873.6458333333</v>
      </c>
      <c r="J92" s="17">
        <f>IFERROR(__xludf.DUMMYFUNCTION("""COMPUTED_VALUE"""),18.33)</f>
        <v>18.33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IFERROR(__xludf.DUMMYFUNCTION("""COMPUTED_VALUE"""),18.86)</f>
        <v>18.86</v>
      </c>
      <c r="C93" s="16">
        <f>IFERROR(__xludf.DUMMYFUNCTION("""COMPUTED_VALUE"""),45874.6458333333)</f>
        <v>45874.6458333333</v>
      </c>
      <c r="D93" s="17">
        <f>IFERROR(__xludf.DUMMYFUNCTION("""COMPUTED_VALUE"""),18.8)</f>
        <v>18.8</v>
      </c>
      <c r="E93" s="16">
        <f>IFERROR(__xludf.DUMMYFUNCTION("""COMPUTED_VALUE"""),45874.6458333333)</f>
        <v>45874.6458333333</v>
      </c>
      <c r="F93" s="17">
        <f>IFERROR(__xludf.DUMMYFUNCTION("""COMPUTED_VALUE"""),39066603)</f>
        <v>39066603</v>
      </c>
      <c r="G93" s="16">
        <f>IFERROR(__xludf.DUMMYFUNCTION("""COMPUTED_VALUE"""),45874.6458333333)</f>
        <v>45874.6458333333</v>
      </c>
      <c r="H93" s="17">
        <f>IFERROR(__xludf.DUMMYFUNCTION("""COMPUTED_VALUE"""),18.99)</f>
        <v>18.99</v>
      </c>
      <c r="I93" s="16">
        <f>IFERROR(__xludf.DUMMYFUNCTION("""COMPUTED_VALUE"""),45874.6458333333)</f>
        <v>45874.6458333333</v>
      </c>
      <c r="J93" s="17">
        <f>IFERROR(__xludf.DUMMYFUNCTION("""COMPUTED_VALUE"""),18.76)</f>
        <v>18.76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IFERROR(__xludf.DUMMYFUNCTION("""COMPUTED_VALUE"""),18.73)</f>
        <v>18.73</v>
      </c>
      <c r="C94" s="16">
        <f>IFERROR(__xludf.DUMMYFUNCTION("""COMPUTED_VALUE"""),45875.6458333333)</f>
        <v>45875.6458333333</v>
      </c>
      <c r="D94" s="17">
        <f>IFERROR(__xludf.DUMMYFUNCTION("""COMPUTED_VALUE"""),18.86)</f>
        <v>18.86</v>
      </c>
      <c r="E94" s="16">
        <f>IFERROR(__xludf.DUMMYFUNCTION("""COMPUTED_VALUE"""),45875.6458333333)</f>
        <v>45875.6458333333</v>
      </c>
      <c r="F94" s="17">
        <f>IFERROR(__xludf.DUMMYFUNCTION("""COMPUTED_VALUE"""),41705259)</f>
        <v>41705259</v>
      </c>
      <c r="G94" s="16">
        <f>IFERROR(__xludf.DUMMYFUNCTION("""COMPUTED_VALUE"""),45875.6458333333)</f>
        <v>45875.6458333333</v>
      </c>
      <c r="H94" s="17">
        <f>IFERROR(__xludf.DUMMYFUNCTION("""COMPUTED_VALUE"""),18.91)</f>
        <v>18.91</v>
      </c>
      <c r="I94" s="16">
        <f>IFERROR(__xludf.DUMMYFUNCTION("""COMPUTED_VALUE"""),45875.6458333333)</f>
        <v>45875.6458333333</v>
      </c>
      <c r="J94" s="17">
        <f>IFERROR(__xludf.DUMMYFUNCTION("""COMPUTED_VALUE"""),18.67)</f>
        <v>18.67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IFERROR(__xludf.DUMMYFUNCTION("""COMPUTED_VALUE"""),18.77)</f>
        <v>18.77</v>
      </c>
      <c r="C95" s="16">
        <f>IFERROR(__xludf.DUMMYFUNCTION("""COMPUTED_VALUE"""),45876.6458333333)</f>
        <v>45876.6458333333</v>
      </c>
      <c r="D95" s="17">
        <f>IFERROR(__xludf.DUMMYFUNCTION("""COMPUTED_VALUE"""),18.63)</f>
        <v>18.63</v>
      </c>
      <c r="E95" s="16">
        <f>IFERROR(__xludf.DUMMYFUNCTION("""COMPUTED_VALUE"""),45876.6458333333)</f>
        <v>45876.6458333333</v>
      </c>
      <c r="F95" s="17">
        <f>IFERROR(__xludf.DUMMYFUNCTION("""COMPUTED_VALUE"""),56249685)</f>
        <v>56249685</v>
      </c>
      <c r="G95" s="16">
        <f>IFERROR(__xludf.DUMMYFUNCTION("""COMPUTED_VALUE"""),45876.6458333333)</f>
        <v>45876.6458333333</v>
      </c>
      <c r="H95" s="17">
        <f>IFERROR(__xludf.DUMMYFUNCTION("""COMPUTED_VALUE"""),18.83)</f>
        <v>18.83</v>
      </c>
      <c r="I95" s="16">
        <f>IFERROR(__xludf.DUMMYFUNCTION("""COMPUTED_VALUE"""),45876.6458333333)</f>
        <v>45876.6458333333</v>
      </c>
      <c r="J95" s="17">
        <f>IFERROR(__xludf.DUMMYFUNCTION("""COMPUTED_VALUE"""),18.4)</f>
        <v>18.4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IFERROR(__xludf.DUMMYFUNCTION("""COMPUTED_VALUE"""),18.54)</f>
        <v>18.54</v>
      </c>
      <c r="C96" s="16">
        <f>IFERROR(__xludf.DUMMYFUNCTION("""COMPUTED_VALUE"""),45877.6458333333)</f>
        <v>45877.6458333333</v>
      </c>
      <c r="D96" s="17">
        <f>IFERROR(__xludf.DUMMYFUNCTION("""COMPUTED_VALUE"""),18.8)</f>
        <v>18.8</v>
      </c>
      <c r="E96" s="16">
        <f>IFERROR(__xludf.DUMMYFUNCTION("""COMPUTED_VALUE"""),45877.6458333333)</f>
        <v>45877.6458333333</v>
      </c>
      <c r="F96" s="17">
        <f>IFERROR(__xludf.DUMMYFUNCTION("""COMPUTED_VALUE"""),35941372)</f>
        <v>35941372</v>
      </c>
      <c r="G96" s="16">
        <f>IFERROR(__xludf.DUMMYFUNCTION("""COMPUTED_VALUE"""),45877.6458333333)</f>
        <v>45877.6458333333</v>
      </c>
      <c r="H96" s="17">
        <f>IFERROR(__xludf.DUMMYFUNCTION("""COMPUTED_VALUE"""),18.85)</f>
        <v>18.85</v>
      </c>
      <c r="I96" s="16">
        <f>IFERROR(__xludf.DUMMYFUNCTION("""COMPUTED_VALUE"""),45877.6458333333)</f>
        <v>45877.6458333333</v>
      </c>
      <c r="J96" s="17">
        <f>IFERROR(__xludf.DUMMYFUNCTION("""COMPUTED_VALUE"""),18.5)</f>
        <v>18.5</v>
      </c>
      <c r="K96" s="3">
        <f t="shared" si="2"/>
        <v>0</v>
      </c>
      <c r="L96" s="3">
        <f t="shared" si="3"/>
        <v>18.54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IFERROR(__xludf.DUMMYFUNCTION("""COMPUTED_VALUE"""),18.77)</f>
        <v>18.77</v>
      </c>
      <c r="C97" s="16">
        <f>IFERROR(__xludf.DUMMYFUNCTION("""COMPUTED_VALUE"""),45880.6458333333)</f>
        <v>45880.6458333333</v>
      </c>
      <c r="D97" s="17">
        <f>IFERROR(__xludf.DUMMYFUNCTION("""COMPUTED_VALUE"""),18.54)</f>
        <v>18.54</v>
      </c>
      <c r="E97" s="16">
        <f>IFERROR(__xludf.DUMMYFUNCTION("""COMPUTED_VALUE"""),45880.6458333333)</f>
        <v>45880.6458333333</v>
      </c>
      <c r="F97" s="17">
        <f>IFERROR(__xludf.DUMMYFUNCTION("""COMPUTED_VALUE"""),37440382)</f>
        <v>37440382</v>
      </c>
      <c r="G97" s="16">
        <f>IFERROR(__xludf.DUMMYFUNCTION("""COMPUTED_VALUE"""),45880.6458333333)</f>
        <v>45880.6458333333</v>
      </c>
      <c r="H97" s="17">
        <f>IFERROR(__xludf.DUMMYFUNCTION("""COMPUTED_VALUE"""),18.81)</f>
        <v>18.81</v>
      </c>
      <c r="I97" s="16">
        <f>IFERROR(__xludf.DUMMYFUNCTION("""COMPUTED_VALUE"""),45880.6458333333)</f>
        <v>45880.6458333333</v>
      </c>
      <c r="J97" s="17">
        <f>IFERROR(__xludf.DUMMYFUNCTION("""COMPUTED_VALUE"""),18.45)</f>
        <v>18.45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IFERROR(__xludf.DUMMYFUNCTION("""COMPUTED_VALUE"""),18.72)</f>
        <v>18.72</v>
      </c>
      <c r="C98" s="16">
        <f>IFERROR(__xludf.DUMMYFUNCTION("""COMPUTED_VALUE"""),45881.6458333333)</f>
        <v>45881.6458333333</v>
      </c>
      <c r="D98" s="17">
        <f>IFERROR(__xludf.DUMMYFUNCTION("""COMPUTED_VALUE"""),18.82)</f>
        <v>18.82</v>
      </c>
      <c r="E98" s="16">
        <f>IFERROR(__xludf.DUMMYFUNCTION("""COMPUTED_VALUE"""),45881.6458333333)</f>
        <v>45881.6458333333</v>
      </c>
      <c r="F98" s="17">
        <f>IFERROR(__xludf.DUMMYFUNCTION("""COMPUTED_VALUE"""),31306357)</f>
        <v>31306357</v>
      </c>
      <c r="G98" s="16">
        <f>IFERROR(__xludf.DUMMYFUNCTION("""COMPUTED_VALUE"""),45881.6458333333)</f>
        <v>45881.6458333333</v>
      </c>
      <c r="H98" s="17">
        <f>IFERROR(__xludf.DUMMYFUNCTION("""COMPUTED_VALUE"""),18.88)</f>
        <v>18.88</v>
      </c>
      <c r="I98" s="16">
        <f>IFERROR(__xludf.DUMMYFUNCTION("""COMPUTED_VALUE"""),45881.6458333333)</f>
        <v>45881.6458333333</v>
      </c>
      <c r="J98" s="17">
        <f>IFERROR(__xludf.DUMMYFUNCTION("""COMPUTED_VALUE"""),18.69)</f>
        <v>18.69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IFERROR(__xludf.DUMMYFUNCTION("""COMPUTED_VALUE"""),18.83)</f>
        <v>18.83</v>
      </c>
      <c r="C99" s="16">
        <f>IFERROR(__xludf.DUMMYFUNCTION("""COMPUTED_VALUE"""),45882.6458333333)</f>
        <v>45882.6458333333</v>
      </c>
      <c r="D99" s="17">
        <f>IFERROR(__xludf.DUMMYFUNCTION("""COMPUTED_VALUE"""),18.77)</f>
        <v>18.77</v>
      </c>
      <c r="E99" s="16">
        <f>IFERROR(__xludf.DUMMYFUNCTION("""COMPUTED_VALUE"""),45882.6458333333)</f>
        <v>45882.6458333333</v>
      </c>
      <c r="F99" s="17">
        <f>IFERROR(__xludf.DUMMYFUNCTION("""COMPUTED_VALUE"""),37754923)</f>
        <v>37754923</v>
      </c>
      <c r="G99" s="16">
        <f>IFERROR(__xludf.DUMMYFUNCTION("""COMPUTED_VALUE"""),45882.6458333333)</f>
        <v>45882.6458333333</v>
      </c>
      <c r="H99" s="17">
        <f>IFERROR(__xludf.DUMMYFUNCTION("""COMPUTED_VALUE"""),18.87)</f>
        <v>18.87</v>
      </c>
      <c r="I99" s="16">
        <f>IFERROR(__xludf.DUMMYFUNCTION("""COMPUTED_VALUE"""),45882.6458333333)</f>
        <v>45882.6458333333</v>
      </c>
      <c r="J99" s="17">
        <f>IFERROR(__xludf.DUMMYFUNCTION("""COMPUTED_VALUE"""),18.65)</f>
        <v>18.65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IFERROR(__xludf.DUMMYFUNCTION("""COMPUTED_VALUE"""),18.78)</f>
        <v>18.78</v>
      </c>
      <c r="C100" s="16">
        <f>IFERROR(__xludf.DUMMYFUNCTION("""COMPUTED_VALUE"""),45883.6458333333)</f>
        <v>45883.6458333333</v>
      </c>
      <c r="D100" s="17">
        <f>IFERROR(__xludf.DUMMYFUNCTION("""COMPUTED_VALUE"""),18.83)</f>
        <v>18.83</v>
      </c>
      <c r="E100" s="16">
        <f>IFERROR(__xludf.DUMMYFUNCTION("""COMPUTED_VALUE"""),45883.6458333333)</f>
        <v>45883.6458333333</v>
      </c>
      <c r="F100" s="17">
        <f>IFERROR(__xludf.DUMMYFUNCTION("""COMPUTED_VALUE"""),31042904)</f>
        <v>31042904</v>
      </c>
      <c r="G100" s="16">
        <f>IFERROR(__xludf.DUMMYFUNCTION("""COMPUTED_VALUE"""),45883.6458333333)</f>
        <v>45883.6458333333</v>
      </c>
      <c r="H100" s="17">
        <f>IFERROR(__xludf.DUMMYFUNCTION("""COMPUTED_VALUE"""),18.88)</f>
        <v>18.88</v>
      </c>
      <c r="I100" s="16">
        <f>IFERROR(__xludf.DUMMYFUNCTION("""COMPUTED_VALUE"""),45883.6458333333)</f>
        <v>45883.6458333333</v>
      </c>
      <c r="J100" s="17">
        <f>IFERROR(__xludf.DUMMYFUNCTION("""COMPUTED_VALUE"""),18.72)</f>
        <v>18.72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IFERROR(__xludf.DUMMYFUNCTION("""COMPUTED_VALUE"""),19.09)</f>
        <v>19.09</v>
      </c>
      <c r="C101" s="16">
        <f>IFERROR(__xludf.DUMMYFUNCTION("""COMPUTED_VALUE"""),45887.6458333333)</f>
        <v>45887.6458333333</v>
      </c>
      <c r="D101" s="17">
        <f>IFERROR(__xludf.DUMMYFUNCTION("""COMPUTED_VALUE"""),18.91)</f>
        <v>18.91</v>
      </c>
      <c r="E101" s="16">
        <f>IFERROR(__xludf.DUMMYFUNCTION("""COMPUTED_VALUE"""),45887.6458333333)</f>
        <v>45887.6458333333</v>
      </c>
      <c r="F101" s="17">
        <f>IFERROR(__xludf.DUMMYFUNCTION("""COMPUTED_VALUE"""),48199185)</f>
        <v>48199185</v>
      </c>
      <c r="G101" s="16">
        <f>IFERROR(__xludf.DUMMYFUNCTION("""COMPUTED_VALUE"""),45887.6458333333)</f>
        <v>45887.6458333333</v>
      </c>
      <c r="H101" s="17">
        <f>IFERROR(__xludf.DUMMYFUNCTION("""COMPUTED_VALUE"""),19.18)</f>
        <v>19.18</v>
      </c>
      <c r="I101" s="16">
        <f>IFERROR(__xludf.DUMMYFUNCTION("""COMPUTED_VALUE"""),45887.6458333333)</f>
        <v>45887.6458333333</v>
      </c>
      <c r="J101" s="17">
        <f>IFERROR(__xludf.DUMMYFUNCTION("""COMPUTED_VALUE"""),18.88)</f>
        <v>18.88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IFERROR(__xludf.DUMMYFUNCTION("""COMPUTED_VALUE"""),19.35)</f>
        <v>19.35</v>
      </c>
      <c r="C102" s="16">
        <f>IFERROR(__xludf.DUMMYFUNCTION("""COMPUTED_VALUE"""),45888.6458333333)</f>
        <v>45888.6458333333</v>
      </c>
      <c r="D102" s="17">
        <f>IFERROR(__xludf.DUMMYFUNCTION("""COMPUTED_VALUE"""),19.12)</f>
        <v>19.12</v>
      </c>
      <c r="E102" s="16">
        <f>IFERROR(__xludf.DUMMYFUNCTION("""COMPUTED_VALUE"""),45888.6458333333)</f>
        <v>45888.6458333333</v>
      </c>
      <c r="F102" s="17">
        <f>IFERROR(__xludf.DUMMYFUNCTION("""COMPUTED_VALUE"""),46074068)</f>
        <v>46074068</v>
      </c>
      <c r="G102" s="16">
        <f>IFERROR(__xludf.DUMMYFUNCTION("""COMPUTED_VALUE"""),45888.6458333333)</f>
        <v>45888.6458333333</v>
      </c>
      <c r="H102" s="17">
        <f>IFERROR(__xludf.DUMMYFUNCTION("""COMPUTED_VALUE"""),19.39)</f>
        <v>19.39</v>
      </c>
      <c r="I102" s="16">
        <f>IFERROR(__xludf.DUMMYFUNCTION("""COMPUTED_VALUE"""),45888.6458333333)</f>
        <v>45888.6458333333</v>
      </c>
      <c r="J102" s="17">
        <f>IFERROR(__xludf.DUMMYFUNCTION("""COMPUTED_VALUE"""),19.03)</f>
        <v>19.03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IFERROR(__xludf.DUMMYFUNCTION("""COMPUTED_VALUE"""),19.36)</f>
        <v>19.36</v>
      </c>
      <c r="C103" s="16">
        <f>IFERROR(__xludf.DUMMYFUNCTION("""COMPUTED_VALUE"""),45889.6458333333)</f>
        <v>45889.6458333333</v>
      </c>
      <c r="D103" s="17">
        <f>IFERROR(__xludf.DUMMYFUNCTION("""COMPUTED_VALUE"""),19.34)</f>
        <v>19.34</v>
      </c>
      <c r="E103" s="16">
        <f>IFERROR(__xludf.DUMMYFUNCTION("""COMPUTED_VALUE"""),45889.6458333333)</f>
        <v>45889.6458333333</v>
      </c>
      <c r="F103" s="17">
        <f>IFERROR(__xludf.DUMMYFUNCTION("""COMPUTED_VALUE"""),40828150)</f>
        <v>40828150</v>
      </c>
      <c r="G103" s="16">
        <f>IFERROR(__xludf.DUMMYFUNCTION("""COMPUTED_VALUE"""),45889.6458333333)</f>
        <v>45889.6458333333</v>
      </c>
      <c r="H103" s="17">
        <f>IFERROR(__xludf.DUMMYFUNCTION("""COMPUTED_VALUE"""),19.43)</f>
        <v>19.43</v>
      </c>
      <c r="I103" s="16">
        <f>IFERROR(__xludf.DUMMYFUNCTION("""COMPUTED_VALUE"""),45889.6458333333)</f>
        <v>45889.6458333333</v>
      </c>
      <c r="J103" s="17">
        <f>IFERROR(__xludf.DUMMYFUNCTION("""COMPUTED_VALUE"""),19.32)</f>
        <v>19.32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IFERROR(__xludf.DUMMYFUNCTION("""COMPUTED_VALUE"""),19.43)</f>
        <v>19.43</v>
      </c>
      <c r="C104" s="16">
        <f>IFERROR(__xludf.DUMMYFUNCTION("""COMPUTED_VALUE"""),45890.6458333333)</f>
        <v>45890.6458333333</v>
      </c>
      <c r="D104" s="17">
        <f>IFERROR(__xludf.DUMMYFUNCTION("""COMPUTED_VALUE"""),19.38)</f>
        <v>19.38</v>
      </c>
      <c r="E104" s="16">
        <f>IFERROR(__xludf.DUMMYFUNCTION("""COMPUTED_VALUE"""),45890.6458333333)</f>
        <v>45890.6458333333</v>
      </c>
      <c r="F104" s="17">
        <f>IFERROR(__xludf.DUMMYFUNCTION("""COMPUTED_VALUE"""),49389309)</f>
        <v>49389309</v>
      </c>
      <c r="G104" s="16">
        <f>IFERROR(__xludf.DUMMYFUNCTION("""COMPUTED_VALUE"""),45890.6458333333)</f>
        <v>45890.6458333333</v>
      </c>
      <c r="H104" s="17">
        <f>IFERROR(__xludf.DUMMYFUNCTION("""COMPUTED_VALUE"""),19.7)</f>
        <v>19.7</v>
      </c>
      <c r="I104" s="16">
        <f>IFERROR(__xludf.DUMMYFUNCTION("""COMPUTED_VALUE"""),45890.6458333333)</f>
        <v>45890.6458333333</v>
      </c>
      <c r="J104" s="17">
        <f>IFERROR(__xludf.DUMMYFUNCTION("""COMPUTED_VALUE"""),19.33)</f>
        <v>19.33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IFERROR(__xludf.DUMMYFUNCTION("""COMPUTED_VALUE"""),19.28)</f>
        <v>19.28</v>
      </c>
      <c r="C105" s="16">
        <f>IFERROR(__xludf.DUMMYFUNCTION("""COMPUTED_VALUE"""),45891.6458333333)</f>
        <v>45891.6458333333</v>
      </c>
      <c r="D105" s="17">
        <f>IFERROR(__xludf.DUMMYFUNCTION("""COMPUTED_VALUE"""),19.43)</f>
        <v>19.43</v>
      </c>
      <c r="E105" s="16">
        <f>IFERROR(__xludf.DUMMYFUNCTION("""COMPUTED_VALUE"""),45891.6458333333)</f>
        <v>45891.6458333333</v>
      </c>
      <c r="F105" s="17">
        <f>IFERROR(__xludf.DUMMYFUNCTION("""COMPUTED_VALUE"""),38048028)</f>
        <v>38048028</v>
      </c>
      <c r="G105" s="16">
        <f>IFERROR(__xludf.DUMMYFUNCTION("""COMPUTED_VALUE"""),45891.6458333333)</f>
        <v>45891.6458333333</v>
      </c>
      <c r="H105" s="17">
        <f>IFERROR(__xludf.DUMMYFUNCTION("""COMPUTED_VALUE"""),19.46)</f>
        <v>19.46</v>
      </c>
      <c r="I105" s="16">
        <f>IFERROR(__xludf.DUMMYFUNCTION("""COMPUTED_VALUE"""),45891.6458333333)</f>
        <v>45891.6458333333</v>
      </c>
      <c r="J105" s="17">
        <f>IFERROR(__xludf.DUMMYFUNCTION("""COMPUTED_VALUE"""),19.25)</f>
        <v>19.25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IFERROR(__xludf.DUMMYFUNCTION("""COMPUTED_VALUE"""),19.55)</f>
        <v>19.55</v>
      </c>
      <c r="C106" s="16">
        <f>IFERROR(__xludf.DUMMYFUNCTION("""COMPUTED_VALUE"""),45894.6458333333)</f>
        <v>45894.6458333333</v>
      </c>
      <c r="D106" s="17">
        <f>IFERROR(__xludf.DUMMYFUNCTION("""COMPUTED_VALUE"""),20.2)</f>
        <v>20.2</v>
      </c>
      <c r="E106" s="16">
        <f>IFERROR(__xludf.DUMMYFUNCTION("""COMPUTED_VALUE"""),45894.6458333333)</f>
        <v>45894.6458333333</v>
      </c>
      <c r="F106" s="17">
        <f>IFERROR(__xludf.DUMMYFUNCTION("""COMPUTED_VALUE"""),254721161)</f>
        <v>254721161</v>
      </c>
      <c r="G106" s="16">
        <f>IFERROR(__xludf.DUMMYFUNCTION("""COMPUTED_VALUE"""),45894.6458333333)</f>
        <v>45894.6458333333</v>
      </c>
      <c r="H106" s="17">
        <f>IFERROR(__xludf.DUMMYFUNCTION("""COMPUTED_VALUE"""),20.2)</f>
        <v>20.2</v>
      </c>
      <c r="I106" s="16">
        <f>IFERROR(__xludf.DUMMYFUNCTION("""COMPUTED_VALUE"""),45894.6458333333)</f>
        <v>45894.6458333333</v>
      </c>
      <c r="J106" s="17">
        <f>IFERROR(__xludf.DUMMYFUNCTION("""COMPUTED_VALUE"""),19.5)</f>
        <v>19.5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IFERROR(__xludf.DUMMYFUNCTION("""COMPUTED_VALUE"""),18.95)</f>
        <v>18.95</v>
      </c>
      <c r="C107" s="16">
        <f>IFERROR(__xludf.DUMMYFUNCTION("""COMPUTED_VALUE"""),45895.6458333333)</f>
        <v>45895.6458333333</v>
      </c>
      <c r="D107" s="17">
        <f>IFERROR(__xludf.DUMMYFUNCTION("""COMPUTED_VALUE"""),19.49)</f>
        <v>19.49</v>
      </c>
      <c r="E107" s="16">
        <f>IFERROR(__xludf.DUMMYFUNCTION("""COMPUTED_VALUE"""),45895.6458333333)</f>
        <v>45895.6458333333</v>
      </c>
      <c r="F107" s="17">
        <f>IFERROR(__xludf.DUMMYFUNCTION("""COMPUTED_VALUE"""),148661489)</f>
        <v>148661489</v>
      </c>
      <c r="G107" s="16">
        <f>IFERROR(__xludf.DUMMYFUNCTION("""COMPUTED_VALUE"""),45895.6458333333)</f>
        <v>45895.6458333333</v>
      </c>
      <c r="H107" s="17">
        <f>IFERROR(__xludf.DUMMYFUNCTION("""COMPUTED_VALUE"""),19.5)</f>
        <v>19.5</v>
      </c>
      <c r="I107" s="16">
        <f>IFERROR(__xludf.DUMMYFUNCTION("""COMPUTED_VALUE"""),45895.6458333333)</f>
        <v>45895.6458333333</v>
      </c>
      <c r="J107" s="17">
        <f>IFERROR(__xludf.DUMMYFUNCTION("""COMPUTED_VALUE"""),18.9)</f>
        <v>18.9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IFERROR(__xludf.DUMMYFUNCTION("""COMPUTED_VALUE"""),18.68)</f>
        <v>18.68</v>
      </c>
      <c r="C108" s="16">
        <f>IFERROR(__xludf.DUMMYFUNCTION("""COMPUTED_VALUE"""),45897.6458333333)</f>
        <v>45897.6458333333</v>
      </c>
      <c r="D108" s="17">
        <f>IFERROR(__xludf.DUMMYFUNCTION("""COMPUTED_VALUE"""),19)</f>
        <v>19</v>
      </c>
      <c r="E108" s="16">
        <f>IFERROR(__xludf.DUMMYFUNCTION("""COMPUTED_VALUE"""),45897.6458333333)</f>
        <v>45897.6458333333</v>
      </c>
      <c r="F108" s="17">
        <f>IFERROR(__xludf.DUMMYFUNCTION("""COMPUTED_VALUE"""),68889791)</f>
        <v>68889791</v>
      </c>
      <c r="G108" s="16">
        <f>IFERROR(__xludf.DUMMYFUNCTION("""COMPUTED_VALUE"""),45897.6458333333)</f>
        <v>45897.6458333333</v>
      </c>
      <c r="H108" s="17">
        <f>IFERROR(__xludf.DUMMYFUNCTION("""COMPUTED_VALUE"""),19.03)</f>
        <v>19.03</v>
      </c>
      <c r="I108" s="16">
        <f>IFERROR(__xludf.DUMMYFUNCTION("""COMPUTED_VALUE"""),45897.6458333333)</f>
        <v>45897.6458333333</v>
      </c>
      <c r="J108" s="17">
        <f>IFERROR(__xludf.DUMMYFUNCTION("""COMPUTED_VALUE"""),18.65)</f>
        <v>18.65</v>
      </c>
      <c r="K108" s="3">
        <f t="shared" si="2"/>
        <v>0</v>
      </c>
      <c r="L108" s="3">
        <f t="shared" si="3"/>
        <v>18.68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IFERROR(__xludf.DUMMYFUNCTION("""COMPUTED_VALUE"""),19.1)</f>
        <v>19.1</v>
      </c>
      <c r="C109" s="16">
        <f>IFERROR(__xludf.DUMMYFUNCTION("""COMPUTED_VALUE"""),45898.6458333333)</f>
        <v>45898.6458333333</v>
      </c>
      <c r="D109" s="17">
        <f>IFERROR(__xludf.DUMMYFUNCTION("""COMPUTED_VALUE"""),18.88)</f>
        <v>18.88</v>
      </c>
      <c r="E109" s="16">
        <f>IFERROR(__xludf.DUMMYFUNCTION("""COMPUTED_VALUE"""),45898.6458333333)</f>
        <v>45898.6458333333</v>
      </c>
      <c r="F109" s="17">
        <f>IFERROR(__xludf.DUMMYFUNCTION("""COMPUTED_VALUE"""),191492999)</f>
        <v>191492999</v>
      </c>
      <c r="G109" s="16">
        <f>IFERROR(__xludf.DUMMYFUNCTION("""COMPUTED_VALUE"""),45898.6458333333)</f>
        <v>45898.6458333333</v>
      </c>
      <c r="H109" s="17">
        <f>IFERROR(__xludf.DUMMYFUNCTION("""COMPUTED_VALUE"""),19.55)</f>
        <v>19.55</v>
      </c>
      <c r="I109" s="16">
        <f>IFERROR(__xludf.DUMMYFUNCTION("""COMPUTED_VALUE"""),45898.6458333333)</f>
        <v>45898.6458333333</v>
      </c>
      <c r="J109" s="17">
        <f>IFERROR(__xludf.DUMMYFUNCTION("""COMPUTED_VALUE"""),18.71)</f>
        <v>18.71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IFERROR(__xludf.DUMMYFUNCTION("""COMPUTED_VALUE"""),19.55)</f>
        <v>19.55</v>
      </c>
      <c r="C110" s="16">
        <f>IFERROR(__xludf.DUMMYFUNCTION("""COMPUTED_VALUE"""),45901.6458333333)</f>
        <v>45901.6458333333</v>
      </c>
      <c r="D110" s="17">
        <f>IFERROR(__xludf.DUMMYFUNCTION("""COMPUTED_VALUE"""),19.2)</f>
        <v>19.2</v>
      </c>
      <c r="E110" s="16">
        <f>IFERROR(__xludf.DUMMYFUNCTION("""COMPUTED_VALUE"""),45901.6458333333)</f>
        <v>45901.6458333333</v>
      </c>
      <c r="F110" s="17">
        <f>IFERROR(__xludf.DUMMYFUNCTION("""COMPUTED_VALUE"""),78438721)</f>
        <v>78438721</v>
      </c>
      <c r="G110" s="16">
        <f>IFERROR(__xludf.DUMMYFUNCTION("""COMPUTED_VALUE"""),45901.6458333333)</f>
        <v>45901.6458333333</v>
      </c>
      <c r="H110" s="17">
        <f>IFERROR(__xludf.DUMMYFUNCTION("""COMPUTED_VALUE"""),19.64)</f>
        <v>19.64</v>
      </c>
      <c r="I110" s="16">
        <f>IFERROR(__xludf.DUMMYFUNCTION("""COMPUTED_VALUE"""),45901.6458333333)</f>
        <v>45901.6458333333</v>
      </c>
      <c r="J110" s="17">
        <f>IFERROR(__xludf.DUMMYFUNCTION("""COMPUTED_VALUE"""),19.07)</f>
        <v>19.07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IFERROR(__xludf.DUMMYFUNCTION("""COMPUTED_VALUE"""),19.55)</f>
        <v>19.55</v>
      </c>
      <c r="C111" s="16">
        <f>IFERROR(__xludf.DUMMYFUNCTION("""COMPUTED_VALUE"""),45902.6458333333)</f>
        <v>45902.6458333333</v>
      </c>
      <c r="D111" s="17">
        <f>IFERROR(__xludf.DUMMYFUNCTION("""COMPUTED_VALUE"""),19.55)</f>
        <v>19.55</v>
      </c>
      <c r="E111" s="16">
        <f>IFERROR(__xludf.DUMMYFUNCTION("""COMPUTED_VALUE"""),45902.6458333333)</f>
        <v>45902.6458333333</v>
      </c>
      <c r="F111" s="17">
        <f>IFERROR(__xludf.DUMMYFUNCTION("""COMPUTED_VALUE"""),71824126)</f>
        <v>71824126</v>
      </c>
      <c r="G111" s="16">
        <f>IFERROR(__xludf.DUMMYFUNCTION("""COMPUTED_VALUE"""),45902.6458333333)</f>
        <v>45902.6458333333</v>
      </c>
      <c r="H111" s="17">
        <f>IFERROR(__xludf.DUMMYFUNCTION("""COMPUTED_VALUE"""),19.8)</f>
        <v>19.8</v>
      </c>
      <c r="I111" s="16">
        <f>IFERROR(__xludf.DUMMYFUNCTION("""COMPUTED_VALUE"""),45902.6458333333)</f>
        <v>45902.6458333333</v>
      </c>
      <c r="J111" s="17">
        <f>IFERROR(__xludf.DUMMYFUNCTION("""COMPUTED_VALUE"""),19.37)</f>
        <v>19.37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IFERROR(__xludf.DUMMYFUNCTION("""COMPUTED_VALUE"""),20.35)</f>
        <v>20.35</v>
      </c>
      <c r="C112" s="16">
        <f>IFERROR(__xludf.DUMMYFUNCTION("""COMPUTED_VALUE"""),45903.6458333333)</f>
        <v>45903.6458333333</v>
      </c>
      <c r="D112" s="17">
        <f>IFERROR(__xludf.DUMMYFUNCTION("""COMPUTED_VALUE"""),19.74)</f>
        <v>19.74</v>
      </c>
      <c r="E112" s="16">
        <f>IFERROR(__xludf.DUMMYFUNCTION("""COMPUTED_VALUE"""),45903.6458333333)</f>
        <v>45903.6458333333</v>
      </c>
      <c r="F112" s="17">
        <f>IFERROR(__xludf.DUMMYFUNCTION("""COMPUTED_VALUE"""),220584457)</f>
        <v>220584457</v>
      </c>
      <c r="G112" s="16">
        <f>IFERROR(__xludf.DUMMYFUNCTION("""COMPUTED_VALUE"""),45903.6458333333)</f>
        <v>45903.6458333333</v>
      </c>
      <c r="H112" s="17">
        <f>IFERROR(__xludf.DUMMYFUNCTION("""COMPUTED_VALUE"""),20.38)</f>
        <v>20.38</v>
      </c>
      <c r="I112" s="16">
        <f>IFERROR(__xludf.DUMMYFUNCTION("""COMPUTED_VALUE"""),45903.6458333333)</f>
        <v>45903.6458333333</v>
      </c>
      <c r="J112" s="17">
        <f>IFERROR(__xludf.DUMMYFUNCTION("""COMPUTED_VALUE"""),19.7)</f>
        <v>19.7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IFERROR(__xludf.DUMMYFUNCTION("""COMPUTED_VALUE"""),20.29)</f>
        <v>20.29</v>
      </c>
      <c r="C113" s="16">
        <f>IFERROR(__xludf.DUMMYFUNCTION("""COMPUTED_VALUE"""),45904.6458333333)</f>
        <v>45904.6458333333</v>
      </c>
      <c r="D113" s="17">
        <f>IFERROR(__xludf.DUMMYFUNCTION("""COMPUTED_VALUE"""),20.49)</f>
        <v>20.49</v>
      </c>
      <c r="E113" s="16">
        <f>IFERROR(__xludf.DUMMYFUNCTION("""COMPUTED_VALUE"""),45904.6458333333)</f>
        <v>45904.6458333333</v>
      </c>
      <c r="F113" s="17">
        <f>IFERROR(__xludf.DUMMYFUNCTION("""COMPUTED_VALUE"""),99808514)</f>
        <v>99808514</v>
      </c>
      <c r="G113" s="16">
        <f>IFERROR(__xludf.DUMMYFUNCTION("""COMPUTED_VALUE"""),45904.6458333333)</f>
        <v>45904.6458333333</v>
      </c>
      <c r="H113" s="17">
        <f>IFERROR(__xludf.DUMMYFUNCTION("""COMPUTED_VALUE"""),20.54)</f>
        <v>20.54</v>
      </c>
      <c r="I113" s="16">
        <f>IFERROR(__xludf.DUMMYFUNCTION("""COMPUTED_VALUE"""),45904.6458333333)</f>
        <v>45904.6458333333</v>
      </c>
      <c r="J113" s="17">
        <f>IFERROR(__xludf.DUMMYFUNCTION("""COMPUTED_VALUE"""),20.25)</f>
        <v>20.25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IFERROR(__xludf.DUMMYFUNCTION("""COMPUTED_VALUE"""),20.44)</f>
        <v>20.44</v>
      </c>
      <c r="C114" s="16">
        <f>IFERROR(__xludf.DUMMYFUNCTION("""COMPUTED_VALUE"""),45905.6458333333)</f>
        <v>45905.6458333333</v>
      </c>
      <c r="D114" s="17">
        <f>IFERROR(__xludf.DUMMYFUNCTION("""COMPUTED_VALUE"""),20.31)</f>
        <v>20.31</v>
      </c>
      <c r="E114" s="16">
        <f>IFERROR(__xludf.DUMMYFUNCTION("""COMPUTED_VALUE"""),45905.6458333333)</f>
        <v>45905.6458333333</v>
      </c>
      <c r="F114" s="17">
        <f>IFERROR(__xludf.DUMMYFUNCTION("""COMPUTED_VALUE"""),91388363)</f>
        <v>91388363</v>
      </c>
      <c r="G114" s="16">
        <f>IFERROR(__xludf.DUMMYFUNCTION("""COMPUTED_VALUE"""),45905.6458333333)</f>
        <v>45905.6458333333</v>
      </c>
      <c r="H114" s="17">
        <f>IFERROR(__xludf.DUMMYFUNCTION("""COMPUTED_VALUE"""),20.61)</f>
        <v>20.61</v>
      </c>
      <c r="I114" s="16">
        <f>IFERROR(__xludf.DUMMYFUNCTION("""COMPUTED_VALUE"""),45905.6458333333)</f>
        <v>45905.6458333333</v>
      </c>
      <c r="J114" s="17">
        <f>IFERROR(__xludf.DUMMYFUNCTION("""COMPUTED_VALUE"""),20.03)</f>
        <v>20.03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IFERROR(__xludf.DUMMYFUNCTION("""COMPUTED_VALUE"""),20.18)</f>
        <v>20.18</v>
      </c>
      <c r="C115" s="16">
        <f>IFERROR(__xludf.DUMMYFUNCTION("""COMPUTED_VALUE"""),45908.6458333333)</f>
        <v>45908.6458333333</v>
      </c>
      <c r="D115" s="17">
        <f>IFERROR(__xludf.DUMMYFUNCTION("""COMPUTED_VALUE"""),20.51)</f>
        <v>20.51</v>
      </c>
      <c r="E115" s="16">
        <f>IFERROR(__xludf.DUMMYFUNCTION("""COMPUTED_VALUE"""),45908.6458333333)</f>
        <v>45908.6458333333</v>
      </c>
      <c r="F115" s="17">
        <f>IFERROR(__xludf.DUMMYFUNCTION("""COMPUTED_VALUE"""),50735550)</f>
        <v>50735550</v>
      </c>
      <c r="G115" s="16">
        <f>IFERROR(__xludf.DUMMYFUNCTION("""COMPUTED_VALUE"""),45908.6458333333)</f>
        <v>45908.6458333333</v>
      </c>
      <c r="H115" s="17">
        <f>IFERROR(__xludf.DUMMYFUNCTION("""COMPUTED_VALUE"""),20.53)</f>
        <v>20.53</v>
      </c>
      <c r="I115" s="16">
        <f>IFERROR(__xludf.DUMMYFUNCTION("""COMPUTED_VALUE"""),45908.6458333333)</f>
        <v>45908.6458333333</v>
      </c>
      <c r="J115" s="17">
        <f>IFERROR(__xludf.DUMMYFUNCTION("""COMPUTED_VALUE"""),20.14)</f>
        <v>20.14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IFERROR(__xludf.DUMMYFUNCTION("""COMPUTED_VALUE"""),20.34)</f>
        <v>20.34</v>
      </c>
      <c r="C116" s="16">
        <f>IFERROR(__xludf.DUMMYFUNCTION("""COMPUTED_VALUE"""),45909.6458333333)</f>
        <v>45909.6458333333</v>
      </c>
      <c r="D116" s="17">
        <f>IFERROR(__xludf.DUMMYFUNCTION("""COMPUTED_VALUE"""),20.21)</f>
        <v>20.21</v>
      </c>
      <c r="E116" s="16">
        <f>IFERROR(__xludf.DUMMYFUNCTION("""COMPUTED_VALUE"""),45909.6458333333)</f>
        <v>45909.6458333333</v>
      </c>
      <c r="F116" s="17">
        <f>IFERROR(__xludf.DUMMYFUNCTION("""COMPUTED_VALUE"""),58152362)</f>
        <v>58152362</v>
      </c>
      <c r="G116" s="16">
        <f>IFERROR(__xludf.DUMMYFUNCTION("""COMPUTED_VALUE"""),45909.6458333333)</f>
        <v>45909.6458333333</v>
      </c>
      <c r="H116" s="17">
        <f>IFERROR(__xludf.DUMMYFUNCTION("""COMPUTED_VALUE"""),20.48)</f>
        <v>20.48</v>
      </c>
      <c r="I116" s="16">
        <f>IFERROR(__xludf.DUMMYFUNCTION("""COMPUTED_VALUE"""),45909.6458333333)</f>
        <v>45909.6458333333</v>
      </c>
      <c r="J116" s="17">
        <f>IFERROR(__xludf.DUMMYFUNCTION("""COMPUTED_VALUE"""),20.2)</f>
        <v>20.2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IFERROR(__xludf.DUMMYFUNCTION("""COMPUTED_VALUE"""),20.77)</f>
        <v>20.77</v>
      </c>
      <c r="C117" s="16">
        <f>IFERROR(__xludf.DUMMYFUNCTION("""COMPUTED_VALUE"""),45910.6458333333)</f>
        <v>45910.6458333333</v>
      </c>
      <c r="D117" s="17">
        <f>IFERROR(__xludf.DUMMYFUNCTION("""COMPUTED_VALUE"""),20.46)</f>
        <v>20.46</v>
      </c>
      <c r="E117" s="16">
        <f>IFERROR(__xludf.DUMMYFUNCTION("""COMPUTED_VALUE"""),45910.6458333333)</f>
        <v>45910.6458333333</v>
      </c>
      <c r="F117" s="17">
        <f>IFERROR(__xludf.DUMMYFUNCTION("""COMPUTED_VALUE"""),131894977)</f>
        <v>131894977</v>
      </c>
      <c r="G117" s="16">
        <f>IFERROR(__xludf.DUMMYFUNCTION("""COMPUTED_VALUE"""),45910.6458333333)</f>
        <v>45910.6458333333</v>
      </c>
      <c r="H117" s="17">
        <f>IFERROR(__xludf.DUMMYFUNCTION("""COMPUTED_VALUE"""),20.93)</f>
        <v>20.93</v>
      </c>
      <c r="I117" s="16">
        <f>IFERROR(__xludf.DUMMYFUNCTION("""COMPUTED_VALUE"""),45910.6458333333)</f>
        <v>45910.6458333333</v>
      </c>
      <c r="J117" s="17">
        <f>IFERROR(__xludf.DUMMYFUNCTION("""COMPUTED_VALUE"""),20.42)</f>
        <v>20.42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IFERROR(__xludf.DUMMYFUNCTION("""COMPUTED_VALUE"""),20.98)</f>
        <v>20.98</v>
      </c>
      <c r="C118" s="16">
        <f>IFERROR(__xludf.DUMMYFUNCTION("""COMPUTED_VALUE"""),45911.6458333333)</f>
        <v>45911.6458333333</v>
      </c>
      <c r="D118" s="17">
        <f>IFERROR(__xludf.DUMMYFUNCTION("""COMPUTED_VALUE"""),20.88)</f>
        <v>20.88</v>
      </c>
      <c r="E118" s="16">
        <f>IFERROR(__xludf.DUMMYFUNCTION("""COMPUTED_VALUE"""),45911.6458333333)</f>
        <v>45911.6458333333</v>
      </c>
      <c r="F118" s="17">
        <f>IFERROR(__xludf.DUMMYFUNCTION("""COMPUTED_VALUE"""),113340991)</f>
        <v>113340991</v>
      </c>
      <c r="G118" s="16">
        <f>IFERROR(__xludf.DUMMYFUNCTION("""COMPUTED_VALUE"""),45911.6458333333)</f>
        <v>45911.6458333333</v>
      </c>
      <c r="H118" s="17">
        <f>IFERROR(__xludf.DUMMYFUNCTION("""COMPUTED_VALUE"""),21.14)</f>
        <v>21.14</v>
      </c>
      <c r="I118" s="16">
        <f>IFERROR(__xludf.DUMMYFUNCTION("""COMPUTED_VALUE"""),45911.6458333333)</f>
        <v>45911.6458333333</v>
      </c>
      <c r="J118" s="17">
        <f>IFERROR(__xludf.DUMMYFUNCTION("""COMPUTED_VALUE"""),20.75)</f>
        <v>20.75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IFERROR(__xludf.DUMMYFUNCTION("""COMPUTED_VALUE"""),20.86)</f>
        <v>20.86</v>
      </c>
      <c r="C119" s="16">
        <f>IFERROR(__xludf.DUMMYFUNCTION("""COMPUTED_VALUE"""),45912.6458333333)</f>
        <v>45912.6458333333</v>
      </c>
      <c r="D119" s="17">
        <f>IFERROR(__xludf.DUMMYFUNCTION("""COMPUTED_VALUE"""),21.05)</f>
        <v>21.05</v>
      </c>
      <c r="E119" s="16">
        <f>IFERROR(__xludf.DUMMYFUNCTION("""COMPUTED_VALUE"""),45912.6458333333)</f>
        <v>45912.6458333333</v>
      </c>
      <c r="F119" s="17">
        <f>IFERROR(__xludf.DUMMYFUNCTION("""COMPUTED_VALUE"""),70693606)</f>
        <v>70693606</v>
      </c>
      <c r="G119" s="16">
        <f>IFERROR(__xludf.DUMMYFUNCTION("""COMPUTED_VALUE"""),45912.6458333333)</f>
        <v>45912.6458333333</v>
      </c>
      <c r="H119" s="17">
        <f>IFERROR(__xludf.DUMMYFUNCTION("""COMPUTED_VALUE"""),21.08)</f>
        <v>21.08</v>
      </c>
      <c r="I119" s="16">
        <f>IFERROR(__xludf.DUMMYFUNCTION("""COMPUTED_VALUE"""),45912.6458333333)</f>
        <v>45912.6458333333</v>
      </c>
      <c r="J119" s="17">
        <f>IFERROR(__xludf.DUMMYFUNCTION("""COMPUTED_VALUE"""),20.75)</f>
        <v>20.75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IFERROR(__xludf.DUMMYFUNCTION("""COMPUTED_VALUE"""),21.01)</f>
        <v>21.01</v>
      </c>
      <c r="C120" s="16">
        <f>IFERROR(__xludf.DUMMYFUNCTION("""COMPUTED_VALUE"""),45915.6458333333)</f>
        <v>45915.6458333333</v>
      </c>
      <c r="D120" s="17">
        <f>IFERROR(__xludf.DUMMYFUNCTION("""COMPUTED_VALUE"""),20.87)</f>
        <v>20.87</v>
      </c>
      <c r="E120" s="16">
        <f>IFERROR(__xludf.DUMMYFUNCTION("""COMPUTED_VALUE"""),45915.6458333333)</f>
        <v>45915.6458333333</v>
      </c>
      <c r="F120" s="17">
        <f>IFERROR(__xludf.DUMMYFUNCTION("""COMPUTED_VALUE"""),74452689)</f>
        <v>74452689</v>
      </c>
      <c r="G120" s="16">
        <f>IFERROR(__xludf.DUMMYFUNCTION("""COMPUTED_VALUE"""),45915.6458333333)</f>
        <v>45915.6458333333</v>
      </c>
      <c r="H120" s="17">
        <f>IFERROR(__xludf.DUMMYFUNCTION("""COMPUTED_VALUE"""),21.28)</f>
        <v>21.28</v>
      </c>
      <c r="I120" s="16">
        <f>IFERROR(__xludf.DUMMYFUNCTION("""COMPUTED_VALUE"""),45915.6458333333)</f>
        <v>45915.6458333333</v>
      </c>
      <c r="J120" s="17">
        <f>IFERROR(__xludf.DUMMYFUNCTION("""COMPUTED_VALUE"""),20.87)</f>
        <v>20.87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IFERROR(__xludf.DUMMYFUNCTION("""COMPUTED_VALUE"""),21.01)</f>
        <v>21.01</v>
      </c>
      <c r="C121" s="16">
        <f>IFERROR(__xludf.DUMMYFUNCTION("""COMPUTED_VALUE"""),45916.6458333333)</f>
        <v>45916.6458333333</v>
      </c>
      <c r="D121" s="17">
        <f>IFERROR(__xludf.DUMMYFUNCTION("""COMPUTED_VALUE"""),21.01)</f>
        <v>21.01</v>
      </c>
      <c r="E121" s="16">
        <f>IFERROR(__xludf.DUMMYFUNCTION("""COMPUTED_VALUE"""),45916.6458333333)</f>
        <v>45916.6458333333</v>
      </c>
      <c r="F121" s="17">
        <f>IFERROR(__xludf.DUMMYFUNCTION("""COMPUTED_VALUE"""),58912746)</f>
        <v>58912746</v>
      </c>
      <c r="G121" s="16">
        <f>IFERROR(__xludf.DUMMYFUNCTION("""COMPUTED_VALUE"""),45916.6458333333)</f>
        <v>45916.6458333333</v>
      </c>
      <c r="H121" s="17">
        <f>IFERROR(__xludf.DUMMYFUNCTION("""COMPUTED_VALUE"""),21.09)</f>
        <v>21.09</v>
      </c>
      <c r="I121" s="16">
        <f>IFERROR(__xludf.DUMMYFUNCTION("""COMPUTED_VALUE"""),45916.6458333333)</f>
        <v>45916.6458333333</v>
      </c>
      <c r="J121" s="17">
        <f>IFERROR(__xludf.DUMMYFUNCTION("""COMPUTED_VALUE"""),20.84)</f>
        <v>20.84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IFERROR(__xludf.DUMMYFUNCTION("""COMPUTED_VALUE"""),21.15)</f>
        <v>21.15</v>
      </c>
      <c r="C122" s="16">
        <f>IFERROR(__xludf.DUMMYFUNCTION("""COMPUTED_VALUE"""),45917.6458333333)</f>
        <v>45917.6458333333</v>
      </c>
      <c r="D122" s="17">
        <f>IFERROR(__xludf.DUMMYFUNCTION("""COMPUTED_VALUE"""),21.04)</f>
        <v>21.04</v>
      </c>
      <c r="E122" s="16">
        <f>IFERROR(__xludf.DUMMYFUNCTION("""COMPUTED_VALUE"""),45917.6458333333)</f>
        <v>45917.6458333333</v>
      </c>
      <c r="F122" s="17">
        <f>IFERROR(__xludf.DUMMYFUNCTION("""COMPUTED_VALUE"""),77272829)</f>
        <v>77272829</v>
      </c>
      <c r="G122" s="16">
        <f>IFERROR(__xludf.DUMMYFUNCTION("""COMPUTED_VALUE"""),45917.6458333333)</f>
        <v>45917.6458333333</v>
      </c>
      <c r="H122" s="17">
        <f>IFERROR(__xludf.DUMMYFUNCTION("""COMPUTED_VALUE"""),21.24)</f>
        <v>21.24</v>
      </c>
      <c r="I122" s="16">
        <f>IFERROR(__xludf.DUMMYFUNCTION("""COMPUTED_VALUE"""),45917.6458333333)</f>
        <v>45917.6458333333</v>
      </c>
      <c r="J122" s="17">
        <f>IFERROR(__xludf.DUMMYFUNCTION("""COMPUTED_VALUE"""),20.87)</f>
        <v>20.87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IFERROR(__xludf.DUMMYFUNCTION("""COMPUTED_VALUE"""),21.07)</f>
        <v>21.07</v>
      </c>
      <c r="C123" s="16">
        <f>IFERROR(__xludf.DUMMYFUNCTION("""COMPUTED_VALUE"""),45918.6458333333)</f>
        <v>45918.6458333333</v>
      </c>
      <c r="D123" s="17">
        <f>IFERROR(__xludf.DUMMYFUNCTION("""COMPUTED_VALUE"""),21.3)</f>
        <v>21.3</v>
      </c>
      <c r="E123" s="16">
        <f>IFERROR(__xludf.DUMMYFUNCTION("""COMPUTED_VALUE"""),45918.6458333333)</f>
        <v>45918.6458333333</v>
      </c>
      <c r="F123" s="17">
        <f>IFERROR(__xludf.DUMMYFUNCTION("""COMPUTED_VALUE"""),78623637)</f>
        <v>78623637</v>
      </c>
      <c r="G123" s="16">
        <f>IFERROR(__xludf.DUMMYFUNCTION("""COMPUTED_VALUE"""),45918.6458333333)</f>
        <v>45918.6458333333</v>
      </c>
      <c r="H123" s="17">
        <f>IFERROR(__xludf.DUMMYFUNCTION("""COMPUTED_VALUE"""),21.31)</f>
        <v>21.31</v>
      </c>
      <c r="I123" s="16">
        <f>IFERROR(__xludf.DUMMYFUNCTION("""COMPUTED_VALUE"""),45918.6458333333)</f>
        <v>45918.6458333333</v>
      </c>
      <c r="J123" s="17">
        <f>IFERROR(__xludf.DUMMYFUNCTION("""COMPUTED_VALUE"""),20.94)</f>
        <v>20.94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IFERROR(__xludf.DUMMYFUNCTION("""COMPUTED_VALUE"""),21.17)</f>
        <v>21.17</v>
      </c>
      <c r="C124" s="16">
        <f>IFERROR(__xludf.DUMMYFUNCTION("""COMPUTED_VALUE"""),45919.6458333333)</f>
        <v>45919.6458333333</v>
      </c>
      <c r="D124" s="17">
        <f>IFERROR(__xludf.DUMMYFUNCTION("""COMPUTED_VALUE"""),21.07)</f>
        <v>21.07</v>
      </c>
      <c r="E124" s="16">
        <f>IFERROR(__xludf.DUMMYFUNCTION("""COMPUTED_VALUE"""),45919.6458333333)</f>
        <v>45919.6458333333</v>
      </c>
      <c r="F124" s="17">
        <f>IFERROR(__xludf.DUMMYFUNCTION("""COMPUTED_VALUE"""),116051178)</f>
        <v>116051178</v>
      </c>
      <c r="G124" s="16">
        <f>IFERROR(__xludf.DUMMYFUNCTION("""COMPUTED_VALUE"""),45919.6458333333)</f>
        <v>45919.6458333333</v>
      </c>
      <c r="H124" s="17">
        <f>IFERROR(__xludf.DUMMYFUNCTION("""COMPUTED_VALUE"""),21.39)</f>
        <v>21.39</v>
      </c>
      <c r="I124" s="16">
        <f>IFERROR(__xludf.DUMMYFUNCTION("""COMPUTED_VALUE"""),45919.6458333333)</f>
        <v>45919.6458333333</v>
      </c>
      <c r="J124" s="17">
        <f>IFERROR(__xludf.DUMMYFUNCTION("""COMPUTED_VALUE"""),21)</f>
        <v>21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IFERROR(__xludf.DUMMYFUNCTION("""COMPUTED_VALUE"""),21.21)</f>
        <v>21.21</v>
      </c>
      <c r="C125" s="16">
        <f>IFERROR(__xludf.DUMMYFUNCTION("""COMPUTED_VALUE"""),45922.6458333333)</f>
        <v>45922.6458333333</v>
      </c>
      <c r="D125" s="17">
        <f>IFERROR(__xludf.DUMMYFUNCTION("""COMPUTED_VALUE"""),21.24)</f>
        <v>21.24</v>
      </c>
      <c r="E125" s="16">
        <f>IFERROR(__xludf.DUMMYFUNCTION("""COMPUTED_VALUE"""),45922.6458333333)</f>
        <v>45922.6458333333</v>
      </c>
      <c r="F125" s="17">
        <f>IFERROR(__xludf.DUMMYFUNCTION("""COMPUTED_VALUE"""),111736439)</f>
        <v>111736439</v>
      </c>
      <c r="G125" s="16">
        <f>IFERROR(__xludf.DUMMYFUNCTION("""COMPUTED_VALUE"""),45922.6458333333)</f>
        <v>45922.6458333333</v>
      </c>
      <c r="H125" s="17">
        <f>IFERROR(__xludf.DUMMYFUNCTION("""COMPUTED_VALUE"""),21.63)</f>
        <v>21.63</v>
      </c>
      <c r="I125" s="16">
        <f>IFERROR(__xludf.DUMMYFUNCTION("""COMPUTED_VALUE"""),45922.6458333333)</f>
        <v>45922.6458333333</v>
      </c>
      <c r="J125" s="17">
        <f>IFERROR(__xludf.DUMMYFUNCTION("""COMPUTED_VALUE"""),21.18)</f>
        <v>21.18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IFERROR(__xludf.DUMMYFUNCTION("""COMPUTED_VALUE"""),21.38)</f>
        <v>21.38</v>
      </c>
      <c r="C126" s="16">
        <f>IFERROR(__xludf.DUMMYFUNCTION("""COMPUTED_VALUE"""),45923.6458333333)</f>
        <v>45923.6458333333</v>
      </c>
      <c r="D126" s="17">
        <f>IFERROR(__xludf.DUMMYFUNCTION("""COMPUTED_VALUE"""),21.2)</f>
        <v>21.2</v>
      </c>
      <c r="E126" s="16">
        <f>IFERROR(__xludf.DUMMYFUNCTION("""COMPUTED_VALUE"""),45923.6458333333)</f>
        <v>45923.6458333333</v>
      </c>
      <c r="F126" s="17">
        <f>IFERROR(__xludf.DUMMYFUNCTION("""COMPUTED_VALUE"""),82429015)</f>
        <v>82429015</v>
      </c>
      <c r="G126" s="16">
        <f>IFERROR(__xludf.DUMMYFUNCTION("""COMPUTED_VALUE"""),45923.6458333333)</f>
        <v>45923.6458333333</v>
      </c>
      <c r="H126" s="17">
        <f>IFERROR(__xludf.DUMMYFUNCTION("""COMPUTED_VALUE"""),21.45)</f>
        <v>21.45</v>
      </c>
      <c r="I126" s="16">
        <f>IFERROR(__xludf.DUMMYFUNCTION("""COMPUTED_VALUE"""),45923.6458333333)</f>
        <v>45923.6458333333</v>
      </c>
      <c r="J126" s="17">
        <f>IFERROR(__xludf.DUMMYFUNCTION("""COMPUTED_VALUE"""),21.1)</f>
        <v>21.1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IFERROR(__xludf.DUMMYFUNCTION("""COMPUTED_VALUE"""),21.19)</f>
        <v>21.19</v>
      </c>
      <c r="C127" s="16">
        <f>IFERROR(__xludf.DUMMYFUNCTION("""COMPUTED_VALUE"""),45924.6458333333)</f>
        <v>45924.6458333333</v>
      </c>
      <c r="D127" s="17">
        <f>IFERROR(__xludf.DUMMYFUNCTION("""COMPUTED_VALUE"""),21.34)</f>
        <v>21.34</v>
      </c>
      <c r="E127" s="16">
        <f>IFERROR(__xludf.DUMMYFUNCTION("""COMPUTED_VALUE"""),45924.6458333333)</f>
        <v>45924.6458333333</v>
      </c>
      <c r="F127" s="17">
        <f>IFERROR(__xludf.DUMMYFUNCTION("""COMPUTED_VALUE"""),76509671)</f>
        <v>76509671</v>
      </c>
      <c r="G127" s="16">
        <f>IFERROR(__xludf.DUMMYFUNCTION("""COMPUTED_VALUE"""),45924.6458333333)</f>
        <v>45924.6458333333</v>
      </c>
      <c r="H127" s="17">
        <f>IFERROR(__xludf.DUMMYFUNCTION("""COMPUTED_VALUE"""),21.55)</f>
        <v>21.55</v>
      </c>
      <c r="I127" s="16">
        <f>IFERROR(__xludf.DUMMYFUNCTION("""COMPUTED_VALUE"""),45924.6458333333)</f>
        <v>45924.6458333333</v>
      </c>
      <c r="J127" s="17">
        <f>IFERROR(__xludf.DUMMYFUNCTION("""COMPUTED_VALUE"""),21.15)</f>
        <v>21.15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IFERROR(__xludf.DUMMYFUNCTION("""COMPUTED_VALUE"""),21.35)</f>
        <v>21.35</v>
      </c>
      <c r="C128" s="16">
        <f>IFERROR(__xludf.DUMMYFUNCTION("""COMPUTED_VALUE"""),45925.6458333333)</f>
        <v>45925.6458333333</v>
      </c>
      <c r="D128" s="17">
        <f>IFERROR(__xludf.DUMMYFUNCTION("""COMPUTED_VALUE"""),21.19)</f>
        <v>21.19</v>
      </c>
      <c r="E128" s="16">
        <f>IFERROR(__xludf.DUMMYFUNCTION("""COMPUTED_VALUE"""),45925.6458333333)</f>
        <v>45925.6458333333</v>
      </c>
      <c r="F128" s="17">
        <f>IFERROR(__xludf.DUMMYFUNCTION("""COMPUTED_VALUE"""),117158717)</f>
        <v>117158717</v>
      </c>
      <c r="G128" s="16">
        <f>IFERROR(__xludf.DUMMYFUNCTION("""COMPUTED_VALUE"""),45925.6458333333)</f>
        <v>45925.6458333333</v>
      </c>
      <c r="H128" s="17">
        <f>IFERROR(__xludf.DUMMYFUNCTION("""COMPUTED_VALUE"""),21.57)</f>
        <v>21.57</v>
      </c>
      <c r="I128" s="16">
        <f>IFERROR(__xludf.DUMMYFUNCTION("""COMPUTED_VALUE"""),45925.6458333333)</f>
        <v>45925.6458333333</v>
      </c>
      <c r="J128" s="17">
        <f>IFERROR(__xludf.DUMMYFUNCTION("""COMPUTED_VALUE"""),21.16)</f>
        <v>21.16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IFERROR(__xludf.DUMMYFUNCTION("""COMPUTED_VALUE"""),20.97)</f>
        <v>20.97</v>
      </c>
      <c r="C129" s="16">
        <f>IFERROR(__xludf.DUMMYFUNCTION("""COMPUTED_VALUE"""),45926.6458333333)</f>
        <v>45926.6458333333</v>
      </c>
      <c r="D129" s="17">
        <f>IFERROR(__xludf.DUMMYFUNCTION("""COMPUTED_VALUE"""),21.35)</f>
        <v>21.35</v>
      </c>
      <c r="E129" s="16">
        <f>IFERROR(__xludf.DUMMYFUNCTION("""COMPUTED_VALUE"""),45926.6458333333)</f>
        <v>45926.6458333333</v>
      </c>
      <c r="F129" s="17">
        <f>IFERROR(__xludf.DUMMYFUNCTION("""COMPUTED_VALUE"""),85479445)</f>
        <v>85479445</v>
      </c>
      <c r="G129" s="16">
        <f>IFERROR(__xludf.DUMMYFUNCTION("""COMPUTED_VALUE"""),45926.6458333333)</f>
        <v>45926.6458333333</v>
      </c>
      <c r="H129" s="17">
        <f>IFERROR(__xludf.DUMMYFUNCTION("""COMPUTED_VALUE"""),21.4)</f>
        <v>21.4</v>
      </c>
      <c r="I129" s="16">
        <f>IFERROR(__xludf.DUMMYFUNCTION("""COMPUTED_VALUE"""),45926.6458333333)</f>
        <v>45926.6458333333</v>
      </c>
      <c r="J129" s="17">
        <f>IFERROR(__xludf.DUMMYFUNCTION("""COMPUTED_VALUE"""),20.9)</f>
        <v>20.9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96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""price"")"),374.9)</f>
        <v>374.9</v>
      </c>
      <c r="I3" s="22" t="s">
        <v>269</v>
      </c>
      <c r="J3" s="23">
        <f>IFERROR(__xludf.DUMMYFUNCTION("GOOGLEFINANCE(L3, ""volume"")"),501448)</f>
        <v>501448</v>
      </c>
      <c r="K3" s="24" t="s">
        <v>270</v>
      </c>
      <c r="L3" s="25" t="str">
        <f>Mastersheet!B44</f>
        <v>AARTIIND</v>
      </c>
      <c r="M3" s="26">
        <f>IFERROR(__xludf.DUMMYFUNCTION("""COMPUTED_VALUE"""),45926.6458333333)</f>
        <v>45926.6458333333</v>
      </c>
      <c r="N3" s="27">
        <f>IFERROR(__xludf.DUMMYFUNCTION("""COMPUTED_VALUE"""),374.6)</f>
        <v>374.6</v>
      </c>
      <c r="O3" s="26">
        <f>IFERROR(__xludf.DUMMYFUNCTION("""COMPUTED_VALUE"""),45926.6458333333)</f>
        <v>45926.6458333333</v>
      </c>
      <c r="P3" s="27">
        <f>IFERROR(__xludf.DUMMYFUNCTION("""COMPUTED_VALUE"""),380)</f>
        <v>380</v>
      </c>
      <c r="Q3" s="16">
        <f>IFERROR(__xludf.DUMMYFUNCTION("""COMPUTED_VALUE"""),45926.6458333333)</f>
        <v>45926.6458333333</v>
      </c>
      <c r="R3" s="17">
        <f>IFERROR(__xludf.DUMMYFUNCTION("""COMPUTED_VALUE"""),380.05)</f>
        <v>380.05</v>
      </c>
      <c r="S3" s="16">
        <f>IFERROR(__xludf.DUMMYFUNCTION("""COMPUTED_VALUE"""),45926.6458333333)</f>
        <v>45926.6458333333</v>
      </c>
      <c r="T3" s="17">
        <f>IFERROR(__xludf.DUMMYFUNCTION("""COMPUTED_VALUE"""),371.5)</f>
        <v>371.5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IFERROR(__xludf.DUMMYFUNCTION("""COMPUTED_VALUE"""),395.5)</f>
        <v>395.5</v>
      </c>
      <c r="C5" s="14">
        <f>IFERROR(__xludf.DUMMYFUNCTION("""COMPUTED_VALUE"""),45743.6458333333)</f>
        <v>45743.6458333333</v>
      </c>
      <c r="D5" s="15">
        <f>IFERROR(__xludf.DUMMYFUNCTION("""COMPUTED_VALUE"""),386)</f>
        <v>386</v>
      </c>
      <c r="E5" s="14">
        <f>IFERROR(__xludf.DUMMYFUNCTION("""COMPUTED_VALUE"""),45743.6458333333)</f>
        <v>45743.6458333333</v>
      </c>
      <c r="F5" s="15">
        <f>IFERROR(__xludf.DUMMYFUNCTION("""COMPUTED_VALUE"""),1907764)</f>
        <v>1907764</v>
      </c>
      <c r="G5" s="14">
        <f>IFERROR(__xludf.DUMMYFUNCTION("""COMPUTED_VALUE"""),45743.6458333333)</f>
        <v>45743.6458333333</v>
      </c>
      <c r="H5" s="15">
        <f>IFERROR(__xludf.DUMMYFUNCTION("""COMPUTED_VALUE"""),397.5)</f>
        <v>397.5</v>
      </c>
      <c r="I5" s="30">
        <f>IFERROR(__xludf.DUMMYFUNCTION("""COMPUTED_VALUE"""),45743.6458333333)</f>
        <v>45743.6458333333</v>
      </c>
      <c r="J5" s="3">
        <f>IFERROR(__xludf.DUMMYFUNCTION("""COMPUTED_VALUE"""),385.2)</f>
        <v>385.2</v>
      </c>
      <c r="K5" s="5"/>
      <c r="L5" s="5"/>
      <c r="M5" s="3">
        <f t="array" ref="M5">INDEX(K11:K124,MATCH(SMALL(ABS(K11:K124-H3),1),ABS(K11:K124-H3),0))</f>
        <v>393.2</v>
      </c>
      <c r="N5" s="3">
        <f t="array" ref="N5">INDEX(K11:K124,MATCH(SMALL(ABS(K11:K124-H3),2),ABS(K11:K124-H3),0))</f>
        <v>393.9</v>
      </c>
      <c r="O5" s="3">
        <f t="array" ref="O5">INDEX(L11:L124,MATCH(SMALL(ABS(L11:L124-H3),1),ABS(L11:L124-H3),0))</f>
        <v>376.1</v>
      </c>
      <c r="P5" s="3">
        <f t="array" ref="P5">INDEX(L11:L124,MATCH(SMALL(ABS(L11:L124-H3),2),ABS(L11:L124-H3),0))</f>
        <v>372.05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376</v>
      </c>
      <c r="T5" s="17">
        <f ca="1">IF(AND(H3&gt;=Mastersheet!I3*S5,H3&lt;=Mastersheet!J3*S5),1,0)</f>
        <v>0</v>
      </c>
      <c r="U5" s="36">
        <f>(N3+P3)/2</f>
        <v>377.3</v>
      </c>
      <c r="V5" s="17">
        <f>(N3+P3+R3+T3)/4</f>
        <v>376.5375</v>
      </c>
      <c r="W5" s="17">
        <f>IF(V5&gt;U5,1,0)</f>
        <v>0</v>
      </c>
      <c r="X5" s="17">
        <f>IF(V5&gt;U5,0,1)</f>
        <v>1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IFERROR(__xludf.DUMMYFUNCTION("""COMPUTED_VALUE"""),390.75)</f>
        <v>390.75</v>
      </c>
      <c r="C6" s="16">
        <f>IFERROR(__xludf.DUMMYFUNCTION("""COMPUTED_VALUE"""),45744.6458333333)</f>
        <v>45744.6458333333</v>
      </c>
      <c r="D6" s="17">
        <f>IFERROR(__xludf.DUMMYFUNCTION("""COMPUTED_VALUE"""),395)</f>
        <v>395</v>
      </c>
      <c r="E6" s="16">
        <f>IFERROR(__xludf.DUMMYFUNCTION("""COMPUTED_VALUE"""),45744.6458333333)</f>
        <v>45744.6458333333</v>
      </c>
      <c r="F6" s="17">
        <f>IFERROR(__xludf.DUMMYFUNCTION("""COMPUTED_VALUE"""),1488982)</f>
        <v>1488982</v>
      </c>
      <c r="G6" s="16">
        <f>IFERROR(__xludf.DUMMYFUNCTION("""COMPUTED_VALUE"""),45744.6458333333)</f>
        <v>45744.6458333333</v>
      </c>
      <c r="H6" s="17">
        <f>IFERROR(__xludf.DUMMYFUNCTION("""COMPUTED_VALUE"""),407.7)</f>
        <v>407.7</v>
      </c>
      <c r="I6" s="16">
        <f>IFERROR(__xludf.DUMMYFUNCTION("""COMPUTED_VALUE"""),45744.6458333333)</f>
        <v>45744.6458333333</v>
      </c>
      <c r="J6" s="17">
        <f>IFERROR(__xludf.DUMMYFUNCTION("""COMPUTED_VALUE"""),388.5)</f>
        <v>388.5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1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IFERROR(__xludf.DUMMYFUNCTION("""COMPUTED_VALUE"""),391.15)</f>
        <v>391.15</v>
      </c>
      <c r="C7" s="16">
        <f>IFERROR(__xludf.DUMMYFUNCTION("""COMPUTED_VALUE"""),45748.6458333333)</f>
        <v>45748.6458333333</v>
      </c>
      <c r="D7" s="17">
        <f>IFERROR(__xludf.DUMMYFUNCTION("""COMPUTED_VALUE"""),391.25)</f>
        <v>391.25</v>
      </c>
      <c r="E7" s="16">
        <f>IFERROR(__xludf.DUMMYFUNCTION("""COMPUTED_VALUE"""),45748.6458333333)</f>
        <v>45748.6458333333</v>
      </c>
      <c r="F7" s="17">
        <f>IFERROR(__xludf.DUMMYFUNCTION("""COMPUTED_VALUE"""),888899)</f>
        <v>888899</v>
      </c>
      <c r="G7" s="16">
        <f>IFERROR(__xludf.DUMMYFUNCTION("""COMPUTED_VALUE"""),45748.6458333333)</f>
        <v>45748.6458333333</v>
      </c>
      <c r="H7" s="17">
        <f>IFERROR(__xludf.DUMMYFUNCTION("""COMPUTED_VALUE"""),397.45)</f>
        <v>397.45</v>
      </c>
      <c r="I7" s="16">
        <f>IFERROR(__xludf.DUMMYFUNCTION("""COMPUTED_VALUE"""),45748.6458333333)</f>
        <v>45748.6458333333</v>
      </c>
      <c r="J7" s="17">
        <f>IFERROR(__xludf.DUMMYFUNCTION("""COMPUTED_VALUE"""),388.05)</f>
        <v>388.05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IFERROR(__xludf.DUMMYFUNCTION("""COMPUTED_VALUE"""),400.8)</f>
        <v>400.8</v>
      </c>
      <c r="C8" s="16">
        <f>IFERROR(__xludf.DUMMYFUNCTION("""COMPUTED_VALUE"""),45749.6458333333)</f>
        <v>45749.6458333333</v>
      </c>
      <c r="D8" s="17">
        <f>IFERROR(__xludf.DUMMYFUNCTION("""COMPUTED_VALUE"""),392)</f>
        <v>392</v>
      </c>
      <c r="E8" s="16">
        <f>IFERROR(__xludf.DUMMYFUNCTION("""COMPUTED_VALUE"""),45749.6458333333)</f>
        <v>45749.6458333333</v>
      </c>
      <c r="F8" s="17">
        <f>IFERROR(__xludf.DUMMYFUNCTION("""COMPUTED_VALUE"""),1021388)</f>
        <v>1021388</v>
      </c>
      <c r="G8" s="16">
        <f>IFERROR(__xludf.DUMMYFUNCTION("""COMPUTED_VALUE"""),45749.6458333333)</f>
        <v>45749.6458333333</v>
      </c>
      <c r="H8" s="17">
        <f>IFERROR(__xludf.DUMMYFUNCTION("""COMPUTED_VALUE"""),401.8)</f>
        <v>401.8</v>
      </c>
      <c r="I8" s="16">
        <f>IFERROR(__xludf.DUMMYFUNCTION("""COMPUTED_VALUE"""),45749.6458333333)</f>
        <v>45749.6458333333</v>
      </c>
      <c r="J8" s="17">
        <f>IFERROR(__xludf.DUMMYFUNCTION("""COMPUTED_VALUE"""),382.8)</f>
        <v>382.8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IFERROR(__xludf.DUMMYFUNCTION("""COMPUTED_VALUE"""),398.45)</f>
        <v>398.45</v>
      </c>
      <c r="C9" s="16">
        <f>IFERROR(__xludf.DUMMYFUNCTION("""COMPUTED_VALUE"""),45750.6458333333)</f>
        <v>45750.6458333333</v>
      </c>
      <c r="D9" s="17">
        <f>IFERROR(__xludf.DUMMYFUNCTION("""COMPUTED_VALUE"""),394)</f>
        <v>394</v>
      </c>
      <c r="E9" s="16">
        <f>IFERROR(__xludf.DUMMYFUNCTION("""COMPUTED_VALUE"""),45750.6458333333)</f>
        <v>45750.6458333333</v>
      </c>
      <c r="F9" s="17">
        <f>IFERROR(__xludf.DUMMYFUNCTION("""COMPUTED_VALUE"""),1284877)</f>
        <v>1284877</v>
      </c>
      <c r="G9" s="16">
        <f>IFERROR(__xludf.DUMMYFUNCTION("""COMPUTED_VALUE"""),45750.6458333333)</f>
        <v>45750.6458333333</v>
      </c>
      <c r="H9" s="17">
        <f>IFERROR(__xludf.DUMMYFUNCTION("""COMPUTED_VALUE"""),404.25)</f>
        <v>404.25</v>
      </c>
      <c r="I9" s="16">
        <f>IFERROR(__xludf.DUMMYFUNCTION("""COMPUTED_VALUE"""),45750.6458333333)</f>
        <v>45750.6458333333</v>
      </c>
      <c r="J9" s="17">
        <f>IFERROR(__xludf.DUMMYFUNCTION("""COMPUTED_VALUE"""),389)</f>
        <v>389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IFERROR(__xludf.DUMMYFUNCTION("""COMPUTED_VALUE"""),374.05)</f>
        <v>374.05</v>
      </c>
      <c r="C10" s="16">
        <f>IFERROR(__xludf.DUMMYFUNCTION("""COMPUTED_VALUE"""),45751.6458333333)</f>
        <v>45751.6458333333</v>
      </c>
      <c r="D10" s="17">
        <f>IFERROR(__xludf.DUMMYFUNCTION("""COMPUTED_VALUE"""),398.45)</f>
        <v>398.45</v>
      </c>
      <c r="E10" s="16">
        <f>IFERROR(__xludf.DUMMYFUNCTION("""COMPUTED_VALUE"""),45751.6458333333)</f>
        <v>45751.6458333333</v>
      </c>
      <c r="F10" s="17">
        <f>IFERROR(__xludf.DUMMYFUNCTION("""COMPUTED_VALUE"""),2290992)</f>
        <v>2290992</v>
      </c>
      <c r="G10" s="16">
        <f>IFERROR(__xludf.DUMMYFUNCTION("""COMPUTED_VALUE"""),45751.6458333333)</f>
        <v>45751.6458333333</v>
      </c>
      <c r="H10" s="17">
        <f>IFERROR(__xludf.DUMMYFUNCTION("""COMPUTED_VALUE"""),400.35)</f>
        <v>400.35</v>
      </c>
      <c r="I10" s="16">
        <f>IFERROR(__xludf.DUMMYFUNCTION("""COMPUTED_VALUE"""),45751.6458333333)</f>
        <v>45751.6458333333</v>
      </c>
      <c r="J10" s="17">
        <f>IFERROR(__xludf.DUMMYFUNCTION("""COMPUTED_VALUE"""),372)</f>
        <v>372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IFERROR(__xludf.DUMMYFUNCTION("""COMPUTED_VALUE"""),355.1)</f>
        <v>355.1</v>
      </c>
      <c r="C11" s="16">
        <f>IFERROR(__xludf.DUMMYFUNCTION("""COMPUTED_VALUE"""),45754.6458333333)</f>
        <v>45754.6458333333</v>
      </c>
      <c r="D11" s="17">
        <f>IFERROR(__xludf.DUMMYFUNCTION("""COMPUTED_VALUE"""),357.55)</f>
        <v>357.55</v>
      </c>
      <c r="E11" s="16">
        <f>IFERROR(__xludf.DUMMYFUNCTION("""COMPUTED_VALUE"""),45754.6458333333)</f>
        <v>45754.6458333333</v>
      </c>
      <c r="F11" s="17">
        <f>IFERROR(__xludf.DUMMYFUNCTION("""COMPUTED_VALUE"""),2097108)</f>
        <v>2097108</v>
      </c>
      <c r="G11" s="16">
        <f>IFERROR(__xludf.DUMMYFUNCTION("""COMPUTED_VALUE"""),45754.6458333333)</f>
        <v>45754.6458333333</v>
      </c>
      <c r="H11" s="17">
        <f>IFERROR(__xludf.DUMMYFUNCTION("""COMPUTED_VALUE"""),360.75)</f>
        <v>360.75</v>
      </c>
      <c r="I11" s="16">
        <f>IFERROR(__xludf.DUMMYFUNCTION("""COMPUTED_VALUE"""),45754.6458333333)</f>
        <v>45754.6458333333</v>
      </c>
      <c r="J11" s="17">
        <f>IFERROR(__xludf.DUMMYFUNCTION("""COMPUTED_VALUE"""),344.2)</f>
        <v>344.2</v>
      </c>
      <c r="K11" s="3">
        <f t="shared" ref="K11:K125" si="2">IF(B11=MAX(B5:B17),B11,0)</f>
        <v>0</v>
      </c>
      <c r="L11" s="3">
        <f t="shared" ref="L11:L125" si="3">IF(B11=MIN(B5:B17),B11,0)</f>
        <v>355.1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IFERROR(__xludf.DUMMYFUNCTION("""COMPUTED_VALUE"""),364)</f>
        <v>364</v>
      </c>
      <c r="C12" s="16">
        <f>IFERROR(__xludf.DUMMYFUNCTION("""COMPUTED_VALUE"""),45755.6458333333)</f>
        <v>45755.6458333333</v>
      </c>
      <c r="D12" s="17">
        <f>IFERROR(__xludf.DUMMYFUNCTION("""COMPUTED_VALUE"""),364.9)</f>
        <v>364.9</v>
      </c>
      <c r="E12" s="16">
        <f>IFERROR(__xludf.DUMMYFUNCTION("""COMPUTED_VALUE"""),45755.6458333333)</f>
        <v>45755.6458333333</v>
      </c>
      <c r="F12" s="17">
        <f>IFERROR(__xludf.DUMMYFUNCTION("""COMPUTED_VALUE"""),1039376)</f>
        <v>1039376</v>
      </c>
      <c r="G12" s="16">
        <f>IFERROR(__xludf.DUMMYFUNCTION("""COMPUTED_VALUE"""),45755.6458333333)</f>
        <v>45755.6458333333</v>
      </c>
      <c r="H12" s="17">
        <f>IFERROR(__xludf.DUMMYFUNCTION("""COMPUTED_VALUE"""),368)</f>
        <v>368</v>
      </c>
      <c r="I12" s="16">
        <f>IFERROR(__xludf.DUMMYFUNCTION("""COMPUTED_VALUE"""),45755.6458333333)</f>
        <v>45755.6458333333</v>
      </c>
      <c r="J12" s="17">
        <f>IFERROR(__xludf.DUMMYFUNCTION("""COMPUTED_VALUE"""),355.5)</f>
        <v>355.5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IFERROR(__xludf.DUMMYFUNCTION("""COMPUTED_VALUE"""),357.75)</f>
        <v>357.75</v>
      </c>
      <c r="C13" s="16">
        <f>IFERROR(__xludf.DUMMYFUNCTION("""COMPUTED_VALUE"""),45756.6458333333)</f>
        <v>45756.6458333333</v>
      </c>
      <c r="D13" s="17">
        <f>IFERROR(__xludf.DUMMYFUNCTION("""COMPUTED_VALUE"""),364)</f>
        <v>364</v>
      </c>
      <c r="E13" s="16">
        <f>IFERROR(__xludf.DUMMYFUNCTION("""COMPUTED_VALUE"""),45756.6458333333)</f>
        <v>45756.6458333333</v>
      </c>
      <c r="F13" s="17">
        <f>IFERROR(__xludf.DUMMYFUNCTION("""COMPUTED_VALUE"""),655151)</f>
        <v>655151</v>
      </c>
      <c r="G13" s="16">
        <f>IFERROR(__xludf.DUMMYFUNCTION("""COMPUTED_VALUE"""),45756.6458333333)</f>
        <v>45756.6458333333</v>
      </c>
      <c r="H13" s="17">
        <f>IFERROR(__xludf.DUMMYFUNCTION("""COMPUTED_VALUE"""),364.5)</f>
        <v>364.5</v>
      </c>
      <c r="I13" s="16">
        <f>IFERROR(__xludf.DUMMYFUNCTION("""COMPUTED_VALUE"""),45756.6458333333)</f>
        <v>45756.6458333333</v>
      </c>
      <c r="J13" s="17">
        <f>IFERROR(__xludf.DUMMYFUNCTION("""COMPUTED_VALUE"""),354.2)</f>
        <v>354.2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IFERROR(__xludf.DUMMYFUNCTION("""COMPUTED_VALUE"""),382.95)</f>
        <v>382.95</v>
      </c>
      <c r="C14" s="16">
        <f>IFERROR(__xludf.DUMMYFUNCTION("""COMPUTED_VALUE"""),45758.6458333333)</f>
        <v>45758.6458333333</v>
      </c>
      <c r="D14" s="17">
        <f>IFERROR(__xludf.DUMMYFUNCTION("""COMPUTED_VALUE"""),367.05)</f>
        <v>367.05</v>
      </c>
      <c r="E14" s="16">
        <f>IFERROR(__xludf.DUMMYFUNCTION("""COMPUTED_VALUE"""),45758.6458333333)</f>
        <v>45758.6458333333</v>
      </c>
      <c r="F14" s="17">
        <f>IFERROR(__xludf.DUMMYFUNCTION("""COMPUTED_VALUE"""),2925148)</f>
        <v>2925148</v>
      </c>
      <c r="G14" s="16">
        <f>IFERROR(__xludf.DUMMYFUNCTION("""COMPUTED_VALUE"""),45758.6458333333)</f>
        <v>45758.6458333333</v>
      </c>
      <c r="H14" s="17">
        <f>IFERROR(__xludf.DUMMYFUNCTION("""COMPUTED_VALUE"""),387.1)</f>
        <v>387.1</v>
      </c>
      <c r="I14" s="16">
        <f>IFERROR(__xludf.DUMMYFUNCTION("""COMPUTED_VALUE"""),45758.6458333333)</f>
        <v>45758.6458333333</v>
      </c>
      <c r="J14" s="17">
        <f>IFERROR(__xludf.DUMMYFUNCTION("""COMPUTED_VALUE"""),362.8)</f>
        <v>362.8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IFERROR(__xludf.DUMMYFUNCTION("""COMPUTED_VALUE"""),398.35)</f>
        <v>398.35</v>
      </c>
      <c r="C15" s="16">
        <f>IFERROR(__xludf.DUMMYFUNCTION("""COMPUTED_VALUE"""),45762.6458333333)</f>
        <v>45762.6458333333</v>
      </c>
      <c r="D15" s="17">
        <f>IFERROR(__xludf.DUMMYFUNCTION("""COMPUTED_VALUE"""),387.9)</f>
        <v>387.9</v>
      </c>
      <c r="E15" s="16">
        <f>IFERROR(__xludf.DUMMYFUNCTION("""COMPUTED_VALUE"""),45762.6458333333)</f>
        <v>45762.6458333333</v>
      </c>
      <c r="F15" s="17">
        <f>IFERROR(__xludf.DUMMYFUNCTION("""COMPUTED_VALUE"""),2101013)</f>
        <v>2101013</v>
      </c>
      <c r="G15" s="16">
        <f>IFERROR(__xludf.DUMMYFUNCTION("""COMPUTED_VALUE"""),45762.6458333333)</f>
        <v>45762.6458333333</v>
      </c>
      <c r="H15" s="17">
        <f>IFERROR(__xludf.DUMMYFUNCTION("""COMPUTED_VALUE"""),401.5)</f>
        <v>401.5</v>
      </c>
      <c r="I15" s="16">
        <f>IFERROR(__xludf.DUMMYFUNCTION("""COMPUTED_VALUE"""),45762.6458333333)</f>
        <v>45762.6458333333</v>
      </c>
      <c r="J15" s="17">
        <f>IFERROR(__xludf.DUMMYFUNCTION("""COMPUTED_VALUE"""),386.1)</f>
        <v>386.1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IFERROR(__xludf.DUMMYFUNCTION("""COMPUTED_VALUE"""),404.2)</f>
        <v>404.2</v>
      </c>
      <c r="C16" s="16">
        <f>IFERROR(__xludf.DUMMYFUNCTION("""COMPUTED_VALUE"""),45763.6458333333)</f>
        <v>45763.6458333333</v>
      </c>
      <c r="D16" s="17">
        <f>IFERROR(__xludf.DUMMYFUNCTION("""COMPUTED_VALUE"""),399)</f>
        <v>399</v>
      </c>
      <c r="E16" s="16">
        <f>IFERROR(__xludf.DUMMYFUNCTION("""COMPUTED_VALUE"""),45763.6458333333)</f>
        <v>45763.6458333333</v>
      </c>
      <c r="F16" s="17">
        <f>IFERROR(__xludf.DUMMYFUNCTION("""COMPUTED_VALUE"""),1527743)</f>
        <v>1527743</v>
      </c>
      <c r="G16" s="16">
        <f>IFERROR(__xludf.DUMMYFUNCTION("""COMPUTED_VALUE"""),45763.6458333333)</f>
        <v>45763.6458333333</v>
      </c>
      <c r="H16" s="17">
        <f>IFERROR(__xludf.DUMMYFUNCTION("""COMPUTED_VALUE"""),407.8)</f>
        <v>407.8</v>
      </c>
      <c r="I16" s="16">
        <f>IFERROR(__xludf.DUMMYFUNCTION("""COMPUTED_VALUE"""),45763.6458333333)</f>
        <v>45763.6458333333</v>
      </c>
      <c r="J16" s="17">
        <f>IFERROR(__xludf.DUMMYFUNCTION("""COMPUTED_VALUE"""),396.05)</f>
        <v>396.05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IFERROR(__xludf.DUMMYFUNCTION("""COMPUTED_VALUE"""),399.75)</f>
        <v>399.75</v>
      </c>
      <c r="C17" s="16">
        <f>IFERROR(__xludf.DUMMYFUNCTION("""COMPUTED_VALUE"""),45764.6458333333)</f>
        <v>45764.6458333333</v>
      </c>
      <c r="D17" s="17">
        <f>IFERROR(__xludf.DUMMYFUNCTION("""COMPUTED_VALUE"""),402.95)</f>
        <v>402.95</v>
      </c>
      <c r="E17" s="16">
        <f>IFERROR(__xludf.DUMMYFUNCTION("""COMPUTED_VALUE"""),45764.6458333333)</f>
        <v>45764.6458333333</v>
      </c>
      <c r="F17" s="17">
        <f>IFERROR(__xludf.DUMMYFUNCTION("""COMPUTED_VALUE"""),1260779)</f>
        <v>1260779</v>
      </c>
      <c r="G17" s="16">
        <f>IFERROR(__xludf.DUMMYFUNCTION("""COMPUTED_VALUE"""),45764.6458333333)</f>
        <v>45764.6458333333</v>
      </c>
      <c r="H17" s="17">
        <f>IFERROR(__xludf.DUMMYFUNCTION("""COMPUTED_VALUE"""),405.9)</f>
        <v>405.9</v>
      </c>
      <c r="I17" s="16">
        <f>IFERROR(__xludf.DUMMYFUNCTION("""COMPUTED_VALUE"""),45764.6458333333)</f>
        <v>45764.6458333333</v>
      </c>
      <c r="J17" s="17">
        <f>IFERROR(__xludf.DUMMYFUNCTION("""COMPUTED_VALUE"""),398.3)</f>
        <v>398.3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IFERROR(__xludf.DUMMYFUNCTION("""COMPUTED_VALUE"""),421.65)</f>
        <v>421.65</v>
      </c>
      <c r="C18" s="16">
        <f>IFERROR(__xludf.DUMMYFUNCTION("""COMPUTED_VALUE"""),45768.6458333333)</f>
        <v>45768.6458333333</v>
      </c>
      <c r="D18" s="17">
        <f>IFERROR(__xludf.DUMMYFUNCTION("""COMPUTED_VALUE"""),401.1)</f>
        <v>401.1</v>
      </c>
      <c r="E18" s="16">
        <f>IFERROR(__xludf.DUMMYFUNCTION("""COMPUTED_VALUE"""),45768.6458333333)</f>
        <v>45768.6458333333</v>
      </c>
      <c r="F18" s="17">
        <f>IFERROR(__xludf.DUMMYFUNCTION("""COMPUTED_VALUE"""),3765360)</f>
        <v>3765360</v>
      </c>
      <c r="G18" s="16">
        <f>IFERROR(__xludf.DUMMYFUNCTION("""COMPUTED_VALUE"""),45768.6458333333)</f>
        <v>45768.6458333333</v>
      </c>
      <c r="H18" s="17">
        <f>IFERROR(__xludf.DUMMYFUNCTION("""COMPUTED_VALUE"""),426.5)</f>
        <v>426.5</v>
      </c>
      <c r="I18" s="16">
        <f>IFERROR(__xludf.DUMMYFUNCTION("""COMPUTED_VALUE"""),45768.6458333333)</f>
        <v>45768.6458333333</v>
      </c>
      <c r="J18" s="17">
        <f>IFERROR(__xludf.DUMMYFUNCTION("""COMPUTED_VALUE"""),399.05)</f>
        <v>399.05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IFERROR(__xludf.DUMMYFUNCTION("""COMPUTED_VALUE"""),434.15)</f>
        <v>434.15</v>
      </c>
      <c r="C19" s="16">
        <f>IFERROR(__xludf.DUMMYFUNCTION("""COMPUTED_VALUE"""),45769.6458333333)</f>
        <v>45769.6458333333</v>
      </c>
      <c r="D19" s="17">
        <f>IFERROR(__xludf.DUMMYFUNCTION("""COMPUTED_VALUE"""),427)</f>
        <v>427</v>
      </c>
      <c r="E19" s="16">
        <f>IFERROR(__xludf.DUMMYFUNCTION("""COMPUTED_VALUE"""),45769.6458333333)</f>
        <v>45769.6458333333</v>
      </c>
      <c r="F19" s="17">
        <f>IFERROR(__xludf.DUMMYFUNCTION("""COMPUTED_VALUE"""),5603403)</f>
        <v>5603403</v>
      </c>
      <c r="G19" s="16">
        <f>IFERROR(__xludf.DUMMYFUNCTION("""COMPUTED_VALUE"""),45769.6458333333)</f>
        <v>45769.6458333333</v>
      </c>
      <c r="H19" s="17">
        <f>IFERROR(__xludf.DUMMYFUNCTION("""COMPUTED_VALUE"""),444.8)</f>
        <v>444.8</v>
      </c>
      <c r="I19" s="16">
        <f>IFERROR(__xludf.DUMMYFUNCTION("""COMPUTED_VALUE"""),45769.6458333333)</f>
        <v>45769.6458333333</v>
      </c>
      <c r="J19" s="17">
        <f>IFERROR(__xludf.DUMMYFUNCTION("""COMPUTED_VALUE"""),421.95)</f>
        <v>421.95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IFERROR(__xludf.DUMMYFUNCTION("""COMPUTED_VALUE"""),432.85)</f>
        <v>432.85</v>
      </c>
      <c r="C20" s="16">
        <f>IFERROR(__xludf.DUMMYFUNCTION("""COMPUTED_VALUE"""),45770.6458333333)</f>
        <v>45770.6458333333</v>
      </c>
      <c r="D20" s="17">
        <f>IFERROR(__xludf.DUMMYFUNCTION("""COMPUTED_VALUE"""),436.35)</f>
        <v>436.35</v>
      </c>
      <c r="E20" s="16">
        <f>IFERROR(__xludf.DUMMYFUNCTION("""COMPUTED_VALUE"""),45770.6458333333)</f>
        <v>45770.6458333333</v>
      </c>
      <c r="F20" s="17">
        <f>IFERROR(__xludf.DUMMYFUNCTION("""COMPUTED_VALUE"""),1894189)</f>
        <v>1894189</v>
      </c>
      <c r="G20" s="16">
        <f>IFERROR(__xludf.DUMMYFUNCTION("""COMPUTED_VALUE"""),45770.6458333333)</f>
        <v>45770.6458333333</v>
      </c>
      <c r="H20" s="17">
        <f>IFERROR(__xludf.DUMMYFUNCTION("""COMPUTED_VALUE"""),446)</f>
        <v>446</v>
      </c>
      <c r="I20" s="16">
        <f>IFERROR(__xludf.DUMMYFUNCTION("""COMPUTED_VALUE"""),45770.6458333333)</f>
        <v>45770.6458333333</v>
      </c>
      <c r="J20" s="17">
        <f>IFERROR(__xludf.DUMMYFUNCTION("""COMPUTED_VALUE"""),428)</f>
        <v>428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IFERROR(__xludf.DUMMYFUNCTION("""COMPUTED_VALUE"""),442.35)</f>
        <v>442.35</v>
      </c>
      <c r="C21" s="16">
        <f>IFERROR(__xludf.DUMMYFUNCTION("""COMPUTED_VALUE"""),45771.6458333333)</f>
        <v>45771.6458333333</v>
      </c>
      <c r="D21" s="17">
        <f>IFERROR(__xludf.DUMMYFUNCTION("""COMPUTED_VALUE"""),435)</f>
        <v>435</v>
      </c>
      <c r="E21" s="16">
        <f>IFERROR(__xludf.DUMMYFUNCTION("""COMPUTED_VALUE"""),45771.6458333333)</f>
        <v>45771.6458333333</v>
      </c>
      <c r="F21" s="17">
        <f>IFERROR(__xludf.DUMMYFUNCTION("""COMPUTED_VALUE"""),5041220)</f>
        <v>5041220</v>
      </c>
      <c r="G21" s="16">
        <f>IFERROR(__xludf.DUMMYFUNCTION("""COMPUTED_VALUE"""),45771.6458333333)</f>
        <v>45771.6458333333</v>
      </c>
      <c r="H21" s="17">
        <f>IFERROR(__xludf.DUMMYFUNCTION("""COMPUTED_VALUE"""),448.95)</f>
        <v>448.95</v>
      </c>
      <c r="I21" s="16">
        <f>IFERROR(__xludf.DUMMYFUNCTION("""COMPUTED_VALUE"""),45771.6458333333)</f>
        <v>45771.6458333333</v>
      </c>
      <c r="J21" s="17">
        <f>IFERROR(__xludf.DUMMYFUNCTION("""COMPUTED_VALUE"""),433.8)</f>
        <v>433.8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IFERROR(__xludf.DUMMYFUNCTION("""COMPUTED_VALUE"""),428.95)</f>
        <v>428.95</v>
      </c>
      <c r="C22" s="16">
        <f>IFERROR(__xludf.DUMMYFUNCTION("""COMPUTED_VALUE"""),45772.6458333333)</f>
        <v>45772.6458333333</v>
      </c>
      <c r="D22" s="17">
        <f>IFERROR(__xludf.DUMMYFUNCTION("""COMPUTED_VALUE"""),443.4)</f>
        <v>443.4</v>
      </c>
      <c r="E22" s="16">
        <f>IFERROR(__xludf.DUMMYFUNCTION("""COMPUTED_VALUE"""),45772.6458333333)</f>
        <v>45772.6458333333</v>
      </c>
      <c r="F22" s="17">
        <f>IFERROR(__xludf.DUMMYFUNCTION("""COMPUTED_VALUE"""),2779356)</f>
        <v>2779356</v>
      </c>
      <c r="G22" s="16">
        <f>IFERROR(__xludf.DUMMYFUNCTION("""COMPUTED_VALUE"""),45772.6458333333)</f>
        <v>45772.6458333333</v>
      </c>
      <c r="H22" s="17">
        <f>IFERROR(__xludf.DUMMYFUNCTION("""COMPUTED_VALUE"""),448)</f>
        <v>448</v>
      </c>
      <c r="I22" s="16">
        <f>IFERROR(__xludf.DUMMYFUNCTION("""COMPUTED_VALUE"""),45772.6458333333)</f>
        <v>45772.6458333333</v>
      </c>
      <c r="J22" s="17">
        <f>IFERROR(__xludf.DUMMYFUNCTION("""COMPUTED_VALUE"""),420.35)</f>
        <v>420.35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IFERROR(__xludf.DUMMYFUNCTION("""COMPUTED_VALUE"""),433.65)</f>
        <v>433.65</v>
      </c>
      <c r="C23" s="16">
        <f>IFERROR(__xludf.DUMMYFUNCTION("""COMPUTED_VALUE"""),45775.6458333333)</f>
        <v>45775.6458333333</v>
      </c>
      <c r="D23" s="17">
        <f>IFERROR(__xludf.DUMMYFUNCTION("""COMPUTED_VALUE"""),428.95)</f>
        <v>428.95</v>
      </c>
      <c r="E23" s="16">
        <f>IFERROR(__xludf.DUMMYFUNCTION("""COMPUTED_VALUE"""),45775.6458333333)</f>
        <v>45775.6458333333</v>
      </c>
      <c r="F23" s="17">
        <f>IFERROR(__xludf.DUMMYFUNCTION("""COMPUTED_VALUE"""),1034923)</f>
        <v>1034923</v>
      </c>
      <c r="G23" s="16">
        <f>IFERROR(__xludf.DUMMYFUNCTION("""COMPUTED_VALUE"""),45775.6458333333)</f>
        <v>45775.6458333333</v>
      </c>
      <c r="H23" s="17">
        <f>IFERROR(__xludf.DUMMYFUNCTION("""COMPUTED_VALUE"""),435)</f>
        <v>435</v>
      </c>
      <c r="I23" s="16">
        <f>IFERROR(__xludf.DUMMYFUNCTION("""COMPUTED_VALUE"""),45775.6458333333)</f>
        <v>45775.6458333333</v>
      </c>
      <c r="J23" s="17">
        <f>IFERROR(__xludf.DUMMYFUNCTION("""COMPUTED_VALUE"""),423.5)</f>
        <v>423.5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IFERROR(__xludf.DUMMYFUNCTION("""COMPUTED_VALUE"""),430.8)</f>
        <v>430.8</v>
      </c>
      <c r="C24" s="16">
        <f>IFERROR(__xludf.DUMMYFUNCTION("""COMPUTED_VALUE"""),45776.6458333333)</f>
        <v>45776.6458333333</v>
      </c>
      <c r="D24" s="17">
        <f>IFERROR(__xludf.DUMMYFUNCTION("""COMPUTED_VALUE"""),433.9)</f>
        <v>433.9</v>
      </c>
      <c r="E24" s="16">
        <f>IFERROR(__xludf.DUMMYFUNCTION("""COMPUTED_VALUE"""),45776.6458333333)</f>
        <v>45776.6458333333</v>
      </c>
      <c r="F24" s="17">
        <f>IFERROR(__xludf.DUMMYFUNCTION("""COMPUTED_VALUE"""),790637)</f>
        <v>790637</v>
      </c>
      <c r="G24" s="16">
        <f>IFERROR(__xludf.DUMMYFUNCTION("""COMPUTED_VALUE"""),45776.6458333333)</f>
        <v>45776.6458333333</v>
      </c>
      <c r="H24" s="17">
        <f>IFERROR(__xludf.DUMMYFUNCTION("""COMPUTED_VALUE"""),438.35)</f>
        <v>438.35</v>
      </c>
      <c r="I24" s="16">
        <f>IFERROR(__xludf.DUMMYFUNCTION("""COMPUTED_VALUE"""),45776.6458333333)</f>
        <v>45776.6458333333</v>
      </c>
      <c r="J24" s="17">
        <f>IFERROR(__xludf.DUMMYFUNCTION("""COMPUTED_VALUE"""),428)</f>
        <v>428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IFERROR(__xludf.DUMMYFUNCTION("""COMPUTED_VALUE"""),421.25)</f>
        <v>421.25</v>
      </c>
      <c r="C25" s="16">
        <f>IFERROR(__xludf.DUMMYFUNCTION("""COMPUTED_VALUE"""),45777.6458333333)</f>
        <v>45777.6458333333</v>
      </c>
      <c r="D25" s="17">
        <f>IFERROR(__xludf.DUMMYFUNCTION("""COMPUTED_VALUE"""),430)</f>
        <v>430</v>
      </c>
      <c r="E25" s="16">
        <f>IFERROR(__xludf.DUMMYFUNCTION("""COMPUTED_VALUE"""),45777.6458333333)</f>
        <v>45777.6458333333</v>
      </c>
      <c r="F25" s="17">
        <f>IFERROR(__xludf.DUMMYFUNCTION("""COMPUTED_VALUE"""),724695)</f>
        <v>724695</v>
      </c>
      <c r="G25" s="16">
        <f>IFERROR(__xludf.DUMMYFUNCTION("""COMPUTED_VALUE"""),45777.6458333333)</f>
        <v>45777.6458333333</v>
      </c>
      <c r="H25" s="17">
        <f>IFERROR(__xludf.DUMMYFUNCTION("""COMPUTED_VALUE"""),430.65)</f>
        <v>430.65</v>
      </c>
      <c r="I25" s="16">
        <f>IFERROR(__xludf.DUMMYFUNCTION("""COMPUTED_VALUE"""),45777.6458333333)</f>
        <v>45777.6458333333</v>
      </c>
      <c r="J25" s="17">
        <f>IFERROR(__xludf.DUMMYFUNCTION("""COMPUTED_VALUE"""),418.6)</f>
        <v>418.6</v>
      </c>
      <c r="K25" s="3">
        <f t="shared" si="2"/>
        <v>0</v>
      </c>
      <c r="L25" s="3">
        <f t="shared" si="3"/>
        <v>421.25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IFERROR(__xludf.DUMMYFUNCTION("""COMPUTED_VALUE"""),426.65)</f>
        <v>426.65</v>
      </c>
      <c r="C26" s="16">
        <f>IFERROR(__xludf.DUMMYFUNCTION("""COMPUTED_VALUE"""),45779.6458333333)</f>
        <v>45779.6458333333</v>
      </c>
      <c r="D26" s="17">
        <f>IFERROR(__xludf.DUMMYFUNCTION("""COMPUTED_VALUE"""),421.25)</f>
        <v>421.25</v>
      </c>
      <c r="E26" s="16">
        <f>IFERROR(__xludf.DUMMYFUNCTION("""COMPUTED_VALUE"""),45779.6458333333)</f>
        <v>45779.6458333333</v>
      </c>
      <c r="F26" s="17">
        <f>IFERROR(__xludf.DUMMYFUNCTION("""COMPUTED_VALUE"""),715634)</f>
        <v>715634</v>
      </c>
      <c r="G26" s="16">
        <f>IFERROR(__xludf.DUMMYFUNCTION("""COMPUTED_VALUE"""),45779.6458333333)</f>
        <v>45779.6458333333</v>
      </c>
      <c r="H26" s="17">
        <f>IFERROR(__xludf.DUMMYFUNCTION("""COMPUTED_VALUE"""),434.5)</f>
        <v>434.5</v>
      </c>
      <c r="I26" s="16">
        <f>IFERROR(__xludf.DUMMYFUNCTION("""COMPUTED_VALUE"""),45779.6458333333)</f>
        <v>45779.6458333333</v>
      </c>
      <c r="J26" s="17">
        <f>IFERROR(__xludf.DUMMYFUNCTION("""COMPUTED_VALUE"""),420)</f>
        <v>420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IFERROR(__xludf.DUMMYFUNCTION("""COMPUTED_VALUE"""),450.4)</f>
        <v>450.4</v>
      </c>
      <c r="C27" s="16">
        <f>IFERROR(__xludf.DUMMYFUNCTION("""COMPUTED_VALUE"""),45782.6458333333)</f>
        <v>45782.6458333333</v>
      </c>
      <c r="D27" s="17">
        <f>IFERROR(__xludf.DUMMYFUNCTION("""COMPUTED_VALUE"""),426.65)</f>
        <v>426.65</v>
      </c>
      <c r="E27" s="16">
        <f>IFERROR(__xludf.DUMMYFUNCTION("""COMPUTED_VALUE"""),45782.6458333333)</f>
        <v>45782.6458333333</v>
      </c>
      <c r="F27" s="17">
        <f>IFERROR(__xludf.DUMMYFUNCTION("""COMPUTED_VALUE"""),2712717)</f>
        <v>2712717</v>
      </c>
      <c r="G27" s="16">
        <f>IFERROR(__xludf.DUMMYFUNCTION("""COMPUTED_VALUE"""),45782.6458333333)</f>
        <v>45782.6458333333</v>
      </c>
      <c r="H27" s="17">
        <f>IFERROR(__xludf.DUMMYFUNCTION("""COMPUTED_VALUE"""),451.9)</f>
        <v>451.9</v>
      </c>
      <c r="I27" s="16">
        <f>IFERROR(__xludf.DUMMYFUNCTION("""COMPUTED_VALUE"""),45782.6458333333)</f>
        <v>45782.6458333333</v>
      </c>
      <c r="J27" s="17">
        <f>IFERROR(__xludf.DUMMYFUNCTION("""COMPUTED_VALUE"""),424.05)</f>
        <v>424.05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IFERROR(__xludf.DUMMYFUNCTION("""COMPUTED_VALUE"""),435.3)</f>
        <v>435.3</v>
      </c>
      <c r="C28" s="16">
        <f>IFERROR(__xludf.DUMMYFUNCTION("""COMPUTED_VALUE"""),45783.6458333333)</f>
        <v>45783.6458333333</v>
      </c>
      <c r="D28" s="17">
        <f>IFERROR(__xludf.DUMMYFUNCTION("""COMPUTED_VALUE"""),453.1)</f>
        <v>453.1</v>
      </c>
      <c r="E28" s="16">
        <f>IFERROR(__xludf.DUMMYFUNCTION("""COMPUTED_VALUE"""),45783.6458333333)</f>
        <v>45783.6458333333</v>
      </c>
      <c r="F28" s="17">
        <f>IFERROR(__xludf.DUMMYFUNCTION("""COMPUTED_VALUE"""),2324315)</f>
        <v>2324315</v>
      </c>
      <c r="G28" s="16">
        <f>IFERROR(__xludf.DUMMYFUNCTION("""COMPUTED_VALUE"""),45783.6458333333)</f>
        <v>45783.6458333333</v>
      </c>
      <c r="H28" s="17">
        <f>IFERROR(__xludf.DUMMYFUNCTION("""COMPUTED_VALUE"""),453.9)</f>
        <v>453.9</v>
      </c>
      <c r="I28" s="16">
        <f>IFERROR(__xludf.DUMMYFUNCTION("""COMPUTED_VALUE"""),45783.6458333333)</f>
        <v>45783.6458333333</v>
      </c>
      <c r="J28" s="17">
        <f>IFERROR(__xludf.DUMMYFUNCTION("""COMPUTED_VALUE"""),433)</f>
        <v>433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IFERROR(__xludf.DUMMYFUNCTION("""COMPUTED_VALUE"""),458.45)</f>
        <v>458.45</v>
      </c>
      <c r="C29" s="16">
        <f>IFERROR(__xludf.DUMMYFUNCTION("""COMPUTED_VALUE"""),45784.6458333333)</f>
        <v>45784.6458333333</v>
      </c>
      <c r="D29" s="17">
        <f>IFERROR(__xludf.DUMMYFUNCTION("""COMPUTED_VALUE"""),425)</f>
        <v>425</v>
      </c>
      <c r="E29" s="16">
        <f>IFERROR(__xludf.DUMMYFUNCTION("""COMPUTED_VALUE"""),45784.6458333333)</f>
        <v>45784.6458333333</v>
      </c>
      <c r="F29" s="17">
        <f>IFERROR(__xludf.DUMMYFUNCTION("""COMPUTED_VALUE"""),3764138)</f>
        <v>3764138</v>
      </c>
      <c r="G29" s="16">
        <f>IFERROR(__xludf.DUMMYFUNCTION("""COMPUTED_VALUE"""),45784.6458333333)</f>
        <v>45784.6458333333</v>
      </c>
      <c r="H29" s="17">
        <f>IFERROR(__xludf.DUMMYFUNCTION("""COMPUTED_VALUE"""),460.65)</f>
        <v>460.65</v>
      </c>
      <c r="I29" s="16">
        <f>IFERROR(__xludf.DUMMYFUNCTION("""COMPUTED_VALUE"""),45784.6458333333)</f>
        <v>45784.6458333333</v>
      </c>
      <c r="J29" s="17">
        <f>IFERROR(__xludf.DUMMYFUNCTION("""COMPUTED_VALUE"""),425)</f>
        <v>425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IFERROR(__xludf.DUMMYFUNCTION("""COMPUTED_VALUE"""),448.55)</f>
        <v>448.55</v>
      </c>
      <c r="C30" s="16">
        <f>IFERROR(__xludf.DUMMYFUNCTION("""COMPUTED_VALUE"""),45785.6458333333)</f>
        <v>45785.6458333333</v>
      </c>
      <c r="D30" s="17">
        <f>IFERROR(__xludf.DUMMYFUNCTION("""COMPUTED_VALUE"""),458.4)</f>
        <v>458.4</v>
      </c>
      <c r="E30" s="16">
        <f>IFERROR(__xludf.DUMMYFUNCTION("""COMPUTED_VALUE"""),45785.6458333333)</f>
        <v>45785.6458333333</v>
      </c>
      <c r="F30" s="17">
        <f>IFERROR(__xludf.DUMMYFUNCTION("""COMPUTED_VALUE"""),3544523)</f>
        <v>3544523</v>
      </c>
      <c r="G30" s="16">
        <f>IFERROR(__xludf.DUMMYFUNCTION("""COMPUTED_VALUE"""),45785.6458333333)</f>
        <v>45785.6458333333</v>
      </c>
      <c r="H30" s="17">
        <f>IFERROR(__xludf.DUMMYFUNCTION("""COMPUTED_VALUE"""),470.9)</f>
        <v>470.9</v>
      </c>
      <c r="I30" s="16">
        <f>IFERROR(__xludf.DUMMYFUNCTION("""COMPUTED_VALUE"""),45785.6458333333)</f>
        <v>45785.6458333333</v>
      </c>
      <c r="J30" s="17">
        <f>IFERROR(__xludf.DUMMYFUNCTION("""COMPUTED_VALUE"""),440.75)</f>
        <v>440.75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IFERROR(__xludf.DUMMYFUNCTION("""COMPUTED_VALUE"""),451.6)</f>
        <v>451.6</v>
      </c>
      <c r="C31" s="16">
        <f>IFERROR(__xludf.DUMMYFUNCTION("""COMPUTED_VALUE"""),45786.6458333333)</f>
        <v>45786.6458333333</v>
      </c>
      <c r="D31" s="17">
        <f>IFERROR(__xludf.DUMMYFUNCTION("""COMPUTED_VALUE"""),445)</f>
        <v>445</v>
      </c>
      <c r="E31" s="16">
        <f>IFERROR(__xludf.DUMMYFUNCTION("""COMPUTED_VALUE"""),45786.6458333333)</f>
        <v>45786.6458333333</v>
      </c>
      <c r="F31" s="17">
        <f>IFERROR(__xludf.DUMMYFUNCTION("""COMPUTED_VALUE"""),5519330)</f>
        <v>5519330</v>
      </c>
      <c r="G31" s="16">
        <f>IFERROR(__xludf.DUMMYFUNCTION("""COMPUTED_VALUE"""),45786.6458333333)</f>
        <v>45786.6458333333</v>
      </c>
      <c r="H31" s="17">
        <f>IFERROR(__xludf.DUMMYFUNCTION("""COMPUTED_VALUE"""),466.1)</f>
        <v>466.1</v>
      </c>
      <c r="I31" s="16">
        <f>IFERROR(__xludf.DUMMYFUNCTION("""COMPUTED_VALUE"""),45786.6458333333)</f>
        <v>45786.6458333333</v>
      </c>
      <c r="J31" s="17">
        <f>IFERROR(__xludf.DUMMYFUNCTION("""COMPUTED_VALUE"""),437.05)</f>
        <v>437.05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IFERROR(__xludf.DUMMYFUNCTION("""COMPUTED_VALUE"""),468.6)</f>
        <v>468.6</v>
      </c>
      <c r="C32" s="16">
        <f>IFERROR(__xludf.DUMMYFUNCTION("""COMPUTED_VALUE"""),45789.6458333333)</f>
        <v>45789.6458333333</v>
      </c>
      <c r="D32" s="17">
        <f>IFERROR(__xludf.DUMMYFUNCTION("""COMPUTED_VALUE"""),465)</f>
        <v>465</v>
      </c>
      <c r="E32" s="16">
        <f>IFERROR(__xludf.DUMMYFUNCTION("""COMPUTED_VALUE"""),45789.6458333333)</f>
        <v>45789.6458333333</v>
      </c>
      <c r="F32" s="17">
        <f>IFERROR(__xludf.DUMMYFUNCTION("""COMPUTED_VALUE"""),2303132)</f>
        <v>2303132</v>
      </c>
      <c r="G32" s="16">
        <f>IFERROR(__xludf.DUMMYFUNCTION("""COMPUTED_VALUE"""),45789.6458333333)</f>
        <v>45789.6458333333</v>
      </c>
      <c r="H32" s="17">
        <f>IFERROR(__xludf.DUMMYFUNCTION("""COMPUTED_VALUE"""),470.75)</f>
        <v>470.75</v>
      </c>
      <c r="I32" s="16">
        <f>IFERROR(__xludf.DUMMYFUNCTION("""COMPUTED_VALUE"""),45789.6458333333)</f>
        <v>45789.6458333333</v>
      </c>
      <c r="J32" s="17">
        <f>IFERROR(__xludf.DUMMYFUNCTION("""COMPUTED_VALUE"""),457)</f>
        <v>457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IFERROR(__xludf.DUMMYFUNCTION("""COMPUTED_VALUE"""),466.7)</f>
        <v>466.7</v>
      </c>
      <c r="C33" s="16">
        <f>IFERROR(__xludf.DUMMYFUNCTION("""COMPUTED_VALUE"""),45790.6458333333)</f>
        <v>45790.6458333333</v>
      </c>
      <c r="D33" s="17">
        <f>IFERROR(__xludf.DUMMYFUNCTION("""COMPUTED_VALUE"""),469.55)</f>
        <v>469.55</v>
      </c>
      <c r="E33" s="16">
        <f>IFERROR(__xludf.DUMMYFUNCTION("""COMPUTED_VALUE"""),45790.6458333333)</f>
        <v>45790.6458333333</v>
      </c>
      <c r="F33" s="17">
        <f>IFERROR(__xludf.DUMMYFUNCTION("""COMPUTED_VALUE"""),1879645)</f>
        <v>1879645</v>
      </c>
      <c r="G33" s="16">
        <f>IFERROR(__xludf.DUMMYFUNCTION("""COMPUTED_VALUE"""),45790.6458333333)</f>
        <v>45790.6458333333</v>
      </c>
      <c r="H33" s="17">
        <f>IFERROR(__xludf.DUMMYFUNCTION("""COMPUTED_VALUE"""),473.15)</f>
        <v>473.15</v>
      </c>
      <c r="I33" s="16">
        <f>IFERROR(__xludf.DUMMYFUNCTION("""COMPUTED_VALUE"""),45790.6458333333)</f>
        <v>45790.6458333333</v>
      </c>
      <c r="J33" s="17">
        <f>IFERROR(__xludf.DUMMYFUNCTION("""COMPUTED_VALUE"""),461)</f>
        <v>461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IFERROR(__xludf.DUMMYFUNCTION("""COMPUTED_VALUE"""),464)</f>
        <v>464</v>
      </c>
      <c r="C34" s="16">
        <f>IFERROR(__xludf.DUMMYFUNCTION("""COMPUTED_VALUE"""),45791.6458333333)</f>
        <v>45791.6458333333</v>
      </c>
      <c r="D34" s="17">
        <f>IFERROR(__xludf.DUMMYFUNCTION("""COMPUTED_VALUE"""),468)</f>
        <v>468</v>
      </c>
      <c r="E34" s="16">
        <f>IFERROR(__xludf.DUMMYFUNCTION("""COMPUTED_VALUE"""),45791.6458333333)</f>
        <v>45791.6458333333</v>
      </c>
      <c r="F34" s="17">
        <f>IFERROR(__xludf.DUMMYFUNCTION("""COMPUTED_VALUE"""),941511)</f>
        <v>941511</v>
      </c>
      <c r="G34" s="16">
        <f>IFERROR(__xludf.DUMMYFUNCTION("""COMPUTED_VALUE"""),45791.6458333333)</f>
        <v>45791.6458333333</v>
      </c>
      <c r="H34" s="17">
        <f>IFERROR(__xludf.DUMMYFUNCTION("""COMPUTED_VALUE"""),471.05)</f>
        <v>471.05</v>
      </c>
      <c r="I34" s="16">
        <f>IFERROR(__xludf.DUMMYFUNCTION("""COMPUTED_VALUE"""),45791.6458333333)</f>
        <v>45791.6458333333</v>
      </c>
      <c r="J34" s="17">
        <f>IFERROR(__xludf.DUMMYFUNCTION("""COMPUTED_VALUE"""),462)</f>
        <v>462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IFERROR(__xludf.DUMMYFUNCTION("""COMPUTED_VALUE"""),464)</f>
        <v>464</v>
      </c>
      <c r="C35" s="16">
        <f>IFERROR(__xludf.DUMMYFUNCTION("""COMPUTED_VALUE"""),45792.6458333333)</f>
        <v>45792.6458333333</v>
      </c>
      <c r="D35" s="17">
        <f>IFERROR(__xludf.DUMMYFUNCTION("""COMPUTED_VALUE"""),464)</f>
        <v>464</v>
      </c>
      <c r="E35" s="16">
        <f>IFERROR(__xludf.DUMMYFUNCTION("""COMPUTED_VALUE"""),45792.6458333333)</f>
        <v>45792.6458333333</v>
      </c>
      <c r="F35" s="17">
        <f>IFERROR(__xludf.DUMMYFUNCTION("""COMPUTED_VALUE"""),1509409)</f>
        <v>1509409</v>
      </c>
      <c r="G35" s="16">
        <f>IFERROR(__xludf.DUMMYFUNCTION("""COMPUTED_VALUE"""),45792.6458333333)</f>
        <v>45792.6458333333</v>
      </c>
      <c r="H35" s="17">
        <f>IFERROR(__xludf.DUMMYFUNCTION("""COMPUTED_VALUE"""),471.2)</f>
        <v>471.2</v>
      </c>
      <c r="I35" s="16">
        <f>IFERROR(__xludf.DUMMYFUNCTION("""COMPUTED_VALUE"""),45792.6458333333)</f>
        <v>45792.6458333333</v>
      </c>
      <c r="J35" s="17">
        <f>IFERROR(__xludf.DUMMYFUNCTION("""COMPUTED_VALUE"""),461.1)</f>
        <v>461.1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IFERROR(__xludf.DUMMYFUNCTION("""COMPUTED_VALUE"""),474.65)</f>
        <v>474.65</v>
      </c>
      <c r="C36" s="16">
        <f>IFERROR(__xludf.DUMMYFUNCTION("""COMPUTED_VALUE"""),45793.6458333333)</f>
        <v>45793.6458333333</v>
      </c>
      <c r="D36" s="17">
        <f>IFERROR(__xludf.DUMMYFUNCTION("""COMPUTED_VALUE"""),464.1)</f>
        <v>464.1</v>
      </c>
      <c r="E36" s="16">
        <f>IFERROR(__xludf.DUMMYFUNCTION("""COMPUTED_VALUE"""),45793.6458333333)</f>
        <v>45793.6458333333</v>
      </c>
      <c r="F36" s="17">
        <f>IFERROR(__xludf.DUMMYFUNCTION("""COMPUTED_VALUE"""),2240283)</f>
        <v>2240283</v>
      </c>
      <c r="G36" s="16">
        <f>IFERROR(__xludf.DUMMYFUNCTION("""COMPUTED_VALUE"""),45793.6458333333)</f>
        <v>45793.6458333333</v>
      </c>
      <c r="H36" s="17">
        <f>IFERROR(__xludf.DUMMYFUNCTION("""COMPUTED_VALUE"""),476.7)</f>
        <v>476.7</v>
      </c>
      <c r="I36" s="16">
        <f>IFERROR(__xludf.DUMMYFUNCTION("""COMPUTED_VALUE"""),45793.6458333333)</f>
        <v>45793.6458333333</v>
      </c>
      <c r="J36" s="17">
        <f>IFERROR(__xludf.DUMMYFUNCTION("""COMPUTED_VALUE"""),461.45)</f>
        <v>461.45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IFERROR(__xludf.DUMMYFUNCTION("""COMPUTED_VALUE"""),486.75)</f>
        <v>486.75</v>
      </c>
      <c r="C37" s="16">
        <f>IFERROR(__xludf.DUMMYFUNCTION("""COMPUTED_VALUE"""),45796.6458333333)</f>
        <v>45796.6458333333</v>
      </c>
      <c r="D37" s="17">
        <f>IFERROR(__xludf.DUMMYFUNCTION("""COMPUTED_VALUE"""),474.65)</f>
        <v>474.65</v>
      </c>
      <c r="E37" s="16">
        <f>IFERROR(__xludf.DUMMYFUNCTION("""COMPUTED_VALUE"""),45796.6458333333)</f>
        <v>45796.6458333333</v>
      </c>
      <c r="F37" s="17">
        <f>IFERROR(__xludf.DUMMYFUNCTION("""COMPUTED_VALUE"""),3191344)</f>
        <v>3191344</v>
      </c>
      <c r="G37" s="16">
        <f>IFERROR(__xludf.DUMMYFUNCTION("""COMPUTED_VALUE"""),45796.6458333333)</f>
        <v>45796.6458333333</v>
      </c>
      <c r="H37" s="17">
        <f>IFERROR(__xludf.DUMMYFUNCTION("""COMPUTED_VALUE"""),492.25)</f>
        <v>492.25</v>
      </c>
      <c r="I37" s="16">
        <f>IFERROR(__xludf.DUMMYFUNCTION("""COMPUTED_VALUE"""),45796.6458333333)</f>
        <v>45796.6458333333</v>
      </c>
      <c r="J37" s="17">
        <f>IFERROR(__xludf.DUMMYFUNCTION("""COMPUTED_VALUE"""),473)</f>
        <v>473</v>
      </c>
      <c r="K37" s="3">
        <f t="shared" si="2"/>
        <v>486.75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IFERROR(__xludf.DUMMYFUNCTION("""COMPUTED_VALUE"""),472.2)</f>
        <v>472.2</v>
      </c>
      <c r="C38" s="16">
        <f>IFERROR(__xludf.DUMMYFUNCTION("""COMPUTED_VALUE"""),45797.6458333333)</f>
        <v>45797.6458333333</v>
      </c>
      <c r="D38" s="17">
        <f>IFERROR(__xludf.DUMMYFUNCTION("""COMPUTED_VALUE"""),490)</f>
        <v>490</v>
      </c>
      <c r="E38" s="16">
        <f>IFERROR(__xludf.DUMMYFUNCTION("""COMPUTED_VALUE"""),45797.6458333333)</f>
        <v>45797.6458333333</v>
      </c>
      <c r="F38" s="17">
        <f>IFERROR(__xludf.DUMMYFUNCTION("""COMPUTED_VALUE"""),1763462)</f>
        <v>1763462</v>
      </c>
      <c r="G38" s="16">
        <f>IFERROR(__xludf.DUMMYFUNCTION("""COMPUTED_VALUE"""),45797.6458333333)</f>
        <v>45797.6458333333</v>
      </c>
      <c r="H38" s="17">
        <f>IFERROR(__xludf.DUMMYFUNCTION("""COMPUTED_VALUE"""),492.9)</f>
        <v>492.9</v>
      </c>
      <c r="I38" s="16">
        <f>IFERROR(__xludf.DUMMYFUNCTION("""COMPUTED_VALUE"""),45797.6458333333)</f>
        <v>45797.6458333333</v>
      </c>
      <c r="J38" s="17">
        <f>IFERROR(__xludf.DUMMYFUNCTION("""COMPUTED_VALUE"""),470.5)</f>
        <v>470.5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IFERROR(__xludf.DUMMYFUNCTION("""COMPUTED_VALUE"""),468.8)</f>
        <v>468.8</v>
      </c>
      <c r="C39" s="16">
        <f>IFERROR(__xludf.DUMMYFUNCTION("""COMPUTED_VALUE"""),45798.6458333333)</f>
        <v>45798.6458333333</v>
      </c>
      <c r="D39" s="17">
        <f>IFERROR(__xludf.DUMMYFUNCTION("""COMPUTED_VALUE"""),472.8)</f>
        <v>472.8</v>
      </c>
      <c r="E39" s="16">
        <f>IFERROR(__xludf.DUMMYFUNCTION("""COMPUTED_VALUE"""),45798.6458333333)</f>
        <v>45798.6458333333</v>
      </c>
      <c r="F39" s="17">
        <f>IFERROR(__xludf.DUMMYFUNCTION("""COMPUTED_VALUE"""),851201)</f>
        <v>851201</v>
      </c>
      <c r="G39" s="16">
        <f>IFERROR(__xludf.DUMMYFUNCTION("""COMPUTED_VALUE"""),45798.6458333333)</f>
        <v>45798.6458333333</v>
      </c>
      <c r="H39" s="17">
        <f>IFERROR(__xludf.DUMMYFUNCTION("""COMPUTED_VALUE"""),477)</f>
        <v>477</v>
      </c>
      <c r="I39" s="16">
        <f>IFERROR(__xludf.DUMMYFUNCTION("""COMPUTED_VALUE"""),45798.6458333333)</f>
        <v>45798.6458333333</v>
      </c>
      <c r="J39" s="17">
        <f>IFERROR(__xludf.DUMMYFUNCTION("""COMPUTED_VALUE"""),465)</f>
        <v>465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IFERROR(__xludf.DUMMYFUNCTION("""COMPUTED_VALUE"""),468.85)</f>
        <v>468.85</v>
      </c>
      <c r="C40" s="16">
        <f>IFERROR(__xludf.DUMMYFUNCTION("""COMPUTED_VALUE"""),45799.6458333333)</f>
        <v>45799.6458333333</v>
      </c>
      <c r="D40" s="17">
        <f>IFERROR(__xludf.DUMMYFUNCTION("""COMPUTED_VALUE"""),468.9)</f>
        <v>468.9</v>
      </c>
      <c r="E40" s="16">
        <f>IFERROR(__xludf.DUMMYFUNCTION("""COMPUTED_VALUE"""),45799.6458333333)</f>
        <v>45799.6458333333</v>
      </c>
      <c r="F40" s="17">
        <f>IFERROR(__xludf.DUMMYFUNCTION("""COMPUTED_VALUE"""),1196191)</f>
        <v>1196191</v>
      </c>
      <c r="G40" s="16">
        <f>IFERROR(__xludf.DUMMYFUNCTION("""COMPUTED_VALUE"""),45799.6458333333)</f>
        <v>45799.6458333333</v>
      </c>
      <c r="H40" s="17">
        <f>IFERROR(__xludf.DUMMYFUNCTION("""COMPUTED_VALUE"""),472.75)</f>
        <v>472.75</v>
      </c>
      <c r="I40" s="16">
        <f>IFERROR(__xludf.DUMMYFUNCTION("""COMPUTED_VALUE"""),45799.6458333333)</f>
        <v>45799.6458333333</v>
      </c>
      <c r="J40" s="17">
        <f>IFERROR(__xludf.DUMMYFUNCTION("""COMPUTED_VALUE"""),464.2)</f>
        <v>464.2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IFERROR(__xludf.DUMMYFUNCTION("""COMPUTED_VALUE"""),469.3)</f>
        <v>469.3</v>
      </c>
      <c r="C41" s="16">
        <f>IFERROR(__xludf.DUMMYFUNCTION("""COMPUTED_VALUE"""),45800.6458333333)</f>
        <v>45800.6458333333</v>
      </c>
      <c r="D41" s="17">
        <f>IFERROR(__xludf.DUMMYFUNCTION("""COMPUTED_VALUE"""),469)</f>
        <v>469</v>
      </c>
      <c r="E41" s="16">
        <f>IFERROR(__xludf.DUMMYFUNCTION("""COMPUTED_VALUE"""),45800.6458333333)</f>
        <v>45800.6458333333</v>
      </c>
      <c r="F41" s="17">
        <f>IFERROR(__xludf.DUMMYFUNCTION("""COMPUTED_VALUE"""),752133)</f>
        <v>752133</v>
      </c>
      <c r="G41" s="16">
        <f>IFERROR(__xludf.DUMMYFUNCTION("""COMPUTED_VALUE"""),45800.6458333333)</f>
        <v>45800.6458333333</v>
      </c>
      <c r="H41" s="17">
        <f>IFERROR(__xludf.DUMMYFUNCTION("""COMPUTED_VALUE"""),473.6)</f>
        <v>473.6</v>
      </c>
      <c r="I41" s="16">
        <f>IFERROR(__xludf.DUMMYFUNCTION("""COMPUTED_VALUE"""),45800.6458333333)</f>
        <v>45800.6458333333</v>
      </c>
      <c r="J41" s="17">
        <f>IFERROR(__xludf.DUMMYFUNCTION("""COMPUTED_VALUE"""),465.25)</f>
        <v>465.25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IFERROR(__xludf.DUMMYFUNCTION("""COMPUTED_VALUE"""),468.1)</f>
        <v>468.1</v>
      </c>
      <c r="C42" s="16">
        <f>IFERROR(__xludf.DUMMYFUNCTION("""COMPUTED_VALUE"""),45803.6458333333)</f>
        <v>45803.6458333333</v>
      </c>
      <c r="D42" s="17">
        <f>IFERROR(__xludf.DUMMYFUNCTION("""COMPUTED_VALUE"""),470)</f>
        <v>470</v>
      </c>
      <c r="E42" s="16">
        <f>IFERROR(__xludf.DUMMYFUNCTION("""COMPUTED_VALUE"""),45803.6458333333)</f>
        <v>45803.6458333333</v>
      </c>
      <c r="F42" s="17">
        <f>IFERROR(__xludf.DUMMYFUNCTION("""COMPUTED_VALUE"""),846411)</f>
        <v>846411</v>
      </c>
      <c r="G42" s="16">
        <f>IFERROR(__xludf.DUMMYFUNCTION("""COMPUTED_VALUE"""),45803.6458333333)</f>
        <v>45803.6458333333</v>
      </c>
      <c r="H42" s="17">
        <f>IFERROR(__xludf.DUMMYFUNCTION("""COMPUTED_VALUE"""),473.35)</f>
        <v>473.35</v>
      </c>
      <c r="I42" s="16">
        <f>IFERROR(__xludf.DUMMYFUNCTION("""COMPUTED_VALUE"""),45803.6458333333)</f>
        <v>45803.6458333333</v>
      </c>
      <c r="J42" s="17">
        <f>IFERROR(__xludf.DUMMYFUNCTION("""COMPUTED_VALUE"""),466.15)</f>
        <v>466.15</v>
      </c>
      <c r="K42" s="3">
        <f t="shared" si="2"/>
        <v>0</v>
      </c>
      <c r="L42" s="3">
        <f t="shared" si="3"/>
        <v>468.1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IFERROR(__xludf.DUMMYFUNCTION("""COMPUTED_VALUE"""),478.45)</f>
        <v>478.45</v>
      </c>
      <c r="C43" s="16">
        <f>IFERROR(__xludf.DUMMYFUNCTION("""COMPUTED_VALUE"""),45804.6458333333)</f>
        <v>45804.6458333333</v>
      </c>
      <c r="D43" s="17">
        <f>IFERROR(__xludf.DUMMYFUNCTION("""COMPUTED_VALUE"""),468.35)</f>
        <v>468.35</v>
      </c>
      <c r="E43" s="16">
        <f>IFERROR(__xludf.DUMMYFUNCTION("""COMPUTED_VALUE"""),45804.6458333333)</f>
        <v>45804.6458333333</v>
      </c>
      <c r="F43" s="17">
        <f>IFERROR(__xludf.DUMMYFUNCTION("""COMPUTED_VALUE"""),1683772)</f>
        <v>1683772</v>
      </c>
      <c r="G43" s="16">
        <f>IFERROR(__xludf.DUMMYFUNCTION("""COMPUTED_VALUE"""),45804.6458333333)</f>
        <v>45804.6458333333</v>
      </c>
      <c r="H43" s="17">
        <f>IFERROR(__xludf.DUMMYFUNCTION("""COMPUTED_VALUE"""),481.5)</f>
        <v>481.5</v>
      </c>
      <c r="I43" s="16">
        <f>IFERROR(__xludf.DUMMYFUNCTION("""COMPUTED_VALUE"""),45804.6458333333)</f>
        <v>45804.6458333333</v>
      </c>
      <c r="J43" s="17">
        <f>IFERROR(__xludf.DUMMYFUNCTION("""COMPUTED_VALUE"""),464)</f>
        <v>464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IFERROR(__xludf.DUMMYFUNCTION("""COMPUTED_VALUE"""),478.95)</f>
        <v>478.95</v>
      </c>
      <c r="C44" s="16">
        <f>IFERROR(__xludf.DUMMYFUNCTION("""COMPUTED_VALUE"""),45805.6458333333)</f>
        <v>45805.6458333333</v>
      </c>
      <c r="D44" s="17">
        <f>IFERROR(__xludf.DUMMYFUNCTION("""COMPUTED_VALUE"""),490)</f>
        <v>490</v>
      </c>
      <c r="E44" s="16">
        <f>IFERROR(__xludf.DUMMYFUNCTION("""COMPUTED_VALUE"""),45805.6458333333)</f>
        <v>45805.6458333333</v>
      </c>
      <c r="F44" s="17">
        <f>IFERROR(__xludf.DUMMYFUNCTION("""COMPUTED_VALUE"""),4014668)</f>
        <v>4014668</v>
      </c>
      <c r="G44" s="16">
        <f>IFERROR(__xludf.DUMMYFUNCTION("""COMPUTED_VALUE"""),45805.6458333333)</f>
        <v>45805.6458333333</v>
      </c>
      <c r="H44" s="17">
        <f>IFERROR(__xludf.DUMMYFUNCTION("""COMPUTED_VALUE"""),495)</f>
        <v>495</v>
      </c>
      <c r="I44" s="16">
        <f>IFERROR(__xludf.DUMMYFUNCTION("""COMPUTED_VALUE"""),45805.6458333333)</f>
        <v>45805.6458333333</v>
      </c>
      <c r="J44" s="17">
        <f>IFERROR(__xludf.DUMMYFUNCTION("""COMPUTED_VALUE"""),476.05)</f>
        <v>476.05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IFERROR(__xludf.DUMMYFUNCTION("""COMPUTED_VALUE"""),480)</f>
        <v>480</v>
      </c>
      <c r="C45" s="16">
        <f>IFERROR(__xludf.DUMMYFUNCTION("""COMPUTED_VALUE"""),45806.6458333333)</f>
        <v>45806.6458333333</v>
      </c>
      <c r="D45" s="17">
        <f>IFERROR(__xludf.DUMMYFUNCTION("""COMPUTED_VALUE"""),479.9)</f>
        <v>479.9</v>
      </c>
      <c r="E45" s="16">
        <f>IFERROR(__xludf.DUMMYFUNCTION("""COMPUTED_VALUE"""),45806.6458333333)</f>
        <v>45806.6458333333</v>
      </c>
      <c r="F45" s="17">
        <f>IFERROR(__xludf.DUMMYFUNCTION("""COMPUTED_VALUE"""),1273200)</f>
        <v>1273200</v>
      </c>
      <c r="G45" s="16">
        <f>IFERROR(__xludf.DUMMYFUNCTION("""COMPUTED_VALUE"""),45806.6458333333)</f>
        <v>45806.6458333333</v>
      </c>
      <c r="H45" s="17">
        <f>IFERROR(__xludf.DUMMYFUNCTION("""COMPUTED_VALUE"""),482.9)</f>
        <v>482.9</v>
      </c>
      <c r="I45" s="16">
        <f>IFERROR(__xludf.DUMMYFUNCTION("""COMPUTED_VALUE"""),45806.6458333333)</f>
        <v>45806.6458333333</v>
      </c>
      <c r="J45" s="17">
        <f>IFERROR(__xludf.DUMMYFUNCTION("""COMPUTED_VALUE"""),475.45)</f>
        <v>475.45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IFERROR(__xludf.DUMMYFUNCTION("""COMPUTED_VALUE"""),469.25)</f>
        <v>469.25</v>
      </c>
      <c r="C46" s="16">
        <f>IFERROR(__xludf.DUMMYFUNCTION("""COMPUTED_VALUE"""),45807.6458333333)</f>
        <v>45807.6458333333</v>
      </c>
      <c r="D46" s="17">
        <f>IFERROR(__xludf.DUMMYFUNCTION("""COMPUTED_VALUE"""),480)</f>
        <v>480</v>
      </c>
      <c r="E46" s="16">
        <f>IFERROR(__xludf.DUMMYFUNCTION("""COMPUTED_VALUE"""),45807.6458333333)</f>
        <v>45807.6458333333</v>
      </c>
      <c r="F46" s="17">
        <f>IFERROR(__xludf.DUMMYFUNCTION("""COMPUTED_VALUE"""),917138)</f>
        <v>917138</v>
      </c>
      <c r="G46" s="16">
        <f>IFERROR(__xludf.DUMMYFUNCTION("""COMPUTED_VALUE"""),45807.6458333333)</f>
        <v>45807.6458333333</v>
      </c>
      <c r="H46" s="17">
        <f>IFERROR(__xludf.DUMMYFUNCTION("""COMPUTED_VALUE"""),483.45)</f>
        <v>483.45</v>
      </c>
      <c r="I46" s="16">
        <f>IFERROR(__xludf.DUMMYFUNCTION("""COMPUTED_VALUE"""),45807.6458333333)</f>
        <v>45807.6458333333</v>
      </c>
      <c r="J46" s="17">
        <f>IFERROR(__xludf.DUMMYFUNCTION("""COMPUTED_VALUE"""),466.9)</f>
        <v>466.9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IFERROR(__xludf.DUMMYFUNCTION("""COMPUTED_VALUE"""),470.65)</f>
        <v>470.65</v>
      </c>
      <c r="C47" s="16">
        <f>IFERROR(__xludf.DUMMYFUNCTION("""COMPUTED_VALUE"""),45810.6458333333)</f>
        <v>45810.6458333333</v>
      </c>
      <c r="D47" s="17">
        <f>IFERROR(__xludf.DUMMYFUNCTION("""COMPUTED_VALUE"""),470)</f>
        <v>470</v>
      </c>
      <c r="E47" s="16">
        <f>IFERROR(__xludf.DUMMYFUNCTION("""COMPUTED_VALUE"""),45810.6458333333)</f>
        <v>45810.6458333333</v>
      </c>
      <c r="F47" s="17">
        <f>IFERROR(__xludf.DUMMYFUNCTION("""COMPUTED_VALUE"""),755485)</f>
        <v>755485</v>
      </c>
      <c r="G47" s="16">
        <f>IFERROR(__xludf.DUMMYFUNCTION("""COMPUTED_VALUE"""),45810.6458333333)</f>
        <v>45810.6458333333</v>
      </c>
      <c r="H47" s="17">
        <f>IFERROR(__xludf.DUMMYFUNCTION("""COMPUTED_VALUE"""),472.85)</f>
        <v>472.85</v>
      </c>
      <c r="I47" s="16">
        <f>IFERROR(__xludf.DUMMYFUNCTION("""COMPUTED_VALUE"""),45810.6458333333)</f>
        <v>45810.6458333333</v>
      </c>
      <c r="J47" s="17">
        <f>IFERROR(__xludf.DUMMYFUNCTION("""COMPUTED_VALUE"""),463.25)</f>
        <v>463.25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IFERROR(__xludf.DUMMYFUNCTION("""COMPUTED_VALUE"""),470.6)</f>
        <v>470.6</v>
      </c>
      <c r="C48" s="16">
        <f>IFERROR(__xludf.DUMMYFUNCTION("""COMPUTED_VALUE"""),45811.6458333333)</f>
        <v>45811.6458333333</v>
      </c>
      <c r="D48" s="17">
        <f>IFERROR(__xludf.DUMMYFUNCTION("""COMPUTED_VALUE"""),472)</f>
        <v>472</v>
      </c>
      <c r="E48" s="16">
        <f>IFERROR(__xludf.DUMMYFUNCTION("""COMPUTED_VALUE"""),45811.6458333333)</f>
        <v>45811.6458333333</v>
      </c>
      <c r="F48" s="17">
        <f>IFERROR(__xludf.DUMMYFUNCTION("""COMPUTED_VALUE"""),810870)</f>
        <v>810870</v>
      </c>
      <c r="G48" s="16">
        <f>IFERROR(__xludf.DUMMYFUNCTION("""COMPUTED_VALUE"""),45811.6458333333)</f>
        <v>45811.6458333333</v>
      </c>
      <c r="H48" s="17">
        <f>IFERROR(__xludf.DUMMYFUNCTION("""COMPUTED_VALUE"""),480)</f>
        <v>480</v>
      </c>
      <c r="I48" s="16">
        <f>IFERROR(__xludf.DUMMYFUNCTION("""COMPUTED_VALUE"""),45811.6458333333)</f>
        <v>45811.6458333333</v>
      </c>
      <c r="J48" s="17">
        <f>IFERROR(__xludf.DUMMYFUNCTION("""COMPUTED_VALUE"""),469.55)</f>
        <v>469.55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IFERROR(__xludf.DUMMYFUNCTION("""COMPUTED_VALUE"""),481.4)</f>
        <v>481.4</v>
      </c>
      <c r="C49" s="16">
        <f>IFERROR(__xludf.DUMMYFUNCTION("""COMPUTED_VALUE"""),45812.6458333333)</f>
        <v>45812.6458333333</v>
      </c>
      <c r="D49" s="17">
        <f>IFERROR(__xludf.DUMMYFUNCTION("""COMPUTED_VALUE"""),472.65)</f>
        <v>472.65</v>
      </c>
      <c r="E49" s="16">
        <f>IFERROR(__xludf.DUMMYFUNCTION("""COMPUTED_VALUE"""),45812.6458333333)</f>
        <v>45812.6458333333</v>
      </c>
      <c r="F49" s="17">
        <f>IFERROR(__xludf.DUMMYFUNCTION("""COMPUTED_VALUE"""),1619374)</f>
        <v>1619374</v>
      </c>
      <c r="G49" s="16">
        <f>IFERROR(__xludf.DUMMYFUNCTION("""COMPUTED_VALUE"""),45812.6458333333)</f>
        <v>45812.6458333333</v>
      </c>
      <c r="H49" s="17">
        <f>IFERROR(__xludf.DUMMYFUNCTION("""COMPUTED_VALUE"""),483.95)</f>
        <v>483.95</v>
      </c>
      <c r="I49" s="16">
        <f>IFERROR(__xludf.DUMMYFUNCTION("""COMPUTED_VALUE"""),45812.6458333333)</f>
        <v>45812.6458333333</v>
      </c>
      <c r="J49" s="17">
        <f>IFERROR(__xludf.DUMMYFUNCTION("""COMPUTED_VALUE"""),468.3)</f>
        <v>468.3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IFERROR(__xludf.DUMMYFUNCTION("""COMPUTED_VALUE"""),481.65)</f>
        <v>481.65</v>
      </c>
      <c r="C50" s="16">
        <f>IFERROR(__xludf.DUMMYFUNCTION("""COMPUTED_VALUE"""),45813.6458333333)</f>
        <v>45813.6458333333</v>
      </c>
      <c r="D50" s="17">
        <f>IFERROR(__xludf.DUMMYFUNCTION("""COMPUTED_VALUE"""),487)</f>
        <v>487</v>
      </c>
      <c r="E50" s="16">
        <f>IFERROR(__xludf.DUMMYFUNCTION("""COMPUTED_VALUE"""),45813.6458333333)</f>
        <v>45813.6458333333</v>
      </c>
      <c r="F50" s="17">
        <f>IFERROR(__xludf.DUMMYFUNCTION("""COMPUTED_VALUE"""),1580850)</f>
        <v>1580850</v>
      </c>
      <c r="G50" s="16">
        <f>IFERROR(__xludf.DUMMYFUNCTION("""COMPUTED_VALUE"""),45813.6458333333)</f>
        <v>45813.6458333333</v>
      </c>
      <c r="H50" s="17">
        <f>IFERROR(__xludf.DUMMYFUNCTION("""COMPUTED_VALUE"""),490.05)</f>
        <v>490.05</v>
      </c>
      <c r="I50" s="16">
        <f>IFERROR(__xludf.DUMMYFUNCTION("""COMPUTED_VALUE"""),45813.6458333333)</f>
        <v>45813.6458333333</v>
      </c>
      <c r="J50" s="17">
        <f>IFERROR(__xludf.DUMMYFUNCTION("""COMPUTED_VALUE"""),477.45)</f>
        <v>477.45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IFERROR(__xludf.DUMMYFUNCTION("""COMPUTED_VALUE"""),476.85)</f>
        <v>476.85</v>
      </c>
      <c r="C51" s="16">
        <f>IFERROR(__xludf.DUMMYFUNCTION("""COMPUTED_VALUE"""),45814.6458333333)</f>
        <v>45814.6458333333</v>
      </c>
      <c r="D51" s="17">
        <f>IFERROR(__xludf.DUMMYFUNCTION("""COMPUTED_VALUE"""),481.95)</f>
        <v>481.95</v>
      </c>
      <c r="E51" s="16">
        <f>IFERROR(__xludf.DUMMYFUNCTION("""COMPUTED_VALUE"""),45814.6458333333)</f>
        <v>45814.6458333333</v>
      </c>
      <c r="F51" s="17">
        <f>IFERROR(__xludf.DUMMYFUNCTION("""COMPUTED_VALUE"""),525506)</f>
        <v>525506</v>
      </c>
      <c r="G51" s="16">
        <f>IFERROR(__xludf.DUMMYFUNCTION("""COMPUTED_VALUE"""),45814.6458333333)</f>
        <v>45814.6458333333</v>
      </c>
      <c r="H51" s="17">
        <f>IFERROR(__xludf.DUMMYFUNCTION("""COMPUTED_VALUE"""),483.4)</f>
        <v>483.4</v>
      </c>
      <c r="I51" s="16">
        <f>IFERROR(__xludf.DUMMYFUNCTION("""COMPUTED_VALUE"""),45814.6458333333)</f>
        <v>45814.6458333333</v>
      </c>
      <c r="J51" s="17">
        <f>IFERROR(__xludf.DUMMYFUNCTION("""COMPUTED_VALUE"""),476.1)</f>
        <v>476.1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IFERROR(__xludf.DUMMYFUNCTION("""COMPUTED_VALUE"""),483.65)</f>
        <v>483.65</v>
      </c>
      <c r="C52" s="16">
        <f>IFERROR(__xludf.DUMMYFUNCTION("""COMPUTED_VALUE"""),45817.6458333333)</f>
        <v>45817.6458333333</v>
      </c>
      <c r="D52" s="17">
        <f>IFERROR(__xludf.DUMMYFUNCTION("""COMPUTED_VALUE"""),479.75)</f>
        <v>479.75</v>
      </c>
      <c r="E52" s="16">
        <f>IFERROR(__xludf.DUMMYFUNCTION("""COMPUTED_VALUE"""),45817.6458333333)</f>
        <v>45817.6458333333</v>
      </c>
      <c r="F52" s="17">
        <f>IFERROR(__xludf.DUMMYFUNCTION("""COMPUTED_VALUE"""),1434855)</f>
        <v>1434855</v>
      </c>
      <c r="G52" s="16">
        <f>IFERROR(__xludf.DUMMYFUNCTION("""COMPUTED_VALUE"""),45817.6458333333)</f>
        <v>45817.6458333333</v>
      </c>
      <c r="H52" s="17">
        <f>IFERROR(__xludf.DUMMYFUNCTION("""COMPUTED_VALUE"""),486.9)</f>
        <v>486.9</v>
      </c>
      <c r="I52" s="16">
        <f>IFERROR(__xludf.DUMMYFUNCTION("""COMPUTED_VALUE"""),45817.6458333333)</f>
        <v>45817.6458333333</v>
      </c>
      <c r="J52" s="17">
        <f>IFERROR(__xludf.DUMMYFUNCTION("""COMPUTED_VALUE"""),478.35)</f>
        <v>478.35</v>
      </c>
      <c r="K52" s="3">
        <f t="shared" si="2"/>
        <v>483.65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IFERROR(__xludf.DUMMYFUNCTION("""COMPUTED_VALUE"""),481.9)</f>
        <v>481.9</v>
      </c>
      <c r="C53" s="16">
        <f>IFERROR(__xludf.DUMMYFUNCTION("""COMPUTED_VALUE"""),45818.6458333333)</f>
        <v>45818.6458333333</v>
      </c>
      <c r="D53" s="17">
        <f>IFERROR(__xludf.DUMMYFUNCTION("""COMPUTED_VALUE"""),486)</f>
        <v>486</v>
      </c>
      <c r="E53" s="16">
        <f>IFERROR(__xludf.DUMMYFUNCTION("""COMPUTED_VALUE"""),45818.6458333333)</f>
        <v>45818.6458333333</v>
      </c>
      <c r="F53" s="17">
        <f>IFERROR(__xludf.DUMMYFUNCTION("""COMPUTED_VALUE"""),1983691)</f>
        <v>1983691</v>
      </c>
      <c r="G53" s="16">
        <f>IFERROR(__xludf.DUMMYFUNCTION("""COMPUTED_VALUE"""),45818.6458333333)</f>
        <v>45818.6458333333</v>
      </c>
      <c r="H53" s="17">
        <f>IFERROR(__xludf.DUMMYFUNCTION("""COMPUTED_VALUE"""),492.4)</f>
        <v>492.4</v>
      </c>
      <c r="I53" s="16">
        <f>IFERROR(__xludf.DUMMYFUNCTION("""COMPUTED_VALUE"""),45818.6458333333)</f>
        <v>45818.6458333333</v>
      </c>
      <c r="J53" s="17">
        <f>IFERROR(__xludf.DUMMYFUNCTION("""COMPUTED_VALUE"""),480.65)</f>
        <v>480.65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IFERROR(__xludf.DUMMYFUNCTION("""COMPUTED_VALUE"""),478.2)</f>
        <v>478.2</v>
      </c>
      <c r="C54" s="16">
        <f>IFERROR(__xludf.DUMMYFUNCTION("""COMPUTED_VALUE"""),45819.6458333333)</f>
        <v>45819.6458333333</v>
      </c>
      <c r="D54" s="17">
        <f>IFERROR(__xludf.DUMMYFUNCTION("""COMPUTED_VALUE"""),485)</f>
        <v>485</v>
      </c>
      <c r="E54" s="16">
        <f>IFERROR(__xludf.DUMMYFUNCTION("""COMPUTED_VALUE"""),45819.6458333333)</f>
        <v>45819.6458333333</v>
      </c>
      <c r="F54" s="17">
        <f>IFERROR(__xludf.DUMMYFUNCTION("""COMPUTED_VALUE"""),1259663)</f>
        <v>1259663</v>
      </c>
      <c r="G54" s="16">
        <f>IFERROR(__xludf.DUMMYFUNCTION("""COMPUTED_VALUE"""),45819.6458333333)</f>
        <v>45819.6458333333</v>
      </c>
      <c r="H54" s="17">
        <f>IFERROR(__xludf.DUMMYFUNCTION("""COMPUTED_VALUE"""),489.9)</f>
        <v>489.9</v>
      </c>
      <c r="I54" s="16">
        <f>IFERROR(__xludf.DUMMYFUNCTION("""COMPUTED_VALUE"""),45819.6458333333)</f>
        <v>45819.6458333333</v>
      </c>
      <c r="J54" s="17">
        <f>IFERROR(__xludf.DUMMYFUNCTION("""COMPUTED_VALUE"""),473.3)</f>
        <v>473.3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IFERROR(__xludf.DUMMYFUNCTION("""COMPUTED_VALUE"""),469.85)</f>
        <v>469.85</v>
      </c>
      <c r="C55" s="16">
        <f>IFERROR(__xludf.DUMMYFUNCTION("""COMPUTED_VALUE"""),45820.6458333333)</f>
        <v>45820.6458333333</v>
      </c>
      <c r="D55" s="17">
        <f>IFERROR(__xludf.DUMMYFUNCTION("""COMPUTED_VALUE"""),479.75)</f>
        <v>479.75</v>
      </c>
      <c r="E55" s="16">
        <f>IFERROR(__xludf.DUMMYFUNCTION("""COMPUTED_VALUE"""),45820.6458333333)</f>
        <v>45820.6458333333</v>
      </c>
      <c r="F55" s="17">
        <f>IFERROR(__xludf.DUMMYFUNCTION("""COMPUTED_VALUE"""),1028596)</f>
        <v>1028596</v>
      </c>
      <c r="G55" s="16">
        <f>IFERROR(__xludf.DUMMYFUNCTION("""COMPUTED_VALUE"""),45820.6458333333)</f>
        <v>45820.6458333333</v>
      </c>
      <c r="H55" s="17">
        <f>IFERROR(__xludf.DUMMYFUNCTION("""COMPUTED_VALUE"""),482.9)</f>
        <v>482.9</v>
      </c>
      <c r="I55" s="16">
        <f>IFERROR(__xludf.DUMMYFUNCTION("""COMPUTED_VALUE"""),45820.6458333333)</f>
        <v>45820.6458333333</v>
      </c>
      <c r="J55" s="17">
        <f>IFERROR(__xludf.DUMMYFUNCTION("""COMPUTED_VALUE"""),468)</f>
        <v>468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IFERROR(__xludf.DUMMYFUNCTION("""COMPUTED_VALUE"""),462.1)</f>
        <v>462.1</v>
      </c>
      <c r="C56" s="16">
        <f>IFERROR(__xludf.DUMMYFUNCTION("""COMPUTED_VALUE"""),45821.6458333333)</f>
        <v>45821.6458333333</v>
      </c>
      <c r="D56" s="17">
        <f>IFERROR(__xludf.DUMMYFUNCTION("""COMPUTED_VALUE"""),464)</f>
        <v>464</v>
      </c>
      <c r="E56" s="16">
        <f>IFERROR(__xludf.DUMMYFUNCTION("""COMPUTED_VALUE"""),45821.6458333333)</f>
        <v>45821.6458333333</v>
      </c>
      <c r="F56" s="17">
        <f>IFERROR(__xludf.DUMMYFUNCTION("""COMPUTED_VALUE"""),1251376)</f>
        <v>1251376</v>
      </c>
      <c r="G56" s="16">
        <f>IFERROR(__xludf.DUMMYFUNCTION("""COMPUTED_VALUE"""),45821.6458333333)</f>
        <v>45821.6458333333</v>
      </c>
      <c r="H56" s="17">
        <f>IFERROR(__xludf.DUMMYFUNCTION("""COMPUTED_VALUE"""),467.8)</f>
        <v>467.8</v>
      </c>
      <c r="I56" s="16">
        <f>IFERROR(__xludf.DUMMYFUNCTION("""COMPUTED_VALUE"""),45821.6458333333)</f>
        <v>45821.6458333333</v>
      </c>
      <c r="J56" s="17">
        <f>IFERROR(__xludf.DUMMYFUNCTION("""COMPUTED_VALUE"""),457.5)</f>
        <v>457.5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IFERROR(__xludf.DUMMYFUNCTION("""COMPUTED_VALUE"""),463.05)</f>
        <v>463.05</v>
      </c>
      <c r="C57" s="16">
        <f>IFERROR(__xludf.DUMMYFUNCTION("""COMPUTED_VALUE"""),45824.6458333333)</f>
        <v>45824.6458333333</v>
      </c>
      <c r="D57" s="17">
        <f>IFERROR(__xludf.DUMMYFUNCTION("""COMPUTED_VALUE"""),461.95)</f>
        <v>461.95</v>
      </c>
      <c r="E57" s="16">
        <f>IFERROR(__xludf.DUMMYFUNCTION("""COMPUTED_VALUE"""),45824.6458333333)</f>
        <v>45824.6458333333</v>
      </c>
      <c r="F57" s="17">
        <f>IFERROR(__xludf.DUMMYFUNCTION("""COMPUTED_VALUE"""),1493985)</f>
        <v>1493985</v>
      </c>
      <c r="G57" s="16">
        <f>IFERROR(__xludf.DUMMYFUNCTION("""COMPUTED_VALUE"""),45824.6458333333)</f>
        <v>45824.6458333333</v>
      </c>
      <c r="H57" s="17">
        <f>IFERROR(__xludf.DUMMYFUNCTION("""COMPUTED_VALUE"""),466.5)</f>
        <v>466.5</v>
      </c>
      <c r="I57" s="16">
        <f>IFERROR(__xludf.DUMMYFUNCTION("""COMPUTED_VALUE"""),45824.6458333333)</f>
        <v>45824.6458333333</v>
      </c>
      <c r="J57" s="17">
        <f>IFERROR(__xludf.DUMMYFUNCTION("""COMPUTED_VALUE"""),449.1)</f>
        <v>449.1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IFERROR(__xludf.DUMMYFUNCTION("""COMPUTED_VALUE"""),455.6)</f>
        <v>455.6</v>
      </c>
      <c r="C58" s="16">
        <f>IFERROR(__xludf.DUMMYFUNCTION("""COMPUTED_VALUE"""),45825.6458333333)</f>
        <v>45825.6458333333</v>
      </c>
      <c r="D58" s="17">
        <f>IFERROR(__xludf.DUMMYFUNCTION("""COMPUTED_VALUE"""),463.15)</f>
        <v>463.15</v>
      </c>
      <c r="E58" s="16">
        <f>IFERROR(__xludf.DUMMYFUNCTION("""COMPUTED_VALUE"""),45825.6458333333)</f>
        <v>45825.6458333333</v>
      </c>
      <c r="F58" s="17">
        <f>IFERROR(__xludf.DUMMYFUNCTION("""COMPUTED_VALUE"""),984471)</f>
        <v>984471</v>
      </c>
      <c r="G58" s="16">
        <f>IFERROR(__xludf.DUMMYFUNCTION("""COMPUTED_VALUE"""),45825.6458333333)</f>
        <v>45825.6458333333</v>
      </c>
      <c r="H58" s="17">
        <f>IFERROR(__xludf.DUMMYFUNCTION("""COMPUTED_VALUE"""),468.9)</f>
        <v>468.9</v>
      </c>
      <c r="I58" s="16">
        <f>IFERROR(__xludf.DUMMYFUNCTION("""COMPUTED_VALUE"""),45825.6458333333)</f>
        <v>45825.6458333333</v>
      </c>
      <c r="J58" s="17">
        <f>IFERROR(__xludf.DUMMYFUNCTION("""COMPUTED_VALUE"""),454.4)</f>
        <v>454.4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IFERROR(__xludf.DUMMYFUNCTION("""COMPUTED_VALUE"""),450.15)</f>
        <v>450.15</v>
      </c>
      <c r="C59" s="16">
        <f>IFERROR(__xludf.DUMMYFUNCTION("""COMPUTED_VALUE"""),45826.6458333333)</f>
        <v>45826.6458333333</v>
      </c>
      <c r="D59" s="17">
        <f>IFERROR(__xludf.DUMMYFUNCTION("""COMPUTED_VALUE"""),455.5)</f>
        <v>455.5</v>
      </c>
      <c r="E59" s="16">
        <f>IFERROR(__xludf.DUMMYFUNCTION("""COMPUTED_VALUE"""),45826.6458333333)</f>
        <v>45826.6458333333</v>
      </c>
      <c r="F59" s="17">
        <f>IFERROR(__xludf.DUMMYFUNCTION("""COMPUTED_VALUE"""),740566)</f>
        <v>740566</v>
      </c>
      <c r="G59" s="16">
        <f>IFERROR(__xludf.DUMMYFUNCTION("""COMPUTED_VALUE"""),45826.6458333333)</f>
        <v>45826.6458333333</v>
      </c>
      <c r="H59" s="17">
        <f>IFERROR(__xludf.DUMMYFUNCTION("""COMPUTED_VALUE"""),457.6)</f>
        <v>457.6</v>
      </c>
      <c r="I59" s="16">
        <f>IFERROR(__xludf.DUMMYFUNCTION("""COMPUTED_VALUE"""),45826.6458333333)</f>
        <v>45826.6458333333</v>
      </c>
      <c r="J59" s="17">
        <f>IFERROR(__xludf.DUMMYFUNCTION("""COMPUTED_VALUE"""),448.15)</f>
        <v>448.15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IFERROR(__xludf.DUMMYFUNCTION("""COMPUTED_VALUE"""),437.4)</f>
        <v>437.4</v>
      </c>
      <c r="C60" s="16">
        <f>IFERROR(__xludf.DUMMYFUNCTION("""COMPUTED_VALUE"""),45827.6458333333)</f>
        <v>45827.6458333333</v>
      </c>
      <c r="D60" s="17">
        <f>IFERROR(__xludf.DUMMYFUNCTION("""COMPUTED_VALUE"""),447)</f>
        <v>447</v>
      </c>
      <c r="E60" s="16">
        <f>IFERROR(__xludf.DUMMYFUNCTION("""COMPUTED_VALUE"""),45827.6458333333)</f>
        <v>45827.6458333333</v>
      </c>
      <c r="F60" s="17">
        <f>IFERROR(__xludf.DUMMYFUNCTION("""COMPUTED_VALUE"""),1710949)</f>
        <v>1710949</v>
      </c>
      <c r="G60" s="16">
        <f>IFERROR(__xludf.DUMMYFUNCTION("""COMPUTED_VALUE"""),45827.6458333333)</f>
        <v>45827.6458333333</v>
      </c>
      <c r="H60" s="17">
        <f>IFERROR(__xludf.DUMMYFUNCTION("""COMPUTED_VALUE"""),454.3)</f>
        <v>454.3</v>
      </c>
      <c r="I60" s="16">
        <f>IFERROR(__xludf.DUMMYFUNCTION("""COMPUTED_VALUE"""),45827.6458333333)</f>
        <v>45827.6458333333</v>
      </c>
      <c r="J60" s="17">
        <f>IFERROR(__xludf.DUMMYFUNCTION("""COMPUTED_VALUE"""),435)</f>
        <v>435</v>
      </c>
      <c r="K60" s="3">
        <f t="shared" si="2"/>
        <v>0</v>
      </c>
      <c r="L60" s="3">
        <f t="shared" si="3"/>
        <v>437.4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IFERROR(__xludf.DUMMYFUNCTION("""COMPUTED_VALUE"""),441.3)</f>
        <v>441.3</v>
      </c>
      <c r="C61" s="16">
        <f>IFERROR(__xludf.DUMMYFUNCTION("""COMPUTED_VALUE"""),45828.6458333333)</f>
        <v>45828.6458333333</v>
      </c>
      <c r="D61" s="17">
        <f>IFERROR(__xludf.DUMMYFUNCTION("""COMPUTED_VALUE"""),435.35)</f>
        <v>435.35</v>
      </c>
      <c r="E61" s="16">
        <f>IFERROR(__xludf.DUMMYFUNCTION("""COMPUTED_VALUE"""),45828.6458333333)</f>
        <v>45828.6458333333</v>
      </c>
      <c r="F61" s="17">
        <f>IFERROR(__xludf.DUMMYFUNCTION("""COMPUTED_VALUE"""),1524200)</f>
        <v>1524200</v>
      </c>
      <c r="G61" s="16">
        <f>IFERROR(__xludf.DUMMYFUNCTION("""COMPUTED_VALUE"""),45828.6458333333)</f>
        <v>45828.6458333333</v>
      </c>
      <c r="H61" s="17">
        <f>IFERROR(__xludf.DUMMYFUNCTION("""COMPUTED_VALUE"""),443.85)</f>
        <v>443.85</v>
      </c>
      <c r="I61" s="16">
        <f>IFERROR(__xludf.DUMMYFUNCTION("""COMPUTED_VALUE"""),45828.6458333333)</f>
        <v>45828.6458333333</v>
      </c>
      <c r="J61" s="17">
        <f>IFERROR(__xludf.DUMMYFUNCTION("""COMPUTED_VALUE"""),433.35)</f>
        <v>433.35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IFERROR(__xludf.DUMMYFUNCTION("""COMPUTED_VALUE"""),445.15)</f>
        <v>445.15</v>
      </c>
      <c r="C62" s="16">
        <f>IFERROR(__xludf.DUMMYFUNCTION("""COMPUTED_VALUE"""),45831.6458333333)</f>
        <v>45831.6458333333</v>
      </c>
      <c r="D62" s="17">
        <f>IFERROR(__xludf.DUMMYFUNCTION("""COMPUTED_VALUE"""),435)</f>
        <v>435</v>
      </c>
      <c r="E62" s="16">
        <f>IFERROR(__xludf.DUMMYFUNCTION("""COMPUTED_VALUE"""),45831.6458333333)</f>
        <v>45831.6458333333</v>
      </c>
      <c r="F62" s="17">
        <f>IFERROR(__xludf.DUMMYFUNCTION("""COMPUTED_VALUE"""),714324)</f>
        <v>714324</v>
      </c>
      <c r="G62" s="16">
        <f>IFERROR(__xludf.DUMMYFUNCTION("""COMPUTED_VALUE"""),45831.6458333333)</f>
        <v>45831.6458333333</v>
      </c>
      <c r="H62" s="17">
        <f>IFERROR(__xludf.DUMMYFUNCTION("""COMPUTED_VALUE"""),446)</f>
        <v>446</v>
      </c>
      <c r="I62" s="16">
        <f>IFERROR(__xludf.DUMMYFUNCTION("""COMPUTED_VALUE"""),45831.6458333333)</f>
        <v>45831.6458333333</v>
      </c>
      <c r="J62" s="17">
        <f>IFERROR(__xludf.DUMMYFUNCTION("""COMPUTED_VALUE"""),434.1)</f>
        <v>434.1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IFERROR(__xludf.DUMMYFUNCTION("""COMPUTED_VALUE"""),454.2)</f>
        <v>454.2</v>
      </c>
      <c r="C63" s="16">
        <f>IFERROR(__xludf.DUMMYFUNCTION("""COMPUTED_VALUE"""),45832.6458333333)</f>
        <v>45832.6458333333</v>
      </c>
      <c r="D63" s="17">
        <f>IFERROR(__xludf.DUMMYFUNCTION("""COMPUTED_VALUE"""),453.95)</f>
        <v>453.95</v>
      </c>
      <c r="E63" s="16">
        <f>IFERROR(__xludf.DUMMYFUNCTION("""COMPUTED_VALUE"""),45832.6458333333)</f>
        <v>45832.6458333333</v>
      </c>
      <c r="F63" s="17">
        <f>IFERROR(__xludf.DUMMYFUNCTION("""COMPUTED_VALUE"""),3669832)</f>
        <v>3669832</v>
      </c>
      <c r="G63" s="16">
        <f>IFERROR(__xludf.DUMMYFUNCTION("""COMPUTED_VALUE"""),45832.6458333333)</f>
        <v>45832.6458333333</v>
      </c>
      <c r="H63" s="17">
        <f>IFERROR(__xludf.DUMMYFUNCTION("""COMPUTED_VALUE"""),466.5)</f>
        <v>466.5</v>
      </c>
      <c r="I63" s="16">
        <f>IFERROR(__xludf.DUMMYFUNCTION("""COMPUTED_VALUE"""),45832.6458333333)</f>
        <v>45832.6458333333</v>
      </c>
      <c r="J63" s="17">
        <f>IFERROR(__xludf.DUMMYFUNCTION("""COMPUTED_VALUE"""),452.05)</f>
        <v>452.05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IFERROR(__xludf.DUMMYFUNCTION("""COMPUTED_VALUE"""),470.6)</f>
        <v>470.6</v>
      </c>
      <c r="C64" s="16">
        <f>IFERROR(__xludf.DUMMYFUNCTION("""COMPUTED_VALUE"""),45833.6458333333)</f>
        <v>45833.6458333333</v>
      </c>
      <c r="D64" s="17">
        <f>IFERROR(__xludf.DUMMYFUNCTION("""COMPUTED_VALUE"""),456.45)</f>
        <v>456.45</v>
      </c>
      <c r="E64" s="16">
        <f>IFERROR(__xludf.DUMMYFUNCTION("""COMPUTED_VALUE"""),45833.6458333333)</f>
        <v>45833.6458333333</v>
      </c>
      <c r="F64" s="17">
        <f>IFERROR(__xludf.DUMMYFUNCTION("""COMPUTED_VALUE"""),2343302)</f>
        <v>2343302</v>
      </c>
      <c r="G64" s="16">
        <f>IFERROR(__xludf.DUMMYFUNCTION("""COMPUTED_VALUE"""),45833.6458333333)</f>
        <v>45833.6458333333</v>
      </c>
      <c r="H64" s="17">
        <f>IFERROR(__xludf.DUMMYFUNCTION("""COMPUTED_VALUE"""),473.35)</f>
        <v>473.35</v>
      </c>
      <c r="I64" s="16">
        <f>IFERROR(__xludf.DUMMYFUNCTION("""COMPUTED_VALUE"""),45833.6458333333)</f>
        <v>45833.6458333333</v>
      </c>
      <c r="J64" s="17">
        <f>IFERROR(__xludf.DUMMYFUNCTION("""COMPUTED_VALUE"""),455.45)</f>
        <v>455.45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IFERROR(__xludf.DUMMYFUNCTION("""COMPUTED_VALUE"""),475.9)</f>
        <v>475.9</v>
      </c>
      <c r="C65" s="16">
        <f>IFERROR(__xludf.DUMMYFUNCTION("""COMPUTED_VALUE"""),45834.6458333333)</f>
        <v>45834.6458333333</v>
      </c>
      <c r="D65" s="17">
        <f>IFERROR(__xludf.DUMMYFUNCTION("""COMPUTED_VALUE"""),471.5)</f>
        <v>471.5</v>
      </c>
      <c r="E65" s="16">
        <f>IFERROR(__xludf.DUMMYFUNCTION("""COMPUTED_VALUE"""),45834.6458333333)</f>
        <v>45834.6458333333</v>
      </c>
      <c r="F65" s="17">
        <f>IFERROR(__xludf.DUMMYFUNCTION("""COMPUTED_VALUE"""),1516181)</f>
        <v>1516181</v>
      </c>
      <c r="G65" s="16">
        <f>IFERROR(__xludf.DUMMYFUNCTION("""COMPUTED_VALUE"""),45834.6458333333)</f>
        <v>45834.6458333333</v>
      </c>
      <c r="H65" s="17">
        <f>IFERROR(__xludf.DUMMYFUNCTION("""COMPUTED_VALUE"""),476.85)</f>
        <v>476.85</v>
      </c>
      <c r="I65" s="16">
        <f>IFERROR(__xludf.DUMMYFUNCTION("""COMPUTED_VALUE"""),45834.6458333333)</f>
        <v>45834.6458333333</v>
      </c>
      <c r="J65" s="17">
        <f>IFERROR(__xludf.DUMMYFUNCTION("""COMPUTED_VALUE"""),470.2)</f>
        <v>470.2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IFERROR(__xludf.DUMMYFUNCTION("""COMPUTED_VALUE"""),479.15)</f>
        <v>479.15</v>
      </c>
      <c r="C66" s="16">
        <f>IFERROR(__xludf.DUMMYFUNCTION("""COMPUTED_VALUE"""),45835.6458333333)</f>
        <v>45835.6458333333</v>
      </c>
      <c r="D66" s="17">
        <f>IFERROR(__xludf.DUMMYFUNCTION("""COMPUTED_VALUE"""),475)</f>
        <v>475</v>
      </c>
      <c r="E66" s="16">
        <f>IFERROR(__xludf.DUMMYFUNCTION("""COMPUTED_VALUE"""),45835.6458333333)</f>
        <v>45835.6458333333</v>
      </c>
      <c r="F66" s="17">
        <f>IFERROR(__xludf.DUMMYFUNCTION("""COMPUTED_VALUE"""),959660)</f>
        <v>959660</v>
      </c>
      <c r="G66" s="16">
        <f>IFERROR(__xludf.DUMMYFUNCTION("""COMPUTED_VALUE"""),45835.6458333333)</f>
        <v>45835.6458333333</v>
      </c>
      <c r="H66" s="17">
        <f>IFERROR(__xludf.DUMMYFUNCTION("""COMPUTED_VALUE"""),480.5)</f>
        <v>480.5</v>
      </c>
      <c r="I66" s="16">
        <f>IFERROR(__xludf.DUMMYFUNCTION("""COMPUTED_VALUE"""),45835.6458333333)</f>
        <v>45835.6458333333</v>
      </c>
      <c r="J66" s="17">
        <f>IFERROR(__xludf.DUMMYFUNCTION("""COMPUTED_VALUE"""),473.2)</f>
        <v>473.2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IFERROR(__xludf.DUMMYFUNCTION("""COMPUTED_VALUE"""),479.45)</f>
        <v>479.45</v>
      </c>
      <c r="C67" s="16">
        <f>IFERROR(__xludf.DUMMYFUNCTION("""COMPUTED_VALUE"""),45838.6458333333)</f>
        <v>45838.6458333333</v>
      </c>
      <c r="D67" s="17">
        <f>IFERROR(__xludf.DUMMYFUNCTION("""COMPUTED_VALUE"""),480.05)</f>
        <v>480.05</v>
      </c>
      <c r="E67" s="16">
        <f>IFERROR(__xludf.DUMMYFUNCTION("""COMPUTED_VALUE"""),45838.6458333333)</f>
        <v>45838.6458333333</v>
      </c>
      <c r="F67" s="17">
        <f>IFERROR(__xludf.DUMMYFUNCTION("""COMPUTED_VALUE"""),956977)</f>
        <v>956977</v>
      </c>
      <c r="G67" s="16">
        <f>IFERROR(__xludf.DUMMYFUNCTION("""COMPUTED_VALUE"""),45838.6458333333)</f>
        <v>45838.6458333333</v>
      </c>
      <c r="H67" s="17">
        <f>IFERROR(__xludf.DUMMYFUNCTION("""COMPUTED_VALUE"""),486)</f>
        <v>486</v>
      </c>
      <c r="I67" s="16">
        <f>IFERROR(__xludf.DUMMYFUNCTION("""COMPUTED_VALUE"""),45838.6458333333)</f>
        <v>45838.6458333333</v>
      </c>
      <c r="J67" s="17">
        <f>IFERROR(__xludf.DUMMYFUNCTION("""COMPUTED_VALUE"""),478.15)</f>
        <v>478.15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IFERROR(__xludf.DUMMYFUNCTION("""COMPUTED_VALUE"""),484.45)</f>
        <v>484.45</v>
      </c>
      <c r="C68" s="16">
        <f>IFERROR(__xludf.DUMMYFUNCTION("""COMPUTED_VALUE"""),45839.6458333333)</f>
        <v>45839.6458333333</v>
      </c>
      <c r="D68" s="17">
        <f>IFERROR(__xludf.DUMMYFUNCTION("""COMPUTED_VALUE"""),479.45)</f>
        <v>479.45</v>
      </c>
      <c r="E68" s="16">
        <f>IFERROR(__xludf.DUMMYFUNCTION("""COMPUTED_VALUE"""),45839.6458333333)</f>
        <v>45839.6458333333</v>
      </c>
      <c r="F68" s="17">
        <f>IFERROR(__xludf.DUMMYFUNCTION("""COMPUTED_VALUE"""),1085379)</f>
        <v>1085379</v>
      </c>
      <c r="G68" s="16">
        <f>IFERROR(__xludf.DUMMYFUNCTION("""COMPUTED_VALUE"""),45839.6458333333)</f>
        <v>45839.6458333333</v>
      </c>
      <c r="H68" s="17">
        <f>IFERROR(__xludf.DUMMYFUNCTION("""COMPUTED_VALUE"""),485.75)</f>
        <v>485.75</v>
      </c>
      <c r="I68" s="16">
        <f>IFERROR(__xludf.DUMMYFUNCTION("""COMPUTED_VALUE"""),45839.6458333333)</f>
        <v>45839.6458333333</v>
      </c>
      <c r="J68" s="17">
        <f>IFERROR(__xludf.DUMMYFUNCTION("""COMPUTED_VALUE"""),476.4)</f>
        <v>476.4</v>
      </c>
      <c r="K68" s="3">
        <f t="shared" si="2"/>
        <v>484.45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IFERROR(__xludf.DUMMYFUNCTION("""COMPUTED_VALUE"""),484.35)</f>
        <v>484.35</v>
      </c>
      <c r="C69" s="16">
        <f>IFERROR(__xludf.DUMMYFUNCTION("""COMPUTED_VALUE"""),45840.6458333333)</f>
        <v>45840.6458333333</v>
      </c>
      <c r="D69" s="17">
        <f>IFERROR(__xludf.DUMMYFUNCTION("""COMPUTED_VALUE"""),487)</f>
        <v>487</v>
      </c>
      <c r="E69" s="16">
        <f>IFERROR(__xludf.DUMMYFUNCTION("""COMPUTED_VALUE"""),45840.6458333333)</f>
        <v>45840.6458333333</v>
      </c>
      <c r="F69" s="17">
        <f>IFERROR(__xludf.DUMMYFUNCTION("""COMPUTED_VALUE"""),729558)</f>
        <v>729558</v>
      </c>
      <c r="G69" s="16">
        <f>IFERROR(__xludf.DUMMYFUNCTION("""COMPUTED_VALUE"""),45840.6458333333)</f>
        <v>45840.6458333333</v>
      </c>
      <c r="H69" s="17">
        <f>IFERROR(__xludf.DUMMYFUNCTION("""COMPUTED_VALUE"""),487)</f>
        <v>487</v>
      </c>
      <c r="I69" s="16">
        <f>IFERROR(__xludf.DUMMYFUNCTION("""COMPUTED_VALUE"""),45840.6458333333)</f>
        <v>45840.6458333333</v>
      </c>
      <c r="J69" s="17">
        <f>IFERROR(__xludf.DUMMYFUNCTION("""COMPUTED_VALUE"""),478.25)</f>
        <v>478.25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IFERROR(__xludf.DUMMYFUNCTION("""COMPUTED_VALUE"""),479.45)</f>
        <v>479.45</v>
      </c>
      <c r="C70" s="16">
        <f>IFERROR(__xludf.DUMMYFUNCTION("""COMPUTED_VALUE"""),45841.6458333333)</f>
        <v>45841.6458333333</v>
      </c>
      <c r="D70" s="17">
        <f>IFERROR(__xludf.DUMMYFUNCTION("""COMPUTED_VALUE"""),481.1)</f>
        <v>481.1</v>
      </c>
      <c r="E70" s="16">
        <f>IFERROR(__xludf.DUMMYFUNCTION("""COMPUTED_VALUE"""),45841.6458333333)</f>
        <v>45841.6458333333</v>
      </c>
      <c r="F70" s="17">
        <f>IFERROR(__xludf.DUMMYFUNCTION("""COMPUTED_VALUE"""),582680)</f>
        <v>582680</v>
      </c>
      <c r="G70" s="16">
        <f>IFERROR(__xludf.DUMMYFUNCTION("""COMPUTED_VALUE"""),45841.6458333333)</f>
        <v>45841.6458333333</v>
      </c>
      <c r="H70" s="17">
        <f>IFERROR(__xludf.DUMMYFUNCTION("""COMPUTED_VALUE"""),486)</f>
        <v>486</v>
      </c>
      <c r="I70" s="16">
        <f>IFERROR(__xludf.DUMMYFUNCTION("""COMPUTED_VALUE"""),45841.6458333333)</f>
        <v>45841.6458333333</v>
      </c>
      <c r="J70" s="17">
        <f>IFERROR(__xludf.DUMMYFUNCTION("""COMPUTED_VALUE"""),478.1)</f>
        <v>478.1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IFERROR(__xludf.DUMMYFUNCTION("""COMPUTED_VALUE"""),476.55)</f>
        <v>476.55</v>
      </c>
      <c r="C71" s="16">
        <f>IFERROR(__xludf.DUMMYFUNCTION("""COMPUTED_VALUE"""),45842.6458333333)</f>
        <v>45842.6458333333</v>
      </c>
      <c r="D71" s="17">
        <f>IFERROR(__xludf.DUMMYFUNCTION("""COMPUTED_VALUE"""),482.4)</f>
        <v>482.4</v>
      </c>
      <c r="E71" s="16">
        <f>IFERROR(__xludf.DUMMYFUNCTION("""COMPUTED_VALUE"""),45842.6458333333)</f>
        <v>45842.6458333333</v>
      </c>
      <c r="F71" s="17">
        <f>IFERROR(__xludf.DUMMYFUNCTION("""COMPUTED_VALUE"""),655612)</f>
        <v>655612</v>
      </c>
      <c r="G71" s="16">
        <f>IFERROR(__xludf.DUMMYFUNCTION("""COMPUTED_VALUE"""),45842.6458333333)</f>
        <v>45842.6458333333</v>
      </c>
      <c r="H71" s="17">
        <f>IFERROR(__xludf.DUMMYFUNCTION("""COMPUTED_VALUE"""),482.7)</f>
        <v>482.7</v>
      </c>
      <c r="I71" s="16">
        <f>IFERROR(__xludf.DUMMYFUNCTION("""COMPUTED_VALUE"""),45842.6458333333)</f>
        <v>45842.6458333333</v>
      </c>
      <c r="J71" s="17">
        <f>IFERROR(__xludf.DUMMYFUNCTION("""COMPUTED_VALUE"""),473.1)</f>
        <v>473.1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IFERROR(__xludf.DUMMYFUNCTION("""COMPUTED_VALUE"""),466.75)</f>
        <v>466.75</v>
      </c>
      <c r="C72" s="16">
        <f>IFERROR(__xludf.DUMMYFUNCTION("""COMPUTED_VALUE"""),45845.6458333333)</f>
        <v>45845.6458333333</v>
      </c>
      <c r="D72" s="17">
        <f>IFERROR(__xludf.DUMMYFUNCTION("""COMPUTED_VALUE"""),475.95)</f>
        <v>475.95</v>
      </c>
      <c r="E72" s="16">
        <f>IFERROR(__xludf.DUMMYFUNCTION("""COMPUTED_VALUE"""),45845.6458333333)</f>
        <v>45845.6458333333</v>
      </c>
      <c r="F72" s="17">
        <f>IFERROR(__xludf.DUMMYFUNCTION("""COMPUTED_VALUE"""),519829)</f>
        <v>519829</v>
      </c>
      <c r="G72" s="16">
        <f>IFERROR(__xludf.DUMMYFUNCTION("""COMPUTED_VALUE"""),45845.6458333333)</f>
        <v>45845.6458333333</v>
      </c>
      <c r="H72" s="17">
        <f>IFERROR(__xludf.DUMMYFUNCTION("""COMPUTED_VALUE"""),478.65)</f>
        <v>478.65</v>
      </c>
      <c r="I72" s="16">
        <f>IFERROR(__xludf.DUMMYFUNCTION("""COMPUTED_VALUE"""),45845.6458333333)</f>
        <v>45845.6458333333</v>
      </c>
      <c r="J72" s="17">
        <f>IFERROR(__xludf.DUMMYFUNCTION("""COMPUTED_VALUE"""),464.8)</f>
        <v>464.8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IFERROR(__xludf.DUMMYFUNCTION("""COMPUTED_VALUE"""),461.15)</f>
        <v>461.15</v>
      </c>
      <c r="C73" s="16">
        <f>IFERROR(__xludf.DUMMYFUNCTION("""COMPUTED_VALUE"""),45846.6458333333)</f>
        <v>45846.6458333333</v>
      </c>
      <c r="D73" s="17">
        <f>IFERROR(__xludf.DUMMYFUNCTION("""COMPUTED_VALUE"""),466.65)</f>
        <v>466.65</v>
      </c>
      <c r="E73" s="16">
        <f>IFERROR(__xludf.DUMMYFUNCTION("""COMPUTED_VALUE"""),45846.6458333333)</f>
        <v>45846.6458333333</v>
      </c>
      <c r="F73" s="17">
        <f>IFERROR(__xludf.DUMMYFUNCTION("""COMPUTED_VALUE"""),1084976)</f>
        <v>1084976</v>
      </c>
      <c r="G73" s="16">
        <f>IFERROR(__xludf.DUMMYFUNCTION("""COMPUTED_VALUE"""),45846.6458333333)</f>
        <v>45846.6458333333</v>
      </c>
      <c r="H73" s="17">
        <f>IFERROR(__xludf.DUMMYFUNCTION("""COMPUTED_VALUE"""),470.1)</f>
        <v>470.1</v>
      </c>
      <c r="I73" s="16">
        <f>IFERROR(__xludf.DUMMYFUNCTION("""COMPUTED_VALUE"""),45846.6458333333)</f>
        <v>45846.6458333333</v>
      </c>
      <c r="J73" s="17">
        <f>IFERROR(__xludf.DUMMYFUNCTION("""COMPUTED_VALUE"""),455.05)</f>
        <v>455.05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IFERROR(__xludf.DUMMYFUNCTION("""COMPUTED_VALUE"""),457.75)</f>
        <v>457.75</v>
      </c>
      <c r="C74" s="16">
        <f>IFERROR(__xludf.DUMMYFUNCTION("""COMPUTED_VALUE"""),45847.6458333333)</f>
        <v>45847.6458333333</v>
      </c>
      <c r="D74" s="17">
        <f>IFERROR(__xludf.DUMMYFUNCTION("""COMPUTED_VALUE"""),461.15)</f>
        <v>461.15</v>
      </c>
      <c r="E74" s="16">
        <f>IFERROR(__xludf.DUMMYFUNCTION("""COMPUTED_VALUE"""),45847.6458333333)</f>
        <v>45847.6458333333</v>
      </c>
      <c r="F74" s="17">
        <f>IFERROR(__xludf.DUMMYFUNCTION("""COMPUTED_VALUE"""),600314)</f>
        <v>600314</v>
      </c>
      <c r="G74" s="16">
        <f>IFERROR(__xludf.DUMMYFUNCTION("""COMPUTED_VALUE"""),45847.6458333333)</f>
        <v>45847.6458333333</v>
      </c>
      <c r="H74" s="17">
        <f>IFERROR(__xludf.DUMMYFUNCTION("""COMPUTED_VALUE"""),461.7)</f>
        <v>461.7</v>
      </c>
      <c r="I74" s="16">
        <f>IFERROR(__xludf.DUMMYFUNCTION("""COMPUTED_VALUE"""),45847.6458333333)</f>
        <v>45847.6458333333</v>
      </c>
      <c r="J74" s="17">
        <f>IFERROR(__xludf.DUMMYFUNCTION("""COMPUTED_VALUE"""),456)</f>
        <v>456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IFERROR(__xludf.DUMMYFUNCTION("""COMPUTED_VALUE"""),448)</f>
        <v>448</v>
      </c>
      <c r="C75" s="16">
        <f>IFERROR(__xludf.DUMMYFUNCTION("""COMPUTED_VALUE"""),45848.6458333333)</f>
        <v>45848.6458333333</v>
      </c>
      <c r="D75" s="17">
        <f>IFERROR(__xludf.DUMMYFUNCTION("""COMPUTED_VALUE"""),458)</f>
        <v>458</v>
      </c>
      <c r="E75" s="16">
        <f>IFERROR(__xludf.DUMMYFUNCTION("""COMPUTED_VALUE"""),45848.6458333333)</f>
        <v>45848.6458333333</v>
      </c>
      <c r="F75" s="17">
        <f>IFERROR(__xludf.DUMMYFUNCTION("""COMPUTED_VALUE"""),1470832)</f>
        <v>1470832</v>
      </c>
      <c r="G75" s="16">
        <f>IFERROR(__xludf.DUMMYFUNCTION("""COMPUTED_VALUE"""),45848.6458333333)</f>
        <v>45848.6458333333</v>
      </c>
      <c r="H75" s="17">
        <f>IFERROR(__xludf.DUMMYFUNCTION("""COMPUTED_VALUE"""),460.75)</f>
        <v>460.75</v>
      </c>
      <c r="I75" s="16">
        <f>IFERROR(__xludf.DUMMYFUNCTION("""COMPUTED_VALUE"""),45848.6458333333)</f>
        <v>45848.6458333333</v>
      </c>
      <c r="J75" s="17">
        <f>IFERROR(__xludf.DUMMYFUNCTION("""COMPUTED_VALUE"""),445.75)</f>
        <v>445.75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IFERROR(__xludf.DUMMYFUNCTION("""COMPUTED_VALUE"""),441)</f>
        <v>441</v>
      </c>
      <c r="C76" s="16">
        <f>IFERROR(__xludf.DUMMYFUNCTION("""COMPUTED_VALUE"""),45849.6458333333)</f>
        <v>45849.6458333333</v>
      </c>
      <c r="D76" s="17">
        <f>IFERROR(__xludf.DUMMYFUNCTION("""COMPUTED_VALUE"""),448)</f>
        <v>448</v>
      </c>
      <c r="E76" s="16">
        <f>IFERROR(__xludf.DUMMYFUNCTION("""COMPUTED_VALUE"""),45849.6458333333)</f>
        <v>45849.6458333333</v>
      </c>
      <c r="F76" s="17">
        <f>IFERROR(__xludf.DUMMYFUNCTION("""COMPUTED_VALUE"""),1063711)</f>
        <v>1063711</v>
      </c>
      <c r="G76" s="16">
        <f>IFERROR(__xludf.DUMMYFUNCTION("""COMPUTED_VALUE"""),45849.6458333333)</f>
        <v>45849.6458333333</v>
      </c>
      <c r="H76" s="17">
        <f>IFERROR(__xludf.DUMMYFUNCTION("""COMPUTED_VALUE"""),451.2)</f>
        <v>451.2</v>
      </c>
      <c r="I76" s="16">
        <f>IFERROR(__xludf.DUMMYFUNCTION("""COMPUTED_VALUE"""),45849.6458333333)</f>
        <v>45849.6458333333</v>
      </c>
      <c r="J76" s="17">
        <f>IFERROR(__xludf.DUMMYFUNCTION("""COMPUTED_VALUE"""),440)</f>
        <v>440</v>
      </c>
      <c r="K76" s="3">
        <f t="shared" si="2"/>
        <v>0</v>
      </c>
      <c r="L76" s="3">
        <f t="shared" si="3"/>
        <v>441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IFERROR(__xludf.DUMMYFUNCTION("""COMPUTED_VALUE"""),443.3)</f>
        <v>443.3</v>
      </c>
      <c r="C77" s="16">
        <f>IFERROR(__xludf.DUMMYFUNCTION("""COMPUTED_VALUE"""),45852.6458333333)</f>
        <v>45852.6458333333</v>
      </c>
      <c r="D77" s="17">
        <f>IFERROR(__xludf.DUMMYFUNCTION("""COMPUTED_VALUE"""),439)</f>
        <v>439</v>
      </c>
      <c r="E77" s="16">
        <f>IFERROR(__xludf.DUMMYFUNCTION("""COMPUTED_VALUE"""),45852.6458333333)</f>
        <v>45852.6458333333</v>
      </c>
      <c r="F77" s="17">
        <f>IFERROR(__xludf.DUMMYFUNCTION("""COMPUTED_VALUE"""),777134)</f>
        <v>777134</v>
      </c>
      <c r="G77" s="16">
        <f>IFERROR(__xludf.DUMMYFUNCTION("""COMPUTED_VALUE"""),45852.6458333333)</f>
        <v>45852.6458333333</v>
      </c>
      <c r="H77" s="17">
        <f>IFERROR(__xludf.DUMMYFUNCTION("""COMPUTED_VALUE"""),447.9)</f>
        <v>447.9</v>
      </c>
      <c r="I77" s="16">
        <f>IFERROR(__xludf.DUMMYFUNCTION("""COMPUTED_VALUE"""),45852.6458333333)</f>
        <v>45852.6458333333</v>
      </c>
      <c r="J77" s="17">
        <f>IFERROR(__xludf.DUMMYFUNCTION("""COMPUTED_VALUE"""),436.5)</f>
        <v>436.5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IFERROR(__xludf.DUMMYFUNCTION("""COMPUTED_VALUE"""),451.8)</f>
        <v>451.8</v>
      </c>
      <c r="C78" s="16">
        <f>IFERROR(__xludf.DUMMYFUNCTION("""COMPUTED_VALUE"""),45853.6458333333)</f>
        <v>45853.6458333333</v>
      </c>
      <c r="D78" s="17">
        <f>IFERROR(__xludf.DUMMYFUNCTION("""COMPUTED_VALUE"""),446)</f>
        <v>446</v>
      </c>
      <c r="E78" s="16">
        <f>IFERROR(__xludf.DUMMYFUNCTION("""COMPUTED_VALUE"""),45853.6458333333)</f>
        <v>45853.6458333333</v>
      </c>
      <c r="F78" s="17">
        <f>IFERROR(__xludf.DUMMYFUNCTION("""COMPUTED_VALUE"""),1225859)</f>
        <v>1225859</v>
      </c>
      <c r="G78" s="16">
        <f>IFERROR(__xludf.DUMMYFUNCTION("""COMPUTED_VALUE"""),45853.6458333333)</f>
        <v>45853.6458333333</v>
      </c>
      <c r="H78" s="17">
        <f>IFERROR(__xludf.DUMMYFUNCTION("""COMPUTED_VALUE"""),454.1)</f>
        <v>454.1</v>
      </c>
      <c r="I78" s="16">
        <f>IFERROR(__xludf.DUMMYFUNCTION("""COMPUTED_VALUE"""),45853.6458333333)</f>
        <v>45853.6458333333</v>
      </c>
      <c r="J78" s="17">
        <f>IFERROR(__xludf.DUMMYFUNCTION("""COMPUTED_VALUE"""),443.95)</f>
        <v>443.95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IFERROR(__xludf.DUMMYFUNCTION("""COMPUTED_VALUE"""),455.85)</f>
        <v>455.85</v>
      </c>
      <c r="C79" s="16">
        <f>IFERROR(__xludf.DUMMYFUNCTION("""COMPUTED_VALUE"""),45854.6458333333)</f>
        <v>45854.6458333333</v>
      </c>
      <c r="D79" s="17">
        <f>IFERROR(__xludf.DUMMYFUNCTION("""COMPUTED_VALUE"""),455)</f>
        <v>455</v>
      </c>
      <c r="E79" s="16">
        <f>IFERROR(__xludf.DUMMYFUNCTION("""COMPUTED_VALUE"""),45854.6458333333)</f>
        <v>45854.6458333333</v>
      </c>
      <c r="F79" s="17">
        <f>IFERROR(__xludf.DUMMYFUNCTION("""COMPUTED_VALUE"""),987004)</f>
        <v>987004</v>
      </c>
      <c r="G79" s="16">
        <f>IFERROR(__xludf.DUMMYFUNCTION("""COMPUTED_VALUE"""),45854.6458333333)</f>
        <v>45854.6458333333</v>
      </c>
      <c r="H79" s="17">
        <f>IFERROR(__xludf.DUMMYFUNCTION("""COMPUTED_VALUE"""),459.65)</f>
        <v>459.65</v>
      </c>
      <c r="I79" s="16">
        <f>IFERROR(__xludf.DUMMYFUNCTION("""COMPUTED_VALUE"""),45854.6458333333)</f>
        <v>45854.6458333333</v>
      </c>
      <c r="J79" s="17">
        <f>IFERROR(__xludf.DUMMYFUNCTION("""COMPUTED_VALUE"""),452.1)</f>
        <v>452.1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IFERROR(__xludf.DUMMYFUNCTION("""COMPUTED_VALUE"""),456.3)</f>
        <v>456.3</v>
      </c>
      <c r="C80" s="16">
        <f>IFERROR(__xludf.DUMMYFUNCTION("""COMPUTED_VALUE"""),45855.6458333333)</f>
        <v>45855.6458333333</v>
      </c>
      <c r="D80" s="17">
        <f>IFERROR(__xludf.DUMMYFUNCTION("""COMPUTED_VALUE"""),457.6)</f>
        <v>457.6</v>
      </c>
      <c r="E80" s="16">
        <f>IFERROR(__xludf.DUMMYFUNCTION("""COMPUTED_VALUE"""),45855.6458333333)</f>
        <v>45855.6458333333</v>
      </c>
      <c r="F80" s="17">
        <f>IFERROR(__xludf.DUMMYFUNCTION("""COMPUTED_VALUE"""),436951)</f>
        <v>436951</v>
      </c>
      <c r="G80" s="16">
        <f>IFERROR(__xludf.DUMMYFUNCTION("""COMPUTED_VALUE"""),45855.6458333333)</f>
        <v>45855.6458333333</v>
      </c>
      <c r="H80" s="17">
        <f>IFERROR(__xludf.DUMMYFUNCTION("""COMPUTED_VALUE"""),458)</f>
        <v>458</v>
      </c>
      <c r="I80" s="16">
        <f>IFERROR(__xludf.DUMMYFUNCTION("""COMPUTED_VALUE"""),45855.6458333333)</f>
        <v>45855.6458333333</v>
      </c>
      <c r="J80" s="17">
        <f>IFERROR(__xludf.DUMMYFUNCTION("""COMPUTED_VALUE"""),454.2)</f>
        <v>454.2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IFERROR(__xludf.DUMMYFUNCTION("""COMPUTED_VALUE"""),446.65)</f>
        <v>446.65</v>
      </c>
      <c r="C81" s="16">
        <f>IFERROR(__xludf.DUMMYFUNCTION("""COMPUTED_VALUE"""),45856.6458333333)</f>
        <v>45856.6458333333</v>
      </c>
      <c r="D81" s="17">
        <f>IFERROR(__xludf.DUMMYFUNCTION("""COMPUTED_VALUE"""),456.3)</f>
        <v>456.3</v>
      </c>
      <c r="E81" s="16">
        <f>IFERROR(__xludf.DUMMYFUNCTION("""COMPUTED_VALUE"""),45856.6458333333)</f>
        <v>45856.6458333333</v>
      </c>
      <c r="F81" s="17">
        <f>IFERROR(__xludf.DUMMYFUNCTION("""COMPUTED_VALUE"""),1000844)</f>
        <v>1000844</v>
      </c>
      <c r="G81" s="16">
        <f>IFERROR(__xludf.DUMMYFUNCTION("""COMPUTED_VALUE"""),45856.6458333333)</f>
        <v>45856.6458333333</v>
      </c>
      <c r="H81" s="17">
        <f>IFERROR(__xludf.DUMMYFUNCTION("""COMPUTED_VALUE"""),456.95)</f>
        <v>456.95</v>
      </c>
      <c r="I81" s="16">
        <f>IFERROR(__xludf.DUMMYFUNCTION("""COMPUTED_VALUE"""),45856.6458333333)</f>
        <v>45856.6458333333</v>
      </c>
      <c r="J81" s="17">
        <f>IFERROR(__xludf.DUMMYFUNCTION("""COMPUTED_VALUE"""),444.8)</f>
        <v>444.8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IFERROR(__xludf.DUMMYFUNCTION("""COMPUTED_VALUE"""),441.9)</f>
        <v>441.9</v>
      </c>
      <c r="C82" s="16">
        <f>IFERROR(__xludf.DUMMYFUNCTION("""COMPUTED_VALUE"""),45859.6458333333)</f>
        <v>45859.6458333333</v>
      </c>
      <c r="D82" s="17">
        <f>IFERROR(__xludf.DUMMYFUNCTION("""COMPUTED_VALUE"""),447)</f>
        <v>447</v>
      </c>
      <c r="E82" s="16">
        <f>IFERROR(__xludf.DUMMYFUNCTION("""COMPUTED_VALUE"""),45859.6458333333)</f>
        <v>45859.6458333333</v>
      </c>
      <c r="F82" s="17">
        <f>IFERROR(__xludf.DUMMYFUNCTION("""COMPUTED_VALUE"""),811618)</f>
        <v>811618</v>
      </c>
      <c r="G82" s="16">
        <f>IFERROR(__xludf.DUMMYFUNCTION("""COMPUTED_VALUE"""),45859.6458333333)</f>
        <v>45859.6458333333</v>
      </c>
      <c r="H82" s="17">
        <f>IFERROR(__xludf.DUMMYFUNCTION("""COMPUTED_VALUE"""),448.2)</f>
        <v>448.2</v>
      </c>
      <c r="I82" s="16">
        <f>IFERROR(__xludf.DUMMYFUNCTION("""COMPUTED_VALUE"""),45859.6458333333)</f>
        <v>45859.6458333333</v>
      </c>
      <c r="J82" s="17">
        <f>IFERROR(__xludf.DUMMYFUNCTION("""COMPUTED_VALUE"""),440.5)</f>
        <v>440.5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IFERROR(__xludf.DUMMYFUNCTION("""COMPUTED_VALUE"""),422.95)</f>
        <v>422.95</v>
      </c>
      <c r="C83" s="16">
        <f>IFERROR(__xludf.DUMMYFUNCTION("""COMPUTED_VALUE"""),45860.6458333333)</f>
        <v>45860.6458333333</v>
      </c>
      <c r="D83" s="17">
        <f>IFERROR(__xludf.DUMMYFUNCTION("""COMPUTED_VALUE"""),444.9)</f>
        <v>444.9</v>
      </c>
      <c r="E83" s="16">
        <f>IFERROR(__xludf.DUMMYFUNCTION("""COMPUTED_VALUE"""),45860.6458333333)</f>
        <v>45860.6458333333</v>
      </c>
      <c r="F83" s="17">
        <f>IFERROR(__xludf.DUMMYFUNCTION("""COMPUTED_VALUE"""),3733943)</f>
        <v>3733943</v>
      </c>
      <c r="G83" s="16">
        <f>IFERROR(__xludf.DUMMYFUNCTION("""COMPUTED_VALUE"""),45860.6458333333)</f>
        <v>45860.6458333333</v>
      </c>
      <c r="H83" s="17">
        <f>IFERROR(__xludf.DUMMYFUNCTION("""COMPUTED_VALUE"""),444.9)</f>
        <v>444.9</v>
      </c>
      <c r="I83" s="16">
        <f>IFERROR(__xludf.DUMMYFUNCTION("""COMPUTED_VALUE"""),45860.6458333333)</f>
        <v>45860.6458333333</v>
      </c>
      <c r="J83" s="17">
        <f>IFERROR(__xludf.DUMMYFUNCTION("""COMPUTED_VALUE"""),421.6)</f>
        <v>421.6</v>
      </c>
      <c r="K83" s="3">
        <f t="shared" si="2"/>
        <v>0</v>
      </c>
      <c r="L83" s="3">
        <f t="shared" si="3"/>
        <v>422.95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IFERROR(__xludf.DUMMYFUNCTION("""COMPUTED_VALUE"""),427)</f>
        <v>427</v>
      </c>
      <c r="C84" s="16">
        <f>IFERROR(__xludf.DUMMYFUNCTION("""COMPUTED_VALUE"""),45861.6458333333)</f>
        <v>45861.6458333333</v>
      </c>
      <c r="D84" s="17">
        <f>IFERROR(__xludf.DUMMYFUNCTION("""COMPUTED_VALUE"""),422.95)</f>
        <v>422.95</v>
      </c>
      <c r="E84" s="16">
        <f>IFERROR(__xludf.DUMMYFUNCTION("""COMPUTED_VALUE"""),45861.6458333333)</f>
        <v>45861.6458333333</v>
      </c>
      <c r="F84" s="17">
        <f>IFERROR(__xludf.DUMMYFUNCTION("""COMPUTED_VALUE"""),1665826)</f>
        <v>1665826</v>
      </c>
      <c r="G84" s="16">
        <f>IFERROR(__xludf.DUMMYFUNCTION("""COMPUTED_VALUE"""),45861.6458333333)</f>
        <v>45861.6458333333</v>
      </c>
      <c r="H84" s="17">
        <f>IFERROR(__xludf.DUMMYFUNCTION("""COMPUTED_VALUE"""),429.9)</f>
        <v>429.9</v>
      </c>
      <c r="I84" s="16">
        <f>IFERROR(__xludf.DUMMYFUNCTION("""COMPUTED_VALUE"""),45861.6458333333)</f>
        <v>45861.6458333333</v>
      </c>
      <c r="J84" s="17">
        <f>IFERROR(__xludf.DUMMYFUNCTION("""COMPUTED_VALUE"""),417.5)</f>
        <v>417.5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IFERROR(__xludf.DUMMYFUNCTION("""COMPUTED_VALUE"""),433.7)</f>
        <v>433.7</v>
      </c>
      <c r="C85" s="16">
        <f>IFERROR(__xludf.DUMMYFUNCTION("""COMPUTED_VALUE"""),45862.6458333333)</f>
        <v>45862.6458333333</v>
      </c>
      <c r="D85" s="17">
        <f>IFERROR(__xludf.DUMMYFUNCTION("""COMPUTED_VALUE"""),428)</f>
        <v>428</v>
      </c>
      <c r="E85" s="16">
        <f>IFERROR(__xludf.DUMMYFUNCTION("""COMPUTED_VALUE"""),45862.6458333333)</f>
        <v>45862.6458333333</v>
      </c>
      <c r="F85" s="17">
        <f>IFERROR(__xludf.DUMMYFUNCTION("""COMPUTED_VALUE"""),1529976)</f>
        <v>1529976</v>
      </c>
      <c r="G85" s="16">
        <f>IFERROR(__xludf.DUMMYFUNCTION("""COMPUTED_VALUE"""),45862.6458333333)</f>
        <v>45862.6458333333</v>
      </c>
      <c r="H85" s="17">
        <f>IFERROR(__xludf.DUMMYFUNCTION("""COMPUTED_VALUE"""),436.5)</f>
        <v>436.5</v>
      </c>
      <c r="I85" s="16">
        <f>IFERROR(__xludf.DUMMYFUNCTION("""COMPUTED_VALUE"""),45862.6458333333)</f>
        <v>45862.6458333333</v>
      </c>
      <c r="J85" s="17">
        <f>IFERROR(__xludf.DUMMYFUNCTION("""COMPUTED_VALUE"""),425)</f>
        <v>425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IFERROR(__xludf.DUMMYFUNCTION("""COMPUTED_VALUE"""),430.25)</f>
        <v>430.25</v>
      </c>
      <c r="C86" s="16">
        <f>IFERROR(__xludf.DUMMYFUNCTION("""COMPUTED_VALUE"""),45863.6458333333)</f>
        <v>45863.6458333333</v>
      </c>
      <c r="D86" s="17">
        <f>IFERROR(__xludf.DUMMYFUNCTION("""COMPUTED_VALUE"""),433.7)</f>
        <v>433.7</v>
      </c>
      <c r="E86" s="16">
        <f>IFERROR(__xludf.DUMMYFUNCTION("""COMPUTED_VALUE"""),45863.6458333333)</f>
        <v>45863.6458333333</v>
      </c>
      <c r="F86" s="17">
        <f>IFERROR(__xludf.DUMMYFUNCTION("""COMPUTED_VALUE"""),1492835)</f>
        <v>1492835</v>
      </c>
      <c r="G86" s="16">
        <f>IFERROR(__xludf.DUMMYFUNCTION("""COMPUTED_VALUE"""),45863.6458333333)</f>
        <v>45863.6458333333</v>
      </c>
      <c r="H86" s="17">
        <f>IFERROR(__xludf.DUMMYFUNCTION("""COMPUTED_VALUE"""),434.6)</f>
        <v>434.6</v>
      </c>
      <c r="I86" s="16">
        <f>IFERROR(__xludf.DUMMYFUNCTION("""COMPUTED_VALUE"""),45863.6458333333)</f>
        <v>45863.6458333333</v>
      </c>
      <c r="J86" s="17">
        <f>IFERROR(__xludf.DUMMYFUNCTION("""COMPUTED_VALUE"""),424.35)</f>
        <v>424.35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IFERROR(__xludf.DUMMYFUNCTION("""COMPUTED_VALUE"""),428.5)</f>
        <v>428.5</v>
      </c>
      <c r="C87" s="16">
        <f>IFERROR(__xludf.DUMMYFUNCTION("""COMPUTED_VALUE"""),45866.6458333333)</f>
        <v>45866.6458333333</v>
      </c>
      <c r="D87" s="17">
        <f>IFERROR(__xludf.DUMMYFUNCTION("""COMPUTED_VALUE"""),430.85)</f>
        <v>430.85</v>
      </c>
      <c r="E87" s="16">
        <f>IFERROR(__xludf.DUMMYFUNCTION("""COMPUTED_VALUE"""),45866.6458333333)</f>
        <v>45866.6458333333</v>
      </c>
      <c r="F87" s="17">
        <f>IFERROR(__xludf.DUMMYFUNCTION("""COMPUTED_VALUE"""),878616)</f>
        <v>878616</v>
      </c>
      <c r="G87" s="16">
        <f>IFERROR(__xludf.DUMMYFUNCTION("""COMPUTED_VALUE"""),45866.6458333333)</f>
        <v>45866.6458333333</v>
      </c>
      <c r="H87" s="17">
        <f>IFERROR(__xludf.DUMMYFUNCTION("""COMPUTED_VALUE"""),433.95)</f>
        <v>433.95</v>
      </c>
      <c r="I87" s="16">
        <f>IFERROR(__xludf.DUMMYFUNCTION("""COMPUTED_VALUE"""),45866.6458333333)</f>
        <v>45866.6458333333</v>
      </c>
      <c r="J87" s="17">
        <f>IFERROR(__xludf.DUMMYFUNCTION("""COMPUTED_VALUE"""),427.5)</f>
        <v>427.5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IFERROR(__xludf.DUMMYFUNCTION("""COMPUTED_VALUE"""),442.1)</f>
        <v>442.1</v>
      </c>
      <c r="C88" s="16">
        <f>IFERROR(__xludf.DUMMYFUNCTION("""COMPUTED_VALUE"""),45867.6458333333)</f>
        <v>45867.6458333333</v>
      </c>
      <c r="D88" s="17">
        <f>IFERROR(__xludf.DUMMYFUNCTION("""COMPUTED_VALUE"""),429)</f>
        <v>429</v>
      </c>
      <c r="E88" s="16">
        <f>IFERROR(__xludf.DUMMYFUNCTION("""COMPUTED_VALUE"""),45867.6458333333)</f>
        <v>45867.6458333333</v>
      </c>
      <c r="F88" s="17">
        <f>IFERROR(__xludf.DUMMYFUNCTION("""COMPUTED_VALUE"""),2116529)</f>
        <v>2116529</v>
      </c>
      <c r="G88" s="16">
        <f>IFERROR(__xludf.DUMMYFUNCTION("""COMPUTED_VALUE"""),45867.6458333333)</f>
        <v>45867.6458333333</v>
      </c>
      <c r="H88" s="17">
        <f>IFERROR(__xludf.DUMMYFUNCTION("""COMPUTED_VALUE"""),444.4)</f>
        <v>444.4</v>
      </c>
      <c r="I88" s="16">
        <f>IFERROR(__xludf.DUMMYFUNCTION("""COMPUTED_VALUE"""),45867.6458333333)</f>
        <v>45867.6458333333</v>
      </c>
      <c r="J88" s="17">
        <f>IFERROR(__xludf.DUMMYFUNCTION("""COMPUTED_VALUE"""),428.75)</f>
        <v>428.75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IFERROR(__xludf.DUMMYFUNCTION("""COMPUTED_VALUE"""),445.5)</f>
        <v>445.5</v>
      </c>
      <c r="C89" s="16">
        <f>IFERROR(__xludf.DUMMYFUNCTION("""COMPUTED_VALUE"""),45868.6458333333)</f>
        <v>45868.6458333333</v>
      </c>
      <c r="D89" s="17">
        <f>IFERROR(__xludf.DUMMYFUNCTION("""COMPUTED_VALUE"""),445.6)</f>
        <v>445.6</v>
      </c>
      <c r="E89" s="16">
        <f>IFERROR(__xludf.DUMMYFUNCTION("""COMPUTED_VALUE"""),45868.6458333333)</f>
        <v>45868.6458333333</v>
      </c>
      <c r="F89" s="17">
        <f>IFERROR(__xludf.DUMMYFUNCTION("""COMPUTED_VALUE"""),1672861)</f>
        <v>1672861</v>
      </c>
      <c r="G89" s="16">
        <f>IFERROR(__xludf.DUMMYFUNCTION("""COMPUTED_VALUE"""),45868.6458333333)</f>
        <v>45868.6458333333</v>
      </c>
      <c r="H89" s="17">
        <f>IFERROR(__xludf.DUMMYFUNCTION("""COMPUTED_VALUE"""),450.6)</f>
        <v>450.6</v>
      </c>
      <c r="I89" s="16">
        <f>IFERROR(__xludf.DUMMYFUNCTION("""COMPUTED_VALUE"""),45868.6458333333)</f>
        <v>45868.6458333333</v>
      </c>
      <c r="J89" s="17">
        <f>IFERROR(__xludf.DUMMYFUNCTION("""COMPUTED_VALUE"""),441.5)</f>
        <v>441.5</v>
      </c>
      <c r="K89" s="3">
        <f t="shared" si="2"/>
        <v>445.5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IFERROR(__xludf.DUMMYFUNCTION("""COMPUTED_VALUE"""),420.05)</f>
        <v>420.05</v>
      </c>
      <c r="C90" s="16">
        <f>IFERROR(__xludf.DUMMYFUNCTION("""COMPUTED_VALUE"""),45869.6458333333)</f>
        <v>45869.6458333333</v>
      </c>
      <c r="D90" s="17">
        <f>IFERROR(__xludf.DUMMYFUNCTION("""COMPUTED_VALUE"""),439.95)</f>
        <v>439.95</v>
      </c>
      <c r="E90" s="16">
        <f>IFERROR(__xludf.DUMMYFUNCTION("""COMPUTED_VALUE"""),45869.6458333333)</f>
        <v>45869.6458333333</v>
      </c>
      <c r="F90" s="17">
        <f>IFERROR(__xludf.DUMMYFUNCTION("""COMPUTED_VALUE"""),7184197)</f>
        <v>7184197</v>
      </c>
      <c r="G90" s="16">
        <f>IFERROR(__xludf.DUMMYFUNCTION("""COMPUTED_VALUE"""),45869.6458333333)</f>
        <v>45869.6458333333</v>
      </c>
      <c r="H90" s="17">
        <f>IFERROR(__xludf.DUMMYFUNCTION("""COMPUTED_VALUE"""),442.4)</f>
        <v>442.4</v>
      </c>
      <c r="I90" s="16">
        <f>IFERROR(__xludf.DUMMYFUNCTION("""COMPUTED_VALUE"""),45869.6458333333)</f>
        <v>45869.6458333333</v>
      </c>
      <c r="J90" s="17">
        <f>IFERROR(__xludf.DUMMYFUNCTION("""COMPUTED_VALUE"""),416)</f>
        <v>416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IFERROR(__xludf.DUMMYFUNCTION("""COMPUTED_VALUE"""),406.35)</f>
        <v>406.35</v>
      </c>
      <c r="C91" s="16">
        <f>IFERROR(__xludf.DUMMYFUNCTION("""COMPUTED_VALUE"""),45870.6458333333)</f>
        <v>45870.6458333333</v>
      </c>
      <c r="D91" s="17">
        <f>IFERROR(__xludf.DUMMYFUNCTION("""COMPUTED_VALUE"""),410)</f>
        <v>410</v>
      </c>
      <c r="E91" s="16">
        <f>IFERROR(__xludf.DUMMYFUNCTION("""COMPUTED_VALUE"""),45870.6458333333)</f>
        <v>45870.6458333333</v>
      </c>
      <c r="F91" s="17">
        <f>IFERROR(__xludf.DUMMYFUNCTION("""COMPUTED_VALUE"""),2793245)</f>
        <v>2793245</v>
      </c>
      <c r="G91" s="16">
        <f>IFERROR(__xludf.DUMMYFUNCTION("""COMPUTED_VALUE"""),45870.6458333333)</f>
        <v>45870.6458333333</v>
      </c>
      <c r="H91" s="17">
        <f>IFERROR(__xludf.DUMMYFUNCTION("""COMPUTED_VALUE"""),417.75)</f>
        <v>417.75</v>
      </c>
      <c r="I91" s="16">
        <f>IFERROR(__xludf.DUMMYFUNCTION("""COMPUTED_VALUE"""),45870.6458333333)</f>
        <v>45870.6458333333</v>
      </c>
      <c r="J91" s="17">
        <f>IFERROR(__xludf.DUMMYFUNCTION("""COMPUTED_VALUE"""),404.2)</f>
        <v>404.2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IFERROR(__xludf.DUMMYFUNCTION("""COMPUTED_VALUE"""),395.1)</f>
        <v>395.1</v>
      </c>
      <c r="C92" s="16">
        <f>IFERROR(__xludf.DUMMYFUNCTION("""COMPUTED_VALUE"""),45873.6458333333)</f>
        <v>45873.6458333333</v>
      </c>
      <c r="D92" s="17">
        <f>IFERROR(__xludf.DUMMYFUNCTION("""COMPUTED_VALUE"""),407.65)</f>
        <v>407.65</v>
      </c>
      <c r="E92" s="16">
        <f>IFERROR(__xludf.DUMMYFUNCTION("""COMPUTED_VALUE"""),45873.6458333333)</f>
        <v>45873.6458333333</v>
      </c>
      <c r="F92" s="17">
        <f>IFERROR(__xludf.DUMMYFUNCTION("""COMPUTED_VALUE"""),2620181)</f>
        <v>2620181</v>
      </c>
      <c r="G92" s="16">
        <f>IFERROR(__xludf.DUMMYFUNCTION("""COMPUTED_VALUE"""),45873.6458333333)</f>
        <v>45873.6458333333</v>
      </c>
      <c r="H92" s="17">
        <f>IFERROR(__xludf.DUMMYFUNCTION("""COMPUTED_VALUE"""),409.2)</f>
        <v>409.2</v>
      </c>
      <c r="I92" s="16">
        <f>IFERROR(__xludf.DUMMYFUNCTION("""COMPUTED_VALUE"""),45873.6458333333)</f>
        <v>45873.6458333333</v>
      </c>
      <c r="J92" s="17">
        <f>IFERROR(__xludf.DUMMYFUNCTION("""COMPUTED_VALUE"""),388.05)</f>
        <v>388.05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IFERROR(__xludf.DUMMYFUNCTION("""COMPUTED_VALUE"""),383.6)</f>
        <v>383.6</v>
      </c>
      <c r="C93" s="16">
        <f>IFERROR(__xludf.DUMMYFUNCTION("""COMPUTED_VALUE"""),45874.6458333333)</f>
        <v>45874.6458333333</v>
      </c>
      <c r="D93" s="17">
        <f>IFERROR(__xludf.DUMMYFUNCTION("""COMPUTED_VALUE"""),396)</f>
        <v>396</v>
      </c>
      <c r="E93" s="16">
        <f>IFERROR(__xludf.DUMMYFUNCTION("""COMPUTED_VALUE"""),45874.6458333333)</f>
        <v>45874.6458333333</v>
      </c>
      <c r="F93" s="17">
        <f>IFERROR(__xludf.DUMMYFUNCTION("""COMPUTED_VALUE"""),2095359)</f>
        <v>2095359</v>
      </c>
      <c r="G93" s="16">
        <f>IFERROR(__xludf.DUMMYFUNCTION("""COMPUTED_VALUE"""),45874.6458333333)</f>
        <v>45874.6458333333</v>
      </c>
      <c r="H93" s="17">
        <f>IFERROR(__xludf.DUMMYFUNCTION("""COMPUTED_VALUE"""),398.55)</f>
        <v>398.55</v>
      </c>
      <c r="I93" s="16">
        <f>IFERROR(__xludf.DUMMYFUNCTION("""COMPUTED_VALUE"""),45874.6458333333)</f>
        <v>45874.6458333333</v>
      </c>
      <c r="J93" s="17">
        <f>IFERROR(__xludf.DUMMYFUNCTION("""COMPUTED_VALUE"""),382.2)</f>
        <v>382.2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IFERROR(__xludf.DUMMYFUNCTION("""COMPUTED_VALUE"""),386.1)</f>
        <v>386.1</v>
      </c>
      <c r="C94" s="16">
        <f>IFERROR(__xludf.DUMMYFUNCTION("""COMPUTED_VALUE"""),45875.6458333333)</f>
        <v>45875.6458333333</v>
      </c>
      <c r="D94" s="17">
        <f>IFERROR(__xludf.DUMMYFUNCTION("""COMPUTED_VALUE"""),384.9)</f>
        <v>384.9</v>
      </c>
      <c r="E94" s="16">
        <f>IFERROR(__xludf.DUMMYFUNCTION("""COMPUTED_VALUE"""),45875.6458333333)</f>
        <v>45875.6458333333</v>
      </c>
      <c r="F94" s="17">
        <f>IFERROR(__xludf.DUMMYFUNCTION("""COMPUTED_VALUE"""),1679499)</f>
        <v>1679499</v>
      </c>
      <c r="G94" s="16">
        <f>IFERROR(__xludf.DUMMYFUNCTION("""COMPUTED_VALUE"""),45875.6458333333)</f>
        <v>45875.6458333333</v>
      </c>
      <c r="H94" s="17">
        <f>IFERROR(__xludf.DUMMYFUNCTION("""COMPUTED_VALUE"""),387.65)</f>
        <v>387.65</v>
      </c>
      <c r="I94" s="16">
        <f>IFERROR(__xludf.DUMMYFUNCTION("""COMPUTED_VALUE"""),45875.6458333333)</f>
        <v>45875.6458333333</v>
      </c>
      <c r="J94" s="17">
        <f>IFERROR(__xludf.DUMMYFUNCTION("""COMPUTED_VALUE"""),377.15)</f>
        <v>377.15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IFERROR(__xludf.DUMMYFUNCTION("""COMPUTED_VALUE"""),378.45)</f>
        <v>378.45</v>
      </c>
      <c r="C95" s="16">
        <f>IFERROR(__xludf.DUMMYFUNCTION("""COMPUTED_VALUE"""),45876.6458333333)</f>
        <v>45876.6458333333</v>
      </c>
      <c r="D95" s="17">
        <f>IFERROR(__xludf.DUMMYFUNCTION("""COMPUTED_VALUE"""),384)</f>
        <v>384</v>
      </c>
      <c r="E95" s="16">
        <f>IFERROR(__xludf.DUMMYFUNCTION("""COMPUTED_VALUE"""),45876.6458333333)</f>
        <v>45876.6458333333</v>
      </c>
      <c r="F95" s="17">
        <f>IFERROR(__xludf.DUMMYFUNCTION("""COMPUTED_VALUE"""),2154850)</f>
        <v>2154850</v>
      </c>
      <c r="G95" s="16">
        <f>IFERROR(__xludf.DUMMYFUNCTION("""COMPUTED_VALUE"""),45876.6458333333)</f>
        <v>45876.6458333333</v>
      </c>
      <c r="H95" s="17">
        <f>IFERROR(__xludf.DUMMYFUNCTION("""COMPUTED_VALUE"""),384)</f>
        <v>384</v>
      </c>
      <c r="I95" s="16">
        <f>IFERROR(__xludf.DUMMYFUNCTION("""COMPUTED_VALUE"""),45876.6458333333)</f>
        <v>45876.6458333333</v>
      </c>
      <c r="J95" s="17">
        <f>IFERROR(__xludf.DUMMYFUNCTION("""COMPUTED_VALUE"""),374)</f>
        <v>374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IFERROR(__xludf.DUMMYFUNCTION("""COMPUTED_VALUE"""),375.1)</f>
        <v>375.1</v>
      </c>
      <c r="C96" s="16">
        <f>IFERROR(__xludf.DUMMYFUNCTION("""COMPUTED_VALUE"""),45877.6458333333)</f>
        <v>45877.6458333333</v>
      </c>
      <c r="D96" s="17">
        <f>IFERROR(__xludf.DUMMYFUNCTION("""COMPUTED_VALUE"""),379)</f>
        <v>379</v>
      </c>
      <c r="E96" s="16">
        <f>IFERROR(__xludf.DUMMYFUNCTION("""COMPUTED_VALUE"""),45877.6458333333)</f>
        <v>45877.6458333333</v>
      </c>
      <c r="F96" s="17">
        <f>IFERROR(__xludf.DUMMYFUNCTION("""COMPUTED_VALUE"""),798438)</f>
        <v>798438</v>
      </c>
      <c r="G96" s="16">
        <f>IFERROR(__xludf.DUMMYFUNCTION("""COMPUTED_VALUE"""),45877.6458333333)</f>
        <v>45877.6458333333</v>
      </c>
      <c r="H96" s="17">
        <f>IFERROR(__xludf.DUMMYFUNCTION("""COMPUTED_VALUE"""),383.45)</f>
        <v>383.45</v>
      </c>
      <c r="I96" s="16">
        <f>IFERROR(__xludf.DUMMYFUNCTION("""COMPUTED_VALUE"""),45877.6458333333)</f>
        <v>45877.6458333333</v>
      </c>
      <c r="J96" s="17">
        <f>IFERROR(__xludf.DUMMYFUNCTION("""COMPUTED_VALUE"""),373)</f>
        <v>373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IFERROR(__xludf.DUMMYFUNCTION("""COMPUTED_VALUE"""),374.9)</f>
        <v>374.9</v>
      </c>
      <c r="C97" s="16">
        <f>IFERROR(__xludf.DUMMYFUNCTION("""COMPUTED_VALUE"""),45880.6458333333)</f>
        <v>45880.6458333333</v>
      </c>
      <c r="D97" s="17">
        <f>IFERROR(__xludf.DUMMYFUNCTION("""COMPUTED_VALUE"""),375.1)</f>
        <v>375.1</v>
      </c>
      <c r="E97" s="16">
        <f>IFERROR(__xludf.DUMMYFUNCTION("""COMPUTED_VALUE"""),45880.6458333333)</f>
        <v>45880.6458333333</v>
      </c>
      <c r="F97" s="17">
        <f>IFERROR(__xludf.DUMMYFUNCTION("""COMPUTED_VALUE"""),1139835)</f>
        <v>1139835</v>
      </c>
      <c r="G97" s="16">
        <f>IFERROR(__xludf.DUMMYFUNCTION("""COMPUTED_VALUE"""),45880.6458333333)</f>
        <v>45880.6458333333</v>
      </c>
      <c r="H97" s="17">
        <f>IFERROR(__xludf.DUMMYFUNCTION("""COMPUTED_VALUE"""),376.7)</f>
        <v>376.7</v>
      </c>
      <c r="I97" s="16">
        <f>IFERROR(__xludf.DUMMYFUNCTION("""COMPUTED_VALUE"""),45880.6458333333)</f>
        <v>45880.6458333333</v>
      </c>
      <c r="J97" s="17">
        <f>IFERROR(__xludf.DUMMYFUNCTION("""COMPUTED_VALUE"""),367.5)</f>
        <v>367.5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IFERROR(__xludf.DUMMYFUNCTION("""COMPUTED_VALUE"""),372.05)</f>
        <v>372.05</v>
      </c>
      <c r="C98" s="16">
        <f>IFERROR(__xludf.DUMMYFUNCTION("""COMPUTED_VALUE"""),45881.6458333333)</f>
        <v>45881.6458333333</v>
      </c>
      <c r="D98" s="17">
        <f>IFERROR(__xludf.DUMMYFUNCTION("""COMPUTED_VALUE"""),376.2)</f>
        <v>376.2</v>
      </c>
      <c r="E98" s="16">
        <f>IFERROR(__xludf.DUMMYFUNCTION("""COMPUTED_VALUE"""),45881.6458333333)</f>
        <v>45881.6458333333</v>
      </c>
      <c r="F98" s="17">
        <f>IFERROR(__xludf.DUMMYFUNCTION("""COMPUTED_VALUE"""),1241922)</f>
        <v>1241922</v>
      </c>
      <c r="G98" s="16">
        <f>IFERROR(__xludf.DUMMYFUNCTION("""COMPUTED_VALUE"""),45881.6458333333)</f>
        <v>45881.6458333333</v>
      </c>
      <c r="H98" s="17">
        <f>IFERROR(__xludf.DUMMYFUNCTION("""COMPUTED_VALUE"""),377.65)</f>
        <v>377.65</v>
      </c>
      <c r="I98" s="16">
        <f>IFERROR(__xludf.DUMMYFUNCTION("""COMPUTED_VALUE"""),45881.6458333333)</f>
        <v>45881.6458333333</v>
      </c>
      <c r="J98" s="17">
        <f>IFERROR(__xludf.DUMMYFUNCTION("""COMPUTED_VALUE"""),370.3)</f>
        <v>370.3</v>
      </c>
      <c r="K98" s="3">
        <f t="shared" si="2"/>
        <v>0</v>
      </c>
      <c r="L98" s="3">
        <f t="shared" si="3"/>
        <v>372.05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IFERROR(__xludf.DUMMYFUNCTION("""COMPUTED_VALUE"""),382.75)</f>
        <v>382.75</v>
      </c>
      <c r="C99" s="16">
        <f>IFERROR(__xludf.DUMMYFUNCTION("""COMPUTED_VALUE"""),45882.6458333333)</f>
        <v>45882.6458333333</v>
      </c>
      <c r="D99" s="17">
        <f>IFERROR(__xludf.DUMMYFUNCTION("""COMPUTED_VALUE"""),374.1)</f>
        <v>374.1</v>
      </c>
      <c r="E99" s="16">
        <f>IFERROR(__xludf.DUMMYFUNCTION("""COMPUTED_VALUE"""),45882.6458333333)</f>
        <v>45882.6458333333</v>
      </c>
      <c r="F99" s="17">
        <f>IFERROR(__xludf.DUMMYFUNCTION("""COMPUTED_VALUE"""),1939707)</f>
        <v>1939707</v>
      </c>
      <c r="G99" s="16">
        <f>IFERROR(__xludf.DUMMYFUNCTION("""COMPUTED_VALUE"""),45882.6458333333)</f>
        <v>45882.6458333333</v>
      </c>
      <c r="H99" s="17">
        <f>IFERROR(__xludf.DUMMYFUNCTION("""COMPUTED_VALUE"""),393.25)</f>
        <v>393.25</v>
      </c>
      <c r="I99" s="16">
        <f>IFERROR(__xludf.DUMMYFUNCTION("""COMPUTED_VALUE"""),45882.6458333333)</f>
        <v>45882.6458333333</v>
      </c>
      <c r="J99" s="17">
        <f>IFERROR(__xludf.DUMMYFUNCTION("""COMPUTED_VALUE"""),372.8)</f>
        <v>372.8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IFERROR(__xludf.DUMMYFUNCTION("""COMPUTED_VALUE"""),376.1)</f>
        <v>376.1</v>
      </c>
      <c r="C100" s="16">
        <f>IFERROR(__xludf.DUMMYFUNCTION("""COMPUTED_VALUE"""),45883.6458333333)</f>
        <v>45883.6458333333</v>
      </c>
      <c r="D100" s="17">
        <f>IFERROR(__xludf.DUMMYFUNCTION("""COMPUTED_VALUE"""),384.35)</f>
        <v>384.35</v>
      </c>
      <c r="E100" s="16">
        <f>IFERROR(__xludf.DUMMYFUNCTION("""COMPUTED_VALUE"""),45883.6458333333)</f>
        <v>45883.6458333333</v>
      </c>
      <c r="F100" s="17">
        <f>IFERROR(__xludf.DUMMYFUNCTION("""COMPUTED_VALUE"""),523773)</f>
        <v>523773</v>
      </c>
      <c r="G100" s="16">
        <f>IFERROR(__xludf.DUMMYFUNCTION("""COMPUTED_VALUE"""),45883.6458333333)</f>
        <v>45883.6458333333</v>
      </c>
      <c r="H100" s="17">
        <f>IFERROR(__xludf.DUMMYFUNCTION("""COMPUTED_VALUE"""),384.6)</f>
        <v>384.6</v>
      </c>
      <c r="I100" s="16">
        <f>IFERROR(__xludf.DUMMYFUNCTION("""COMPUTED_VALUE"""),45883.6458333333)</f>
        <v>45883.6458333333</v>
      </c>
      <c r="J100" s="17">
        <f>IFERROR(__xludf.DUMMYFUNCTION("""COMPUTED_VALUE"""),375)</f>
        <v>375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IFERROR(__xludf.DUMMYFUNCTION("""COMPUTED_VALUE"""),383.75)</f>
        <v>383.75</v>
      </c>
      <c r="C101" s="16">
        <f>IFERROR(__xludf.DUMMYFUNCTION("""COMPUTED_VALUE"""),45887.6458333333)</f>
        <v>45887.6458333333</v>
      </c>
      <c r="D101" s="17">
        <f>IFERROR(__xludf.DUMMYFUNCTION("""COMPUTED_VALUE"""),380.05)</f>
        <v>380.05</v>
      </c>
      <c r="E101" s="16">
        <f>IFERROR(__xludf.DUMMYFUNCTION("""COMPUTED_VALUE"""),45887.6458333333)</f>
        <v>45887.6458333333</v>
      </c>
      <c r="F101" s="17">
        <f>IFERROR(__xludf.DUMMYFUNCTION("""COMPUTED_VALUE"""),726007)</f>
        <v>726007</v>
      </c>
      <c r="G101" s="16">
        <f>IFERROR(__xludf.DUMMYFUNCTION("""COMPUTED_VALUE"""),45887.6458333333)</f>
        <v>45887.6458333333</v>
      </c>
      <c r="H101" s="17">
        <f>IFERROR(__xludf.DUMMYFUNCTION("""COMPUTED_VALUE"""),386.05)</f>
        <v>386.05</v>
      </c>
      <c r="I101" s="16">
        <f>IFERROR(__xludf.DUMMYFUNCTION("""COMPUTED_VALUE"""),45887.6458333333)</f>
        <v>45887.6458333333</v>
      </c>
      <c r="J101" s="17">
        <f>IFERROR(__xludf.DUMMYFUNCTION("""COMPUTED_VALUE"""),375.3)</f>
        <v>375.3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IFERROR(__xludf.DUMMYFUNCTION("""COMPUTED_VALUE"""),389.45)</f>
        <v>389.45</v>
      </c>
      <c r="C102" s="16">
        <f>IFERROR(__xludf.DUMMYFUNCTION("""COMPUTED_VALUE"""),45888.6458333333)</f>
        <v>45888.6458333333</v>
      </c>
      <c r="D102" s="17">
        <f>IFERROR(__xludf.DUMMYFUNCTION("""COMPUTED_VALUE"""),385.6)</f>
        <v>385.6</v>
      </c>
      <c r="E102" s="16">
        <f>IFERROR(__xludf.DUMMYFUNCTION("""COMPUTED_VALUE"""),45888.6458333333)</f>
        <v>45888.6458333333</v>
      </c>
      <c r="F102" s="17">
        <f>IFERROR(__xludf.DUMMYFUNCTION("""COMPUTED_VALUE"""),579613)</f>
        <v>579613</v>
      </c>
      <c r="G102" s="16">
        <f>IFERROR(__xludf.DUMMYFUNCTION("""COMPUTED_VALUE"""),45888.6458333333)</f>
        <v>45888.6458333333</v>
      </c>
      <c r="H102" s="17">
        <f>IFERROR(__xludf.DUMMYFUNCTION("""COMPUTED_VALUE"""),390.5)</f>
        <v>390.5</v>
      </c>
      <c r="I102" s="16">
        <f>IFERROR(__xludf.DUMMYFUNCTION("""COMPUTED_VALUE"""),45888.6458333333)</f>
        <v>45888.6458333333</v>
      </c>
      <c r="J102" s="17">
        <f>IFERROR(__xludf.DUMMYFUNCTION("""COMPUTED_VALUE"""),382.05)</f>
        <v>382.05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IFERROR(__xludf.DUMMYFUNCTION("""COMPUTED_VALUE"""),393.9)</f>
        <v>393.9</v>
      </c>
      <c r="C103" s="16">
        <f>IFERROR(__xludf.DUMMYFUNCTION("""COMPUTED_VALUE"""),45889.6458333333)</f>
        <v>45889.6458333333</v>
      </c>
      <c r="D103" s="17">
        <f>IFERROR(__xludf.DUMMYFUNCTION("""COMPUTED_VALUE"""),390)</f>
        <v>390</v>
      </c>
      <c r="E103" s="16">
        <f>IFERROR(__xludf.DUMMYFUNCTION("""COMPUTED_VALUE"""),45889.6458333333)</f>
        <v>45889.6458333333</v>
      </c>
      <c r="F103" s="17">
        <f>IFERROR(__xludf.DUMMYFUNCTION("""COMPUTED_VALUE"""),776052)</f>
        <v>776052</v>
      </c>
      <c r="G103" s="16">
        <f>IFERROR(__xludf.DUMMYFUNCTION("""COMPUTED_VALUE"""),45889.6458333333)</f>
        <v>45889.6458333333</v>
      </c>
      <c r="H103" s="17">
        <f>IFERROR(__xludf.DUMMYFUNCTION("""COMPUTED_VALUE"""),395.75)</f>
        <v>395.75</v>
      </c>
      <c r="I103" s="16">
        <f>IFERROR(__xludf.DUMMYFUNCTION("""COMPUTED_VALUE"""),45889.6458333333)</f>
        <v>45889.6458333333</v>
      </c>
      <c r="J103" s="17">
        <f>IFERROR(__xludf.DUMMYFUNCTION("""COMPUTED_VALUE"""),385.85)</f>
        <v>385.85</v>
      </c>
      <c r="K103" s="3">
        <f t="shared" si="2"/>
        <v>393.9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IFERROR(__xludf.DUMMYFUNCTION("""COMPUTED_VALUE"""),381.9)</f>
        <v>381.9</v>
      </c>
      <c r="C104" s="16">
        <f>IFERROR(__xludf.DUMMYFUNCTION("""COMPUTED_VALUE"""),45890.6458333333)</f>
        <v>45890.6458333333</v>
      </c>
      <c r="D104" s="17">
        <f>IFERROR(__xludf.DUMMYFUNCTION("""COMPUTED_VALUE"""),393.85)</f>
        <v>393.85</v>
      </c>
      <c r="E104" s="16">
        <f>IFERROR(__xludf.DUMMYFUNCTION("""COMPUTED_VALUE"""),45890.6458333333)</f>
        <v>45890.6458333333</v>
      </c>
      <c r="F104" s="17">
        <f>IFERROR(__xludf.DUMMYFUNCTION("""COMPUTED_VALUE"""),820038)</f>
        <v>820038</v>
      </c>
      <c r="G104" s="16">
        <f>IFERROR(__xludf.DUMMYFUNCTION("""COMPUTED_VALUE"""),45890.6458333333)</f>
        <v>45890.6458333333</v>
      </c>
      <c r="H104" s="17">
        <f>IFERROR(__xludf.DUMMYFUNCTION("""COMPUTED_VALUE"""),393.85)</f>
        <v>393.85</v>
      </c>
      <c r="I104" s="16">
        <f>IFERROR(__xludf.DUMMYFUNCTION("""COMPUTED_VALUE"""),45890.6458333333)</f>
        <v>45890.6458333333</v>
      </c>
      <c r="J104" s="17">
        <f>IFERROR(__xludf.DUMMYFUNCTION("""COMPUTED_VALUE"""),378.95)</f>
        <v>378.95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IFERROR(__xludf.DUMMYFUNCTION("""COMPUTED_VALUE"""),382.3)</f>
        <v>382.3</v>
      </c>
      <c r="C105" s="16">
        <f>IFERROR(__xludf.DUMMYFUNCTION("""COMPUTED_VALUE"""),45891.6458333333)</f>
        <v>45891.6458333333</v>
      </c>
      <c r="D105" s="17">
        <f>IFERROR(__xludf.DUMMYFUNCTION("""COMPUTED_VALUE"""),384)</f>
        <v>384</v>
      </c>
      <c r="E105" s="16">
        <f>IFERROR(__xludf.DUMMYFUNCTION("""COMPUTED_VALUE"""),45891.6458333333)</f>
        <v>45891.6458333333</v>
      </c>
      <c r="F105" s="17">
        <f>IFERROR(__xludf.DUMMYFUNCTION("""COMPUTED_VALUE"""),419905)</f>
        <v>419905</v>
      </c>
      <c r="G105" s="16">
        <f>IFERROR(__xludf.DUMMYFUNCTION("""COMPUTED_VALUE"""),45891.6458333333)</f>
        <v>45891.6458333333</v>
      </c>
      <c r="H105" s="17">
        <f>IFERROR(__xludf.DUMMYFUNCTION("""COMPUTED_VALUE"""),386.45)</f>
        <v>386.45</v>
      </c>
      <c r="I105" s="16">
        <f>IFERROR(__xludf.DUMMYFUNCTION("""COMPUTED_VALUE"""),45891.6458333333)</f>
        <v>45891.6458333333</v>
      </c>
      <c r="J105" s="17">
        <f>IFERROR(__xludf.DUMMYFUNCTION("""COMPUTED_VALUE"""),381)</f>
        <v>381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IFERROR(__xludf.DUMMYFUNCTION("""COMPUTED_VALUE"""),388.55)</f>
        <v>388.55</v>
      </c>
      <c r="C106" s="16">
        <f>IFERROR(__xludf.DUMMYFUNCTION("""COMPUTED_VALUE"""),45894.6458333333)</f>
        <v>45894.6458333333</v>
      </c>
      <c r="D106" s="17">
        <f>IFERROR(__xludf.DUMMYFUNCTION("""COMPUTED_VALUE"""),382.95)</f>
        <v>382.95</v>
      </c>
      <c r="E106" s="16">
        <f>IFERROR(__xludf.DUMMYFUNCTION("""COMPUTED_VALUE"""),45894.6458333333)</f>
        <v>45894.6458333333</v>
      </c>
      <c r="F106" s="17">
        <f>IFERROR(__xludf.DUMMYFUNCTION("""COMPUTED_VALUE"""),463760)</f>
        <v>463760</v>
      </c>
      <c r="G106" s="16">
        <f>IFERROR(__xludf.DUMMYFUNCTION("""COMPUTED_VALUE"""),45894.6458333333)</f>
        <v>45894.6458333333</v>
      </c>
      <c r="H106" s="17">
        <f>IFERROR(__xludf.DUMMYFUNCTION("""COMPUTED_VALUE"""),389.5)</f>
        <v>389.5</v>
      </c>
      <c r="I106" s="16">
        <f>IFERROR(__xludf.DUMMYFUNCTION("""COMPUTED_VALUE"""),45894.6458333333)</f>
        <v>45894.6458333333</v>
      </c>
      <c r="J106" s="17">
        <f>IFERROR(__xludf.DUMMYFUNCTION("""COMPUTED_VALUE"""),382.3)</f>
        <v>382.3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IFERROR(__xludf.DUMMYFUNCTION("""COMPUTED_VALUE"""),386)</f>
        <v>386</v>
      </c>
      <c r="C107" s="16">
        <f>IFERROR(__xludf.DUMMYFUNCTION("""COMPUTED_VALUE"""),45895.6458333333)</f>
        <v>45895.6458333333</v>
      </c>
      <c r="D107" s="17">
        <f>IFERROR(__xludf.DUMMYFUNCTION("""COMPUTED_VALUE"""),390)</f>
        <v>390</v>
      </c>
      <c r="E107" s="16">
        <f>IFERROR(__xludf.DUMMYFUNCTION("""COMPUTED_VALUE"""),45895.6458333333)</f>
        <v>45895.6458333333</v>
      </c>
      <c r="F107" s="17">
        <f>IFERROR(__xludf.DUMMYFUNCTION("""COMPUTED_VALUE"""),964212)</f>
        <v>964212</v>
      </c>
      <c r="G107" s="16">
        <f>IFERROR(__xludf.DUMMYFUNCTION("""COMPUTED_VALUE"""),45895.6458333333)</f>
        <v>45895.6458333333</v>
      </c>
      <c r="H107" s="17">
        <f>IFERROR(__xludf.DUMMYFUNCTION("""COMPUTED_VALUE"""),391.65)</f>
        <v>391.65</v>
      </c>
      <c r="I107" s="16">
        <f>IFERROR(__xludf.DUMMYFUNCTION("""COMPUTED_VALUE"""),45895.6458333333)</f>
        <v>45895.6458333333</v>
      </c>
      <c r="J107" s="17">
        <f>IFERROR(__xludf.DUMMYFUNCTION("""COMPUTED_VALUE"""),382.45)</f>
        <v>382.45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IFERROR(__xludf.DUMMYFUNCTION("""COMPUTED_VALUE"""),376.95)</f>
        <v>376.95</v>
      </c>
      <c r="C108" s="16">
        <f>IFERROR(__xludf.DUMMYFUNCTION("""COMPUTED_VALUE"""),45897.6458333333)</f>
        <v>45897.6458333333</v>
      </c>
      <c r="D108" s="17">
        <f>IFERROR(__xludf.DUMMYFUNCTION("""COMPUTED_VALUE"""),384.1)</f>
        <v>384.1</v>
      </c>
      <c r="E108" s="16">
        <f>IFERROR(__xludf.DUMMYFUNCTION("""COMPUTED_VALUE"""),45897.6458333333)</f>
        <v>45897.6458333333</v>
      </c>
      <c r="F108" s="17">
        <f>IFERROR(__xludf.DUMMYFUNCTION("""COMPUTED_VALUE"""),610538)</f>
        <v>610538</v>
      </c>
      <c r="G108" s="16">
        <f>IFERROR(__xludf.DUMMYFUNCTION("""COMPUTED_VALUE"""),45897.6458333333)</f>
        <v>45897.6458333333</v>
      </c>
      <c r="H108" s="17">
        <f>IFERROR(__xludf.DUMMYFUNCTION("""COMPUTED_VALUE"""),384.8)</f>
        <v>384.8</v>
      </c>
      <c r="I108" s="16">
        <f>IFERROR(__xludf.DUMMYFUNCTION("""COMPUTED_VALUE"""),45897.6458333333)</f>
        <v>45897.6458333333</v>
      </c>
      <c r="J108" s="17">
        <f>IFERROR(__xludf.DUMMYFUNCTION("""COMPUTED_VALUE"""),375)</f>
        <v>375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IFERROR(__xludf.DUMMYFUNCTION("""COMPUTED_VALUE"""),376.1)</f>
        <v>376.1</v>
      </c>
      <c r="C109" s="16">
        <f>IFERROR(__xludf.DUMMYFUNCTION("""COMPUTED_VALUE"""),45898.6458333333)</f>
        <v>45898.6458333333</v>
      </c>
      <c r="D109" s="17">
        <f>IFERROR(__xludf.DUMMYFUNCTION("""COMPUTED_VALUE"""),377.95)</f>
        <v>377.95</v>
      </c>
      <c r="E109" s="16">
        <f>IFERROR(__xludf.DUMMYFUNCTION("""COMPUTED_VALUE"""),45898.6458333333)</f>
        <v>45898.6458333333</v>
      </c>
      <c r="F109" s="17">
        <f>IFERROR(__xludf.DUMMYFUNCTION("""COMPUTED_VALUE"""),374976)</f>
        <v>374976</v>
      </c>
      <c r="G109" s="16">
        <f>IFERROR(__xludf.DUMMYFUNCTION("""COMPUTED_VALUE"""),45898.6458333333)</f>
        <v>45898.6458333333</v>
      </c>
      <c r="H109" s="17">
        <f>IFERROR(__xludf.DUMMYFUNCTION("""COMPUTED_VALUE"""),381.9)</f>
        <v>381.9</v>
      </c>
      <c r="I109" s="16">
        <f>IFERROR(__xludf.DUMMYFUNCTION("""COMPUTED_VALUE"""),45898.6458333333)</f>
        <v>45898.6458333333</v>
      </c>
      <c r="J109" s="17">
        <f>IFERROR(__xludf.DUMMYFUNCTION("""COMPUTED_VALUE"""),372)</f>
        <v>372</v>
      </c>
      <c r="K109" s="3">
        <f t="shared" si="2"/>
        <v>0</v>
      </c>
      <c r="L109" s="3">
        <f t="shared" si="3"/>
        <v>376.1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IFERROR(__xludf.DUMMYFUNCTION("""COMPUTED_VALUE"""),377.6)</f>
        <v>377.6</v>
      </c>
      <c r="C110" s="16">
        <f>IFERROR(__xludf.DUMMYFUNCTION("""COMPUTED_VALUE"""),45901.6458333333)</f>
        <v>45901.6458333333</v>
      </c>
      <c r="D110" s="17">
        <f>IFERROR(__xludf.DUMMYFUNCTION("""COMPUTED_VALUE"""),376.1)</f>
        <v>376.1</v>
      </c>
      <c r="E110" s="16">
        <f>IFERROR(__xludf.DUMMYFUNCTION("""COMPUTED_VALUE"""),45901.6458333333)</f>
        <v>45901.6458333333</v>
      </c>
      <c r="F110" s="17">
        <f>IFERROR(__xludf.DUMMYFUNCTION("""COMPUTED_VALUE"""),329956)</f>
        <v>329956</v>
      </c>
      <c r="G110" s="16">
        <f>IFERROR(__xludf.DUMMYFUNCTION("""COMPUTED_VALUE"""),45901.6458333333)</f>
        <v>45901.6458333333</v>
      </c>
      <c r="H110" s="17">
        <f>IFERROR(__xludf.DUMMYFUNCTION("""COMPUTED_VALUE"""),379.6)</f>
        <v>379.6</v>
      </c>
      <c r="I110" s="16">
        <f>IFERROR(__xludf.DUMMYFUNCTION("""COMPUTED_VALUE"""),45901.6458333333)</f>
        <v>45901.6458333333</v>
      </c>
      <c r="J110" s="17">
        <f>IFERROR(__xludf.DUMMYFUNCTION("""COMPUTED_VALUE"""),375.3)</f>
        <v>375.3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IFERROR(__xludf.DUMMYFUNCTION("""COMPUTED_VALUE"""),383.05)</f>
        <v>383.05</v>
      </c>
      <c r="C111" s="16">
        <f>IFERROR(__xludf.DUMMYFUNCTION("""COMPUTED_VALUE"""),45902.6458333333)</f>
        <v>45902.6458333333</v>
      </c>
      <c r="D111" s="17">
        <f>IFERROR(__xludf.DUMMYFUNCTION("""COMPUTED_VALUE"""),378.55)</f>
        <v>378.55</v>
      </c>
      <c r="E111" s="16">
        <f>IFERROR(__xludf.DUMMYFUNCTION("""COMPUTED_VALUE"""),45902.6458333333)</f>
        <v>45902.6458333333</v>
      </c>
      <c r="F111" s="17">
        <f>IFERROR(__xludf.DUMMYFUNCTION("""COMPUTED_VALUE"""),449899)</f>
        <v>449899</v>
      </c>
      <c r="G111" s="16">
        <f>IFERROR(__xludf.DUMMYFUNCTION("""COMPUTED_VALUE"""),45902.6458333333)</f>
        <v>45902.6458333333</v>
      </c>
      <c r="H111" s="17">
        <f>IFERROR(__xludf.DUMMYFUNCTION("""COMPUTED_VALUE"""),385.9)</f>
        <v>385.9</v>
      </c>
      <c r="I111" s="16">
        <f>IFERROR(__xludf.DUMMYFUNCTION("""COMPUTED_VALUE"""),45902.6458333333)</f>
        <v>45902.6458333333</v>
      </c>
      <c r="J111" s="17">
        <f>IFERROR(__xludf.DUMMYFUNCTION("""COMPUTED_VALUE"""),377.5)</f>
        <v>377.5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IFERROR(__xludf.DUMMYFUNCTION("""COMPUTED_VALUE"""),385.45)</f>
        <v>385.45</v>
      </c>
      <c r="C112" s="16">
        <f>IFERROR(__xludf.DUMMYFUNCTION("""COMPUTED_VALUE"""),45903.6458333333)</f>
        <v>45903.6458333333</v>
      </c>
      <c r="D112" s="17">
        <f>IFERROR(__xludf.DUMMYFUNCTION("""COMPUTED_VALUE"""),385.65)</f>
        <v>385.65</v>
      </c>
      <c r="E112" s="16">
        <f>IFERROR(__xludf.DUMMYFUNCTION("""COMPUTED_VALUE"""),45903.6458333333)</f>
        <v>45903.6458333333</v>
      </c>
      <c r="F112" s="17">
        <f>IFERROR(__xludf.DUMMYFUNCTION("""COMPUTED_VALUE"""),639227)</f>
        <v>639227</v>
      </c>
      <c r="G112" s="16">
        <f>IFERROR(__xludf.DUMMYFUNCTION("""COMPUTED_VALUE"""),45903.6458333333)</f>
        <v>45903.6458333333</v>
      </c>
      <c r="H112" s="17">
        <f>IFERROR(__xludf.DUMMYFUNCTION("""COMPUTED_VALUE"""),389)</f>
        <v>389</v>
      </c>
      <c r="I112" s="16">
        <f>IFERROR(__xludf.DUMMYFUNCTION("""COMPUTED_VALUE"""),45903.6458333333)</f>
        <v>45903.6458333333</v>
      </c>
      <c r="J112" s="17">
        <f>IFERROR(__xludf.DUMMYFUNCTION("""COMPUTED_VALUE"""),383.2)</f>
        <v>383.2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IFERROR(__xludf.DUMMYFUNCTION("""COMPUTED_VALUE"""),380.8)</f>
        <v>380.8</v>
      </c>
      <c r="C113" s="16">
        <f>IFERROR(__xludf.DUMMYFUNCTION("""COMPUTED_VALUE"""),45904.6458333333)</f>
        <v>45904.6458333333</v>
      </c>
      <c r="D113" s="17">
        <f>IFERROR(__xludf.DUMMYFUNCTION("""COMPUTED_VALUE"""),388.9)</f>
        <v>388.9</v>
      </c>
      <c r="E113" s="16">
        <f>IFERROR(__xludf.DUMMYFUNCTION("""COMPUTED_VALUE"""),45904.6458333333)</f>
        <v>45904.6458333333</v>
      </c>
      <c r="F113" s="17">
        <f>IFERROR(__xludf.DUMMYFUNCTION("""COMPUTED_VALUE"""),482205)</f>
        <v>482205</v>
      </c>
      <c r="G113" s="16">
        <f>IFERROR(__xludf.DUMMYFUNCTION("""COMPUTED_VALUE"""),45904.6458333333)</f>
        <v>45904.6458333333</v>
      </c>
      <c r="H113" s="17">
        <f>IFERROR(__xludf.DUMMYFUNCTION("""COMPUTED_VALUE"""),388.9)</f>
        <v>388.9</v>
      </c>
      <c r="I113" s="16">
        <f>IFERROR(__xludf.DUMMYFUNCTION("""COMPUTED_VALUE"""),45904.6458333333)</f>
        <v>45904.6458333333</v>
      </c>
      <c r="J113" s="17">
        <f>IFERROR(__xludf.DUMMYFUNCTION("""COMPUTED_VALUE"""),378.9)</f>
        <v>378.9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IFERROR(__xludf.DUMMYFUNCTION("""COMPUTED_VALUE"""),376.55)</f>
        <v>376.55</v>
      </c>
      <c r="C114" s="16">
        <f>IFERROR(__xludf.DUMMYFUNCTION("""COMPUTED_VALUE"""),45905.6458333333)</f>
        <v>45905.6458333333</v>
      </c>
      <c r="D114" s="17">
        <f>IFERROR(__xludf.DUMMYFUNCTION("""COMPUTED_VALUE"""),382.1)</f>
        <v>382.1</v>
      </c>
      <c r="E114" s="16">
        <f>IFERROR(__xludf.DUMMYFUNCTION("""COMPUTED_VALUE"""),45905.6458333333)</f>
        <v>45905.6458333333</v>
      </c>
      <c r="F114" s="17">
        <f>IFERROR(__xludf.DUMMYFUNCTION("""COMPUTED_VALUE"""),478146)</f>
        <v>478146</v>
      </c>
      <c r="G114" s="16">
        <f>IFERROR(__xludf.DUMMYFUNCTION("""COMPUTED_VALUE"""),45905.6458333333)</f>
        <v>45905.6458333333</v>
      </c>
      <c r="H114" s="17">
        <f>IFERROR(__xludf.DUMMYFUNCTION("""COMPUTED_VALUE"""),382.75)</f>
        <v>382.75</v>
      </c>
      <c r="I114" s="16">
        <f>IFERROR(__xludf.DUMMYFUNCTION("""COMPUTED_VALUE"""),45905.6458333333)</f>
        <v>45905.6458333333</v>
      </c>
      <c r="J114" s="17">
        <f>IFERROR(__xludf.DUMMYFUNCTION("""COMPUTED_VALUE"""),375.05)</f>
        <v>375.05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IFERROR(__xludf.DUMMYFUNCTION("""COMPUTED_VALUE"""),389.45)</f>
        <v>389.45</v>
      </c>
      <c r="C115" s="16">
        <f>IFERROR(__xludf.DUMMYFUNCTION("""COMPUTED_VALUE"""),45908.6458333333)</f>
        <v>45908.6458333333</v>
      </c>
      <c r="D115" s="17">
        <f>IFERROR(__xludf.DUMMYFUNCTION("""COMPUTED_VALUE"""),377.65)</f>
        <v>377.65</v>
      </c>
      <c r="E115" s="16">
        <f>IFERROR(__xludf.DUMMYFUNCTION("""COMPUTED_VALUE"""),45908.6458333333)</f>
        <v>45908.6458333333</v>
      </c>
      <c r="F115" s="17">
        <f>IFERROR(__xludf.DUMMYFUNCTION("""COMPUTED_VALUE"""),1106620)</f>
        <v>1106620</v>
      </c>
      <c r="G115" s="16">
        <f>IFERROR(__xludf.DUMMYFUNCTION("""COMPUTED_VALUE"""),45908.6458333333)</f>
        <v>45908.6458333333</v>
      </c>
      <c r="H115" s="17">
        <f>IFERROR(__xludf.DUMMYFUNCTION("""COMPUTED_VALUE"""),394.2)</f>
        <v>394.2</v>
      </c>
      <c r="I115" s="16">
        <f>IFERROR(__xludf.DUMMYFUNCTION("""COMPUTED_VALUE"""),45908.6458333333)</f>
        <v>45908.6458333333</v>
      </c>
      <c r="J115" s="17">
        <f>IFERROR(__xludf.DUMMYFUNCTION("""COMPUTED_VALUE"""),376.4)</f>
        <v>376.4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IFERROR(__xludf.DUMMYFUNCTION("""COMPUTED_VALUE"""),388)</f>
        <v>388</v>
      </c>
      <c r="C116" s="16">
        <f>IFERROR(__xludf.DUMMYFUNCTION("""COMPUTED_VALUE"""),45909.6458333333)</f>
        <v>45909.6458333333</v>
      </c>
      <c r="D116" s="17">
        <f>IFERROR(__xludf.DUMMYFUNCTION("""COMPUTED_VALUE"""),389.95)</f>
        <v>389.95</v>
      </c>
      <c r="E116" s="16">
        <f>IFERROR(__xludf.DUMMYFUNCTION("""COMPUTED_VALUE"""),45909.6458333333)</f>
        <v>45909.6458333333</v>
      </c>
      <c r="F116" s="17">
        <f>IFERROR(__xludf.DUMMYFUNCTION("""COMPUTED_VALUE"""),329228)</f>
        <v>329228</v>
      </c>
      <c r="G116" s="16">
        <f>IFERROR(__xludf.DUMMYFUNCTION("""COMPUTED_VALUE"""),45909.6458333333)</f>
        <v>45909.6458333333</v>
      </c>
      <c r="H116" s="17">
        <f>IFERROR(__xludf.DUMMYFUNCTION("""COMPUTED_VALUE"""),390.85)</f>
        <v>390.85</v>
      </c>
      <c r="I116" s="16">
        <f>IFERROR(__xludf.DUMMYFUNCTION("""COMPUTED_VALUE"""),45909.6458333333)</f>
        <v>45909.6458333333</v>
      </c>
      <c r="J116" s="17">
        <f>IFERROR(__xludf.DUMMYFUNCTION("""COMPUTED_VALUE"""),383.95)</f>
        <v>383.95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IFERROR(__xludf.DUMMYFUNCTION("""COMPUTED_VALUE"""),388.9)</f>
        <v>388.9</v>
      </c>
      <c r="C117" s="16">
        <f>IFERROR(__xludf.DUMMYFUNCTION("""COMPUTED_VALUE"""),45910.6458333333)</f>
        <v>45910.6458333333</v>
      </c>
      <c r="D117" s="17">
        <f>IFERROR(__xludf.DUMMYFUNCTION("""COMPUTED_VALUE"""),389)</f>
        <v>389</v>
      </c>
      <c r="E117" s="16">
        <f>IFERROR(__xludf.DUMMYFUNCTION("""COMPUTED_VALUE"""),45910.6458333333)</f>
        <v>45910.6458333333</v>
      </c>
      <c r="F117" s="17">
        <f>IFERROR(__xludf.DUMMYFUNCTION("""COMPUTED_VALUE"""),638993)</f>
        <v>638993</v>
      </c>
      <c r="G117" s="16">
        <f>IFERROR(__xludf.DUMMYFUNCTION("""COMPUTED_VALUE"""),45910.6458333333)</f>
        <v>45910.6458333333</v>
      </c>
      <c r="H117" s="17">
        <f>IFERROR(__xludf.DUMMYFUNCTION("""COMPUTED_VALUE"""),396.6)</f>
        <v>396.6</v>
      </c>
      <c r="I117" s="16">
        <f>IFERROR(__xludf.DUMMYFUNCTION("""COMPUTED_VALUE"""),45910.6458333333)</f>
        <v>45910.6458333333</v>
      </c>
      <c r="J117" s="17">
        <f>IFERROR(__xludf.DUMMYFUNCTION("""COMPUTED_VALUE"""),387.05)</f>
        <v>387.05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IFERROR(__xludf.DUMMYFUNCTION("""COMPUTED_VALUE"""),391.75)</f>
        <v>391.75</v>
      </c>
      <c r="C118" s="16">
        <f>IFERROR(__xludf.DUMMYFUNCTION("""COMPUTED_VALUE"""),45911.6458333333)</f>
        <v>45911.6458333333</v>
      </c>
      <c r="D118" s="17">
        <f>IFERROR(__xludf.DUMMYFUNCTION("""COMPUTED_VALUE"""),388.9)</f>
        <v>388.9</v>
      </c>
      <c r="E118" s="16">
        <f>IFERROR(__xludf.DUMMYFUNCTION("""COMPUTED_VALUE"""),45911.6458333333)</f>
        <v>45911.6458333333</v>
      </c>
      <c r="F118" s="17">
        <f>IFERROR(__xludf.DUMMYFUNCTION("""COMPUTED_VALUE"""),892452)</f>
        <v>892452</v>
      </c>
      <c r="G118" s="16">
        <f>IFERROR(__xludf.DUMMYFUNCTION("""COMPUTED_VALUE"""),45911.6458333333)</f>
        <v>45911.6458333333</v>
      </c>
      <c r="H118" s="17">
        <f>IFERROR(__xludf.DUMMYFUNCTION("""COMPUTED_VALUE"""),399)</f>
        <v>399</v>
      </c>
      <c r="I118" s="16">
        <f>IFERROR(__xludf.DUMMYFUNCTION("""COMPUTED_VALUE"""),45911.6458333333)</f>
        <v>45911.6458333333</v>
      </c>
      <c r="J118" s="17">
        <f>IFERROR(__xludf.DUMMYFUNCTION("""COMPUTED_VALUE"""),388.4)</f>
        <v>388.4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IFERROR(__xludf.DUMMYFUNCTION("""COMPUTED_VALUE"""),389.4)</f>
        <v>389.4</v>
      </c>
      <c r="C119" s="16">
        <f>IFERROR(__xludf.DUMMYFUNCTION("""COMPUTED_VALUE"""),45912.6458333333)</f>
        <v>45912.6458333333</v>
      </c>
      <c r="D119" s="17">
        <f>IFERROR(__xludf.DUMMYFUNCTION("""COMPUTED_VALUE"""),393)</f>
        <v>393</v>
      </c>
      <c r="E119" s="16">
        <f>IFERROR(__xludf.DUMMYFUNCTION("""COMPUTED_VALUE"""),45912.6458333333)</f>
        <v>45912.6458333333</v>
      </c>
      <c r="F119" s="17">
        <f>IFERROR(__xludf.DUMMYFUNCTION("""COMPUTED_VALUE"""),801682)</f>
        <v>801682</v>
      </c>
      <c r="G119" s="16">
        <f>IFERROR(__xludf.DUMMYFUNCTION("""COMPUTED_VALUE"""),45912.6458333333)</f>
        <v>45912.6458333333</v>
      </c>
      <c r="H119" s="17">
        <f>IFERROR(__xludf.DUMMYFUNCTION("""COMPUTED_VALUE"""),400.1)</f>
        <v>400.1</v>
      </c>
      <c r="I119" s="16">
        <f>IFERROR(__xludf.DUMMYFUNCTION("""COMPUTED_VALUE"""),45912.6458333333)</f>
        <v>45912.6458333333</v>
      </c>
      <c r="J119" s="17">
        <f>IFERROR(__xludf.DUMMYFUNCTION("""COMPUTED_VALUE"""),388.05)</f>
        <v>388.05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IFERROR(__xludf.DUMMYFUNCTION("""COMPUTED_VALUE"""),388.9)</f>
        <v>388.9</v>
      </c>
      <c r="C120" s="16">
        <f>IFERROR(__xludf.DUMMYFUNCTION("""COMPUTED_VALUE"""),45915.6458333333)</f>
        <v>45915.6458333333</v>
      </c>
      <c r="D120" s="17">
        <f>IFERROR(__xludf.DUMMYFUNCTION("""COMPUTED_VALUE"""),391.25)</f>
        <v>391.25</v>
      </c>
      <c r="E120" s="16">
        <f>IFERROR(__xludf.DUMMYFUNCTION("""COMPUTED_VALUE"""),45915.6458333333)</f>
        <v>45915.6458333333</v>
      </c>
      <c r="F120" s="17">
        <f>IFERROR(__xludf.DUMMYFUNCTION("""COMPUTED_VALUE"""),637584)</f>
        <v>637584</v>
      </c>
      <c r="G120" s="16">
        <f>IFERROR(__xludf.DUMMYFUNCTION("""COMPUTED_VALUE"""),45915.6458333333)</f>
        <v>45915.6458333333</v>
      </c>
      <c r="H120" s="17">
        <f>IFERROR(__xludf.DUMMYFUNCTION("""COMPUTED_VALUE"""),393.8)</f>
        <v>393.8</v>
      </c>
      <c r="I120" s="16">
        <f>IFERROR(__xludf.DUMMYFUNCTION("""COMPUTED_VALUE"""),45915.6458333333)</f>
        <v>45915.6458333333</v>
      </c>
      <c r="J120" s="17">
        <f>IFERROR(__xludf.DUMMYFUNCTION("""COMPUTED_VALUE"""),385.65)</f>
        <v>385.65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IFERROR(__xludf.DUMMYFUNCTION("""COMPUTED_VALUE"""),390.6)</f>
        <v>390.6</v>
      </c>
      <c r="C121" s="16">
        <f>IFERROR(__xludf.DUMMYFUNCTION("""COMPUTED_VALUE"""),45916.6458333333)</f>
        <v>45916.6458333333</v>
      </c>
      <c r="D121" s="17">
        <f>IFERROR(__xludf.DUMMYFUNCTION("""COMPUTED_VALUE"""),390)</f>
        <v>390</v>
      </c>
      <c r="E121" s="16">
        <f>IFERROR(__xludf.DUMMYFUNCTION("""COMPUTED_VALUE"""),45916.6458333333)</f>
        <v>45916.6458333333</v>
      </c>
      <c r="F121" s="17">
        <f>IFERROR(__xludf.DUMMYFUNCTION("""COMPUTED_VALUE"""),331823)</f>
        <v>331823</v>
      </c>
      <c r="G121" s="16">
        <f>IFERROR(__xludf.DUMMYFUNCTION("""COMPUTED_VALUE"""),45916.6458333333)</f>
        <v>45916.6458333333</v>
      </c>
      <c r="H121" s="17">
        <f>IFERROR(__xludf.DUMMYFUNCTION("""COMPUTED_VALUE"""),392)</f>
        <v>392</v>
      </c>
      <c r="I121" s="16">
        <f>IFERROR(__xludf.DUMMYFUNCTION("""COMPUTED_VALUE"""),45916.6458333333)</f>
        <v>45916.6458333333</v>
      </c>
      <c r="J121" s="17">
        <f>IFERROR(__xludf.DUMMYFUNCTION("""COMPUTED_VALUE"""),387.85)</f>
        <v>387.85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IFERROR(__xludf.DUMMYFUNCTION("""COMPUTED_VALUE"""),390.2)</f>
        <v>390.2</v>
      </c>
      <c r="C122" s="16">
        <f>IFERROR(__xludf.DUMMYFUNCTION("""COMPUTED_VALUE"""),45917.6458333333)</f>
        <v>45917.6458333333</v>
      </c>
      <c r="D122" s="17">
        <f>IFERROR(__xludf.DUMMYFUNCTION("""COMPUTED_VALUE"""),391)</f>
        <v>391</v>
      </c>
      <c r="E122" s="16">
        <f>IFERROR(__xludf.DUMMYFUNCTION("""COMPUTED_VALUE"""),45917.6458333333)</f>
        <v>45917.6458333333</v>
      </c>
      <c r="F122" s="17">
        <f>IFERROR(__xludf.DUMMYFUNCTION("""COMPUTED_VALUE"""),923708)</f>
        <v>923708</v>
      </c>
      <c r="G122" s="16">
        <f>IFERROR(__xludf.DUMMYFUNCTION("""COMPUTED_VALUE"""),45917.6458333333)</f>
        <v>45917.6458333333</v>
      </c>
      <c r="H122" s="17">
        <f>IFERROR(__xludf.DUMMYFUNCTION("""COMPUTED_VALUE"""),398.7)</f>
        <v>398.7</v>
      </c>
      <c r="I122" s="16">
        <f>IFERROR(__xludf.DUMMYFUNCTION("""COMPUTED_VALUE"""),45917.6458333333)</f>
        <v>45917.6458333333</v>
      </c>
      <c r="J122" s="17">
        <f>IFERROR(__xludf.DUMMYFUNCTION("""COMPUTED_VALUE"""),388.3)</f>
        <v>388.3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IFERROR(__xludf.DUMMYFUNCTION("""COMPUTED_VALUE"""),390.9)</f>
        <v>390.9</v>
      </c>
      <c r="C123" s="16">
        <f>IFERROR(__xludf.DUMMYFUNCTION("""COMPUTED_VALUE"""),45918.6458333333)</f>
        <v>45918.6458333333</v>
      </c>
      <c r="D123" s="17">
        <f>IFERROR(__xludf.DUMMYFUNCTION("""COMPUTED_VALUE"""),391)</f>
        <v>391</v>
      </c>
      <c r="E123" s="16">
        <f>IFERROR(__xludf.DUMMYFUNCTION("""COMPUTED_VALUE"""),45918.6458333333)</f>
        <v>45918.6458333333</v>
      </c>
      <c r="F123" s="17">
        <f>IFERROR(__xludf.DUMMYFUNCTION("""COMPUTED_VALUE"""),393380)</f>
        <v>393380</v>
      </c>
      <c r="G123" s="16">
        <f>IFERROR(__xludf.DUMMYFUNCTION("""COMPUTED_VALUE"""),45918.6458333333)</f>
        <v>45918.6458333333</v>
      </c>
      <c r="H123" s="17">
        <f>IFERROR(__xludf.DUMMYFUNCTION("""COMPUTED_VALUE"""),392.95)</f>
        <v>392.95</v>
      </c>
      <c r="I123" s="16">
        <f>IFERROR(__xludf.DUMMYFUNCTION("""COMPUTED_VALUE"""),45918.6458333333)</f>
        <v>45918.6458333333</v>
      </c>
      <c r="J123" s="17">
        <f>IFERROR(__xludf.DUMMYFUNCTION("""COMPUTED_VALUE"""),388.05)</f>
        <v>388.05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IFERROR(__xludf.DUMMYFUNCTION("""COMPUTED_VALUE"""),393.2)</f>
        <v>393.2</v>
      </c>
      <c r="C124" s="16">
        <f>IFERROR(__xludf.DUMMYFUNCTION("""COMPUTED_VALUE"""),45919.6458333333)</f>
        <v>45919.6458333333</v>
      </c>
      <c r="D124" s="17">
        <f>IFERROR(__xludf.DUMMYFUNCTION("""COMPUTED_VALUE"""),392.3)</f>
        <v>392.3</v>
      </c>
      <c r="E124" s="16">
        <f>IFERROR(__xludf.DUMMYFUNCTION("""COMPUTED_VALUE"""),45919.6458333333)</f>
        <v>45919.6458333333</v>
      </c>
      <c r="F124" s="17">
        <f>IFERROR(__xludf.DUMMYFUNCTION("""COMPUTED_VALUE"""),579074)</f>
        <v>579074</v>
      </c>
      <c r="G124" s="16">
        <f>IFERROR(__xludf.DUMMYFUNCTION("""COMPUTED_VALUE"""),45919.6458333333)</f>
        <v>45919.6458333333</v>
      </c>
      <c r="H124" s="17">
        <f>IFERROR(__xludf.DUMMYFUNCTION("""COMPUTED_VALUE"""),395.3)</f>
        <v>395.3</v>
      </c>
      <c r="I124" s="16">
        <f>IFERROR(__xludf.DUMMYFUNCTION("""COMPUTED_VALUE"""),45919.6458333333)</f>
        <v>45919.6458333333</v>
      </c>
      <c r="J124" s="17">
        <f>IFERROR(__xludf.DUMMYFUNCTION("""COMPUTED_VALUE"""),390.45)</f>
        <v>390.45</v>
      </c>
      <c r="K124" s="3">
        <f t="shared" si="2"/>
        <v>393.2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IFERROR(__xludf.DUMMYFUNCTION("""COMPUTED_VALUE"""),389.6)</f>
        <v>389.6</v>
      </c>
      <c r="C125" s="16">
        <f>IFERROR(__xludf.DUMMYFUNCTION("""COMPUTED_VALUE"""),45922.6458333333)</f>
        <v>45922.6458333333</v>
      </c>
      <c r="D125" s="17">
        <f>IFERROR(__xludf.DUMMYFUNCTION("""COMPUTED_VALUE"""),394)</f>
        <v>394</v>
      </c>
      <c r="E125" s="16">
        <f>IFERROR(__xludf.DUMMYFUNCTION("""COMPUTED_VALUE"""),45922.6458333333)</f>
        <v>45922.6458333333</v>
      </c>
      <c r="F125" s="17">
        <f>IFERROR(__xludf.DUMMYFUNCTION("""COMPUTED_VALUE"""),510700)</f>
        <v>510700</v>
      </c>
      <c r="G125" s="16">
        <f>IFERROR(__xludf.DUMMYFUNCTION("""COMPUTED_VALUE"""),45922.6458333333)</f>
        <v>45922.6458333333</v>
      </c>
      <c r="H125" s="17">
        <f>IFERROR(__xludf.DUMMYFUNCTION("""COMPUTED_VALUE"""),395.25)</f>
        <v>395.25</v>
      </c>
      <c r="I125" s="16">
        <f>IFERROR(__xludf.DUMMYFUNCTION("""COMPUTED_VALUE"""),45922.6458333333)</f>
        <v>45922.6458333333</v>
      </c>
      <c r="J125" s="17">
        <f>IFERROR(__xludf.DUMMYFUNCTION("""COMPUTED_VALUE"""),388)</f>
        <v>388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IFERROR(__xludf.DUMMYFUNCTION("""COMPUTED_VALUE"""),386.55)</f>
        <v>386.55</v>
      </c>
      <c r="C126" s="16">
        <f>IFERROR(__xludf.DUMMYFUNCTION("""COMPUTED_VALUE"""),45923.6458333333)</f>
        <v>45923.6458333333</v>
      </c>
      <c r="D126" s="17">
        <f>IFERROR(__xludf.DUMMYFUNCTION("""COMPUTED_VALUE"""),388.05)</f>
        <v>388.05</v>
      </c>
      <c r="E126" s="16">
        <f>IFERROR(__xludf.DUMMYFUNCTION("""COMPUTED_VALUE"""),45923.6458333333)</f>
        <v>45923.6458333333</v>
      </c>
      <c r="F126" s="17">
        <f>IFERROR(__xludf.DUMMYFUNCTION("""COMPUTED_VALUE"""),437684)</f>
        <v>437684</v>
      </c>
      <c r="G126" s="16">
        <f>IFERROR(__xludf.DUMMYFUNCTION("""COMPUTED_VALUE"""),45923.6458333333)</f>
        <v>45923.6458333333</v>
      </c>
      <c r="H126" s="17">
        <f>IFERROR(__xludf.DUMMYFUNCTION("""COMPUTED_VALUE"""),391.2)</f>
        <v>391.2</v>
      </c>
      <c r="I126" s="16">
        <f>IFERROR(__xludf.DUMMYFUNCTION("""COMPUTED_VALUE"""),45923.6458333333)</f>
        <v>45923.6458333333</v>
      </c>
      <c r="J126" s="17">
        <f>IFERROR(__xludf.DUMMYFUNCTION("""COMPUTED_VALUE"""),385)</f>
        <v>385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IFERROR(__xludf.DUMMYFUNCTION("""COMPUTED_VALUE"""),383.35)</f>
        <v>383.35</v>
      </c>
      <c r="C127" s="16">
        <f>IFERROR(__xludf.DUMMYFUNCTION("""COMPUTED_VALUE"""),45924.6458333333)</f>
        <v>45924.6458333333</v>
      </c>
      <c r="D127" s="17">
        <f>IFERROR(__xludf.DUMMYFUNCTION("""COMPUTED_VALUE"""),388)</f>
        <v>388</v>
      </c>
      <c r="E127" s="16">
        <f>IFERROR(__xludf.DUMMYFUNCTION("""COMPUTED_VALUE"""),45924.6458333333)</f>
        <v>45924.6458333333</v>
      </c>
      <c r="F127" s="17">
        <f>IFERROR(__xludf.DUMMYFUNCTION("""COMPUTED_VALUE"""),408562)</f>
        <v>408562</v>
      </c>
      <c r="G127" s="16">
        <f>IFERROR(__xludf.DUMMYFUNCTION("""COMPUTED_VALUE"""),45924.6458333333)</f>
        <v>45924.6458333333</v>
      </c>
      <c r="H127" s="17">
        <f>IFERROR(__xludf.DUMMYFUNCTION("""COMPUTED_VALUE"""),389)</f>
        <v>389</v>
      </c>
      <c r="I127" s="16">
        <f>IFERROR(__xludf.DUMMYFUNCTION("""COMPUTED_VALUE"""),45924.6458333333)</f>
        <v>45924.6458333333</v>
      </c>
      <c r="J127" s="17">
        <f>IFERROR(__xludf.DUMMYFUNCTION("""COMPUTED_VALUE"""),381)</f>
        <v>381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IFERROR(__xludf.DUMMYFUNCTION("""COMPUTED_VALUE"""),380.4)</f>
        <v>380.4</v>
      </c>
      <c r="C128" s="16">
        <f>IFERROR(__xludf.DUMMYFUNCTION("""COMPUTED_VALUE"""),45925.6458333333)</f>
        <v>45925.6458333333</v>
      </c>
      <c r="D128" s="17">
        <f>IFERROR(__xludf.DUMMYFUNCTION("""COMPUTED_VALUE"""),383.35)</f>
        <v>383.35</v>
      </c>
      <c r="E128" s="16">
        <f>IFERROR(__xludf.DUMMYFUNCTION("""COMPUTED_VALUE"""),45925.6458333333)</f>
        <v>45925.6458333333</v>
      </c>
      <c r="F128" s="17">
        <f>IFERROR(__xludf.DUMMYFUNCTION("""COMPUTED_VALUE"""),313850)</f>
        <v>313850</v>
      </c>
      <c r="G128" s="16">
        <f>IFERROR(__xludf.DUMMYFUNCTION("""COMPUTED_VALUE"""),45925.6458333333)</f>
        <v>45925.6458333333</v>
      </c>
      <c r="H128" s="17">
        <f>IFERROR(__xludf.DUMMYFUNCTION("""COMPUTED_VALUE"""),385.7)</f>
        <v>385.7</v>
      </c>
      <c r="I128" s="16">
        <f>IFERROR(__xludf.DUMMYFUNCTION("""COMPUTED_VALUE"""),45925.6458333333)</f>
        <v>45925.6458333333</v>
      </c>
      <c r="J128" s="17">
        <f>IFERROR(__xludf.DUMMYFUNCTION("""COMPUTED_VALUE"""),379.05)</f>
        <v>379.05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IFERROR(__xludf.DUMMYFUNCTION("""COMPUTED_VALUE"""),374.6)</f>
        <v>374.6</v>
      </c>
      <c r="C129" s="16">
        <f>IFERROR(__xludf.DUMMYFUNCTION("""COMPUTED_VALUE"""),45926.6458333333)</f>
        <v>45926.6458333333</v>
      </c>
      <c r="D129" s="17">
        <f>IFERROR(__xludf.DUMMYFUNCTION("""COMPUTED_VALUE"""),380)</f>
        <v>380</v>
      </c>
      <c r="E129" s="16">
        <f>IFERROR(__xludf.DUMMYFUNCTION("""COMPUTED_VALUE"""),45926.6458333333)</f>
        <v>45926.6458333333</v>
      </c>
      <c r="F129" s="17">
        <f>IFERROR(__xludf.DUMMYFUNCTION("""COMPUTED_VALUE"""),501448)</f>
        <v>501448</v>
      </c>
      <c r="G129" s="16">
        <f>IFERROR(__xludf.DUMMYFUNCTION("""COMPUTED_VALUE"""),45926.6458333333)</f>
        <v>45926.6458333333</v>
      </c>
      <c r="H129" s="17">
        <f>IFERROR(__xludf.DUMMYFUNCTION("""COMPUTED_VALUE"""),380.05)</f>
        <v>380.05</v>
      </c>
      <c r="I129" s="16">
        <f>IFERROR(__xludf.DUMMYFUNCTION("""COMPUTED_VALUE"""),45926.6458333333)</f>
        <v>45926.6458333333</v>
      </c>
      <c r="J129" s="17">
        <f>IFERROR(__xludf.DUMMYFUNCTION("""COMPUTED_VALUE"""),371.5)</f>
        <v>371.5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98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""price"")"),1051)</f>
        <v>1051</v>
      </c>
      <c r="I3" s="22" t="s">
        <v>269</v>
      </c>
      <c r="J3" s="23">
        <f>IFERROR(__xludf.DUMMYFUNCTION("GOOGLEFINANCE(L3, ""volume"")"),3774879)</f>
        <v>3774879</v>
      </c>
      <c r="K3" s="24" t="s">
        <v>270</v>
      </c>
      <c r="L3" s="25" t="str">
        <f>Mastersheet!B45</f>
        <v>ADANIGREEN</v>
      </c>
      <c r="M3" s="26">
        <f>IFERROR(__xludf.DUMMYFUNCTION("""COMPUTED_VALUE"""),45926.6458333333)</f>
        <v>45926.6458333333</v>
      </c>
      <c r="N3" s="27">
        <f>IFERROR(__xludf.DUMMYFUNCTION("""COMPUTED_VALUE"""),1047.4)</f>
        <v>1047.4</v>
      </c>
      <c r="O3" s="26">
        <f>IFERROR(__xludf.DUMMYFUNCTION("""COMPUTED_VALUE"""),45926.6458333333)</f>
        <v>45926.6458333333</v>
      </c>
      <c r="P3" s="27">
        <f>IFERROR(__xludf.DUMMYFUNCTION("""COMPUTED_VALUE"""),1082.85)</f>
        <v>1082.85</v>
      </c>
      <c r="Q3" s="16">
        <f>IFERROR(__xludf.DUMMYFUNCTION("""COMPUTED_VALUE"""),45926.6458333333)</f>
        <v>45926.6458333333</v>
      </c>
      <c r="R3" s="17">
        <f>IFERROR(__xludf.DUMMYFUNCTION("""COMPUTED_VALUE"""),1086.8)</f>
        <v>1086.8</v>
      </c>
      <c r="S3" s="16">
        <f>IFERROR(__xludf.DUMMYFUNCTION("""COMPUTED_VALUE"""),45926.6458333333)</f>
        <v>45926.6458333333</v>
      </c>
      <c r="T3" s="17">
        <f>IFERROR(__xludf.DUMMYFUNCTION("""COMPUTED_VALUE"""),1040.4)</f>
        <v>1040.4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IFERROR(__xludf.DUMMYFUNCTION("""COMPUTED_VALUE"""),959.9)</f>
        <v>959.9</v>
      </c>
      <c r="C5" s="14">
        <f>IFERROR(__xludf.DUMMYFUNCTION("""COMPUTED_VALUE"""),45743.6458333333)</f>
        <v>45743.6458333333</v>
      </c>
      <c r="D5" s="15">
        <f>IFERROR(__xludf.DUMMYFUNCTION("""COMPUTED_VALUE"""),910)</f>
        <v>910</v>
      </c>
      <c r="E5" s="14">
        <f>IFERROR(__xludf.DUMMYFUNCTION("""COMPUTED_VALUE"""),45743.6458333333)</f>
        <v>45743.6458333333</v>
      </c>
      <c r="F5" s="15">
        <f>IFERROR(__xludf.DUMMYFUNCTION("""COMPUTED_VALUE"""),5918219)</f>
        <v>5918219</v>
      </c>
      <c r="G5" s="14">
        <f>IFERROR(__xludf.DUMMYFUNCTION("""COMPUTED_VALUE"""),45743.6458333333)</f>
        <v>45743.6458333333</v>
      </c>
      <c r="H5" s="15">
        <f>IFERROR(__xludf.DUMMYFUNCTION("""COMPUTED_VALUE"""),966.6)</f>
        <v>966.6</v>
      </c>
      <c r="I5" s="30">
        <f>IFERROR(__xludf.DUMMYFUNCTION("""COMPUTED_VALUE"""),45743.6458333333)</f>
        <v>45743.6458333333</v>
      </c>
      <c r="J5" s="3">
        <f>IFERROR(__xludf.DUMMYFUNCTION("""COMPUTED_VALUE"""),905.2)</f>
        <v>905.2</v>
      </c>
      <c r="K5" s="5"/>
      <c r="L5" s="5"/>
      <c r="M5" s="3">
        <f t="array" ref="M5">INDEX(K11:K124,MATCH(SMALL(ABS(K11:K124-H3),1),ABS(K11:K124-H3),0))</f>
        <v>1050.1</v>
      </c>
      <c r="N5" s="3">
        <f t="array" ref="N5">INDEX(K11:K124,MATCH(SMALL(ABS(K11:K124-H3),2),ABS(K11:K124-H3),0))</f>
        <v>1060.5</v>
      </c>
      <c r="O5" s="3">
        <f t="array" ref="O5">INDEX(L11:L124,MATCH(SMALL(ABS(L11:L124-H3),1),ABS(L11:L124-H3),0))</f>
        <v>992.6</v>
      </c>
      <c r="P5" s="3">
        <f t="array" ref="P5">INDEX(L11:L124,MATCH(SMALL(ABS(L11:L124-H3),2),ABS(L11:L124-H3),0))</f>
        <v>991.1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959.9</v>
      </c>
      <c r="T5" s="17">
        <f ca="1">IF(AND(H3&gt;=Mastersheet!I3*S5,H3&lt;=Mastersheet!J3*S5),1,0)</f>
        <v>1</v>
      </c>
      <c r="U5" s="36">
        <f>(N3+P3)/2</f>
        <v>1065.125</v>
      </c>
      <c r="V5" s="17">
        <f>(N3+P3+R3+T3)/4</f>
        <v>1064.3625</v>
      </c>
      <c r="W5" s="17">
        <f>IF(V5&gt;U5,1,0)</f>
        <v>0</v>
      </c>
      <c r="X5" s="17">
        <f>IF(V5&gt;U5,0,1)</f>
        <v>1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IFERROR(__xludf.DUMMYFUNCTION("""COMPUTED_VALUE"""),948.65)</f>
        <v>948.65</v>
      </c>
      <c r="C6" s="16">
        <f>IFERROR(__xludf.DUMMYFUNCTION("""COMPUTED_VALUE"""),45744.6458333333)</f>
        <v>45744.6458333333</v>
      </c>
      <c r="D6" s="17">
        <f>IFERROR(__xludf.DUMMYFUNCTION("""COMPUTED_VALUE"""),967.85)</f>
        <v>967.85</v>
      </c>
      <c r="E6" s="16">
        <f>IFERROR(__xludf.DUMMYFUNCTION("""COMPUTED_VALUE"""),45744.6458333333)</f>
        <v>45744.6458333333</v>
      </c>
      <c r="F6" s="17">
        <f>IFERROR(__xludf.DUMMYFUNCTION("""COMPUTED_VALUE"""),4083088)</f>
        <v>4083088</v>
      </c>
      <c r="G6" s="16">
        <f>IFERROR(__xludf.DUMMYFUNCTION("""COMPUTED_VALUE"""),45744.6458333333)</f>
        <v>45744.6458333333</v>
      </c>
      <c r="H6" s="17">
        <f>IFERROR(__xludf.DUMMYFUNCTION("""COMPUTED_VALUE"""),976.45)</f>
        <v>976.45</v>
      </c>
      <c r="I6" s="16">
        <f>IFERROR(__xludf.DUMMYFUNCTION("""COMPUTED_VALUE"""),45744.6458333333)</f>
        <v>45744.6458333333</v>
      </c>
      <c r="J6" s="17">
        <f>IFERROR(__xludf.DUMMYFUNCTION("""COMPUTED_VALUE"""),942.05)</f>
        <v>942.05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1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IFERROR(__xludf.DUMMYFUNCTION("""COMPUTED_VALUE"""),919.15)</f>
        <v>919.15</v>
      </c>
      <c r="C7" s="16">
        <f>IFERROR(__xludf.DUMMYFUNCTION("""COMPUTED_VALUE"""),45748.6458333333)</f>
        <v>45748.6458333333</v>
      </c>
      <c r="D7" s="17">
        <f>IFERROR(__xludf.DUMMYFUNCTION("""COMPUTED_VALUE"""),948)</f>
        <v>948</v>
      </c>
      <c r="E7" s="16">
        <f>IFERROR(__xludf.DUMMYFUNCTION("""COMPUTED_VALUE"""),45748.6458333333)</f>
        <v>45748.6458333333</v>
      </c>
      <c r="F7" s="17">
        <f>IFERROR(__xludf.DUMMYFUNCTION("""COMPUTED_VALUE"""),3393666)</f>
        <v>3393666</v>
      </c>
      <c r="G7" s="16">
        <f>IFERROR(__xludf.DUMMYFUNCTION("""COMPUTED_VALUE"""),45748.6458333333)</f>
        <v>45748.6458333333</v>
      </c>
      <c r="H7" s="17">
        <f>IFERROR(__xludf.DUMMYFUNCTION("""COMPUTED_VALUE"""),962)</f>
        <v>962</v>
      </c>
      <c r="I7" s="16">
        <f>IFERROR(__xludf.DUMMYFUNCTION("""COMPUTED_VALUE"""),45748.6458333333)</f>
        <v>45748.6458333333</v>
      </c>
      <c r="J7" s="17">
        <f>IFERROR(__xludf.DUMMYFUNCTION("""COMPUTED_VALUE"""),916.65)</f>
        <v>916.65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IFERROR(__xludf.DUMMYFUNCTION("""COMPUTED_VALUE"""),943.05)</f>
        <v>943.05</v>
      </c>
      <c r="C8" s="16">
        <f>IFERROR(__xludf.DUMMYFUNCTION("""COMPUTED_VALUE"""),45749.6458333333)</f>
        <v>45749.6458333333</v>
      </c>
      <c r="D8" s="17">
        <f>IFERROR(__xludf.DUMMYFUNCTION("""COMPUTED_VALUE"""),926.9)</f>
        <v>926.9</v>
      </c>
      <c r="E8" s="16">
        <f>IFERROR(__xludf.DUMMYFUNCTION("""COMPUTED_VALUE"""),45749.6458333333)</f>
        <v>45749.6458333333</v>
      </c>
      <c r="F8" s="17">
        <f>IFERROR(__xludf.DUMMYFUNCTION("""COMPUTED_VALUE"""),2965379)</f>
        <v>2965379</v>
      </c>
      <c r="G8" s="16">
        <f>IFERROR(__xludf.DUMMYFUNCTION("""COMPUTED_VALUE"""),45749.6458333333)</f>
        <v>45749.6458333333</v>
      </c>
      <c r="H8" s="17">
        <f>IFERROR(__xludf.DUMMYFUNCTION("""COMPUTED_VALUE"""),945.1)</f>
        <v>945.1</v>
      </c>
      <c r="I8" s="16">
        <f>IFERROR(__xludf.DUMMYFUNCTION("""COMPUTED_VALUE"""),45749.6458333333)</f>
        <v>45749.6458333333</v>
      </c>
      <c r="J8" s="17">
        <f>IFERROR(__xludf.DUMMYFUNCTION("""COMPUTED_VALUE"""),910.7)</f>
        <v>910.7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IFERROR(__xludf.DUMMYFUNCTION("""COMPUTED_VALUE"""),955.3)</f>
        <v>955.3</v>
      </c>
      <c r="C9" s="16">
        <f>IFERROR(__xludf.DUMMYFUNCTION("""COMPUTED_VALUE"""),45750.6458333333)</f>
        <v>45750.6458333333</v>
      </c>
      <c r="D9" s="17">
        <f>IFERROR(__xludf.DUMMYFUNCTION("""COMPUTED_VALUE"""),927)</f>
        <v>927</v>
      </c>
      <c r="E9" s="16">
        <f>IFERROR(__xludf.DUMMYFUNCTION("""COMPUTED_VALUE"""),45750.6458333333)</f>
        <v>45750.6458333333</v>
      </c>
      <c r="F9" s="17">
        <f>IFERROR(__xludf.DUMMYFUNCTION("""COMPUTED_VALUE"""),3305378)</f>
        <v>3305378</v>
      </c>
      <c r="G9" s="16">
        <f>IFERROR(__xludf.DUMMYFUNCTION("""COMPUTED_VALUE"""),45750.6458333333)</f>
        <v>45750.6458333333</v>
      </c>
      <c r="H9" s="17">
        <f>IFERROR(__xludf.DUMMYFUNCTION("""COMPUTED_VALUE"""),966.5)</f>
        <v>966.5</v>
      </c>
      <c r="I9" s="16">
        <f>IFERROR(__xludf.DUMMYFUNCTION("""COMPUTED_VALUE"""),45750.6458333333)</f>
        <v>45750.6458333333</v>
      </c>
      <c r="J9" s="17">
        <f>IFERROR(__xludf.DUMMYFUNCTION("""COMPUTED_VALUE"""),927)</f>
        <v>927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IFERROR(__xludf.DUMMYFUNCTION("""COMPUTED_VALUE"""),923.8)</f>
        <v>923.8</v>
      </c>
      <c r="C10" s="16">
        <f>IFERROR(__xludf.DUMMYFUNCTION("""COMPUTED_VALUE"""),45751.6458333333)</f>
        <v>45751.6458333333</v>
      </c>
      <c r="D10" s="17">
        <f>IFERROR(__xludf.DUMMYFUNCTION("""COMPUTED_VALUE"""),949.95)</f>
        <v>949.95</v>
      </c>
      <c r="E10" s="16">
        <f>IFERROR(__xludf.DUMMYFUNCTION("""COMPUTED_VALUE"""),45751.6458333333)</f>
        <v>45751.6458333333</v>
      </c>
      <c r="F10" s="17">
        <f>IFERROR(__xludf.DUMMYFUNCTION("""COMPUTED_VALUE"""),3226540)</f>
        <v>3226540</v>
      </c>
      <c r="G10" s="16">
        <f>IFERROR(__xludf.DUMMYFUNCTION("""COMPUTED_VALUE"""),45751.6458333333)</f>
        <v>45751.6458333333</v>
      </c>
      <c r="H10" s="17">
        <f>IFERROR(__xludf.DUMMYFUNCTION("""COMPUTED_VALUE"""),956)</f>
        <v>956</v>
      </c>
      <c r="I10" s="16">
        <f>IFERROR(__xludf.DUMMYFUNCTION("""COMPUTED_VALUE"""),45751.6458333333)</f>
        <v>45751.6458333333</v>
      </c>
      <c r="J10" s="17">
        <f>IFERROR(__xludf.DUMMYFUNCTION("""COMPUTED_VALUE"""),917.65)</f>
        <v>917.65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IFERROR(__xludf.DUMMYFUNCTION("""COMPUTED_VALUE"""),873.3)</f>
        <v>873.3</v>
      </c>
      <c r="C11" s="16">
        <f>IFERROR(__xludf.DUMMYFUNCTION("""COMPUTED_VALUE"""),45754.6458333333)</f>
        <v>45754.6458333333</v>
      </c>
      <c r="D11" s="17">
        <f>IFERROR(__xludf.DUMMYFUNCTION("""COMPUTED_VALUE"""),850)</f>
        <v>850</v>
      </c>
      <c r="E11" s="16">
        <f>IFERROR(__xludf.DUMMYFUNCTION("""COMPUTED_VALUE"""),45754.6458333333)</f>
        <v>45754.6458333333</v>
      </c>
      <c r="F11" s="17">
        <f>IFERROR(__xludf.DUMMYFUNCTION("""COMPUTED_VALUE"""),3317613)</f>
        <v>3317613</v>
      </c>
      <c r="G11" s="16">
        <f>IFERROR(__xludf.DUMMYFUNCTION("""COMPUTED_VALUE"""),45754.6458333333)</f>
        <v>45754.6458333333</v>
      </c>
      <c r="H11" s="17">
        <f>IFERROR(__xludf.DUMMYFUNCTION("""COMPUTED_VALUE"""),891.95)</f>
        <v>891.95</v>
      </c>
      <c r="I11" s="16">
        <f>IFERROR(__xludf.DUMMYFUNCTION("""COMPUTED_VALUE"""),45754.6458333333)</f>
        <v>45754.6458333333</v>
      </c>
      <c r="J11" s="17">
        <f>IFERROR(__xludf.DUMMYFUNCTION("""COMPUTED_VALUE"""),850)</f>
        <v>850</v>
      </c>
      <c r="K11" s="3">
        <f t="shared" ref="K11:K125" si="2">IF(B11=MAX(B5:B17),B11,0)</f>
        <v>0</v>
      </c>
      <c r="L11" s="3">
        <f t="shared" ref="L11:L125" si="3">IF(B11=MIN(B5:B17),B11,0)</f>
        <v>0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IFERROR(__xludf.DUMMYFUNCTION("""COMPUTED_VALUE"""),875.8)</f>
        <v>875.8</v>
      </c>
      <c r="C12" s="16">
        <f>IFERROR(__xludf.DUMMYFUNCTION("""COMPUTED_VALUE"""),45755.6458333333)</f>
        <v>45755.6458333333</v>
      </c>
      <c r="D12" s="17">
        <f>IFERROR(__xludf.DUMMYFUNCTION("""COMPUTED_VALUE"""),899)</f>
        <v>899</v>
      </c>
      <c r="E12" s="16">
        <f>IFERROR(__xludf.DUMMYFUNCTION("""COMPUTED_VALUE"""),45755.6458333333)</f>
        <v>45755.6458333333</v>
      </c>
      <c r="F12" s="17">
        <f>IFERROR(__xludf.DUMMYFUNCTION("""COMPUTED_VALUE"""),3363547)</f>
        <v>3363547</v>
      </c>
      <c r="G12" s="16">
        <f>IFERROR(__xludf.DUMMYFUNCTION("""COMPUTED_VALUE"""),45755.6458333333)</f>
        <v>45755.6458333333</v>
      </c>
      <c r="H12" s="17">
        <f>IFERROR(__xludf.DUMMYFUNCTION("""COMPUTED_VALUE"""),908.1)</f>
        <v>908.1</v>
      </c>
      <c r="I12" s="16">
        <f>IFERROR(__xludf.DUMMYFUNCTION("""COMPUTED_VALUE"""),45755.6458333333)</f>
        <v>45755.6458333333</v>
      </c>
      <c r="J12" s="17">
        <f>IFERROR(__xludf.DUMMYFUNCTION("""COMPUTED_VALUE"""),873.3)</f>
        <v>873.3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IFERROR(__xludf.DUMMYFUNCTION("""COMPUTED_VALUE"""),860.75)</f>
        <v>860.75</v>
      </c>
      <c r="C13" s="16">
        <f>IFERROR(__xludf.DUMMYFUNCTION("""COMPUTED_VALUE"""),45756.6458333333)</f>
        <v>45756.6458333333</v>
      </c>
      <c r="D13" s="17">
        <f>IFERROR(__xludf.DUMMYFUNCTION("""COMPUTED_VALUE"""),874)</f>
        <v>874</v>
      </c>
      <c r="E13" s="16">
        <f>IFERROR(__xludf.DUMMYFUNCTION("""COMPUTED_VALUE"""),45756.6458333333)</f>
        <v>45756.6458333333</v>
      </c>
      <c r="F13" s="17">
        <f>IFERROR(__xludf.DUMMYFUNCTION("""COMPUTED_VALUE"""),2518172)</f>
        <v>2518172</v>
      </c>
      <c r="G13" s="16">
        <f>IFERROR(__xludf.DUMMYFUNCTION("""COMPUTED_VALUE"""),45756.6458333333)</f>
        <v>45756.6458333333</v>
      </c>
      <c r="H13" s="17">
        <f>IFERROR(__xludf.DUMMYFUNCTION("""COMPUTED_VALUE"""),878.95)</f>
        <v>878.95</v>
      </c>
      <c r="I13" s="16">
        <f>IFERROR(__xludf.DUMMYFUNCTION("""COMPUTED_VALUE"""),45756.6458333333)</f>
        <v>45756.6458333333</v>
      </c>
      <c r="J13" s="17">
        <f>IFERROR(__xludf.DUMMYFUNCTION("""COMPUTED_VALUE"""),850.5)</f>
        <v>850.5</v>
      </c>
      <c r="K13" s="3">
        <f t="shared" si="2"/>
        <v>0</v>
      </c>
      <c r="L13" s="3">
        <f t="shared" si="3"/>
        <v>860.75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IFERROR(__xludf.DUMMYFUNCTION("""COMPUTED_VALUE"""),893.65)</f>
        <v>893.65</v>
      </c>
      <c r="C14" s="16">
        <f>IFERROR(__xludf.DUMMYFUNCTION("""COMPUTED_VALUE"""),45758.6458333333)</f>
        <v>45758.6458333333</v>
      </c>
      <c r="D14" s="17">
        <f>IFERROR(__xludf.DUMMYFUNCTION("""COMPUTED_VALUE"""),890)</f>
        <v>890</v>
      </c>
      <c r="E14" s="16">
        <f>IFERROR(__xludf.DUMMYFUNCTION("""COMPUTED_VALUE"""),45758.6458333333)</f>
        <v>45758.6458333333</v>
      </c>
      <c r="F14" s="17">
        <f>IFERROR(__xludf.DUMMYFUNCTION("""COMPUTED_VALUE"""),2380909)</f>
        <v>2380909</v>
      </c>
      <c r="G14" s="16">
        <f>IFERROR(__xludf.DUMMYFUNCTION("""COMPUTED_VALUE"""),45758.6458333333)</f>
        <v>45758.6458333333</v>
      </c>
      <c r="H14" s="17">
        <f>IFERROR(__xludf.DUMMYFUNCTION("""COMPUTED_VALUE"""),903.4)</f>
        <v>903.4</v>
      </c>
      <c r="I14" s="16">
        <f>IFERROR(__xludf.DUMMYFUNCTION("""COMPUTED_VALUE"""),45758.6458333333)</f>
        <v>45758.6458333333</v>
      </c>
      <c r="J14" s="17">
        <f>IFERROR(__xludf.DUMMYFUNCTION("""COMPUTED_VALUE"""),878.7)</f>
        <v>878.7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IFERROR(__xludf.DUMMYFUNCTION("""COMPUTED_VALUE"""),936.65)</f>
        <v>936.65</v>
      </c>
      <c r="C15" s="16">
        <f>IFERROR(__xludf.DUMMYFUNCTION("""COMPUTED_VALUE"""),45762.6458333333)</f>
        <v>45762.6458333333</v>
      </c>
      <c r="D15" s="17">
        <f>IFERROR(__xludf.DUMMYFUNCTION("""COMPUTED_VALUE"""),910)</f>
        <v>910</v>
      </c>
      <c r="E15" s="16">
        <f>IFERROR(__xludf.DUMMYFUNCTION("""COMPUTED_VALUE"""),45762.6458333333)</f>
        <v>45762.6458333333</v>
      </c>
      <c r="F15" s="17">
        <f>IFERROR(__xludf.DUMMYFUNCTION("""COMPUTED_VALUE"""),2944940)</f>
        <v>2944940</v>
      </c>
      <c r="G15" s="16">
        <f>IFERROR(__xludf.DUMMYFUNCTION("""COMPUTED_VALUE"""),45762.6458333333)</f>
        <v>45762.6458333333</v>
      </c>
      <c r="H15" s="17">
        <f>IFERROR(__xludf.DUMMYFUNCTION("""COMPUTED_VALUE"""),942)</f>
        <v>942</v>
      </c>
      <c r="I15" s="16">
        <f>IFERROR(__xludf.DUMMYFUNCTION("""COMPUTED_VALUE"""),45762.6458333333)</f>
        <v>45762.6458333333</v>
      </c>
      <c r="J15" s="17">
        <f>IFERROR(__xludf.DUMMYFUNCTION("""COMPUTED_VALUE"""),901.3)</f>
        <v>901.3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IFERROR(__xludf.DUMMYFUNCTION("""COMPUTED_VALUE"""),945.6)</f>
        <v>945.6</v>
      </c>
      <c r="C16" s="16">
        <f>IFERROR(__xludf.DUMMYFUNCTION("""COMPUTED_VALUE"""),45763.6458333333)</f>
        <v>45763.6458333333</v>
      </c>
      <c r="D16" s="17">
        <f>IFERROR(__xludf.DUMMYFUNCTION("""COMPUTED_VALUE"""),936.95)</f>
        <v>936.95</v>
      </c>
      <c r="E16" s="16">
        <f>IFERROR(__xludf.DUMMYFUNCTION("""COMPUTED_VALUE"""),45763.6458333333)</f>
        <v>45763.6458333333</v>
      </c>
      <c r="F16" s="17">
        <f>IFERROR(__xludf.DUMMYFUNCTION("""COMPUTED_VALUE"""),2203548)</f>
        <v>2203548</v>
      </c>
      <c r="G16" s="16">
        <f>IFERROR(__xludf.DUMMYFUNCTION("""COMPUTED_VALUE"""),45763.6458333333)</f>
        <v>45763.6458333333</v>
      </c>
      <c r="H16" s="17">
        <f>IFERROR(__xludf.DUMMYFUNCTION("""COMPUTED_VALUE"""),955.95)</f>
        <v>955.95</v>
      </c>
      <c r="I16" s="16">
        <f>IFERROR(__xludf.DUMMYFUNCTION("""COMPUTED_VALUE"""),45763.6458333333)</f>
        <v>45763.6458333333</v>
      </c>
      <c r="J16" s="17">
        <f>IFERROR(__xludf.DUMMYFUNCTION("""COMPUTED_VALUE"""),931.5)</f>
        <v>931.5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IFERROR(__xludf.DUMMYFUNCTION("""COMPUTED_VALUE"""),947.15)</f>
        <v>947.15</v>
      </c>
      <c r="C17" s="16">
        <f>IFERROR(__xludf.DUMMYFUNCTION("""COMPUTED_VALUE"""),45764.6458333333)</f>
        <v>45764.6458333333</v>
      </c>
      <c r="D17" s="17">
        <f>IFERROR(__xludf.DUMMYFUNCTION("""COMPUTED_VALUE"""),945.6)</f>
        <v>945.6</v>
      </c>
      <c r="E17" s="16">
        <f>IFERROR(__xludf.DUMMYFUNCTION("""COMPUTED_VALUE"""),45764.6458333333)</f>
        <v>45764.6458333333</v>
      </c>
      <c r="F17" s="17">
        <f>IFERROR(__xludf.DUMMYFUNCTION("""COMPUTED_VALUE"""),2905274)</f>
        <v>2905274</v>
      </c>
      <c r="G17" s="16">
        <f>IFERROR(__xludf.DUMMYFUNCTION("""COMPUTED_VALUE"""),45764.6458333333)</f>
        <v>45764.6458333333</v>
      </c>
      <c r="H17" s="17">
        <f>IFERROR(__xludf.DUMMYFUNCTION("""COMPUTED_VALUE"""),972)</f>
        <v>972</v>
      </c>
      <c r="I17" s="16">
        <f>IFERROR(__xludf.DUMMYFUNCTION("""COMPUTED_VALUE"""),45764.6458333333)</f>
        <v>45764.6458333333</v>
      </c>
      <c r="J17" s="17">
        <f>IFERROR(__xludf.DUMMYFUNCTION("""COMPUTED_VALUE"""),940)</f>
        <v>940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IFERROR(__xludf.DUMMYFUNCTION("""COMPUTED_VALUE"""),956.25)</f>
        <v>956.25</v>
      </c>
      <c r="C18" s="16">
        <f>IFERROR(__xludf.DUMMYFUNCTION("""COMPUTED_VALUE"""),45768.6458333333)</f>
        <v>45768.6458333333</v>
      </c>
      <c r="D18" s="17">
        <f>IFERROR(__xludf.DUMMYFUNCTION("""COMPUTED_VALUE"""),954.7)</f>
        <v>954.7</v>
      </c>
      <c r="E18" s="16">
        <f>IFERROR(__xludf.DUMMYFUNCTION("""COMPUTED_VALUE"""),45768.6458333333)</f>
        <v>45768.6458333333</v>
      </c>
      <c r="F18" s="17">
        <f>IFERROR(__xludf.DUMMYFUNCTION("""COMPUTED_VALUE"""),2149379)</f>
        <v>2149379</v>
      </c>
      <c r="G18" s="16">
        <f>IFERROR(__xludf.DUMMYFUNCTION("""COMPUTED_VALUE"""),45768.6458333333)</f>
        <v>45768.6458333333</v>
      </c>
      <c r="H18" s="17">
        <f>IFERROR(__xludf.DUMMYFUNCTION("""COMPUTED_VALUE"""),966.6)</f>
        <v>966.6</v>
      </c>
      <c r="I18" s="16">
        <f>IFERROR(__xludf.DUMMYFUNCTION("""COMPUTED_VALUE"""),45768.6458333333)</f>
        <v>45768.6458333333</v>
      </c>
      <c r="J18" s="17">
        <f>IFERROR(__xludf.DUMMYFUNCTION("""COMPUTED_VALUE"""),944)</f>
        <v>944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IFERROR(__xludf.DUMMYFUNCTION("""COMPUTED_VALUE"""),943.3)</f>
        <v>943.3</v>
      </c>
      <c r="C19" s="16">
        <f>IFERROR(__xludf.DUMMYFUNCTION("""COMPUTED_VALUE"""),45769.6458333333)</f>
        <v>45769.6458333333</v>
      </c>
      <c r="D19" s="17">
        <f>IFERROR(__xludf.DUMMYFUNCTION("""COMPUTED_VALUE"""),962)</f>
        <v>962</v>
      </c>
      <c r="E19" s="16">
        <f>IFERROR(__xludf.DUMMYFUNCTION("""COMPUTED_VALUE"""),45769.6458333333)</f>
        <v>45769.6458333333</v>
      </c>
      <c r="F19" s="17">
        <f>IFERROR(__xludf.DUMMYFUNCTION("""COMPUTED_VALUE"""),2283380)</f>
        <v>2283380</v>
      </c>
      <c r="G19" s="16">
        <f>IFERROR(__xludf.DUMMYFUNCTION("""COMPUTED_VALUE"""),45769.6458333333)</f>
        <v>45769.6458333333</v>
      </c>
      <c r="H19" s="17">
        <f>IFERROR(__xludf.DUMMYFUNCTION("""COMPUTED_VALUE"""),965.5)</f>
        <v>965.5</v>
      </c>
      <c r="I19" s="16">
        <f>IFERROR(__xludf.DUMMYFUNCTION("""COMPUTED_VALUE"""),45769.6458333333)</f>
        <v>45769.6458333333</v>
      </c>
      <c r="J19" s="17">
        <f>IFERROR(__xludf.DUMMYFUNCTION("""COMPUTED_VALUE"""),941.55)</f>
        <v>941.55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IFERROR(__xludf.DUMMYFUNCTION("""COMPUTED_VALUE"""),952.5)</f>
        <v>952.5</v>
      </c>
      <c r="C20" s="16">
        <f>IFERROR(__xludf.DUMMYFUNCTION("""COMPUTED_VALUE"""),45770.6458333333)</f>
        <v>45770.6458333333</v>
      </c>
      <c r="D20" s="17">
        <f>IFERROR(__xludf.DUMMYFUNCTION("""COMPUTED_VALUE"""),950)</f>
        <v>950</v>
      </c>
      <c r="E20" s="16">
        <f>IFERROR(__xludf.DUMMYFUNCTION("""COMPUTED_VALUE"""),45770.6458333333)</f>
        <v>45770.6458333333</v>
      </c>
      <c r="F20" s="17">
        <f>IFERROR(__xludf.DUMMYFUNCTION("""COMPUTED_VALUE"""),2614789)</f>
        <v>2614789</v>
      </c>
      <c r="G20" s="16">
        <f>IFERROR(__xludf.DUMMYFUNCTION("""COMPUTED_VALUE"""),45770.6458333333)</f>
        <v>45770.6458333333</v>
      </c>
      <c r="H20" s="17">
        <f>IFERROR(__xludf.DUMMYFUNCTION("""COMPUTED_VALUE"""),956.9)</f>
        <v>956.9</v>
      </c>
      <c r="I20" s="16">
        <f>IFERROR(__xludf.DUMMYFUNCTION("""COMPUTED_VALUE"""),45770.6458333333)</f>
        <v>45770.6458333333</v>
      </c>
      <c r="J20" s="17">
        <f>IFERROR(__xludf.DUMMYFUNCTION("""COMPUTED_VALUE"""),926)</f>
        <v>926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IFERROR(__xludf.DUMMYFUNCTION("""COMPUTED_VALUE"""),968.95)</f>
        <v>968.95</v>
      </c>
      <c r="C21" s="16">
        <f>IFERROR(__xludf.DUMMYFUNCTION("""COMPUTED_VALUE"""),45771.6458333333)</f>
        <v>45771.6458333333</v>
      </c>
      <c r="D21" s="17">
        <f>IFERROR(__xludf.DUMMYFUNCTION("""COMPUTED_VALUE"""),956.9)</f>
        <v>956.9</v>
      </c>
      <c r="E21" s="16">
        <f>IFERROR(__xludf.DUMMYFUNCTION("""COMPUTED_VALUE"""),45771.6458333333)</f>
        <v>45771.6458333333</v>
      </c>
      <c r="F21" s="17">
        <f>IFERROR(__xludf.DUMMYFUNCTION("""COMPUTED_VALUE"""),3604578)</f>
        <v>3604578</v>
      </c>
      <c r="G21" s="16">
        <f>IFERROR(__xludf.DUMMYFUNCTION("""COMPUTED_VALUE"""),45771.6458333333)</f>
        <v>45771.6458333333</v>
      </c>
      <c r="H21" s="17">
        <f>IFERROR(__xludf.DUMMYFUNCTION("""COMPUTED_VALUE"""),974)</f>
        <v>974</v>
      </c>
      <c r="I21" s="16">
        <f>IFERROR(__xludf.DUMMYFUNCTION("""COMPUTED_VALUE"""),45771.6458333333)</f>
        <v>45771.6458333333</v>
      </c>
      <c r="J21" s="17">
        <f>IFERROR(__xludf.DUMMYFUNCTION("""COMPUTED_VALUE"""),948.75)</f>
        <v>948.75</v>
      </c>
      <c r="K21" s="3">
        <f t="shared" si="2"/>
        <v>968.95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IFERROR(__xludf.DUMMYFUNCTION("""COMPUTED_VALUE"""),912.55)</f>
        <v>912.55</v>
      </c>
      <c r="C22" s="16">
        <f>IFERROR(__xludf.DUMMYFUNCTION("""COMPUTED_VALUE"""),45772.6458333333)</f>
        <v>45772.6458333333</v>
      </c>
      <c r="D22" s="17">
        <f>IFERROR(__xludf.DUMMYFUNCTION("""COMPUTED_VALUE"""),974)</f>
        <v>974</v>
      </c>
      <c r="E22" s="16">
        <f>IFERROR(__xludf.DUMMYFUNCTION("""COMPUTED_VALUE"""),45772.6458333333)</f>
        <v>45772.6458333333</v>
      </c>
      <c r="F22" s="17">
        <f>IFERROR(__xludf.DUMMYFUNCTION("""COMPUTED_VALUE"""),6824718)</f>
        <v>6824718</v>
      </c>
      <c r="G22" s="16">
        <f>IFERROR(__xludf.DUMMYFUNCTION("""COMPUTED_VALUE"""),45772.6458333333)</f>
        <v>45772.6458333333</v>
      </c>
      <c r="H22" s="17">
        <f>IFERROR(__xludf.DUMMYFUNCTION("""COMPUTED_VALUE"""),975.85)</f>
        <v>975.85</v>
      </c>
      <c r="I22" s="16">
        <f>IFERROR(__xludf.DUMMYFUNCTION("""COMPUTED_VALUE"""),45772.6458333333)</f>
        <v>45772.6458333333</v>
      </c>
      <c r="J22" s="17">
        <f>IFERROR(__xludf.DUMMYFUNCTION("""COMPUTED_VALUE"""),903.7)</f>
        <v>903.7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IFERROR(__xludf.DUMMYFUNCTION("""COMPUTED_VALUE"""),941)</f>
        <v>941</v>
      </c>
      <c r="C23" s="16">
        <f>IFERROR(__xludf.DUMMYFUNCTION("""COMPUTED_VALUE"""),45775.6458333333)</f>
        <v>45775.6458333333</v>
      </c>
      <c r="D23" s="17">
        <f>IFERROR(__xludf.DUMMYFUNCTION("""COMPUTED_VALUE"""),915.35)</f>
        <v>915.35</v>
      </c>
      <c r="E23" s="16">
        <f>IFERROR(__xludf.DUMMYFUNCTION("""COMPUTED_VALUE"""),45775.6458333333)</f>
        <v>45775.6458333333</v>
      </c>
      <c r="F23" s="17">
        <f>IFERROR(__xludf.DUMMYFUNCTION("""COMPUTED_VALUE"""),3691409)</f>
        <v>3691409</v>
      </c>
      <c r="G23" s="16">
        <f>IFERROR(__xludf.DUMMYFUNCTION("""COMPUTED_VALUE"""),45775.6458333333)</f>
        <v>45775.6458333333</v>
      </c>
      <c r="H23" s="17">
        <f>IFERROR(__xludf.DUMMYFUNCTION("""COMPUTED_VALUE"""),944.95)</f>
        <v>944.95</v>
      </c>
      <c r="I23" s="16">
        <f>IFERROR(__xludf.DUMMYFUNCTION("""COMPUTED_VALUE"""),45775.6458333333)</f>
        <v>45775.6458333333</v>
      </c>
      <c r="J23" s="17">
        <f>IFERROR(__xludf.DUMMYFUNCTION("""COMPUTED_VALUE"""),909.15)</f>
        <v>909.15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IFERROR(__xludf.DUMMYFUNCTION("""COMPUTED_VALUE"""),922.4)</f>
        <v>922.4</v>
      </c>
      <c r="C24" s="16">
        <f>IFERROR(__xludf.DUMMYFUNCTION("""COMPUTED_VALUE"""),45776.6458333333)</f>
        <v>45776.6458333333</v>
      </c>
      <c r="D24" s="17">
        <f>IFERROR(__xludf.DUMMYFUNCTION("""COMPUTED_VALUE"""),960)</f>
        <v>960</v>
      </c>
      <c r="E24" s="16">
        <f>IFERROR(__xludf.DUMMYFUNCTION("""COMPUTED_VALUE"""),45776.6458333333)</f>
        <v>45776.6458333333</v>
      </c>
      <c r="F24" s="17">
        <f>IFERROR(__xludf.DUMMYFUNCTION("""COMPUTED_VALUE"""),6040053)</f>
        <v>6040053</v>
      </c>
      <c r="G24" s="16">
        <f>IFERROR(__xludf.DUMMYFUNCTION("""COMPUTED_VALUE"""),45776.6458333333)</f>
        <v>45776.6458333333</v>
      </c>
      <c r="H24" s="17">
        <f>IFERROR(__xludf.DUMMYFUNCTION("""COMPUTED_VALUE"""),961.9)</f>
        <v>961.9</v>
      </c>
      <c r="I24" s="16">
        <f>IFERROR(__xludf.DUMMYFUNCTION("""COMPUTED_VALUE"""),45776.6458333333)</f>
        <v>45776.6458333333</v>
      </c>
      <c r="J24" s="17">
        <f>IFERROR(__xludf.DUMMYFUNCTION("""COMPUTED_VALUE"""),918.9)</f>
        <v>918.9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IFERROR(__xludf.DUMMYFUNCTION("""COMPUTED_VALUE"""),900.7)</f>
        <v>900.7</v>
      </c>
      <c r="C25" s="16">
        <f>IFERROR(__xludf.DUMMYFUNCTION("""COMPUTED_VALUE"""),45777.6458333333)</f>
        <v>45777.6458333333</v>
      </c>
      <c r="D25" s="17">
        <f>IFERROR(__xludf.DUMMYFUNCTION("""COMPUTED_VALUE"""),922.8)</f>
        <v>922.8</v>
      </c>
      <c r="E25" s="16">
        <f>IFERROR(__xludf.DUMMYFUNCTION("""COMPUTED_VALUE"""),45777.6458333333)</f>
        <v>45777.6458333333</v>
      </c>
      <c r="F25" s="17">
        <f>IFERROR(__xludf.DUMMYFUNCTION("""COMPUTED_VALUE"""),3000004)</f>
        <v>3000004</v>
      </c>
      <c r="G25" s="16">
        <f>IFERROR(__xludf.DUMMYFUNCTION("""COMPUTED_VALUE"""),45777.6458333333)</f>
        <v>45777.6458333333</v>
      </c>
      <c r="H25" s="17">
        <f>IFERROR(__xludf.DUMMYFUNCTION("""COMPUTED_VALUE"""),929)</f>
        <v>929</v>
      </c>
      <c r="I25" s="16">
        <f>IFERROR(__xludf.DUMMYFUNCTION("""COMPUTED_VALUE"""),45777.6458333333)</f>
        <v>45777.6458333333</v>
      </c>
      <c r="J25" s="17">
        <f>IFERROR(__xludf.DUMMYFUNCTION("""COMPUTED_VALUE"""),895)</f>
        <v>895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IFERROR(__xludf.DUMMYFUNCTION("""COMPUTED_VALUE"""),905.25)</f>
        <v>905.25</v>
      </c>
      <c r="C26" s="16">
        <f>IFERROR(__xludf.DUMMYFUNCTION("""COMPUTED_VALUE"""),45779.6458333333)</f>
        <v>45779.6458333333</v>
      </c>
      <c r="D26" s="17">
        <f>IFERROR(__xludf.DUMMYFUNCTION("""COMPUTED_VALUE"""),902.05)</f>
        <v>902.05</v>
      </c>
      <c r="E26" s="16">
        <f>IFERROR(__xludf.DUMMYFUNCTION("""COMPUTED_VALUE"""),45779.6458333333)</f>
        <v>45779.6458333333</v>
      </c>
      <c r="F26" s="17">
        <f>IFERROR(__xludf.DUMMYFUNCTION("""COMPUTED_VALUE"""),3047594)</f>
        <v>3047594</v>
      </c>
      <c r="G26" s="16">
        <f>IFERROR(__xludf.DUMMYFUNCTION("""COMPUTED_VALUE"""),45779.6458333333)</f>
        <v>45779.6458333333</v>
      </c>
      <c r="H26" s="17">
        <f>IFERROR(__xludf.DUMMYFUNCTION("""COMPUTED_VALUE"""),931.95)</f>
        <v>931.95</v>
      </c>
      <c r="I26" s="16">
        <f>IFERROR(__xludf.DUMMYFUNCTION("""COMPUTED_VALUE"""),45779.6458333333)</f>
        <v>45779.6458333333</v>
      </c>
      <c r="J26" s="17">
        <f>IFERROR(__xludf.DUMMYFUNCTION("""COMPUTED_VALUE"""),900)</f>
        <v>900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IFERROR(__xludf.DUMMYFUNCTION("""COMPUTED_VALUE"""),965.7)</f>
        <v>965.7</v>
      </c>
      <c r="C27" s="16">
        <f>IFERROR(__xludf.DUMMYFUNCTION("""COMPUTED_VALUE"""),45782.6458333333)</f>
        <v>45782.6458333333</v>
      </c>
      <c r="D27" s="17">
        <f>IFERROR(__xludf.DUMMYFUNCTION("""COMPUTED_VALUE"""),912.7)</f>
        <v>912.7</v>
      </c>
      <c r="E27" s="16">
        <f>IFERROR(__xludf.DUMMYFUNCTION("""COMPUTED_VALUE"""),45782.6458333333)</f>
        <v>45782.6458333333</v>
      </c>
      <c r="F27" s="17">
        <f>IFERROR(__xludf.DUMMYFUNCTION("""COMPUTED_VALUE"""),13652180)</f>
        <v>13652180</v>
      </c>
      <c r="G27" s="16">
        <f>IFERROR(__xludf.DUMMYFUNCTION("""COMPUTED_VALUE"""),45782.6458333333)</f>
        <v>45782.6458333333</v>
      </c>
      <c r="H27" s="17">
        <f>IFERROR(__xludf.DUMMYFUNCTION("""COMPUTED_VALUE"""),1003.5)</f>
        <v>1003.5</v>
      </c>
      <c r="I27" s="16">
        <f>IFERROR(__xludf.DUMMYFUNCTION("""COMPUTED_VALUE"""),45782.6458333333)</f>
        <v>45782.6458333333</v>
      </c>
      <c r="J27" s="17">
        <f>IFERROR(__xludf.DUMMYFUNCTION("""COMPUTED_VALUE"""),910.55)</f>
        <v>910.55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IFERROR(__xludf.DUMMYFUNCTION("""COMPUTED_VALUE"""),923.25)</f>
        <v>923.25</v>
      </c>
      <c r="C28" s="16">
        <f>IFERROR(__xludf.DUMMYFUNCTION("""COMPUTED_VALUE"""),45783.6458333333)</f>
        <v>45783.6458333333</v>
      </c>
      <c r="D28" s="17">
        <f>IFERROR(__xludf.DUMMYFUNCTION("""COMPUTED_VALUE"""),966)</f>
        <v>966</v>
      </c>
      <c r="E28" s="16">
        <f>IFERROR(__xludf.DUMMYFUNCTION("""COMPUTED_VALUE"""),45783.6458333333)</f>
        <v>45783.6458333333</v>
      </c>
      <c r="F28" s="17">
        <f>IFERROR(__xludf.DUMMYFUNCTION("""COMPUTED_VALUE"""),4153763)</f>
        <v>4153763</v>
      </c>
      <c r="G28" s="16">
        <f>IFERROR(__xludf.DUMMYFUNCTION("""COMPUTED_VALUE"""),45783.6458333333)</f>
        <v>45783.6458333333</v>
      </c>
      <c r="H28" s="17">
        <f>IFERROR(__xludf.DUMMYFUNCTION("""COMPUTED_VALUE"""),971.25)</f>
        <v>971.25</v>
      </c>
      <c r="I28" s="16">
        <f>IFERROR(__xludf.DUMMYFUNCTION("""COMPUTED_VALUE"""),45783.6458333333)</f>
        <v>45783.6458333333</v>
      </c>
      <c r="J28" s="17">
        <f>IFERROR(__xludf.DUMMYFUNCTION("""COMPUTED_VALUE"""),918)</f>
        <v>918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IFERROR(__xludf.DUMMYFUNCTION("""COMPUTED_VALUE"""),917.25)</f>
        <v>917.25</v>
      </c>
      <c r="C29" s="16">
        <f>IFERROR(__xludf.DUMMYFUNCTION("""COMPUTED_VALUE"""),45784.6458333333)</f>
        <v>45784.6458333333</v>
      </c>
      <c r="D29" s="17">
        <f>IFERROR(__xludf.DUMMYFUNCTION("""COMPUTED_VALUE"""),901.2)</f>
        <v>901.2</v>
      </c>
      <c r="E29" s="16">
        <f>IFERROR(__xludf.DUMMYFUNCTION("""COMPUTED_VALUE"""),45784.6458333333)</f>
        <v>45784.6458333333</v>
      </c>
      <c r="F29" s="17">
        <f>IFERROR(__xludf.DUMMYFUNCTION("""COMPUTED_VALUE"""),3179762)</f>
        <v>3179762</v>
      </c>
      <c r="G29" s="16">
        <f>IFERROR(__xludf.DUMMYFUNCTION("""COMPUTED_VALUE"""),45784.6458333333)</f>
        <v>45784.6458333333</v>
      </c>
      <c r="H29" s="17">
        <f>IFERROR(__xludf.DUMMYFUNCTION("""COMPUTED_VALUE"""),929)</f>
        <v>929</v>
      </c>
      <c r="I29" s="16">
        <f>IFERROR(__xludf.DUMMYFUNCTION("""COMPUTED_VALUE"""),45784.6458333333)</f>
        <v>45784.6458333333</v>
      </c>
      <c r="J29" s="17">
        <f>IFERROR(__xludf.DUMMYFUNCTION("""COMPUTED_VALUE"""),901.1)</f>
        <v>901.1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IFERROR(__xludf.DUMMYFUNCTION("""COMPUTED_VALUE"""),880.5)</f>
        <v>880.5</v>
      </c>
      <c r="C30" s="16">
        <f>IFERROR(__xludf.DUMMYFUNCTION("""COMPUTED_VALUE"""),45785.6458333333)</f>
        <v>45785.6458333333</v>
      </c>
      <c r="D30" s="17">
        <f>IFERROR(__xludf.DUMMYFUNCTION("""COMPUTED_VALUE"""),926.05)</f>
        <v>926.05</v>
      </c>
      <c r="E30" s="16">
        <f>IFERROR(__xludf.DUMMYFUNCTION("""COMPUTED_VALUE"""),45785.6458333333)</f>
        <v>45785.6458333333</v>
      </c>
      <c r="F30" s="17">
        <f>IFERROR(__xludf.DUMMYFUNCTION("""COMPUTED_VALUE"""),4281975)</f>
        <v>4281975</v>
      </c>
      <c r="G30" s="16">
        <f>IFERROR(__xludf.DUMMYFUNCTION("""COMPUTED_VALUE"""),45785.6458333333)</f>
        <v>45785.6458333333</v>
      </c>
      <c r="H30" s="17">
        <f>IFERROR(__xludf.DUMMYFUNCTION("""COMPUTED_VALUE"""),933.2)</f>
        <v>933.2</v>
      </c>
      <c r="I30" s="16">
        <f>IFERROR(__xludf.DUMMYFUNCTION("""COMPUTED_VALUE"""),45785.6458333333)</f>
        <v>45785.6458333333</v>
      </c>
      <c r="J30" s="17">
        <f>IFERROR(__xludf.DUMMYFUNCTION("""COMPUTED_VALUE"""),870.2)</f>
        <v>870.2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IFERROR(__xludf.DUMMYFUNCTION("""COMPUTED_VALUE"""),879.45)</f>
        <v>879.45</v>
      </c>
      <c r="C31" s="16">
        <f>IFERROR(__xludf.DUMMYFUNCTION("""COMPUTED_VALUE"""),45786.6458333333)</f>
        <v>45786.6458333333</v>
      </c>
      <c r="D31" s="17">
        <f>IFERROR(__xludf.DUMMYFUNCTION("""COMPUTED_VALUE"""),859.4)</f>
        <v>859.4</v>
      </c>
      <c r="E31" s="16">
        <f>IFERROR(__xludf.DUMMYFUNCTION("""COMPUTED_VALUE"""),45786.6458333333)</f>
        <v>45786.6458333333</v>
      </c>
      <c r="F31" s="17">
        <f>IFERROR(__xludf.DUMMYFUNCTION("""COMPUTED_VALUE"""),3051122)</f>
        <v>3051122</v>
      </c>
      <c r="G31" s="16">
        <f>IFERROR(__xludf.DUMMYFUNCTION("""COMPUTED_VALUE"""),45786.6458333333)</f>
        <v>45786.6458333333</v>
      </c>
      <c r="H31" s="17">
        <f>IFERROR(__xludf.DUMMYFUNCTION("""COMPUTED_VALUE"""),887.85)</f>
        <v>887.85</v>
      </c>
      <c r="I31" s="16">
        <f>IFERROR(__xludf.DUMMYFUNCTION("""COMPUTED_VALUE"""),45786.6458333333)</f>
        <v>45786.6458333333</v>
      </c>
      <c r="J31" s="17">
        <f>IFERROR(__xludf.DUMMYFUNCTION("""COMPUTED_VALUE"""),854.35)</f>
        <v>854.35</v>
      </c>
      <c r="K31" s="3">
        <f t="shared" si="2"/>
        <v>0</v>
      </c>
      <c r="L31" s="3">
        <f t="shared" si="3"/>
        <v>879.45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IFERROR(__xludf.DUMMYFUNCTION("""COMPUTED_VALUE"""),940.55)</f>
        <v>940.55</v>
      </c>
      <c r="C32" s="16">
        <f>IFERROR(__xludf.DUMMYFUNCTION("""COMPUTED_VALUE"""),45789.6458333333)</f>
        <v>45789.6458333333</v>
      </c>
      <c r="D32" s="17">
        <f>IFERROR(__xludf.DUMMYFUNCTION("""COMPUTED_VALUE"""),914.9)</f>
        <v>914.9</v>
      </c>
      <c r="E32" s="16">
        <f>IFERROR(__xludf.DUMMYFUNCTION("""COMPUTED_VALUE"""),45789.6458333333)</f>
        <v>45789.6458333333</v>
      </c>
      <c r="F32" s="17">
        <f>IFERROR(__xludf.DUMMYFUNCTION("""COMPUTED_VALUE"""),6222615)</f>
        <v>6222615</v>
      </c>
      <c r="G32" s="16">
        <f>IFERROR(__xludf.DUMMYFUNCTION("""COMPUTED_VALUE"""),45789.6458333333)</f>
        <v>45789.6458333333</v>
      </c>
      <c r="H32" s="17">
        <f>IFERROR(__xludf.DUMMYFUNCTION("""COMPUTED_VALUE"""),945)</f>
        <v>945</v>
      </c>
      <c r="I32" s="16">
        <f>IFERROR(__xludf.DUMMYFUNCTION("""COMPUTED_VALUE"""),45789.6458333333)</f>
        <v>45789.6458333333</v>
      </c>
      <c r="J32" s="17">
        <f>IFERROR(__xludf.DUMMYFUNCTION("""COMPUTED_VALUE"""),911.05)</f>
        <v>911.05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IFERROR(__xludf.DUMMYFUNCTION("""COMPUTED_VALUE"""),958.05)</f>
        <v>958.05</v>
      </c>
      <c r="C33" s="16">
        <f>IFERROR(__xludf.DUMMYFUNCTION("""COMPUTED_VALUE"""),45790.6458333333)</f>
        <v>45790.6458333333</v>
      </c>
      <c r="D33" s="17">
        <f>IFERROR(__xludf.DUMMYFUNCTION("""COMPUTED_VALUE"""),940.55)</f>
        <v>940.55</v>
      </c>
      <c r="E33" s="16">
        <f>IFERROR(__xludf.DUMMYFUNCTION("""COMPUTED_VALUE"""),45790.6458333333)</f>
        <v>45790.6458333333</v>
      </c>
      <c r="F33" s="17">
        <f>IFERROR(__xludf.DUMMYFUNCTION("""COMPUTED_VALUE"""),4260617)</f>
        <v>4260617</v>
      </c>
      <c r="G33" s="16">
        <f>IFERROR(__xludf.DUMMYFUNCTION("""COMPUTED_VALUE"""),45790.6458333333)</f>
        <v>45790.6458333333</v>
      </c>
      <c r="H33" s="17">
        <f>IFERROR(__xludf.DUMMYFUNCTION("""COMPUTED_VALUE"""),973.7)</f>
        <v>973.7</v>
      </c>
      <c r="I33" s="16">
        <f>IFERROR(__xludf.DUMMYFUNCTION("""COMPUTED_VALUE"""),45790.6458333333)</f>
        <v>45790.6458333333</v>
      </c>
      <c r="J33" s="17">
        <f>IFERROR(__xludf.DUMMYFUNCTION("""COMPUTED_VALUE"""),933.2)</f>
        <v>933.2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IFERROR(__xludf.DUMMYFUNCTION("""COMPUTED_VALUE"""),967.25)</f>
        <v>967.25</v>
      </c>
      <c r="C34" s="16">
        <f>IFERROR(__xludf.DUMMYFUNCTION("""COMPUTED_VALUE"""),45791.6458333333)</f>
        <v>45791.6458333333</v>
      </c>
      <c r="D34" s="17">
        <f>IFERROR(__xludf.DUMMYFUNCTION("""COMPUTED_VALUE"""),966)</f>
        <v>966</v>
      </c>
      <c r="E34" s="16">
        <f>IFERROR(__xludf.DUMMYFUNCTION("""COMPUTED_VALUE"""),45791.6458333333)</f>
        <v>45791.6458333333</v>
      </c>
      <c r="F34" s="17">
        <f>IFERROR(__xludf.DUMMYFUNCTION("""COMPUTED_VALUE"""),3634440)</f>
        <v>3634440</v>
      </c>
      <c r="G34" s="16">
        <f>IFERROR(__xludf.DUMMYFUNCTION("""COMPUTED_VALUE"""),45791.6458333333)</f>
        <v>45791.6458333333</v>
      </c>
      <c r="H34" s="17">
        <f>IFERROR(__xludf.DUMMYFUNCTION("""COMPUTED_VALUE"""),975)</f>
        <v>975</v>
      </c>
      <c r="I34" s="16">
        <f>IFERROR(__xludf.DUMMYFUNCTION("""COMPUTED_VALUE"""),45791.6458333333)</f>
        <v>45791.6458333333</v>
      </c>
      <c r="J34" s="17">
        <f>IFERROR(__xludf.DUMMYFUNCTION("""COMPUTED_VALUE"""),957.8)</f>
        <v>957.8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IFERROR(__xludf.DUMMYFUNCTION("""COMPUTED_VALUE"""),967.9)</f>
        <v>967.9</v>
      </c>
      <c r="C35" s="16">
        <f>IFERROR(__xludf.DUMMYFUNCTION("""COMPUTED_VALUE"""),45792.6458333333)</f>
        <v>45792.6458333333</v>
      </c>
      <c r="D35" s="17">
        <f>IFERROR(__xludf.DUMMYFUNCTION("""COMPUTED_VALUE"""),972.1)</f>
        <v>972.1</v>
      </c>
      <c r="E35" s="16">
        <f>IFERROR(__xludf.DUMMYFUNCTION("""COMPUTED_VALUE"""),45792.6458333333)</f>
        <v>45792.6458333333</v>
      </c>
      <c r="F35" s="17">
        <f>IFERROR(__xludf.DUMMYFUNCTION("""COMPUTED_VALUE"""),4951675)</f>
        <v>4951675</v>
      </c>
      <c r="G35" s="16">
        <f>IFERROR(__xludf.DUMMYFUNCTION("""COMPUTED_VALUE"""),45792.6458333333)</f>
        <v>45792.6458333333</v>
      </c>
      <c r="H35" s="17">
        <f>IFERROR(__xludf.DUMMYFUNCTION("""COMPUTED_VALUE"""),972.8)</f>
        <v>972.8</v>
      </c>
      <c r="I35" s="16">
        <f>IFERROR(__xludf.DUMMYFUNCTION("""COMPUTED_VALUE"""),45792.6458333333)</f>
        <v>45792.6458333333</v>
      </c>
      <c r="J35" s="17">
        <f>IFERROR(__xludf.DUMMYFUNCTION("""COMPUTED_VALUE"""),953.4)</f>
        <v>953.4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IFERROR(__xludf.DUMMYFUNCTION("""COMPUTED_VALUE"""),1020.1)</f>
        <v>1020.1</v>
      </c>
      <c r="C36" s="16">
        <f>IFERROR(__xludf.DUMMYFUNCTION("""COMPUTED_VALUE"""),45793.6458333333)</f>
        <v>45793.6458333333</v>
      </c>
      <c r="D36" s="17">
        <f>IFERROR(__xludf.DUMMYFUNCTION("""COMPUTED_VALUE"""),971.45)</f>
        <v>971.45</v>
      </c>
      <c r="E36" s="16">
        <f>IFERROR(__xludf.DUMMYFUNCTION("""COMPUTED_VALUE"""),45793.6458333333)</f>
        <v>45793.6458333333</v>
      </c>
      <c r="F36" s="17">
        <f>IFERROR(__xludf.DUMMYFUNCTION("""COMPUTED_VALUE"""),7644511)</f>
        <v>7644511</v>
      </c>
      <c r="G36" s="16">
        <f>IFERROR(__xludf.DUMMYFUNCTION("""COMPUTED_VALUE"""),45793.6458333333)</f>
        <v>45793.6458333333</v>
      </c>
      <c r="H36" s="17">
        <f>IFERROR(__xludf.DUMMYFUNCTION("""COMPUTED_VALUE"""),1025)</f>
        <v>1025</v>
      </c>
      <c r="I36" s="16">
        <f>IFERROR(__xludf.DUMMYFUNCTION("""COMPUTED_VALUE"""),45793.6458333333)</f>
        <v>45793.6458333333</v>
      </c>
      <c r="J36" s="17">
        <f>IFERROR(__xludf.DUMMYFUNCTION("""COMPUTED_VALUE"""),965.2)</f>
        <v>965.2</v>
      </c>
      <c r="K36" s="3">
        <f t="shared" si="2"/>
        <v>1020.1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IFERROR(__xludf.DUMMYFUNCTION("""COMPUTED_VALUE"""),1014)</f>
        <v>1014</v>
      </c>
      <c r="C37" s="16">
        <f>IFERROR(__xludf.DUMMYFUNCTION("""COMPUTED_VALUE"""),45796.6458333333)</f>
        <v>45796.6458333333</v>
      </c>
      <c r="D37" s="17">
        <f>IFERROR(__xludf.DUMMYFUNCTION("""COMPUTED_VALUE"""),1031.95)</f>
        <v>1031.95</v>
      </c>
      <c r="E37" s="16">
        <f>IFERROR(__xludf.DUMMYFUNCTION("""COMPUTED_VALUE"""),45796.6458333333)</f>
        <v>45796.6458333333</v>
      </c>
      <c r="F37" s="17">
        <f>IFERROR(__xludf.DUMMYFUNCTION("""COMPUTED_VALUE"""),3176879)</f>
        <v>3176879</v>
      </c>
      <c r="G37" s="16">
        <f>IFERROR(__xludf.DUMMYFUNCTION("""COMPUTED_VALUE"""),45796.6458333333)</f>
        <v>45796.6458333333</v>
      </c>
      <c r="H37" s="17">
        <f>IFERROR(__xludf.DUMMYFUNCTION("""COMPUTED_VALUE"""),1038.35)</f>
        <v>1038.35</v>
      </c>
      <c r="I37" s="16">
        <f>IFERROR(__xludf.DUMMYFUNCTION("""COMPUTED_VALUE"""),45796.6458333333)</f>
        <v>45796.6458333333</v>
      </c>
      <c r="J37" s="17">
        <f>IFERROR(__xludf.DUMMYFUNCTION("""COMPUTED_VALUE"""),1010.05)</f>
        <v>1010.05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IFERROR(__xludf.DUMMYFUNCTION("""COMPUTED_VALUE"""),983.95)</f>
        <v>983.95</v>
      </c>
      <c r="C38" s="16">
        <f>IFERROR(__xludf.DUMMYFUNCTION("""COMPUTED_VALUE"""),45797.6458333333)</f>
        <v>45797.6458333333</v>
      </c>
      <c r="D38" s="17">
        <f>IFERROR(__xludf.DUMMYFUNCTION("""COMPUTED_VALUE"""),1016)</f>
        <v>1016</v>
      </c>
      <c r="E38" s="16">
        <f>IFERROR(__xludf.DUMMYFUNCTION("""COMPUTED_VALUE"""),45797.6458333333)</f>
        <v>45797.6458333333</v>
      </c>
      <c r="F38" s="17">
        <f>IFERROR(__xludf.DUMMYFUNCTION("""COMPUTED_VALUE"""),2713486)</f>
        <v>2713486</v>
      </c>
      <c r="G38" s="16">
        <f>IFERROR(__xludf.DUMMYFUNCTION("""COMPUTED_VALUE"""),45797.6458333333)</f>
        <v>45797.6458333333</v>
      </c>
      <c r="H38" s="17">
        <f>IFERROR(__xludf.DUMMYFUNCTION("""COMPUTED_VALUE"""),1020.95)</f>
        <v>1020.95</v>
      </c>
      <c r="I38" s="16">
        <f>IFERROR(__xludf.DUMMYFUNCTION("""COMPUTED_VALUE"""),45797.6458333333)</f>
        <v>45797.6458333333</v>
      </c>
      <c r="J38" s="17">
        <f>IFERROR(__xludf.DUMMYFUNCTION("""COMPUTED_VALUE"""),981.8)</f>
        <v>981.8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IFERROR(__xludf.DUMMYFUNCTION("""COMPUTED_VALUE"""),996.5)</f>
        <v>996.5</v>
      </c>
      <c r="C39" s="16">
        <f>IFERROR(__xludf.DUMMYFUNCTION("""COMPUTED_VALUE"""),45798.6458333333)</f>
        <v>45798.6458333333</v>
      </c>
      <c r="D39" s="17">
        <f>IFERROR(__xludf.DUMMYFUNCTION("""COMPUTED_VALUE"""),985)</f>
        <v>985</v>
      </c>
      <c r="E39" s="16">
        <f>IFERROR(__xludf.DUMMYFUNCTION("""COMPUTED_VALUE"""),45798.6458333333)</f>
        <v>45798.6458333333</v>
      </c>
      <c r="F39" s="17">
        <f>IFERROR(__xludf.DUMMYFUNCTION("""COMPUTED_VALUE"""),2228757)</f>
        <v>2228757</v>
      </c>
      <c r="G39" s="16">
        <f>IFERROR(__xludf.DUMMYFUNCTION("""COMPUTED_VALUE"""),45798.6458333333)</f>
        <v>45798.6458333333</v>
      </c>
      <c r="H39" s="17">
        <f>IFERROR(__xludf.DUMMYFUNCTION("""COMPUTED_VALUE"""),1003)</f>
        <v>1003</v>
      </c>
      <c r="I39" s="16">
        <f>IFERROR(__xludf.DUMMYFUNCTION("""COMPUTED_VALUE"""),45798.6458333333)</f>
        <v>45798.6458333333</v>
      </c>
      <c r="J39" s="17">
        <f>IFERROR(__xludf.DUMMYFUNCTION("""COMPUTED_VALUE"""),977.2)</f>
        <v>977.2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IFERROR(__xludf.DUMMYFUNCTION("""COMPUTED_VALUE"""),985.85)</f>
        <v>985.85</v>
      </c>
      <c r="C40" s="16">
        <f>IFERROR(__xludf.DUMMYFUNCTION("""COMPUTED_VALUE"""),45799.6458333333)</f>
        <v>45799.6458333333</v>
      </c>
      <c r="D40" s="17">
        <f>IFERROR(__xludf.DUMMYFUNCTION("""COMPUTED_VALUE"""),996.1)</f>
        <v>996.1</v>
      </c>
      <c r="E40" s="16">
        <f>IFERROR(__xludf.DUMMYFUNCTION("""COMPUTED_VALUE"""),45799.6458333333)</f>
        <v>45799.6458333333</v>
      </c>
      <c r="F40" s="17">
        <f>IFERROR(__xludf.DUMMYFUNCTION("""COMPUTED_VALUE"""),2233560)</f>
        <v>2233560</v>
      </c>
      <c r="G40" s="16">
        <f>IFERROR(__xludf.DUMMYFUNCTION("""COMPUTED_VALUE"""),45799.6458333333)</f>
        <v>45799.6458333333</v>
      </c>
      <c r="H40" s="17">
        <f>IFERROR(__xludf.DUMMYFUNCTION("""COMPUTED_VALUE"""),1006)</f>
        <v>1006</v>
      </c>
      <c r="I40" s="16">
        <f>IFERROR(__xludf.DUMMYFUNCTION("""COMPUTED_VALUE"""),45799.6458333333)</f>
        <v>45799.6458333333</v>
      </c>
      <c r="J40" s="17">
        <f>IFERROR(__xludf.DUMMYFUNCTION("""COMPUTED_VALUE"""),977)</f>
        <v>977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IFERROR(__xludf.DUMMYFUNCTION("""COMPUTED_VALUE"""),986.95)</f>
        <v>986.95</v>
      </c>
      <c r="C41" s="16">
        <f>IFERROR(__xludf.DUMMYFUNCTION("""COMPUTED_VALUE"""),45800.6458333333)</f>
        <v>45800.6458333333</v>
      </c>
      <c r="D41" s="17">
        <f>IFERROR(__xludf.DUMMYFUNCTION("""COMPUTED_VALUE"""),987)</f>
        <v>987</v>
      </c>
      <c r="E41" s="16">
        <f>IFERROR(__xludf.DUMMYFUNCTION("""COMPUTED_VALUE"""),45800.6458333333)</f>
        <v>45800.6458333333</v>
      </c>
      <c r="F41" s="17">
        <f>IFERROR(__xludf.DUMMYFUNCTION("""COMPUTED_VALUE"""),2538927)</f>
        <v>2538927</v>
      </c>
      <c r="G41" s="16">
        <f>IFERROR(__xludf.DUMMYFUNCTION("""COMPUTED_VALUE"""),45800.6458333333)</f>
        <v>45800.6458333333</v>
      </c>
      <c r="H41" s="17">
        <f>IFERROR(__xludf.DUMMYFUNCTION("""COMPUTED_VALUE"""),999.05)</f>
        <v>999.05</v>
      </c>
      <c r="I41" s="16">
        <f>IFERROR(__xludf.DUMMYFUNCTION("""COMPUTED_VALUE"""),45800.6458333333)</f>
        <v>45800.6458333333</v>
      </c>
      <c r="J41" s="17">
        <f>IFERROR(__xludf.DUMMYFUNCTION("""COMPUTED_VALUE"""),976)</f>
        <v>976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IFERROR(__xludf.DUMMYFUNCTION("""COMPUTED_VALUE"""),1011.85)</f>
        <v>1011.85</v>
      </c>
      <c r="C42" s="16">
        <f>IFERROR(__xludf.DUMMYFUNCTION("""COMPUTED_VALUE"""),45803.6458333333)</f>
        <v>45803.6458333333</v>
      </c>
      <c r="D42" s="17">
        <f>IFERROR(__xludf.DUMMYFUNCTION("""COMPUTED_VALUE"""),997)</f>
        <v>997</v>
      </c>
      <c r="E42" s="16">
        <f>IFERROR(__xludf.DUMMYFUNCTION("""COMPUTED_VALUE"""),45803.6458333333)</f>
        <v>45803.6458333333</v>
      </c>
      <c r="F42" s="17">
        <f>IFERROR(__xludf.DUMMYFUNCTION("""COMPUTED_VALUE"""),3403161)</f>
        <v>3403161</v>
      </c>
      <c r="G42" s="16">
        <f>IFERROR(__xludf.DUMMYFUNCTION("""COMPUTED_VALUE"""),45803.6458333333)</f>
        <v>45803.6458333333</v>
      </c>
      <c r="H42" s="17">
        <f>IFERROR(__xludf.DUMMYFUNCTION("""COMPUTED_VALUE"""),1021.4)</f>
        <v>1021.4</v>
      </c>
      <c r="I42" s="16">
        <f>IFERROR(__xludf.DUMMYFUNCTION("""COMPUTED_VALUE"""),45803.6458333333)</f>
        <v>45803.6458333333</v>
      </c>
      <c r="J42" s="17">
        <f>IFERROR(__xludf.DUMMYFUNCTION("""COMPUTED_VALUE"""),993.3)</f>
        <v>993.3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IFERROR(__xludf.DUMMYFUNCTION("""COMPUTED_VALUE"""),1013)</f>
        <v>1013</v>
      </c>
      <c r="C43" s="16">
        <f>IFERROR(__xludf.DUMMYFUNCTION("""COMPUTED_VALUE"""),45804.6458333333)</f>
        <v>45804.6458333333</v>
      </c>
      <c r="D43" s="17">
        <f>IFERROR(__xludf.DUMMYFUNCTION("""COMPUTED_VALUE"""),1011.5)</f>
        <v>1011.5</v>
      </c>
      <c r="E43" s="16">
        <f>IFERROR(__xludf.DUMMYFUNCTION("""COMPUTED_VALUE"""),45804.6458333333)</f>
        <v>45804.6458333333</v>
      </c>
      <c r="F43" s="17">
        <f>IFERROR(__xludf.DUMMYFUNCTION("""COMPUTED_VALUE"""),1740741)</f>
        <v>1740741</v>
      </c>
      <c r="G43" s="16">
        <f>IFERROR(__xludf.DUMMYFUNCTION("""COMPUTED_VALUE"""),45804.6458333333)</f>
        <v>45804.6458333333</v>
      </c>
      <c r="H43" s="17">
        <f>IFERROR(__xludf.DUMMYFUNCTION("""COMPUTED_VALUE"""),1022.5)</f>
        <v>1022.5</v>
      </c>
      <c r="I43" s="16">
        <f>IFERROR(__xludf.DUMMYFUNCTION("""COMPUTED_VALUE"""),45804.6458333333)</f>
        <v>45804.6458333333</v>
      </c>
      <c r="J43" s="17">
        <f>IFERROR(__xludf.DUMMYFUNCTION("""COMPUTED_VALUE"""),1001)</f>
        <v>1001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IFERROR(__xludf.DUMMYFUNCTION("""COMPUTED_VALUE"""),1001.85)</f>
        <v>1001.85</v>
      </c>
      <c r="C44" s="16">
        <f>IFERROR(__xludf.DUMMYFUNCTION("""COMPUTED_VALUE"""),45805.6458333333)</f>
        <v>45805.6458333333</v>
      </c>
      <c r="D44" s="17">
        <f>IFERROR(__xludf.DUMMYFUNCTION("""COMPUTED_VALUE"""),1013.2)</f>
        <v>1013.2</v>
      </c>
      <c r="E44" s="16">
        <f>IFERROR(__xludf.DUMMYFUNCTION("""COMPUTED_VALUE"""),45805.6458333333)</f>
        <v>45805.6458333333</v>
      </c>
      <c r="F44" s="17">
        <f>IFERROR(__xludf.DUMMYFUNCTION("""COMPUTED_VALUE"""),2099725)</f>
        <v>2099725</v>
      </c>
      <c r="G44" s="16">
        <f>IFERROR(__xludf.DUMMYFUNCTION("""COMPUTED_VALUE"""),45805.6458333333)</f>
        <v>45805.6458333333</v>
      </c>
      <c r="H44" s="17">
        <f>IFERROR(__xludf.DUMMYFUNCTION("""COMPUTED_VALUE"""),1025.45)</f>
        <v>1025.45</v>
      </c>
      <c r="I44" s="16">
        <f>IFERROR(__xludf.DUMMYFUNCTION("""COMPUTED_VALUE"""),45805.6458333333)</f>
        <v>45805.6458333333</v>
      </c>
      <c r="J44" s="17">
        <f>IFERROR(__xludf.DUMMYFUNCTION("""COMPUTED_VALUE"""),999.6)</f>
        <v>999.6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IFERROR(__xludf.DUMMYFUNCTION("""COMPUTED_VALUE"""),1019.05)</f>
        <v>1019.05</v>
      </c>
      <c r="C45" s="16">
        <f>IFERROR(__xludf.DUMMYFUNCTION("""COMPUTED_VALUE"""),45806.6458333333)</f>
        <v>45806.6458333333</v>
      </c>
      <c r="D45" s="17">
        <f>IFERROR(__xludf.DUMMYFUNCTION("""COMPUTED_VALUE"""),1009.2)</f>
        <v>1009.2</v>
      </c>
      <c r="E45" s="16">
        <f>IFERROR(__xludf.DUMMYFUNCTION("""COMPUTED_VALUE"""),45806.6458333333)</f>
        <v>45806.6458333333</v>
      </c>
      <c r="F45" s="17">
        <f>IFERROR(__xludf.DUMMYFUNCTION("""COMPUTED_VALUE"""),2700851)</f>
        <v>2700851</v>
      </c>
      <c r="G45" s="16">
        <f>IFERROR(__xludf.DUMMYFUNCTION("""COMPUTED_VALUE"""),45806.6458333333)</f>
        <v>45806.6458333333</v>
      </c>
      <c r="H45" s="17">
        <f>IFERROR(__xludf.DUMMYFUNCTION("""COMPUTED_VALUE"""),1027)</f>
        <v>1027</v>
      </c>
      <c r="I45" s="16">
        <f>IFERROR(__xludf.DUMMYFUNCTION("""COMPUTED_VALUE"""),45806.6458333333)</f>
        <v>45806.6458333333</v>
      </c>
      <c r="J45" s="17">
        <f>IFERROR(__xludf.DUMMYFUNCTION("""COMPUTED_VALUE"""),1000.55)</f>
        <v>1000.55</v>
      </c>
      <c r="K45" s="3">
        <f t="shared" si="2"/>
        <v>1019.05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IFERROR(__xludf.DUMMYFUNCTION("""COMPUTED_VALUE"""),1014.35)</f>
        <v>1014.35</v>
      </c>
      <c r="C46" s="16">
        <f>IFERROR(__xludf.DUMMYFUNCTION("""COMPUTED_VALUE"""),45807.6458333333)</f>
        <v>45807.6458333333</v>
      </c>
      <c r="D46" s="17">
        <f>IFERROR(__xludf.DUMMYFUNCTION("""COMPUTED_VALUE"""),1019.5)</f>
        <v>1019.5</v>
      </c>
      <c r="E46" s="16">
        <f>IFERROR(__xludf.DUMMYFUNCTION("""COMPUTED_VALUE"""),45807.6458333333)</f>
        <v>45807.6458333333</v>
      </c>
      <c r="F46" s="17">
        <f>IFERROR(__xludf.DUMMYFUNCTION("""COMPUTED_VALUE"""),1669801)</f>
        <v>1669801</v>
      </c>
      <c r="G46" s="16">
        <f>IFERROR(__xludf.DUMMYFUNCTION("""COMPUTED_VALUE"""),45807.6458333333)</f>
        <v>45807.6458333333</v>
      </c>
      <c r="H46" s="17">
        <f>IFERROR(__xludf.DUMMYFUNCTION("""COMPUTED_VALUE"""),1028)</f>
        <v>1028</v>
      </c>
      <c r="I46" s="16">
        <f>IFERROR(__xludf.DUMMYFUNCTION("""COMPUTED_VALUE"""),45807.6458333333)</f>
        <v>45807.6458333333</v>
      </c>
      <c r="J46" s="17">
        <f>IFERROR(__xludf.DUMMYFUNCTION("""COMPUTED_VALUE"""),1004.2)</f>
        <v>1004.2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IFERROR(__xludf.DUMMYFUNCTION("""COMPUTED_VALUE"""),1009.1)</f>
        <v>1009.1</v>
      </c>
      <c r="C47" s="16">
        <f>IFERROR(__xludf.DUMMYFUNCTION("""COMPUTED_VALUE"""),45810.6458333333)</f>
        <v>45810.6458333333</v>
      </c>
      <c r="D47" s="17">
        <f>IFERROR(__xludf.DUMMYFUNCTION("""COMPUTED_VALUE"""),1018.5)</f>
        <v>1018.5</v>
      </c>
      <c r="E47" s="16">
        <f>IFERROR(__xludf.DUMMYFUNCTION("""COMPUTED_VALUE"""),45810.6458333333)</f>
        <v>45810.6458333333</v>
      </c>
      <c r="F47" s="17">
        <f>IFERROR(__xludf.DUMMYFUNCTION("""COMPUTED_VALUE"""),2230527)</f>
        <v>2230527</v>
      </c>
      <c r="G47" s="16">
        <f>IFERROR(__xludf.DUMMYFUNCTION("""COMPUTED_VALUE"""),45810.6458333333)</f>
        <v>45810.6458333333</v>
      </c>
      <c r="H47" s="17">
        <f>IFERROR(__xludf.DUMMYFUNCTION("""COMPUTED_VALUE"""),1024.7)</f>
        <v>1024.7</v>
      </c>
      <c r="I47" s="16">
        <f>IFERROR(__xludf.DUMMYFUNCTION("""COMPUTED_VALUE"""),45810.6458333333)</f>
        <v>45810.6458333333</v>
      </c>
      <c r="J47" s="17">
        <f>IFERROR(__xludf.DUMMYFUNCTION("""COMPUTED_VALUE"""),1007)</f>
        <v>1007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IFERROR(__xludf.DUMMYFUNCTION("""COMPUTED_VALUE"""),992.6)</f>
        <v>992.6</v>
      </c>
      <c r="C48" s="16">
        <f>IFERROR(__xludf.DUMMYFUNCTION("""COMPUTED_VALUE"""),45811.6458333333)</f>
        <v>45811.6458333333</v>
      </c>
      <c r="D48" s="17">
        <f>IFERROR(__xludf.DUMMYFUNCTION("""COMPUTED_VALUE"""),1009.1)</f>
        <v>1009.1</v>
      </c>
      <c r="E48" s="16">
        <f>IFERROR(__xludf.DUMMYFUNCTION("""COMPUTED_VALUE"""),45811.6458333333)</f>
        <v>45811.6458333333</v>
      </c>
      <c r="F48" s="17">
        <f>IFERROR(__xludf.DUMMYFUNCTION("""COMPUTED_VALUE"""),2438866)</f>
        <v>2438866</v>
      </c>
      <c r="G48" s="16">
        <f>IFERROR(__xludf.DUMMYFUNCTION("""COMPUTED_VALUE"""),45811.6458333333)</f>
        <v>45811.6458333333</v>
      </c>
      <c r="H48" s="17">
        <f>IFERROR(__xludf.DUMMYFUNCTION("""COMPUTED_VALUE"""),1018)</f>
        <v>1018</v>
      </c>
      <c r="I48" s="16">
        <f>IFERROR(__xludf.DUMMYFUNCTION("""COMPUTED_VALUE"""),45811.6458333333)</f>
        <v>45811.6458333333</v>
      </c>
      <c r="J48" s="17">
        <f>IFERROR(__xludf.DUMMYFUNCTION("""COMPUTED_VALUE"""),988)</f>
        <v>988</v>
      </c>
      <c r="K48" s="3">
        <f t="shared" si="2"/>
        <v>0</v>
      </c>
      <c r="L48" s="3">
        <f t="shared" si="3"/>
        <v>992.6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IFERROR(__xludf.DUMMYFUNCTION("""COMPUTED_VALUE"""),1004.8)</f>
        <v>1004.8</v>
      </c>
      <c r="C49" s="16">
        <f>IFERROR(__xludf.DUMMYFUNCTION("""COMPUTED_VALUE"""),45812.6458333333)</f>
        <v>45812.6458333333</v>
      </c>
      <c r="D49" s="17">
        <f>IFERROR(__xludf.DUMMYFUNCTION("""COMPUTED_VALUE"""),997.5)</f>
        <v>997.5</v>
      </c>
      <c r="E49" s="16">
        <f>IFERROR(__xludf.DUMMYFUNCTION("""COMPUTED_VALUE"""),45812.6458333333)</f>
        <v>45812.6458333333</v>
      </c>
      <c r="F49" s="17">
        <f>IFERROR(__xludf.DUMMYFUNCTION("""COMPUTED_VALUE"""),1700483)</f>
        <v>1700483</v>
      </c>
      <c r="G49" s="16">
        <f>IFERROR(__xludf.DUMMYFUNCTION("""COMPUTED_VALUE"""),45812.6458333333)</f>
        <v>45812.6458333333</v>
      </c>
      <c r="H49" s="17">
        <f>IFERROR(__xludf.DUMMYFUNCTION("""COMPUTED_VALUE"""),1009)</f>
        <v>1009</v>
      </c>
      <c r="I49" s="16">
        <f>IFERROR(__xludf.DUMMYFUNCTION("""COMPUTED_VALUE"""),45812.6458333333)</f>
        <v>45812.6458333333</v>
      </c>
      <c r="J49" s="17">
        <f>IFERROR(__xludf.DUMMYFUNCTION("""COMPUTED_VALUE"""),983.7)</f>
        <v>983.7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IFERROR(__xludf.DUMMYFUNCTION("""COMPUTED_VALUE"""),1003.6)</f>
        <v>1003.6</v>
      </c>
      <c r="C50" s="16">
        <f>IFERROR(__xludf.DUMMYFUNCTION("""COMPUTED_VALUE"""),45813.6458333333)</f>
        <v>45813.6458333333</v>
      </c>
      <c r="D50" s="17">
        <f>IFERROR(__xludf.DUMMYFUNCTION("""COMPUTED_VALUE"""),1006)</f>
        <v>1006</v>
      </c>
      <c r="E50" s="16">
        <f>IFERROR(__xludf.DUMMYFUNCTION("""COMPUTED_VALUE"""),45813.6458333333)</f>
        <v>45813.6458333333</v>
      </c>
      <c r="F50" s="17">
        <f>IFERROR(__xludf.DUMMYFUNCTION("""COMPUTED_VALUE"""),1454736)</f>
        <v>1454736</v>
      </c>
      <c r="G50" s="16">
        <f>IFERROR(__xludf.DUMMYFUNCTION("""COMPUTED_VALUE"""),45813.6458333333)</f>
        <v>45813.6458333333</v>
      </c>
      <c r="H50" s="17">
        <f>IFERROR(__xludf.DUMMYFUNCTION("""COMPUTED_VALUE"""),1019)</f>
        <v>1019</v>
      </c>
      <c r="I50" s="16">
        <f>IFERROR(__xludf.DUMMYFUNCTION("""COMPUTED_VALUE"""),45813.6458333333)</f>
        <v>45813.6458333333</v>
      </c>
      <c r="J50" s="17">
        <f>IFERROR(__xludf.DUMMYFUNCTION("""COMPUTED_VALUE"""),1002)</f>
        <v>1002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IFERROR(__xludf.DUMMYFUNCTION("""COMPUTED_VALUE"""),1018.8)</f>
        <v>1018.8</v>
      </c>
      <c r="C51" s="16">
        <f>IFERROR(__xludf.DUMMYFUNCTION("""COMPUTED_VALUE"""),45814.6458333333)</f>
        <v>45814.6458333333</v>
      </c>
      <c r="D51" s="17">
        <f>IFERROR(__xludf.DUMMYFUNCTION("""COMPUTED_VALUE"""),1008)</f>
        <v>1008</v>
      </c>
      <c r="E51" s="16">
        <f>IFERROR(__xludf.DUMMYFUNCTION("""COMPUTED_VALUE"""),45814.6458333333)</f>
        <v>45814.6458333333</v>
      </c>
      <c r="F51" s="17">
        <f>IFERROR(__xludf.DUMMYFUNCTION("""COMPUTED_VALUE"""),2617425)</f>
        <v>2617425</v>
      </c>
      <c r="G51" s="16">
        <f>IFERROR(__xludf.DUMMYFUNCTION("""COMPUTED_VALUE"""),45814.6458333333)</f>
        <v>45814.6458333333</v>
      </c>
      <c r="H51" s="17">
        <f>IFERROR(__xludf.DUMMYFUNCTION("""COMPUTED_VALUE"""),1024.2)</f>
        <v>1024.2</v>
      </c>
      <c r="I51" s="16">
        <f>IFERROR(__xludf.DUMMYFUNCTION("""COMPUTED_VALUE"""),45814.6458333333)</f>
        <v>45814.6458333333</v>
      </c>
      <c r="J51" s="17">
        <f>IFERROR(__xludf.DUMMYFUNCTION("""COMPUTED_VALUE"""),1004.8)</f>
        <v>1004.8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IFERROR(__xludf.DUMMYFUNCTION("""COMPUTED_VALUE"""),1034.3)</f>
        <v>1034.3</v>
      </c>
      <c r="C52" s="16">
        <f>IFERROR(__xludf.DUMMYFUNCTION("""COMPUTED_VALUE"""),45817.6458333333)</f>
        <v>45817.6458333333</v>
      </c>
      <c r="D52" s="17">
        <f>IFERROR(__xludf.DUMMYFUNCTION("""COMPUTED_VALUE"""),1024.2)</f>
        <v>1024.2</v>
      </c>
      <c r="E52" s="16">
        <f>IFERROR(__xludf.DUMMYFUNCTION("""COMPUTED_VALUE"""),45817.6458333333)</f>
        <v>45817.6458333333</v>
      </c>
      <c r="F52" s="17">
        <f>IFERROR(__xludf.DUMMYFUNCTION("""COMPUTED_VALUE"""),3700815)</f>
        <v>3700815</v>
      </c>
      <c r="G52" s="16">
        <f>IFERROR(__xludf.DUMMYFUNCTION("""COMPUTED_VALUE"""),45817.6458333333)</f>
        <v>45817.6458333333</v>
      </c>
      <c r="H52" s="17">
        <f>IFERROR(__xludf.DUMMYFUNCTION("""COMPUTED_VALUE"""),1044.4)</f>
        <v>1044.4</v>
      </c>
      <c r="I52" s="16">
        <f>IFERROR(__xludf.DUMMYFUNCTION("""COMPUTED_VALUE"""),45817.6458333333)</f>
        <v>45817.6458333333</v>
      </c>
      <c r="J52" s="17">
        <f>IFERROR(__xludf.DUMMYFUNCTION("""COMPUTED_VALUE"""),1020)</f>
        <v>1020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IFERROR(__xludf.DUMMYFUNCTION("""COMPUTED_VALUE"""),1060.5)</f>
        <v>1060.5</v>
      </c>
      <c r="C53" s="16">
        <f>IFERROR(__xludf.DUMMYFUNCTION("""COMPUTED_VALUE"""),45818.6458333333)</f>
        <v>45818.6458333333</v>
      </c>
      <c r="D53" s="17">
        <f>IFERROR(__xludf.DUMMYFUNCTION("""COMPUTED_VALUE"""),1039.7)</f>
        <v>1039.7</v>
      </c>
      <c r="E53" s="16">
        <f>IFERROR(__xludf.DUMMYFUNCTION("""COMPUTED_VALUE"""),45818.6458333333)</f>
        <v>45818.6458333333</v>
      </c>
      <c r="F53" s="17">
        <f>IFERROR(__xludf.DUMMYFUNCTION("""COMPUTED_VALUE"""),5441911)</f>
        <v>5441911</v>
      </c>
      <c r="G53" s="16">
        <f>IFERROR(__xludf.DUMMYFUNCTION("""COMPUTED_VALUE"""),45818.6458333333)</f>
        <v>45818.6458333333</v>
      </c>
      <c r="H53" s="17">
        <f>IFERROR(__xludf.DUMMYFUNCTION("""COMPUTED_VALUE"""),1077)</f>
        <v>1077</v>
      </c>
      <c r="I53" s="16">
        <f>IFERROR(__xludf.DUMMYFUNCTION("""COMPUTED_VALUE"""),45818.6458333333)</f>
        <v>45818.6458333333</v>
      </c>
      <c r="J53" s="17">
        <f>IFERROR(__xludf.DUMMYFUNCTION("""COMPUTED_VALUE"""),1034.7)</f>
        <v>1034.7</v>
      </c>
      <c r="K53" s="3">
        <f t="shared" si="2"/>
        <v>1060.5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IFERROR(__xludf.DUMMYFUNCTION("""COMPUTED_VALUE"""),1046.8)</f>
        <v>1046.8</v>
      </c>
      <c r="C54" s="16">
        <f>IFERROR(__xludf.DUMMYFUNCTION("""COMPUTED_VALUE"""),45819.6458333333)</f>
        <v>45819.6458333333</v>
      </c>
      <c r="D54" s="17">
        <f>IFERROR(__xludf.DUMMYFUNCTION("""COMPUTED_VALUE"""),1066)</f>
        <v>1066</v>
      </c>
      <c r="E54" s="16">
        <f>IFERROR(__xludf.DUMMYFUNCTION("""COMPUTED_VALUE"""),45819.6458333333)</f>
        <v>45819.6458333333</v>
      </c>
      <c r="F54" s="17">
        <f>IFERROR(__xludf.DUMMYFUNCTION("""COMPUTED_VALUE"""),2515373)</f>
        <v>2515373</v>
      </c>
      <c r="G54" s="16">
        <f>IFERROR(__xludf.DUMMYFUNCTION("""COMPUTED_VALUE"""),45819.6458333333)</f>
        <v>45819.6458333333</v>
      </c>
      <c r="H54" s="17">
        <f>IFERROR(__xludf.DUMMYFUNCTION("""COMPUTED_VALUE"""),1070)</f>
        <v>1070</v>
      </c>
      <c r="I54" s="16">
        <f>IFERROR(__xludf.DUMMYFUNCTION("""COMPUTED_VALUE"""),45819.6458333333)</f>
        <v>45819.6458333333</v>
      </c>
      <c r="J54" s="17">
        <f>IFERROR(__xludf.DUMMYFUNCTION("""COMPUTED_VALUE"""),1033.3)</f>
        <v>1033.3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IFERROR(__xludf.DUMMYFUNCTION("""COMPUTED_VALUE"""),1015.8)</f>
        <v>1015.8</v>
      </c>
      <c r="C55" s="16">
        <f>IFERROR(__xludf.DUMMYFUNCTION("""COMPUTED_VALUE"""),45820.6458333333)</f>
        <v>45820.6458333333</v>
      </c>
      <c r="D55" s="17">
        <f>IFERROR(__xludf.DUMMYFUNCTION("""COMPUTED_VALUE"""),1050)</f>
        <v>1050</v>
      </c>
      <c r="E55" s="16">
        <f>IFERROR(__xludf.DUMMYFUNCTION("""COMPUTED_VALUE"""),45820.6458333333)</f>
        <v>45820.6458333333</v>
      </c>
      <c r="F55" s="17">
        <f>IFERROR(__xludf.DUMMYFUNCTION("""COMPUTED_VALUE"""),2183895)</f>
        <v>2183895</v>
      </c>
      <c r="G55" s="16">
        <f>IFERROR(__xludf.DUMMYFUNCTION("""COMPUTED_VALUE"""),45820.6458333333)</f>
        <v>45820.6458333333</v>
      </c>
      <c r="H55" s="17">
        <f>IFERROR(__xludf.DUMMYFUNCTION("""COMPUTED_VALUE"""),1050)</f>
        <v>1050</v>
      </c>
      <c r="I55" s="16">
        <f>IFERROR(__xludf.DUMMYFUNCTION("""COMPUTED_VALUE"""),45820.6458333333)</f>
        <v>45820.6458333333</v>
      </c>
      <c r="J55" s="17">
        <f>IFERROR(__xludf.DUMMYFUNCTION("""COMPUTED_VALUE"""),1012)</f>
        <v>1012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IFERROR(__xludf.DUMMYFUNCTION("""COMPUTED_VALUE"""),989.5)</f>
        <v>989.5</v>
      </c>
      <c r="C56" s="16">
        <f>IFERROR(__xludf.DUMMYFUNCTION("""COMPUTED_VALUE"""),45821.6458333333)</f>
        <v>45821.6458333333</v>
      </c>
      <c r="D56" s="17">
        <f>IFERROR(__xludf.DUMMYFUNCTION("""COMPUTED_VALUE"""),996)</f>
        <v>996</v>
      </c>
      <c r="E56" s="16">
        <f>IFERROR(__xludf.DUMMYFUNCTION("""COMPUTED_VALUE"""),45821.6458333333)</f>
        <v>45821.6458333333</v>
      </c>
      <c r="F56" s="17">
        <f>IFERROR(__xludf.DUMMYFUNCTION("""COMPUTED_VALUE"""),2435259)</f>
        <v>2435259</v>
      </c>
      <c r="G56" s="16">
        <f>IFERROR(__xludf.DUMMYFUNCTION("""COMPUTED_VALUE"""),45821.6458333333)</f>
        <v>45821.6458333333</v>
      </c>
      <c r="H56" s="17">
        <f>IFERROR(__xludf.DUMMYFUNCTION("""COMPUTED_VALUE"""),1002.9)</f>
        <v>1002.9</v>
      </c>
      <c r="I56" s="16">
        <f>IFERROR(__xludf.DUMMYFUNCTION("""COMPUTED_VALUE"""),45821.6458333333)</f>
        <v>45821.6458333333</v>
      </c>
      <c r="J56" s="17">
        <f>IFERROR(__xludf.DUMMYFUNCTION("""COMPUTED_VALUE"""),985.3)</f>
        <v>985.3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IFERROR(__xludf.DUMMYFUNCTION("""COMPUTED_VALUE"""),992)</f>
        <v>992</v>
      </c>
      <c r="C57" s="16">
        <f>IFERROR(__xludf.DUMMYFUNCTION("""COMPUTED_VALUE"""),45824.6458333333)</f>
        <v>45824.6458333333</v>
      </c>
      <c r="D57" s="17">
        <f>IFERROR(__xludf.DUMMYFUNCTION("""COMPUTED_VALUE"""),989.5)</f>
        <v>989.5</v>
      </c>
      <c r="E57" s="16">
        <f>IFERROR(__xludf.DUMMYFUNCTION("""COMPUTED_VALUE"""),45824.6458333333)</f>
        <v>45824.6458333333</v>
      </c>
      <c r="F57" s="17">
        <f>IFERROR(__xludf.DUMMYFUNCTION("""COMPUTED_VALUE"""),1898670)</f>
        <v>1898670</v>
      </c>
      <c r="G57" s="16">
        <f>IFERROR(__xludf.DUMMYFUNCTION("""COMPUTED_VALUE"""),45824.6458333333)</f>
        <v>45824.6458333333</v>
      </c>
      <c r="H57" s="17">
        <f>IFERROR(__xludf.DUMMYFUNCTION("""COMPUTED_VALUE"""),997)</f>
        <v>997</v>
      </c>
      <c r="I57" s="16">
        <f>IFERROR(__xludf.DUMMYFUNCTION("""COMPUTED_VALUE"""),45824.6458333333)</f>
        <v>45824.6458333333</v>
      </c>
      <c r="J57" s="17">
        <f>IFERROR(__xludf.DUMMYFUNCTION("""COMPUTED_VALUE"""),968.6)</f>
        <v>968.6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IFERROR(__xludf.DUMMYFUNCTION("""COMPUTED_VALUE"""),977.5)</f>
        <v>977.5</v>
      </c>
      <c r="C58" s="16">
        <f>IFERROR(__xludf.DUMMYFUNCTION("""COMPUTED_VALUE"""),45825.6458333333)</f>
        <v>45825.6458333333</v>
      </c>
      <c r="D58" s="17">
        <f>IFERROR(__xludf.DUMMYFUNCTION("""COMPUTED_VALUE"""),992.8)</f>
        <v>992.8</v>
      </c>
      <c r="E58" s="16">
        <f>IFERROR(__xludf.DUMMYFUNCTION("""COMPUTED_VALUE"""),45825.6458333333)</f>
        <v>45825.6458333333</v>
      </c>
      <c r="F58" s="17">
        <f>IFERROR(__xludf.DUMMYFUNCTION("""COMPUTED_VALUE"""),1281462)</f>
        <v>1281462</v>
      </c>
      <c r="G58" s="16">
        <f>IFERROR(__xludf.DUMMYFUNCTION("""COMPUTED_VALUE"""),45825.6458333333)</f>
        <v>45825.6458333333</v>
      </c>
      <c r="H58" s="17">
        <f>IFERROR(__xludf.DUMMYFUNCTION("""COMPUTED_VALUE"""),997.5)</f>
        <v>997.5</v>
      </c>
      <c r="I58" s="16">
        <f>IFERROR(__xludf.DUMMYFUNCTION("""COMPUTED_VALUE"""),45825.6458333333)</f>
        <v>45825.6458333333</v>
      </c>
      <c r="J58" s="17">
        <f>IFERROR(__xludf.DUMMYFUNCTION("""COMPUTED_VALUE"""),975)</f>
        <v>975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IFERROR(__xludf.DUMMYFUNCTION("""COMPUTED_VALUE"""),968.9)</f>
        <v>968.9</v>
      </c>
      <c r="C59" s="16">
        <f>IFERROR(__xludf.DUMMYFUNCTION("""COMPUTED_VALUE"""),45826.6458333333)</f>
        <v>45826.6458333333</v>
      </c>
      <c r="D59" s="17">
        <f>IFERROR(__xludf.DUMMYFUNCTION("""COMPUTED_VALUE"""),977.5)</f>
        <v>977.5</v>
      </c>
      <c r="E59" s="16">
        <f>IFERROR(__xludf.DUMMYFUNCTION("""COMPUTED_VALUE"""),45826.6458333333)</f>
        <v>45826.6458333333</v>
      </c>
      <c r="F59" s="17">
        <f>IFERROR(__xludf.DUMMYFUNCTION("""COMPUTED_VALUE"""),1632269)</f>
        <v>1632269</v>
      </c>
      <c r="G59" s="16">
        <f>IFERROR(__xludf.DUMMYFUNCTION("""COMPUTED_VALUE"""),45826.6458333333)</f>
        <v>45826.6458333333</v>
      </c>
      <c r="H59" s="17">
        <f>IFERROR(__xludf.DUMMYFUNCTION("""COMPUTED_VALUE"""),985.6)</f>
        <v>985.6</v>
      </c>
      <c r="I59" s="16">
        <f>IFERROR(__xludf.DUMMYFUNCTION("""COMPUTED_VALUE"""),45826.6458333333)</f>
        <v>45826.6458333333</v>
      </c>
      <c r="J59" s="17">
        <f>IFERROR(__xludf.DUMMYFUNCTION("""COMPUTED_VALUE"""),963.2)</f>
        <v>963.2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IFERROR(__xludf.DUMMYFUNCTION("""COMPUTED_VALUE"""),934)</f>
        <v>934</v>
      </c>
      <c r="C60" s="16">
        <f>IFERROR(__xludf.DUMMYFUNCTION("""COMPUTED_VALUE"""),45827.6458333333)</f>
        <v>45827.6458333333</v>
      </c>
      <c r="D60" s="17">
        <f>IFERROR(__xludf.DUMMYFUNCTION("""COMPUTED_VALUE"""),970)</f>
        <v>970</v>
      </c>
      <c r="E60" s="16">
        <f>IFERROR(__xludf.DUMMYFUNCTION("""COMPUTED_VALUE"""),45827.6458333333)</f>
        <v>45827.6458333333</v>
      </c>
      <c r="F60" s="17">
        <f>IFERROR(__xludf.DUMMYFUNCTION("""COMPUTED_VALUE"""),2415130)</f>
        <v>2415130</v>
      </c>
      <c r="G60" s="16">
        <f>IFERROR(__xludf.DUMMYFUNCTION("""COMPUTED_VALUE"""),45827.6458333333)</f>
        <v>45827.6458333333</v>
      </c>
      <c r="H60" s="17">
        <f>IFERROR(__xludf.DUMMYFUNCTION("""COMPUTED_VALUE"""),973.4)</f>
        <v>973.4</v>
      </c>
      <c r="I60" s="16">
        <f>IFERROR(__xludf.DUMMYFUNCTION("""COMPUTED_VALUE"""),45827.6458333333)</f>
        <v>45827.6458333333</v>
      </c>
      <c r="J60" s="17">
        <f>IFERROR(__xludf.DUMMYFUNCTION("""COMPUTED_VALUE"""),929)</f>
        <v>929</v>
      </c>
      <c r="K60" s="3">
        <f t="shared" si="2"/>
        <v>0</v>
      </c>
      <c r="L60" s="3">
        <f t="shared" si="3"/>
        <v>934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IFERROR(__xludf.DUMMYFUNCTION("""COMPUTED_VALUE"""),947.7)</f>
        <v>947.7</v>
      </c>
      <c r="C61" s="16">
        <f>IFERROR(__xludf.DUMMYFUNCTION("""COMPUTED_VALUE"""),45828.6458333333)</f>
        <v>45828.6458333333</v>
      </c>
      <c r="D61" s="17">
        <f>IFERROR(__xludf.DUMMYFUNCTION("""COMPUTED_VALUE"""),938)</f>
        <v>938</v>
      </c>
      <c r="E61" s="16">
        <f>IFERROR(__xludf.DUMMYFUNCTION("""COMPUTED_VALUE"""),45828.6458333333)</f>
        <v>45828.6458333333</v>
      </c>
      <c r="F61" s="17">
        <f>IFERROR(__xludf.DUMMYFUNCTION("""COMPUTED_VALUE"""),3308667)</f>
        <v>3308667</v>
      </c>
      <c r="G61" s="16">
        <f>IFERROR(__xludf.DUMMYFUNCTION("""COMPUTED_VALUE"""),45828.6458333333)</f>
        <v>45828.6458333333</v>
      </c>
      <c r="H61" s="17">
        <f>IFERROR(__xludf.DUMMYFUNCTION("""COMPUTED_VALUE"""),959.4)</f>
        <v>959.4</v>
      </c>
      <c r="I61" s="16">
        <f>IFERROR(__xludf.DUMMYFUNCTION("""COMPUTED_VALUE"""),45828.6458333333)</f>
        <v>45828.6458333333</v>
      </c>
      <c r="J61" s="17">
        <f>IFERROR(__xludf.DUMMYFUNCTION("""COMPUTED_VALUE"""),936)</f>
        <v>936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IFERROR(__xludf.DUMMYFUNCTION("""COMPUTED_VALUE"""),960.5)</f>
        <v>960.5</v>
      </c>
      <c r="C62" s="16">
        <f>IFERROR(__xludf.DUMMYFUNCTION("""COMPUTED_VALUE"""),45831.6458333333)</f>
        <v>45831.6458333333</v>
      </c>
      <c r="D62" s="17">
        <f>IFERROR(__xludf.DUMMYFUNCTION("""COMPUTED_VALUE"""),939.8)</f>
        <v>939.8</v>
      </c>
      <c r="E62" s="16">
        <f>IFERROR(__xludf.DUMMYFUNCTION("""COMPUTED_VALUE"""),45831.6458333333)</f>
        <v>45831.6458333333</v>
      </c>
      <c r="F62" s="17">
        <f>IFERROR(__xludf.DUMMYFUNCTION("""COMPUTED_VALUE"""),1728394)</f>
        <v>1728394</v>
      </c>
      <c r="G62" s="16">
        <f>IFERROR(__xludf.DUMMYFUNCTION("""COMPUTED_VALUE"""),45831.6458333333)</f>
        <v>45831.6458333333</v>
      </c>
      <c r="H62" s="17">
        <f>IFERROR(__xludf.DUMMYFUNCTION("""COMPUTED_VALUE"""),964.9)</f>
        <v>964.9</v>
      </c>
      <c r="I62" s="16">
        <f>IFERROR(__xludf.DUMMYFUNCTION("""COMPUTED_VALUE"""),45831.6458333333)</f>
        <v>45831.6458333333</v>
      </c>
      <c r="J62" s="17">
        <f>IFERROR(__xludf.DUMMYFUNCTION("""COMPUTED_VALUE"""),935)</f>
        <v>935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IFERROR(__xludf.DUMMYFUNCTION("""COMPUTED_VALUE"""),987.3)</f>
        <v>987.3</v>
      </c>
      <c r="C63" s="16">
        <f>IFERROR(__xludf.DUMMYFUNCTION("""COMPUTED_VALUE"""),45832.6458333333)</f>
        <v>45832.6458333333</v>
      </c>
      <c r="D63" s="17">
        <f>IFERROR(__xludf.DUMMYFUNCTION("""COMPUTED_VALUE"""),975)</f>
        <v>975</v>
      </c>
      <c r="E63" s="16">
        <f>IFERROR(__xludf.DUMMYFUNCTION("""COMPUTED_VALUE"""),45832.6458333333)</f>
        <v>45832.6458333333</v>
      </c>
      <c r="F63" s="17">
        <f>IFERROR(__xludf.DUMMYFUNCTION("""COMPUTED_VALUE"""),3498494)</f>
        <v>3498494</v>
      </c>
      <c r="G63" s="16">
        <f>IFERROR(__xludf.DUMMYFUNCTION("""COMPUTED_VALUE"""),45832.6458333333)</f>
        <v>45832.6458333333</v>
      </c>
      <c r="H63" s="17">
        <f>IFERROR(__xludf.DUMMYFUNCTION("""COMPUTED_VALUE"""),1001.9)</f>
        <v>1001.9</v>
      </c>
      <c r="I63" s="16">
        <f>IFERROR(__xludf.DUMMYFUNCTION("""COMPUTED_VALUE"""),45832.6458333333)</f>
        <v>45832.6458333333</v>
      </c>
      <c r="J63" s="17">
        <f>IFERROR(__xludf.DUMMYFUNCTION("""COMPUTED_VALUE"""),974)</f>
        <v>974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IFERROR(__xludf.DUMMYFUNCTION("""COMPUTED_VALUE"""),981.1)</f>
        <v>981.1</v>
      </c>
      <c r="C64" s="16">
        <f>IFERROR(__xludf.DUMMYFUNCTION("""COMPUTED_VALUE"""),45833.6458333333)</f>
        <v>45833.6458333333</v>
      </c>
      <c r="D64" s="17">
        <f>IFERROR(__xludf.DUMMYFUNCTION("""COMPUTED_VALUE"""),987)</f>
        <v>987</v>
      </c>
      <c r="E64" s="16">
        <f>IFERROR(__xludf.DUMMYFUNCTION("""COMPUTED_VALUE"""),45833.6458333333)</f>
        <v>45833.6458333333</v>
      </c>
      <c r="F64" s="17">
        <f>IFERROR(__xludf.DUMMYFUNCTION("""COMPUTED_VALUE"""),2294587)</f>
        <v>2294587</v>
      </c>
      <c r="G64" s="16">
        <f>IFERROR(__xludf.DUMMYFUNCTION("""COMPUTED_VALUE"""),45833.6458333333)</f>
        <v>45833.6458333333</v>
      </c>
      <c r="H64" s="17">
        <f>IFERROR(__xludf.DUMMYFUNCTION("""COMPUTED_VALUE"""),997)</f>
        <v>997</v>
      </c>
      <c r="I64" s="16">
        <f>IFERROR(__xludf.DUMMYFUNCTION("""COMPUTED_VALUE"""),45833.6458333333)</f>
        <v>45833.6458333333</v>
      </c>
      <c r="J64" s="17">
        <f>IFERROR(__xludf.DUMMYFUNCTION("""COMPUTED_VALUE"""),979.5)</f>
        <v>979.5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IFERROR(__xludf.DUMMYFUNCTION("""COMPUTED_VALUE"""),992)</f>
        <v>992</v>
      </c>
      <c r="C65" s="16">
        <f>IFERROR(__xludf.DUMMYFUNCTION("""COMPUTED_VALUE"""),45834.6458333333)</f>
        <v>45834.6458333333</v>
      </c>
      <c r="D65" s="17">
        <f>IFERROR(__xludf.DUMMYFUNCTION("""COMPUTED_VALUE"""),984)</f>
        <v>984</v>
      </c>
      <c r="E65" s="16">
        <f>IFERROR(__xludf.DUMMYFUNCTION("""COMPUTED_VALUE"""),45834.6458333333)</f>
        <v>45834.6458333333</v>
      </c>
      <c r="F65" s="17">
        <f>IFERROR(__xludf.DUMMYFUNCTION("""COMPUTED_VALUE"""),2254782)</f>
        <v>2254782</v>
      </c>
      <c r="G65" s="16">
        <f>IFERROR(__xludf.DUMMYFUNCTION("""COMPUTED_VALUE"""),45834.6458333333)</f>
        <v>45834.6458333333</v>
      </c>
      <c r="H65" s="17">
        <f>IFERROR(__xludf.DUMMYFUNCTION("""COMPUTED_VALUE"""),993.5)</f>
        <v>993.5</v>
      </c>
      <c r="I65" s="16">
        <f>IFERROR(__xludf.DUMMYFUNCTION("""COMPUTED_VALUE"""),45834.6458333333)</f>
        <v>45834.6458333333</v>
      </c>
      <c r="J65" s="17">
        <f>IFERROR(__xludf.DUMMYFUNCTION("""COMPUTED_VALUE"""),976.1)</f>
        <v>976.1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IFERROR(__xludf.DUMMYFUNCTION("""COMPUTED_VALUE"""),1015.6)</f>
        <v>1015.6</v>
      </c>
      <c r="C66" s="16">
        <f>IFERROR(__xludf.DUMMYFUNCTION("""COMPUTED_VALUE"""),45835.6458333333)</f>
        <v>45835.6458333333</v>
      </c>
      <c r="D66" s="17">
        <f>IFERROR(__xludf.DUMMYFUNCTION("""COMPUTED_VALUE"""),994.4)</f>
        <v>994.4</v>
      </c>
      <c r="E66" s="16">
        <f>IFERROR(__xludf.DUMMYFUNCTION("""COMPUTED_VALUE"""),45835.6458333333)</f>
        <v>45835.6458333333</v>
      </c>
      <c r="F66" s="17">
        <f>IFERROR(__xludf.DUMMYFUNCTION("""COMPUTED_VALUE"""),6044564)</f>
        <v>6044564</v>
      </c>
      <c r="G66" s="16">
        <f>IFERROR(__xludf.DUMMYFUNCTION("""COMPUTED_VALUE"""),45835.6458333333)</f>
        <v>45835.6458333333</v>
      </c>
      <c r="H66" s="17">
        <f>IFERROR(__xludf.DUMMYFUNCTION("""COMPUTED_VALUE"""),1046.9)</f>
        <v>1046.9</v>
      </c>
      <c r="I66" s="16">
        <f>IFERROR(__xludf.DUMMYFUNCTION("""COMPUTED_VALUE"""),45835.6458333333)</f>
        <v>45835.6458333333</v>
      </c>
      <c r="J66" s="17">
        <f>IFERROR(__xludf.DUMMYFUNCTION("""COMPUTED_VALUE"""),993)</f>
        <v>993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IFERROR(__xludf.DUMMYFUNCTION("""COMPUTED_VALUE"""),1025.6)</f>
        <v>1025.6</v>
      </c>
      <c r="C67" s="16">
        <f>IFERROR(__xludf.DUMMYFUNCTION("""COMPUTED_VALUE"""),45838.6458333333)</f>
        <v>45838.6458333333</v>
      </c>
      <c r="D67" s="17">
        <f>IFERROR(__xludf.DUMMYFUNCTION("""COMPUTED_VALUE"""),1020)</f>
        <v>1020</v>
      </c>
      <c r="E67" s="16">
        <f>IFERROR(__xludf.DUMMYFUNCTION("""COMPUTED_VALUE"""),45838.6458333333)</f>
        <v>45838.6458333333</v>
      </c>
      <c r="F67" s="17">
        <f>IFERROR(__xludf.DUMMYFUNCTION("""COMPUTED_VALUE"""),2020543)</f>
        <v>2020543</v>
      </c>
      <c r="G67" s="16">
        <f>IFERROR(__xludf.DUMMYFUNCTION("""COMPUTED_VALUE"""),45838.6458333333)</f>
        <v>45838.6458333333</v>
      </c>
      <c r="H67" s="17">
        <f>IFERROR(__xludf.DUMMYFUNCTION("""COMPUTED_VALUE"""),1034.5)</f>
        <v>1034.5</v>
      </c>
      <c r="I67" s="16">
        <f>IFERROR(__xludf.DUMMYFUNCTION("""COMPUTED_VALUE"""),45838.6458333333)</f>
        <v>45838.6458333333</v>
      </c>
      <c r="J67" s="17">
        <f>IFERROR(__xludf.DUMMYFUNCTION("""COMPUTED_VALUE"""),1015.1)</f>
        <v>1015.1</v>
      </c>
      <c r="K67" s="3">
        <f t="shared" si="2"/>
        <v>1025.6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IFERROR(__xludf.DUMMYFUNCTION("""COMPUTED_VALUE"""),1015.7)</f>
        <v>1015.7</v>
      </c>
      <c r="C68" s="16">
        <f>IFERROR(__xludf.DUMMYFUNCTION("""COMPUTED_VALUE"""),45839.6458333333)</f>
        <v>45839.6458333333</v>
      </c>
      <c r="D68" s="17">
        <f>IFERROR(__xludf.DUMMYFUNCTION("""COMPUTED_VALUE"""),1030)</f>
        <v>1030</v>
      </c>
      <c r="E68" s="16">
        <f>IFERROR(__xludf.DUMMYFUNCTION("""COMPUTED_VALUE"""),45839.6458333333)</f>
        <v>45839.6458333333</v>
      </c>
      <c r="F68" s="17">
        <f>IFERROR(__xludf.DUMMYFUNCTION("""COMPUTED_VALUE"""),1836549)</f>
        <v>1836549</v>
      </c>
      <c r="G68" s="16">
        <f>IFERROR(__xludf.DUMMYFUNCTION("""COMPUTED_VALUE"""),45839.6458333333)</f>
        <v>45839.6458333333</v>
      </c>
      <c r="H68" s="17">
        <f>IFERROR(__xludf.DUMMYFUNCTION("""COMPUTED_VALUE"""),1038)</f>
        <v>1038</v>
      </c>
      <c r="I68" s="16">
        <f>IFERROR(__xludf.DUMMYFUNCTION("""COMPUTED_VALUE"""),45839.6458333333)</f>
        <v>45839.6458333333</v>
      </c>
      <c r="J68" s="17">
        <f>IFERROR(__xludf.DUMMYFUNCTION("""COMPUTED_VALUE"""),1007.2)</f>
        <v>1007.2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IFERROR(__xludf.DUMMYFUNCTION("""COMPUTED_VALUE"""),1019)</f>
        <v>1019</v>
      </c>
      <c r="C69" s="16">
        <f>IFERROR(__xludf.DUMMYFUNCTION("""COMPUTED_VALUE"""),45840.6458333333)</f>
        <v>45840.6458333333</v>
      </c>
      <c r="D69" s="17">
        <f>IFERROR(__xludf.DUMMYFUNCTION("""COMPUTED_VALUE"""),1020)</f>
        <v>1020</v>
      </c>
      <c r="E69" s="16">
        <f>IFERROR(__xludf.DUMMYFUNCTION("""COMPUTED_VALUE"""),45840.6458333333)</f>
        <v>45840.6458333333</v>
      </c>
      <c r="F69" s="17">
        <f>IFERROR(__xludf.DUMMYFUNCTION("""COMPUTED_VALUE"""),1307248)</f>
        <v>1307248</v>
      </c>
      <c r="G69" s="16">
        <f>IFERROR(__xludf.DUMMYFUNCTION("""COMPUTED_VALUE"""),45840.6458333333)</f>
        <v>45840.6458333333</v>
      </c>
      <c r="H69" s="17">
        <f>IFERROR(__xludf.DUMMYFUNCTION("""COMPUTED_VALUE"""),1031.4)</f>
        <v>1031.4</v>
      </c>
      <c r="I69" s="16">
        <f>IFERROR(__xludf.DUMMYFUNCTION("""COMPUTED_VALUE"""),45840.6458333333)</f>
        <v>45840.6458333333</v>
      </c>
      <c r="J69" s="17">
        <f>IFERROR(__xludf.DUMMYFUNCTION("""COMPUTED_VALUE"""),1012.1)</f>
        <v>1012.1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IFERROR(__xludf.DUMMYFUNCTION("""COMPUTED_VALUE"""),1008.5)</f>
        <v>1008.5</v>
      </c>
      <c r="C70" s="16">
        <f>IFERROR(__xludf.DUMMYFUNCTION("""COMPUTED_VALUE"""),45841.6458333333)</f>
        <v>45841.6458333333</v>
      </c>
      <c r="D70" s="17">
        <f>IFERROR(__xludf.DUMMYFUNCTION("""COMPUTED_VALUE"""),1023)</f>
        <v>1023</v>
      </c>
      <c r="E70" s="16">
        <f>IFERROR(__xludf.DUMMYFUNCTION("""COMPUTED_VALUE"""),45841.6458333333)</f>
        <v>45841.6458333333</v>
      </c>
      <c r="F70" s="17">
        <f>IFERROR(__xludf.DUMMYFUNCTION("""COMPUTED_VALUE"""),1234996)</f>
        <v>1234996</v>
      </c>
      <c r="G70" s="16">
        <f>IFERROR(__xludf.DUMMYFUNCTION("""COMPUTED_VALUE"""),45841.6458333333)</f>
        <v>45841.6458333333</v>
      </c>
      <c r="H70" s="17">
        <f>IFERROR(__xludf.DUMMYFUNCTION("""COMPUTED_VALUE"""),1023.7)</f>
        <v>1023.7</v>
      </c>
      <c r="I70" s="16">
        <f>IFERROR(__xludf.DUMMYFUNCTION("""COMPUTED_VALUE"""),45841.6458333333)</f>
        <v>45841.6458333333</v>
      </c>
      <c r="J70" s="17">
        <f>IFERROR(__xludf.DUMMYFUNCTION("""COMPUTED_VALUE"""),1005)</f>
        <v>1005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IFERROR(__xludf.DUMMYFUNCTION("""COMPUTED_VALUE"""),996.8)</f>
        <v>996.8</v>
      </c>
      <c r="C71" s="16">
        <f>IFERROR(__xludf.DUMMYFUNCTION("""COMPUTED_VALUE"""),45842.6458333333)</f>
        <v>45842.6458333333</v>
      </c>
      <c r="D71" s="17">
        <f>IFERROR(__xludf.DUMMYFUNCTION("""COMPUTED_VALUE"""),1012)</f>
        <v>1012</v>
      </c>
      <c r="E71" s="16">
        <f>IFERROR(__xludf.DUMMYFUNCTION("""COMPUTED_VALUE"""),45842.6458333333)</f>
        <v>45842.6458333333</v>
      </c>
      <c r="F71" s="17">
        <f>IFERROR(__xludf.DUMMYFUNCTION("""COMPUTED_VALUE"""),1565915)</f>
        <v>1565915</v>
      </c>
      <c r="G71" s="16">
        <f>IFERROR(__xludf.DUMMYFUNCTION("""COMPUTED_VALUE"""),45842.6458333333)</f>
        <v>45842.6458333333</v>
      </c>
      <c r="H71" s="17">
        <f>IFERROR(__xludf.DUMMYFUNCTION("""COMPUTED_VALUE"""),1012)</f>
        <v>1012</v>
      </c>
      <c r="I71" s="16">
        <f>IFERROR(__xludf.DUMMYFUNCTION("""COMPUTED_VALUE"""),45842.6458333333)</f>
        <v>45842.6458333333</v>
      </c>
      <c r="J71" s="17">
        <f>IFERROR(__xludf.DUMMYFUNCTION("""COMPUTED_VALUE"""),990)</f>
        <v>990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IFERROR(__xludf.DUMMYFUNCTION("""COMPUTED_VALUE"""),991.1)</f>
        <v>991.1</v>
      </c>
      <c r="C72" s="16">
        <f>IFERROR(__xludf.DUMMYFUNCTION("""COMPUTED_VALUE"""),45845.6458333333)</f>
        <v>45845.6458333333</v>
      </c>
      <c r="D72" s="17">
        <f>IFERROR(__xludf.DUMMYFUNCTION("""COMPUTED_VALUE"""),997)</f>
        <v>997</v>
      </c>
      <c r="E72" s="16">
        <f>IFERROR(__xludf.DUMMYFUNCTION("""COMPUTED_VALUE"""),45845.6458333333)</f>
        <v>45845.6458333333</v>
      </c>
      <c r="F72" s="17">
        <f>IFERROR(__xludf.DUMMYFUNCTION("""COMPUTED_VALUE"""),863077)</f>
        <v>863077</v>
      </c>
      <c r="G72" s="16">
        <f>IFERROR(__xludf.DUMMYFUNCTION("""COMPUTED_VALUE"""),45845.6458333333)</f>
        <v>45845.6458333333</v>
      </c>
      <c r="H72" s="17">
        <f>IFERROR(__xludf.DUMMYFUNCTION("""COMPUTED_VALUE"""),998.8)</f>
        <v>998.8</v>
      </c>
      <c r="I72" s="16">
        <f>IFERROR(__xludf.DUMMYFUNCTION("""COMPUTED_VALUE"""),45845.6458333333)</f>
        <v>45845.6458333333</v>
      </c>
      <c r="J72" s="17">
        <f>IFERROR(__xludf.DUMMYFUNCTION("""COMPUTED_VALUE"""),988.7)</f>
        <v>988.7</v>
      </c>
      <c r="K72" s="3">
        <f t="shared" si="2"/>
        <v>0</v>
      </c>
      <c r="L72" s="3">
        <f t="shared" si="3"/>
        <v>991.1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IFERROR(__xludf.DUMMYFUNCTION("""COMPUTED_VALUE"""),992)</f>
        <v>992</v>
      </c>
      <c r="C73" s="16">
        <f>IFERROR(__xludf.DUMMYFUNCTION("""COMPUTED_VALUE"""),45846.6458333333)</f>
        <v>45846.6458333333</v>
      </c>
      <c r="D73" s="17">
        <f>IFERROR(__xludf.DUMMYFUNCTION("""COMPUTED_VALUE"""),991.8)</f>
        <v>991.8</v>
      </c>
      <c r="E73" s="16">
        <f>IFERROR(__xludf.DUMMYFUNCTION("""COMPUTED_VALUE"""),45846.6458333333)</f>
        <v>45846.6458333333</v>
      </c>
      <c r="F73" s="17">
        <f>IFERROR(__xludf.DUMMYFUNCTION("""COMPUTED_VALUE"""),1069668)</f>
        <v>1069668</v>
      </c>
      <c r="G73" s="16">
        <f>IFERROR(__xludf.DUMMYFUNCTION("""COMPUTED_VALUE"""),45846.6458333333)</f>
        <v>45846.6458333333</v>
      </c>
      <c r="H73" s="17">
        <f>IFERROR(__xludf.DUMMYFUNCTION("""COMPUTED_VALUE"""),1005)</f>
        <v>1005</v>
      </c>
      <c r="I73" s="16">
        <f>IFERROR(__xludf.DUMMYFUNCTION("""COMPUTED_VALUE"""),45846.6458333333)</f>
        <v>45846.6458333333</v>
      </c>
      <c r="J73" s="17">
        <f>IFERROR(__xludf.DUMMYFUNCTION("""COMPUTED_VALUE"""),981.3)</f>
        <v>981.3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IFERROR(__xludf.DUMMYFUNCTION("""COMPUTED_VALUE"""),995.2)</f>
        <v>995.2</v>
      </c>
      <c r="C74" s="16">
        <f>IFERROR(__xludf.DUMMYFUNCTION("""COMPUTED_VALUE"""),45847.6458333333)</f>
        <v>45847.6458333333</v>
      </c>
      <c r="D74" s="17">
        <f>IFERROR(__xludf.DUMMYFUNCTION("""COMPUTED_VALUE"""),997.1)</f>
        <v>997.1</v>
      </c>
      <c r="E74" s="16">
        <f>IFERROR(__xludf.DUMMYFUNCTION("""COMPUTED_VALUE"""),45847.6458333333)</f>
        <v>45847.6458333333</v>
      </c>
      <c r="F74" s="17">
        <f>IFERROR(__xludf.DUMMYFUNCTION("""COMPUTED_VALUE"""),1480019)</f>
        <v>1480019</v>
      </c>
      <c r="G74" s="16">
        <f>IFERROR(__xludf.DUMMYFUNCTION("""COMPUTED_VALUE"""),45847.6458333333)</f>
        <v>45847.6458333333</v>
      </c>
      <c r="H74" s="17">
        <f>IFERROR(__xludf.DUMMYFUNCTION("""COMPUTED_VALUE"""),1011)</f>
        <v>1011</v>
      </c>
      <c r="I74" s="16">
        <f>IFERROR(__xludf.DUMMYFUNCTION("""COMPUTED_VALUE"""),45847.6458333333)</f>
        <v>45847.6458333333</v>
      </c>
      <c r="J74" s="17">
        <f>IFERROR(__xludf.DUMMYFUNCTION("""COMPUTED_VALUE"""),993.2)</f>
        <v>993.2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IFERROR(__xludf.DUMMYFUNCTION("""COMPUTED_VALUE"""),995.8)</f>
        <v>995.8</v>
      </c>
      <c r="C75" s="16">
        <f>IFERROR(__xludf.DUMMYFUNCTION("""COMPUTED_VALUE"""),45848.6458333333)</f>
        <v>45848.6458333333</v>
      </c>
      <c r="D75" s="17">
        <f>IFERROR(__xludf.DUMMYFUNCTION("""COMPUTED_VALUE"""),999.7)</f>
        <v>999.7</v>
      </c>
      <c r="E75" s="16">
        <f>IFERROR(__xludf.DUMMYFUNCTION("""COMPUTED_VALUE"""),45848.6458333333)</f>
        <v>45848.6458333333</v>
      </c>
      <c r="F75" s="17">
        <f>IFERROR(__xludf.DUMMYFUNCTION("""COMPUTED_VALUE"""),1057492)</f>
        <v>1057492</v>
      </c>
      <c r="G75" s="16">
        <f>IFERROR(__xludf.DUMMYFUNCTION("""COMPUTED_VALUE"""),45848.6458333333)</f>
        <v>45848.6458333333</v>
      </c>
      <c r="H75" s="17">
        <f>IFERROR(__xludf.DUMMYFUNCTION("""COMPUTED_VALUE"""),1007.9)</f>
        <v>1007.9</v>
      </c>
      <c r="I75" s="16">
        <f>IFERROR(__xludf.DUMMYFUNCTION("""COMPUTED_VALUE"""),45848.6458333333)</f>
        <v>45848.6458333333</v>
      </c>
      <c r="J75" s="17">
        <f>IFERROR(__xludf.DUMMYFUNCTION("""COMPUTED_VALUE"""),992.3)</f>
        <v>992.3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IFERROR(__xludf.DUMMYFUNCTION("""COMPUTED_VALUE"""),995.2)</f>
        <v>995.2</v>
      </c>
      <c r="C76" s="16">
        <f>IFERROR(__xludf.DUMMYFUNCTION("""COMPUTED_VALUE"""),45849.6458333333)</f>
        <v>45849.6458333333</v>
      </c>
      <c r="D76" s="17">
        <f>IFERROR(__xludf.DUMMYFUNCTION("""COMPUTED_VALUE"""),999.8)</f>
        <v>999.8</v>
      </c>
      <c r="E76" s="16">
        <f>IFERROR(__xludf.DUMMYFUNCTION("""COMPUTED_VALUE"""),45849.6458333333)</f>
        <v>45849.6458333333</v>
      </c>
      <c r="F76" s="17">
        <f>IFERROR(__xludf.DUMMYFUNCTION("""COMPUTED_VALUE"""),1850757)</f>
        <v>1850757</v>
      </c>
      <c r="G76" s="16">
        <f>IFERROR(__xludf.DUMMYFUNCTION("""COMPUTED_VALUE"""),45849.6458333333)</f>
        <v>45849.6458333333</v>
      </c>
      <c r="H76" s="17">
        <f>IFERROR(__xludf.DUMMYFUNCTION("""COMPUTED_VALUE"""),1010.9)</f>
        <v>1010.9</v>
      </c>
      <c r="I76" s="16">
        <f>IFERROR(__xludf.DUMMYFUNCTION("""COMPUTED_VALUE"""),45849.6458333333)</f>
        <v>45849.6458333333</v>
      </c>
      <c r="J76" s="17">
        <f>IFERROR(__xludf.DUMMYFUNCTION("""COMPUTED_VALUE"""),985.2)</f>
        <v>985.2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IFERROR(__xludf.DUMMYFUNCTION("""COMPUTED_VALUE"""),1025.9)</f>
        <v>1025.9</v>
      </c>
      <c r="C77" s="16">
        <f>IFERROR(__xludf.DUMMYFUNCTION("""COMPUTED_VALUE"""),45852.6458333333)</f>
        <v>45852.6458333333</v>
      </c>
      <c r="D77" s="17">
        <f>IFERROR(__xludf.DUMMYFUNCTION("""COMPUTED_VALUE"""),995.8)</f>
        <v>995.8</v>
      </c>
      <c r="E77" s="16">
        <f>IFERROR(__xludf.DUMMYFUNCTION("""COMPUTED_VALUE"""),45852.6458333333)</f>
        <v>45852.6458333333</v>
      </c>
      <c r="F77" s="17">
        <f>IFERROR(__xludf.DUMMYFUNCTION("""COMPUTED_VALUE"""),5134094)</f>
        <v>5134094</v>
      </c>
      <c r="G77" s="16">
        <f>IFERROR(__xludf.DUMMYFUNCTION("""COMPUTED_VALUE"""),45852.6458333333)</f>
        <v>45852.6458333333</v>
      </c>
      <c r="H77" s="17">
        <f>IFERROR(__xludf.DUMMYFUNCTION("""COMPUTED_VALUE"""),1036)</f>
        <v>1036</v>
      </c>
      <c r="I77" s="16">
        <f>IFERROR(__xludf.DUMMYFUNCTION("""COMPUTED_VALUE"""),45852.6458333333)</f>
        <v>45852.6458333333</v>
      </c>
      <c r="J77" s="17">
        <f>IFERROR(__xludf.DUMMYFUNCTION("""COMPUTED_VALUE"""),994.2)</f>
        <v>994.2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IFERROR(__xludf.DUMMYFUNCTION("""COMPUTED_VALUE"""),1033.1)</f>
        <v>1033.1</v>
      </c>
      <c r="C78" s="16">
        <f>IFERROR(__xludf.DUMMYFUNCTION("""COMPUTED_VALUE"""),45853.6458333333)</f>
        <v>45853.6458333333</v>
      </c>
      <c r="D78" s="17">
        <f>IFERROR(__xludf.DUMMYFUNCTION("""COMPUTED_VALUE"""),1027)</f>
        <v>1027</v>
      </c>
      <c r="E78" s="16">
        <f>IFERROR(__xludf.DUMMYFUNCTION("""COMPUTED_VALUE"""),45853.6458333333)</f>
        <v>45853.6458333333</v>
      </c>
      <c r="F78" s="17">
        <f>IFERROR(__xludf.DUMMYFUNCTION("""COMPUTED_VALUE"""),2064201)</f>
        <v>2064201</v>
      </c>
      <c r="G78" s="16">
        <f>IFERROR(__xludf.DUMMYFUNCTION("""COMPUTED_VALUE"""),45853.6458333333)</f>
        <v>45853.6458333333</v>
      </c>
      <c r="H78" s="17">
        <f>IFERROR(__xludf.DUMMYFUNCTION("""COMPUTED_VALUE"""),1042)</f>
        <v>1042</v>
      </c>
      <c r="I78" s="16">
        <f>IFERROR(__xludf.DUMMYFUNCTION("""COMPUTED_VALUE"""),45853.6458333333)</f>
        <v>45853.6458333333</v>
      </c>
      <c r="J78" s="17">
        <f>IFERROR(__xludf.DUMMYFUNCTION("""COMPUTED_VALUE"""),1026)</f>
        <v>1026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IFERROR(__xludf.DUMMYFUNCTION("""COMPUTED_VALUE"""),1038.6)</f>
        <v>1038.6</v>
      </c>
      <c r="C79" s="16">
        <f>IFERROR(__xludf.DUMMYFUNCTION("""COMPUTED_VALUE"""),45854.6458333333)</f>
        <v>45854.6458333333</v>
      </c>
      <c r="D79" s="17">
        <f>IFERROR(__xludf.DUMMYFUNCTION("""COMPUTED_VALUE"""),1033.1)</f>
        <v>1033.1</v>
      </c>
      <c r="E79" s="16">
        <f>IFERROR(__xludf.DUMMYFUNCTION("""COMPUTED_VALUE"""),45854.6458333333)</f>
        <v>45854.6458333333</v>
      </c>
      <c r="F79" s="17">
        <f>IFERROR(__xludf.DUMMYFUNCTION("""COMPUTED_VALUE"""),2548383)</f>
        <v>2548383</v>
      </c>
      <c r="G79" s="16">
        <f>IFERROR(__xludf.DUMMYFUNCTION("""COMPUTED_VALUE"""),45854.6458333333)</f>
        <v>45854.6458333333</v>
      </c>
      <c r="H79" s="17">
        <f>IFERROR(__xludf.DUMMYFUNCTION("""COMPUTED_VALUE"""),1049.5)</f>
        <v>1049.5</v>
      </c>
      <c r="I79" s="16">
        <f>IFERROR(__xludf.DUMMYFUNCTION("""COMPUTED_VALUE"""),45854.6458333333)</f>
        <v>45854.6458333333</v>
      </c>
      <c r="J79" s="17">
        <f>IFERROR(__xludf.DUMMYFUNCTION("""COMPUTED_VALUE"""),1033.1)</f>
        <v>1033.1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IFERROR(__xludf.DUMMYFUNCTION("""COMPUTED_VALUE"""),1050.1)</f>
        <v>1050.1</v>
      </c>
      <c r="C80" s="16">
        <f>IFERROR(__xludf.DUMMYFUNCTION("""COMPUTED_VALUE"""),45855.6458333333)</f>
        <v>45855.6458333333</v>
      </c>
      <c r="D80" s="17">
        <f>IFERROR(__xludf.DUMMYFUNCTION("""COMPUTED_VALUE"""),1039)</f>
        <v>1039</v>
      </c>
      <c r="E80" s="16">
        <f>IFERROR(__xludf.DUMMYFUNCTION("""COMPUTED_VALUE"""),45855.6458333333)</f>
        <v>45855.6458333333</v>
      </c>
      <c r="F80" s="17">
        <f>IFERROR(__xludf.DUMMYFUNCTION("""COMPUTED_VALUE"""),2304002)</f>
        <v>2304002</v>
      </c>
      <c r="G80" s="16">
        <f>IFERROR(__xludf.DUMMYFUNCTION("""COMPUTED_VALUE"""),45855.6458333333)</f>
        <v>45855.6458333333</v>
      </c>
      <c r="H80" s="17">
        <f>IFERROR(__xludf.DUMMYFUNCTION("""COMPUTED_VALUE"""),1054.9)</f>
        <v>1054.9</v>
      </c>
      <c r="I80" s="16">
        <f>IFERROR(__xludf.DUMMYFUNCTION("""COMPUTED_VALUE"""),45855.6458333333)</f>
        <v>45855.6458333333</v>
      </c>
      <c r="J80" s="17">
        <f>IFERROR(__xludf.DUMMYFUNCTION("""COMPUTED_VALUE"""),1033.4)</f>
        <v>1033.4</v>
      </c>
      <c r="K80" s="3">
        <f t="shared" si="2"/>
        <v>1050.1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IFERROR(__xludf.DUMMYFUNCTION("""COMPUTED_VALUE"""),1030.2)</f>
        <v>1030.2</v>
      </c>
      <c r="C81" s="16">
        <f>IFERROR(__xludf.DUMMYFUNCTION("""COMPUTED_VALUE"""),45856.6458333333)</f>
        <v>45856.6458333333</v>
      </c>
      <c r="D81" s="17">
        <f>IFERROR(__xludf.DUMMYFUNCTION("""COMPUTED_VALUE"""),1042.7)</f>
        <v>1042.7</v>
      </c>
      <c r="E81" s="16">
        <f>IFERROR(__xludf.DUMMYFUNCTION("""COMPUTED_VALUE"""),45856.6458333333)</f>
        <v>45856.6458333333</v>
      </c>
      <c r="F81" s="17">
        <f>IFERROR(__xludf.DUMMYFUNCTION("""COMPUTED_VALUE"""),1787665)</f>
        <v>1787665</v>
      </c>
      <c r="G81" s="16">
        <f>IFERROR(__xludf.DUMMYFUNCTION("""COMPUTED_VALUE"""),45856.6458333333)</f>
        <v>45856.6458333333</v>
      </c>
      <c r="H81" s="17">
        <f>IFERROR(__xludf.DUMMYFUNCTION("""COMPUTED_VALUE"""),1051)</f>
        <v>1051</v>
      </c>
      <c r="I81" s="16">
        <f>IFERROR(__xludf.DUMMYFUNCTION("""COMPUTED_VALUE"""),45856.6458333333)</f>
        <v>45856.6458333333</v>
      </c>
      <c r="J81" s="17">
        <f>IFERROR(__xludf.DUMMYFUNCTION("""COMPUTED_VALUE"""),1024.4)</f>
        <v>1024.4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IFERROR(__xludf.DUMMYFUNCTION("""COMPUTED_VALUE"""),1036.6)</f>
        <v>1036.6</v>
      </c>
      <c r="C82" s="16">
        <f>IFERROR(__xludf.DUMMYFUNCTION("""COMPUTED_VALUE"""),45859.6458333333)</f>
        <v>45859.6458333333</v>
      </c>
      <c r="D82" s="17">
        <f>IFERROR(__xludf.DUMMYFUNCTION("""COMPUTED_VALUE"""),1031.2)</f>
        <v>1031.2</v>
      </c>
      <c r="E82" s="16">
        <f>IFERROR(__xludf.DUMMYFUNCTION("""COMPUTED_VALUE"""),45859.6458333333)</f>
        <v>45859.6458333333</v>
      </c>
      <c r="F82" s="17">
        <f>IFERROR(__xludf.DUMMYFUNCTION("""COMPUTED_VALUE"""),877276)</f>
        <v>877276</v>
      </c>
      <c r="G82" s="16">
        <f>IFERROR(__xludf.DUMMYFUNCTION("""COMPUTED_VALUE"""),45859.6458333333)</f>
        <v>45859.6458333333</v>
      </c>
      <c r="H82" s="17">
        <f>IFERROR(__xludf.DUMMYFUNCTION("""COMPUTED_VALUE"""),1042.1)</f>
        <v>1042.1</v>
      </c>
      <c r="I82" s="16">
        <f>IFERROR(__xludf.DUMMYFUNCTION("""COMPUTED_VALUE"""),45859.6458333333)</f>
        <v>45859.6458333333</v>
      </c>
      <c r="J82" s="17">
        <f>IFERROR(__xludf.DUMMYFUNCTION("""COMPUTED_VALUE"""),1024.1)</f>
        <v>1024.1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IFERROR(__xludf.DUMMYFUNCTION("""COMPUTED_VALUE"""),1013.7)</f>
        <v>1013.7</v>
      </c>
      <c r="C83" s="16">
        <f>IFERROR(__xludf.DUMMYFUNCTION("""COMPUTED_VALUE"""),45860.6458333333)</f>
        <v>45860.6458333333</v>
      </c>
      <c r="D83" s="17">
        <f>IFERROR(__xludf.DUMMYFUNCTION("""COMPUTED_VALUE"""),1037)</f>
        <v>1037</v>
      </c>
      <c r="E83" s="16">
        <f>IFERROR(__xludf.DUMMYFUNCTION("""COMPUTED_VALUE"""),45860.6458333333)</f>
        <v>45860.6458333333</v>
      </c>
      <c r="F83" s="17">
        <f>IFERROR(__xludf.DUMMYFUNCTION("""COMPUTED_VALUE"""),1332756)</f>
        <v>1332756</v>
      </c>
      <c r="G83" s="16">
        <f>IFERROR(__xludf.DUMMYFUNCTION("""COMPUTED_VALUE"""),45860.6458333333)</f>
        <v>45860.6458333333</v>
      </c>
      <c r="H83" s="17">
        <f>IFERROR(__xludf.DUMMYFUNCTION("""COMPUTED_VALUE"""),1042.2)</f>
        <v>1042.2</v>
      </c>
      <c r="I83" s="16">
        <f>IFERROR(__xludf.DUMMYFUNCTION("""COMPUTED_VALUE"""),45860.6458333333)</f>
        <v>45860.6458333333</v>
      </c>
      <c r="J83" s="17">
        <f>IFERROR(__xludf.DUMMYFUNCTION("""COMPUTED_VALUE"""),1006.6)</f>
        <v>1006.6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IFERROR(__xludf.DUMMYFUNCTION("""COMPUTED_VALUE"""),1033.9)</f>
        <v>1033.9</v>
      </c>
      <c r="C84" s="16">
        <f>IFERROR(__xludf.DUMMYFUNCTION("""COMPUTED_VALUE"""),45861.6458333333)</f>
        <v>45861.6458333333</v>
      </c>
      <c r="D84" s="17">
        <f>IFERROR(__xludf.DUMMYFUNCTION("""COMPUTED_VALUE"""),1018.4)</f>
        <v>1018.4</v>
      </c>
      <c r="E84" s="16">
        <f>IFERROR(__xludf.DUMMYFUNCTION("""COMPUTED_VALUE"""),45861.6458333333)</f>
        <v>45861.6458333333</v>
      </c>
      <c r="F84" s="17">
        <f>IFERROR(__xludf.DUMMYFUNCTION("""COMPUTED_VALUE"""),1733780)</f>
        <v>1733780</v>
      </c>
      <c r="G84" s="16">
        <f>IFERROR(__xludf.DUMMYFUNCTION("""COMPUTED_VALUE"""),45861.6458333333)</f>
        <v>45861.6458333333</v>
      </c>
      <c r="H84" s="17">
        <f>IFERROR(__xludf.DUMMYFUNCTION("""COMPUTED_VALUE"""),1038.3)</f>
        <v>1038.3</v>
      </c>
      <c r="I84" s="16">
        <f>IFERROR(__xludf.DUMMYFUNCTION("""COMPUTED_VALUE"""),45861.6458333333)</f>
        <v>45861.6458333333</v>
      </c>
      <c r="J84" s="17">
        <f>IFERROR(__xludf.DUMMYFUNCTION("""COMPUTED_VALUE"""),1017)</f>
        <v>1017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IFERROR(__xludf.DUMMYFUNCTION("""COMPUTED_VALUE"""),1020.7)</f>
        <v>1020.7</v>
      </c>
      <c r="C85" s="16">
        <f>IFERROR(__xludf.DUMMYFUNCTION("""COMPUTED_VALUE"""),45862.6458333333)</f>
        <v>45862.6458333333</v>
      </c>
      <c r="D85" s="17">
        <f>IFERROR(__xludf.DUMMYFUNCTION("""COMPUTED_VALUE"""),1035)</f>
        <v>1035</v>
      </c>
      <c r="E85" s="16">
        <f>IFERROR(__xludf.DUMMYFUNCTION("""COMPUTED_VALUE"""),45862.6458333333)</f>
        <v>45862.6458333333</v>
      </c>
      <c r="F85" s="17">
        <f>IFERROR(__xludf.DUMMYFUNCTION("""COMPUTED_VALUE"""),1295384)</f>
        <v>1295384</v>
      </c>
      <c r="G85" s="16">
        <f>IFERROR(__xludf.DUMMYFUNCTION("""COMPUTED_VALUE"""),45862.6458333333)</f>
        <v>45862.6458333333</v>
      </c>
      <c r="H85" s="17">
        <f>IFERROR(__xludf.DUMMYFUNCTION("""COMPUTED_VALUE"""),1037.1)</f>
        <v>1037.1</v>
      </c>
      <c r="I85" s="16">
        <f>IFERROR(__xludf.DUMMYFUNCTION("""COMPUTED_VALUE"""),45862.6458333333)</f>
        <v>45862.6458333333</v>
      </c>
      <c r="J85" s="17">
        <f>IFERROR(__xludf.DUMMYFUNCTION("""COMPUTED_VALUE"""),1017.7)</f>
        <v>1017.7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IFERROR(__xludf.DUMMYFUNCTION("""COMPUTED_VALUE"""),975.9)</f>
        <v>975.9</v>
      </c>
      <c r="C86" s="16">
        <f>IFERROR(__xludf.DUMMYFUNCTION("""COMPUTED_VALUE"""),45863.6458333333)</f>
        <v>45863.6458333333</v>
      </c>
      <c r="D86" s="17">
        <f>IFERROR(__xludf.DUMMYFUNCTION("""COMPUTED_VALUE"""),1021.8)</f>
        <v>1021.8</v>
      </c>
      <c r="E86" s="16">
        <f>IFERROR(__xludf.DUMMYFUNCTION("""COMPUTED_VALUE"""),45863.6458333333)</f>
        <v>45863.6458333333</v>
      </c>
      <c r="F86" s="17">
        <f>IFERROR(__xludf.DUMMYFUNCTION("""COMPUTED_VALUE"""),2521495)</f>
        <v>2521495</v>
      </c>
      <c r="G86" s="16">
        <f>IFERROR(__xludf.DUMMYFUNCTION("""COMPUTED_VALUE"""),45863.6458333333)</f>
        <v>45863.6458333333</v>
      </c>
      <c r="H86" s="17">
        <f>IFERROR(__xludf.DUMMYFUNCTION("""COMPUTED_VALUE"""),1021.8)</f>
        <v>1021.8</v>
      </c>
      <c r="I86" s="16">
        <f>IFERROR(__xludf.DUMMYFUNCTION("""COMPUTED_VALUE"""),45863.6458333333)</f>
        <v>45863.6458333333</v>
      </c>
      <c r="J86" s="17">
        <f>IFERROR(__xludf.DUMMYFUNCTION("""COMPUTED_VALUE"""),973)</f>
        <v>973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IFERROR(__xludf.DUMMYFUNCTION("""COMPUTED_VALUE"""),1003.9)</f>
        <v>1003.9</v>
      </c>
      <c r="C87" s="16">
        <f>IFERROR(__xludf.DUMMYFUNCTION("""COMPUTED_VALUE"""),45866.6458333333)</f>
        <v>45866.6458333333</v>
      </c>
      <c r="D87" s="17">
        <f>IFERROR(__xludf.DUMMYFUNCTION("""COMPUTED_VALUE"""),979.7)</f>
        <v>979.7</v>
      </c>
      <c r="E87" s="16">
        <f>IFERROR(__xludf.DUMMYFUNCTION("""COMPUTED_VALUE"""),45866.6458333333)</f>
        <v>45866.6458333333</v>
      </c>
      <c r="F87" s="17">
        <f>IFERROR(__xludf.DUMMYFUNCTION("""COMPUTED_VALUE"""),4051716)</f>
        <v>4051716</v>
      </c>
      <c r="G87" s="16">
        <f>IFERROR(__xludf.DUMMYFUNCTION("""COMPUTED_VALUE"""),45866.6458333333)</f>
        <v>45866.6458333333</v>
      </c>
      <c r="H87" s="17">
        <f>IFERROR(__xludf.DUMMYFUNCTION("""COMPUTED_VALUE"""),1013.6)</f>
        <v>1013.6</v>
      </c>
      <c r="I87" s="16">
        <f>IFERROR(__xludf.DUMMYFUNCTION("""COMPUTED_VALUE"""),45866.6458333333)</f>
        <v>45866.6458333333</v>
      </c>
      <c r="J87" s="17">
        <f>IFERROR(__xludf.DUMMYFUNCTION("""COMPUTED_VALUE"""),979)</f>
        <v>979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IFERROR(__xludf.DUMMYFUNCTION("""COMPUTED_VALUE"""),1015.6)</f>
        <v>1015.6</v>
      </c>
      <c r="C88" s="16">
        <f>IFERROR(__xludf.DUMMYFUNCTION("""COMPUTED_VALUE"""),45867.6458333333)</f>
        <v>45867.6458333333</v>
      </c>
      <c r="D88" s="17">
        <f>IFERROR(__xludf.DUMMYFUNCTION("""COMPUTED_VALUE"""),1007)</f>
        <v>1007</v>
      </c>
      <c r="E88" s="16">
        <f>IFERROR(__xludf.DUMMYFUNCTION("""COMPUTED_VALUE"""),45867.6458333333)</f>
        <v>45867.6458333333</v>
      </c>
      <c r="F88" s="17">
        <f>IFERROR(__xludf.DUMMYFUNCTION("""COMPUTED_VALUE"""),3489498)</f>
        <v>3489498</v>
      </c>
      <c r="G88" s="16">
        <f>IFERROR(__xludf.DUMMYFUNCTION("""COMPUTED_VALUE"""),45867.6458333333)</f>
        <v>45867.6458333333</v>
      </c>
      <c r="H88" s="17">
        <f>IFERROR(__xludf.DUMMYFUNCTION("""COMPUTED_VALUE"""),1022.9)</f>
        <v>1022.9</v>
      </c>
      <c r="I88" s="16">
        <f>IFERROR(__xludf.DUMMYFUNCTION("""COMPUTED_VALUE"""),45867.6458333333)</f>
        <v>45867.6458333333</v>
      </c>
      <c r="J88" s="17">
        <f>IFERROR(__xludf.DUMMYFUNCTION("""COMPUTED_VALUE"""),993.5)</f>
        <v>993.5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IFERROR(__xludf.DUMMYFUNCTION("""COMPUTED_VALUE"""),1009.7)</f>
        <v>1009.7</v>
      </c>
      <c r="C89" s="16">
        <f>IFERROR(__xludf.DUMMYFUNCTION("""COMPUTED_VALUE"""),45868.6458333333)</f>
        <v>45868.6458333333</v>
      </c>
      <c r="D89" s="17">
        <f>IFERROR(__xludf.DUMMYFUNCTION("""COMPUTED_VALUE"""),1020)</f>
        <v>1020</v>
      </c>
      <c r="E89" s="16">
        <f>IFERROR(__xludf.DUMMYFUNCTION("""COMPUTED_VALUE"""),45868.6458333333)</f>
        <v>45868.6458333333</v>
      </c>
      <c r="F89" s="17">
        <f>IFERROR(__xludf.DUMMYFUNCTION("""COMPUTED_VALUE"""),1365437)</f>
        <v>1365437</v>
      </c>
      <c r="G89" s="16">
        <f>IFERROR(__xludf.DUMMYFUNCTION("""COMPUTED_VALUE"""),45868.6458333333)</f>
        <v>45868.6458333333</v>
      </c>
      <c r="H89" s="17">
        <f>IFERROR(__xludf.DUMMYFUNCTION("""COMPUTED_VALUE"""),1024.5)</f>
        <v>1024.5</v>
      </c>
      <c r="I89" s="16">
        <f>IFERROR(__xludf.DUMMYFUNCTION("""COMPUTED_VALUE"""),45868.6458333333)</f>
        <v>45868.6458333333</v>
      </c>
      <c r="J89" s="17">
        <f>IFERROR(__xludf.DUMMYFUNCTION("""COMPUTED_VALUE"""),1007)</f>
        <v>1007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IFERROR(__xludf.DUMMYFUNCTION("""COMPUTED_VALUE"""),984.7)</f>
        <v>984.7</v>
      </c>
      <c r="C90" s="16">
        <f>IFERROR(__xludf.DUMMYFUNCTION("""COMPUTED_VALUE"""),45869.6458333333)</f>
        <v>45869.6458333333</v>
      </c>
      <c r="D90" s="17">
        <f>IFERROR(__xludf.DUMMYFUNCTION("""COMPUTED_VALUE"""),985.5)</f>
        <v>985.5</v>
      </c>
      <c r="E90" s="16">
        <f>IFERROR(__xludf.DUMMYFUNCTION("""COMPUTED_VALUE"""),45869.6458333333)</f>
        <v>45869.6458333333</v>
      </c>
      <c r="F90" s="17">
        <f>IFERROR(__xludf.DUMMYFUNCTION("""COMPUTED_VALUE"""),2062250)</f>
        <v>2062250</v>
      </c>
      <c r="G90" s="16">
        <f>IFERROR(__xludf.DUMMYFUNCTION("""COMPUTED_VALUE"""),45869.6458333333)</f>
        <v>45869.6458333333</v>
      </c>
      <c r="H90" s="17">
        <f>IFERROR(__xludf.DUMMYFUNCTION("""COMPUTED_VALUE"""),1007.5)</f>
        <v>1007.5</v>
      </c>
      <c r="I90" s="16">
        <f>IFERROR(__xludf.DUMMYFUNCTION("""COMPUTED_VALUE"""),45869.6458333333)</f>
        <v>45869.6458333333</v>
      </c>
      <c r="J90" s="17">
        <f>IFERROR(__xludf.DUMMYFUNCTION("""COMPUTED_VALUE"""),980.1)</f>
        <v>980.1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IFERROR(__xludf.DUMMYFUNCTION("""COMPUTED_VALUE"""),972.6)</f>
        <v>972.6</v>
      </c>
      <c r="C91" s="16">
        <f>IFERROR(__xludf.DUMMYFUNCTION("""COMPUTED_VALUE"""),45870.6458333333)</f>
        <v>45870.6458333333</v>
      </c>
      <c r="D91" s="17">
        <f>IFERROR(__xludf.DUMMYFUNCTION("""COMPUTED_VALUE"""),988.8)</f>
        <v>988.8</v>
      </c>
      <c r="E91" s="16">
        <f>IFERROR(__xludf.DUMMYFUNCTION("""COMPUTED_VALUE"""),45870.6458333333)</f>
        <v>45870.6458333333</v>
      </c>
      <c r="F91" s="17">
        <f>IFERROR(__xludf.DUMMYFUNCTION("""COMPUTED_VALUE"""),1800185)</f>
        <v>1800185</v>
      </c>
      <c r="G91" s="16">
        <f>IFERROR(__xludf.DUMMYFUNCTION("""COMPUTED_VALUE"""),45870.6458333333)</f>
        <v>45870.6458333333</v>
      </c>
      <c r="H91" s="17">
        <f>IFERROR(__xludf.DUMMYFUNCTION("""COMPUTED_VALUE"""),1007.65)</f>
        <v>1007.65</v>
      </c>
      <c r="I91" s="16">
        <f>IFERROR(__xludf.DUMMYFUNCTION("""COMPUTED_VALUE"""),45870.6458333333)</f>
        <v>45870.6458333333</v>
      </c>
      <c r="J91" s="17">
        <f>IFERROR(__xludf.DUMMYFUNCTION("""COMPUTED_VALUE"""),968)</f>
        <v>968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IFERROR(__xludf.DUMMYFUNCTION("""COMPUTED_VALUE"""),989.8)</f>
        <v>989.8</v>
      </c>
      <c r="C92" s="16">
        <f>IFERROR(__xludf.DUMMYFUNCTION("""COMPUTED_VALUE"""),45873.6458333333)</f>
        <v>45873.6458333333</v>
      </c>
      <c r="D92" s="17">
        <f>IFERROR(__xludf.DUMMYFUNCTION("""COMPUTED_VALUE"""),980)</f>
        <v>980</v>
      </c>
      <c r="E92" s="16">
        <f>IFERROR(__xludf.DUMMYFUNCTION("""COMPUTED_VALUE"""),45873.6458333333)</f>
        <v>45873.6458333333</v>
      </c>
      <c r="F92" s="17">
        <f>IFERROR(__xludf.DUMMYFUNCTION("""COMPUTED_VALUE"""),1280378)</f>
        <v>1280378</v>
      </c>
      <c r="G92" s="16">
        <f>IFERROR(__xludf.DUMMYFUNCTION("""COMPUTED_VALUE"""),45873.6458333333)</f>
        <v>45873.6458333333</v>
      </c>
      <c r="H92" s="17">
        <f>IFERROR(__xludf.DUMMYFUNCTION("""COMPUTED_VALUE"""),997)</f>
        <v>997</v>
      </c>
      <c r="I92" s="16">
        <f>IFERROR(__xludf.DUMMYFUNCTION("""COMPUTED_VALUE"""),45873.6458333333)</f>
        <v>45873.6458333333</v>
      </c>
      <c r="J92" s="17">
        <f>IFERROR(__xludf.DUMMYFUNCTION("""COMPUTED_VALUE"""),971.65)</f>
        <v>971.65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IFERROR(__xludf.DUMMYFUNCTION("""COMPUTED_VALUE"""),971.75)</f>
        <v>971.75</v>
      </c>
      <c r="C93" s="16">
        <f>IFERROR(__xludf.DUMMYFUNCTION("""COMPUTED_VALUE"""),45874.6458333333)</f>
        <v>45874.6458333333</v>
      </c>
      <c r="D93" s="17">
        <f>IFERROR(__xludf.DUMMYFUNCTION("""COMPUTED_VALUE"""),993)</f>
        <v>993</v>
      </c>
      <c r="E93" s="16">
        <f>IFERROR(__xludf.DUMMYFUNCTION("""COMPUTED_VALUE"""),45874.6458333333)</f>
        <v>45874.6458333333</v>
      </c>
      <c r="F93" s="17">
        <f>IFERROR(__xludf.DUMMYFUNCTION("""COMPUTED_VALUE"""),1365079)</f>
        <v>1365079</v>
      </c>
      <c r="G93" s="16">
        <f>IFERROR(__xludf.DUMMYFUNCTION("""COMPUTED_VALUE"""),45874.6458333333)</f>
        <v>45874.6458333333</v>
      </c>
      <c r="H93" s="17">
        <f>IFERROR(__xludf.DUMMYFUNCTION("""COMPUTED_VALUE"""),996.4)</f>
        <v>996.4</v>
      </c>
      <c r="I93" s="16">
        <f>IFERROR(__xludf.DUMMYFUNCTION("""COMPUTED_VALUE"""),45874.6458333333)</f>
        <v>45874.6458333333</v>
      </c>
      <c r="J93" s="17">
        <f>IFERROR(__xludf.DUMMYFUNCTION("""COMPUTED_VALUE"""),965.2)</f>
        <v>965.2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IFERROR(__xludf.DUMMYFUNCTION("""COMPUTED_VALUE"""),957.55)</f>
        <v>957.55</v>
      </c>
      <c r="C94" s="16">
        <f>IFERROR(__xludf.DUMMYFUNCTION("""COMPUTED_VALUE"""),45875.6458333333)</f>
        <v>45875.6458333333</v>
      </c>
      <c r="D94" s="17">
        <f>IFERROR(__xludf.DUMMYFUNCTION("""COMPUTED_VALUE"""),975.9)</f>
        <v>975.9</v>
      </c>
      <c r="E94" s="16">
        <f>IFERROR(__xludf.DUMMYFUNCTION("""COMPUTED_VALUE"""),45875.6458333333)</f>
        <v>45875.6458333333</v>
      </c>
      <c r="F94" s="17">
        <f>IFERROR(__xludf.DUMMYFUNCTION("""COMPUTED_VALUE"""),1204140)</f>
        <v>1204140</v>
      </c>
      <c r="G94" s="16">
        <f>IFERROR(__xludf.DUMMYFUNCTION("""COMPUTED_VALUE"""),45875.6458333333)</f>
        <v>45875.6458333333</v>
      </c>
      <c r="H94" s="17">
        <f>IFERROR(__xludf.DUMMYFUNCTION("""COMPUTED_VALUE"""),977.5)</f>
        <v>977.5</v>
      </c>
      <c r="I94" s="16">
        <f>IFERROR(__xludf.DUMMYFUNCTION("""COMPUTED_VALUE"""),45875.6458333333)</f>
        <v>45875.6458333333</v>
      </c>
      <c r="J94" s="17">
        <f>IFERROR(__xludf.DUMMYFUNCTION("""COMPUTED_VALUE"""),955)</f>
        <v>955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IFERROR(__xludf.DUMMYFUNCTION("""COMPUTED_VALUE"""),936.7)</f>
        <v>936.7</v>
      </c>
      <c r="C95" s="16">
        <f>IFERROR(__xludf.DUMMYFUNCTION("""COMPUTED_VALUE"""),45876.6458333333)</f>
        <v>45876.6458333333</v>
      </c>
      <c r="D95" s="17">
        <f>IFERROR(__xludf.DUMMYFUNCTION("""COMPUTED_VALUE"""),951.95)</f>
        <v>951.95</v>
      </c>
      <c r="E95" s="16">
        <f>IFERROR(__xludf.DUMMYFUNCTION("""COMPUTED_VALUE"""),45876.6458333333)</f>
        <v>45876.6458333333</v>
      </c>
      <c r="F95" s="17">
        <f>IFERROR(__xludf.DUMMYFUNCTION("""COMPUTED_VALUE"""),3658631)</f>
        <v>3658631</v>
      </c>
      <c r="G95" s="16">
        <f>IFERROR(__xludf.DUMMYFUNCTION("""COMPUTED_VALUE"""),45876.6458333333)</f>
        <v>45876.6458333333</v>
      </c>
      <c r="H95" s="17">
        <f>IFERROR(__xludf.DUMMYFUNCTION("""COMPUTED_VALUE"""),955.15)</f>
        <v>955.15</v>
      </c>
      <c r="I95" s="16">
        <f>IFERROR(__xludf.DUMMYFUNCTION("""COMPUTED_VALUE"""),45876.6458333333)</f>
        <v>45876.6458333333</v>
      </c>
      <c r="J95" s="17">
        <f>IFERROR(__xludf.DUMMYFUNCTION("""COMPUTED_VALUE"""),903.5)</f>
        <v>903.5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IFERROR(__xludf.DUMMYFUNCTION("""COMPUTED_VALUE"""),914.05)</f>
        <v>914.05</v>
      </c>
      <c r="C96" s="16">
        <f>IFERROR(__xludf.DUMMYFUNCTION("""COMPUTED_VALUE"""),45877.6458333333)</f>
        <v>45877.6458333333</v>
      </c>
      <c r="D96" s="17">
        <f>IFERROR(__xludf.DUMMYFUNCTION("""COMPUTED_VALUE"""),939.85)</f>
        <v>939.85</v>
      </c>
      <c r="E96" s="16">
        <f>IFERROR(__xludf.DUMMYFUNCTION("""COMPUTED_VALUE"""),45877.6458333333)</f>
        <v>45877.6458333333</v>
      </c>
      <c r="F96" s="17">
        <f>IFERROR(__xludf.DUMMYFUNCTION("""COMPUTED_VALUE"""),2051171)</f>
        <v>2051171</v>
      </c>
      <c r="G96" s="16">
        <f>IFERROR(__xludf.DUMMYFUNCTION("""COMPUTED_VALUE"""),45877.6458333333)</f>
        <v>45877.6458333333</v>
      </c>
      <c r="H96" s="17">
        <f>IFERROR(__xludf.DUMMYFUNCTION("""COMPUTED_VALUE"""),946.65)</f>
        <v>946.65</v>
      </c>
      <c r="I96" s="16">
        <f>IFERROR(__xludf.DUMMYFUNCTION("""COMPUTED_VALUE"""),45877.6458333333)</f>
        <v>45877.6458333333</v>
      </c>
      <c r="J96" s="17">
        <f>IFERROR(__xludf.DUMMYFUNCTION("""COMPUTED_VALUE"""),909.05)</f>
        <v>909.05</v>
      </c>
      <c r="K96" s="3">
        <f t="shared" si="2"/>
        <v>0</v>
      </c>
      <c r="L96" s="3">
        <f t="shared" si="3"/>
        <v>914.05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IFERROR(__xludf.DUMMYFUNCTION("""COMPUTED_VALUE"""),929.1)</f>
        <v>929.1</v>
      </c>
      <c r="C97" s="16">
        <f>IFERROR(__xludf.DUMMYFUNCTION("""COMPUTED_VALUE"""),45880.6458333333)</f>
        <v>45880.6458333333</v>
      </c>
      <c r="D97" s="17">
        <f>IFERROR(__xludf.DUMMYFUNCTION("""COMPUTED_VALUE"""),914.05)</f>
        <v>914.05</v>
      </c>
      <c r="E97" s="16">
        <f>IFERROR(__xludf.DUMMYFUNCTION("""COMPUTED_VALUE"""),45880.6458333333)</f>
        <v>45880.6458333333</v>
      </c>
      <c r="F97" s="17">
        <f>IFERROR(__xludf.DUMMYFUNCTION("""COMPUTED_VALUE"""),1612977)</f>
        <v>1612977</v>
      </c>
      <c r="G97" s="16">
        <f>IFERROR(__xludf.DUMMYFUNCTION("""COMPUTED_VALUE"""),45880.6458333333)</f>
        <v>45880.6458333333</v>
      </c>
      <c r="H97" s="17">
        <f>IFERROR(__xludf.DUMMYFUNCTION("""COMPUTED_VALUE"""),933.15)</f>
        <v>933.15</v>
      </c>
      <c r="I97" s="16">
        <f>IFERROR(__xludf.DUMMYFUNCTION("""COMPUTED_VALUE"""),45880.6458333333)</f>
        <v>45880.6458333333</v>
      </c>
      <c r="J97" s="17">
        <f>IFERROR(__xludf.DUMMYFUNCTION("""COMPUTED_VALUE"""),908)</f>
        <v>908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IFERROR(__xludf.DUMMYFUNCTION("""COMPUTED_VALUE"""),930.9)</f>
        <v>930.9</v>
      </c>
      <c r="C98" s="16">
        <f>IFERROR(__xludf.DUMMYFUNCTION("""COMPUTED_VALUE"""),45881.6458333333)</f>
        <v>45881.6458333333</v>
      </c>
      <c r="D98" s="17">
        <f>IFERROR(__xludf.DUMMYFUNCTION("""COMPUTED_VALUE"""),929.1)</f>
        <v>929.1</v>
      </c>
      <c r="E98" s="16">
        <f>IFERROR(__xludf.DUMMYFUNCTION("""COMPUTED_VALUE"""),45881.6458333333)</f>
        <v>45881.6458333333</v>
      </c>
      <c r="F98" s="17">
        <f>IFERROR(__xludf.DUMMYFUNCTION("""COMPUTED_VALUE"""),1096445)</f>
        <v>1096445</v>
      </c>
      <c r="G98" s="16">
        <f>IFERROR(__xludf.DUMMYFUNCTION("""COMPUTED_VALUE"""),45881.6458333333)</f>
        <v>45881.6458333333</v>
      </c>
      <c r="H98" s="17">
        <f>IFERROR(__xludf.DUMMYFUNCTION("""COMPUTED_VALUE"""),941)</f>
        <v>941</v>
      </c>
      <c r="I98" s="16">
        <f>IFERROR(__xludf.DUMMYFUNCTION("""COMPUTED_VALUE"""),45881.6458333333)</f>
        <v>45881.6458333333</v>
      </c>
      <c r="J98" s="17">
        <f>IFERROR(__xludf.DUMMYFUNCTION("""COMPUTED_VALUE"""),927.5)</f>
        <v>927.5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IFERROR(__xludf.DUMMYFUNCTION("""COMPUTED_VALUE"""),924.15)</f>
        <v>924.15</v>
      </c>
      <c r="C99" s="16">
        <f>IFERROR(__xludf.DUMMYFUNCTION("""COMPUTED_VALUE"""),45882.6458333333)</f>
        <v>45882.6458333333</v>
      </c>
      <c r="D99" s="17">
        <f>IFERROR(__xludf.DUMMYFUNCTION("""COMPUTED_VALUE"""),932.1)</f>
        <v>932.1</v>
      </c>
      <c r="E99" s="16">
        <f>IFERROR(__xludf.DUMMYFUNCTION("""COMPUTED_VALUE"""),45882.6458333333)</f>
        <v>45882.6458333333</v>
      </c>
      <c r="F99" s="17">
        <f>IFERROR(__xludf.DUMMYFUNCTION("""COMPUTED_VALUE"""),1023795)</f>
        <v>1023795</v>
      </c>
      <c r="G99" s="16">
        <f>IFERROR(__xludf.DUMMYFUNCTION("""COMPUTED_VALUE"""),45882.6458333333)</f>
        <v>45882.6458333333</v>
      </c>
      <c r="H99" s="17">
        <f>IFERROR(__xludf.DUMMYFUNCTION("""COMPUTED_VALUE"""),938.45)</f>
        <v>938.45</v>
      </c>
      <c r="I99" s="16">
        <f>IFERROR(__xludf.DUMMYFUNCTION("""COMPUTED_VALUE"""),45882.6458333333)</f>
        <v>45882.6458333333</v>
      </c>
      <c r="J99" s="17">
        <f>IFERROR(__xludf.DUMMYFUNCTION("""COMPUTED_VALUE"""),919.5)</f>
        <v>919.5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IFERROR(__xludf.DUMMYFUNCTION("""COMPUTED_VALUE"""),917.5)</f>
        <v>917.5</v>
      </c>
      <c r="C100" s="16">
        <f>IFERROR(__xludf.DUMMYFUNCTION("""COMPUTED_VALUE"""),45883.6458333333)</f>
        <v>45883.6458333333</v>
      </c>
      <c r="D100" s="17">
        <f>IFERROR(__xludf.DUMMYFUNCTION("""COMPUTED_VALUE"""),925)</f>
        <v>925</v>
      </c>
      <c r="E100" s="16">
        <f>IFERROR(__xludf.DUMMYFUNCTION("""COMPUTED_VALUE"""),45883.6458333333)</f>
        <v>45883.6458333333</v>
      </c>
      <c r="F100" s="17">
        <f>IFERROR(__xludf.DUMMYFUNCTION("""COMPUTED_VALUE"""),1031515)</f>
        <v>1031515</v>
      </c>
      <c r="G100" s="16">
        <f>IFERROR(__xludf.DUMMYFUNCTION("""COMPUTED_VALUE"""),45883.6458333333)</f>
        <v>45883.6458333333</v>
      </c>
      <c r="H100" s="17">
        <f>IFERROR(__xludf.DUMMYFUNCTION("""COMPUTED_VALUE"""),933)</f>
        <v>933</v>
      </c>
      <c r="I100" s="16">
        <f>IFERROR(__xludf.DUMMYFUNCTION("""COMPUTED_VALUE"""),45883.6458333333)</f>
        <v>45883.6458333333</v>
      </c>
      <c r="J100" s="17">
        <f>IFERROR(__xludf.DUMMYFUNCTION("""COMPUTED_VALUE"""),914.05)</f>
        <v>914.05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IFERROR(__xludf.DUMMYFUNCTION("""COMPUTED_VALUE"""),941.65)</f>
        <v>941.65</v>
      </c>
      <c r="C101" s="16">
        <f>IFERROR(__xludf.DUMMYFUNCTION("""COMPUTED_VALUE"""),45887.6458333333)</f>
        <v>45887.6458333333</v>
      </c>
      <c r="D101" s="17">
        <f>IFERROR(__xludf.DUMMYFUNCTION("""COMPUTED_VALUE"""),929)</f>
        <v>929</v>
      </c>
      <c r="E101" s="16">
        <f>IFERROR(__xludf.DUMMYFUNCTION("""COMPUTED_VALUE"""),45887.6458333333)</f>
        <v>45887.6458333333</v>
      </c>
      <c r="F101" s="17">
        <f>IFERROR(__xludf.DUMMYFUNCTION("""COMPUTED_VALUE"""),1856211)</f>
        <v>1856211</v>
      </c>
      <c r="G101" s="16">
        <f>IFERROR(__xludf.DUMMYFUNCTION("""COMPUTED_VALUE"""),45887.6458333333)</f>
        <v>45887.6458333333</v>
      </c>
      <c r="H101" s="17">
        <f>IFERROR(__xludf.DUMMYFUNCTION("""COMPUTED_VALUE"""),955.55)</f>
        <v>955.55</v>
      </c>
      <c r="I101" s="16">
        <f>IFERROR(__xludf.DUMMYFUNCTION("""COMPUTED_VALUE"""),45887.6458333333)</f>
        <v>45887.6458333333</v>
      </c>
      <c r="J101" s="17">
        <f>IFERROR(__xludf.DUMMYFUNCTION("""COMPUTED_VALUE"""),925.75)</f>
        <v>925.75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IFERROR(__xludf.DUMMYFUNCTION("""COMPUTED_VALUE"""),973.4)</f>
        <v>973.4</v>
      </c>
      <c r="C102" s="16">
        <f>IFERROR(__xludf.DUMMYFUNCTION("""COMPUTED_VALUE"""),45888.6458333333)</f>
        <v>45888.6458333333</v>
      </c>
      <c r="D102" s="17">
        <f>IFERROR(__xludf.DUMMYFUNCTION("""COMPUTED_VALUE"""),942.05)</f>
        <v>942.05</v>
      </c>
      <c r="E102" s="16">
        <f>IFERROR(__xludf.DUMMYFUNCTION("""COMPUTED_VALUE"""),45888.6458333333)</f>
        <v>45888.6458333333</v>
      </c>
      <c r="F102" s="17">
        <f>IFERROR(__xludf.DUMMYFUNCTION("""COMPUTED_VALUE"""),1886130)</f>
        <v>1886130</v>
      </c>
      <c r="G102" s="16">
        <f>IFERROR(__xludf.DUMMYFUNCTION("""COMPUTED_VALUE"""),45888.6458333333)</f>
        <v>45888.6458333333</v>
      </c>
      <c r="H102" s="17">
        <f>IFERROR(__xludf.DUMMYFUNCTION("""COMPUTED_VALUE"""),975.5)</f>
        <v>975.5</v>
      </c>
      <c r="I102" s="16">
        <f>IFERROR(__xludf.DUMMYFUNCTION("""COMPUTED_VALUE"""),45888.6458333333)</f>
        <v>45888.6458333333</v>
      </c>
      <c r="J102" s="17">
        <f>IFERROR(__xludf.DUMMYFUNCTION("""COMPUTED_VALUE"""),937.45)</f>
        <v>937.45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IFERROR(__xludf.DUMMYFUNCTION("""COMPUTED_VALUE"""),975.95)</f>
        <v>975.95</v>
      </c>
      <c r="C103" s="16">
        <f>IFERROR(__xludf.DUMMYFUNCTION("""COMPUTED_VALUE"""),45889.6458333333)</f>
        <v>45889.6458333333</v>
      </c>
      <c r="D103" s="17">
        <f>IFERROR(__xludf.DUMMYFUNCTION("""COMPUTED_VALUE"""),969)</f>
        <v>969</v>
      </c>
      <c r="E103" s="16">
        <f>IFERROR(__xludf.DUMMYFUNCTION("""COMPUTED_VALUE"""),45889.6458333333)</f>
        <v>45889.6458333333</v>
      </c>
      <c r="F103" s="17">
        <f>IFERROR(__xludf.DUMMYFUNCTION("""COMPUTED_VALUE"""),1584174)</f>
        <v>1584174</v>
      </c>
      <c r="G103" s="16">
        <f>IFERROR(__xludf.DUMMYFUNCTION("""COMPUTED_VALUE"""),45889.6458333333)</f>
        <v>45889.6458333333</v>
      </c>
      <c r="H103" s="17">
        <f>IFERROR(__xludf.DUMMYFUNCTION("""COMPUTED_VALUE"""),984)</f>
        <v>984</v>
      </c>
      <c r="I103" s="16">
        <f>IFERROR(__xludf.DUMMYFUNCTION("""COMPUTED_VALUE"""),45889.6458333333)</f>
        <v>45889.6458333333</v>
      </c>
      <c r="J103" s="17">
        <f>IFERROR(__xludf.DUMMYFUNCTION("""COMPUTED_VALUE"""),967.95)</f>
        <v>967.95</v>
      </c>
      <c r="K103" s="3">
        <f t="shared" si="2"/>
        <v>975.95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IFERROR(__xludf.DUMMYFUNCTION("""COMPUTED_VALUE"""),966.6)</f>
        <v>966.6</v>
      </c>
      <c r="C104" s="16">
        <f>IFERROR(__xludf.DUMMYFUNCTION("""COMPUTED_VALUE"""),45890.6458333333)</f>
        <v>45890.6458333333</v>
      </c>
      <c r="D104" s="17">
        <f>IFERROR(__xludf.DUMMYFUNCTION("""COMPUTED_VALUE"""),976)</f>
        <v>976</v>
      </c>
      <c r="E104" s="16">
        <f>IFERROR(__xludf.DUMMYFUNCTION("""COMPUTED_VALUE"""),45890.6458333333)</f>
        <v>45890.6458333333</v>
      </c>
      <c r="F104" s="17">
        <f>IFERROR(__xludf.DUMMYFUNCTION("""COMPUTED_VALUE"""),820006)</f>
        <v>820006</v>
      </c>
      <c r="G104" s="16">
        <f>IFERROR(__xludf.DUMMYFUNCTION("""COMPUTED_VALUE"""),45890.6458333333)</f>
        <v>45890.6458333333</v>
      </c>
      <c r="H104" s="17">
        <f>IFERROR(__xludf.DUMMYFUNCTION("""COMPUTED_VALUE"""),983.95)</f>
        <v>983.95</v>
      </c>
      <c r="I104" s="16">
        <f>IFERROR(__xludf.DUMMYFUNCTION("""COMPUTED_VALUE"""),45890.6458333333)</f>
        <v>45890.6458333333</v>
      </c>
      <c r="J104" s="17">
        <f>IFERROR(__xludf.DUMMYFUNCTION("""COMPUTED_VALUE"""),964.15)</f>
        <v>964.15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IFERROR(__xludf.DUMMYFUNCTION("""COMPUTED_VALUE"""),957.2)</f>
        <v>957.2</v>
      </c>
      <c r="C105" s="16">
        <f>IFERROR(__xludf.DUMMYFUNCTION("""COMPUTED_VALUE"""),45891.6458333333)</f>
        <v>45891.6458333333</v>
      </c>
      <c r="D105" s="17">
        <f>IFERROR(__xludf.DUMMYFUNCTION("""COMPUTED_VALUE"""),965)</f>
        <v>965</v>
      </c>
      <c r="E105" s="16">
        <f>IFERROR(__xludf.DUMMYFUNCTION("""COMPUTED_VALUE"""),45891.6458333333)</f>
        <v>45891.6458333333</v>
      </c>
      <c r="F105" s="17">
        <f>IFERROR(__xludf.DUMMYFUNCTION("""COMPUTED_VALUE"""),946994)</f>
        <v>946994</v>
      </c>
      <c r="G105" s="16">
        <f>IFERROR(__xludf.DUMMYFUNCTION("""COMPUTED_VALUE"""),45891.6458333333)</f>
        <v>45891.6458333333</v>
      </c>
      <c r="H105" s="17">
        <f>IFERROR(__xludf.DUMMYFUNCTION("""COMPUTED_VALUE"""),970.2)</f>
        <v>970.2</v>
      </c>
      <c r="I105" s="16">
        <f>IFERROR(__xludf.DUMMYFUNCTION("""COMPUTED_VALUE"""),45891.6458333333)</f>
        <v>45891.6458333333</v>
      </c>
      <c r="J105" s="17">
        <f>IFERROR(__xludf.DUMMYFUNCTION("""COMPUTED_VALUE"""),952.9)</f>
        <v>952.9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IFERROR(__xludf.DUMMYFUNCTION("""COMPUTED_VALUE"""),964.1)</f>
        <v>964.1</v>
      </c>
      <c r="C106" s="16">
        <f>IFERROR(__xludf.DUMMYFUNCTION("""COMPUTED_VALUE"""),45894.6458333333)</f>
        <v>45894.6458333333</v>
      </c>
      <c r="D106" s="17">
        <f>IFERROR(__xludf.DUMMYFUNCTION("""COMPUTED_VALUE"""),958.35)</f>
        <v>958.35</v>
      </c>
      <c r="E106" s="16">
        <f>IFERROR(__xludf.DUMMYFUNCTION("""COMPUTED_VALUE"""),45894.6458333333)</f>
        <v>45894.6458333333</v>
      </c>
      <c r="F106" s="17">
        <f>IFERROR(__xludf.DUMMYFUNCTION("""COMPUTED_VALUE"""),943859)</f>
        <v>943859</v>
      </c>
      <c r="G106" s="16">
        <f>IFERROR(__xludf.DUMMYFUNCTION("""COMPUTED_VALUE"""),45894.6458333333)</f>
        <v>45894.6458333333</v>
      </c>
      <c r="H106" s="17">
        <f>IFERROR(__xludf.DUMMYFUNCTION("""COMPUTED_VALUE"""),972.7)</f>
        <v>972.7</v>
      </c>
      <c r="I106" s="16">
        <f>IFERROR(__xludf.DUMMYFUNCTION("""COMPUTED_VALUE"""),45894.6458333333)</f>
        <v>45894.6458333333</v>
      </c>
      <c r="J106" s="17">
        <f>IFERROR(__xludf.DUMMYFUNCTION("""COMPUTED_VALUE"""),958.35)</f>
        <v>958.35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IFERROR(__xludf.DUMMYFUNCTION("""COMPUTED_VALUE"""),931.25)</f>
        <v>931.25</v>
      </c>
      <c r="C107" s="16">
        <f>IFERROR(__xludf.DUMMYFUNCTION("""COMPUTED_VALUE"""),45895.6458333333)</f>
        <v>45895.6458333333</v>
      </c>
      <c r="D107" s="17">
        <f>IFERROR(__xludf.DUMMYFUNCTION("""COMPUTED_VALUE"""),964.15)</f>
        <v>964.15</v>
      </c>
      <c r="E107" s="16">
        <f>IFERROR(__xludf.DUMMYFUNCTION("""COMPUTED_VALUE"""),45895.6458333333)</f>
        <v>45895.6458333333</v>
      </c>
      <c r="F107" s="17">
        <f>IFERROR(__xludf.DUMMYFUNCTION("""COMPUTED_VALUE"""),1462770)</f>
        <v>1462770</v>
      </c>
      <c r="G107" s="16">
        <f>IFERROR(__xludf.DUMMYFUNCTION("""COMPUTED_VALUE"""),45895.6458333333)</f>
        <v>45895.6458333333</v>
      </c>
      <c r="H107" s="17">
        <f>IFERROR(__xludf.DUMMYFUNCTION("""COMPUTED_VALUE"""),965.75)</f>
        <v>965.75</v>
      </c>
      <c r="I107" s="16">
        <f>IFERROR(__xludf.DUMMYFUNCTION("""COMPUTED_VALUE"""),45895.6458333333)</f>
        <v>45895.6458333333</v>
      </c>
      <c r="J107" s="17">
        <f>IFERROR(__xludf.DUMMYFUNCTION("""COMPUTED_VALUE"""),926)</f>
        <v>926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IFERROR(__xludf.DUMMYFUNCTION("""COMPUTED_VALUE"""),921.15)</f>
        <v>921.15</v>
      </c>
      <c r="C108" s="16">
        <f>IFERROR(__xludf.DUMMYFUNCTION("""COMPUTED_VALUE"""),45897.6458333333)</f>
        <v>45897.6458333333</v>
      </c>
      <c r="D108" s="17">
        <f>IFERROR(__xludf.DUMMYFUNCTION("""COMPUTED_VALUE"""),931)</f>
        <v>931</v>
      </c>
      <c r="E108" s="16">
        <f>IFERROR(__xludf.DUMMYFUNCTION("""COMPUTED_VALUE"""),45897.6458333333)</f>
        <v>45897.6458333333</v>
      </c>
      <c r="F108" s="17">
        <f>IFERROR(__xludf.DUMMYFUNCTION("""COMPUTED_VALUE"""),1308868)</f>
        <v>1308868</v>
      </c>
      <c r="G108" s="16">
        <f>IFERROR(__xludf.DUMMYFUNCTION("""COMPUTED_VALUE"""),45897.6458333333)</f>
        <v>45897.6458333333</v>
      </c>
      <c r="H108" s="17">
        <f>IFERROR(__xludf.DUMMYFUNCTION("""COMPUTED_VALUE"""),935)</f>
        <v>935</v>
      </c>
      <c r="I108" s="16">
        <f>IFERROR(__xludf.DUMMYFUNCTION("""COMPUTED_VALUE"""),45897.6458333333)</f>
        <v>45897.6458333333</v>
      </c>
      <c r="J108" s="17">
        <f>IFERROR(__xludf.DUMMYFUNCTION("""COMPUTED_VALUE"""),917.1)</f>
        <v>917.1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IFERROR(__xludf.DUMMYFUNCTION("""COMPUTED_VALUE"""),913.5)</f>
        <v>913.5</v>
      </c>
      <c r="C109" s="16">
        <f>IFERROR(__xludf.DUMMYFUNCTION("""COMPUTED_VALUE"""),45898.6458333333)</f>
        <v>45898.6458333333</v>
      </c>
      <c r="D109" s="17">
        <f>IFERROR(__xludf.DUMMYFUNCTION("""COMPUTED_VALUE"""),920.15)</f>
        <v>920.15</v>
      </c>
      <c r="E109" s="16">
        <f>IFERROR(__xludf.DUMMYFUNCTION("""COMPUTED_VALUE"""),45898.6458333333)</f>
        <v>45898.6458333333</v>
      </c>
      <c r="F109" s="17">
        <f>IFERROR(__xludf.DUMMYFUNCTION("""COMPUTED_VALUE"""),1477870)</f>
        <v>1477870</v>
      </c>
      <c r="G109" s="16">
        <f>IFERROR(__xludf.DUMMYFUNCTION("""COMPUTED_VALUE"""),45898.6458333333)</f>
        <v>45898.6458333333</v>
      </c>
      <c r="H109" s="17">
        <f>IFERROR(__xludf.DUMMYFUNCTION("""COMPUTED_VALUE"""),926.8)</f>
        <v>926.8</v>
      </c>
      <c r="I109" s="16">
        <f>IFERROR(__xludf.DUMMYFUNCTION("""COMPUTED_VALUE"""),45898.6458333333)</f>
        <v>45898.6458333333</v>
      </c>
      <c r="J109" s="17">
        <f>IFERROR(__xludf.DUMMYFUNCTION("""COMPUTED_VALUE"""),908.5)</f>
        <v>908.5</v>
      </c>
      <c r="K109" s="3">
        <f t="shared" si="2"/>
        <v>0</v>
      </c>
      <c r="L109" s="3">
        <f t="shared" si="3"/>
        <v>913.5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IFERROR(__xludf.DUMMYFUNCTION("""COMPUTED_VALUE"""),931.55)</f>
        <v>931.55</v>
      </c>
      <c r="C110" s="16">
        <f>IFERROR(__xludf.DUMMYFUNCTION("""COMPUTED_VALUE"""),45901.6458333333)</f>
        <v>45901.6458333333</v>
      </c>
      <c r="D110" s="17">
        <f>IFERROR(__xludf.DUMMYFUNCTION("""COMPUTED_VALUE"""),920.4)</f>
        <v>920.4</v>
      </c>
      <c r="E110" s="16">
        <f>IFERROR(__xludf.DUMMYFUNCTION("""COMPUTED_VALUE"""),45901.6458333333)</f>
        <v>45901.6458333333</v>
      </c>
      <c r="F110" s="17">
        <f>IFERROR(__xludf.DUMMYFUNCTION("""COMPUTED_VALUE"""),839458)</f>
        <v>839458</v>
      </c>
      <c r="G110" s="16">
        <f>IFERROR(__xludf.DUMMYFUNCTION("""COMPUTED_VALUE"""),45901.6458333333)</f>
        <v>45901.6458333333</v>
      </c>
      <c r="H110" s="17">
        <f>IFERROR(__xludf.DUMMYFUNCTION("""COMPUTED_VALUE"""),933.7)</f>
        <v>933.7</v>
      </c>
      <c r="I110" s="16">
        <f>IFERROR(__xludf.DUMMYFUNCTION("""COMPUTED_VALUE"""),45901.6458333333)</f>
        <v>45901.6458333333</v>
      </c>
      <c r="J110" s="17">
        <f>IFERROR(__xludf.DUMMYFUNCTION("""COMPUTED_VALUE"""),918.05)</f>
        <v>918.05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IFERROR(__xludf.DUMMYFUNCTION("""COMPUTED_VALUE"""),933.85)</f>
        <v>933.85</v>
      </c>
      <c r="C111" s="16">
        <f>IFERROR(__xludf.DUMMYFUNCTION("""COMPUTED_VALUE"""),45902.6458333333)</f>
        <v>45902.6458333333</v>
      </c>
      <c r="D111" s="17">
        <f>IFERROR(__xludf.DUMMYFUNCTION("""COMPUTED_VALUE"""),934.8)</f>
        <v>934.8</v>
      </c>
      <c r="E111" s="16">
        <f>IFERROR(__xludf.DUMMYFUNCTION("""COMPUTED_VALUE"""),45902.6458333333)</f>
        <v>45902.6458333333</v>
      </c>
      <c r="F111" s="17">
        <f>IFERROR(__xludf.DUMMYFUNCTION("""COMPUTED_VALUE"""),967218)</f>
        <v>967218</v>
      </c>
      <c r="G111" s="16">
        <f>IFERROR(__xludf.DUMMYFUNCTION("""COMPUTED_VALUE"""),45902.6458333333)</f>
        <v>45902.6458333333</v>
      </c>
      <c r="H111" s="17">
        <f>IFERROR(__xludf.DUMMYFUNCTION("""COMPUTED_VALUE"""),943.45)</f>
        <v>943.45</v>
      </c>
      <c r="I111" s="16">
        <f>IFERROR(__xludf.DUMMYFUNCTION("""COMPUTED_VALUE"""),45902.6458333333)</f>
        <v>45902.6458333333</v>
      </c>
      <c r="J111" s="17">
        <f>IFERROR(__xludf.DUMMYFUNCTION("""COMPUTED_VALUE"""),929)</f>
        <v>929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IFERROR(__xludf.DUMMYFUNCTION("""COMPUTED_VALUE"""),935.7)</f>
        <v>935.7</v>
      </c>
      <c r="C112" s="16">
        <f>IFERROR(__xludf.DUMMYFUNCTION("""COMPUTED_VALUE"""),45903.6458333333)</f>
        <v>45903.6458333333</v>
      </c>
      <c r="D112" s="17">
        <f>IFERROR(__xludf.DUMMYFUNCTION("""COMPUTED_VALUE"""),933.85)</f>
        <v>933.85</v>
      </c>
      <c r="E112" s="16">
        <f>IFERROR(__xludf.DUMMYFUNCTION("""COMPUTED_VALUE"""),45903.6458333333)</f>
        <v>45903.6458333333</v>
      </c>
      <c r="F112" s="17">
        <f>IFERROR(__xludf.DUMMYFUNCTION("""COMPUTED_VALUE"""),626485)</f>
        <v>626485</v>
      </c>
      <c r="G112" s="16">
        <f>IFERROR(__xludf.DUMMYFUNCTION("""COMPUTED_VALUE"""),45903.6458333333)</f>
        <v>45903.6458333333</v>
      </c>
      <c r="H112" s="17">
        <f>IFERROR(__xludf.DUMMYFUNCTION("""COMPUTED_VALUE"""),939.55)</f>
        <v>939.55</v>
      </c>
      <c r="I112" s="16">
        <f>IFERROR(__xludf.DUMMYFUNCTION("""COMPUTED_VALUE"""),45903.6458333333)</f>
        <v>45903.6458333333</v>
      </c>
      <c r="J112" s="17">
        <f>IFERROR(__xludf.DUMMYFUNCTION("""COMPUTED_VALUE"""),931.15)</f>
        <v>931.15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IFERROR(__xludf.DUMMYFUNCTION("""COMPUTED_VALUE"""),929.15)</f>
        <v>929.15</v>
      </c>
      <c r="C113" s="16">
        <f>IFERROR(__xludf.DUMMYFUNCTION("""COMPUTED_VALUE"""),45904.6458333333)</f>
        <v>45904.6458333333</v>
      </c>
      <c r="D113" s="17">
        <f>IFERROR(__xludf.DUMMYFUNCTION("""COMPUTED_VALUE"""),944.4)</f>
        <v>944.4</v>
      </c>
      <c r="E113" s="16">
        <f>IFERROR(__xludf.DUMMYFUNCTION("""COMPUTED_VALUE"""),45904.6458333333)</f>
        <v>45904.6458333333</v>
      </c>
      <c r="F113" s="17">
        <f>IFERROR(__xludf.DUMMYFUNCTION("""COMPUTED_VALUE"""),865803)</f>
        <v>865803</v>
      </c>
      <c r="G113" s="16">
        <f>IFERROR(__xludf.DUMMYFUNCTION("""COMPUTED_VALUE"""),45904.6458333333)</f>
        <v>45904.6458333333</v>
      </c>
      <c r="H113" s="17">
        <f>IFERROR(__xludf.DUMMYFUNCTION("""COMPUTED_VALUE"""),954.15)</f>
        <v>954.15</v>
      </c>
      <c r="I113" s="16">
        <f>IFERROR(__xludf.DUMMYFUNCTION("""COMPUTED_VALUE"""),45904.6458333333)</f>
        <v>45904.6458333333</v>
      </c>
      <c r="J113" s="17">
        <f>IFERROR(__xludf.DUMMYFUNCTION("""COMPUTED_VALUE"""),926.5)</f>
        <v>926.5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IFERROR(__xludf.DUMMYFUNCTION("""COMPUTED_VALUE"""),929.35)</f>
        <v>929.35</v>
      </c>
      <c r="C114" s="16">
        <f>IFERROR(__xludf.DUMMYFUNCTION("""COMPUTED_VALUE"""),45905.6458333333)</f>
        <v>45905.6458333333</v>
      </c>
      <c r="D114" s="17">
        <f>IFERROR(__xludf.DUMMYFUNCTION("""COMPUTED_VALUE"""),932.05)</f>
        <v>932.05</v>
      </c>
      <c r="E114" s="16">
        <f>IFERROR(__xludf.DUMMYFUNCTION("""COMPUTED_VALUE"""),45905.6458333333)</f>
        <v>45905.6458333333</v>
      </c>
      <c r="F114" s="17">
        <f>IFERROR(__xludf.DUMMYFUNCTION("""COMPUTED_VALUE"""),847676)</f>
        <v>847676</v>
      </c>
      <c r="G114" s="16">
        <f>IFERROR(__xludf.DUMMYFUNCTION("""COMPUTED_VALUE"""),45905.6458333333)</f>
        <v>45905.6458333333</v>
      </c>
      <c r="H114" s="17">
        <f>IFERROR(__xludf.DUMMYFUNCTION("""COMPUTED_VALUE"""),935)</f>
        <v>935</v>
      </c>
      <c r="I114" s="16">
        <f>IFERROR(__xludf.DUMMYFUNCTION("""COMPUTED_VALUE"""),45905.6458333333)</f>
        <v>45905.6458333333</v>
      </c>
      <c r="J114" s="17">
        <f>IFERROR(__xludf.DUMMYFUNCTION("""COMPUTED_VALUE"""),916.25)</f>
        <v>916.25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IFERROR(__xludf.DUMMYFUNCTION("""COMPUTED_VALUE"""),937.2)</f>
        <v>937.2</v>
      </c>
      <c r="C115" s="16">
        <f>IFERROR(__xludf.DUMMYFUNCTION("""COMPUTED_VALUE"""),45908.6458333333)</f>
        <v>45908.6458333333</v>
      </c>
      <c r="D115" s="17">
        <f>IFERROR(__xludf.DUMMYFUNCTION("""COMPUTED_VALUE"""),934.9)</f>
        <v>934.9</v>
      </c>
      <c r="E115" s="16">
        <f>IFERROR(__xludf.DUMMYFUNCTION("""COMPUTED_VALUE"""),45908.6458333333)</f>
        <v>45908.6458333333</v>
      </c>
      <c r="F115" s="17">
        <f>IFERROR(__xludf.DUMMYFUNCTION("""COMPUTED_VALUE"""),1662382)</f>
        <v>1662382</v>
      </c>
      <c r="G115" s="16">
        <f>IFERROR(__xludf.DUMMYFUNCTION("""COMPUTED_VALUE"""),45908.6458333333)</f>
        <v>45908.6458333333</v>
      </c>
      <c r="H115" s="17">
        <f>IFERROR(__xludf.DUMMYFUNCTION("""COMPUTED_VALUE"""),945)</f>
        <v>945</v>
      </c>
      <c r="I115" s="16">
        <f>IFERROR(__xludf.DUMMYFUNCTION("""COMPUTED_VALUE"""),45908.6458333333)</f>
        <v>45908.6458333333</v>
      </c>
      <c r="J115" s="17">
        <f>IFERROR(__xludf.DUMMYFUNCTION("""COMPUTED_VALUE"""),931.85)</f>
        <v>931.85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IFERROR(__xludf.DUMMYFUNCTION("""COMPUTED_VALUE"""),943.7)</f>
        <v>943.7</v>
      </c>
      <c r="C116" s="16">
        <f>IFERROR(__xludf.DUMMYFUNCTION("""COMPUTED_VALUE"""),45909.6458333333)</f>
        <v>45909.6458333333</v>
      </c>
      <c r="D116" s="17">
        <f>IFERROR(__xludf.DUMMYFUNCTION("""COMPUTED_VALUE"""),941.9)</f>
        <v>941.9</v>
      </c>
      <c r="E116" s="16">
        <f>IFERROR(__xludf.DUMMYFUNCTION("""COMPUTED_VALUE"""),45909.6458333333)</f>
        <v>45909.6458333333</v>
      </c>
      <c r="F116" s="17">
        <f>IFERROR(__xludf.DUMMYFUNCTION("""COMPUTED_VALUE"""),868754)</f>
        <v>868754</v>
      </c>
      <c r="G116" s="16">
        <f>IFERROR(__xludf.DUMMYFUNCTION("""COMPUTED_VALUE"""),45909.6458333333)</f>
        <v>45909.6458333333</v>
      </c>
      <c r="H116" s="17">
        <f>IFERROR(__xludf.DUMMYFUNCTION("""COMPUTED_VALUE"""),947.5)</f>
        <v>947.5</v>
      </c>
      <c r="I116" s="16">
        <f>IFERROR(__xludf.DUMMYFUNCTION("""COMPUTED_VALUE"""),45909.6458333333)</f>
        <v>45909.6458333333</v>
      </c>
      <c r="J116" s="17">
        <f>IFERROR(__xludf.DUMMYFUNCTION("""COMPUTED_VALUE"""),935.8)</f>
        <v>935.8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IFERROR(__xludf.DUMMYFUNCTION("""COMPUTED_VALUE"""),963.35)</f>
        <v>963.35</v>
      </c>
      <c r="C117" s="16">
        <f>IFERROR(__xludf.DUMMYFUNCTION("""COMPUTED_VALUE"""),45910.6458333333)</f>
        <v>45910.6458333333</v>
      </c>
      <c r="D117" s="17">
        <f>IFERROR(__xludf.DUMMYFUNCTION("""COMPUTED_VALUE"""),946.5)</f>
        <v>946.5</v>
      </c>
      <c r="E117" s="16">
        <f>IFERROR(__xludf.DUMMYFUNCTION("""COMPUTED_VALUE"""),45910.6458333333)</f>
        <v>45910.6458333333</v>
      </c>
      <c r="F117" s="17">
        <f>IFERROR(__xludf.DUMMYFUNCTION("""COMPUTED_VALUE"""),1995294)</f>
        <v>1995294</v>
      </c>
      <c r="G117" s="16">
        <f>IFERROR(__xludf.DUMMYFUNCTION("""COMPUTED_VALUE"""),45910.6458333333)</f>
        <v>45910.6458333333</v>
      </c>
      <c r="H117" s="17">
        <f>IFERROR(__xludf.DUMMYFUNCTION("""COMPUTED_VALUE"""),973)</f>
        <v>973</v>
      </c>
      <c r="I117" s="16">
        <f>IFERROR(__xludf.DUMMYFUNCTION("""COMPUTED_VALUE"""),45910.6458333333)</f>
        <v>45910.6458333333</v>
      </c>
      <c r="J117" s="17">
        <f>IFERROR(__xludf.DUMMYFUNCTION("""COMPUTED_VALUE"""),945.8)</f>
        <v>945.8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IFERROR(__xludf.DUMMYFUNCTION("""COMPUTED_VALUE"""),976.35)</f>
        <v>976.35</v>
      </c>
      <c r="C118" s="16">
        <f>IFERROR(__xludf.DUMMYFUNCTION("""COMPUTED_VALUE"""),45911.6458333333)</f>
        <v>45911.6458333333</v>
      </c>
      <c r="D118" s="17">
        <f>IFERROR(__xludf.DUMMYFUNCTION("""COMPUTED_VALUE"""),965)</f>
        <v>965</v>
      </c>
      <c r="E118" s="16">
        <f>IFERROR(__xludf.DUMMYFUNCTION("""COMPUTED_VALUE"""),45911.6458333333)</f>
        <v>45911.6458333333</v>
      </c>
      <c r="F118" s="17">
        <f>IFERROR(__xludf.DUMMYFUNCTION("""COMPUTED_VALUE"""),3601127)</f>
        <v>3601127</v>
      </c>
      <c r="G118" s="16">
        <f>IFERROR(__xludf.DUMMYFUNCTION("""COMPUTED_VALUE"""),45911.6458333333)</f>
        <v>45911.6458333333</v>
      </c>
      <c r="H118" s="17">
        <f>IFERROR(__xludf.DUMMYFUNCTION("""COMPUTED_VALUE"""),1004.8)</f>
        <v>1004.8</v>
      </c>
      <c r="I118" s="16">
        <f>IFERROR(__xludf.DUMMYFUNCTION("""COMPUTED_VALUE"""),45911.6458333333)</f>
        <v>45911.6458333333</v>
      </c>
      <c r="J118" s="17">
        <f>IFERROR(__xludf.DUMMYFUNCTION("""COMPUTED_VALUE"""),961.2)</f>
        <v>961.2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IFERROR(__xludf.DUMMYFUNCTION("""COMPUTED_VALUE"""),981.7)</f>
        <v>981.7</v>
      </c>
      <c r="C119" s="16">
        <f>IFERROR(__xludf.DUMMYFUNCTION("""COMPUTED_VALUE"""),45912.6458333333)</f>
        <v>45912.6458333333</v>
      </c>
      <c r="D119" s="17">
        <f>IFERROR(__xludf.DUMMYFUNCTION("""COMPUTED_VALUE"""),981)</f>
        <v>981</v>
      </c>
      <c r="E119" s="16">
        <f>IFERROR(__xludf.DUMMYFUNCTION("""COMPUTED_VALUE"""),45912.6458333333)</f>
        <v>45912.6458333333</v>
      </c>
      <c r="F119" s="17">
        <f>IFERROR(__xludf.DUMMYFUNCTION("""COMPUTED_VALUE"""),1086098)</f>
        <v>1086098</v>
      </c>
      <c r="G119" s="16">
        <f>IFERROR(__xludf.DUMMYFUNCTION("""COMPUTED_VALUE"""),45912.6458333333)</f>
        <v>45912.6458333333</v>
      </c>
      <c r="H119" s="17">
        <f>IFERROR(__xludf.DUMMYFUNCTION("""COMPUTED_VALUE"""),986.55)</f>
        <v>986.55</v>
      </c>
      <c r="I119" s="16">
        <f>IFERROR(__xludf.DUMMYFUNCTION("""COMPUTED_VALUE"""),45912.6458333333)</f>
        <v>45912.6458333333</v>
      </c>
      <c r="J119" s="17">
        <f>IFERROR(__xludf.DUMMYFUNCTION("""COMPUTED_VALUE"""),975.45)</f>
        <v>975.45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IFERROR(__xludf.DUMMYFUNCTION("""COMPUTED_VALUE"""),986.7)</f>
        <v>986.7</v>
      </c>
      <c r="C120" s="16">
        <f>IFERROR(__xludf.DUMMYFUNCTION("""COMPUTED_VALUE"""),45915.6458333333)</f>
        <v>45915.6458333333</v>
      </c>
      <c r="D120" s="17">
        <f>IFERROR(__xludf.DUMMYFUNCTION("""COMPUTED_VALUE"""),984)</f>
        <v>984</v>
      </c>
      <c r="E120" s="16">
        <f>IFERROR(__xludf.DUMMYFUNCTION("""COMPUTED_VALUE"""),45915.6458333333)</f>
        <v>45915.6458333333</v>
      </c>
      <c r="F120" s="17">
        <f>IFERROR(__xludf.DUMMYFUNCTION("""COMPUTED_VALUE"""),924070)</f>
        <v>924070</v>
      </c>
      <c r="G120" s="16">
        <f>IFERROR(__xludf.DUMMYFUNCTION("""COMPUTED_VALUE"""),45915.6458333333)</f>
        <v>45915.6458333333</v>
      </c>
      <c r="H120" s="17">
        <f>IFERROR(__xludf.DUMMYFUNCTION("""COMPUTED_VALUE"""),993.8)</f>
        <v>993.8</v>
      </c>
      <c r="I120" s="16">
        <f>IFERROR(__xludf.DUMMYFUNCTION("""COMPUTED_VALUE"""),45915.6458333333)</f>
        <v>45915.6458333333</v>
      </c>
      <c r="J120" s="17">
        <f>IFERROR(__xludf.DUMMYFUNCTION("""COMPUTED_VALUE"""),983.45)</f>
        <v>983.45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IFERROR(__xludf.DUMMYFUNCTION("""COMPUTED_VALUE"""),987.85)</f>
        <v>987.85</v>
      </c>
      <c r="C121" s="16">
        <f>IFERROR(__xludf.DUMMYFUNCTION("""COMPUTED_VALUE"""),45916.6458333333)</f>
        <v>45916.6458333333</v>
      </c>
      <c r="D121" s="17">
        <f>IFERROR(__xludf.DUMMYFUNCTION("""COMPUTED_VALUE"""),991.45)</f>
        <v>991.45</v>
      </c>
      <c r="E121" s="16">
        <f>IFERROR(__xludf.DUMMYFUNCTION("""COMPUTED_VALUE"""),45916.6458333333)</f>
        <v>45916.6458333333</v>
      </c>
      <c r="F121" s="17">
        <f>IFERROR(__xludf.DUMMYFUNCTION("""COMPUTED_VALUE"""),897176)</f>
        <v>897176</v>
      </c>
      <c r="G121" s="16">
        <f>IFERROR(__xludf.DUMMYFUNCTION("""COMPUTED_VALUE"""),45916.6458333333)</f>
        <v>45916.6458333333</v>
      </c>
      <c r="H121" s="17">
        <f>IFERROR(__xludf.DUMMYFUNCTION("""COMPUTED_VALUE"""),998.35)</f>
        <v>998.35</v>
      </c>
      <c r="I121" s="16">
        <f>IFERROR(__xludf.DUMMYFUNCTION("""COMPUTED_VALUE"""),45916.6458333333)</f>
        <v>45916.6458333333</v>
      </c>
      <c r="J121" s="17">
        <f>IFERROR(__xludf.DUMMYFUNCTION("""COMPUTED_VALUE"""),984.05)</f>
        <v>984.05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IFERROR(__xludf.DUMMYFUNCTION("""COMPUTED_VALUE"""),979.45)</f>
        <v>979.45</v>
      </c>
      <c r="C122" s="16">
        <f>IFERROR(__xludf.DUMMYFUNCTION("""COMPUTED_VALUE"""),45917.6458333333)</f>
        <v>45917.6458333333</v>
      </c>
      <c r="D122" s="17">
        <f>IFERROR(__xludf.DUMMYFUNCTION("""COMPUTED_VALUE"""),992)</f>
        <v>992</v>
      </c>
      <c r="E122" s="16">
        <f>IFERROR(__xludf.DUMMYFUNCTION("""COMPUTED_VALUE"""),45917.6458333333)</f>
        <v>45917.6458333333</v>
      </c>
      <c r="F122" s="17">
        <f>IFERROR(__xludf.DUMMYFUNCTION("""COMPUTED_VALUE"""),846865)</f>
        <v>846865</v>
      </c>
      <c r="G122" s="16">
        <f>IFERROR(__xludf.DUMMYFUNCTION("""COMPUTED_VALUE"""),45917.6458333333)</f>
        <v>45917.6458333333</v>
      </c>
      <c r="H122" s="17">
        <f>IFERROR(__xludf.DUMMYFUNCTION("""COMPUTED_VALUE"""),993.45)</f>
        <v>993.45</v>
      </c>
      <c r="I122" s="16">
        <f>IFERROR(__xludf.DUMMYFUNCTION("""COMPUTED_VALUE"""),45917.6458333333)</f>
        <v>45917.6458333333</v>
      </c>
      <c r="J122" s="17">
        <f>IFERROR(__xludf.DUMMYFUNCTION("""COMPUTED_VALUE"""),977.3)</f>
        <v>977.3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IFERROR(__xludf.DUMMYFUNCTION("""COMPUTED_VALUE"""),978.9)</f>
        <v>978.9</v>
      </c>
      <c r="C123" s="16">
        <f>IFERROR(__xludf.DUMMYFUNCTION("""COMPUTED_VALUE"""),45918.6458333333)</f>
        <v>45918.6458333333</v>
      </c>
      <c r="D123" s="17">
        <f>IFERROR(__xludf.DUMMYFUNCTION("""COMPUTED_VALUE"""),982)</f>
        <v>982</v>
      </c>
      <c r="E123" s="16">
        <f>IFERROR(__xludf.DUMMYFUNCTION("""COMPUTED_VALUE"""),45918.6458333333)</f>
        <v>45918.6458333333</v>
      </c>
      <c r="F123" s="17">
        <f>IFERROR(__xludf.DUMMYFUNCTION("""COMPUTED_VALUE"""),992415)</f>
        <v>992415</v>
      </c>
      <c r="G123" s="16">
        <f>IFERROR(__xludf.DUMMYFUNCTION("""COMPUTED_VALUE"""),45918.6458333333)</f>
        <v>45918.6458333333</v>
      </c>
      <c r="H123" s="17">
        <f>IFERROR(__xludf.DUMMYFUNCTION("""COMPUTED_VALUE"""),993.9)</f>
        <v>993.9</v>
      </c>
      <c r="I123" s="16">
        <f>IFERROR(__xludf.DUMMYFUNCTION("""COMPUTED_VALUE"""),45918.6458333333)</f>
        <v>45918.6458333333</v>
      </c>
      <c r="J123" s="17">
        <f>IFERROR(__xludf.DUMMYFUNCTION("""COMPUTED_VALUE"""),974.3)</f>
        <v>974.3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IFERROR(__xludf.DUMMYFUNCTION("""COMPUTED_VALUE"""),1030.7)</f>
        <v>1030.7</v>
      </c>
      <c r="C124" s="16">
        <f>IFERROR(__xludf.DUMMYFUNCTION("""COMPUTED_VALUE"""),45919.6458333333)</f>
        <v>45919.6458333333</v>
      </c>
      <c r="D124" s="17">
        <f>IFERROR(__xludf.DUMMYFUNCTION("""COMPUTED_VALUE"""),1025)</f>
        <v>1025</v>
      </c>
      <c r="E124" s="16">
        <f>IFERROR(__xludf.DUMMYFUNCTION("""COMPUTED_VALUE"""),45919.6458333333)</f>
        <v>45919.6458333333</v>
      </c>
      <c r="F124" s="17">
        <f>IFERROR(__xludf.DUMMYFUNCTION("""COMPUTED_VALUE"""),17650332)</f>
        <v>17650332</v>
      </c>
      <c r="G124" s="16">
        <f>IFERROR(__xludf.DUMMYFUNCTION("""COMPUTED_VALUE"""),45919.6458333333)</f>
        <v>45919.6458333333</v>
      </c>
      <c r="H124" s="17">
        <f>IFERROR(__xludf.DUMMYFUNCTION("""COMPUTED_VALUE"""),1071)</f>
        <v>1071</v>
      </c>
      <c r="I124" s="16">
        <f>IFERROR(__xludf.DUMMYFUNCTION("""COMPUTED_VALUE"""),45919.6458333333)</f>
        <v>45919.6458333333</v>
      </c>
      <c r="J124" s="17">
        <f>IFERROR(__xludf.DUMMYFUNCTION("""COMPUTED_VALUE"""),1003)</f>
        <v>1003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IFERROR(__xludf.DUMMYFUNCTION("""COMPUTED_VALUE"""),1152.15)</f>
        <v>1152.15</v>
      </c>
      <c r="C125" s="16">
        <f>IFERROR(__xludf.DUMMYFUNCTION("""COMPUTED_VALUE"""),45922.6458333333)</f>
        <v>45922.6458333333</v>
      </c>
      <c r="D125" s="17">
        <f>IFERROR(__xludf.DUMMYFUNCTION("""COMPUTED_VALUE"""),1040)</f>
        <v>1040</v>
      </c>
      <c r="E125" s="16">
        <f>IFERROR(__xludf.DUMMYFUNCTION("""COMPUTED_VALUE"""),45922.6458333333)</f>
        <v>45922.6458333333</v>
      </c>
      <c r="F125" s="17">
        <f>IFERROR(__xludf.DUMMYFUNCTION("""COMPUTED_VALUE"""),37416287)</f>
        <v>37416287</v>
      </c>
      <c r="G125" s="16">
        <f>IFERROR(__xludf.DUMMYFUNCTION("""COMPUTED_VALUE"""),45922.6458333333)</f>
        <v>45922.6458333333</v>
      </c>
      <c r="H125" s="17">
        <f>IFERROR(__xludf.DUMMYFUNCTION("""COMPUTED_VALUE"""),1177.55)</f>
        <v>1177.55</v>
      </c>
      <c r="I125" s="16">
        <f>IFERROR(__xludf.DUMMYFUNCTION("""COMPUTED_VALUE"""),45922.6458333333)</f>
        <v>45922.6458333333</v>
      </c>
      <c r="J125" s="17">
        <f>IFERROR(__xludf.DUMMYFUNCTION("""COMPUTED_VALUE"""),1035.85)</f>
        <v>1035.85</v>
      </c>
      <c r="K125" s="3">
        <f t="shared" si="2"/>
        <v>1152.15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IFERROR(__xludf.DUMMYFUNCTION("""COMPUTED_VALUE"""),1131.45)</f>
        <v>1131.45</v>
      </c>
      <c r="C126" s="16">
        <f>IFERROR(__xludf.DUMMYFUNCTION("""COMPUTED_VALUE"""),45923.6458333333)</f>
        <v>45923.6458333333</v>
      </c>
      <c r="D126" s="17">
        <f>IFERROR(__xludf.DUMMYFUNCTION("""COMPUTED_VALUE"""),1164)</f>
        <v>1164</v>
      </c>
      <c r="E126" s="16">
        <f>IFERROR(__xludf.DUMMYFUNCTION("""COMPUTED_VALUE"""),45923.6458333333)</f>
        <v>45923.6458333333</v>
      </c>
      <c r="F126" s="17">
        <f>IFERROR(__xludf.DUMMYFUNCTION("""COMPUTED_VALUE"""),14163567)</f>
        <v>14163567</v>
      </c>
      <c r="G126" s="16">
        <f>IFERROR(__xludf.DUMMYFUNCTION("""COMPUTED_VALUE"""),45923.6458333333)</f>
        <v>45923.6458333333</v>
      </c>
      <c r="H126" s="17">
        <f>IFERROR(__xludf.DUMMYFUNCTION("""COMPUTED_VALUE"""),1177.3)</f>
        <v>1177.3</v>
      </c>
      <c r="I126" s="16">
        <f>IFERROR(__xludf.DUMMYFUNCTION("""COMPUTED_VALUE"""),45923.6458333333)</f>
        <v>45923.6458333333</v>
      </c>
      <c r="J126" s="17">
        <f>IFERROR(__xludf.DUMMYFUNCTION("""COMPUTED_VALUE"""),1120.8)</f>
        <v>1120.8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IFERROR(__xludf.DUMMYFUNCTION("""COMPUTED_VALUE"""),1095.25)</f>
        <v>1095.25</v>
      </c>
      <c r="C127" s="16">
        <f>IFERROR(__xludf.DUMMYFUNCTION("""COMPUTED_VALUE"""),45924.6458333333)</f>
        <v>45924.6458333333</v>
      </c>
      <c r="D127" s="17">
        <f>IFERROR(__xludf.DUMMYFUNCTION("""COMPUTED_VALUE"""),1126)</f>
        <v>1126</v>
      </c>
      <c r="E127" s="16">
        <f>IFERROR(__xludf.DUMMYFUNCTION("""COMPUTED_VALUE"""),45924.6458333333)</f>
        <v>45924.6458333333</v>
      </c>
      <c r="F127" s="17">
        <f>IFERROR(__xludf.DUMMYFUNCTION("""COMPUTED_VALUE"""),7615653)</f>
        <v>7615653</v>
      </c>
      <c r="G127" s="16">
        <f>IFERROR(__xludf.DUMMYFUNCTION("""COMPUTED_VALUE"""),45924.6458333333)</f>
        <v>45924.6458333333</v>
      </c>
      <c r="H127" s="17">
        <f>IFERROR(__xludf.DUMMYFUNCTION("""COMPUTED_VALUE"""),1141.7)</f>
        <v>1141.7</v>
      </c>
      <c r="I127" s="16">
        <f>IFERROR(__xludf.DUMMYFUNCTION("""COMPUTED_VALUE"""),45924.6458333333)</f>
        <v>45924.6458333333</v>
      </c>
      <c r="J127" s="17">
        <f>IFERROR(__xludf.DUMMYFUNCTION("""COMPUTED_VALUE"""),1090.45)</f>
        <v>1090.45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IFERROR(__xludf.DUMMYFUNCTION("""COMPUTED_VALUE"""),1079.55)</f>
        <v>1079.55</v>
      </c>
      <c r="C128" s="16">
        <f>IFERROR(__xludf.DUMMYFUNCTION("""COMPUTED_VALUE"""),45925.6458333333)</f>
        <v>45925.6458333333</v>
      </c>
      <c r="D128" s="17">
        <f>IFERROR(__xludf.DUMMYFUNCTION("""COMPUTED_VALUE"""),1096.05)</f>
        <v>1096.05</v>
      </c>
      <c r="E128" s="16">
        <f>IFERROR(__xludf.DUMMYFUNCTION("""COMPUTED_VALUE"""),45925.6458333333)</f>
        <v>45925.6458333333</v>
      </c>
      <c r="F128" s="17">
        <f>IFERROR(__xludf.DUMMYFUNCTION("""COMPUTED_VALUE"""),5390958)</f>
        <v>5390958</v>
      </c>
      <c r="G128" s="16">
        <f>IFERROR(__xludf.DUMMYFUNCTION("""COMPUTED_VALUE"""),45925.6458333333)</f>
        <v>45925.6458333333</v>
      </c>
      <c r="H128" s="17">
        <f>IFERROR(__xludf.DUMMYFUNCTION("""COMPUTED_VALUE"""),1115)</f>
        <v>1115</v>
      </c>
      <c r="I128" s="16">
        <f>IFERROR(__xludf.DUMMYFUNCTION("""COMPUTED_VALUE"""),45925.6458333333)</f>
        <v>45925.6458333333</v>
      </c>
      <c r="J128" s="17">
        <f>IFERROR(__xludf.DUMMYFUNCTION("""COMPUTED_VALUE"""),1076.3)</f>
        <v>1076.3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IFERROR(__xludf.DUMMYFUNCTION("""COMPUTED_VALUE"""),1047.4)</f>
        <v>1047.4</v>
      </c>
      <c r="C129" s="16">
        <f>IFERROR(__xludf.DUMMYFUNCTION("""COMPUTED_VALUE"""),45926.6458333333)</f>
        <v>45926.6458333333</v>
      </c>
      <c r="D129" s="17">
        <f>IFERROR(__xludf.DUMMYFUNCTION("""COMPUTED_VALUE"""),1082.85)</f>
        <v>1082.85</v>
      </c>
      <c r="E129" s="16">
        <f>IFERROR(__xludf.DUMMYFUNCTION("""COMPUTED_VALUE"""),45926.6458333333)</f>
        <v>45926.6458333333</v>
      </c>
      <c r="F129" s="17">
        <f>IFERROR(__xludf.DUMMYFUNCTION("""COMPUTED_VALUE"""),3774879)</f>
        <v>3774879</v>
      </c>
      <c r="G129" s="16">
        <f>IFERROR(__xludf.DUMMYFUNCTION("""COMPUTED_VALUE"""),45926.6458333333)</f>
        <v>45926.6458333333</v>
      </c>
      <c r="H129" s="17">
        <f>IFERROR(__xludf.DUMMYFUNCTION("""COMPUTED_VALUE"""),1086.8)</f>
        <v>1086.8</v>
      </c>
      <c r="I129" s="16">
        <f>IFERROR(__xludf.DUMMYFUNCTION("""COMPUTED_VALUE"""),45926.6458333333)</f>
        <v>45926.6458333333</v>
      </c>
      <c r="J129" s="17">
        <f>IFERROR(__xludf.DUMMYFUNCTION("""COMPUTED_VALUE"""),1040.4)</f>
        <v>1040.4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100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""price"")"),565.35)</f>
        <v>565.35</v>
      </c>
      <c r="I3" s="22" t="s">
        <v>269</v>
      </c>
      <c r="J3" s="23">
        <f>IFERROR(__xludf.DUMMYFUNCTION("GOOGLEFINANCE(L3, ""volume"")"),1858418)</f>
        <v>1858418</v>
      </c>
      <c r="K3" s="24" t="s">
        <v>270</v>
      </c>
      <c r="L3" s="25" t="str">
        <f>Mastersheet!B46</f>
        <v>AMBUJACEM</v>
      </c>
      <c r="M3" s="26">
        <f>IFERROR(__xludf.DUMMYFUNCTION("""COMPUTED_VALUE"""),45926.6458333333)</f>
        <v>45926.6458333333</v>
      </c>
      <c r="N3" s="27">
        <f>IFERROR(__xludf.DUMMYFUNCTION("""COMPUTED_VALUE"""),565.2)</f>
        <v>565.2</v>
      </c>
      <c r="O3" s="26">
        <f>IFERROR(__xludf.DUMMYFUNCTION("""COMPUTED_VALUE"""),45926.6458333333)</f>
        <v>45926.6458333333</v>
      </c>
      <c r="P3" s="27">
        <f>IFERROR(__xludf.DUMMYFUNCTION("""COMPUTED_VALUE"""),580.75)</f>
        <v>580.75</v>
      </c>
      <c r="Q3" s="16">
        <f>IFERROR(__xludf.DUMMYFUNCTION("""COMPUTED_VALUE"""),45926.6458333333)</f>
        <v>45926.6458333333</v>
      </c>
      <c r="R3" s="17">
        <f>IFERROR(__xludf.DUMMYFUNCTION("""COMPUTED_VALUE"""),581.8)</f>
        <v>581.8</v>
      </c>
      <c r="S3" s="16">
        <f>IFERROR(__xludf.DUMMYFUNCTION("""COMPUTED_VALUE"""),45926.6458333333)</f>
        <v>45926.6458333333</v>
      </c>
      <c r="T3" s="17">
        <f>IFERROR(__xludf.DUMMYFUNCTION("""COMPUTED_VALUE"""),564.05)</f>
        <v>564.05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IFERROR(__xludf.DUMMYFUNCTION("""COMPUTED_VALUE"""),542.8)</f>
        <v>542.8</v>
      </c>
      <c r="C5" s="14">
        <f>IFERROR(__xludf.DUMMYFUNCTION("""COMPUTED_VALUE"""),45743.6458333333)</f>
        <v>45743.6458333333</v>
      </c>
      <c r="D5" s="15">
        <f>IFERROR(__xludf.DUMMYFUNCTION("""COMPUTED_VALUE"""),530.05)</f>
        <v>530.05</v>
      </c>
      <c r="E5" s="14">
        <f>IFERROR(__xludf.DUMMYFUNCTION("""COMPUTED_VALUE"""),45743.6458333333)</f>
        <v>45743.6458333333</v>
      </c>
      <c r="F5" s="15">
        <f>IFERROR(__xludf.DUMMYFUNCTION("""COMPUTED_VALUE"""),3250121)</f>
        <v>3250121</v>
      </c>
      <c r="G5" s="14">
        <f>IFERROR(__xludf.DUMMYFUNCTION("""COMPUTED_VALUE"""),45743.6458333333)</f>
        <v>45743.6458333333</v>
      </c>
      <c r="H5" s="15">
        <f>IFERROR(__xludf.DUMMYFUNCTION("""COMPUTED_VALUE"""),545.3)</f>
        <v>545.3</v>
      </c>
      <c r="I5" s="30">
        <f>IFERROR(__xludf.DUMMYFUNCTION("""COMPUTED_VALUE"""),45743.6458333333)</f>
        <v>45743.6458333333</v>
      </c>
      <c r="J5" s="3">
        <f>IFERROR(__xludf.DUMMYFUNCTION("""COMPUTED_VALUE"""),526.2)</f>
        <v>526.2</v>
      </c>
      <c r="K5" s="5"/>
      <c r="L5" s="5"/>
      <c r="M5" s="3">
        <f t="array" ref="M5">INDEX(K11:K124,MATCH(SMALL(ABS(K11:K124-H3),1),ABS(K11:K124-H3),0))</f>
        <v>561.25</v>
      </c>
      <c r="N5" s="3">
        <f t="array" ref="N5">INDEX(K11:K124,MATCH(SMALL(ABS(K11:K124-H3),2),ABS(K11:K124-H3),0))</f>
        <v>570.9</v>
      </c>
      <c r="O5" s="3">
        <f t="array" ref="O5">INDEX(L11:L124,MATCH(SMALL(ABS(L11:L124-H3),1),ABS(L11:L124-H3),0))</f>
        <v>561.8</v>
      </c>
      <c r="P5" s="3">
        <f t="array" ref="P5">INDEX(L11:L124,MATCH(SMALL(ABS(L11:L124-H3),2),ABS(L11:L124-H3),0))</f>
        <v>560.4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0</v>
      </c>
      <c r="T5" s="17">
        <f ca="1">IF(AND(H3&gt;=Mastersheet!I3*S5,H3&lt;=Mastersheet!J3*S5),1,0)</f>
        <v>0</v>
      </c>
      <c r="U5" s="36">
        <f>(N3+P3)/2</f>
        <v>572.975</v>
      </c>
      <c r="V5" s="17">
        <f>(N3+P3+R3+T3)/4</f>
        <v>572.95</v>
      </c>
      <c r="W5" s="17">
        <f>IF(V5&gt;U5,1,0)</f>
        <v>0</v>
      </c>
      <c r="X5" s="17">
        <f>IF(V5&gt;U5,0,1)</f>
        <v>1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IFERROR(__xludf.DUMMYFUNCTION("""COMPUTED_VALUE"""),538.35)</f>
        <v>538.35</v>
      </c>
      <c r="C6" s="16">
        <f>IFERROR(__xludf.DUMMYFUNCTION("""COMPUTED_VALUE"""),45744.6458333333)</f>
        <v>45744.6458333333</v>
      </c>
      <c r="D6" s="17">
        <f>IFERROR(__xludf.DUMMYFUNCTION("""COMPUTED_VALUE"""),544.9)</f>
        <v>544.9</v>
      </c>
      <c r="E6" s="16">
        <f>IFERROR(__xludf.DUMMYFUNCTION("""COMPUTED_VALUE"""),45744.6458333333)</f>
        <v>45744.6458333333</v>
      </c>
      <c r="F6" s="17">
        <f>IFERROR(__xludf.DUMMYFUNCTION("""COMPUTED_VALUE"""),1557007)</f>
        <v>1557007</v>
      </c>
      <c r="G6" s="16">
        <f>IFERROR(__xludf.DUMMYFUNCTION("""COMPUTED_VALUE"""),45744.6458333333)</f>
        <v>45744.6458333333</v>
      </c>
      <c r="H6" s="17">
        <f>IFERROR(__xludf.DUMMYFUNCTION("""COMPUTED_VALUE"""),552)</f>
        <v>552</v>
      </c>
      <c r="I6" s="16">
        <f>IFERROR(__xludf.DUMMYFUNCTION("""COMPUTED_VALUE"""),45744.6458333333)</f>
        <v>45744.6458333333</v>
      </c>
      <c r="J6" s="17">
        <f>IFERROR(__xludf.DUMMYFUNCTION("""COMPUTED_VALUE"""),536.3)</f>
        <v>536.3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1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IFERROR(__xludf.DUMMYFUNCTION("""COMPUTED_VALUE"""),529.9)</f>
        <v>529.9</v>
      </c>
      <c r="C7" s="16">
        <f>IFERROR(__xludf.DUMMYFUNCTION("""COMPUTED_VALUE"""),45748.6458333333)</f>
        <v>45748.6458333333</v>
      </c>
      <c r="D7" s="17">
        <f>IFERROR(__xludf.DUMMYFUNCTION("""COMPUTED_VALUE"""),538)</f>
        <v>538</v>
      </c>
      <c r="E7" s="16">
        <f>IFERROR(__xludf.DUMMYFUNCTION("""COMPUTED_VALUE"""),45748.6458333333)</f>
        <v>45748.6458333333</v>
      </c>
      <c r="F7" s="17">
        <f>IFERROR(__xludf.DUMMYFUNCTION("""COMPUTED_VALUE"""),953159)</f>
        <v>953159</v>
      </c>
      <c r="G7" s="16">
        <f>IFERROR(__xludf.DUMMYFUNCTION("""COMPUTED_VALUE"""),45748.6458333333)</f>
        <v>45748.6458333333</v>
      </c>
      <c r="H7" s="17">
        <f>IFERROR(__xludf.DUMMYFUNCTION("""COMPUTED_VALUE"""),542.85)</f>
        <v>542.85</v>
      </c>
      <c r="I7" s="16">
        <f>IFERROR(__xludf.DUMMYFUNCTION("""COMPUTED_VALUE"""),45748.6458333333)</f>
        <v>45748.6458333333</v>
      </c>
      <c r="J7" s="17">
        <f>IFERROR(__xludf.DUMMYFUNCTION("""COMPUTED_VALUE"""),529.2)</f>
        <v>529.2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IFERROR(__xludf.DUMMYFUNCTION("""COMPUTED_VALUE"""),534.05)</f>
        <v>534.05</v>
      </c>
      <c r="C8" s="16">
        <f>IFERROR(__xludf.DUMMYFUNCTION("""COMPUTED_VALUE"""),45749.6458333333)</f>
        <v>45749.6458333333</v>
      </c>
      <c r="D8" s="17">
        <f>IFERROR(__xludf.DUMMYFUNCTION("""COMPUTED_VALUE"""),527.6)</f>
        <v>527.6</v>
      </c>
      <c r="E8" s="16">
        <f>IFERROR(__xludf.DUMMYFUNCTION("""COMPUTED_VALUE"""),45749.6458333333)</f>
        <v>45749.6458333333</v>
      </c>
      <c r="F8" s="17">
        <f>IFERROR(__xludf.DUMMYFUNCTION("""COMPUTED_VALUE"""),1395080)</f>
        <v>1395080</v>
      </c>
      <c r="G8" s="16">
        <f>IFERROR(__xludf.DUMMYFUNCTION("""COMPUTED_VALUE"""),45749.6458333333)</f>
        <v>45749.6458333333</v>
      </c>
      <c r="H8" s="17">
        <f>IFERROR(__xludf.DUMMYFUNCTION("""COMPUTED_VALUE"""),536.55)</f>
        <v>536.55</v>
      </c>
      <c r="I8" s="16">
        <f>IFERROR(__xludf.DUMMYFUNCTION("""COMPUTED_VALUE"""),45749.6458333333)</f>
        <v>45749.6458333333</v>
      </c>
      <c r="J8" s="17">
        <f>IFERROR(__xludf.DUMMYFUNCTION("""COMPUTED_VALUE"""),524.35)</f>
        <v>524.35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IFERROR(__xludf.DUMMYFUNCTION("""COMPUTED_VALUE"""),540.7)</f>
        <v>540.7</v>
      </c>
      <c r="C9" s="16">
        <f>IFERROR(__xludf.DUMMYFUNCTION("""COMPUTED_VALUE"""),45750.6458333333)</f>
        <v>45750.6458333333</v>
      </c>
      <c r="D9" s="17">
        <f>IFERROR(__xludf.DUMMYFUNCTION("""COMPUTED_VALUE"""),530.65)</f>
        <v>530.65</v>
      </c>
      <c r="E9" s="16">
        <f>IFERROR(__xludf.DUMMYFUNCTION("""COMPUTED_VALUE"""),45750.6458333333)</f>
        <v>45750.6458333333</v>
      </c>
      <c r="F9" s="17">
        <f>IFERROR(__xludf.DUMMYFUNCTION("""COMPUTED_VALUE"""),857218)</f>
        <v>857218</v>
      </c>
      <c r="G9" s="16">
        <f>IFERROR(__xludf.DUMMYFUNCTION("""COMPUTED_VALUE"""),45750.6458333333)</f>
        <v>45750.6458333333</v>
      </c>
      <c r="H9" s="17">
        <f>IFERROR(__xludf.DUMMYFUNCTION("""COMPUTED_VALUE"""),544.2)</f>
        <v>544.2</v>
      </c>
      <c r="I9" s="16">
        <f>IFERROR(__xludf.DUMMYFUNCTION("""COMPUTED_VALUE"""),45750.6458333333)</f>
        <v>45750.6458333333</v>
      </c>
      <c r="J9" s="17">
        <f>IFERROR(__xludf.DUMMYFUNCTION("""COMPUTED_VALUE"""),530.5)</f>
        <v>530.5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IFERROR(__xludf.DUMMYFUNCTION("""COMPUTED_VALUE"""),528.2)</f>
        <v>528.2</v>
      </c>
      <c r="C10" s="16">
        <f>IFERROR(__xludf.DUMMYFUNCTION("""COMPUTED_VALUE"""),45751.6458333333)</f>
        <v>45751.6458333333</v>
      </c>
      <c r="D10" s="17">
        <f>IFERROR(__xludf.DUMMYFUNCTION("""COMPUTED_VALUE"""),540.6)</f>
        <v>540.6</v>
      </c>
      <c r="E10" s="16">
        <f>IFERROR(__xludf.DUMMYFUNCTION("""COMPUTED_VALUE"""),45751.6458333333)</f>
        <v>45751.6458333333</v>
      </c>
      <c r="F10" s="17">
        <f>IFERROR(__xludf.DUMMYFUNCTION("""COMPUTED_VALUE"""),1254580)</f>
        <v>1254580</v>
      </c>
      <c r="G10" s="16">
        <f>IFERROR(__xludf.DUMMYFUNCTION("""COMPUTED_VALUE"""),45751.6458333333)</f>
        <v>45751.6458333333</v>
      </c>
      <c r="H10" s="17">
        <f>IFERROR(__xludf.DUMMYFUNCTION("""COMPUTED_VALUE"""),543.95)</f>
        <v>543.95</v>
      </c>
      <c r="I10" s="16">
        <f>IFERROR(__xludf.DUMMYFUNCTION("""COMPUTED_VALUE"""),45751.6458333333)</f>
        <v>45751.6458333333</v>
      </c>
      <c r="J10" s="17">
        <f>IFERROR(__xludf.DUMMYFUNCTION("""COMPUTED_VALUE"""),525.6)</f>
        <v>525.6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IFERROR(__xludf.DUMMYFUNCTION("""COMPUTED_VALUE"""),525.2)</f>
        <v>525.2</v>
      </c>
      <c r="C11" s="16">
        <f>IFERROR(__xludf.DUMMYFUNCTION("""COMPUTED_VALUE"""),45754.6458333333)</f>
        <v>45754.6458333333</v>
      </c>
      <c r="D11" s="17">
        <f>IFERROR(__xludf.DUMMYFUNCTION("""COMPUTED_VALUE"""),495)</f>
        <v>495</v>
      </c>
      <c r="E11" s="16">
        <f>IFERROR(__xludf.DUMMYFUNCTION("""COMPUTED_VALUE"""),45754.6458333333)</f>
        <v>45754.6458333333</v>
      </c>
      <c r="F11" s="17">
        <f>IFERROR(__xludf.DUMMYFUNCTION("""COMPUTED_VALUE"""),3055609)</f>
        <v>3055609</v>
      </c>
      <c r="G11" s="16">
        <f>IFERROR(__xludf.DUMMYFUNCTION("""COMPUTED_VALUE"""),45754.6458333333)</f>
        <v>45754.6458333333</v>
      </c>
      <c r="H11" s="17">
        <f>IFERROR(__xludf.DUMMYFUNCTION("""COMPUTED_VALUE"""),532)</f>
        <v>532</v>
      </c>
      <c r="I11" s="16">
        <f>IFERROR(__xludf.DUMMYFUNCTION("""COMPUTED_VALUE"""),45754.6458333333)</f>
        <v>45754.6458333333</v>
      </c>
      <c r="J11" s="17">
        <f>IFERROR(__xludf.DUMMYFUNCTION("""COMPUTED_VALUE"""),480.35)</f>
        <v>480.35</v>
      </c>
      <c r="K11" s="3">
        <f t="shared" ref="K11:K125" si="2">IF(B11=MAX(B5:B17),B11,0)</f>
        <v>0</v>
      </c>
      <c r="L11" s="3">
        <f t="shared" ref="L11:L125" si="3">IF(B11=MIN(B5:B17),B11,0)</f>
        <v>525.2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IFERROR(__xludf.DUMMYFUNCTION("""COMPUTED_VALUE"""),536.8)</f>
        <v>536.8</v>
      </c>
      <c r="C12" s="16">
        <f>IFERROR(__xludf.DUMMYFUNCTION("""COMPUTED_VALUE"""),45755.6458333333)</f>
        <v>45755.6458333333</v>
      </c>
      <c r="D12" s="17">
        <f>IFERROR(__xludf.DUMMYFUNCTION("""COMPUTED_VALUE"""),535)</f>
        <v>535</v>
      </c>
      <c r="E12" s="16">
        <f>IFERROR(__xludf.DUMMYFUNCTION("""COMPUTED_VALUE"""),45755.6458333333)</f>
        <v>45755.6458333333</v>
      </c>
      <c r="F12" s="17">
        <f>IFERROR(__xludf.DUMMYFUNCTION("""COMPUTED_VALUE"""),1899103)</f>
        <v>1899103</v>
      </c>
      <c r="G12" s="16">
        <f>IFERROR(__xludf.DUMMYFUNCTION("""COMPUTED_VALUE"""),45755.6458333333)</f>
        <v>45755.6458333333</v>
      </c>
      <c r="H12" s="17">
        <f>IFERROR(__xludf.DUMMYFUNCTION("""COMPUTED_VALUE"""),539.1)</f>
        <v>539.1</v>
      </c>
      <c r="I12" s="16">
        <f>IFERROR(__xludf.DUMMYFUNCTION("""COMPUTED_VALUE"""),45755.6458333333)</f>
        <v>45755.6458333333</v>
      </c>
      <c r="J12" s="17">
        <f>IFERROR(__xludf.DUMMYFUNCTION("""COMPUTED_VALUE"""),527.45)</f>
        <v>527.45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IFERROR(__xludf.DUMMYFUNCTION("""COMPUTED_VALUE"""),547.8)</f>
        <v>547.8</v>
      </c>
      <c r="C13" s="16">
        <f>IFERROR(__xludf.DUMMYFUNCTION("""COMPUTED_VALUE"""),45756.6458333333)</f>
        <v>45756.6458333333</v>
      </c>
      <c r="D13" s="17">
        <f>IFERROR(__xludf.DUMMYFUNCTION("""COMPUTED_VALUE"""),536.8)</f>
        <v>536.8</v>
      </c>
      <c r="E13" s="16">
        <f>IFERROR(__xludf.DUMMYFUNCTION("""COMPUTED_VALUE"""),45756.6458333333)</f>
        <v>45756.6458333333</v>
      </c>
      <c r="F13" s="17">
        <f>IFERROR(__xludf.DUMMYFUNCTION("""COMPUTED_VALUE"""),4262360)</f>
        <v>4262360</v>
      </c>
      <c r="G13" s="16">
        <f>IFERROR(__xludf.DUMMYFUNCTION("""COMPUTED_VALUE"""),45756.6458333333)</f>
        <v>45756.6458333333</v>
      </c>
      <c r="H13" s="17">
        <f>IFERROR(__xludf.DUMMYFUNCTION("""COMPUTED_VALUE"""),552.3)</f>
        <v>552.3</v>
      </c>
      <c r="I13" s="16">
        <f>IFERROR(__xludf.DUMMYFUNCTION("""COMPUTED_VALUE"""),45756.6458333333)</f>
        <v>45756.6458333333</v>
      </c>
      <c r="J13" s="17">
        <f>IFERROR(__xludf.DUMMYFUNCTION("""COMPUTED_VALUE"""),531.15)</f>
        <v>531.15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IFERROR(__xludf.DUMMYFUNCTION("""COMPUTED_VALUE"""),548.65)</f>
        <v>548.65</v>
      </c>
      <c r="C14" s="16">
        <f>IFERROR(__xludf.DUMMYFUNCTION("""COMPUTED_VALUE"""),45758.6458333333)</f>
        <v>45758.6458333333</v>
      </c>
      <c r="D14" s="17">
        <f>IFERROR(__xludf.DUMMYFUNCTION("""COMPUTED_VALUE"""),553.75)</f>
        <v>553.75</v>
      </c>
      <c r="E14" s="16">
        <f>IFERROR(__xludf.DUMMYFUNCTION("""COMPUTED_VALUE"""),45758.6458333333)</f>
        <v>45758.6458333333</v>
      </c>
      <c r="F14" s="17">
        <f>IFERROR(__xludf.DUMMYFUNCTION("""COMPUTED_VALUE"""),3541770)</f>
        <v>3541770</v>
      </c>
      <c r="G14" s="16">
        <f>IFERROR(__xludf.DUMMYFUNCTION("""COMPUTED_VALUE"""),45758.6458333333)</f>
        <v>45758.6458333333</v>
      </c>
      <c r="H14" s="17">
        <f>IFERROR(__xludf.DUMMYFUNCTION("""COMPUTED_VALUE"""),556.8)</f>
        <v>556.8</v>
      </c>
      <c r="I14" s="16">
        <f>IFERROR(__xludf.DUMMYFUNCTION("""COMPUTED_VALUE"""),45758.6458333333)</f>
        <v>45758.6458333333</v>
      </c>
      <c r="J14" s="17">
        <f>IFERROR(__xludf.DUMMYFUNCTION("""COMPUTED_VALUE"""),544)</f>
        <v>544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IFERROR(__xludf.DUMMYFUNCTION("""COMPUTED_VALUE"""),558.05)</f>
        <v>558.05</v>
      </c>
      <c r="C15" s="16">
        <f>IFERROR(__xludf.DUMMYFUNCTION("""COMPUTED_VALUE"""),45762.6458333333)</f>
        <v>45762.6458333333</v>
      </c>
      <c r="D15" s="17">
        <f>IFERROR(__xludf.DUMMYFUNCTION("""COMPUTED_VALUE"""),555)</f>
        <v>555</v>
      </c>
      <c r="E15" s="16">
        <f>IFERROR(__xludf.DUMMYFUNCTION("""COMPUTED_VALUE"""),45762.6458333333)</f>
        <v>45762.6458333333</v>
      </c>
      <c r="F15" s="17">
        <f>IFERROR(__xludf.DUMMYFUNCTION("""COMPUTED_VALUE"""),2937116)</f>
        <v>2937116</v>
      </c>
      <c r="G15" s="16">
        <f>IFERROR(__xludf.DUMMYFUNCTION("""COMPUTED_VALUE"""),45762.6458333333)</f>
        <v>45762.6458333333</v>
      </c>
      <c r="H15" s="17">
        <f>IFERROR(__xludf.DUMMYFUNCTION("""COMPUTED_VALUE"""),559.2)</f>
        <v>559.2</v>
      </c>
      <c r="I15" s="16">
        <f>IFERROR(__xludf.DUMMYFUNCTION("""COMPUTED_VALUE"""),45762.6458333333)</f>
        <v>45762.6458333333</v>
      </c>
      <c r="J15" s="17">
        <f>IFERROR(__xludf.DUMMYFUNCTION("""COMPUTED_VALUE"""),550.25)</f>
        <v>550.25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IFERROR(__xludf.DUMMYFUNCTION("""COMPUTED_VALUE"""),565.75)</f>
        <v>565.75</v>
      </c>
      <c r="C16" s="16">
        <f>IFERROR(__xludf.DUMMYFUNCTION("""COMPUTED_VALUE"""),45763.6458333333)</f>
        <v>45763.6458333333</v>
      </c>
      <c r="D16" s="17">
        <f>IFERROR(__xludf.DUMMYFUNCTION("""COMPUTED_VALUE"""),559.95)</f>
        <v>559.95</v>
      </c>
      <c r="E16" s="16">
        <f>IFERROR(__xludf.DUMMYFUNCTION("""COMPUTED_VALUE"""),45763.6458333333)</f>
        <v>45763.6458333333</v>
      </c>
      <c r="F16" s="17">
        <f>IFERROR(__xludf.DUMMYFUNCTION("""COMPUTED_VALUE"""),3073455)</f>
        <v>3073455</v>
      </c>
      <c r="G16" s="16">
        <f>IFERROR(__xludf.DUMMYFUNCTION("""COMPUTED_VALUE"""),45763.6458333333)</f>
        <v>45763.6458333333</v>
      </c>
      <c r="H16" s="17">
        <f>IFERROR(__xludf.DUMMYFUNCTION("""COMPUTED_VALUE"""),566.5)</f>
        <v>566.5</v>
      </c>
      <c r="I16" s="16">
        <f>IFERROR(__xludf.DUMMYFUNCTION("""COMPUTED_VALUE"""),45763.6458333333)</f>
        <v>45763.6458333333</v>
      </c>
      <c r="J16" s="17">
        <f>IFERROR(__xludf.DUMMYFUNCTION("""COMPUTED_VALUE"""),552.4)</f>
        <v>552.4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IFERROR(__xludf.DUMMYFUNCTION("""COMPUTED_VALUE"""),569.8)</f>
        <v>569.8</v>
      </c>
      <c r="C17" s="16">
        <f>IFERROR(__xludf.DUMMYFUNCTION("""COMPUTED_VALUE"""),45764.6458333333)</f>
        <v>45764.6458333333</v>
      </c>
      <c r="D17" s="17">
        <f>IFERROR(__xludf.DUMMYFUNCTION("""COMPUTED_VALUE"""),565.75)</f>
        <v>565.75</v>
      </c>
      <c r="E17" s="16">
        <f>IFERROR(__xludf.DUMMYFUNCTION("""COMPUTED_VALUE"""),45764.6458333333)</f>
        <v>45764.6458333333</v>
      </c>
      <c r="F17" s="17">
        <f>IFERROR(__xludf.DUMMYFUNCTION("""COMPUTED_VALUE"""),2468279)</f>
        <v>2468279</v>
      </c>
      <c r="G17" s="16">
        <f>IFERROR(__xludf.DUMMYFUNCTION("""COMPUTED_VALUE"""),45764.6458333333)</f>
        <v>45764.6458333333</v>
      </c>
      <c r="H17" s="17">
        <f>IFERROR(__xludf.DUMMYFUNCTION("""COMPUTED_VALUE"""),571.1)</f>
        <v>571.1</v>
      </c>
      <c r="I17" s="16">
        <f>IFERROR(__xludf.DUMMYFUNCTION("""COMPUTED_VALUE"""),45764.6458333333)</f>
        <v>45764.6458333333</v>
      </c>
      <c r="J17" s="17">
        <f>IFERROR(__xludf.DUMMYFUNCTION("""COMPUTED_VALUE"""),562.15)</f>
        <v>562.15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IFERROR(__xludf.DUMMYFUNCTION("""COMPUTED_VALUE"""),578.9)</f>
        <v>578.9</v>
      </c>
      <c r="C18" s="16">
        <f>IFERROR(__xludf.DUMMYFUNCTION("""COMPUTED_VALUE"""),45768.6458333333)</f>
        <v>45768.6458333333</v>
      </c>
      <c r="D18" s="17">
        <f>IFERROR(__xludf.DUMMYFUNCTION("""COMPUTED_VALUE"""),572.3)</f>
        <v>572.3</v>
      </c>
      <c r="E18" s="16">
        <f>IFERROR(__xludf.DUMMYFUNCTION("""COMPUTED_VALUE"""),45768.6458333333)</f>
        <v>45768.6458333333</v>
      </c>
      <c r="F18" s="17">
        <f>IFERROR(__xludf.DUMMYFUNCTION("""COMPUTED_VALUE"""),3429480)</f>
        <v>3429480</v>
      </c>
      <c r="G18" s="16">
        <f>IFERROR(__xludf.DUMMYFUNCTION("""COMPUTED_VALUE"""),45768.6458333333)</f>
        <v>45768.6458333333</v>
      </c>
      <c r="H18" s="17">
        <f>IFERROR(__xludf.DUMMYFUNCTION("""COMPUTED_VALUE"""),582.3)</f>
        <v>582.3</v>
      </c>
      <c r="I18" s="16">
        <f>IFERROR(__xludf.DUMMYFUNCTION("""COMPUTED_VALUE"""),45768.6458333333)</f>
        <v>45768.6458333333</v>
      </c>
      <c r="J18" s="17">
        <f>IFERROR(__xludf.DUMMYFUNCTION("""COMPUTED_VALUE"""),567.85)</f>
        <v>567.85</v>
      </c>
      <c r="K18" s="3">
        <f t="shared" si="2"/>
        <v>578.9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IFERROR(__xludf.DUMMYFUNCTION("""COMPUTED_VALUE"""),577.9)</f>
        <v>577.9</v>
      </c>
      <c r="C19" s="16">
        <f>IFERROR(__xludf.DUMMYFUNCTION("""COMPUTED_VALUE"""),45769.6458333333)</f>
        <v>45769.6458333333</v>
      </c>
      <c r="D19" s="17">
        <f>IFERROR(__xludf.DUMMYFUNCTION("""COMPUTED_VALUE"""),580)</f>
        <v>580</v>
      </c>
      <c r="E19" s="16">
        <f>IFERROR(__xludf.DUMMYFUNCTION("""COMPUTED_VALUE"""),45769.6458333333)</f>
        <v>45769.6458333333</v>
      </c>
      <c r="F19" s="17">
        <f>IFERROR(__xludf.DUMMYFUNCTION("""COMPUTED_VALUE"""),4202944)</f>
        <v>4202944</v>
      </c>
      <c r="G19" s="16">
        <f>IFERROR(__xludf.DUMMYFUNCTION("""COMPUTED_VALUE"""),45769.6458333333)</f>
        <v>45769.6458333333</v>
      </c>
      <c r="H19" s="17">
        <f>IFERROR(__xludf.DUMMYFUNCTION("""COMPUTED_VALUE"""),584.8)</f>
        <v>584.8</v>
      </c>
      <c r="I19" s="16">
        <f>IFERROR(__xludf.DUMMYFUNCTION("""COMPUTED_VALUE"""),45769.6458333333)</f>
        <v>45769.6458333333</v>
      </c>
      <c r="J19" s="17">
        <f>IFERROR(__xludf.DUMMYFUNCTION("""COMPUTED_VALUE"""),575.1)</f>
        <v>575.1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IFERROR(__xludf.DUMMYFUNCTION("""COMPUTED_VALUE"""),574.35)</f>
        <v>574.35</v>
      </c>
      <c r="C20" s="16">
        <f>IFERROR(__xludf.DUMMYFUNCTION("""COMPUTED_VALUE"""),45770.6458333333)</f>
        <v>45770.6458333333</v>
      </c>
      <c r="D20" s="17">
        <f>IFERROR(__xludf.DUMMYFUNCTION("""COMPUTED_VALUE"""),582.65)</f>
        <v>582.65</v>
      </c>
      <c r="E20" s="16">
        <f>IFERROR(__xludf.DUMMYFUNCTION("""COMPUTED_VALUE"""),45770.6458333333)</f>
        <v>45770.6458333333</v>
      </c>
      <c r="F20" s="17">
        <f>IFERROR(__xludf.DUMMYFUNCTION("""COMPUTED_VALUE"""),2666133)</f>
        <v>2666133</v>
      </c>
      <c r="G20" s="16">
        <f>IFERROR(__xludf.DUMMYFUNCTION("""COMPUTED_VALUE"""),45770.6458333333)</f>
        <v>45770.6458333333</v>
      </c>
      <c r="H20" s="17">
        <f>IFERROR(__xludf.DUMMYFUNCTION("""COMPUTED_VALUE"""),582.9)</f>
        <v>582.9</v>
      </c>
      <c r="I20" s="16">
        <f>IFERROR(__xludf.DUMMYFUNCTION("""COMPUTED_VALUE"""),45770.6458333333)</f>
        <v>45770.6458333333</v>
      </c>
      <c r="J20" s="17">
        <f>IFERROR(__xludf.DUMMYFUNCTION("""COMPUTED_VALUE"""),569.3)</f>
        <v>569.3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IFERROR(__xludf.DUMMYFUNCTION("""COMPUTED_VALUE"""),572)</f>
        <v>572</v>
      </c>
      <c r="C21" s="16">
        <f>IFERROR(__xludf.DUMMYFUNCTION("""COMPUTED_VALUE"""),45771.6458333333)</f>
        <v>45771.6458333333</v>
      </c>
      <c r="D21" s="17">
        <f>IFERROR(__xludf.DUMMYFUNCTION("""COMPUTED_VALUE"""),574.35)</f>
        <v>574.35</v>
      </c>
      <c r="E21" s="16">
        <f>IFERROR(__xludf.DUMMYFUNCTION("""COMPUTED_VALUE"""),45771.6458333333)</f>
        <v>45771.6458333333</v>
      </c>
      <c r="F21" s="17">
        <f>IFERROR(__xludf.DUMMYFUNCTION("""COMPUTED_VALUE"""),4092552)</f>
        <v>4092552</v>
      </c>
      <c r="G21" s="16">
        <f>IFERROR(__xludf.DUMMYFUNCTION("""COMPUTED_VALUE"""),45771.6458333333)</f>
        <v>45771.6458333333</v>
      </c>
      <c r="H21" s="17">
        <f>IFERROR(__xludf.DUMMYFUNCTION("""COMPUTED_VALUE"""),580)</f>
        <v>580</v>
      </c>
      <c r="I21" s="16">
        <f>IFERROR(__xludf.DUMMYFUNCTION("""COMPUTED_VALUE"""),45771.6458333333)</f>
        <v>45771.6458333333</v>
      </c>
      <c r="J21" s="17">
        <f>IFERROR(__xludf.DUMMYFUNCTION("""COMPUTED_VALUE"""),568.4)</f>
        <v>568.4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IFERROR(__xludf.DUMMYFUNCTION("""COMPUTED_VALUE"""),548.7)</f>
        <v>548.7</v>
      </c>
      <c r="C22" s="16">
        <f>IFERROR(__xludf.DUMMYFUNCTION("""COMPUTED_VALUE"""),45772.6458333333)</f>
        <v>45772.6458333333</v>
      </c>
      <c r="D22" s="17">
        <f>IFERROR(__xludf.DUMMYFUNCTION("""COMPUTED_VALUE"""),572)</f>
        <v>572</v>
      </c>
      <c r="E22" s="16">
        <f>IFERROR(__xludf.DUMMYFUNCTION("""COMPUTED_VALUE"""),45772.6458333333)</f>
        <v>45772.6458333333</v>
      </c>
      <c r="F22" s="17">
        <f>IFERROR(__xludf.DUMMYFUNCTION("""COMPUTED_VALUE"""),3491061)</f>
        <v>3491061</v>
      </c>
      <c r="G22" s="16">
        <f>IFERROR(__xludf.DUMMYFUNCTION("""COMPUTED_VALUE"""),45772.6458333333)</f>
        <v>45772.6458333333</v>
      </c>
      <c r="H22" s="17">
        <f>IFERROR(__xludf.DUMMYFUNCTION("""COMPUTED_VALUE"""),574.2)</f>
        <v>574.2</v>
      </c>
      <c r="I22" s="16">
        <f>IFERROR(__xludf.DUMMYFUNCTION("""COMPUTED_VALUE"""),45772.6458333333)</f>
        <v>45772.6458333333</v>
      </c>
      <c r="J22" s="17">
        <f>IFERROR(__xludf.DUMMYFUNCTION("""COMPUTED_VALUE"""),544)</f>
        <v>544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IFERROR(__xludf.DUMMYFUNCTION("""COMPUTED_VALUE"""),544.95)</f>
        <v>544.95</v>
      </c>
      <c r="C23" s="16">
        <f>IFERROR(__xludf.DUMMYFUNCTION("""COMPUTED_VALUE"""),45775.6458333333)</f>
        <v>45775.6458333333</v>
      </c>
      <c r="D23" s="17">
        <f>IFERROR(__xludf.DUMMYFUNCTION("""COMPUTED_VALUE"""),548.85)</f>
        <v>548.85</v>
      </c>
      <c r="E23" s="16">
        <f>IFERROR(__xludf.DUMMYFUNCTION("""COMPUTED_VALUE"""),45775.6458333333)</f>
        <v>45775.6458333333</v>
      </c>
      <c r="F23" s="17">
        <f>IFERROR(__xludf.DUMMYFUNCTION("""COMPUTED_VALUE"""),2686846)</f>
        <v>2686846</v>
      </c>
      <c r="G23" s="16">
        <f>IFERROR(__xludf.DUMMYFUNCTION("""COMPUTED_VALUE"""),45775.6458333333)</f>
        <v>45775.6458333333</v>
      </c>
      <c r="H23" s="17">
        <f>IFERROR(__xludf.DUMMYFUNCTION("""COMPUTED_VALUE"""),552.85)</f>
        <v>552.85</v>
      </c>
      <c r="I23" s="16">
        <f>IFERROR(__xludf.DUMMYFUNCTION("""COMPUTED_VALUE"""),45775.6458333333)</f>
        <v>45775.6458333333</v>
      </c>
      <c r="J23" s="17">
        <f>IFERROR(__xludf.DUMMYFUNCTION("""COMPUTED_VALUE"""),541)</f>
        <v>541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IFERROR(__xludf.DUMMYFUNCTION("""COMPUTED_VALUE"""),533.95)</f>
        <v>533.95</v>
      </c>
      <c r="C24" s="16">
        <f>IFERROR(__xludf.DUMMYFUNCTION("""COMPUTED_VALUE"""),45776.6458333333)</f>
        <v>45776.6458333333</v>
      </c>
      <c r="D24" s="17">
        <f>IFERROR(__xludf.DUMMYFUNCTION("""COMPUTED_VALUE"""),549)</f>
        <v>549</v>
      </c>
      <c r="E24" s="16">
        <f>IFERROR(__xludf.DUMMYFUNCTION("""COMPUTED_VALUE"""),45776.6458333333)</f>
        <v>45776.6458333333</v>
      </c>
      <c r="F24" s="17">
        <f>IFERROR(__xludf.DUMMYFUNCTION("""COMPUTED_VALUE"""),7512372)</f>
        <v>7512372</v>
      </c>
      <c r="G24" s="16">
        <f>IFERROR(__xludf.DUMMYFUNCTION("""COMPUTED_VALUE"""),45776.6458333333)</f>
        <v>45776.6458333333</v>
      </c>
      <c r="H24" s="17">
        <f>IFERROR(__xludf.DUMMYFUNCTION("""COMPUTED_VALUE"""),552.1)</f>
        <v>552.1</v>
      </c>
      <c r="I24" s="16">
        <f>IFERROR(__xludf.DUMMYFUNCTION("""COMPUTED_VALUE"""),45776.6458333333)</f>
        <v>45776.6458333333</v>
      </c>
      <c r="J24" s="17">
        <f>IFERROR(__xludf.DUMMYFUNCTION("""COMPUTED_VALUE"""),530.1)</f>
        <v>530.1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IFERROR(__xludf.DUMMYFUNCTION("""COMPUTED_VALUE"""),539.7)</f>
        <v>539.7</v>
      </c>
      <c r="C25" s="16">
        <f>IFERROR(__xludf.DUMMYFUNCTION("""COMPUTED_VALUE"""),45777.6458333333)</f>
        <v>45777.6458333333</v>
      </c>
      <c r="D25" s="17">
        <f>IFERROR(__xludf.DUMMYFUNCTION("""COMPUTED_VALUE"""),540)</f>
        <v>540</v>
      </c>
      <c r="E25" s="16">
        <f>IFERROR(__xludf.DUMMYFUNCTION("""COMPUTED_VALUE"""),45777.6458333333)</f>
        <v>45777.6458333333</v>
      </c>
      <c r="F25" s="17">
        <f>IFERROR(__xludf.DUMMYFUNCTION("""COMPUTED_VALUE"""),5851731)</f>
        <v>5851731</v>
      </c>
      <c r="G25" s="16">
        <f>IFERROR(__xludf.DUMMYFUNCTION("""COMPUTED_VALUE"""),45777.6458333333)</f>
        <v>45777.6458333333</v>
      </c>
      <c r="H25" s="17">
        <f>IFERROR(__xludf.DUMMYFUNCTION("""COMPUTED_VALUE"""),546.2)</f>
        <v>546.2</v>
      </c>
      <c r="I25" s="16">
        <f>IFERROR(__xludf.DUMMYFUNCTION("""COMPUTED_VALUE"""),45777.6458333333)</f>
        <v>45777.6458333333</v>
      </c>
      <c r="J25" s="17">
        <f>IFERROR(__xludf.DUMMYFUNCTION("""COMPUTED_VALUE"""),533.05)</f>
        <v>533.05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IFERROR(__xludf.DUMMYFUNCTION("""COMPUTED_VALUE"""),531.7)</f>
        <v>531.7</v>
      </c>
      <c r="C26" s="16">
        <f>IFERROR(__xludf.DUMMYFUNCTION("""COMPUTED_VALUE"""),45779.6458333333)</f>
        <v>45779.6458333333</v>
      </c>
      <c r="D26" s="17">
        <f>IFERROR(__xludf.DUMMYFUNCTION("""COMPUTED_VALUE"""),537.55)</f>
        <v>537.55</v>
      </c>
      <c r="E26" s="16">
        <f>IFERROR(__xludf.DUMMYFUNCTION("""COMPUTED_VALUE"""),45779.6458333333)</f>
        <v>45779.6458333333</v>
      </c>
      <c r="F26" s="17">
        <f>IFERROR(__xludf.DUMMYFUNCTION("""COMPUTED_VALUE"""),2360666)</f>
        <v>2360666</v>
      </c>
      <c r="G26" s="16">
        <f>IFERROR(__xludf.DUMMYFUNCTION("""COMPUTED_VALUE"""),45779.6458333333)</f>
        <v>45779.6458333333</v>
      </c>
      <c r="H26" s="17">
        <f>IFERROR(__xludf.DUMMYFUNCTION("""COMPUTED_VALUE"""),542.6)</f>
        <v>542.6</v>
      </c>
      <c r="I26" s="16">
        <f>IFERROR(__xludf.DUMMYFUNCTION("""COMPUTED_VALUE"""),45779.6458333333)</f>
        <v>45779.6458333333</v>
      </c>
      <c r="J26" s="17">
        <f>IFERROR(__xludf.DUMMYFUNCTION("""COMPUTED_VALUE"""),527.25)</f>
        <v>527.25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IFERROR(__xludf.DUMMYFUNCTION("""COMPUTED_VALUE"""),541.4)</f>
        <v>541.4</v>
      </c>
      <c r="C27" s="16">
        <f>IFERROR(__xludf.DUMMYFUNCTION("""COMPUTED_VALUE"""),45782.6458333333)</f>
        <v>45782.6458333333</v>
      </c>
      <c r="D27" s="17">
        <f>IFERROR(__xludf.DUMMYFUNCTION("""COMPUTED_VALUE"""),535.8)</f>
        <v>535.8</v>
      </c>
      <c r="E27" s="16">
        <f>IFERROR(__xludf.DUMMYFUNCTION("""COMPUTED_VALUE"""),45782.6458333333)</f>
        <v>45782.6458333333</v>
      </c>
      <c r="F27" s="17">
        <f>IFERROR(__xludf.DUMMYFUNCTION("""COMPUTED_VALUE"""),8102588)</f>
        <v>8102588</v>
      </c>
      <c r="G27" s="16">
        <f>IFERROR(__xludf.DUMMYFUNCTION("""COMPUTED_VALUE"""),45782.6458333333)</f>
        <v>45782.6458333333</v>
      </c>
      <c r="H27" s="17">
        <f>IFERROR(__xludf.DUMMYFUNCTION("""COMPUTED_VALUE"""),549.65)</f>
        <v>549.65</v>
      </c>
      <c r="I27" s="16">
        <f>IFERROR(__xludf.DUMMYFUNCTION("""COMPUTED_VALUE"""),45782.6458333333)</f>
        <v>45782.6458333333</v>
      </c>
      <c r="J27" s="17">
        <f>IFERROR(__xludf.DUMMYFUNCTION("""COMPUTED_VALUE"""),529.6)</f>
        <v>529.6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IFERROR(__xludf.DUMMYFUNCTION("""COMPUTED_VALUE"""),535.15)</f>
        <v>535.15</v>
      </c>
      <c r="C28" s="16">
        <f>IFERROR(__xludf.DUMMYFUNCTION("""COMPUTED_VALUE"""),45783.6458333333)</f>
        <v>45783.6458333333</v>
      </c>
      <c r="D28" s="17">
        <f>IFERROR(__xludf.DUMMYFUNCTION("""COMPUTED_VALUE"""),542)</f>
        <v>542</v>
      </c>
      <c r="E28" s="16">
        <f>IFERROR(__xludf.DUMMYFUNCTION("""COMPUTED_VALUE"""),45783.6458333333)</f>
        <v>45783.6458333333</v>
      </c>
      <c r="F28" s="17">
        <f>IFERROR(__xludf.DUMMYFUNCTION("""COMPUTED_VALUE"""),3127458)</f>
        <v>3127458</v>
      </c>
      <c r="G28" s="16">
        <f>IFERROR(__xludf.DUMMYFUNCTION("""COMPUTED_VALUE"""),45783.6458333333)</f>
        <v>45783.6458333333</v>
      </c>
      <c r="H28" s="17">
        <f>IFERROR(__xludf.DUMMYFUNCTION("""COMPUTED_VALUE"""),543.7)</f>
        <v>543.7</v>
      </c>
      <c r="I28" s="16">
        <f>IFERROR(__xludf.DUMMYFUNCTION("""COMPUTED_VALUE"""),45783.6458333333)</f>
        <v>45783.6458333333</v>
      </c>
      <c r="J28" s="17">
        <f>IFERROR(__xludf.DUMMYFUNCTION("""COMPUTED_VALUE"""),532.15)</f>
        <v>532.15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IFERROR(__xludf.DUMMYFUNCTION("""COMPUTED_VALUE"""),535.2)</f>
        <v>535.2</v>
      </c>
      <c r="C29" s="16">
        <f>IFERROR(__xludf.DUMMYFUNCTION("""COMPUTED_VALUE"""),45784.6458333333)</f>
        <v>45784.6458333333</v>
      </c>
      <c r="D29" s="17">
        <f>IFERROR(__xludf.DUMMYFUNCTION("""COMPUTED_VALUE"""),532.8)</f>
        <v>532.8</v>
      </c>
      <c r="E29" s="16">
        <f>IFERROR(__xludf.DUMMYFUNCTION("""COMPUTED_VALUE"""),45784.6458333333)</f>
        <v>45784.6458333333</v>
      </c>
      <c r="F29" s="17">
        <f>IFERROR(__xludf.DUMMYFUNCTION("""COMPUTED_VALUE"""),4047670)</f>
        <v>4047670</v>
      </c>
      <c r="G29" s="16">
        <f>IFERROR(__xludf.DUMMYFUNCTION("""COMPUTED_VALUE"""),45784.6458333333)</f>
        <v>45784.6458333333</v>
      </c>
      <c r="H29" s="17">
        <f>IFERROR(__xludf.DUMMYFUNCTION("""COMPUTED_VALUE"""),538.35)</f>
        <v>538.35</v>
      </c>
      <c r="I29" s="16">
        <f>IFERROR(__xludf.DUMMYFUNCTION("""COMPUTED_VALUE"""),45784.6458333333)</f>
        <v>45784.6458333333</v>
      </c>
      <c r="J29" s="17">
        <f>IFERROR(__xludf.DUMMYFUNCTION("""COMPUTED_VALUE"""),526.3)</f>
        <v>526.3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IFERROR(__xludf.DUMMYFUNCTION("""COMPUTED_VALUE"""),524.4)</f>
        <v>524.4</v>
      </c>
      <c r="C30" s="16">
        <f>IFERROR(__xludf.DUMMYFUNCTION("""COMPUTED_VALUE"""),45785.6458333333)</f>
        <v>45785.6458333333</v>
      </c>
      <c r="D30" s="17">
        <f>IFERROR(__xludf.DUMMYFUNCTION("""COMPUTED_VALUE"""),536)</f>
        <v>536</v>
      </c>
      <c r="E30" s="16">
        <f>IFERROR(__xludf.DUMMYFUNCTION("""COMPUTED_VALUE"""),45785.6458333333)</f>
        <v>45785.6458333333</v>
      </c>
      <c r="F30" s="17">
        <f>IFERROR(__xludf.DUMMYFUNCTION("""COMPUTED_VALUE"""),3213287)</f>
        <v>3213287</v>
      </c>
      <c r="G30" s="16">
        <f>IFERROR(__xludf.DUMMYFUNCTION("""COMPUTED_VALUE"""),45785.6458333333)</f>
        <v>45785.6458333333</v>
      </c>
      <c r="H30" s="17">
        <f>IFERROR(__xludf.DUMMYFUNCTION("""COMPUTED_VALUE"""),538.95)</f>
        <v>538.95</v>
      </c>
      <c r="I30" s="16">
        <f>IFERROR(__xludf.DUMMYFUNCTION("""COMPUTED_VALUE"""),45785.6458333333)</f>
        <v>45785.6458333333</v>
      </c>
      <c r="J30" s="17">
        <f>IFERROR(__xludf.DUMMYFUNCTION("""COMPUTED_VALUE"""),520.05)</f>
        <v>520.05</v>
      </c>
      <c r="K30" s="3">
        <f t="shared" si="2"/>
        <v>0</v>
      </c>
      <c r="L30" s="3">
        <f t="shared" si="3"/>
        <v>524.4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IFERROR(__xludf.DUMMYFUNCTION("""COMPUTED_VALUE"""),527.45)</f>
        <v>527.45</v>
      </c>
      <c r="C31" s="16">
        <f>IFERROR(__xludf.DUMMYFUNCTION("""COMPUTED_VALUE"""),45786.6458333333)</f>
        <v>45786.6458333333</v>
      </c>
      <c r="D31" s="17">
        <f>IFERROR(__xludf.DUMMYFUNCTION("""COMPUTED_VALUE"""),516)</f>
        <v>516</v>
      </c>
      <c r="E31" s="16">
        <f>IFERROR(__xludf.DUMMYFUNCTION("""COMPUTED_VALUE"""),45786.6458333333)</f>
        <v>45786.6458333333</v>
      </c>
      <c r="F31" s="17">
        <f>IFERROR(__xludf.DUMMYFUNCTION("""COMPUTED_VALUE"""),1880094)</f>
        <v>1880094</v>
      </c>
      <c r="G31" s="16">
        <f>IFERROR(__xludf.DUMMYFUNCTION("""COMPUTED_VALUE"""),45786.6458333333)</f>
        <v>45786.6458333333</v>
      </c>
      <c r="H31" s="17">
        <f>IFERROR(__xludf.DUMMYFUNCTION("""COMPUTED_VALUE"""),529.3)</f>
        <v>529.3</v>
      </c>
      <c r="I31" s="16">
        <f>IFERROR(__xludf.DUMMYFUNCTION("""COMPUTED_VALUE"""),45786.6458333333)</f>
        <v>45786.6458333333</v>
      </c>
      <c r="J31" s="17">
        <f>IFERROR(__xludf.DUMMYFUNCTION("""COMPUTED_VALUE"""),512.25)</f>
        <v>512.25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IFERROR(__xludf.DUMMYFUNCTION("""COMPUTED_VALUE"""),541.65)</f>
        <v>541.65</v>
      </c>
      <c r="C32" s="16">
        <f>IFERROR(__xludf.DUMMYFUNCTION("""COMPUTED_VALUE"""),45789.6458333333)</f>
        <v>45789.6458333333</v>
      </c>
      <c r="D32" s="17">
        <f>IFERROR(__xludf.DUMMYFUNCTION("""COMPUTED_VALUE"""),540)</f>
        <v>540</v>
      </c>
      <c r="E32" s="16">
        <f>IFERROR(__xludf.DUMMYFUNCTION("""COMPUTED_VALUE"""),45789.6458333333)</f>
        <v>45789.6458333333</v>
      </c>
      <c r="F32" s="17">
        <f>IFERROR(__xludf.DUMMYFUNCTION("""COMPUTED_VALUE"""),1225957)</f>
        <v>1225957</v>
      </c>
      <c r="G32" s="16">
        <f>IFERROR(__xludf.DUMMYFUNCTION("""COMPUTED_VALUE"""),45789.6458333333)</f>
        <v>45789.6458333333</v>
      </c>
      <c r="H32" s="17">
        <f>IFERROR(__xludf.DUMMYFUNCTION("""COMPUTED_VALUE"""),544.1)</f>
        <v>544.1</v>
      </c>
      <c r="I32" s="16">
        <f>IFERROR(__xludf.DUMMYFUNCTION("""COMPUTED_VALUE"""),45789.6458333333)</f>
        <v>45789.6458333333</v>
      </c>
      <c r="J32" s="17">
        <f>IFERROR(__xludf.DUMMYFUNCTION("""COMPUTED_VALUE"""),536)</f>
        <v>536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IFERROR(__xludf.DUMMYFUNCTION("""COMPUTED_VALUE"""),536.9)</f>
        <v>536.9</v>
      </c>
      <c r="C33" s="16">
        <f>IFERROR(__xludf.DUMMYFUNCTION("""COMPUTED_VALUE"""),45790.6458333333)</f>
        <v>45790.6458333333</v>
      </c>
      <c r="D33" s="17">
        <f>IFERROR(__xludf.DUMMYFUNCTION("""COMPUTED_VALUE"""),542.2)</f>
        <v>542.2</v>
      </c>
      <c r="E33" s="16">
        <f>IFERROR(__xludf.DUMMYFUNCTION("""COMPUTED_VALUE"""),45790.6458333333)</f>
        <v>45790.6458333333</v>
      </c>
      <c r="F33" s="17">
        <f>IFERROR(__xludf.DUMMYFUNCTION("""COMPUTED_VALUE"""),3438632)</f>
        <v>3438632</v>
      </c>
      <c r="G33" s="16">
        <f>IFERROR(__xludf.DUMMYFUNCTION("""COMPUTED_VALUE"""),45790.6458333333)</f>
        <v>45790.6458333333</v>
      </c>
      <c r="H33" s="17">
        <f>IFERROR(__xludf.DUMMYFUNCTION("""COMPUTED_VALUE"""),542.9)</f>
        <v>542.9</v>
      </c>
      <c r="I33" s="16">
        <f>IFERROR(__xludf.DUMMYFUNCTION("""COMPUTED_VALUE"""),45790.6458333333)</f>
        <v>45790.6458333333</v>
      </c>
      <c r="J33" s="17">
        <f>IFERROR(__xludf.DUMMYFUNCTION("""COMPUTED_VALUE"""),534.3)</f>
        <v>534.3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IFERROR(__xludf.DUMMYFUNCTION("""COMPUTED_VALUE"""),543.6)</f>
        <v>543.6</v>
      </c>
      <c r="C34" s="16">
        <f>IFERROR(__xludf.DUMMYFUNCTION("""COMPUTED_VALUE"""),45791.6458333333)</f>
        <v>45791.6458333333</v>
      </c>
      <c r="D34" s="17">
        <f>IFERROR(__xludf.DUMMYFUNCTION("""COMPUTED_VALUE"""),540)</f>
        <v>540</v>
      </c>
      <c r="E34" s="16">
        <f>IFERROR(__xludf.DUMMYFUNCTION("""COMPUTED_VALUE"""),45791.6458333333)</f>
        <v>45791.6458333333</v>
      </c>
      <c r="F34" s="17">
        <f>IFERROR(__xludf.DUMMYFUNCTION("""COMPUTED_VALUE"""),2627027)</f>
        <v>2627027</v>
      </c>
      <c r="G34" s="16">
        <f>IFERROR(__xludf.DUMMYFUNCTION("""COMPUTED_VALUE"""),45791.6458333333)</f>
        <v>45791.6458333333</v>
      </c>
      <c r="H34" s="17">
        <f>IFERROR(__xludf.DUMMYFUNCTION("""COMPUTED_VALUE"""),545)</f>
        <v>545</v>
      </c>
      <c r="I34" s="16">
        <f>IFERROR(__xludf.DUMMYFUNCTION("""COMPUTED_VALUE"""),45791.6458333333)</f>
        <v>45791.6458333333</v>
      </c>
      <c r="J34" s="17">
        <f>IFERROR(__xludf.DUMMYFUNCTION("""COMPUTED_VALUE"""),536.05)</f>
        <v>536.05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IFERROR(__xludf.DUMMYFUNCTION("""COMPUTED_VALUE"""),547.55)</f>
        <v>547.55</v>
      </c>
      <c r="C35" s="16">
        <f>IFERROR(__xludf.DUMMYFUNCTION("""COMPUTED_VALUE"""),45792.6458333333)</f>
        <v>45792.6458333333</v>
      </c>
      <c r="D35" s="17">
        <f>IFERROR(__xludf.DUMMYFUNCTION("""COMPUTED_VALUE"""),543.9)</f>
        <v>543.9</v>
      </c>
      <c r="E35" s="16">
        <f>IFERROR(__xludf.DUMMYFUNCTION("""COMPUTED_VALUE"""),45792.6458333333)</f>
        <v>45792.6458333333</v>
      </c>
      <c r="F35" s="17">
        <f>IFERROR(__xludf.DUMMYFUNCTION("""COMPUTED_VALUE"""),3683833)</f>
        <v>3683833</v>
      </c>
      <c r="G35" s="16">
        <f>IFERROR(__xludf.DUMMYFUNCTION("""COMPUTED_VALUE"""),45792.6458333333)</f>
        <v>45792.6458333333</v>
      </c>
      <c r="H35" s="17">
        <f>IFERROR(__xludf.DUMMYFUNCTION("""COMPUTED_VALUE"""),549)</f>
        <v>549</v>
      </c>
      <c r="I35" s="16">
        <f>IFERROR(__xludf.DUMMYFUNCTION("""COMPUTED_VALUE"""),45792.6458333333)</f>
        <v>45792.6458333333</v>
      </c>
      <c r="J35" s="17">
        <f>IFERROR(__xludf.DUMMYFUNCTION("""COMPUTED_VALUE"""),539.2)</f>
        <v>539.2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IFERROR(__xludf.DUMMYFUNCTION("""COMPUTED_VALUE"""),563.5)</f>
        <v>563.5</v>
      </c>
      <c r="C36" s="16">
        <f>IFERROR(__xludf.DUMMYFUNCTION("""COMPUTED_VALUE"""),45793.6458333333)</f>
        <v>45793.6458333333</v>
      </c>
      <c r="D36" s="17">
        <f>IFERROR(__xludf.DUMMYFUNCTION("""COMPUTED_VALUE"""),548.2)</f>
        <v>548.2</v>
      </c>
      <c r="E36" s="16">
        <f>IFERROR(__xludf.DUMMYFUNCTION("""COMPUTED_VALUE"""),45793.6458333333)</f>
        <v>45793.6458333333</v>
      </c>
      <c r="F36" s="17">
        <f>IFERROR(__xludf.DUMMYFUNCTION("""COMPUTED_VALUE"""),3560785)</f>
        <v>3560785</v>
      </c>
      <c r="G36" s="16">
        <f>IFERROR(__xludf.DUMMYFUNCTION("""COMPUTED_VALUE"""),45793.6458333333)</f>
        <v>45793.6458333333</v>
      </c>
      <c r="H36" s="17">
        <f>IFERROR(__xludf.DUMMYFUNCTION("""COMPUTED_VALUE"""),565.9)</f>
        <v>565.9</v>
      </c>
      <c r="I36" s="16">
        <f>IFERROR(__xludf.DUMMYFUNCTION("""COMPUTED_VALUE"""),45793.6458333333)</f>
        <v>45793.6458333333</v>
      </c>
      <c r="J36" s="17">
        <f>IFERROR(__xludf.DUMMYFUNCTION("""COMPUTED_VALUE"""),547.15)</f>
        <v>547.15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IFERROR(__xludf.DUMMYFUNCTION("""COMPUTED_VALUE"""),565.55)</f>
        <v>565.55</v>
      </c>
      <c r="C37" s="16">
        <f>IFERROR(__xludf.DUMMYFUNCTION("""COMPUTED_VALUE"""),45796.6458333333)</f>
        <v>45796.6458333333</v>
      </c>
      <c r="D37" s="17">
        <f>IFERROR(__xludf.DUMMYFUNCTION("""COMPUTED_VALUE"""),566)</f>
        <v>566</v>
      </c>
      <c r="E37" s="16">
        <f>IFERROR(__xludf.DUMMYFUNCTION("""COMPUTED_VALUE"""),45796.6458333333)</f>
        <v>45796.6458333333</v>
      </c>
      <c r="F37" s="17">
        <f>IFERROR(__xludf.DUMMYFUNCTION("""COMPUTED_VALUE"""),2203178)</f>
        <v>2203178</v>
      </c>
      <c r="G37" s="16">
        <f>IFERROR(__xludf.DUMMYFUNCTION("""COMPUTED_VALUE"""),45796.6458333333)</f>
        <v>45796.6458333333</v>
      </c>
      <c r="H37" s="17">
        <f>IFERROR(__xludf.DUMMYFUNCTION("""COMPUTED_VALUE"""),569.55)</f>
        <v>569.55</v>
      </c>
      <c r="I37" s="16">
        <f>IFERROR(__xludf.DUMMYFUNCTION("""COMPUTED_VALUE"""),45796.6458333333)</f>
        <v>45796.6458333333</v>
      </c>
      <c r="J37" s="17">
        <f>IFERROR(__xludf.DUMMYFUNCTION("""COMPUTED_VALUE"""),559.35)</f>
        <v>559.35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IFERROR(__xludf.DUMMYFUNCTION("""COMPUTED_VALUE"""),562.05)</f>
        <v>562.05</v>
      </c>
      <c r="C38" s="16">
        <f>IFERROR(__xludf.DUMMYFUNCTION("""COMPUTED_VALUE"""),45797.6458333333)</f>
        <v>45797.6458333333</v>
      </c>
      <c r="D38" s="17">
        <f>IFERROR(__xludf.DUMMYFUNCTION("""COMPUTED_VALUE"""),565.6)</f>
        <v>565.6</v>
      </c>
      <c r="E38" s="16">
        <f>IFERROR(__xludf.DUMMYFUNCTION("""COMPUTED_VALUE"""),45797.6458333333)</f>
        <v>45797.6458333333</v>
      </c>
      <c r="F38" s="17">
        <f>IFERROR(__xludf.DUMMYFUNCTION("""COMPUTED_VALUE"""),1767473)</f>
        <v>1767473</v>
      </c>
      <c r="G38" s="16">
        <f>IFERROR(__xludf.DUMMYFUNCTION("""COMPUTED_VALUE"""),45797.6458333333)</f>
        <v>45797.6458333333</v>
      </c>
      <c r="H38" s="17">
        <f>IFERROR(__xludf.DUMMYFUNCTION("""COMPUTED_VALUE"""),571.65)</f>
        <v>571.65</v>
      </c>
      <c r="I38" s="16">
        <f>IFERROR(__xludf.DUMMYFUNCTION("""COMPUTED_VALUE"""),45797.6458333333)</f>
        <v>45797.6458333333</v>
      </c>
      <c r="J38" s="17">
        <f>IFERROR(__xludf.DUMMYFUNCTION("""COMPUTED_VALUE"""),560.4)</f>
        <v>560.4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IFERROR(__xludf.DUMMYFUNCTION("""COMPUTED_VALUE"""),567.8)</f>
        <v>567.8</v>
      </c>
      <c r="C39" s="16">
        <f>IFERROR(__xludf.DUMMYFUNCTION("""COMPUTED_VALUE"""),45798.6458333333)</f>
        <v>45798.6458333333</v>
      </c>
      <c r="D39" s="17">
        <f>IFERROR(__xludf.DUMMYFUNCTION("""COMPUTED_VALUE"""),562.1)</f>
        <v>562.1</v>
      </c>
      <c r="E39" s="16">
        <f>IFERROR(__xludf.DUMMYFUNCTION("""COMPUTED_VALUE"""),45798.6458333333)</f>
        <v>45798.6458333333</v>
      </c>
      <c r="F39" s="17">
        <f>IFERROR(__xludf.DUMMYFUNCTION("""COMPUTED_VALUE"""),1295557)</f>
        <v>1295557</v>
      </c>
      <c r="G39" s="16">
        <f>IFERROR(__xludf.DUMMYFUNCTION("""COMPUTED_VALUE"""),45798.6458333333)</f>
        <v>45798.6458333333</v>
      </c>
      <c r="H39" s="17">
        <f>IFERROR(__xludf.DUMMYFUNCTION("""COMPUTED_VALUE"""),570.4)</f>
        <v>570.4</v>
      </c>
      <c r="I39" s="16">
        <f>IFERROR(__xludf.DUMMYFUNCTION("""COMPUTED_VALUE"""),45798.6458333333)</f>
        <v>45798.6458333333</v>
      </c>
      <c r="J39" s="17">
        <f>IFERROR(__xludf.DUMMYFUNCTION("""COMPUTED_VALUE"""),561)</f>
        <v>561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IFERROR(__xludf.DUMMYFUNCTION("""COMPUTED_VALUE"""),567.75)</f>
        <v>567.75</v>
      </c>
      <c r="C40" s="16">
        <f>IFERROR(__xludf.DUMMYFUNCTION("""COMPUTED_VALUE"""),45799.6458333333)</f>
        <v>45799.6458333333</v>
      </c>
      <c r="D40" s="17">
        <f>IFERROR(__xludf.DUMMYFUNCTION("""COMPUTED_VALUE"""),567.45)</f>
        <v>567.45</v>
      </c>
      <c r="E40" s="16">
        <f>IFERROR(__xludf.DUMMYFUNCTION("""COMPUTED_VALUE"""),45799.6458333333)</f>
        <v>45799.6458333333</v>
      </c>
      <c r="F40" s="17">
        <f>IFERROR(__xludf.DUMMYFUNCTION("""COMPUTED_VALUE"""),1559623)</f>
        <v>1559623</v>
      </c>
      <c r="G40" s="16">
        <f>IFERROR(__xludf.DUMMYFUNCTION("""COMPUTED_VALUE"""),45799.6458333333)</f>
        <v>45799.6458333333</v>
      </c>
      <c r="H40" s="17">
        <f>IFERROR(__xludf.DUMMYFUNCTION("""COMPUTED_VALUE"""),569.25)</f>
        <v>569.25</v>
      </c>
      <c r="I40" s="16">
        <f>IFERROR(__xludf.DUMMYFUNCTION("""COMPUTED_VALUE"""),45799.6458333333)</f>
        <v>45799.6458333333</v>
      </c>
      <c r="J40" s="17">
        <f>IFERROR(__xludf.DUMMYFUNCTION("""COMPUTED_VALUE"""),561.6)</f>
        <v>561.6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IFERROR(__xludf.DUMMYFUNCTION("""COMPUTED_VALUE"""),570.9)</f>
        <v>570.9</v>
      </c>
      <c r="C41" s="16">
        <f>IFERROR(__xludf.DUMMYFUNCTION("""COMPUTED_VALUE"""),45800.6458333333)</f>
        <v>45800.6458333333</v>
      </c>
      <c r="D41" s="17">
        <f>IFERROR(__xludf.DUMMYFUNCTION("""COMPUTED_VALUE"""),567.75)</f>
        <v>567.75</v>
      </c>
      <c r="E41" s="16">
        <f>IFERROR(__xludf.DUMMYFUNCTION("""COMPUTED_VALUE"""),45800.6458333333)</f>
        <v>45800.6458333333</v>
      </c>
      <c r="F41" s="17">
        <f>IFERROR(__xludf.DUMMYFUNCTION("""COMPUTED_VALUE"""),1332383)</f>
        <v>1332383</v>
      </c>
      <c r="G41" s="16">
        <f>IFERROR(__xludf.DUMMYFUNCTION("""COMPUTED_VALUE"""),45800.6458333333)</f>
        <v>45800.6458333333</v>
      </c>
      <c r="H41" s="17">
        <f>IFERROR(__xludf.DUMMYFUNCTION("""COMPUTED_VALUE"""),576)</f>
        <v>576</v>
      </c>
      <c r="I41" s="16">
        <f>IFERROR(__xludf.DUMMYFUNCTION("""COMPUTED_VALUE"""),45800.6458333333)</f>
        <v>45800.6458333333</v>
      </c>
      <c r="J41" s="17">
        <f>IFERROR(__xludf.DUMMYFUNCTION("""COMPUTED_VALUE"""),566.25)</f>
        <v>566.25</v>
      </c>
      <c r="K41" s="3">
        <f t="shared" si="2"/>
        <v>570.9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IFERROR(__xludf.DUMMYFUNCTION("""COMPUTED_VALUE"""),567.15)</f>
        <v>567.15</v>
      </c>
      <c r="C42" s="16">
        <f>IFERROR(__xludf.DUMMYFUNCTION("""COMPUTED_VALUE"""),45803.6458333333)</f>
        <v>45803.6458333333</v>
      </c>
      <c r="D42" s="17">
        <f>IFERROR(__xludf.DUMMYFUNCTION("""COMPUTED_VALUE"""),571.35)</f>
        <v>571.35</v>
      </c>
      <c r="E42" s="16">
        <f>IFERROR(__xludf.DUMMYFUNCTION("""COMPUTED_VALUE"""),45803.6458333333)</f>
        <v>45803.6458333333</v>
      </c>
      <c r="F42" s="17">
        <f>IFERROR(__xludf.DUMMYFUNCTION("""COMPUTED_VALUE"""),1001361)</f>
        <v>1001361</v>
      </c>
      <c r="G42" s="16">
        <f>IFERROR(__xludf.DUMMYFUNCTION("""COMPUTED_VALUE"""),45803.6458333333)</f>
        <v>45803.6458333333</v>
      </c>
      <c r="H42" s="17">
        <f>IFERROR(__xludf.DUMMYFUNCTION("""COMPUTED_VALUE"""),576.35)</f>
        <v>576.35</v>
      </c>
      <c r="I42" s="16">
        <f>IFERROR(__xludf.DUMMYFUNCTION("""COMPUTED_VALUE"""),45803.6458333333)</f>
        <v>45803.6458333333</v>
      </c>
      <c r="J42" s="17">
        <f>IFERROR(__xludf.DUMMYFUNCTION("""COMPUTED_VALUE"""),564.4)</f>
        <v>564.4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IFERROR(__xludf.DUMMYFUNCTION("""COMPUTED_VALUE"""),562.7)</f>
        <v>562.7</v>
      </c>
      <c r="C43" s="16">
        <f>IFERROR(__xludf.DUMMYFUNCTION("""COMPUTED_VALUE"""),45804.6458333333)</f>
        <v>45804.6458333333</v>
      </c>
      <c r="D43" s="17">
        <f>IFERROR(__xludf.DUMMYFUNCTION("""COMPUTED_VALUE"""),567.15)</f>
        <v>567.15</v>
      </c>
      <c r="E43" s="16">
        <f>IFERROR(__xludf.DUMMYFUNCTION("""COMPUTED_VALUE"""),45804.6458333333)</f>
        <v>45804.6458333333</v>
      </c>
      <c r="F43" s="17">
        <f>IFERROR(__xludf.DUMMYFUNCTION("""COMPUTED_VALUE"""),1515100)</f>
        <v>1515100</v>
      </c>
      <c r="G43" s="16">
        <f>IFERROR(__xludf.DUMMYFUNCTION("""COMPUTED_VALUE"""),45804.6458333333)</f>
        <v>45804.6458333333</v>
      </c>
      <c r="H43" s="17">
        <f>IFERROR(__xludf.DUMMYFUNCTION("""COMPUTED_VALUE"""),568.9)</f>
        <v>568.9</v>
      </c>
      <c r="I43" s="16">
        <f>IFERROR(__xludf.DUMMYFUNCTION("""COMPUTED_VALUE"""),45804.6458333333)</f>
        <v>45804.6458333333</v>
      </c>
      <c r="J43" s="17">
        <f>IFERROR(__xludf.DUMMYFUNCTION("""COMPUTED_VALUE"""),558.8)</f>
        <v>558.8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IFERROR(__xludf.DUMMYFUNCTION("""COMPUTED_VALUE"""),561.65)</f>
        <v>561.65</v>
      </c>
      <c r="C44" s="16">
        <f>IFERROR(__xludf.DUMMYFUNCTION("""COMPUTED_VALUE"""),45805.6458333333)</f>
        <v>45805.6458333333</v>
      </c>
      <c r="D44" s="17">
        <f>IFERROR(__xludf.DUMMYFUNCTION("""COMPUTED_VALUE"""),562.7)</f>
        <v>562.7</v>
      </c>
      <c r="E44" s="16">
        <f>IFERROR(__xludf.DUMMYFUNCTION("""COMPUTED_VALUE"""),45805.6458333333)</f>
        <v>45805.6458333333</v>
      </c>
      <c r="F44" s="17">
        <f>IFERROR(__xludf.DUMMYFUNCTION("""COMPUTED_VALUE"""),1014166)</f>
        <v>1014166</v>
      </c>
      <c r="G44" s="16">
        <f>IFERROR(__xludf.DUMMYFUNCTION("""COMPUTED_VALUE"""),45805.6458333333)</f>
        <v>45805.6458333333</v>
      </c>
      <c r="H44" s="17">
        <f>IFERROR(__xludf.DUMMYFUNCTION("""COMPUTED_VALUE"""),567)</f>
        <v>567</v>
      </c>
      <c r="I44" s="16">
        <f>IFERROR(__xludf.DUMMYFUNCTION("""COMPUTED_VALUE"""),45805.6458333333)</f>
        <v>45805.6458333333</v>
      </c>
      <c r="J44" s="17">
        <f>IFERROR(__xludf.DUMMYFUNCTION("""COMPUTED_VALUE"""),558.65)</f>
        <v>558.65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IFERROR(__xludf.DUMMYFUNCTION("""COMPUTED_VALUE"""),561.45)</f>
        <v>561.45</v>
      </c>
      <c r="C45" s="16">
        <f>IFERROR(__xludf.DUMMYFUNCTION("""COMPUTED_VALUE"""),45806.6458333333)</f>
        <v>45806.6458333333</v>
      </c>
      <c r="D45" s="17">
        <f>IFERROR(__xludf.DUMMYFUNCTION("""COMPUTED_VALUE"""),561.95)</f>
        <v>561.95</v>
      </c>
      <c r="E45" s="16">
        <f>IFERROR(__xludf.DUMMYFUNCTION("""COMPUTED_VALUE"""),45806.6458333333)</f>
        <v>45806.6458333333</v>
      </c>
      <c r="F45" s="17">
        <f>IFERROR(__xludf.DUMMYFUNCTION("""COMPUTED_VALUE"""),1409636)</f>
        <v>1409636</v>
      </c>
      <c r="G45" s="16">
        <f>IFERROR(__xludf.DUMMYFUNCTION("""COMPUTED_VALUE"""),45806.6458333333)</f>
        <v>45806.6458333333</v>
      </c>
      <c r="H45" s="17">
        <f>IFERROR(__xludf.DUMMYFUNCTION("""COMPUTED_VALUE"""),563.8)</f>
        <v>563.8</v>
      </c>
      <c r="I45" s="16">
        <f>IFERROR(__xludf.DUMMYFUNCTION("""COMPUTED_VALUE"""),45806.6458333333)</f>
        <v>45806.6458333333</v>
      </c>
      <c r="J45" s="17">
        <f>IFERROR(__xludf.DUMMYFUNCTION("""COMPUTED_VALUE"""),555.7)</f>
        <v>555.7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IFERROR(__xludf.DUMMYFUNCTION("""COMPUTED_VALUE"""),553.5)</f>
        <v>553.5</v>
      </c>
      <c r="C46" s="16">
        <f>IFERROR(__xludf.DUMMYFUNCTION("""COMPUTED_VALUE"""),45807.6458333333)</f>
        <v>45807.6458333333</v>
      </c>
      <c r="D46" s="17">
        <f>IFERROR(__xludf.DUMMYFUNCTION("""COMPUTED_VALUE"""),561.45)</f>
        <v>561.45</v>
      </c>
      <c r="E46" s="16">
        <f>IFERROR(__xludf.DUMMYFUNCTION("""COMPUTED_VALUE"""),45807.6458333333)</f>
        <v>45807.6458333333</v>
      </c>
      <c r="F46" s="17">
        <f>IFERROR(__xludf.DUMMYFUNCTION("""COMPUTED_VALUE"""),2313117)</f>
        <v>2313117</v>
      </c>
      <c r="G46" s="16">
        <f>IFERROR(__xludf.DUMMYFUNCTION("""COMPUTED_VALUE"""),45807.6458333333)</f>
        <v>45807.6458333333</v>
      </c>
      <c r="H46" s="17">
        <f>IFERROR(__xludf.DUMMYFUNCTION("""COMPUTED_VALUE"""),563.25)</f>
        <v>563.25</v>
      </c>
      <c r="I46" s="16">
        <f>IFERROR(__xludf.DUMMYFUNCTION("""COMPUTED_VALUE"""),45807.6458333333)</f>
        <v>45807.6458333333</v>
      </c>
      <c r="J46" s="17">
        <f>IFERROR(__xludf.DUMMYFUNCTION("""COMPUTED_VALUE"""),551.3)</f>
        <v>551.3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IFERROR(__xludf.DUMMYFUNCTION("""COMPUTED_VALUE"""),555.55)</f>
        <v>555.55</v>
      </c>
      <c r="C47" s="16">
        <f>IFERROR(__xludf.DUMMYFUNCTION("""COMPUTED_VALUE"""),45810.6458333333)</f>
        <v>45810.6458333333</v>
      </c>
      <c r="D47" s="17">
        <f>IFERROR(__xludf.DUMMYFUNCTION("""COMPUTED_VALUE"""),553.55)</f>
        <v>553.55</v>
      </c>
      <c r="E47" s="16">
        <f>IFERROR(__xludf.DUMMYFUNCTION("""COMPUTED_VALUE"""),45810.6458333333)</f>
        <v>45810.6458333333</v>
      </c>
      <c r="F47" s="17">
        <f>IFERROR(__xludf.DUMMYFUNCTION("""COMPUTED_VALUE"""),1040982)</f>
        <v>1040982</v>
      </c>
      <c r="G47" s="16">
        <f>IFERROR(__xludf.DUMMYFUNCTION("""COMPUTED_VALUE"""),45810.6458333333)</f>
        <v>45810.6458333333</v>
      </c>
      <c r="H47" s="17">
        <f>IFERROR(__xludf.DUMMYFUNCTION("""COMPUTED_VALUE"""),559.55)</f>
        <v>559.55</v>
      </c>
      <c r="I47" s="16">
        <f>IFERROR(__xludf.DUMMYFUNCTION("""COMPUTED_VALUE"""),45810.6458333333)</f>
        <v>45810.6458333333</v>
      </c>
      <c r="J47" s="17">
        <f>IFERROR(__xludf.DUMMYFUNCTION("""COMPUTED_VALUE"""),549.15)</f>
        <v>549.15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IFERROR(__xludf.DUMMYFUNCTION("""COMPUTED_VALUE"""),552.4)</f>
        <v>552.4</v>
      </c>
      <c r="C48" s="16">
        <f>IFERROR(__xludf.DUMMYFUNCTION("""COMPUTED_VALUE"""),45811.6458333333)</f>
        <v>45811.6458333333</v>
      </c>
      <c r="D48" s="17">
        <f>IFERROR(__xludf.DUMMYFUNCTION("""COMPUTED_VALUE"""),553.8)</f>
        <v>553.8</v>
      </c>
      <c r="E48" s="16">
        <f>IFERROR(__xludf.DUMMYFUNCTION("""COMPUTED_VALUE"""),45811.6458333333)</f>
        <v>45811.6458333333</v>
      </c>
      <c r="F48" s="17">
        <f>IFERROR(__xludf.DUMMYFUNCTION("""COMPUTED_VALUE"""),1762430)</f>
        <v>1762430</v>
      </c>
      <c r="G48" s="16">
        <f>IFERROR(__xludf.DUMMYFUNCTION("""COMPUTED_VALUE"""),45811.6458333333)</f>
        <v>45811.6458333333</v>
      </c>
      <c r="H48" s="17">
        <f>IFERROR(__xludf.DUMMYFUNCTION("""COMPUTED_VALUE"""),557.5)</f>
        <v>557.5</v>
      </c>
      <c r="I48" s="16">
        <f>IFERROR(__xludf.DUMMYFUNCTION("""COMPUTED_VALUE"""),45811.6458333333)</f>
        <v>45811.6458333333</v>
      </c>
      <c r="J48" s="17">
        <f>IFERROR(__xludf.DUMMYFUNCTION("""COMPUTED_VALUE"""),548.1)</f>
        <v>548.1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IFERROR(__xludf.DUMMYFUNCTION("""COMPUTED_VALUE"""),552.45)</f>
        <v>552.45</v>
      </c>
      <c r="C49" s="16">
        <f>IFERROR(__xludf.DUMMYFUNCTION("""COMPUTED_VALUE"""),45812.6458333333)</f>
        <v>45812.6458333333</v>
      </c>
      <c r="D49" s="17">
        <f>IFERROR(__xludf.DUMMYFUNCTION("""COMPUTED_VALUE"""),550.6)</f>
        <v>550.6</v>
      </c>
      <c r="E49" s="16">
        <f>IFERROR(__xludf.DUMMYFUNCTION("""COMPUTED_VALUE"""),45812.6458333333)</f>
        <v>45812.6458333333</v>
      </c>
      <c r="F49" s="17">
        <f>IFERROR(__xludf.DUMMYFUNCTION("""COMPUTED_VALUE"""),3448423)</f>
        <v>3448423</v>
      </c>
      <c r="G49" s="16">
        <f>IFERROR(__xludf.DUMMYFUNCTION("""COMPUTED_VALUE"""),45812.6458333333)</f>
        <v>45812.6458333333</v>
      </c>
      <c r="H49" s="17">
        <f>IFERROR(__xludf.DUMMYFUNCTION("""COMPUTED_VALUE"""),554.8)</f>
        <v>554.8</v>
      </c>
      <c r="I49" s="16">
        <f>IFERROR(__xludf.DUMMYFUNCTION("""COMPUTED_VALUE"""),45812.6458333333)</f>
        <v>45812.6458333333</v>
      </c>
      <c r="J49" s="17">
        <f>IFERROR(__xludf.DUMMYFUNCTION("""COMPUTED_VALUE"""),547.5)</f>
        <v>547.5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IFERROR(__xludf.DUMMYFUNCTION("""COMPUTED_VALUE"""),550.15)</f>
        <v>550.15</v>
      </c>
      <c r="C50" s="16">
        <f>IFERROR(__xludf.DUMMYFUNCTION("""COMPUTED_VALUE"""),45813.6458333333)</f>
        <v>45813.6458333333</v>
      </c>
      <c r="D50" s="17">
        <f>IFERROR(__xludf.DUMMYFUNCTION("""COMPUTED_VALUE"""),552.5)</f>
        <v>552.5</v>
      </c>
      <c r="E50" s="16">
        <f>IFERROR(__xludf.DUMMYFUNCTION("""COMPUTED_VALUE"""),45813.6458333333)</f>
        <v>45813.6458333333</v>
      </c>
      <c r="F50" s="17">
        <f>IFERROR(__xludf.DUMMYFUNCTION("""COMPUTED_VALUE"""),1079232)</f>
        <v>1079232</v>
      </c>
      <c r="G50" s="16">
        <f>IFERROR(__xludf.DUMMYFUNCTION("""COMPUTED_VALUE"""),45813.6458333333)</f>
        <v>45813.6458333333</v>
      </c>
      <c r="H50" s="17">
        <f>IFERROR(__xludf.DUMMYFUNCTION("""COMPUTED_VALUE"""),556.5)</f>
        <v>556.5</v>
      </c>
      <c r="I50" s="16">
        <f>IFERROR(__xludf.DUMMYFUNCTION("""COMPUTED_VALUE"""),45813.6458333333)</f>
        <v>45813.6458333333</v>
      </c>
      <c r="J50" s="17">
        <f>IFERROR(__xludf.DUMMYFUNCTION("""COMPUTED_VALUE"""),549)</f>
        <v>549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IFERROR(__xludf.DUMMYFUNCTION("""COMPUTED_VALUE"""),555.15)</f>
        <v>555.15</v>
      </c>
      <c r="C51" s="16">
        <f>IFERROR(__xludf.DUMMYFUNCTION("""COMPUTED_VALUE"""),45814.6458333333)</f>
        <v>45814.6458333333</v>
      </c>
      <c r="D51" s="17">
        <f>IFERROR(__xludf.DUMMYFUNCTION("""COMPUTED_VALUE"""),551.25)</f>
        <v>551.25</v>
      </c>
      <c r="E51" s="16">
        <f>IFERROR(__xludf.DUMMYFUNCTION("""COMPUTED_VALUE"""),45814.6458333333)</f>
        <v>45814.6458333333</v>
      </c>
      <c r="F51" s="17">
        <f>IFERROR(__xludf.DUMMYFUNCTION("""COMPUTED_VALUE"""),2821698)</f>
        <v>2821698</v>
      </c>
      <c r="G51" s="16">
        <f>IFERROR(__xludf.DUMMYFUNCTION("""COMPUTED_VALUE"""),45814.6458333333)</f>
        <v>45814.6458333333</v>
      </c>
      <c r="H51" s="17">
        <f>IFERROR(__xludf.DUMMYFUNCTION("""COMPUTED_VALUE"""),557.2)</f>
        <v>557.2</v>
      </c>
      <c r="I51" s="16">
        <f>IFERROR(__xludf.DUMMYFUNCTION("""COMPUTED_VALUE"""),45814.6458333333)</f>
        <v>45814.6458333333</v>
      </c>
      <c r="J51" s="17">
        <f>IFERROR(__xludf.DUMMYFUNCTION("""COMPUTED_VALUE"""),549.3)</f>
        <v>549.3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IFERROR(__xludf.DUMMYFUNCTION("""COMPUTED_VALUE"""),560)</f>
        <v>560</v>
      </c>
      <c r="C52" s="16">
        <f>IFERROR(__xludf.DUMMYFUNCTION("""COMPUTED_VALUE"""),45817.6458333333)</f>
        <v>45817.6458333333</v>
      </c>
      <c r="D52" s="17">
        <f>IFERROR(__xludf.DUMMYFUNCTION("""COMPUTED_VALUE"""),563)</f>
        <v>563</v>
      </c>
      <c r="E52" s="16">
        <f>IFERROR(__xludf.DUMMYFUNCTION("""COMPUTED_VALUE"""),45817.6458333333)</f>
        <v>45817.6458333333</v>
      </c>
      <c r="F52" s="17">
        <f>IFERROR(__xludf.DUMMYFUNCTION("""COMPUTED_VALUE"""),3268930)</f>
        <v>3268930</v>
      </c>
      <c r="G52" s="16">
        <f>IFERROR(__xludf.DUMMYFUNCTION("""COMPUTED_VALUE"""),45817.6458333333)</f>
        <v>45817.6458333333</v>
      </c>
      <c r="H52" s="17">
        <f>IFERROR(__xludf.DUMMYFUNCTION("""COMPUTED_VALUE"""),563)</f>
        <v>563</v>
      </c>
      <c r="I52" s="16">
        <f>IFERROR(__xludf.DUMMYFUNCTION("""COMPUTED_VALUE"""),45817.6458333333)</f>
        <v>45817.6458333333</v>
      </c>
      <c r="J52" s="17">
        <f>IFERROR(__xludf.DUMMYFUNCTION("""COMPUTED_VALUE"""),554.15)</f>
        <v>554.15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IFERROR(__xludf.DUMMYFUNCTION("""COMPUTED_VALUE"""),561.1)</f>
        <v>561.1</v>
      </c>
      <c r="C53" s="16">
        <f>IFERROR(__xludf.DUMMYFUNCTION("""COMPUTED_VALUE"""),45818.6458333333)</f>
        <v>45818.6458333333</v>
      </c>
      <c r="D53" s="17">
        <f>IFERROR(__xludf.DUMMYFUNCTION("""COMPUTED_VALUE"""),564)</f>
        <v>564</v>
      </c>
      <c r="E53" s="16">
        <f>IFERROR(__xludf.DUMMYFUNCTION("""COMPUTED_VALUE"""),45818.6458333333)</f>
        <v>45818.6458333333</v>
      </c>
      <c r="F53" s="17">
        <f>IFERROR(__xludf.DUMMYFUNCTION("""COMPUTED_VALUE"""),3239799)</f>
        <v>3239799</v>
      </c>
      <c r="G53" s="16">
        <f>IFERROR(__xludf.DUMMYFUNCTION("""COMPUTED_VALUE"""),45818.6458333333)</f>
        <v>45818.6458333333</v>
      </c>
      <c r="H53" s="17">
        <f>IFERROR(__xludf.DUMMYFUNCTION("""COMPUTED_VALUE"""),566.5)</f>
        <v>566.5</v>
      </c>
      <c r="I53" s="16">
        <f>IFERROR(__xludf.DUMMYFUNCTION("""COMPUTED_VALUE"""),45818.6458333333)</f>
        <v>45818.6458333333</v>
      </c>
      <c r="J53" s="17">
        <f>IFERROR(__xludf.DUMMYFUNCTION("""COMPUTED_VALUE"""),558.5)</f>
        <v>558.5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IFERROR(__xludf.DUMMYFUNCTION("""COMPUTED_VALUE"""),561.25)</f>
        <v>561.25</v>
      </c>
      <c r="C54" s="16">
        <f>IFERROR(__xludf.DUMMYFUNCTION("""COMPUTED_VALUE"""),45819.6458333333)</f>
        <v>45819.6458333333</v>
      </c>
      <c r="D54" s="17">
        <f>IFERROR(__xludf.DUMMYFUNCTION("""COMPUTED_VALUE"""),562.55)</f>
        <v>562.55</v>
      </c>
      <c r="E54" s="16">
        <f>IFERROR(__xludf.DUMMYFUNCTION("""COMPUTED_VALUE"""),45819.6458333333)</f>
        <v>45819.6458333333</v>
      </c>
      <c r="F54" s="17">
        <f>IFERROR(__xludf.DUMMYFUNCTION("""COMPUTED_VALUE"""),2553077)</f>
        <v>2553077</v>
      </c>
      <c r="G54" s="16">
        <f>IFERROR(__xludf.DUMMYFUNCTION("""COMPUTED_VALUE"""),45819.6458333333)</f>
        <v>45819.6458333333</v>
      </c>
      <c r="H54" s="17">
        <f>IFERROR(__xludf.DUMMYFUNCTION("""COMPUTED_VALUE"""),567)</f>
        <v>567</v>
      </c>
      <c r="I54" s="16">
        <f>IFERROR(__xludf.DUMMYFUNCTION("""COMPUTED_VALUE"""),45819.6458333333)</f>
        <v>45819.6458333333</v>
      </c>
      <c r="J54" s="17">
        <f>IFERROR(__xludf.DUMMYFUNCTION("""COMPUTED_VALUE"""),556.5)</f>
        <v>556.5</v>
      </c>
      <c r="K54" s="3">
        <f t="shared" si="2"/>
        <v>561.25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IFERROR(__xludf.DUMMYFUNCTION("""COMPUTED_VALUE"""),548.35)</f>
        <v>548.35</v>
      </c>
      <c r="C55" s="16">
        <f>IFERROR(__xludf.DUMMYFUNCTION("""COMPUTED_VALUE"""),45820.6458333333)</f>
        <v>45820.6458333333</v>
      </c>
      <c r="D55" s="17">
        <f>IFERROR(__xludf.DUMMYFUNCTION("""COMPUTED_VALUE"""),563)</f>
        <v>563</v>
      </c>
      <c r="E55" s="16">
        <f>IFERROR(__xludf.DUMMYFUNCTION("""COMPUTED_VALUE"""),45820.6458333333)</f>
        <v>45820.6458333333</v>
      </c>
      <c r="F55" s="17">
        <f>IFERROR(__xludf.DUMMYFUNCTION("""COMPUTED_VALUE"""),1837409)</f>
        <v>1837409</v>
      </c>
      <c r="G55" s="16">
        <f>IFERROR(__xludf.DUMMYFUNCTION("""COMPUTED_VALUE"""),45820.6458333333)</f>
        <v>45820.6458333333</v>
      </c>
      <c r="H55" s="17">
        <f>IFERROR(__xludf.DUMMYFUNCTION("""COMPUTED_VALUE"""),563.6)</f>
        <v>563.6</v>
      </c>
      <c r="I55" s="16">
        <f>IFERROR(__xludf.DUMMYFUNCTION("""COMPUTED_VALUE"""),45820.6458333333)</f>
        <v>45820.6458333333</v>
      </c>
      <c r="J55" s="17">
        <f>IFERROR(__xludf.DUMMYFUNCTION("""COMPUTED_VALUE"""),545.1)</f>
        <v>545.1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IFERROR(__xludf.DUMMYFUNCTION("""COMPUTED_VALUE"""),542.5)</f>
        <v>542.5</v>
      </c>
      <c r="C56" s="16">
        <f>IFERROR(__xludf.DUMMYFUNCTION("""COMPUTED_VALUE"""),45821.6458333333)</f>
        <v>45821.6458333333</v>
      </c>
      <c r="D56" s="17">
        <f>IFERROR(__xludf.DUMMYFUNCTION("""COMPUTED_VALUE"""),541)</f>
        <v>541</v>
      </c>
      <c r="E56" s="16">
        <f>IFERROR(__xludf.DUMMYFUNCTION("""COMPUTED_VALUE"""),45821.6458333333)</f>
        <v>45821.6458333333</v>
      </c>
      <c r="F56" s="17">
        <f>IFERROR(__xludf.DUMMYFUNCTION("""COMPUTED_VALUE"""),1348657)</f>
        <v>1348657</v>
      </c>
      <c r="G56" s="16">
        <f>IFERROR(__xludf.DUMMYFUNCTION("""COMPUTED_VALUE"""),45821.6458333333)</f>
        <v>45821.6458333333</v>
      </c>
      <c r="H56" s="17">
        <f>IFERROR(__xludf.DUMMYFUNCTION("""COMPUTED_VALUE"""),546.7)</f>
        <v>546.7</v>
      </c>
      <c r="I56" s="16">
        <f>IFERROR(__xludf.DUMMYFUNCTION("""COMPUTED_VALUE"""),45821.6458333333)</f>
        <v>45821.6458333333</v>
      </c>
      <c r="J56" s="17">
        <f>IFERROR(__xludf.DUMMYFUNCTION("""COMPUTED_VALUE"""),536.05)</f>
        <v>536.05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IFERROR(__xludf.DUMMYFUNCTION("""COMPUTED_VALUE"""),550.15)</f>
        <v>550.15</v>
      </c>
      <c r="C57" s="16">
        <f>IFERROR(__xludf.DUMMYFUNCTION("""COMPUTED_VALUE"""),45824.6458333333)</f>
        <v>45824.6458333333</v>
      </c>
      <c r="D57" s="17">
        <f>IFERROR(__xludf.DUMMYFUNCTION("""COMPUTED_VALUE"""),543.95)</f>
        <v>543.95</v>
      </c>
      <c r="E57" s="16">
        <f>IFERROR(__xludf.DUMMYFUNCTION("""COMPUTED_VALUE"""),45824.6458333333)</f>
        <v>45824.6458333333</v>
      </c>
      <c r="F57" s="17">
        <f>IFERROR(__xludf.DUMMYFUNCTION("""COMPUTED_VALUE"""),1253497)</f>
        <v>1253497</v>
      </c>
      <c r="G57" s="16">
        <f>IFERROR(__xludf.DUMMYFUNCTION("""COMPUTED_VALUE"""),45824.6458333333)</f>
        <v>45824.6458333333</v>
      </c>
      <c r="H57" s="17">
        <f>IFERROR(__xludf.DUMMYFUNCTION("""COMPUTED_VALUE"""),552.9)</f>
        <v>552.9</v>
      </c>
      <c r="I57" s="16">
        <f>IFERROR(__xludf.DUMMYFUNCTION("""COMPUTED_VALUE"""),45824.6458333333)</f>
        <v>45824.6458333333</v>
      </c>
      <c r="J57" s="17">
        <f>IFERROR(__xludf.DUMMYFUNCTION("""COMPUTED_VALUE"""),537.3)</f>
        <v>537.3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IFERROR(__xludf.DUMMYFUNCTION("""COMPUTED_VALUE"""),550.9)</f>
        <v>550.9</v>
      </c>
      <c r="C58" s="16">
        <f>IFERROR(__xludf.DUMMYFUNCTION("""COMPUTED_VALUE"""),45825.6458333333)</f>
        <v>45825.6458333333</v>
      </c>
      <c r="D58" s="17">
        <f>IFERROR(__xludf.DUMMYFUNCTION("""COMPUTED_VALUE"""),551)</f>
        <v>551</v>
      </c>
      <c r="E58" s="16">
        <f>IFERROR(__xludf.DUMMYFUNCTION("""COMPUTED_VALUE"""),45825.6458333333)</f>
        <v>45825.6458333333</v>
      </c>
      <c r="F58" s="17">
        <f>IFERROR(__xludf.DUMMYFUNCTION("""COMPUTED_VALUE"""),1406479)</f>
        <v>1406479</v>
      </c>
      <c r="G58" s="16">
        <f>IFERROR(__xludf.DUMMYFUNCTION("""COMPUTED_VALUE"""),45825.6458333333)</f>
        <v>45825.6458333333</v>
      </c>
      <c r="H58" s="17">
        <f>IFERROR(__xludf.DUMMYFUNCTION("""COMPUTED_VALUE"""),556.6)</f>
        <v>556.6</v>
      </c>
      <c r="I58" s="16">
        <f>IFERROR(__xludf.DUMMYFUNCTION("""COMPUTED_VALUE"""),45825.6458333333)</f>
        <v>45825.6458333333</v>
      </c>
      <c r="J58" s="17">
        <f>IFERROR(__xludf.DUMMYFUNCTION("""COMPUTED_VALUE"""),546.8)</f>
        <v>546.8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IFERROR(__xludf.DUMMYFUNCTION("""COMPUTED_VALUE"""),545.05)</f>
        <v>545.05</v>
      </c>
      <c r="C59" s="16">
        <f>IFERROR(__xludf.DUMMYFUNCTION("""COMPUTED_VALUE"""),45826.6458333333)</f>
        <v>45826.6458333333</v>
      </c>
      <c r="D59" s="17">
        <f>IFERROR(__xludf.DUMMYFUNCTION("""COMPUTED_VALUE"""),552.65)</f>
        <v>552.65</v>
      </c>
      <c r="E59" s="16">
        <f>IFERROR(__xludf.DUMMYFUNCTION("""COMPUTED_VALUE"""),45826.6458333333)</f>
        <v>45826.6458333333</v>
      </c>
      <c r="F59" s="17">
        <f>IFERROR(__xludf.DUMMYFUNCTION("""COMPUTED_VALUE"""),568472)</f>
        <v>568472</v>
      </c>
      <c r="G59" s="16">
        <f>IFERROR(__xludf.DUMMYFUNCTION("""COMPUTED_VALUE"""),45826.6458333333)</f>
        <v>45826.6458333333</v>
      </c>
      <c r="H59" s="17">
        <f>IFERROR(__xludf.DUMMYFUNCTION("""COMPUTED_VALUE"""),553.15)</f>
        <v>553.15</v>
      </c>
      <c r="I59" s="16">
        <f>IFERROR(__xludf.DUMMYFUNCTION("""COMPUTED_VALUE"""),45826.6458333333)</f>
        <v>45826.6458333333</v>
      </c>
      <c r="J59" s="17">
        <f>IFERROR(__xludf.DUMMYFUNCTION("""COMPUTED_VALUE"""),543.7)</f>
        <v>543.7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IFERROR(__xludf.DUMMYFUNCTION("""COMPUTED_VALUE"""),532.8)</f>
        <v>532.8</v>
      </c>
      <c r="C60" s="16">
        <f>IFERROR(__xludf.DUMMYFUNCTION("""COMPUTED_VALUE"""),45827.6458333333)</f>
        <v>45827.6458333333</v>
      </c>
      <c r="D60" s="17">
        <f>IFERROR(__xludf.DUMMYFUNCTION("""COMPUTED_VALUE"""),545.05)</f>
        <v>545.05</v>
      </c>
      <c r="E60" s="16">
        <f>IFERROR(__xludf.DUMMYFUNCTION("""COMPUTED_VALUE"""),45827.6458333333)</f>
        <v>45827.6458333333</v>
      </c>
      <c r="F60" s="17">
        <f>IFERROR(__xludf.DUMMYFUNCTION("""COMPUTED_VALUE"""),1961693)</f>
        <v>1961693</v>
      </c>
      <c r="G60" s="16">
        <f>IFERROR(__xludf.DUMMYFUNCTION("""COMPUTED_VALUE"""),45827.6458333333)</f>
        <v>45827.6458333333</v>
      </c>
      <c r="H60" s="17">
        <f>IFERROR(__xludf.DUMMYFUNCTION("""COMPUTED_VALUE"""),546.45)</f>
        <v>546.45</v>
      </c>
      <c r="I60" s="16">
        <f>IFERROR(__xludf.DUMMYFUNCTION("""COMPUTED_VALUE"""),45827.6458333333)</f>
        <v>45827.6458333333</v>
      </c>
      <c r="J60" s="17">
        <f>IFERROR(__xludf.DUMMYFUNCTION("""COMPUTED_VALUE"""),531)</f>
        <v>531</v>
      </c>
      <c r="K60" s="3">
        <f t="shared" si="2"/>
        <v>0</v>
      </c>
      <c r="L60" s="3">
        <f t="shared" si="3"/>
        <v>532.8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IFERROR(__xludf.DUMMYFUNCTION("""COMPUTED_VALUE"""),533.45)</f>
        <v>533.45</v>
      </c>
      <c r="C61" s="16">
        <f>IFERROR(__xludf.DUMMYFUNCTION("""COMPUTED_VALUE"""),45828.6458333333)</f>
        <v>45828.6458333333</v>
      </c>
      <c r="D61" s="17">
        <f>IFERROR(__xludf.DUMMYFUNCTION("""COMPUTED_VALUE"""),532.75)</f>
        <v>532.75</v>
      </c>
      <c r="E61" s="16">
        <f>IFERROR(__xludf.DUMMYFUNCTION("""COMPUTED_VALUE"""),45828.6458333333)</f>
        <v>45828.6458333333</v>
      </c>
      <c r="F61" s="17">
        <f>IFERROR(__xludf.DUMMYFUNCTION("""COMPUTED_VALUE"""),2656096)</f>
        <v>2656096</v>
      </c>
      <c r="G61" s="16">
        <f>IFERROR(__xludf.DUMMYFUNCTION("""COMPUTED_VALUE"""),45828.6458333333)</f>
        <v>45828.6458333333</v>
      </c>
      <c r="H61" s="17">
        <f>IFERROR(__xludf.DUMMYFUNCTION("""COMPUTED_VALUE"""),535.65)</f>
        <v>535.65</v>
      </c>
      <c r="I61" s="16">
        <f>IFERROR(__xludf.DUMMYFUNCTION("""COMPUTED_VALUE"""),45828.6458333333)</f>
        <v>45828.6458333333</v>
      </c>
      <c r="J61" s="17">
        <f>IFERROR(__xludf.DUMMYFUNCTION("""COMPUTED_VALUE"""),528.45)</f>
        <v>528.45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IFERROR(__xludf.DUMMYFUNCTION("""COMPUTED_VALUE"""),535.55)</f>
        <v>535.55</v>
      </c>
      <c r="C62" s="16">
        <f>IFERROR(__xludf.DUMMYFUNCTION("""COMPUTED_VALUE"""),45831.6458333333)</f>
        <v>45831.6458333333</v>
      </c>
      <c r="D62" s="17">
        <f>IFERROR(__xludf.DUMMYFUNCTION("""COMPUTED_VALUE"""),530)</f>
        <v>530</v>
      </c>
      <c r="E62" s="16">
        <f>IFERROR(__xludf.DUMMYFUNCTION("""COMPUTED_VALUE"""),45831.6458333333)</f>
        <v>45831.6458333333</v>
      </c>
      <c r="F62" s="17">
        <f>IFERROR(__xludf.DUMMYFUNCTION("""COMPUTED_VALUE"""),1012046)</f>
        <v>1012046</v>
      </c>
      <c r="G62" s="16">
        <f>IFERROR(__xludf.DUMMYFUNCTION("""COMPUTED_VALUE"""),45831.6458333333)</f>
        <v>45831.6458333333</v>
      </c>
      <c r="H62" s="17">
        <f>IFERROR(__xludf.DUMMYFUNCTION("""COMPUTED_VALUE"""),539.5)</f>
        <v>539.5</v>
      </c>
      <c r="I62" s="16">
        <f>IFERROR(__xludf.DUMMYFUNCTION("""COMPUTED_VALUE"""),45831.6458333333)</f>
        <v>45831.6458333333</v>
      </c>
      <c r="J62" s="17">
        <f>IFERROR(__xludf.DUMMYFUNCTION("""COMPUTED_VALUE"""),528.45)</f>
        <v>528.45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IFERROR(__xludf.DUMMYFUNCTION("""COMPUTED_VALUE"""),554.2)</f>
        <v>554.2</v>
      </c>
      <c r="C63" s="16">
        <f>IFERROR(__xludf.DUMMYFUNCTION("""COMPUTED_VALUE"""),45832.6458333333)</f>
        <v>45832.6458333333</v>
      </c>
      <c r="D63" s="17">
        <f>IFERROR(__xludf.DUMMYFUNCTION("""COMPUTED_VALUE"""),539)</f>
        <v>539</v>
      </c>
      <c r="E63" s="16">
        <f>IFERROR(__xludf.DUMMYFUNCTION("""COMPUTED_VALUE"""),45832.6458333333)</f>
        <v>45832.6458333333</v>
      </c>
      <c r="F63" s="17">
        <f>IFERROR(__xludf.DUMMYFUNCTION("""COMPUTED_VALUE"""),5719088)</f>
        <v>5719088</v>
      </c>
      <c r="G63" s="16">
        <f>IFERROR(__xludf.DUMMYFUNCTION("""COMPUTED_VALUE"""),45832.6458333333)</f>
        <v>45832.6458333333</v>
      </c>
      <c r="H63" s="17">
        <f>IFERROR(__xludf.DUMMYFUNCTION("""COMPUTED_VALUE"""),562.8)</f>
        <v>562.8</v>
      </c>
      <c r="I63" s="16">
        <f>IFERROR(__xludf.DUMMYFUNCTION("""COMPUTED_VALUE"""),45832.6458333333)</f>
        <v>45832.6458333333</v>
      </c>
      <c r="J63" s="17">
        <f>IFERROR(__xludf.DUMMYFUNCTION("""COMPUTED_VALUE"""),539)</f>
        <v>539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IFERROR(__xludf.DUMMYFUNCTION("""COMPUTED_VALUE"""),559.4)</f>
        <v>559.4</v>
      </c>
      <c r="C64" s="16">
        <f>IFERROR(__xludf.DUMMYFUNCTION("""COMPUTED_VALUE"""),45833.6458333333)</f>
        <v>45833.6458333333</v>
      </c>
      <c r="D64" s="17">
        <f>IFERROR(__xludf.DUMMYFUNCTION("""COMPUTED_VALUE"""),556.9)</f>
        <v>556.9</v>
      </c>
      <c r="E64" s="16">
        <f>IFERROR(__xludf.DUMMYFUNCTION("""COMPUTED_VALUE"""),45833.6458333333)</f>
        <v>45833.6458333333</v>
      </c>
      <c r="F64" s="17">
        <f>IFERROR(__xludf.DUMMYFUNCTION("""COMPUTED_VALUE"""),2448107)</f>
        <v>2448107</v>
      </c>
      <c r="G64" s="16">
        <f>IFERROR(__xludf.DUMMYFUNCTION("""COMPUTED_VALUE"""),45833.6458333333)</f>
        <v>45833.6458333333</v>
      </c>
      <c r="H64" s="17">
        <f>IFERROR(__xludf.DUMMYFUNCTION("""COMPUTED_VALUE"""),560.7)</f>
        <v>560.7</v>
      </c>
      <c r="I64" s="16">
        <f>IFERROR(__xludf.DUMMYFUNCTION("""COMPUTED_VALUE"""),45833.6458333333)</f>
        <v>45833.6458333333</v>
      </c>
      <c r="J64" s="17">
        <f>IFERROR(__xludf.DUMMYFUNCTION("""COMPUTED_VALUE"""),551.3)</f>
        <v>551.3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IFERROR(__xludf.DUMMYFUNCTION("""COMPUTED_VALUE"""),566.75)</f>
        <v>566.75</v>
      </c>
      <c r="C65" s="16">
        <f>IFERROR(__xludf.DUMMYFUNCTION("""COMPUTED_VALUE"""),45834.6458333333)</f>
        <v>45834.6458333333</v>
      </c>
      <c r="D65" s="17">
        <f>IFERROR(__xludf.DUMMYFUNCTION("""COMPUTED_VALUE"""),562)</f>
        <v>562</v>
      </c>
      <c r="E65" s="16">
        <f>IFERROR(__xludf.DUMMYFUNCTION("""COMPUTED_VALUE"""),45834.6458333333)</f>
        <v>45834.6458333333</v>
      </c>
      <c r="F65" s="17">
        <f>IFERROR(__xludf.DUMMYFUNCTION("""COMPUTED_VALUE"""),3048051)</f>
        <v>3048051</v>
      </c>
      <c r="G65" s="16">
        <f>IFERROR(__xludf.DUMMYFUNCTION("""COMPUTED_VALUE"""),45834.6458333333)</f>
        <v>45834.6458333333</v>
      </c>
      <c r="H65" s="17">
        <f>IFERROR(__xludf.DUMMYFUNCTION("""COMPUTED_VALUE"""),569.4)</f>
        <v>569.4</v>
      </c>
      <c r="I65" s="16">
        <f>IFERROR(__xludf.DUMMYFUNCTION("""COMPUTED_VALUE"""),45834.6458333333)</f>
        <v>45834.6458333333</v>
      </c>
      <c r="J65" s="17">
        <f>IFERROR(__xludf.DUMMYFUNCTION("""COMPUTED_VALUE"""),558.95)</f>
        <v>558.95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IFERROR(__xludf.DUMMYFUNCTION("""COMPUTED_VALUE"""),574.95)</f>
        <v>574.95</v>
      </c>
      <c r="C66" s="16">
        <f>IFERROR(__xludf.DUMMYFUNCTION("""COMPUTED_VALUE"""),45835.6458333333)</f>
        <v>45835.6458333333</v>
      </c>
      <c r="D66" s="17">
        <f>IFERROR(__xludf.DUMMYFUNCTION("""COMPUTED_VALUE"""),569.5)</f>
        <v>569.5</v>
      </c>
      <c r="E66" s="16">
        <f>IFERROR(__xludf.DUMMYFUNCTION("""COMPUTED_VALUE"""),45835.6458333333)</f>
        <v>45835.6458333333</v>
      </c>
      <c r="F66" s="17">
        <f>IFERROR(__xludf.DUMMYFUNCTION("""COMPUTED_VALUE"""),3563465)</f>
        <v>3563465</v>
      </c>
      <c r="G66" s="16">
        <f>IFERROR(__xludf.DUMMYFUNCTION("""COMPUTED_VALUE"""),45835.6458333333)</f>
        <v>45835.6458333333</v>
      </c>
      <c r="H66" s="17">
        <f>IFERROR(__xludf.DUMMYFUNCTION("""COMPUTED_VALUE"""),579.75)</f>
        <v>579.75</v>
      </c>
      <c r="I66" s="16">
        <f>IFERROR(__xludf.DUMMYFUNCTION("""COMPUTED_VALUE"""),45835.6458333333)</f>
        <v>45835.6458333333</v>
      </c>
      <c r="J66" s="17">
        <f>IFERROR(__xludf.DUMMYFUNCTION("""COMPUTED_VALUE"""),565.1)</f>
        <v>565.1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IFERROR(__xludf.DUMMYFUNCTION("""COMPUTED_VALUE"""),577.45)</f>
        <v>577.45</v>
      </c>
      <c r="C67" s="16">
        <f>IFERROR(__xludf.DUMMYFUNCTION("""COMPUTED_VALUE"""),45838.6458333333)</f>
        <v>45838.6458333333</v>
      </c>
      <c r="D67" s="17">
        <f>IFERROR(__xludf.DUMMYFUNCTION("""COMPUTED_VALUE"""),575.05)</f>
        <v>575.05</v>
      </c>
      <c r="E67" s="16">
        <f>IFERROR(__xludf.DUMMYFUNCTION("""COMPUTED_VALUE"""),45838.6458333333)</f>
        <v>45838.6458333333</v>
      </c>
      <c r="F67" s="17">
        <f>IFERROR(__xludf.DUMMYFUNCTION("""COMPUTED_VALUE"""),2003633)</f>
        <v>2003633</v>
      </c>
      <c r="G67" s="16">
        <f>IFERROR(__xludf.DUMMYFUNCTION("""COMPUTED_VALUE"""),45838.6458333333)</f>
        <v>45838.6458333333</v>
      </c>
      <c r="H67" s="17">
        <f>IFERROR(__xludf.DUMMYFUNCTION("""COMPUTED_VALUE"""),579.05)</f>
        <v>579.05</v>
      </c>
      <c r="I67" s="16">
        <f>IFERROR(__xludf.DUMMYFUNCTION("""COMPUTED_VALUE"""),45838.6458333333)</f>
        <v>45838.6458333333</v>
      </c>
      <c r="J67" s="17">
        <f>IFERROR(__xludf.DUMMYFUNCTION("""COMPUTED_VALUE"""),572.2)</f>
        <v>572.2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IFERROR(__xludf.DUMMYFUNCTION("""COMPUTED_VALUE"""),580.25)</f>
        <v>580.25</v>
      </c>
      <c r="C68" s="16">
        <f>IFERROR(__xludf.DUMMYFUNCTION("""COMPUTED_VALUE"""),45839.6458333333)</f>
        <v>45839.6458333333</v>
      </c>
      <c r="D68" s="17">
        <f>IFERROR(__xludf.DUMMYFUNCTION("""COMPUTED_VALUE"""),582)</f>
        <v>582</v>
      </c>
      <c r="E68" s="16">
        <f>IFERROR(__xludf.DUMMYFUNCTION("""COMPUTED_VALUE"""),45839.6458333333)</f>
        <v>45839.6458333333</v>
      </c>
      <c r="F68" s="17">
        <f>IFERROR(__xludf.DUMMYFUNCTION("""COMPUTED_VALUE"""),2877528)</f>
        <v>2877528</v>
      </c>
      <c r="G68" s="16">
        <f>IFERROR(__xludf.DUMMYFUNCTION("""COMPUTED_VALUE"""),45839.6458333333)</f>
        <v>45839.6458333333</v>
      </c>
      <c r="H68" s="17">
        <f>IFERROR(__xludf.DUMMYFUNCTION("""COMPUTED_VALUE"""),587.8)</f>
        <v>587.8</v>
      </c>
      <c r="I68" s="16">
        <f>IFERROR(__xludf.DUMMYFUNCTION("""COMPUTED_VALUE"""),45839.6458333333)</f>
        <v>45839.6458333333</v>
      </c>
      <c r="J68" s="17">
        <f>IFERROR(__xludf.DUMMYFUNCTION("""COMPUTED_VALUE"""),578.6)</f>
        <v>578.6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IFERROR(__xludf.DUMMYFUNCTION("""COMPUTED_VALUE"""),594.2)</f>
        <v>594.2</v>
      </c>
      <c r="C69" s="16">
        <f>IFERROR(__xludf.DUMMYFUNCTION("""COMPUTED_VALUE"""),45840.6458333333)</f>
        <v>45840.6458333333</v>
      </c>
      <c r="D69" s="17">
        <f>IFERROR(__xludf.DUMMYFUNCTION("""COMPUTED_VALUE"""),582)</f>
        <v>582</v>
      </c>
      <c r="E69" s="16">
        <f>IFERROR(__xludf.DUMMYFUNCTION("""COMPUTED_VALUE"""),45840.6458333333)</f>
        <v>45840.6458333333</v>
      </c>
      <c r="F69" s="17">
        <f>IFERROR(__xludf.DUMMYFUNCTION("""COMPUTED_VALUE"""),3821770)</f>
        <v>3821770</v>
      </c>
      <c r="G69" s="16">
        <f>IFERROR(__xludf.DUMMYFUNCTION("""COMPUTED_VALUE"""),45840.6458333333)</f>
        <v>45840.6458333333</v>
      </c>
      <c r="H69" s="17">
        <f>IFERROR(__xludf.DUMMYFUNCTION("""COMPUTED_VALUE"""),597.6)</f>
        <v>597.6</v>
      </c>
      <c r="I69" s="16">
        <f>IFERROR(__xludf.DUMMYFUNCTION("""COMPUTED_VALUE"""),45840.6458333333)</f>
        <v>45840.6458333333</v>
      </c>
      <c r="J69" s="17">
        <f>IFERROR(__xludf.DUMMYFUNCTION("""COMPUTED_VALUE"""),581.55)</f>
        <v>581.55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IFERROR(__xludf.DUMMYFUNCTION("""COMPUTED_VALUE"""),588.75)</f>
        <v>588.75</v>
      </c>
      <c r="C70" s="16">
        <f>IFERROR(__xludf.DUMMYFUNCTION("""COMPUTED_VALUE"""),45841.6458333333)</f>
        <v>45841.6458333333</v>
      </c>
      <c r="D70" s="17">
        <f>IFERROR(__xludf.DUMMYFUNCTION("""COMPUTED_VALUE"""),596.45)</f>
        <v>596.45</v>
      </c>
      <c r="E70" s="16">
        <f>IFERROR(__xludf.DUMMYFUNCTION("""COMPUTED_VALUE"""),45841.6458333333)</f>
        <v>45841.6458333333</v>
      </c>
      <c r="F70" s="17">
        <f>IFERROR(__xludf.DUMMYFUNCTION("""COMPUTED_VALUE"""),1598094)</f>
        <v>1598094</v>
      </c>
      <c r="G70" s="16">
        <f>IFERROR(__xludf.DUMMYFUNCTION("""COMPUTED_VALUE"""),45841.6458333333)</f>
        <v>45841.6458333333</v>
      </c>
      <c r="H70" s="17">
        <f>IFERROR(__xludf.DUMMYFUNCTION("""COMPUTED_VALUE"""),597.2)</f>
        <v>597.2</v>
      </c>
      <c r="I70" s="16">
        <f>IFERROR(__xludf.DUMMYFUNCTION("""COMPUTED_VALUE"""),45841.6458333333)</f>
        <v>45841.6458333333</v>
      </c>
      <c r="J70" s="17">
        <f>IFERROR(__xludf.DUMMYFUNCTION("""COMPUTED_VALUE"""),585.35)</f>
        <v>585.35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IFERROR(__xludf.DUMMYFUNCTION("""COMPUTED_VALUE"""),595.75)</f>
        <v>595.75</v>
      </c>
      <c r="C71" s="16">
        <f>IFERROR(__xludf.DUMMYFUNCTION("""COMPUTED_VALUE"""),45842.6458333333)</f>
        <v>45842.6458333333</v>
      </c>
      <c r="D71" s="17">
        <f>IFERROR(__xludf.DUMMYFUNCTION("""COMPUTED_VALUE"""),588.75)</f>
        <v>588.75</v>
      </c>
      <c r="E71" s="16">
        <f>IFERROR(__xludf.DUMMYFUNCTION("""COMPUTED_VALUE"""),45842.6458333333)</f>
        <v>45842.6458333333</v>
      </c>
      <c r="F71" s="17">
        <f>IFERROR(__xludf.DUMMYFUNCTION("""COMPUTED_VALUE"""),2859715)</f>
        <v>2859715</v>
      </c>
      <c r="G71" s="16">
        <f>IFERROR(__xludf.DUMMYFUNCTION("""COMPUTED_VALUE"""),45842.6458333333)</f>
        <v>45842.6458333333</v>
      </c>
      <c r="H71" s="17">
        <f>IFERROR(__xludf.DUMMYFUNCTION("""COMPUTED_VALUE"""),601.75)</f>
        <v>601.75</v>
      </c>
      <c r="I71" s="16">
        <f>IFERROR(__xludf.DUMMYFUNCTION("""COMPUTED_VALUE"""),45842.6458333333)</f>
        <v>45842.6458333333</v>
      </c>
      <c r="J71" s="17">
        <f>IFERROR(__xludf.DUMMYFUNCTION("""COMPUTED_VALUE"""),588.75)</f>
        <v>588.75</v>
      </c>
      <c r="K71" s="3">
        <f t="shared" si="2"/>
        <v>595.75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IFERROR(__xludf.DUMMYFUNCTION("""COMPUTED_VALUE"""),592)</f>
        <v>592</v>
      </c>
      <c r="C72" s="16">
        <f>IFERROR(__xludf.DUMMYFUNCTION("""COMPUTED_VALUE"""),45845.6458333333)</f>
        <v>45845.6458333333</v>
      </c>
      <c r="D72" s="17">
        <f>IFERROR(__xludf.DUMMYFUNCTION("""COMPUTED_VALUE"""),596)</f>
        <v>596</v>
      </c>
      <c r="E72" s="16">
        <f>IFERROR(__xludf.DUMMYFUNCTION("""COMPUTED_VALUE"""),45845.6458333333)</f>
        <v>45845.6458333333</v>
      </c>
      <c r="F72" s="17">
        <f>IFERROR(__xludf.DUMMYFUNCTION("""COMPUTED_VALUE"""),2012247)</f>
        <v>2012247</v>
      </c>
      <c r="G72" s="16">
        <f>IFERROR(__xludf.DUMMYFUNCTION("""COMPUTED_VALUE"""),45845.6458333333)</f>
        <v>45845.6458333333</v>
      </c>
      <c r="H72" s="17">
        <f>IFERROR(__xludf.DUMMYFUNCTION("""COMPUTED_VALUE"""),596.85)</f>
        <v>596.85</v>
      </c>
      <c r="I72" s="16">
        <f>IFERROR(__xludf.DUMMYFUNCTION("""COMPUTED_VALUE"""),45845.6458333333)</f>
        <v>45845.6458333333</v>
      </c>
      <c r="J72" s="17">
        <f>IFERROR(__xludf.DUMMYFUNCTION("""COMPUTED_VALUE"""),585.3)</f>
        <v>585.3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IFERROR(__xludf.DUMMYFUNCTION("""COMPUTED_VALUE"""),591.55)</f>
        <v>591.55</v>
      </c>
      <c r="C73" s="16">
        <f>IFERROR(__xludf.DUMMYFUNCTION("""COMPUTED_VALUE"""),45846.6458333333)</f>
        <v>45846.6458333333</v>
      </c>
      <c r="D73" s="17">
        <f>IFERROR(__xludf.DUMMYFUNCTION("""COMPUTED_VALUE"""),591.8)</f>
        <v>591.8</v>
      </c>
      <c r="E73" s="16">
        <f>IFERROR(__xludf.DUMMYFUNCTION("""COMPUTED_VALUE"""),45846.6458333333)</f>
        <v>45846.6458333333</v>
      </c>
      <c r="F73" s="17">
        <f>IFERROR(__xludf.DUMMYFUNCTION("""COMPUTED_VALUE"""),2642997)</f>
        <v>2642997</v>
      </c>
      <c r="G73" s="16">
        <f>IFERROR(__xludf.DUMMYFUNCTION("""COMPUTED_VALUE"""),45846.6458333333)</f>
        <v>45846.6458333333</v>
      </c>
      <c r="H73" s="17">
        <f>IFERROR(__xludf.DUMMYFUNCTION("""COMPUTED_VALUE"""),592.95)</f>
        <v>592.95</v>
      </c>
      <c r="I73" s="16">
        <f>IFERROR(__xludf.DUMMYFUNCTION("""COMPUTED_VALUE"""),45846.6458333333)</f>
        <v>45846.6458333333</v>
      </c>
      <c r="J73" s="17">
        <f>IFERROR(__xludf.DUMMYFUNCTION("""COMPUTED_VALUE"""),580)</f>
        <v>580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IFERROR(__xludf.DUMMYFUNCTION("""COMPUTED_VALUE"""),590.35)</f>
        <v>590.35</v>
      </c>
      <c r="C74" s="16">
        <f>IFERROR(__xludf.DUMMYFUNCTION("""COMPUTED_VALUE"""),45847.6458333333)</f>
        <v>45847.6458333333</v>
      </c>
      <c r="D74" s="17">
        <f>IFERROR(__xludf.DUMMYFUNCTION("""COMPUTED_VALUE"""),591)</f>
        <v>591</v>
      </c>
      <c r="E74" s="16">
        <f>IFERROR(__xludf.DUMMYFUNCTION("""COMPUTED_VALUE"""),45847.6458333333)</f>
        <v>45847.6458333333</v>
      </c>
      <c r="F74" s="17">
        <f>IFERROR(__xludf.DUMMYFUNCTION("""COMPUTED_VALUE"""),1963293)</f>
        <v>1963293</v>
      </c>
      <c r="G74" s="16">
        <f>IFERROR(__xludf.DUMMYFUNCTION("""COMPUTED_VALUE"""),45847.6458333333)</f>
        <v>45847.6458333333</v>
      </c>
      <c r="H74" s="17">
        <f>IFERROR(__xludf.DUMMYFUNCTION("""COMPUTED_VALUE"""),595.95)</f>
        <v>595.95</v>
      </c>
      <c r="I74" s="16">
        <f>IFERROR(__xludf.DUMMYFUNCTION("""COMPUTED_VALUE"""),45847.6458333333)</f>
        <v>45847.6458333333</v>
      </c>
      <c r="J74" s="17">
        <f>IFERROR(__xludf.DUMMYFUNCTION("""COMPUTED_VALUE"""),589)</f>
        <v>589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IFERROR(__xludf.DUMMYFUNCTION("""COMPUTED_VALUE"""),585.4)</f>
        <v>585.4</v>
      </c>
      <c r="C75" s="16">
        <f>IFERROR(__xludf.DUMMYFUNCTION("""COMPUTED_VALUE"""),45848.6458333333)</f>
        <v>45848.6458333333</v>
      </c>
      <c r="D75" s="17">
        <f>IFERROR(__xludf.DUMMYFUNCTION("""COMPUTED_VALUE"""),594)</f>
        <v>594</v>
      </c>
      <c r="E75" s="16">
        <f>IFERROR(__xludf.DUMMYFUNCTION("""COMPUTED_VALUE"""),45848.6458333333)</f>
        <v>45848.6458333333</v>
      </c>
      <c r="F75" s="17">
        <f>IFERROR(__xludf.DUMMYFUNCTION("""COMPUTED_VALUE"""),3219282)</f>
        <v>3219282</v>
      </c>
      <c r="G75" s="16">
        <f>IFERROR(__xludf.DUMMYFUNCTION("""COMPUTED_VALUE"""),45848.6458333333)</f>
        <v>45848.6458333333</v>
      </c>
      <c r="H75" s="17">
        <f>IFERROR(__xludf.DUMMYFUNCTION("""COMPUTED_VALUE"""),594.85)</f>
        <v>594.85</v>
      </c>
      <c r="I75" s="16">
        <f>IFERROR(__xludf.DUMMYFUNCTION("""COMPUTED_VALUE"""),45848.6458333333)</f>
        <v>45848.6458333333</v>
      </c>
      <c r="J75" s="17">
        <f>IFERROR(__xludf.DUMMYFUNCTION("""COMPUTED_VALUE"""),580.1)</f>
        <v>580.1</v>
      </c>
      <c r="K75" s="3">
        <f t="shared" si="2"/>
        <v>0</v>
      </c>
      <c r="L75" s="3">
        <f t="shared" si="3"/>
        <v>585.4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IFERROR(__xludf.DUMMYFUNCTION("""COMPUTED_VALUE"""),587.15)</f>
        <v>587.15</v>
      </c>
      <c r="C76" s="16">
        <f>IFERROR(__xludf.DUMMYFUNCTION("""COMPUTED_VALUE"""),45849.6458333333)</f>
        <v>45849.6458333333</v>
      </c>
      <c r="D76" s="17">
        <f>IFERROR(__xludf.DUMMYFUNCTION("""COMPUTED_VALUE"""),585.1)</f>
        <v>585.1</v>
      </c>
      <c r="E76" s="16">
        <f>IFERROR(__xludf.DUMMYFUNCTION("""COMPUTED_VALUE"""),45849.6458333333)</f>
        <v>45849.6458333333</v>
      </c>
      <c r="F76" s="17">
        <f>IFERROR(__xludf.DUMMYFUNCTION("""COMPUTED_VALUE"""),1938933)</f>
        <v>1938933</v>
      </c>
      <c r="G76" s="16">
        <f>IFERROR(__xludf.DUMMYFUNCTION("""COMPUTED_VALUE"""),45849.6458333333)</f>
        <v>45849.6458333333</v>
      </c>
      <c r="H76" s="17">
        <f>IFERROR(__xludf.DUMMYFUNCTION("""COMPUTED_VALUE"""),591.9)</f>
        <v>591.9</v>
      </c>
      <c r="I76" s="16">
        <f>IFERROR(__xludf.DUMMYFUNCTION("""COMPUTED_VALUE"""),45849.6458333333)</f>
        <v>45849.6458333333</v>
      </c>
      <c r="J76" s="17">
        <f>IFERROR(__xludf.DUMMYFUNCTION("""COMPUTED_VALUE"""),583.25)</f>
        <v>583.25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IFERROR(__xludf.DUMMYFUNCTION("""COMPUTED_VALUE"""),590.15)</f>
        <v>590.15</v>
      </c>
      <c r="C77" s="16">
        <f>IFERROR(__xludf.DUMMYFUNCTION("""COMPUTED_VALUE"""),45852.6458333333)</f>
        <v>45852.6458333333</v>
      </c>
      <c r="D77" s="17">
        <f>IFERROR(__xludf.DUMMYFUNCTION("""COMPUTED_VALUE"""),586.75)</f>
        <v>586.75</v>
      </c>
      <c r="E77" s="16">
        <f>IFERROR(__xludf.DUMMYFUNCTION("""COMPUTED_VALUE"""),45852.6458333333)</f>
        <v>45852.6458333333</v>
      </c>
      <c r="F77" s="17">
        <f>IFERROR(__xludf.DUMMYFUNCTION("""COMPUTED_VALUE"""),1926899)</f>
        <v>1926899</v>
      </c>
      <c r="G77" s="16">
        <f>IFERROR(__xludf.DUMMYFUNCTION("""COMPUTED_VALUE"""),45852.6458333333)</f>
        <v>45852.6458333333</v>
      </c>
      <c r="H77" s="17">
        <f>IFERROR(__xludf.DUMMYFUNCTION("""COMPUTED_VALUE"""),591.4)</f>
        <v>591.4</v>
      </c>
      <c r="I77" s="16">
        <f>IFERROR(__xludf.DUMMYFUNCTION("""COMPUTED_VALUE"""),45852.6458333333)</f>
        <v>45852.6458333333</v>
      </c>
      <c r="J77" s="17">
        <f>IFERROR(__xludf.DUMMYFUNCTION("""COMPUTED_VALUE"""),584.5)</f>
        <v>584.5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IFERROR(__xludf.DUMMYFUNCTION("""COMPUTED_VALUE"""),593.1)</f>
        <v>593.1</v>
      </c>
      <c r="C78" s="16">
        <f>IFERROR(__xludf.DUMMYFUNCTION("""COMPUTED_VALUE"""),45853.6458333333)</f>
        <v>45853.6458333333</v>
      </c>
      <c r="D78" s="17">
        <f>IFERROR(__xludf.DUMMYFUNCTION("""COMPUTED_VALUE"""),591.65)</f>
        <v>591.65</v>
      </c>
      <c r="E78" s="16">
        <f>IFERROR(__xludf.DUMMYFUNCTION("""COMPUTED_VALUE"""),45853.6458333333)</f>
        <v>45853.6458333333</v>
      </c>
      <c r="F78" s="17">
        <f>IFERROR(__xludf.DUMMYFUNCTION("""COMPUTED_VALUE"""),1498073)</f>
        <v>1498073</v>
      </c>
      <c r="G78" s="16">
        <f>IFERROR(__xludf.DUMMYFUNCTION("""COMPUTED_VALUE"""),45853.6458333333)</f>
        <v>45853.6458333333</v>
      </c>
      <c r="H78" s="17">
        <f>IFERROR(__xludf.DUMMYFUNCTION("""COMPUTED_VALUE"""),594.8)</f>
        <v>594.8</v>
      </c>
      <c r="I78" s="16">
        <f>IFERROR(__xludf.DUMMYFUNCTION("""COMPUTED_VALUE"""),45853.6458333333)</f>
        <v>45853.6458333333</v>
      </c>
      <c r="J78" s="17">
        <f>IFERROR(__xludf.DUMMYFUNCTION("""COMPUTED_VALUE"""),588.35)</f>
        <v>588.35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IFERROR(__xludf.DUMMYFUNCTION("""COMPUTED_VALUE"""),595.5)</f>
        <v>595.5</v>
      </c>
      <c r="C79" s="16">
        <f>IFERROR(__xludf.DUMMYFUNCTION("""COMPUTED_VALUE"""),45854.6458333333)</f>
        <v>45854.6458333333</v>
      </c>
      <c r="D79" s="17">
        <f>IFERROR(__xludf.DUMMYFUNCTION("""COMPUTED_VALUE"""),593)</f>
        <v>593</v>
      </c>
      <c r="E79" s="16">
        <f>IFERROR(__xludf.DUMMYFUNCTION("""COMPUTED_VALUE"""),45854.6458333333)</f>
        <v>45854.6458333333</v>
      </c>
      <c r="F79" s="17">
        <f>IFERROR(__xludf.DUMMYFUNCTION("""COMPUTED_VALUE"""),1804740)</f>
        <v>1804740</v>
      </c>
      <c r="G79" s="16">
        <f>IFERROR(__xludf.DUMMYFUNCTION("""COMPUTED_VALUE"""),45854.6458333333)</f>
        <v>45854.6458333333</v>
      </c>
      <c r="H79" s="17">
        <f>IFERROR(__xludf.DUMMYFUNCTION("""COMPUTED_VALUE"""),597.25)</f>
        <v>597.25</v>
      </c>
      <c r="I79" s="16">
        <f>IFERROR(__xludf.DUMMYFUNCTION("""COMPUTED_VALUE"""),45854.6458333333)</f>
        <v>45854.6458333333</v>
      </c>
      <c r="J79" s="17">
        <f>IFERROR(__xludf.DUMMYFUNCTION("""COMPUTED_VALUE"""),586.05)</f>
        <v>586.05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IFERROR(__xludf.DUMMYFUNCTION("""COMPUTED_VALUE"""),594.6)</f>
        <v>594.6</v>
      </c>
      <c r="C80" s="16">
        <f>IFERROR(__xludf.DUMMYFUNCTION("""COMPUTED_VALUE"""),45855.6458333333)</f>
        <v>45855.6458333333</v>
      </c>
      <c r="D80" s="17">
        <f>IFERROR(__xludf.DUMMYFUNCTION("""COMPUTED_VALUE"""),595.4)</f>
        <v>595.4</v>
      </c>
      <c r="E80" s="16">
        <f>IFERROR(__xludf.DUMMYFUNCTION("""COMPUTED_VALUE"""),45855.6458333333)</f>
        <v>45855.6458333333</v>
      </c>
      <c r="F80" s="17">
        <f>IFERROR(__xludf.DUMMYFUNCTION("""COMPUTED_VALUE"""),1461633)</f>
        <v>1461633</v>
      </c>
      <c r="G80" s="16">
        <f>IFERROR(__xludf.DUMMYFUNCTION("""COMPUTED_VALUE"""),45855.6458333333)</f>
        <v>45855.6458333333</v>
      </c>
      <c r="H80" s="17">
        <f>IFERROR(__xludf.DUMMYFUNCTION("""COMPUTED_VALUE"""),595.85)</f>
        <v>595.85</v>
      </c>
      <c r="I80" s="16">
        <f>IFERROR(__xludf.DUMMYFUNCTION("""COMPUTED_VALUE"""),45855.6458333333)</f>
        <v>45855.6458333333</v>
      </c>
      <c r="J80" s="17">
        <f>IFERROR(__xludf.DUMMYFUNCTION("""COMPUTED_VALUE"""),589.5)</f>
        <v>589.5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IFERROR(__xludf.DUMMYFUNCTION("""COMPUTED_VALUE"""),596.7)</f>
        <v>596.7</v>
      </c>
      <c r="C81" s="16">
        <f>IFERROR(__xludf.DUMMYFUNCTION("""COMPUTED_VALUE"""),45856.6458333333)</f>
        <v>45856.6458333333</v>
      </c>
      <c r="D81" s="17">
        <f>IFERROR(__xludf.DUMMYFUNCTION("""COMPUTED_VALUE"""),595)</f>
        <v>595</v>
      </c>
      <c r="E81" s="16">
        <f>IFERROR(__xludf.DUMMYFUNCTION("""COMPUTED_VALUE"""),45856.6458333333)</f>
        <v>45856.6458333333</v>
      </c>
      <c r="F81" s="17">
        <f>IFERROR(__xludf.DUMMYFUNCTION("""COMPUTED_VALUE"""),2212885)</f>
        <v>2212885</v>
      </c>
      <c r="G81" s="16">
        <f>IFERROR(__xludf.DUMMYFUNCTION("""COMPUTED_VALUE"""),45856.6458333333)</f>
        <v>45856.6458333333</v>
      </c>
      <c r="H81" s="17">
        <f>IFERROR(__xludf.DUMMYFUNCTION("""COMPUTED_VALUE"""),599.75)</f>
        <v>599.75</v>
      </c>
      <c r="I81" s="16">
        <f>IFERROR(__xludf.DUMMYFUNCTION("""COMPUTED_VALUE"""),45856.6458333333)</f>
        <v>45856.6458333333</v>
      </c>
      <c r="J81" s="17">
        <f>IFERROR(__xludf.DUMMYFUNCTION("""COMPUTED_VALUE"""),591)</f>
        <v>591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IFERROR(__xludf.DUMMYFUNCTION("""COMPUTED_VALUE"""),613.25)</f>
        <v>613.25</v>
      </c>
      <c r="C82" s="16">
        <f>IFERROR(__xludf.DUMMYFUNCTION("""COMPUTED_VALUE"""),45859.6458333333)</f>
        <v>45859.6458333333</v>
      </c>
      <c r="D82" s="17">
        <f>IFERROR(__xludf.DUMMYFUNCTION("""COMPUTED_VALUE"""),599.35)</f>
        <v>599.35</v>
      </c>
      <c r="E82" s="16">
        <f>IFERROR(__xludf.DUMMYFUNCTION("""COMPUTED_VALUE"""),45859.6458333333)</f>
        <v>45859.6458333333</v>
      </c>
      <c r="F82" s="17">
        <f>IFERROR(__xludf.DUMMYFUNCTION("""COMPUTED_VALUE"""),4226198)</f>
        <v>4226198</v>
      </c>
      <c r="G82" s="16">
        <f>IFERROR(__xludf.DUMMYFUNCTION("""COMPUTED_VALUE"""),45859.6458333333)</f>
        <v>45859.6458333333</v>
      </c>
      <c r="H82" s="17">
        <f>IFERROR(__xludf.DUMMYFUNCTION("""COMPUTED_VALUE"""),614.9)</f>
        <v>614.9</v>
      </c>
      <c r="I82" s="16">
        <f>IFERROR(__xludf.DUMMYFUNCTION("""COMPUTED_VALUE"""),45859.6458333333)</f>
        <v>45859.6458333333</v>
      </c>
      <c r="J82" s="17">
        <f>IFERROR(__xludf.DUMMYFUNCTION("""COMPUTED_VALUE"""),597.15)</f>
        <v>597.15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IFERROR(__xludf.DUMMYFUNCTION("""COMPUTED_VALUE"""),620.55)</f>
        <v>620.55</v>
      </c>
      <c r="C83" s="16">
        <f>IFERROR(__xludf.DUMMYFUNCTION("""COMPUTED_VALUE"""),45860.6458333333)</f>
        <v>45860.6458333333</v>
      </c>
      <c r="D83" s="17">
        <f>IFERROR(__xludf.DUMMYFUNCTION("""COMPUTED_VALUE"""),615)</f>
        <v>615</v>
      </c>
      <c r="E83" s="16">
        <f>IFERROR(__xludf.DUMMYFUNCTION("""COMPUTED_VALUE"""),45860.6458333333)</f>
        <v>45860.6458333333</v>
      </c>
      <c r="F83" s="17">
        <f>IFERROR(__xludf.DUMMYFUNCTION("""COMPUTED_VALUE"""),5876411)</f>
        <v>5876411</v>
      </c>
      <c r="G83" s="16">
        <f>IFERROR(__xludf.DUMMYFUNCTION("""COMPUTED_VALUE"""),45860.6458333333)</f>
        <v>45860.6458333333</v>
      </c>
      <c r="H83" s="17">
        <f>IFERROR(__xludf.DUMMYFUNCTION("""COMPUTED_VALUE"""),624.95)</f>
        <v>624.95</v>
      </c>
      <c r="I83" s="16">
        <f>IFERROR(__xludf.DUMMYFUNCTION("""COMPUTED_VALUE"""),45860.6458333333)</f>
        <v>45860.6458333333</v>
      </c>
      <c r="J83" s="17">
        <f>IFERROR(__xludf.DUMMYFUNCTION("""COMPUTED_VALUE"""),613.8)</f>
        <v>613.8</v>
      </c>
      <c r="K83" s="3">
        <f t="shared" si="2"/>
        <v>620.55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IFERROR(__xludf.DUMMYFUNCTION("""COMPUTED_VALUE"""),620.4)</f>
        <v>620.4</v>
      </c>
      <c r="C84" s="16">
        <f>IFERROR(__xludf.DUMMYFUNCTION("""COMPUTED_VALUE"""),45861.6458333333)</f>
        <v>45861.6458333333</v>
      </c>
      <c r="D84" s="17">
        <f>IFERROR(__xludf.DUMMYFUNCTION("""COMPUTED_VALUE"""),623)</f>
        <v>623</v>
      </c>
      <c r="E84" s="16">
        <f>IFERROR(__xludf.DUMMYFUNCTION("""COMPUTED_VALUE"""),45861.6458333333)</f>
        <v>45861.6458333333</v>
      </c>
      <c r="F84" s="17">
        <f>IFERROR(__xludf.DUMMYFUNCTION("""COMPUTED_VALUE"""),1165692)</f>
        <v>1165692</v>
      </c>
      <c r="G84" s="16">
        <f>IFERROR(__xludf.DUMMYFUNCTION("""COMPUTED_VALUE"""),45861.6458333333)</f>
        <v>45861.6458333333</v>
      </c>
      <c r="H84" s="17">
        <f>IFERROR(__xludf.DUMMYFUNCTION("""COMPUTED_VALUE"""),623.7)</f>
        <v>623.7</v>
      </c>
      <c r="I84" s="16">
        <f>IFERROR(__xludf.DUMMYFUNCTION("""COMPUTED_VALUE"""),45861.6458333333)</f>
        <v>45861.6458333333</v>
      </c>
      <c r="J84" s="17">
        <f>IFERROR(__xludf.DUMMYFUNCTION("""COMPUTED_VALUE"""),613.5)</f>
        <v>613.5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IFERROR(__xludf.DUMMYFUNCTION("""COMPUTED_VALUE"""),620.4)</f>
        <v>620.4</v>
      </c>
      <c r="C85" s="16">
        <f>IFERROR(__xludf.DUMMYFUNCTION("""COMPUTED_VALUE"""),45862.6458333333)</f>
        <v>45862.6458333333</v>
      </c>
      <c r="D85" s="17">
        <f>IFERROR(__xludf.DUMMYFUNCTION("""COMPUTED_VALUE"""),620.4)</f>
        <v>620.4</v>
      </c>
      <c r="E85" s="16">
        <f>IFERROR(__xludf.DUMMYFUNCTION("""COMPUTED_VALUE"""),45862.6458333333)</f>
        <v>45862.6458333333</v>
      </c>
      <c r="F85" s="17">
        <f>IFERROR(__xludf.DUMMYFUNCTION("""COMPUTED_VALUE"""),1389419)</f>
        <v>1389419</v>
      </c>
      <c r="G85" s="16">
        <f>IFERROR(__xludf.DUMMYFUNCTION("""COMPUTED_VALUE"""),45862.6458333333)</f>
        <v>45862.6458333333</v>
      </c>
      <c r="H85" s="17">
        <f>IFERROR(__xludf.DUMMYFUNCTION("""COMPUTED_VALUE"""),623.35)</f>
        <v>623.35</v>
      </c>
      <c r="I85" s="16">
        <f>IFERROR(__xludf.DUMMYFUNCTION("""COMPUTED_VALUE"""),45862.6458333333)</f>
        <v>45862.6458333333</v>
      </c>
      <c r="J85" s="17">
        <f>IFERROR(__xludf.DUMMYFUNCTION("""COMPUTED_VALUE"""),616)</f>
        <v>616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IFERROR(__xludf.DUMMYFUNCTION("""COMPUTED_VALUE"""),613.1)</f>
        <v>613.1</v>
      </c>
      <c r="C86" s="16">
        <f>IFERROR(__xludf.DUMMYFUNCTION("""COMPUTED_VALUE"""),45863.6458333333)</f>
        <v>45863.6458333333</v>
      </c>
      <c r="D86" s="17">
        <f>IFERROR(__xludf.DUMMYFUNCTION("""COMPUTED_VALUE"""),617.4)</f>
        <v>617.4</v>
      </c>
      <c r="E86" s="16">
        <f>IFERROR(__xludf.DUMMYFUNCTION("""COMPUTED_VALUE"""),45863.6458333333)</f>
        <v>45863.6458333333</v>
      </c>
      <c r="F86" s="17">
        <f>IFERROR(__xludf.DUMMYFUNCTION("""COMPUTED_VALUE"""),2413503)</f>
        <v>2413503</v>
      </c>
      <c r="G86" s="16">
        <f>IFERROR(__xludf.DUMMYFUNCTION("""COMPUTED_VALUE"""),45863.6458333333)</f>
        <v>45863.6458333333</v>
      </c>
      <c r="H86" s="17">
        <f>IFERROR(__xludf.DUMMYFUNCTION("""COMPUTED_VALUE"""),619)</f>
        <v>619</v>
      </c>
      <c r="I86" s="16">
        <f>IFERROR(__xludf.DUMMYFUNCTION("""COMPUTED_VALUE"""),45863.6458333333)</f>
        <v>45863.6458333333</v>
      </c>
      <c r="J86" s="17">
        <f>IFERROR(__xludf.DUMMYFUNCTION("""COMPUTED_VALUE"""),609)</f>
        <v>609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IFERROR(__xludf.DUMMYFUNCTION("""COMPUTED_VALUE"""),611.05)</f>
        <v>611.05</v>
      </c>
      <c r="C87" s="16">
        <f>IFERROR(__xludf.DUMMYFUNCTION("""COMPUTED_VALUE"""),45866.6458333333)</f>
        <v>45866.6458333333</v>
      </c>
      <c r="D87" s="17">
        <f>IFERROR(__xludf.DUMMYFUNCTION("""COMPUTED_VALUE"""),611.9)</f>
        <v>611.9</v>
      </c>
      <c r="E87" s="16">
        <f>IFERROR(__xludf.DUMMYFUNCTION("""COMPUTED_VALUE"""),45866.6458333333)</f>
        <v>45866.6458333333</v>
      </c>
      <c r="F87" s="17">
        <f>IFERROR(__xludf.DUMMYFUNCTION("""COMPUTED_VALUE"""),1834138)</f>
        <v>1834138</v>
      </c>
      <c r="G87" s="16">
        <f>IFERROR(__xludf.DUMMYFUNCTION("""COMPUTED_VALUE"""),45866.6458333333)</f>
        <v>45866.6458333333</v>
      </c>
      <c r="H87" s="17">
        <f>IFERROR(__xludf.DUMMYFUNCTION("""COMPUTED_VALUE"""),619.95)</f>
        <v>619.95</v>
      </c>
      <c r="I87" s="16">
        <f>IFERROR(__xludf.DUMMYFUNCTION("""COMPUTED_VALUE"""),45866.6458333333)</f>
        <v>45866.6458333333</v>
      </c>
      <c r="J87" s="17">
        <f>IFERROR(__xludf.DUMMYFUNCTION("""COMPUTED_VALUE"""),606.2)</f>
        <v>606.2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IFERROR(__xludf.DUMMYFUNCTION("""COMPUTED_VALUE"""),610.05)</f>
        <v>610.05</v>
      </c>
      <c r="C88" s="16">
        <f>IFERROR(__xludf.DUMMYFUNCTION("""COMPUTED_VALUE"""),45867.6458333333)</f>
        <v>45867.6458333333</v>
      </c>
      <c r="D88" s="17">
        <f>IFERROR(__xludf.DUMMYFUNCTION("""COMPUTED_VALUE"""),610)</f>
        <v>610</v>
      </c>
      <c r="E88" s="16">
        <f>IFERROR(__xludf.DUMMYFUNCTION("""COMPUTED_VALUE"""),45867.6458333333)</f>
        <v>45867.6458333333</v>
      </c>
      <c r="F88" s="17">
        <f>IFERROR(__xludf.DUMMYFUNCTION("""COMPUTED_VALUE"""),3278602)</f>
        <v>3278602</v>
      </c>
      <c r="G88" s="16">
        <f>IFERROR(__xludf.DUMMYFUNCTION("""COMPUTED_VALUE"""),45867.6458333333)</f>
        <v>45867.6458333333</v>
      </c>
      <c r="H88" s="17">
        <f>IFERROR(__xludf.DUMMYFUNCTION("""COMPUTED_VALUE"""),612.4)</f>
        <v>612.4</v>
      </c>
      <c r="I88" s="16">
        <f>IFERROR(__xludf.DUMMYFUNCTION("""COMPUTED_VALUE"""),45867.6458333333)</f>
        <v>45867.6458333333</v>
      </c>
      <c r="J88" s="17">
        <f>IFERROR(__xludf.DUMMYFUNCTION("""COMPUTED_VALUE"""),602.65)</f>
        <v>602.65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IFERROR(__xludf.DUMMYFUNCTION("""COMPUTED_VALUE"""),617.85)</f>
        <v>617.85</v>
      </c>
      <c r="C89" s="16">
        <f>IFERROR(__xludf.DUMMYFUNCTION("""COMPUTED_VALUE"""),45868.6458333333)</f>
        <v>45868.6458333333</v>
      </c>
      <c r="D89" s="17">
        <f>IFERROR(__xludf.DUMMYFUNCTION("""COMPUTED_VALUE"""),612.95)</f>
        <v>612.95</v>
      </c>
      <c r="E89" s="16">
        <f>IFERROR(__xludf.DUMMYFUNCTION("""COMPUTED_VALUE"""),45868.6458333333)</f>
        <v>45868.6458333333</v>
      </c>
      <c r="F89" s="17">
        <f>IFERROR(__xludf.DUMMYFUNCTION("""COMPUTED_VALUE"""),2616022)</f>
        <v>2616022</v>
      </c>
      <c r="G89" s="16">
        <f>IFERROR(__xludf.DUMMYFUNCTION("""COMPUTED_VALUE"""),45868.6458333333)</f>
        <v>45868.6458333333</v>
      </c>
      <c r="H89" s="17">
        <f>IFERROR(__xludf.DUMMYFUNCTION("""COMPUTED_VALUE"""),620.75)</f>
        <v>620.75</v>
      </c>
      <c r="I89" s="16">
        <f>IFERROR(__xludf.DUMMYFUNCTION("""COMPUTED_VALUE"""),45868.6458333333)</f>
        <v>45868.6458333333</v>
      </c>
      <c r="J89" s="17">
        <f>IFERROR(__xludf.DUMMYFUNCTION("""COMPUTED_VALUE"""),609)</f>
        <v>609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IFERROR(__xludf.DUMMYFUNCTION("""COMPUTED_VALUE"""),592.7)</f>
        <v>592.7</v>
      </c>
      <c r="C90" s="16">
        <f>IFERROR(__xludf.DUMMYFUNCTION("""COMPUTED_VALUE"""),45869.6458333333)</f>
        <v>45869.6458333333</v>
      </c>
      <c r="D90" s="17">
        <f>IFERROR(__xludf.DUMMYFUNCTION("""COMPUTED_VALUE"""),613)</f>
        <v>613</v>
      </c>
      <c r="E90" s="16">
        <f>IFERROR(__xludf.DUMMYFUNCTION("""COMPUTED_VALUE"""),45869.6458333333)</f>
        <v>45869.6458333333</v>
      </c>
      <c r="F90" s="17">
        <f>IFERROR(__xludf.DUMMYFUNCTION("""COMPUTED_VALUE"""),5782494)</f>
        <v>5782494</v>
      </c>
      <c r="G90" s="16">
        <f>IFERROR(__xludf.DUMMYFUNCTION("""COMPUTED_VALUE"""),45869.6458333333)</f>
        <v>45869.6458333333</v>
      </c>
      <c r="H90" s="17">
        <f>IFERROR(__xludf.DUMMYFUNCTION("""COMPUTED_VALUE"""),624.8)</f>
        <v>624.8</v>
      </c>
      <c r="I90" s="16">
        <f>IFERROR(__xludf.DUMMYFUNCTION("""COMPUTED_VALUE"""),45869.6458333333)</f>
        <v>45869.6458333333</v>
      </c>
      <c r="J90" s="17">
        <f>IFERROR(__xludf.DUMMYFUNCTION("""COMPUTED_VALUE"""),589.9)</f>
        <v>589.9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IFERROR(__xludf.DUMMYFUNCTION("""COMPUTED_VALUE"""),607.95)</f>
        <v>607.95</v>
      </c>
      <c r="C91" s="16">
        <f>IFERROR(__xludf.DUMMYFUNCTION("""COMPUTED_VALUE"""),45870.6458333333)</f>
        <v>45870.6458333333</v>
      </c>
      <c r="D91" s="17">
        <f>IFERROR(__xludf.DUMMYFUNCTION("""COMPUTED_VALUE"""),594.85)</f>
        <v>594.85</v>
      </c>
      <c r="E91" s="16">
        <f>IFERROR(__xludf.DUMMYFUNCTION("""COMPUTED_VALUE"""),45870.6458333333)</f>
        <v>45870.6458333333</v>
      </c>
      <c r="F91" s="17">
        <f>IFERROR(__xludf.DUMMYFUNCTION("""COMPUTED_VALUE"""),4599912)</f>
        <v>4599912</v>
      </c>
      <c r="G91" s="16">
        <f>IFERROR(__xludf.DUMMYFUNCTION("""COMPUTED_VALUE"""),45870.6458333333)</f>
        <v>45870.6458333333</v>
      </c>
      <c r="H91" s="17">
        <f>IFERROR(__xludf.DUMMYFUNCTION("""COMPUTED_VALUE"""),615.35)</f>
        <v>615.35</v>
      </c>
      <c r="I91" s="16">
        <f>IFERROR(__xludf.DUMMYFUNCTION("""COMPUTED_VALUE"""),45870.6458333333)</f>
        <v>45870.6458333333</v>
      </c>
      <c r="J91" s="17">
        <f>IFERROR(__xludf.DUMMYFUNCTION("""COMPUTED_VALUE"""),588.75)</f>
        <v>588.75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IFERROR(__xludf.DUMMYFUNCTION("""COMPUTED_VALUE"""),605.25)</f>
        <v>605.25</v>
      </c>
      <c r="C92" s="16">
        <f>IFERROR(__xludf.DUMMYFUNCTION("""COMPUTED_VALUE"""),45873.6458333333)</f>
        <v>45873.6458333333</v>
      </c>
      <c r="D92" s="17">
        <f>IFERROR(__xludf.DUMMYFUNCTION("""COMPUTED_VALUE"""),609.75)</f>
        <v>609.75</v>
      </c>
      <c r="E92" s="16">
        <f>IFERROR(__xludf.DUMMYFUNCTION("""COMPUTED_VALUE"""),45873.6458333333)</f>
        <v>45873.6458333333</v>
      </c>
      <c r="F92" s="17">
        <f>IFERROR(__xludf.DUMMYFUNCTION("""COMPUTED_VALUE"""),1664433)</f>
        <v>1664433</v>
      </c>
      <c r="G92" s="16">
        <f>IFERROR(__xludf.DUMMYFUNCTION("""COMPUTED_VALUE"""),45873.6458333333)</f>
        <v>45873.6458333333</v>
      </c>
      <c r="H92" s="17">
        <f>IFERROR(__xludf.DUMMYFUNCTION("""COMPUTED_VALUE"""),615)</f>
        <v>615</v>
      </c>
      <c r="I92" s="16">
        <f>IFERROR(__xludf.DUMMYFUNCTION("""COMPUTED_VALUE"""),45873.6458333333)</f>
        <v>45873.6458333333</v>
      </c>
      <c r="J92" s="17">
        <f>IFERROR(__xludf.DUMMYFUNCTION("""COMPUTED_VALUE"""),603.7)</f>
        <v>603.7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IFERROR(__xludf.DUMMYFUNCTION("""COMPUTED_VALUE"""),602.7)</f>
        <v>602.7</v>
      </c>
      <c r="C93" s="16">
        <f>IFERROR(__xludf.DUMMYFUNCTION("""COMPUTED_VALUE"""),45874.6458333333)</f>
        <v>45874.6458333333</v>
      </c>
      <c r="D93" s="17">
        <f>IFERROR(__xludf.DUMMYFUNCTION("""COMPUTED_VALUE"""),606)</f>
        <v>606</v>
      </c>
      <c r="E93" s="16">
        <f>IFERROR(__xludf.DUMMYFUNCTION("""COMPUTED_VALUE"""),45874.6458333333)</f>
        <v>45874.6458333333</v>
      </c>
      <c r="F93" s="17">
        <f>IFERROR(__xludf.DUMMYFUNCTION("""COMPUTED_VALUE"""),795422)</f>
        <v>795422</v>
      </c>
      <c r="G93" s="16">
        <f>IFERROR(__xludf.DUMMYFUNCTION("""COMPUTED_VALUE"""),45874.6458333333)</f>
        <v>45874.6458333333</v>
      </c>
      <c r="H93" s="17">
        <f>IFERROR(__xludf.DUMMYFUNCTION("""COMPUTED_VALUE"""),607.95)</f>
        <v>607.95</v>
      </c>
      <c r="I93" s="16">
        <f>IFERROR(__xludf.DUMMYFUNCTION("""COMPUTED_VALUE"""),45874.6458333333)</f>
        <v>45874.6458333333</v>
      </c>
      <c r="J93" s="17">
        <f>IFERROR(__xludf.DUMMYFUNCTION("""COMPUTED_VALUE"""),598.7)</f>
        <v>598.7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IFERROR(__xludf.DUMMYFUNCTION("""COMPUTED_VALUE"""),589.9)</f>
        <v>589.9</v>
      </c>
      <c r="C94" s="16">
        <f>IFERROR(__xludf.DUMMYFUNCTION("""COMPUTED_VALUE"""),45875.6458333333)</f>
        <v>45875.6458333333</v>
      </c>
      <c r="D94" s="17">
        <f>IFERROR(__xludf.DUMMYFUNCTION("""COMPUTED_VALUE"""),605)</f>
        <v>605</v>
      </c>
      <c r="E94" s="16">
        <f>IFERROR(__xludf.DUMMYFUNCTION("""COMPUTED_VALUE"""),45875.6458333333)</f>
        <v>45875.6458333333</v>
      </c>
      <c r="F94" s="17">
        <f>IFERROR(__xludf.DUMMYFUNCTION("""COMPUTED_VALUE"""),1895039)</f>
        <v>1895039</v>
      </c>
      <c r="G94" s="16">
        <f>IFERROR(__xludf.DUMMYFUNCTION("""COMPUTED_VALUE"""),45875.6458333333)</f>
        <v>45875.6458333333</v>
      </c>
      <c r="H94" s="17">
        <f>IFERROR(__xludf.DUMMYFUNCTION("""COMPUTED_VALUE"""),606.85)</f>
        <v>606.85</v>
      </c>
      <c r="I94" s="16">
        <f>IFERROR(__xludf.DUMMYFUNCTION("""COMPUTED_VALUE"""),45875.6458333333)</f>
        <v>45875.6458333333</v>
      </c>
      <c r="J94" s="17">
        <f>IFERROR(__xludf.DUMMYFUNCTION("""COMPUTED_VALUE"""),588.15)</f>
        <v>588.15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IFERROR(__xludf.DUMMYFUNCTION("""COMPUTED_VALUE"""),592.35)</f>
        <v>592.35</v>
      </c>
      <c r="C95" s="16">
        <f>IFERROR(__xludf.DUMMYFUNCTION("""COMPUTED_VALUE"""),45876.6458333333)</f>
        <v>45876.6458333333</v>
      </c>
      <c r="D95" s="17">
        <f>IFERROR(__xludf.DUMMYFUNCTION("""COMPUTED_VALUE"""),588)</f>
        <v>588</v>
      </c>
      <c r="E95" s="16">
        <f>IFERROR(__xludf.DUMMYFUNCTION("""COMPUTED_VALUE"""),45876.6458333333)</f>
        <v>45876.6458333333</v>
      </c>
      <c r="F95" s="17">
        <f>IFERROR(__xludf.DUMMYFUNCTION("""COMPUTED_VALUE"""),1936155)</f>
        <v>1936155</v>
      </c>
      <c r="G95" s="16">
        <f>IFERROR(__xludf.DUMMYFUNCTION("""COMPUTED_VALUE"""),45876.6458333333)</f>
        <v>45876.6458333333</v>
      </c>
      <c r="H95" s="17">
        <f>IFERROR(__xludf.DUMMYFUNCTION("""COMPUTED_VALUE"""),594.15)</f>
        <v>594.15</v>
      </c>
      <c r="I95" s="16">
        <f>IFERROR(__xludf.DUMMYFUNCTION("""COMPUTED_VALUE"""),45876.6458333333)</f>
        <v>45876.6458333333</v>
      </c>
      <c r="J95" s="17">
        <f>IFERROR(__xludf.DUMMYFUNCTION("""COMPUTED_VALUE"""),580.2)</f>
        <v>580.2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IFERROR(__xludf.DUMMYFUNCTION("""COMPUTED_VALUE"""),580)</f>
        <v>580</v>
      </c>
      <c r="C96" s="16">
        <f>IFERROR(__xludf.DUMMYFUNCTION("""COMPUTED_VALUE"""),45877.6458333333)</f>
        <v>45877.6458333333</v>
      </c>
      <c r="D96" s="17">
        <f>IFERROR(__xludf.DUMMYFUNCTION("""COMPUTED_VALUE"""),592)</f>
        <v>592</v>
      </c>
      <c r="E96" s="16">
        <f>IFERROR(__xludf.DUMMYFUNCTION("""COMPUTED_VALUE"""),45877.6458333333)</f>
        <v>45877.6458333333</v>
      </c>
      <c r="F96" s="17">
        <f>IFERROR(__xludf.DUMMYFUNCTION("""COMPUTED_VALUE"""),1252179)</f>
        <v>1252179</v>
      </c>
      <c r="G96" s="16">
        <f>IFERROR(__xludf.DUMMYFUNCTION("""COMPUTED_VALUE"""),45877.6458333333)</f>
        <v>45877.6458333333</v>
      </c>
      <c r="H96" s="17">
        <f>IFERROR(__xludf.DUMMYFUNCTION("""COMPUTED_VALUE"""),595.85)</f>
        <v>595.85</v>
      </c>
      <c r="I96" s="16">
        <f>IFERROR(__xludf.DUMMYFUNCTION("""COMPUTED_VALUE"""),45877.6458333333)</f>
        <v>45877.6458333333</v>
      </c>
      <c r="J96" s="17">
        <f>IFERROR(__xludf.DUMMYFUNCTION("""COMPUTED_VALUE"""),578)</f>
        <v>578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IFERROR(__xludf.DUMMYFUNCTION("""COMPUTED_VALUE"""),588.85)</f>
        <v>588.85</v>
      </c>
      <c r="C97" s="16">
        <f>IFERROR(__xludf.DUMMYFUNCTION("""COMPUTED_VALUE"""),45880.6458333333)</f>
        <v>45880.6458333333</v>
      </c>
      <c r="D97" s="17">
        <f>IFERROR(__xludf.DUMMYFUNCTION("""COMPUTED_VALUE"""),580.15)</f>
        <v>580.15</v>
      </c>
      <c r="E97" s="16">
        <f>IFERROR(__xludf.DUMMYFUNCTION("""COMPUTED_VALUE"""),45880.6458333333)</f>
        <v>45880.6458333333</v>
      </c>
      <c r="F97" s="17">
        <f>IFERROR(__xludf.DUMMYFUNCTION("""COMPUTED_VALUE"""),839347)</f>
        <v>839347</v>
      </c>
      <c r="G97" s="16">
        <f>IFERROR(__xludf.DUMMYFUNCTION("""COMPUTED_VALUE"""),45880.6458333333)</f>
        <v>45880.6458333333</v>
      </c>
      <c r="H97" s="17">
        <f>IFERROR(__xludf.DUMMYFUNCTION("""COMPUTED_VALUE"""),591.3)</f>
        <v>591.3</v>
      </c>
      <c r="I97" s="16">
        <f>IFERROR(__xludf.DUMMYFUNCTION("""COMPUTED_VALUE"""),45880.6458333333)</f>
        <v>45880.6458333333</v>
      </c>
      <c r="J97" s="17">
        <f>IFERROR(__xludf.DUMMYFUNCTION("""COMPUTED_VALUE"""),580.05)</f>
        <v>580.05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IFERROR(__xludf.DUMMYFUNCTION("""COMPUTED_VALUE"""),587.15)</f>
        <v>587.15</v>
      </c>
      <c r="C98" s="16">
        <f>IFERROR(__xludf.DUMMYFUNCTION("""COMPUTED_VALUE"""),45881.6458333333)</f>
        <v>45881.6458333333</v>
      </c>
      <c r="D98" s="17">
        <f>IFERROR(__xludf.DUMMYFUNCTION("""COMPUTED_VALUE"""),591.65)</f>
        <v>591.65</v>
      </c>
      <c r="E98" s="16">
        <f>IFERROR(__xludf.DUMMYFUNCTION("""COMPUTED_VALUE"""),45881.6458333333)</f>
        <v>45881.6458333333</v>
      </c>
      <c r="F98" s="17">
        <f>IFERROR(__xludf.DUMMYFUNCTION("""COMPUTED_VALUE"""),1053756)</f>
        <v>1053756</v>
      </c>
      <c r="G98" s="16">
        <f>IFERROR(__xludf.DUMMYFUNCTION("""COMPUTED_VALUE"""),45881.6458333333)</f>
        <v>45881.6458333333</v>
      </c>
      <c r="H98" s="17">
        <f>IFERROR(__xludf.DUMMYFUNCTION("""COMPUTED_VALUE"""),591.65)</f>
        <v>591.65</v>
      </c>
      <c r="I98" s="16">
        <f>IFERROR(__xludf.DUMMYFUNCTION("""COMPUTED_VALUE"""),45881.6458333333)</f>
        <v>45881.6458333333</v>
      </c>
      <c r="J98" s="17">
        <f>IFERROR(__xludf.DUMMYFUNCTION("""COMPUTED_VALUE"""),585.55)</f>
        <v>585.55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IFERROR(__xludf.DUMMYFUNCTION("""COMPUTED_VALUE"""),580.85)</f>
        <v>580.85</v>
      </c>
      <c r="C99" s="16">
        <f>IFERROR(__xludf.DUMMYFUNCTION("""COMPUTED_VALUE"""),45882.6458333333)</f>
        <v>45882.6458333333</v>
      </c>
      <c r="D99" s="17">
        <f>IFERROR(__xludf.DUMMYFUNCTION("""COMPUTED_VALUE"""),587.5)</f>
        <v>587.5</v>
      </c>
      <c r="E99" s="16">
        <f>IFERROR(__xludf.DUMMYFUNCTION("""COMPUTED_VALUE"""),45882.6458333333)</f>
        <v>45882.6458333333</v>
      </c>
      <c r="F99" s="17">
        <f>IFERROR(__xludf.DUMMYFUNCTION("""COMPUTED_VALUE"""),2109517)</f>
        <v>2109517</v>
      </c>
      <c r="G99" s="16">
        <f>IFERROR(__xludf.DUMMYFUNCTION("""COMPUTED_VALUE"""),45882.6458333333)</f>
        <v>45882.6458333333</v>
      </c>
      <c r="H99" s="17">
        <f>IFERROR(__xludf.DUMMYFUNCTION("""COMPUTED_VALUE"""),589.25)</f>
        <v>589.25</v>
      </c>
      <c r="I99" s="16">
        <f>IFERROR(__xludf.DUMMYFUNCTION("""COMPUTED_VALUE"""),45882.6458333333)</f>
        <v>45882.6458333333</v>
      </c>
      <c r="J99" s="17">
        <f>IFERROR(__xludf.DUMMYFUNCTION("""COMPUTED_VALUE"""),574.25)</f>
        <v>574.25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IFERROR(__xludf.DUMMYFUNCTION("""COMPUTED_VALUE"""),578.05)</f>
        <v>578.05</v>
      </c>
      <c r="C100" s="16">
        <f>IFERROR(__xludf.DUMMYFUNCTION("""COMPUTED_VALUE"""),45883.6458333333)</f>
        <v>45883.6458333333</v>
      </c>
      <c r="D100" s="17">
        <f>IFERROR(__xludf.DUMMYFUNCTION("""COMPUTED_VALUE"""),580.85)</f>
        <v>580.85</v>
      </c>
      <c r="E100" s="16">
        <f>IFERROR(__xludf.DUMMYFUNCTION("""COMPUTED_VALUE"""),45883.6458333333)</f>
        <v>45883.6458333333</v>
      </c>
      <c r="F100" s="17">
        <f>IFERROR(__xludf.DUMMYFUNCTION("""COMPUTED_VALUE"""),1974038)</f>
        <v>1974038</v>
      </c>
      <c r="G100" s="16">
        <f>IFERROR(__xludf.DUMMYFUNCTION("""COMPUTED_VALUE"""),45883.6458333333)</f>
        <v>45883.6458333333</v>
      </c>
      <c r="H100" s="17">
        <f>IFERROR(__xludf.DUMMYFUNCTION("""COMPUTED_VALUE"""),584.5)</f>
        <v>584.5</v>
      </c>
      <c r="I100" s="16">
        <f>IFERROR(__xludf.DUMMYFUNCTION("""COMPUTED_VALUE"""),45883.6458333333)</f>
        <v>45883.6458333333</v>
      </c>
      <c r="J100" s="17">
        <f>IFERROR(__xludf.DUMMYFUNCTION("""COMPUTED_VALUE"""),571.55)</f>
        <v>571.55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IFERROR(__xludf.DUMMYFUNCTION("""COMPUTED_VALUE"""),590.05)</f>
        <v>590.05</v>
      </c>
      <c r="C101" s="16">
        <f>IFERROR(__xludf.DUMMYFUNCTION("""COMPUTED_VALUE"""),45887.6458333333)</f>
        <v>45887.6458333333</v>
      </c>
      <c r="D101" s="17">
        <f>IFERROR(__xludf.DUMMYFUNCTION("""COMPUTED_VALUE"""),595)</f>
        <v>595</v>
      </c>
      <c r="E101" s="16">
        <f>IFERROR(__xludf.DUMMYFUNCTION("""COMPUTED_VALUE"""),45887.6458333333)</f>
        <v>45887.6458333333</v>
      </c>
      <c r="F101" s="17">
        <f>IFERROR(__xludf.DUMMYFUNCTION("""COMPUTED_VALUE"""),4190190)</f>
        <v>4190190</v>
      </c>
      <c r="G101" s="16">
        <f>IFERROR(__xludf.DUMMYFUNCTION("""COMPUTED_VALUE"""),45887.6458333333)</f>
        <v>45887.6458333333</v>
      </c>
      <c r="H101" s="17">
        <f>IFERROR(__xludf.DUMMYFUNCTION("""COMPUTED_VALUE"""),605.45)</f>
        <v>605.45</v>
      </c>
      <c r="I101" s="16">
        <f>IFERROR(__xludf.DUMMYFUNCTION("""COMPUTED_VALUE"""),45887.6458333333)</f>
        <v>45887.6458333333</v>
      </c>
      <c r="J101" s="17">
        <f>IFERROR(__xludf.DUMMYFUNCTION("""COMPUTED_VALUE"""),589.2)</f>
        <v>589.2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IFERROR(__xludf.DUMMYFUNCTION("""COMPUTED_VALUE"""),592.4)</f>
        <v>592.4</v>
      </c>
      <c r="C102" s="16">
        <f>IFERROR(__xludf.DUMMYFUNCTION("""COMPUTED_VALUE"""),45888.6458333333)</f>
        <v>45888.6458333333</v>
      </c>
      <c r="D102" s="17">
        <f>IFERROR(__xludf.DUMMYFUNCTION("""COMPUTED_VALUE"""),593)</f>
        <v>593</v>
      </c>
      <c r="E102" s="16">
        <f>IFERROR(__xludf.DUMMYFUNCTION("""COMPUTED_VALUE"""),45888.6458333333)</f>
        <v>45888.6458333333</v>
      </c>
      <c r="F102" s="17">
        <f>IFERROR(__xludf.DUMMYFUNCTION("""COMPUTED_VALUE"""),1898159)</f>
        <v>1898159</v>
      </c>
      <c r="G102" s="16">
        <f>IFERROR(__xludf.DUMMYFUNCTION("""COMPUTED_VALUE"""),45888.6458333333)</f>
        <v>45888.6458333333</v>
      </c>
      <c r="H102" s="17">
        <f>IFERROR(__xludf.DUMMYFUNCTION("""COMPUTED_VALUE"""),595.55)</f>
        <v>595.55</v>
      </c>
      <c r="I102" s="16">
        <f>IFERROR(__xludf.DUMMYFUNCTION("""COMPUTED_VALUE"""),45888.6458333333)</f>
        <v>45888.6458333333</v>
      </c>
      <c r="J102" s="17">
        <f>IFERROR(__xludf.DUMMYFUNCTION("""COMPUTED_VALUE"""),587.3)</f>
        <v>587.3</v>
      </c>
      <c r="K102" s="3">
        <f t="shared" si="2"/>
        <v>592.4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IFERROR(__xludf.DUMMYFUNCTION("""COMPUTED_VALUE"""),591.9)</f>
        <v>591.9</v>
      </c>
      <c r="C103" s="16">
        <f>IFERROR(__xludf.DUMMYFUNCTION("""COMPUTED_VALUE"""),45889.6458333333)</f>
        <v>45889.6458333333</v>
      </c>
      <c r="D103" s="17">
        <f>IFERROR(__xludf.DUMMYFUNCTION("""COMPUTED_VALUE"""),593.45)</f>
        <v>593.45</v>
      </c>
      <c r="E103" s="16">
        <f>IFERROR(__xludf.DUMMYFUNCTION("""COMPUTED_VALUE"""),45889.6458333333)</f>
        <v>45889.6458333333</v>
      </c>
      <c r="F103" s="17">
        <f>IFERROR(__xludf.DUMMYFUNCTION("""COMPUTED_VALUE"""),1086467)</f>
        <v>1086467</v>
      </c>
      <c r="G103" s="16">
        <f>IFERROR(__xludf.DUMMYFUNCTION("""COMPUTED_VALUE"""),45889.6458333333)</f>
        <v>45889.6458333333</v>
      </c>
      <c r="H103" s="17">
        <f>IFERROR(__xludf.DUMMYFUNCTION("""COMPUTED_VALUE"""),594.1)</f>
        <v>594.1</v>
      </c>
      <c r="I103" s="16">
        <f>IFERROR(__xludf.DUMMYFUNCTION("""COMPUTED_VALUE"""),45889.6458333333)</f>
        <v>45889.6458333333</v>
      </c>
      <c r="J103" s="17">
        <f>IFERROR(__xludf.DUMMYFUNCTION("""COMPUTED_VALUE"""),589.25)</f>
        <v>589.25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IFERROR(__xludf.DUMMYFUNCTION("""COMPUTED_VALUE"""),588.75)</f>
        <v>588.75</v>
      </c>
      <c r="C104" s="16">
        <f>IFERROR(__xludf.DUMMYFUNCTION("""COMPUTED_VALUE"""),45890.6458333333)</f>
        <v>45890.6458333333</v>
      </c>
      <c r="D104" s="17">
        <f>IFERROR(__xludf.DUMMYFUNCTION("""COMPUTED_VALUE"""),593.25)</f>
        <v>593.25</v>
      </c>
      <c r="E104" s="16">
        <f>IFERROR(__xludf.DUMMYFUNCTION("""COMPUTED_VALUE"""),45890.6458333333)</f>
        <v>45890.6458333333</v>
      </c>
      <c r="F104" s="17">
        <f>IFERROR(__xludf.DUMMYFUNCTION("""COMPUTED_VALUE"""),1540533)</f>
        <v>1540533</v>
      </c>
      <c r="G104" s="16">
        <f>IFERROR(__xludf.DUMMYFUNCTION("""COMPUTED_VALUE"""),45890.6458333333)</f>
        <v>45890.6458333333</v>
      </c>
      <c r="H104" s="17">
        <f>IFERROR(__xludf.DUMMYFUNCTION("""COMPUTED_VALUE"""),593.3)</f>
        <v>593.3</v>
      </c>
      <c r="I104" s="16">
        <f>IFERROR(__xludf.DUMMYFUNCTION("""COMPUTED_VALUE"""),45890.6458333333)</f>
        <v>45890.6458333333</v>
      </c>
      <c r="J104" s="17">
        <f>IFERROR(__xludf.DUMMYFUNCTION("""COMPUTED_VALUE"""),585.05)</f>
        <v>585.05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IFERROR(__xludf.DUMMYFUNCTION("""COMPUTED_VALUE"""),577.15)</f>
        <v>577.15</v>
      </c>
      <c r="C105" s="16">
        <f>IFERROR(__xludf.DUMMYFUNCTION("""COMPUTED_VALUE"""),45891.6458333333)</f>
        <v>45891.6458333333</v>
      </c>
      <c r="D105" s="17">
        <f>IFERROR(__xludf.DUMMYFUNCTION("""COMPUTED_VALUE"""),588.8)</f>
        <v>588.8</v>
      </c>
      <c r="E105" s="16">
        <f>IFERROR(__xludf.DUMMYFUNCTION("""COMPUTED_VALUE"""),45891.6458333333)</f>
        <v>45891.6458333333</v>
      </c>
      <c r="F105" s="17">
        <f>IFERROR(__xludf.DUMMYFUNCTION("""COMPUTED_VALUE"""),1671189)</f>
        <v>1671189</v>
      </c>
      <c r="G105" s="16">
        <f>IFERROR(__xludf.DUMMYFUNCTION("""COMPUTED_VALUE"""),45891.6458333333)</f>
        <v>45891.6458333333</v>
      </c>
      <c r="H105" s="17">
        <f>IFERROR(__xludf.DUMMYFUNCTION("""COMPUTED_VALUE"""),590)</f>
        <v>590</v>
      </c>
      <c r="I105" s="16">
        <f>IFERROR(__xludf.DUMMYFUNCTION("""COMPUTED_VALUE"""),45891.6458333333)</f>
        <v>45891.6458333333</v>
      </c>
      <c r="J105" s="17">
        <f>IFERROR(__xludf.DUMMYFUNCTION("""COMPUTED_VALUE"""),576)</f>
        <v>576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IFERROR(__xludf.DUMMYFUNCTION("""COMPUTED_VALUE"""),581)</f>
        <v>581</v>
      </c>
      <c r="C106" s="16">
        <f>IFERROR(__xludf.DUMMYFUNCTION("""COMPUTED_VALUE"""),45894.6458333333)</f>
        <v>45894.6458333333</v>
      </c>
      <c r="D106" s="17">
        <f>IFERROR(__xludf.DUMMYFUNCTION("""COMPUTED_VALUE"""),581)</f>
        <v>581</v>
      </c>
      <c r="E106" s="16">
        <f>IFERROR(__xludf.DUMMYFUNCTION("""COMPUTED_VALUE"""),45894.6458333333)</f>
        <v>45894.6458333333</v>
      </c>
      <c r="F106" s="17">
        <f>IFERROR(__xludf.DUMMYFUNCTION("""COMPUTED_VALUE"""),1458400)</f>
        <v>1458400</v>
      </c>
      <c r="G106" s="16">
        <f>IFERROR(__xludf.DUMMYFUNCTION("""COMPUTED_VALUE"""),45894.6458333333)</f>
        <v>45894.6458333333</v>
      </c>
      <c r="H106" s="17">
        <f>IFERROR(__xludf.DUMMYFUNCTION("""COMPUTED_VALUE"""),582)</f>
        <v>582</v>
      </c>
      <c r="I106" s="16">
        <f>IFERROR(__xludf.DUMMYFUNCTION("""COMPUTED_VALUE"""),45894.6458333333)</f>
        <v>45894.6458333333</v>
      </c>
      <c r="J106" s="17">
        <f>IFERROR(__xludf.DUMMYFUNCTION("""COMPUTED_VALUE"""),577.85)</f>
        <v>577.85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IFERROR(__xludf.DUMMYFUNCTION("""COMPUTED_VALUE"""),572.8)</f>
        <v>572.8</v>
      </c>
      <c r="C107" s="16">
        <f>IFERROR(__xludf.DUMMYFUNCTION("""COMPUTED_VALUE"""),45895.6458333333)</f>
        <v>45895.6458333333</v>
      </c>
      <c r="D107" s="17">
        <f>IFERROR(__xludf.DUMMYFUNCTION("""COMPUTED_VALUE"""),580)</f>
        <v>580</v>
      </c>
      <c r="E107" s="16">
        <f>IFERROR(__xludf.DUMMYFUNCTION("""COMPUTED_VALUE"""),45895.6458333333)</f>
        <v>45895.6458333333</v>
      </c>
      <c r="F107" s="17">
        <f>IFERROR(__xludf.DUMMYFUNCTION("""COMPUTED_VALUE"""),1527366)</f>
        <v>1527366</v>
      </c>
      <c r="G107" s="16">
        <f>IFERROR(__xludf.DUMMYFUNCTION("""COMPUTED_VALUE"""),45895.6458333333)</f>
        <v>45895.6458333333</v>
      </c>
      <c r="H107" s="17">
        <f>IFERROR(__xludf.DUMMYFUNCTION("""COMPUTED_VALUE"""),581)</f>
        <v>581</v>
      </c>
      <c r="I107" s="16">
        <f>IFERROR(__xludf.DUMMYFUNCTION("""COMPUTED_VALUE"""),45895.6458333333)</f>
        <v>45895.6458333333</v>
      </c>
      <c r="J107" s="17">
        <f>IFERROR(__xludf.DUMMYFUNCTION("""COMPUTED_VALUE"""),571.75)</f>
        <v>571.75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IFERROR(__xludf.DUMMYFUNCTION("""COMPUTED_VALUE"""),561.8)</f>
        <v>561.8</v>
      </c>
      <c r="C108" s="16">
        <f>IFERROR(__xludf.DUMMYFUNCTION("""COMPUTED_VALUE"""),45897.6458333333)</f>
        <v>45897.6458333333</v>
      </c>
      <c r="D108" s="17">
        <f>IFERROR(__xludf.DUMMYFUNCTION("""COMPUTED_VALUE"""),569.55)</f>
        <v>569.55</v>
      </c>
      <c r="E108" s="16">
        <f>IFERROR(__xludf.DUMMYFUNCTION("""COMPUTED_VALUE"""),45897.6458333333)</f>
        <v>45897.6458333333</v>
      </c>
      <c r="F108" s="17">
        <f>IFERROR(__xludf.DUMMYFUNCTION("""COMPUTED_VALUE"""),1815158)</f>
        <v>1815158</v>
      </c>
      <c r="G108" s="16">
        <f>IFERROR(__xludf.DUMMYFUNCTION("""COMPUTED_VALUE"""),45897.6458333333)</f>
        <v>45897.6458333333</v>
      </c>
      <c r="H108" s="17">
        <f>IFERROR(__xludf.DUMMYFUNCTION("""COMPUTED_VALUE"""),569.95)</f>
        <v>569.95</v>
      </c>
      <c r="I108" s="16">
        <f>IFERROR(__xludf.DUMMYFUNCTION("""COMPUTED_VALUE"""),45897.6458333333)</f>
        <v>45897.6458333333</v>
      </c>
      <c r="J108" s="17">
        <f>IFERROR(__xludf.DUMMYFUNCTION("""COMPUTED_VALUE"""),559.6)</f>
        <v>559.6</v>
      </c>
      <c r="K108" s="3">
        <f t="shared" si="2"/>
        <v>0</v>
      </c>
      <c r="L108" s="3">
        <f t="shared" si="3"/>
        <v>561.8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IFERROR(__xludf.DUMMYFUNCTION("""COMPUTED_VALUE"""),563.2)</f>
        <v>563.2</v>
      </c>
      <c r="C109" s="16">
        <f>IFERROR(__xludf.DUMMYFUNCTION("""COMPUTED_VALUE"""),45898.6458333333)</f>
        <v>45898.6458333333</v>
      </c>
      <c r="D109" s="17">
        <f>IFERROR(__xludf.DUMMYFUNCTION("""COMPUTED_VALUE"""),563)</f>
        <v>563</v>
      </c>
      <c r="E109" s="16">
        <f>IFERROR(__xludf.DUMMYFUNCTION("""COMPUTED_VALUE"""),45898.6458333333)</f>
        <v>45898.6458333333</v>
      </c>
      <c r="F109" s="17">
        <f>IFERROR(__xludf.DUMMYFUNCTION("""COMPUTED_VALUE"""),1166207)</f>
        <v>1166207</v>
      </c>
      <c r="G109" s="16">
        <f>IFERROR(__xludf.DUMMYFUNCTION("""COMPUTED_VALUE"""),45898.6458333333)</f>
        <v>45898.6458333333</v>
      </c>
      <c r="H109" s="17">
        <f>IFERROR(__xludf.DUMMYFUNCTION("""COMPUTED_VALUE"""),569.2)</f>
        <v>569.2</v>
      </c>
      <c r="I109" s="16">
        <f>IFERROR(__xludf.DUMMYFUNCTION("""COMPUTED_VALUE"""),45898.6458333333)</f>
        <v>45898.6458333333</v>
      </c>
      <c r="J109" s="17">
        <f>IFERROR(__xludf.DUMMYFUNCTION("""COMPUTED_VALUE"""),560)</f>
        <v>560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IFERROR(__xludf.DUMMYFUNCTION("""COMPUTED_VALUE"""),567.1)</f>
        <v>567.1</v>
      </c>
      <c r="C110" s="16">
        <f>IFERROR(__xludf.DUMMYFUNCTION("""COMPUTED_VALUE"""),45901.6458333333)</f>
        <v>45901.6458333333</v>
      </c>
      <c r="D110" s="17">
        <f>IFERROR(__xludf.DUMMYFUNCTION("""COMPUTED_VALUE"""),565.2)</f>
        <v>565.2</v>
      </c>
      <c r="E110" s="16">
        <f>IFERROR(__xludf.DUMMYFUNCTION("""COMPUTED_VALUE"""),45901.6458333333)</f>
        <v>45901.6458333333</v>
      </c>
      <c r="F110" s="17">
        <f>IFERROR(__xludf.DUMMYFUNCTION("""COMPUTED_VALUE"""),1366250)</f>
        <v>1366250</v>
      </c>
      <c r="G110" s="16">
        <f>IFERROR(__xludf.DUMMYFUNCTION("""COMPUTED_VALUE"""),45901.6458333333)</f>
        <v>45901.6458333333</v>
      </c>
      <c r="H110" s="17">
        <f>IFERROR(__xludf.DUMMYFUNCTION("""COMPUTED_VALUE"""),569.9)</f>
        <v>569.9</v>
      </c>
      <c r="I110" s="16">
        <f>IFERROR(__xludf.DUMMYFUNCTION("""COMPUTED_VALUE"""),45901.6458333333)</f>
        <v>45901.6458333333</v>
      </c>
      <c r="J110" s="17">
        <f>IFERROR(__xludf.DUMMYFUNCTION("""COMPUTED_VALUE"""),563.45)</f>
        <v>563.45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IFERROR(__xludf.DUMMYFUNCTION("""COMPUTED_VALUE"""),567.25)</f>
        <v>567.25</v>
      </c>
      <c r="C111" s="16">
        <f>IFERROR(__xludf.DUMMYFUNCTION("""COMPUTED_VALUE"""),45902.6458333333)</f>
        <v>45902.6458333333</v>
      </c>
      <c r="D111" s="17">
        <f>IFERROR(__xludf.DUMMYFUNCTION("""COMPUTED_VALUE"""),568.1)</f>
        <v>568.1</v>
      </c>
      <c r="E111" s="16">
        <f>IFERROR(__xludf.DUMMYFUNCTION("""COMPUTED_VALUE"""),45902.6458333333)</f>
        <v>45902.6458333333</v>
      </c>
      <c r="F111" s="17">
        <f>IFERROR(__xludf.DUMMYFUNCTION("""COMPUTED_VALUE"""),801958)</f>
        <v>801958</v>
      </c>
      <c r="G111" s="16">
        <f>IFERROR(__xludf.DUMMYFUNCTION("""COMPUTED_VALUE"""),45902.6458333333)</f>
        <v>45902.6458333333</v>
      </c>
      <c r="H111" s="17">
        <f>IFERROR(__xludf.DUMMYFUNCTION("""COMPUTED_VALUE"""),573)</f>
        <v>573</v>
      </c>
      <c r="I111" s="16">
        <f>IFERROR(__xludf.DUMMYFUNCTION("""COMPUTED_VALUE"""),45902.6458333333)</f>
        <v>45902.6458333333</v>
      </c>
      <c r="J111" s="17">
        <f>IFERROR(__xludf.DUMMYFUNCTION("""COMPUTED_VALUE"""),564.3)</f>
        <v>564.3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IFERROR(__xludf.DUMMYFUNCTION("""COMPUTED_VALUE"""),573.75)</f>
        <v>573.75</v>
      </c>
      <c r="C112" s="16">
        <f>IFERROR(__xludf.DUMMYFUNCTION("""COMPUTED_VALUE"""),45903.6458333333)</f>
        <v>45903.6458333333</v>
      </c>
      <c r="D112" s="17">
        <f>IFERROR(__xludf.DUMMYFUNCTION("""COMPUTED_VALUE"""),570)</f>
        <v>570</v>
      </c>
      <c r="E112" s="16">
        <f>IFERROR(__xludf.DUMMYFUNCTION("""COMPUTED_VALUE"""),45903.6458333333)</f>
        <v>45903.6458333333</v>
      </c>
      <c r="F112" s="17">
        <f>IFERROR(__xludf.DUMMYFUNCTION("""COMPUTED_VALUE"""),2203149)</f>
        <v>2203149</v>
      </c>
      <c r="G112" s="16">
        <f>IFERROR(__xludf.DUMMYFUNCTION("""COMPUTED_VALUE"""),45903.6458333333)</f>
        <v>45903.6458333333</v>
      </c>
      <c r="H112" s="17">
        <f>IFERROR(__xludf.DUMMYFUNCTION("""COMPUTED_VALUE"""),576.95)</f>
        <v>576.95</v>
      </c>
      <c r="I112" s="16">
        <f>IFERROR(__xludf.DUMMYFUNCTION("""COMPUTED_VALUE"""),45903.6458333333)</f>
        <v>45903.6458333333</v>
      </c>
      <c r="J112" s="17">
        <f>IFERROR(__xludf.DUMMYFUNCTION("""COMPUTED_VALUE"""),569.05)</f>
        <v>569.05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IFERROR(__xludf.DUMMYFUNCTION("""COMPUTED_VALUE"""),567.7)</f>
        <v>567.7</v>
      </c>
      <c r="C113" s="16">
        <f>IFERROR(__xludf.DUMMYFUNCTION("""COMPUTED_VALUE"""),45904.6458333333)</f>
        <v>45904.6458333333</v>
      </c>
      <c r="D113" s="17">
        <f>IFERROR(__xludf.DUMMYFUNCTION("""COMPUTED_VALUE"""),590)</f>
        <v>590</v>
      </c>
      <c r="E113" s="16">
        <f>IFERROR(__xludf.DUMMYFUNCTION("""COMPUTED_VALUE"""),45904.6458333333)</f>
        <v>45904.6458333333</v>
      </c>
      <c r="F113" s="17">
        <f>IFERROR(__xludf.DUMMYFUNCTION("""COMPUTED_VALUE"""),6090485)</f>
        <v>6090485</v>
      </c>
      <c r="G113" s="16">
        <f>IFERROR(__xludf.DUMMYFUNCTION("""COMPUTED_VALUE"""),45904.6458333333)</f>
        <v>45904.6458333333</v>
      </c>
      <c r="H113" s="17">
        <f>IFERROR(__xludf.DUMMYFUNCTION("""COMPUTED_VALUE"""),596.3)</f>
        <v>596.3</v>
      </c>
      <c r="I113" s="16">
        <f>IFERROR(__xludf.DUMMYFUNCTION("""COMPUTED_VALUE"""),45904.6458333333)</f>
        <v>45904.6458333333</v>
      </c>
      <c r="J113" s="17">
        <f>IFERROR(__xludf.DUMMYFUNCTION("""COMPUTED_VALUE"""),566.05)</f>
        <v>566.05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IFERROR(__xludf.DUMMYFUNCTION("""COMPUTED_VALUE"""),566.7)</f>
        <v>566.7</v>
      </c>
      <c r="C114" s="16">
        <f>IFERROR(__xludf.DUMMYFUNCTION("""COMPUTED_VALUE"""),45905.6458333333)</f>
        <v>45905.6458333333</v>
      </c>
      <c r="D114" s="17">
        <f>IFERROR(__xludf.DUMMYFUNCTION("""COMPUTED_VALUE"""),572)</f>
        <v>572</v>
      </c>
      <c r="E114" s="16">
        <f>IFERROR(__xludf.DUMMYFUNCTION("""COMPUTED_VALUE"""),45905.6458333333)</f>
        <v>45905.6458333333</v>
      </c>
      <c r="F114" s="17">
        <f>IFERROR(__xludf.DUMMYFUNCTION("""COMPUTED_VALUE"""),923506)</f>
        <v>923506</v>
      </c>
      <c r="G114" s="16">
        <f>IFERROR(__xludf.DUMMYFUNCTION("""COMPUTED_VALUE"""),45905.6458333333)</f>
        <v>45905.6458333333</v>
      </c>
      <c r="H114" s="17">
        <f>IFERROR(__xludf.DUMMYFUNCTION("""COMPUTED_VALUE"""),572.7)</f>
        <v>572.7</v>
      </c>
      <c r="I114" s="16">
        <f>IFERROR(__xludf.DUMMYFUNCTION("""COMPUTED_VALUE"""),45905.6458333333)</f>
        <v>45905.6458333333</v>
      </c>
      <c r="J114" s="17">
        <f>IFERROR(__xludf.DUMMYFUNCTION("""COMPUTED_VALUE"""),562.5)</f>
        <v>562.5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IFERROR(__xludf.DUMMYFUNCTION("""COMPUTED_VALUE"""),570.3)</f>
        <v>570.3</v>
      </c>
      <c r="C115" s="16">
        <f>IFERROR(__xludf.DUMMYFUNCTION("""COMPUTED_VALUE"""),45908.6458333333)</f>
        <v>45908.6458333333</v>
      </c>
      <c r="D115" s="17">
        <f>IFERROR(__xludf.DUMMYFUNCTION("""COMPUTED_VALUE"""),570)</f>
        <v>570</v>
      </c>
      <c r="E115" s="16">
        <f>IFERROR(__xludf.DUMMYFUNCTION("""COMPUTED_VALUE"""),45908.6458333333)</f>
        <v>45908.6458333333</v>
      </c>
      <c r="F115" s="17">
        <f>IFERROR(__xludf.DUMMYFUNCTION("""COMPUTED_VALUE"""),938525)</f>
        <v>938525</v>
      </c>
      <c r="G115" s="16">
        <f>IFERROR(__xludf.DUMMYFUNCTION("""COMPUTED_VALUE"""),45908.6458333333)</f>
        <v>45908.6458333333</v>
      </c>
      <c r="H115" s="17">
        <f>IFERROR(__xludf.DUMMYFUNCTION("""COMPUTED_VALUE"""),577.35)</f>
        <v>577.35</v>
      </c>
      <c r="I115" s="16">
        <f>IFERROR(__xludf.DUMMYFUNCTION("""COMPUTED_VALUE"""),45908.6458333333)</f>
        <v>45908.6458333333</v>
      </c>
      <c r="J115" s="17">
        <f>IFERROR(__xludf.DUMMYFUNCTION("""COMPUTED_VALUE"""),565.05)</f>
        <v>565.05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IFERROR(__xludf.DUMMYFUNCTION("""COMPUTED_VALUE"""),567.6)</f>
        <v>567.6</v>
      </c>
      <c r="C116" s="16">
        <f>IFERROR(__xludf.DUMMYFUNCTION("""COMPUTED_VALUE"""),45909.6458333333)</f>
        <v>45909.6458333333</v>
      </c>
      <c r="D116" s="17">
        <f>IFERROR(__xludf.DUMMYFUNCTION("""COMPUTED_VALUE"""),573)</f>
        <v>573</v>
      </c>
      <c r="E116" s="16">
        <f>IFERROR(__xludf.DUMMYFUNCTION("""COMPUTED_VALUE"""),45909.6458333333)</f>
        <v>45909.6458333333</v>
      </c>
      <c r="F116" s="17">
        <f>IFERROR(__xludf.DUMMYFUNCTION("""COMPUTED_VALUE"""),1107979)</f>
        <v>1107979</v>
      </c>
      <c r="G116" s="16">
        <f>IFERROR(__xludf.DUMMYFUNCTION("""COMPUTED_VALUE"""),45909.6458333333)</f>
        <v>45909.6458333333</v>
      </c>
      <c r="H116" s="17">
        <f>IFERROR(__xludf.DUMMYFUNCTION("""COMPUTED_VALUE"""),576)</f>
        <v>576</v>
      </c>
      <c r="I116" s="16">
        <f>IFERROR(__xludf.DUMMYFUNCTION("""COMPUTED_VALUE"""),45909.6458333333)</f>
        <v>45909.6458333333</v>
      </c>
      <c r="J116" s="17">
        <f>IFERROR(__xludf.DUMMYFUNCTION("""COMPUTED_VALUE"""),566.5)</f>
        <v>566.5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IFERROR(__xludf.DUMMYFUNCTION("""COMPUTED_VALUE"""),566.85)</f>
        <v>566.85</v>
      </c>
      <c r="C117" s="16">
        <f>IFERROR(__xludf.DUMMYFUNCTION("""COMPUTED_VALUE"""),45910.6458333333)</f>
        <v>45910.6458333333</v>
      </c>
      <c r="D117" s="17">
        <f>IFERROR(__xludf.DUMMYFUNCTION("""COMPUTED_VALUE"""),570)</f>
        <v>570</v>
      </c>
      <c r="E117" s="16">
        <f>IFERROR(__xludf.DUMMYFUNCTION("""COMPUTED_VALUE"""),45910.6458333333)</f>
        <v>45910.6458333333</v>
      </c>
      <c r="F117" s="17">
        <f>IFERROR(__xludf.DUMMYFUNCTION("""COMPUTED_VALUE"""),1629387)</f>
        <v>1629387</v>
      </c>
      <c r="G117" s="16">
        <f>IFERROR(__xludf.DUMMYFUNCTION("""COMPUTED_VALUE"""),45910.6458333333)</f>
        <v>45910.6458333333</v>
      </c>
      <c r="H117" s="17">
        <f>IFERROR(__xludf.DUMMYFUNCTION("""COMPUTED_VALUE"""),572.6)</f>
        <v>572.6</v>
      </c>
      <c r="I117" s="16">
        <f>IFERROR(__xludf.DUMMYFUNCTION("""COMPUTED_VALUE"""),45910.6458333333)</f>
        <v>45910.6458333333</v>
      </c>
      <c r="J117" s="17">
        <f>IFERROR(__xludf.DUMMYFUNCTION("""COMPUTED_VALUE"""),566.4)</f>
        <v>566.4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IFERROR(__xludf.DUMMYFUNCTION("""COMPUTED_VALUE"""),560.4)</f>
        <v>560.4</v>
      </c>
      <c r="C118" s="16">
        <f>IFERROR(__xludf.DUMMYFUNCTION("""COMPUTED_VALUE"""),45911.6458333333)</f>
        <v>45911.6458333333</v>
      </c>
      <c r="D118" s="17">
        <f>IFERROR(__xludf.DUMMYFUNCTION("""COMPUTED_VALUE"""),566.8)</f>
        <v>566.8</v>
      </c>
      <c r="E118" s="16">
        <f>IFERROR(__xludf.DUMMYFUNCTION("""COMPUTED_VALUE"""),45911.6458333333)</f>
        <v>45911.6458333333</v>
      </c>
      <c r="F118" s="17">
        <f>IFERROR(__xludf.DUMMYFUNCTION("""COMPUTED_VALUE"""),39018032)</f>
        <v>39018032</v>
      </c>
      <c r="G118" s="16">
        <f>IFERROR(__xludf.DUMMYFUNCTION("""COMPUTED_VALUE"""),45911.6458333333)</f>
        <v>45911.6458333333</v>
      </c>
      <c r="H118" s="17">
        <f>IFERROR(__xludf.DUMMYFUNCTION("""COMPUTED_VALUE"""),566.8)</f>
        <v>566.8</v>
      </c>
      <c r="I118" s="16">
        <f>IFERROR(__xludf.DUMMYFUNCTION("""COMPUTED_VALUE"""),45911.6458333333)</f>
        <v>45911.6458333333</v>
      </c>
      <c r="J118" s="17">
        <f>IFERROR(__xludf.DUMMYFUNCTION("""COMPUTED_VALUE"""),549)</f>
        <v>549</v>
      </c>
      <c r="K118" s="3">
        <f t="shared" si="2"/>
        <v>0</v>
      </c>
      <c r="L118" s="3">
        <f t="shared" si="3"/>
        <v>560.4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IFERROR(__xludf.DUMMYFUNCTION("""COMPUTED_VALUE"""),560.55)</f>
        <v>560.55</v>
      </c>
      <c r="C119" s="16">
        <f>IFERROR(__xludf.DUMMYFUNCTION("""COMPUTED_VALUE"""),45912.6458333333)</f>
        <v>45912.6458333333</v>
      </c>
      <c r="D119" s="17">
        <f>IFERROR(__xludf.DUMMYFUNCTION("""COMPUTED_VALUE"""),563.1)</f>
        <v>563.1</v>
      </c>
      <c r="E119" s="16">
        <f>IFERROR(__xludf.DUMMYFUNCTION("""COMPUTED_VALUE"""),45912.6458333333)</f>
        <v>45912.6458333333</v>
      </c>
      <c r="F119" s="17">
        <f>IFERROR(__xludf.DUMMYFUNCTION("""COMPUTED_VALUE"""),3773680)</f>
        <v>3773680</v>
      </c>
      <c r="G119" s="16">
        <f>IFERROR(__xludf.DUMMYFUNCTION("""COMPUTED_VALUE"""),45912.6458333333)</f>
        <v>45912.6458333333</v>
      </c>
      <c r="H119" s="17">
        <f>IFERROR(__xludf.DUMMYFUNCTION("""COMPUTED_VALUE"""),568)</f>
        <v>568</v>
      </c>
      <c r="I119" s="16">
        <f>IFERROR(__xludf.DUMMYFUNCTION("""COMPUTED_VALUE"""),45912.6458333333)</f>
        <v>45912.6458333333</v>
      </c>
      <c r="J119" s="17">
        <f>IFERROR(__xludf.DUMMYFUNCTION("""COMPUTED_VALUE"""),559.8)</f>
        <v>559.8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IFERROR(__xludf.DUMMYFUNCTION("""COMPUTED_VALUE"""),568.75)</f>
        <v>568.75</v>
      </c>
      <c r="C120" s="16">
        <f>IFERROR(__xludf.DUMMYFUNCTION("""COMPUTED_VALUE"""),45915.6458333333)</f>
        <v>45915.6458333333</v>
      </c>
      <c r="D120" s="17">
        <f>IFERROR(__xludf.DUMMYFUNCTION("""COMPUTED_VALUE"""),562.65)</f>
        <v>562.65</v>
      </c>
      <c r="E120" s="16">
        <f>IFERROR(__xludf.DUMMYFUNCTION("""COMPUTED_VALUE"""),45915.6458333333)</f>
        <v>45915.6458333333</v>
      </c>
      <c r="F120" s="17">
        <f>IFERROR(__xludf.DUMMYFUNCTION("""COMPUTED_VALUE"""),1812617)</f>
        <v>1812617</v>
      </c>
      <c r="G120" s="16">
        <f>IFERROR(__xludf.DUMMYFUNCTION("""COMPUTED_VALUE"""),45915.6458333333)</f>
        <v>45915.6458333333</v>
      </c>
      <c r="H120" s="17">
        <f>IFERROR(__xludf.DUMMYFUNCTION("""COMPUTED_VALUE"""),571.5)</f>
        <v>571.5</v>
      </c>
      <c r="I120" s="16">
        <f>IFERROR(__xludf.DUMMYFUNCTION("""COMPUTED_VALUE"""),45915.6458333333)</f>
        <v>45915.6458333333</v>
      </c>
      <c r="J120" s="17">
        <f>IFERROR(__xludf.DUMMYFUNCTION("""COMPUTED_VALUE"""),561)</f>
        <v>561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IFERROR(__xludf.DUMMYFUNCTION("""COMPUTED_VALUE"""),573.65)</f>
        <v>573.65</v>
      </c>
      <c r="C121" s="16">
        <f>IFERROR(__xludf.DUMMYFUNCTION("""COMPUTED_VALUE"""),45916.6458333333)</f>
        <v>45916.6458333333</v>
      </c>
      <c r="D121" s="17">
        <f>IFERROR(__xludf.DUMMYFUNCTION("""COMPUTED_VALUE"""),575.75)</f>
        <v>575.75</v>
      </c>
      <c r="E121" s="16">
        <f>IFERROR(__xludf.DUMMYFUNCTION("""COMPUTED_VALUE"""),45916.6458333333)</f>
        <v>45916.6458333333</v>
      </c>
      <c r="F121" s="17">
        <f>IFERROR(__xludf.DUMMYFUNCTION("""COMPUTED_VALUE"""),2635252)</f>
        <v>2635252</v>
      </c>
      <c r="G121" s="16">
        <f>IFERROR(__xludf.DUMMYFUNCTION("""COMPUTED_VALUE"""),45916.6458333333)</f>
        <v>45916.6458333333</v>
      </c>
      <c r="H121" s="17">
        <f>IFERROR(__xludf.DUMMYFUNCTION("""COMPUTED_VALUE"""),578.45)</f>
        <v>578.45</v>
      </c>
      <c r="I121" s="16">
        <f>IFERROR(__xludf.DUMMYFUNCTION("""COMPUTED_VALUE"""),45916.6458333333)</f>
        <v>45916.6458333333</v>
      </c>
      <c r="J121" s="17">
        <f>IFERROR(__xludf.DUMMYFUNCTION("""COMPUTED_VALUE"""),570.5)</f>
        <v>570.5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IFERROR(__xludf.DUMMYFUNCTION("""COMPUTED_VALUE"""),582.05)</f>
        <v>582.05</v>
      </c>
      <c r="C122" s="16">
        <f>IFERROR(__xludf.DUMMYFUNCTION("""COMPUTED_VALUE"""),45917.6458333333)</f>
        <v>45917.6458333333</v>
      </c>
      <c r="D122" s="17">
        <f>IFERROR(__xludf.DUMMYFUNCTION("""COMPUTED_VALUE"""),577.85)</f>
        <v>577.85</v>
      </c>
      <c r="E122" s="16">
        <f>IFERROR(__xludf.DUMMYFUNCTION("""COMPUTED_VALUE"""),45917.6458333333)</f>
        <v>45917.6458333333</v>
      </c>
      <c r="F122" s="17">
        <f>IFERROR(__xludf.DUMMYFUNCTION("""COMPUTED_VALUE"""),5524985)</f>
        <v>5524985</v>
      </c>
      <c r="G122" s="16">
        <f>IFERROR(__xludf.DUMMYFUNCTION("""COMPUTED_VALUE"""),45917.6458333333)</f>
        <v>45917.6458333333</v>
      </c>
      <c r="H122" s="17">
        <f>IFERROR(__xludf.DUMMYFUNCTION("""COMPUTED_VALUE"""),583.5)</f>
        <v>583.5</v>
      </c>
      <c r="I122" s="16">
        <f>IFERROR(__xludf.DUMMYFUNCTION("""COMPUTED_VALUE"""),45917.6458333333)</f>
        <v>45917.6458333333</v>
      </c>
      <c r="J122" s="17">
        <f>IFERROR(__xludf.DUMMYFUNCTION("""COMPUTED_VALUE"""),575.7)</f>
        <v>575.7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IFERROR(__xludf.DUMMYFUNCTION("""COMPUTED_VALUE"""),581)</f>
        <v>581</v>
      </c>
      <c r="C123" s="16">
        <f>IFERROR(__xludf.DUMMYFUNCTION("""COMPUTED_VALUE"""),45918.6458333333)</f>
        <v>45918.6458333333</v>
      </c>
      <c r="D123" s="17">
        <f>IFERROR(__xludf.DUMMYFUNCTION("""COMPUTED_VALUE"""),583.9)</f>
        <v>583.9</v>
      </c>
      <c r="E123" s="16">
        <f>IFERROR(__xludf.DUMMYFUNCTION("""COMPUTED_VALUE"""),45918.6458333333)</f>
        <v>45918.6458333333</v>
      </c>
      <c r="F123" s="17">
        <f>IFERROR(__xludf.DUMMYFUNCTION("""COMPUTED_VALUE"""),2063929)</f>
        <v>2063929</v>
      </c>
      <c r="G123" s="16">
        <f>IFERROR(__xludf.DUMMYFUNCTION("""COMPUTED_VALUE"""),45918.6458333333)</f>
        <v>45918.6458333333</v>
      </c>
      <c r="H123" s="17">
        <f>IFERROR(__xludf.DUMMYFUNCTION("""COMPUTED_VALUE"""),584.25)</f>
        <v>584.25</v>
      </c>
      <c r="I123" s="16">
        <f>IFERROR(__xludf.DUMMYFUNCTION("""COMPUTED_VALUE"""),45918.6458333333)</f>
        <v>45918.6458333333</v>
      </c>
      <c r="J123" s="17">
        <f>IFERROR(__xludf.DUMMYFUNCTION("""COMPUTED_VALUE"""),576.5)</f>
        <v>576.5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IFERROR(__xludf.DUMMYFUNCTION("""COMPUTED_VALUE"""),582.45)</f>
        <v>582.45</v>
      </c>
      <c r="C124" s="16">
        <f>IFERROR(__xludf.DUMMYFUNCTION("""COMPUTED_VALUE"""),45919.6458333333)</f>
        <v>45919.6458333333</v>
      </c>
      <c r="D124" s="17">
        <f>IFERROR(__xludf.DUMMYFUNCTION("""COMPUTED_VALUE"""),588)</f>
        <v>588</v>
      </c>
      <c r="E124" s="16">
        <f>IFERROR(__xludf.DUMMYFUNCTION("""COMPUTED_VALUE"""),45919.6458333333)</f>
        <v>45919.6458333333</v>
      </c>
      <c r="F124" s="17">
        <f>IFERROR(__xludf.DUMMYFUNCTION("""COMPUTED_VALUE"""),3482230)</f>
        <v>3482230</v>
      </c>
      <c r="G124" s="16">
        <f>IFERROR(__xludf.DUMMYFUNCTION("""COMPUTED_VALUE"""),45919.6458333333)</f>
        <v>45919.6458333333</v>
      </c>
      <c r="H124" s="17">
        <f>IFERROR(__xludf.DUMMYFUNCTION("""COMPUTED_VALUE"""),588.5)</f>
        <v>588.5</v>
      </c>
      <c r="I124" s="16">
        <f>IFERROR(__xludf.DUMMYFUNCTION("""COMPUTED_VALUE"""),45919.6458333333)</f>
        <v>45919.6458333333</v>
      </c>
      <c r="J124" s="17">
        <f>IFERROR(__xludf.DUMMYFUNCTION("""COMPUTED_VALUE"""),578.2)</f>
        <v>578.2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IFERROR(__xludf.DUMMYFUNCTION("""COMPUTED_VALUE"""),590.3)</f>
        <v>590.3</v>
      </c>
      <c r="C125" s="16">
        <f>IFERROR(__xludf.DUMMYFUNCTION("""COMPUTED_VALUE"""),45922.6458333333)</f>
        <v>45922.6458333333</v>
      </c>
      <c r="D125" s="17">
        <f>IFERROR(__xludf.DUMMYFUNCTION("""COMPUTED_VALUE"""),585)</f>
        <v>585</v>
      </c>
      <c r="E125" s="16">
        <f>IFERROR(__xludf.DUMMYFUNCTION("""COMPUTED_VALUE"""),45922.6458333333)</f>
        <v>45922.6458333333</v>
      </c>
      <c r="F125" s="17">
        <f>IFERROR(__xludf.DUMMYFUNCTION("""COMPUTED_VALUE"""),4982920)</f>
        <v>4982920</v>
      </c>
      <c r="G125" s="16">
        <f>IFERROR(__xludf.DUMMYFUNCTION("""COMPUTED_VALUE"""),45922.6458333333)</f>
        <v>45922.6458333333</v>
      </c>
      <c r="H125" s="17">
        <f>IFERROR(__xludf.DUMMYFUNCTION("""COMPUTED_VALUE"""),600.8)</f>
        <v>600.8</v>
      </c>
      <c r="I125" s="16">
        <f>IFERROR(__xludf.DUMMYFUNCTION("""COMPUTED_VALUE"""),45922.6458333333)</f>
        <v>45922.6458333333</v>
      </c>
      <c r="J125" s="17">
        <f>IFERROR(__xludf.DUMMYFUNCTION("""COMPUTED_VALUE"""),581.2)</f>
        <v>581.2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IFERROR(__xludf.DUMMYFUNCTION("""COMPUTED_VALUE"""),591.6)</f>
        <v>591.6</v>
      </c>
      <c r="C126" s="16">
        <f>IFERROR(__xludf.DUMMYFUNCTION("""COMPUTED_VALUE"""),45923.6458333333)</f>
        <v>45923.6458333333</v>
      </c>
      <c r="D126" s="17">
        <f>IFERROR(__xludf.DUMMYFUNCTION("""COMPUTED_VALUE"""),591.95)</f>
        <v>591.95</v>
      </c>
      <c r="E126" s="16">
        <f>IFERROR(__xludf.DUMMYFUNCTION("""COMPUTED_VALUE"""),45923.6458333333)</f>
        <v>45923.6458333333</v>
      </c>
      <c r="F126" s="17">
        <f>IFERROR(__xludf.DUMMYFUNCTION("""COMPUTED_VALUE"""),2989117)</f>
        <v>2989117</v>
      </c>
      <c r="G126" s="16">
        <f>IFERROR(__xludf.DUMMYFUNCTION("""COMPUTED_VALUE"""),45923.6458333333)</f>
        <v>45923.6458333333</v>
      </c>
      <c r="H126" s="17">
        <f>IFERROR(__xludf.DUMMYFUNCTION("""COMPUTED_VALUE"""),594.65)</f>
        <v>594.65</v>
      </c>
      <c r="I126" s="16">
        <f>IFERROR(__xludf.DUMMYFUNCTION("""COMPUTED_VALUE"""),45923.6458333333)</f>
        <v>45923.6458333333</v>
      </c>
      <c r="J126" s="17">
        <f>IFERROR(__xludf.DUMMYFUNCTION("""COMPUTED_VALUE"""),579.15)</f>
        <v>579.15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IFERROR(__xludf.DUMMYFUNCTION("""COMPUTED_VALUE"""),582.65)</f>
        <v>582.65</v>
      </c>
      <c r="C127" s="16">
        <f>IFERROR(__xludf.DUMMYFUNCTION("""COMPUTED_VALUE"""),45924.6458333333)</f>
        <v>45924.6458333333</v>
      </c>
      <c r="D127" s="17">
        <f>IFERROR(__xludf.DUMMYFUNCTION("""COMPUTED_VALUE"""),589)</f>
        <v>589</v>
      </c>
      <c r="E127" s="16">
        <f>IFERROR(__xludf.DUMMYFUNCTION("""COMPUTED_VALUE"""),45924.6458333333)</f>
        <v>45924.6458333333</v>
      </c>
      <c r="F127" s="17">
        <f>IFERROR(__xludf.DUMMYFUNCTION("""COMPUTED_VALUE"""),2053504)</f>
        <v>2053504</v>
      </c>
      <c r="G127" s="16">
        <f>IFERROR(__xludf.DUMMYFUNCTION("""COMPUTED_VALUE"""),45924.6458333333)</f>
        <v>45924.6458333333</v>
      </c>
      <c r="H127" s="17">
        <f>IFERROR(__xludf.DUMMYFUNCTION("""COMPUTED_VALUE"""),598.35)</f>
        <v>598.35</v>
      </c>
      <c r="I127" s="16">
        <f>IFERROR(__xludf.DUMMYFUNCTION("""COMPUTED_VALUE"""),45924.6458333333)</f>
        <v>45924.6458333333</v>
      </c>
      <c r="J127" s="17">
        <f>IFERROR(__xludf.DUMMYFUNCTION("""COMPUTED_VALUE"""),581.65)</f>
        <v>581.65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IFERROR(__xludf.DUMMYFUNCTION("""COMPUTED_VALUE"""),579.4)</f>
        <v>579.4</v>
      </c>
      <c r="C128" s="16">
        <f>IFERROR(__xludf.DUMMYFUNCTION("""COMPUTED_VALUE"""),45925.6458333333)</f>
        <v>45925.6458333333</v>
      </c>
      <c r="D128" s="17">
        <f>IFERROR(__xludf.DUMMYFUNCTION("""COMPUTED_VALUE"""),585)</f>
        <v>585</v>
      </c>
      <c r="E128" s="16">
        <f>IFERROR(__xludf.DUMMYFUNCTION("""COMPUTED_VALUE"""),45925.6458333333)</f>
        <v>45925.6458333333</v>
      </c>
      <c r="F128" s="17">
        <f>IFERROR(__xludf.DUMMYFUNCTION("""COMPUTED_VALUE"""),1932523)</f>
        <v>1932523</v>
      </c>
      <c r="G128" s="16">
        <f>IFERROR(__xludf.DUMMYFUNCTION("""COMPUTED_VALUE"""),45925.6458333333)</f>
        <v>45925.6458333333</v>
      </c>
      <c r="H128" s="17">
        <f>IFERROR(__xludf.DUMMYFUNCTION("""COMPUTED_VALUE"""),588.8)</f>
        <v>588.8</v>
      </c>
      <c r="I128" s="16">
        <f>IFERROR(__xludf.DUMMYFUNCTION("""COMPUTED_VALUE"""),45925.6458333333)</f>
        <v>45925.6458333333</v>
      </c>
      <c r="J128" s="17">
        <f>IFERROR(__xludf.DUMMYFUNCTION("""COMPUTED_VALUE"""),577.8)</f>
        <v>577.8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IFERROR(__xludf.DUMMYFUNCTION("""COMPUTED_VALUE"""),565.2)</f>
        <v>565.2</v>
      </c>
      <c r="C129" s="16">
        <f>IFERROR(__xludf.DUMMYFUNCTION("""COMPUTED_VALUE"""),45926.6458333333)</f>
        <v>45926.6458333333</v>
      </c>
      <c r="D129" s="17">
        <f>IFERROR(__xludf.DUMMYFUNCTION("""COMPUTED_VALUE"""),580.75)</f>
        <v>580.75</v>
      </c>
      <c r="E129" s="16">
        <f>IFERROR(__xludf.DUMMYFUNCTION("""COMPUTED_VALUE"""),45926.6458333333)</f>
        <v>45926.6458333333</v>
      </c>
      <c r="F129" s="17">
        <f>IFERROR(__xludf.DUMMYFUNCTION("""COMPUTED_VALUE"""),1858418)</f>
        <v>1858418</v>
      </c>
      <c r="G129" s="16">
        <f>IFERROR(__xludf.DUMMYFUNCTION("""COMPUTED_VALUE"""),45926.6458333333)</f>
        <v>45926.6458333333</v>
      </c>
      <c r="H129" s="17">
        <f>IFERROR(__xludf.DUMMYFUNCTION("""COMPUTED_VALUE"""),581.8)</f>
        <v>581.8</v>
      </c>
      <c r="I129" s="16">
        <f>IFERROR(__xludf.DUMMYFUNCTION("""COMPUTED_VALUE"""),45926.6458333333)</f>
        <v>45926.6458333333</v>
      </c>
      <c r="J129" s="17">
        <f>IFERROR(__xludf.DUMMYFUNCTION("""COMPUTED_VALUE"""),564.05)</f>
        <v>564.05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102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""price"")"),1090.5)</f>
        <v>1090.5</v>
      </c>
      <c r="I3" s="22" t="s">
        <v>269</v>
      </c>
      <c r="J3" s="23">
        <f>IFERROR(__xludf.DUMMYFUNCTION("GOOGLEFINANCE(L3, ""volume"")"),2425821)</f>
        <v>2425821</v>
      </c>
      <c r="K3" s="24" t="s">
        <v>270</v>
      </c>
      <c r="L3" s="25" t="str">
        <f>Mastersheet!B47</f>
        <v>AUROPHARMA</v>
      </c>
      <c r="M3" s="26">
        <f>IFERROR(__xludf.DUMMYFUNCTION("""COMPUTED_VALUE"""),45926.6458333333)</f>
        <v>45926.6458333333</v>
      </c>
      <c r="N3" s="27">
        <f>IFERROR(__xludf.DUMMYFUNCTION("""COMPUTED_VALUE"""),1090)</f>
        <v>1090</v>
      </c>
      <c r="O3" s="26">
        <f>IFERROR(__xludf.DUMMYFUNCTION("""COMPUTED_VALUE"""),45926.6458333333)</f>
        <v>45926.6458333333</v>
      </c>
      <c r="P3" s="27">
        <f>IFERROR(__xludf.DUMMYFUNCTION("""COMPUTED_VALUE"""),1080.5)</f>
        <v>1080.5</v>
      </c>
      <c r="Q3" s="16">
        <f>IFERROR(__xludf.DUMMYFUNCTION("""COMPUTED_VALUE"""),45926.6458333333)</f>
        <v>45926.6458333333</v>
      </c>
      <c r="R3" s="17">
        <f>IFERROR(__xludf.DUMMYFUNCTION("""COMPUTED_VALUE"""),1100.3)</f>
        <v>1100.3</v>
      </c>
      <c r="S3" s="16">
        <f>IFERROR(__xludf.DUMMYFUNCTION("""COMPUTED_VALUE"""),45926.6458333333)</f>
        <v>45926.6458333333</v>
      </c>
      <c r="T3" s="17">
        <f>IFERROR(__xludf.DUMMYFUNCTION("""COMPUTED_VALUE"""),1072)</f>
        <v>1072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IFERROR(__xludf.DUMMYFUNCTION("""COMPUTED_VALUE"""),1164.25)</f>
        <v>1164.25</v>
      </c>
      <c r="C5" s="14">
        <f>IFERROR(__xludf.DUMMYFUNCTION("""COMPUTED_VALUE"""),45743.6458333333)</f>
        <v>45743.6458333333</v>
      </c>
      <c r="D5" s="15">
        <f>IFERROR(__xludf.DUMMYFUNCTION("""COMPUTED_VALUE"""),1150)</f>
        <v>1150</v>
      </c>
      <c r="E5" s="14">
        <f>IFERROR(__xludf.DUMMYFUNCTION("""COMPUTED_VALUE"""),45743.6458333333)</f>
        <v>45743.6458333333</v>
      </c>
      <c r="F5" s="15">
        <f>IFERROR(__xludf.DUMMYFUNCTION("""COMPUTED_VALUE"""),1209073)</f>
        <v>1209073</v>
      </c>
      <c r="G5" s="14">
        <f>IFERROR(__xludf.DUMMYFUNCTION("""COMPUTED_VALUE"""),45743.6458333333)</f>
        <v>45743.6458333333</v>
      </c>
      <c r="H5" s="15">
        <f>IFERROR(__xludf.DUMMYFUNCTION("""COMPUTED_VALUE"""),1170.6)</f>
        <v>1170.6</v>
      </c>
      <c r="I5" s="30">
        <f>IFERROR(__xludf.DUMMYFUNCTION("""COMPUTED_VALUE"""),45743.6458333333)</f>
        <v>45743.6458333333</v>
      </c>
      <c r="J5" s="3">
        <f>IFERROR(__xludf.DUMMYFUNCTION("""COMPUTED_VALUE"""),1131.85)</f>
        <v>1131.85</v>
      </c>
      <c r="K5" s="5"/>
      <c r="L5" s="5"/>
      <c r="M5" s="3">
        <f t="array" ref="M5">INDEX(K11:K124,MATCH(SMALL(ABS(K11:K124-H3),1),ABS(K11:K124-H3),0))</f>
        <v>1089.7</v>
      </c>
      <c r="N5" s="3">
        <f t="array" ref="N5">INDEX(K11:K124,MATCH(SMALL(ABS(K11:K124-H3),2),ABS(K11:K124-H3),0))</f>
        <v>1128.9</v>
      </c>
      <c r="O5" s="3">
        <f t="array" ref="O5">INDEX(L11:L124,MATCH(SMALL(ABS(L11:L124-H3),1),ABS(L11:L124-H3),0))</f>
        <v>1082.5</v>
      </c>
      <c r="P5" s="3">
        <f t="array" ref="P5">INDEX(L11:L124,MATCH(SMALL(ABS(L11:L124-H3),2),ABS(L11:L124-H3),0))</f>
        <v>1101.4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1089.7</v>
      </c>
      <c r="R5" s="31"/>
      <c r="S5" s="35">
        <f>IF(Q5&gt;0,Q5,S5)</f>
        <v>1089.7</v>
      </c>
      <c r="T5" s="17">
        <f>IF(AND(H3&gt;=Mastersheet!I3*S5,H3&lt;=Mastersheet!J3*S5),1,0)</f>
        <v>0</v>
      </c>
      <c r="U5" s="36">
        <f>(N3+P3)/2</f>
        <v>1085.25</v>
      </c>
      <c r="V5" s="17">
        <f>(N3+P3+R3+T3)/4</f>
        <v>1085.7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IFERROR(__xludf.DUMMYFUNCTION("""COMPUTED_VALUE"""),1160.5)</f>
        <v>1160.5</v>
      </c>
      <c r="C6" s="16">
        <f>IFERROR(__xludf.DUMMYFUNCTION("""COMPUTED_VALUE"""),45744.6458333333)</f>
        <v>45744.6458333333</v>
      </c>
      <c r="D6" s="17">
        <f>IFERROR(__xludf.DUMMYFUNCTION("""COMPUTED_VALUE"""),1165.1)</f>
        <v>1165.1</v>
      </c>
      <c r="E6" s="16">
        <f>IFERROR(__xludf.DUMMYFUNCTION("""COMPUTED_VALUE"""),45744.6458333333)</f>
        <v>45744.6458333333</v>
      </c>
      <c r="F6" s="17">
        <f>IFERROR(__xludf.DUMMYFUNCTION("""COMPUTED_VALUE"""),691447)</f>
        <v>691447</v>
      </c>
      <c r="G6" s="16">
        <f>IFERROR(__xludf.DUMMYFUNCTION("""COMPUTED_VALUE"""),45744.6458333333)</f>
        <v>45744.6458333333</v>
      </c>
      <c r="H6" s="17">
        <f>IFERROR(__xludf.DUMMYFUNCTION("""COMPUTED_VALUE"""),1176)</f>
        <v>1176</v>
      </c>
      <c r="I6" s="16">
        <f>IFERROR(__xludf.DUMMYFUNCTION("""COMPUTED_VALUE"""),45744.6458333333)</f>
        <v>45744.6458333333</v>
      </c>
      <c r="J6" s="17">
        <f>IFERROR(__xludf.DUMMYFUNCTION("""COMPUTED_VALUE"""),1148.45)</f>
        <v>1148.45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IFERROR(__xludf.DUMMYFUNCTION("""COMPUTED_VALUE"""),1134.15)</f>
        <v>1134.15</v>
      </c>
      <c r="C7" s="16">
        <f>IFERROR(__xludf.DUMMYFUNCTION("""COMPUTED_VALUE"""),45748.6458333333)</f>
        <v>45748.6458333333</v>
      </c>
      <c r="D7" s="17">
        <f>IFERROR(__xludf.DUMMYFUNCTION("""COMPUTED_VALUE"""),1156.5)</f>
        <v>1156.5</v>
      </c>
      <c r="E7" s="16">
        <f>IFERROR(__xludf.DUMMYFUNCTION("""COMPUTED_VALUE"""),45748.6458333333)</f>
        <v>45748.6458333333</v>
      </c>
      <c r="F7" s="17">
        <f>IFERROR(__xludf.DUMMYFUNCTION("""COMPUTED_VALUE"""),1120935)</f>
        <v>1120935</v>
      </c>
      <c r="G7" s="16">
        <f>IFERROR(__xludf.DUMMYFUNCTION("""COMPUTED_VALUE"""),45748.6458333333)</f>
        <v>45748.6458333333</v>
      </c>
      <c r="H7" s="17">
        <f>IFERROR(__xludf.DUMMYFUNCTION("""COMPUTED_VALUE"""),1186.2)</f>
        <v>1186.2</v>
      </c>
      <c r="I7" s="16">
        <f>IFERROR(__xludf.DUMMYFUNCTION("""COMPUTED_VALUE"""),45748.6458333333)</f>
        <v>45748.6458333333</v>
      </c>
      <c r="J7" s="17">
        <f>IFERROR(__xludf.DUMMYFUNCTION("""COMPUTED_VALUE"""),1126.45)</f>
        <v>1126.45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IFERROR(__xludf.DUMMYFUNCTION("""COMPUTED_VALUE"""),1157.85)</f>
        <v>1157.85</v>
      </c>
      <c r="C8" s="16">
        <f>IFERROR(__xludf.DUMMYFUNCTION("""COMPUTED_VALUE"""),45749.6458333333)</f>
        <v>45749.6458333333</v>
      </c>
      <c r="D8" s="17">
        <f>IFERROR(__xludf.DUMMYFUNCTION("""COMPUTED_VALUE"""),1133)</f>
        <v>1133</v>
      </c>
      <c r="E8" s="16">
        <f>IFERROR(__xludf.DUMMYFUNCTION("""COMPUTED_VALUE"""),45749.6458333333)</f>
        <v>45749.6458333333</v>
      </c>
      <c r="F8" s="17">
        <f>IFERROR(__xludf.DUMMYFUNCTION("""COMPUTED_VALUE"""),1036861)</f>
        <v>1036861</v>
      </c>
      <c r="G8" s="16">
        <f>IFERROR(__xludf.DUMMYFUNCTION("""COMPUTED_VALUE"""),45749.6458333333)</f>
        <v>45749.6458333333</v>
      </c>
      <c r="H8" s="17">
        <f>IFERROR(__xludf.DUMMYFUNCTION("""COMPUTED_VALUE"""),1161.95)</f>
        <v>1161.95</v>
      </c>
      <c r="I8" s="16">
        <f>IFERROR(__xludf.DUMMYFUNCTION("""COMPUTED_VALUE"""),45749.6458333333)</f>
        <v>45749.6458333333</v>
      </c>
      <c r="J8" s="17">
        <f>IFERROR(__xludf.DUMMYFUNCTION("""COMPUTED_VALUE"""),1117.4)</f>
        <v>1117.4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IFERROR(__xludf.DUMMYFUNCTION("""COMPUTED_VALUE"""),1176.35)</f>
        <v>1176.35</v>
      </c>
      <c r="C9" s="16">
        <f>IFERROR(__xludf.DUMMYFUNCTION("""COMPUTED_VALUE"""),45750.6458333333)</f>
        <v>45750.6458333333</v>
      </c>
      <c r="D9" s="17">
        <f>IFERROR(__xludf.DUMMYFUNCTION("""COMPUTED_VALUE"""),1229)</f>
        <v>1229</v>
      </c>
      <c r="E9" s="16">
        <f>IFERROR(__xludf.DUMMYFUNCTION("""COMPUTED_VALUE"""),45750.6458333333)</f>
        <v>45750.6458333333</v>
      </c>
      <c r="F9" s="17">
        <f>IFERROR(__xludf.DUMMYFUNCTION("""COMPUTED_VALUE"""),7501804)</f>
        <v>7501804</v>
      </c>
      <c r="G9" s="16">
        <f>IFERROR(__xludf.DUMMYFUNCTION("""COMPUTED_VALUE"""),45750.6458333333)</f>
        <v>45750.6458333333</v>
      </c>
      <c r="H9" s="17">
        <f>IFERROR(__xludf.DUMMYFUNCTION("""COMPUTED_VALUE"""),1267.3)</f>
        <v>1267.3</v>
      </c>
      <c r="I9" s="16">
        <f>IFERROR(__xludf.DUMMYFUNCTION("""COMPUTED_VALUE"""),45750.6458333333)</f>
        <v>45750.6458333333</v>
      </c>
      <c r="J9" s="17">
        <f>IFERROR(__xludf.DUMMYFUNCTION("""COMPUTED_VALUE"""),1173.05)</f>
        <v>1173.05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IFERROR(__xludf.DUMMYFUNCTION("""COMPUTED_VALUE"""),1105.35)</f>
        <v>1105.35</v>
      </c>
      <c r="C10" s="16">
        <f>IFERROR(__xludf.DUMMYFUNCTION("""COMPUTED_VALUE"""),45751.6458333333)</f>
        <v>45751.6458333333</v>
      </c>
      <c r="D10" s="17">
        <f>IFERROR(__xludf.DUMMYFUNCTION("""COMPUTED_VALUE"""),1177)</f>
        <v>1177</v>
      </c>
      <c r="E10" s="16">
        <f>IFERROR(__xludf.DUMMYFUNCTION("""COMPUTED_VALUE"""),45751.6458333333)</f>
        <v>45751.6458333333</v>
      </c>
      <c r="F10" s="17">
        <f>IFERROR(__xludf.DUMMYFUNCTION("""COMPUTED_VALUE"""),7151515)</f>
        <v>7151515</v>
      </c>
      <c r="G10" s="16">
        <f>IFERROR(__xludf.DUMMYFUNCTION("""COMPUTED_VALUE"""),45751.6458333333)</f>
        <v>45751.6458333333</v>
      </c>
      <c r="H10" s="17">
        <f>IFERROR(__xludf.DUMMYFUNCTION("""COMPUTED_VALUE"""),1179.45)</f>
        <v>1179.45</v>
      </c>
      <c r="I10" s="16">
        <f>IFERROR(__xludf.DUMMYFUNCTION("""COMPUTED_VALUE"""),45751.6458333333)</f>
        <v>45751.6458333333</v>
      </c>
      <c r="J10" s="17">
        <f>IFERROR(__xludf.DUMMYFUNCTION("""COMPUTED_VALUE"""),1050.1)</f>
        <v>1050.1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IFERROR(__xludf.DUMMYFUNCTION("""COMPUTED_VALUE"""),1094.05)</f>
        <v>1094.05</v>
      </c>
      <c r="C11" s="16">
        <f>IFERROR(__xludf.DUMMYFUNCTION("""COMPUTED_VALUE"""),45754.6458333333)</f>
        <v>45754.6458333333</v>
      </c>
      <c r="D11" s="17">
        <f>IFERROR(__xludf.DUMMYFUNCTION("""COMPUTED_VALUE"""),1010)</f>
        <v>1010</v>
      </c>
      <c r="E11" s="16">
        <f>IFERROR(__xludf.DUMMYFUNCTION("""COMPUTED_VALUE"""),45754.6458333333)</f>
        <v>45754.6458333333</v>
      </c>
      <c r="F11" s="17">
        <f>IFERROR(__xludf.DUMMYFUNCTION("""COMPUTED_VALUE"""),2733813)</f>
        <v>2733813</v>
      </c>
      <c r="G11" s="16">
        <f>IFERROR(__xludf.DUMMYFUNCTION("""COMPUTED_VALUE"""),45754.6458333333)</f>
        <v>45754.6458333333</v>
      </c>
      <c r="H11" s="17">
        <f>IFERROR(__xludf.DUMMYFUNCTION("""COMPUTED_VALUE"""),1109.8)</f>
        <v>1109.8</v>
      </c>
      <c r="I11" s="16">
        <f>IFERROR(__xludf.DUMMYFUNCTION("""COMPUTED_VALUE"""),45754.6458333333)</f>
        <v>45754.6458333333</v>
      </c>
      <c r="J11" s="17">
        <f>IFERROR(__xludf.DUMMYFUNCTION("""COMPUTED_VALUE"""),1010)</f>
        <v>1010</v>
      </c>
      <c r="K11" s="3">
        <f t="shared" ref="K11:K125" si="2">IF(B11=MAX(B5:B17),B11,0)</f>
        <v>0</v>
      </c>
      <c r="L11" s="3">
        <f t="shared" ref="L11:L125" si="3">IF(B11=MIN(B5:B17),B11,0)</f>
        <v>0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IFERROR(__xludf.DUMMYFUNCTION("""COMPUTED_VALUE"""),1097)</f>
        <v>1097</v>
      </c>
      <c r="C12" s="16">
        <f>IFERROR(__xludf.DUMMYFUNCTION("""COMPUTED_VALUE"""),45755.6458333333)</f>
        <v>45755.6458333333</v>
      </c>
      <c r="D12" s="17">
        <f>IFERROR(__xludf.DUMMYFUNCTION("""COMPUTED_VALUE"""),1100.3)</f>
        <v>1100.3</v>
      </c>
      <c r="E12" s="16">
        <f>IFERROR(__xludf.DUMMYFUNCTION("""COMPUTED_VALUE"""),45755.6458333333)</f>
        <v>45755.6458333333</v>
      </c>
      <c r="F12" s="17">
        <f>IFERROR(__xludf.DUMMYFUNCTION("""COMPUTED_VALUE"""),679847)</f>
        <v>679847</v>
      </c>
      <c r="G12" s="16">
        <f>IFERROR(__xludf.DUMMYFUNCTION("""COMPUTED_VALUE"""),45755.6458333333)</f>
        <v>45755.6458333333</v>
      </c>
      <c r="H12" s="17">
        <f>IFERROR(__xludf.DUMMYFUNCTION("""COMPUTED_VALUE"""),1128.9)</f>
        <v>1128.9</v>
      </c>
      <c r="I12" s="16">
        <f>IFERROR(__xludf.DUMMYFUNCTION("""COMPUTED_VALUE"""),45755.6458333333)</f>
        <v>45755.6458333333</v>
      </c>
      <c r="J12" s="17">
        <f>IFERROR(__xludf.DUMMYFUNCTION("""COMPUTED_VALUE"""),1091.15)</f>
        <v>1091.15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IFERROR(__xludf.DUMMYFUNCTION("""COMPUTED_VALUE"""),1058)</f>
        <v>1058</v>
      </c>
      <c r="C13" s="16">
        <f>IFERROR(__xludf.DUMMYFUNCTION("""COMPUTED_VALUE"""),45756.6458333333)</f>
        <v>45756.6458333333</v>
      </c>
      <c r="D13" s="17">
        <f>IFERROR(__xludf.DUMMYFUNCTION("""COMPUTED_VALUE"""),1056.1)</f>
        <v>1056.1</v>
      </c>
      <c r="E13" s="16">
        <f>IFERROR(__xludf.DUMMYFUNCTION("""COMPUTED_VALUE"""),45756.6458333333)</f>
        <v>45756.6458333333</v>
      </c>
      <c r="F13" s="17">
        <f>IFERROR(__xludf.DUMMYFUNCTION("""COMPUTED_VALUE"""),2530341)</f>
        <v>2530341</v>
      </c>
      <c r="G13" s="16">
        <f>IFERROR(__xludf.DUMMYFUNCTION("""COMPUTED_VALUE"""),45756.6458333333)</f>
        <v>45756.6458333333</v>
      </c>
      <c r="H13" s="17">
        <f>IFERROR(__xludf.DUMMYFUNCTION("""COMPUTED_VALUE"""),1076.5)</f>
        <v>1076.5</v>
      </c>
      <c r="I13" s="16">
        <f>IFERROR(__xludf.DUMMYFUNCTION("""COMPUTED_VALUE"""),45756.6458333333)</f>
        <v>45756.6458333333</v>
      </c>
      <c r="J13" s="17">
        <f>IFERROR(__xludf.DUMMYFUNCTION("""COMPUTED_VALUE"""),1042.2)</f>
        <v>1042.2</v>
      </c>
      <c r="K13" s="3">
        <f t="shared" si="2"/>
        <v>0</v>
      </c>
      <c r="L13" s="3">
        <f t="shared" si="3"/>
        <v>1058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IFERROR(__xludf.DUMMYFUNCTION("""COMPUTED_VALUE"""),1082.45)</f>
        <v>1082.45</v>
      </c>
      <c r="C14" s="16">
        <f>IFERROR(__xludf.DUMMYFUNCTION("""COMPUTED_VALUE"""),45758.6458333333)</f>
        <v>45758.6458333333</v>
      </c>
      <c r="D14" s="17">
        <f>IFERROR(__xludf.DUMMYFUNCTION("""COMPUTED_VALUE"""),1099.5)</f>
        <v>1099.5</v>
      </c>
      <c r="E14" s="16">
        <f>IFERROR(__xludf.DUMMYFUNCTION("""COMPUTED_VALUE"""),45758.6458333333)</f>
        <v>45758.6458333333</v>
      </c>
      <c r="F14" s="17">
        <f>IFERROR(__xludf.DUMMYFUNCTION("""COMPUTED_VALUE"""),1559821)</f>
        <v>1559821</v>
      </c>
      <c r="G14" s="16">
        <f>IFERROR(__xludf.DUMMYFUNCTION("""COMPUTED_VALUE"""),45758.6458333333)</f>
        <v>45758.6458333333</v>
      </c>
      <c r="H14" s="17">
        <f>IFERROR(__xludf.DUMMYFUNCTION("""COMPUTED_VALUE"""),1109.8)</f>
        <v>1109.8</v>
      </c>
      <c r="I14" s="16">
        <f>IFERROR(__xludf.DUMMYFUNCTION("""COMPUTED_VALUE"""),45758.6458333333)</f>
        <v>45758.6458333333</v>
      </c>
      <c r="J14" s="17">
        <f>IFERROR(__xludf.DUMMYFUNCTION("""COMPUTED_VALUE"""),1073.1)</f>
        <v>1073.1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IFERROR(__xludf.DUMMYFUNCTION("""COMPUTED_VALUE"""),1134.7)</f>
        <v>1134.7</v>
      </c>
      <c r="C15" s="16">
        <f>IFERROR(__xludf.DUMMYFUNCTION("""COMPUTED_VALUE"""),45762.6458333333)</f>
        <v>45762.6458333333</v>
      </c>
      <c r="D15" s="17">
        <f>IFERROR(__xludf.DUMMYFUNCTION("""COMPUTED_VALUE"""),1110)</f>
        <v>1110</v>
      </c>
      <c r="E15" s="16">
        <f>IFERROR(__xludf.DUMMYFUNCTION("""COMPUTED_VALUE"""),45762.6458333333)</f>
        <v>45762.6458333333</v>
      </c>
      <c r="F15" s="17">
        <f>IFERROR(__xludf.DUMMYFUNCTION("""COMPUTED_VALUE"""),1142896)</f>
        <v>1142896</v>
      </c>
      <c r="G15" s="16">
        <f>IFERROR(__xludf.DUMMYFUNCTION("""COMPUTED_VALUE"""),45762.6458333333)</f>
        <v>45762.6458333333</v>
      </c>
      <c r="H15" s="17">
        <f>IFERROR(__xludf.DUMMYFUNCTION("""COMPUTED_VALUE"""),1138)</f>
        <v>1138</v>
      </c>
      <c r="I15" s="16">
        <f>IFERROR(__xludf.DUMMYFUNCTION("""COMPUTED_VALUE"""),45762.6458333333)</f>
        <v>45762.6458333333</v>
      </c>
      <c r="J15" s="17">
        <f>IFERROR(__xludf.DUMMYFUNCTION("""COMPUTED_VALUE"""),1099)</f>
        <v>1099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IFERROR(__xludf.DUMMYFUNCTION("""COMPUTED_VALUE"""),1133.4)</f>
        <v>1133.4</v>
      </c>
      <c r="C16" s="16">
        <f>IFERROR(__xludf.DUMMYFUNCTION("""COMPUTED_VALUE"""),45763.6458333333)</f>
        <v>45763.6458333333</v>
      </c>
      <c r="D16" s="17">
        <f>IFERROR(__xludf.DUMMYFUNCTION("""COMPUTED_VALUE"""),1138)</f>
        <v>1138</v>
      </c>
      <c r="E16" s="16">
        <f>IFERROR(__xludf.DUMMYFUNCTION("""COMPUTED_VALUE"""),45763.6458333333)</f>
        <v>45763.6458333333</v>
      </c>
      <c r="F16" s="17">
        <f>IFERROR(__xludf.DUMMYFUNCTION("""COMPUTED_VALUE"""),1166098)</f>
        <v>1166098</v>
      </c>
      <c r="G16" s="16">
        <f>IFERROR(__xludf.DUMMYFUNCTION("""COMPUTED_VALUE"""),45763.6458333333)</f>
        <v>45763.6458333333</v>
      </c>
      <c r="H16" s="17">
        <f>IFERROR(__xludf.DUMMYFUNCTION("""COMPUTED_VALUE"""),1152.8)</f>
        <v>1152.8</v>
      </c>
      <c r="I16" s="16">
        <f>IFERROR(__xludf.DUMMYFUNCTION("""COMPUTED_VALUE"""),45763.6458333333)</f>
        <v>45763.6458333333</v>
      </c>
      <c r="J16" s="17">
        <f>IFERROR(__xludf.DUMMYFUNCTION("""COMPUTED_VALUE"""),1119.3)</f>
        <v>1119.3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IFERROR(__xludf.DUMMYFUNCTION("""COMPUTED_VALUE"""),1171.6)</f>
        <v>1171.6</v>
      </c>
      <c r="C17" s="16">
        <f>IFERROR(__xludf.DUMMYFUNCTION("""COMPUTED_VALUE"""),45764.6458333333)</f>
        <v>45764.6458333333</v>
      </c>
      <c r="D17" s="17">
        <f>IFERROR(__xludf.DUMMYFUNCTION("""COMPUTED_VALUE"""),1133.5)</f>
        <v>1133.5</v>
      </c>
      <c r="E17" s="16">
        <f>IFERROR(__xludf.DUMMYFUNCTION("""COMPUTED_VALUE"""),45764.6458333333)</f>
        <v>45764.6458333333</v>
      </c>
      <c r="F17" s="17">
        <f>IFERROR(__xludf.DUMMYFUNCTION("""COMPUTED_VALUE"""),769623)</f>
        <v>769623</v>
      </c>
      <c r="G17" s="16">
        <f>IFERROR(__xludf.DUMMYFUNCTION("""COMPUTED_VALUE"""),45764.6458333333)</f>
        <v>45764.6458333333</v>
      </c>
      <c r="H17" s="17">
        <f>IFERROR(__xludf.DUMMYFUNCTION("""COMPUTED_VALUE"""),1174)</f>
        <v>1174</v>
      </c>
      <c r="I17" s="16">
        <f>IFERROR(__xludf.DUMMYFUNCTION("""COMPUTED_VALUE"""),45764.6458333333)</f>
        <v>45764.6458333333</v>
      </c>
      <c r="J17" s="17">
        <f>IFERROR(__xludf.DUMMYFUNCTION("""COMPUTED_VALUE"""),1131.4)</f>
        <v>1131.4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IFERROR(__xludf.DUMMYFUNCTION("""COMPUTED_VALUE"""),1201.2)</f>
        <v>1201.2</v>
      </c>
      <c r="C18" s="16">
        <f>IFERROR(__xludf.DUMMYFUNCTION("""COMPUTED_VALUE"""),45768.6458333333)</f>
        <v>45768.6458333333</v>
      </c>
      <c r="D18" s="17">
        <f>IFERROR(__xludf.DUMMYFUNCTION("""COMPUTED_VALUE"""),1180)</f>
        <v>1180</v>
      </c>
      <c r="E18" s="16">
        <f>IFERROR(__xludf.DUMMYFUNCTION("""COMPUTED_VALUE"""),45768.6458333333)</f>
        <v>45768.6458333333</v>
      </c>
      <c r="F18" s="17">
        <f>IFERROR(__xludf.DUMMYFUNCTION("""COMPUTED_VALUE"""),653501)</f>
        <v>653501</v>
      </c>
      <c r="G18" s="16">
        <f>IFERROR(__xludf.DUMMYFUNCTION("""COMPUTED_VALUE"""),45768.6458333333)</f>
        <v>45768.6458333333</v>
      </c>
      <c r="H18" s="17">
        <f>IFERROR(__xludf.DUMMYFUNCTION("""COMPUTED_VALUE"""),1203.6)</f>
        <v>1203.6</v>
      </c>
      <c r="I18" s="16">
        <f>IFERROR(__xludf.DUMMYFUNCTION("""COMPUTED_VALUE"""),45768.6458333333)</f>
        <v>45768.6458333333</v>
      </c>
      <c r="J18" s="17">
        <f>IFERROR(__xludf.DUMMYFUNCTION("""COMPUTED_VALUE"""),1167)</f>
        <v>1167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IFERROR(__xludf.DUMMYFUNCTION("""COMPUTED_VALUE"""),1187.7)</f>
        <v>1187.7</v>
      </c>
      <c r="C19" s="16">
        <f>IFERROR(__xludf.DUMMYFUNCTION("""COMPUTED_VALUE"""),45769.6458333333)</f>
        <v>45769.6458333333</v>
      </c>
      <c r="D19" s="17">
        <f>IFERROR(__xludf.DUMMYFUNCTION("""COMPUTED_VALUE"""),1201.2)</f>
        <v>1201.2</v>
      </c>
      <c r="E19" s="16">
        <f>IFERROR(__xludf.DUMMYFUNCTION("""COMPUTED_VALUE"""),45769.6458333333)</f>
        <v>45769.6458333333</v>
      </c>
      <c r="F19" s="17">
        <f>IFERROR(__xludf.DUMMYFUNCTION("""COMPUTED_VALUE"""),494883)</f>
        <v>494883</v>
      </c>
      <c r="G19" s="16">
        <f>IFERROR(__xludf.DUMMYFUNCTION("""COMPUTED_VALUE"""),45769.6458333333)</f>
        <v>45769.6458333333</v>
      </c>
      <c r="H19" s="17">
        <f>IFERROR(__xludf.DUMMYFUNCTION("""COMPUTED_VALUE"""),1215.4)</f>
        <v>1215.4</v>
      </c>
      <c r="I19" s="16">
        <f>IFERROR(__xludf.DUMMYFUNCTION("""COMPUTED_VALUE"""),45769.6458333333)</f>
        <v>45769.6458333333</v>
      </c>
      <c r="J19" s="17">
        <f>IFERROR(__xludf.DUMMYFUNCTION("""COMPUTED_VALUE"""),1183)</f>
        <v>1183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IFERROR(__xludf.DUMMYFUNCTION("""COMPUTED_VALUE"""),1246.8)</f>
        <v>1246.8</v>
      </c>
      <c r="C20" s="16">
        <f>IFERROR(__xludf.DUMMYFUNCTION("""COMPUTED_VALUE"""),45770.6458333333)</f>
        <v>45770.6458333333</v>
      </c>
      <c r="D20" s="17">
        <f>IFERROR(__xludf.DUMMYFUNCTION("""COMPUTED_VALUE"""),1204)</f>
        <v>1204</v>
      </c>
      <c r="E20" s="16">
        <f>IFERROR(__xludf.DUMMYFUNCTION("""COMPUTED_VALUE"""),45770.6458333333)</f>
        <v>45770.6458333333</v>
      </c>
      <c r="F20" s="17">
        <f>IFERROR(__xludf.DUMMYFUNCTION("""COMPUTED_VALUE"""),1339975)</f>
        <v>1339975</v>
      </c>
      <c r="G20" s="16">
        <f>IFERROR(__xludf.DUMMYFUNCTION("""COMPUTED_VALUE"""),45770.6458333333)</f>
        <v>45770.6458333333</v>
      </c>
      <c r="H20" s="17">
        <f>IFERROR(__xludf.DUMMYFUNCTION("""COMPUTED_VALUE"""),1253)</f>
        <v>1253</v>
      </c>
      <c r="I20" s="16">
        <f>IFERROR(__xludf.DUMMYFUNCTION("""COMPUTED_VALUE"""),45770.6458333333)</f>
        <v>45770.6458333333</v>
      </c>
      <c r="J20" s="17">
        <f>IFERROR(__xludf.DUMMYFUNCTION("""COMPUTED_VALUE"""),1182.8)</f>
        <v>1182.8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IFERROR(__xludf.DUMMYFUNCTION("""COMPUTED_VALUE"""),1257.8)</f>
        <v>1257.8</v>
      </c>
      <c r="C21" s="16">
        <f>IFERROR(__xludf.DUMMYFUNCTION("""COMPUTED_VALUE"""),45771.6458333333)</f>
        <v>45771.6458333333</v>
      </c>
      <c r="D21" s="17">
        <f>IFERROR(__xludf.DUMMYFUNCTION("""COMPUTED_VALUE"""),1246.8)</f>
        <v>1246.8</v>
      </c>
      <c r="E21" s="16">
        <f>IFERROR(__xludf.DUMMYFUNCTION("""COMPUTED_VALUE"""),45771.6458333333)</f>
        <v>45771.6458333333</v>
      </c>
      <c r="F21" s="17">
        <f>IFERROR(__xludf.DUMMYFUNCTION("""COMPUTED_VALUE"""),1338298)</f>
        <v>1338298</v>
      </c>
      <c r="G21" s="16">
        <f>IFERROR(__xludf.DUMMYFUNCTION("""COMPUTED_VALUE"""),45771.6458333333)</f>
        <v>45771.6458333333</v>
      </c>
      <c r="H21" s="17">
        <f>IFERROR(__xludf.DUMMYFUNCTION("""COMPUTED_VALUE"""),1278.6)</f>
        <v>1278.6</v>
      </c>
      <c r="I21" s="16">
        <f>IFERROR(__xludf.DUMMYFUNCTION("""COMPUTED_VALUE"""),45771.6458333333)</f>
        <v>45771.6458333333</v>
      </c>
      <c r="J21" s="17">
        <f>IFERROR(__xludf.DUMMYFUNCTION("""COMPUTED_VALUE"""),1239.8)</f>
        <v>1239.8</v>
      </c>
      <c r="K21" s="3">
        <f t="shared" si="2"/>
        <v>1257.8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IFERROR(__xludf.DUMMYFUNCTION("""COMPUTED_VALUE"""),1220.1)</f>
        <v>1220.1</v>
      </c>
      <c r="C22" s="16">
        <f>IFERROR(__xludf.DUMMYFUNCTION("""COMPUTED_VALUE"""),45772.6458333333)</f>
        <v>45772.6458333333</v>
      </c>
      <c r="D22" s="17">
        <f>IFERROR(__xludf.DUMMYFUNCTION("""COMPUTED_VALUE"""),1257.9)</f>
        <v>1257.9</v>
      </c>
      <c r="E22" s="16">
        <f>IFERROR(__xludf.DUMMYFUNCTION("""COMPUTED_VALUE"""),45772.6458333333)</f>
        <v>45772.6458333333</v>
      </c>
      <c r="F22" s="17">
        <f>IFERROR(__xludf.DUMMYFUNCTION("""COMPUTED_VALUE"""),780001)</f>
        <v>780001</v>
      </c>
      <c r="G22" s="16">
        <f>IFERROR(__xludf.DUMMYFUNCTION("""COMPUTED_VALUE"""),45772.6458333333)</f>
        <v>45772.6458333333</v>
      </c>
      <c r="H22" s="17">
        <f>IFERROR(__xludf.DUMMYFUNCTION("""COMPUTED_VALUE"""),1268.9)</f>
        <v>1268.9</v>
      </c>
      <c r="I22" s="16">
        <f>IFERROR(__xludf.DUMMYFUNCTION("""COMPUTED_VALUE"""),45772.6458333333)</f>
        <v>45772.6458333333</v>
      </c>
      <c r="J22" s="17">
        <f>IFERROR(__xludf.DUMMYFUNCTION("""COMPUTED_VALUE"""),1210)</f>
        <v>1210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IFERROR(__xludf.DUMMYFUNCTION("""COMPUTED_VALUE"""),1247.2)</f>
        <v>1247.2</v>
      </c>
      <c r="C23" s="16">
        <f>IFERROR(__xludf.DUMMYFUNCTION("""COMPUTED_VALUE"""),45775.6458333333)</f>
        <v>45775.6458333333</v>
      </c>
      <c r="D23" s="17">
        <f>IFERROR(__xludf.DUMMYFUNCTION("""COMPUTED_VALUE"""),1216)</f>
        <v>1216</v>
      </c>
      <c r="E23" s="16">
        <f>IFERROR(__xludf.DUMMYFUNCTION("""COMPUTED_VALUE"""),45775.6458333333)</f>
        <v>45775.6458333333</v>
      </c>
      <c r="F23" s="17">
        <f>IFERROR(__xludf.DUMMYFUNCTION("""COMPUTED_VALUE"""),1117663)</f>
        <v>1117663</v>
      </c>
      <c r="G23" s="16">
        <f>IFERROR(__xludf.DUMMYFUNCTION("""COMPUTED_VALUE"""),45775.6458333333)</f>
        <v>45775.6458333333</v>
      </c>
      <c r="H23" s="17">
        <f>IFERROR(__xludf.DUMMYFUNCTION("""COMPUTED_VALUE"""),1260.2)</f>
        <v>1260.2</v>
      </c>
      <c r="I23" s="16">
        <f>IFERROR(__xludf.DUMMYFUNCTION("""COMPUTED_VALUE"""),45775.6458333333)</f>
        <v>45775.6458333333</v>
      </c>
      <c r="J23" s="17">
        <f>IFERROR(__xludf.DUMMYFUNCTION("""COMPUTED_VALUE"""),1214.9)</f>
        <v>1214.9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IFERROR(__xludf.DUMMYFUNCTION("""COMPUTED_VALUE"""),1209.6)</f>
        <v>1209.6</v>
      </c>
      <c r="C24" s="16">
        <f>IFERROR(__xludf.DUMMYFUNCTION("""COMPUTED_VALUE"""),45776.6458333333)</f>
        <v>45776.6458333333</v>
      </c>
      <c r="D24" s="17">
        <f>IFERROR(__xludf.DUMMYFUNCTION("""COMPUTED_VALUE"""),1238.4)</f>
        <v>1238.4</v>
      </c>
      <c r="E24" s="16">
        <f>IFERROR(__xludf.DUMMYFUNCTION("""COMPUTED_VALUE"""),45776.6458333333)</f>
        <v>45776.6458333333</v>
      </c>
      <c r="F24" s="17">
        <f>IFERROR(__xludf.DUMMYFUNCTION("""COMPUTED_VALUE"""),1423459)</f>
        <v>1423459</v>
      </c>
      <c r="G24" s="16">
        <f>IFERROR(__xludf.DUMMYFUNCTION("""COMPUTED_VALUE"""),45776.6458333333)</f>
        <v>45776.6458333333</v>
      </c>
      <c r="H24" s="17">
        <f>IFERROR(__xludf.DUMMYFUNCTION("""COMPUTED_VALUE"""),1244.1)</f>
        <v>1244.1</v>
      </c>
      <c r="I24" s="16">
        <f>IFERROR(__xludf.DUMMYFUNCTION("""COMPUTED_VALUE"""),45776.6458333333)</f>
        <v>45776.6458333333</v>
      </c>
      <c r="J24" s="17">
        <f>IFERROR(__xludf.DUMMYFUNCTION("""COMPUTED_VALUE"""),1203.4)</f>
        <v>1203.4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IFERROR(__xludf.DUMMYFUNCTION("""COMPUTED_VALUE"""),1229.1)</f>
        <v>1229.1</v>
      </c>
      <c r="C25" s="16">
        <f>IFERROR(__xludf.DUMMYFUNCTION("""COMPUTED_VALUE"""),45777.6458333333)</f>
        <v>45777.6458333333</v>
      </c>
      <c r="D25" s="17">
        <f>IFERROR(__xludf.DUMMYFUNCTION("""COMPUTED_VALUE"""),1213.3)</f>
        <v>1213.3</v>
      </c>
      <c r="E25" s="16">
        <f>IFERROR(__xludf.DUMMYFUNCTION("""COMPUTED_VALUE"""),45777.6458333333)</f>
        <v>45777.6458333333</v>
      </c>
      <c r="F25" s="17">
        <f>IFERROR(__xludf.DUMMYFUNCTION("""COMPUTED_VALUE"""),1099985)</f>
        <v>1099985</v>
      </c>
      <c r="G25" s="16">
        <f>IFERROR(__xludf.DUMMYFUNCTION("""COMPUTED_VALUE"""),45777.6458333333)</f>
        <v>45777.6458333333</v>
      </c>
      <c r="H25" s="17">
        <f>IFERROR(__xludf.DUMMYFUNCTION("""COMPUTED_VALUE"""),1235)</f>
        <v>1235</v>
      </c>
      <c r="I25" s="16">
        <f>IFERROR(__xludf.DUMMYFUNCTION("""COMPUTED_VALUE"""),45777.6458333333)</f>
        <v>45777.6458333333</v>
      </c>
      <c r="J25" s="17">
        <f>IFERROR(__xludf.DUMMYFUNCTION("""COMPUTED_VALUE"""),1212)</f>
        <v>1212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IFERROR(__xludf.DUMMYFUNCTION("""COMPUTED_VALUE"""),1211.9)</f>
        <v>1211.9</v>
      </c>
      <c r="C26" s="16">
        <f>IFERROR(__xludf.DUMMYFUNCTION("""COMPUTED_VALUE"""),45779.6458333333)</f>
        <v>45779.6458333333</v>
      </c>
      <c r="D26" s="17">
        <f>IFERROR(__xludf.DUMMYFUNCTION("""COMPUTED_VALUE"""),1234)</f>
        <v>1234</v>
      </c>
      <c r="E26" s="16">
        <f>IFERROR(__xludf.DUMMYFUNCTION("""COMPUTED_VALUE"""),45779.6458333333)</f>
        <v>45779.6458333333</v>
      </c>
      <c r="F26" s="17">
        <f>IFERROR(__xludf.DUMMYFUNCTION("""COMPUTED_VALUE"""),522378)</f>
        <v>522378</v>
      </c>
      <c r="G26" s="16">
        <f>IFERROR(__xludf.DUMMYFUNCTION("""COMPUTED_VALUE"""),45779.6458333333)</f>
        <v>45779.6458333333</v>
      </c>
      <c r="H26" s="17">
        <f>IFERROR(__xludf.DUMMYFUNCTION("""COMPUTED_VALUE"""),1248.5)</f>
        <v>1248.5</v>
      </c>
      <c r="I26" s="16">
        <f>IFERROR(__xludf.DUMMYFUNCTION("""COMPUTED_VALUE"""),45779.6458333333)</f>
        <v>45779.6458333333</v>
      </c>
      <c r="J26" s="17">
        <f>IFERROR(__xludf.DUMMYFUNCTION("""COMPUTED_VALUE"""),1204.5)</f>
        <v>1204.5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IFERROR(__xludf.DUMMYFUNCTION("""COMPUTED_VALUE"""),1242)</f>
        <v>1242</v>
      </c>
      <c r="C27" s="16">
        <f>IFERROR(__xludf.DUMMYFUNCTION("""COMPUTED_VALUE"""),45782.6458333333)</f>
        <v>45782.6458333333</v>
      </c>
      <c r="D27" s="17">
        <f>IFERROR(__xludf.DUMMYFUNCTION("""COMPUTED_VALUE"""),1220)</f>
        <v>1220</v>
      </c>
      <c r="E27" s="16">
        <f>IFERROR(__xludf.DUMMYFUNCTION("""COMPUTED_VALUE"""),45782.6458333333)</f>
        <v>45782.6458333333</v>
      </c>
      <c r="F27" s="17">
        <f>IFERROR(__xludf.DUMMYFUNCTION("""COMPUTED_VALUE"""),975562)</f>
        <v>975562</v>
      </c>
      <c r="G27" s="16">
        <f>IFERROR(__xludf.DUMMYFUNCTION("""COMPUTED_VALUE"""),45782.6458333333)</f>
        <v>45782.6458333333</v>
      </c>
      <c r="H27" s="17">
        <f>IFERROR(__xludf.DUMMYFUNCTION("""COMPUTED_VALUE"""),1251)</f>
        <v>1251</v>
      </c>
      <c r="I27" s="16">
        <f>IFERROR(__xludf.DUMMYFUNCTION("""COMPUTED_VALUE"""),45782.6458333333)</f>
        <v>45782.6458333333</v>
      </c>
      <c r="J27" s="17">
        <f>IFERROR(__xludf.DUMMYFUNCTION("""COMPUTED_VALUE"""),1214.9)</f>
        <v>1214.9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IFERROR(__xludf.DUMMYFUNCTION("""COMPUTED_VALUE"""),1210.1)</f>
        <v>1210.1</v>
      </c>
      <c r="C28" s="16">
        <f>IFERROR(__xludf.DUMMYFUNCTION("""COMPUTED_VALUE"""),45783.6458333333)</f>
        <v>45783.6458333333</v>
      </c>
      <c r="D28" s="17">
        <f>IFERROR(__xludf.DUMMYFUNCTION("""COMPUTED_VALUE"""),1225)</f>
        <v>1225</v>
      </c>
      <c r="E28" s="16">
        <f>IFERROR(__xludf.DUMMYFUNCTION("""COMPUTED_VALUE"""),45783.6458333333)</f>
        <v>45783.6458333333</v>
      </c>
      <c r="F28" s="17">
        <f>IFERROR(__xludf.DUMMYFUNCTION("""COMPUTED_VALUE"""),1470105)</f>
        <v>1470105</v>
      </c>
      <c r="G28" s="16">
        <f>IFERROR(__xludf.DUMMYFUNCTION("""COMPUTED_VALUE"""),45783.6458333333)</f>
        <v>45783.6458333333</v>
      </c>
      <c r="H28" s="17">
        <f>IFERROR(__xludf.DUMMYFUNCTION("""COMPUTED_VALUE"""),1225)</f>
        <v>1225</v>
      </c>
      <c r="I28" s="16">
        <f>IFERROR(__xludf.DUMMYFUNCTION("""COMPUTED_VALUE"""),45783.6458333333)</f>
        <v>45783.6458333333</v>
      </c>
      <c r="J28" s="17">
        <f>IFERROR(__xludf.DUMMYFUNCTION("""COMPUTED_VALUE"""),1186.1)</f>
        <v>1186.1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IFERROR(__xludf.DUMMYFUNCTION("""COMPUTED_VALUE"""),1197.1)</f>
        <v>1197.1</v>
      </c>
      <c r="C29" s="16">
        <f>IFERROR(__xludf.DUMMYFUNCTION("""COMPUTED_VALUE"""),45784.6458333333)</f>
        <v>45784.6458333333</v>
      </c>
      <c r="D29" s="17">
        <f>IFERROR(__xludf.DUMMYFUNCTION("""COMPUTED_VALUE"""),1187.4)</f>
        <v>1187.4</v>
      </c>
      <c r="E29" s="16">
        <f>IFERROR(__xludf.DUMMYFUNCTION("""COMPUTED_VALUE"""),45784.6458333333)</f>
        <v>45784.6458333333</v>
      </c>
      <c r="F29" s="17">
        <f>IFERROR(__xludf.DUMMYFUNCTION("""COMPUTED_VALUE"""),878978)</f>
        <v>878978</v>
      </c>
      <c r="G29" s="16">
        <f>IFERROR(__xludf.DUMMYFUNCTION("""COMPUTED_VALUE"""),45784.6458333333)</f>
        <v>45784.6458333333</v>
      </c>
      <c r="H29" s="17">
        <f>IFERROR(__xludf.DUMMYFUNCTION("""COMPUTED_VALUE"""),1217)</f>
        <v>1217</v>
      </c>
      <c r="I29" s="16">
        <f>IFERROR(__xludf.DUMMYFUNCTION("""COMPUTED_VALUE"""),45784.6458333333)</f>
        <v>45784.6458333333</v>
      </c>
      <c r="J29" s="17">
        <f>IFERROR(__xludf.DUMMYFUNCTION("""COMPUTED_VALUE"""),1186.5)</f>
        <v>1186.5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IFERROR(__xludf.DUMMYFUNCTION("""COMPUTED_VALUE"""),1157.6)</f>
        <v>1157.6</v>
      </c>
      <c r="C30" s="16">
        <f>IFERROR(__xludf.DUMMYFUNCTION("""COMPUTED_VALUE"""),45785.6458333333)</f>
        <v>45785.6458333333</v>
      </c>
      <c r="D30" s="17">
        <f>IFERROR(__xludf.DUMMYFUNCTION("""COMPUTED_VALUE"""),1200.4)</f>
        <v>1200.4</v>
      </c>
      <c r="E30" s="16">
        <f>IFERROR(__xludf.DUMMYFUNCTION("""COMPUTED_VALUE"""),45785.6458333333)</f>
        <v>45785.6458333333</v>
      </c>
      <c r="F30" s="17">
        <f>IFERROR(__xludf.DUMMYFUNCTION("""COMPUTED_VALUE"""),996518)</f>
        <v>996518</v>
      </c>
      <c r="G30" s="16">
        <f>IFERROR(__xludf.DUMMYFUNCTION("""COMPUTED_VALUE"""),45785.6458333333)</f>
        <v>45785.6458333333</v>
      </c>
      <c r="H30" s="17">
        <f>IFERROR(__xludf.DUMMYFUNCTION("""COMPUTED_VALUE"""),1207.1)</f>
        <v>1207.1</v>
      </c>
      <c r="I30" s="16">
        <f>IFERROR(__xludf.DUMMYFUNCTION("""COMPUTED_VALUE"""),45785.6458333333)</f>
        <v>45785.6458333333</v>
      </c>
      <c r="J30" s="17">
        <f>IFERROR(__xludf.DUMMYFUNCTION("""COMPUTED_VALUE"""),1151.5)</f>
        <v>1151.5</v>
      </c>
      <c r="K30" s="3">
        <f t="shared" si="2"/>
        <v>0</v>
      </c>
      <c r="L30" s="3">
        <f t="shared" si="3"/>
        <v>1157.6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IFERROR(__xludf.DUMMYFUNCTION("""COMPUTED_VALUE"""),1164.4)</f>
        <v>1164.4</v>
      </c>
      <c r="C31" s="16">
        <f>IFERROR(__xludf.DUMMYFUNCTION("""COMPUTED_VALUE"""),45786.6458333333)</f>
        <v>45786.6458333333</v>
      </c>
      <c r="D31" s="17">
        <f>IFERROR(__xludf.DUMMYFUNCTION("""COMPUTED_VALUE"""),1148)</f>
        <v>1148</v>
      </c>
      <c r="E31" s="16">
        <f>IFERROR(__xludf.DUMMYFUNCTION("""COMPUTED_VALUE"""),45786.6458333333)</f>
        <v>45786.6458333333</v>
      </c>
      <c r="F31" s="17">
        <f>IFERROR(__xludf.DUMMYFUNCTION("""COMPUTED_VALUE"""),645513)</f>
        <v>645513</v>
      </c>
      <c r="G31" s="16">
        <f>IFERROR(__xludf.DUMMYFUNCTION("""COMPUTED_VALUE"""),45786.6458333333)</f>
        <v>45786.6458333333</v>
      </c>
      <c r="H31" s="17">
        <f>IFERROR(__xludf.DUMMYFUNCTION("""COMPUTED_VALUE"""),1167)</f>
        <v>1167</v>
      </c>
      <c r="I31" s="16">
        <f>IFERROR(__xludf.DUMMYFUNCTION("""COMPUTED_VALUE"""),45786.6458333333)</f>
        <v>45786.6458333333</v>
      </c>
      <c r="J31" s="17">
        <f>IFERROR(__xludf.DUMMYFUNCTION("""COMPUTED_VALUE"""),1126)</f>
        <v>1126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IFERROR(__xludf.DUMMYFUNCTION("""COMPUTED_VALUE"""),1205.9)</f>
        <v>1205.9</v>
      </c>
      <c r="C32" s="16">
        <f>IFERROR(__xludf.DUMMYFUNCTION("""COMPUTED_VALUE"""),45789.6458333333)</f>
        <v>45789.6458333333</v>
      </c>
      <c r="D32" s="17">
        <f>IFERROR(__xludf.DUMMYFUNCTION("""COMPUTED_VALUE"""),1155.3)</f>
        <v>1155.3</v>
      </c>
      <c r="E32" s="16">
        <f>IFERROR(__xludf.DUMMYFUNCTION("""COMPUTED_VALUE"""),45789.6458333333)</f>
        <v>45789.6458333333</v>
      </c>
      <c r="F32" s="17">
        <f>IFERROR(__xludf.DUMMYFUNCTION("""COMPUTED_VALUE"""),2357817)</f>
        <v>2357817</v>
      </c>
      <c r="G32" s="16">
        <f>IFERROR(__xludf.DUMMYFUNCTION("""COMPUTED_VALUE"""),45789.6458333333)</f>
        <v>45789.6458333333</v>
      </c>
      <c r="H32" s="17">
        <f>IFERROR(__xludf.DUMMYFUNCTION("""COMPUTED_VALUE"""),1209.8)</f>
        <v>1209.8</v>
      </c>
      <c r="I32" s="16">
        <f>IFERROR(__xludf.DUMMYFUNCTION("""COMPUTED_VALUE"""),45789.6458333333)</f>
        <v>45789.6458333333</v>
      </c>
      <c r="J32" s="17">
        <f>IFERROR(__xludf.DUMMYFUNCTION("""COMPUTED_VALUE"""),1119.9)</f>
        <v>1119.9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IFERROR(__xludf.DUMMYFUNCTION("""COMPUTED_VALUE"""),1223.8)</f>
        <v>1223.8</v>
      </c>
      <c r="C33" s="16">
        <f>IFERROR(__xludf.DUMMYFUNCTION("""COMPUTED_VALUE"""),45790.6458333333)</f>
        <v>45790.6458333333</v>
      </c>
      <c r="D33" s="17">
        <f>IFERROR(__xludf.DUMMYFUNCTION("""COMPUTED_VALUE"""),1225)</f>
        <v>1225</v>
      </c>
      <c r="E33" s="16">
        <f>IFERROR(__xludf.DUMMYFUNCTION("""COMPUTED_VALUE"""),45790.6458333333)</f>
        <v>45790.6458333333</v>
      </c>
      <c r="F33" s="17">
        <f>IFERROR(__xludf.DUMMYFUNCTION("""COMPUTED_VALUE"""),1737594)</f>
        <v>1737594</v>
      </c>
      <c r="G33" s="16">
        <f>IFERROR(__xludf.DUMMYFUNCTION("""COMPUTED_VALUE"""),45790.6458333333)</f>
        <v>45790.6458333333</v>
      </c>
      <c r="H33" s="17">
        <f>IFERROR(__xludf.DUMMYFUNCTION("""COMPUTED_VALUE"""),1251.4)</f>
        <v>1251.4</v>
      </c>
      <c r="I33" s="16">
        <f>IFERROR(__xludf.DUMMYFUNCTION("""COMPUTED_VALUE"""),45790.6458333333)</f>
        <v>45790.6458333333</v>
      </c>
      <c r="J33" s="17">
        <f>IFERROR(__xludf.DUMMYFUNCTION("""COMPUTED_VALUE"""),1220.1)</f>
        <v>1220.1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IFERROR(__xludf.DUMMYFUNCTION("""COMPUTED_VALUE"""),1220)</f>
        <v>1220</v>
      </c>
      <c r="C34" s="16">
        <f>IFERROR(__xludf.DUMMYFUNCTION("""COMPUTED_VALUE"""),45791.6458333333)</f>
        <v>45791.6458333333</v>
      </c>
      <c r="D34" s="17">
        <f>IFERROR(__xludf.DUMMYFUNCTION("""COMPUTED_VALUE"""),1230)</f>
        <v>1230</v>
      </c>
      <c r="E34" s="16">
        <f>IFERROR(__xludf.DUMMYFUNCTION("""COMPUTED_VALUE"""),45791.6458333333)</f>
        <v>45791.6458333333</v>
      </c>
      <c r="F34" s="17">
        <f>IFERROR(__xludf.DUMMYFUNCTION("""COMPUTED_VALUE"""),763945)</f>
        <v>763945</v>
      </c>
      <c r="G34" s="16">
        <f>IFERROR(__xludf.DUMMYFUNCTION("""COMPUTED_VALUE"""),45791.6458333333)</f>
        <v>45791.6458333333</v>
      </c>
      <c r="H34" s="17">
        <f>IFERROR(__xludf.DUMMYFUNCTION("""COMPUTED_VALUE"""),1233.6)</f>
        <v>1233.6</v>
      </c>
      <c r="I34" s="16">
        <f>IFERROR(__xludf.DUMMYFUNCTION("""COMPUTED_VALUE"""),45791.6458333333)</f>
        <v>45791.6458333333</v>
      </c>
      <c r="J34" s="17">
        <f>IFERROR(__xludf.DUMMYFUNCTION("""COMPUTED_VALUE"""),1208.3)</f>
        <v>1208.3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IFERROR(__xludf.DUMMYFUNCTION("""COMPUTED_VALUE"""),1216.9)</f>
        <v>1216.9</v>
      </c>
      <c r="C35" s="16">
        <f>IFERROR(__xludf.DUMMYFUNCTION("""COMPUTED_VALUE"""),45792.6458333333)</f>
        <v>45792.6458333333</v>
      </c>
      <c r="D35" s="17">
        <f>IFERROR(__xludf.DUMMYFUNCTION("""COMPUTED_VALUE"""),1229.7)</f>
        <v>1229.7</v>
      </c>
      <c r="E35" s="16">
        <f>IFERROR(__xludf.DUMMYFUNCTION("""COMPUTED_VALUE"""),45792.6458333333)</f>
        <v>45792.6458333333</v>
      </c>
      <c r="F35" s="17">
        <f>IFERROR(__xludf.DUMMYFUNCTION("""COMPUTED_VALUE"""),831085)</f>
        <v>831085</v>
      </c>
      <c r="G35" s="16">
        <f>IFERROR(__xludf.DUMMYFUNCTION("""COMPUTED_VALUE"""),45792.6458333333)</f>
        <v>45792.6458333333</v>
      </c>
      <c r="H35" s="17">
        <f>IFERROR(__xludf.DUMMYFUNCTION("""COMPUTED_VALUE"""),1229.7)</f>
        <v>1229.7</v>
      </c>
      <c r="I35" s="16">
        <f>IFERROR(__xludf.DUMMYFUNCTION("""COMPUTED_VALUE"""),45792.6458333333)</f>
        <v>45792.6458333333</v>
      </c>
      <c r="J35" s="17">
        <f>IFERROR(__xludf.DUMMYFUNCTION("""COMPUTED_VALUE"""),1209.7)</f>
        <v>1209.7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IFERROR(__xludf.DUMMYFUNCTION("""COMPUTED_VALUE"""),1201.2)</f>
        <v>1201.2</v>
      </c>
      <c r="C36" s="16">
        <f>IFERROR(__xludf.DUMMYFUNCTION("""COMPUTED_VALUE"""),45793.6458333333)</f>
        <v>45793.6458333333</v>
      </c>
      <c r="D36" s="17">
        <f>IFERROR(__xludf.DUMMYFUNCTION("""COMPUTED_VALUE"""),1222.2)</f>
        <v>1222.2</v>
      </c>
      <c r="E36" s="16">
        <f>IFERROR(__xludf.DUMMYFUNCTION("""COMPUTED_VALUE"""),45793.6458333333)</f>
        <v>45793.6458333333</v>
      </c>
      <c r="F36" s="17">
        <f>IFERROR(__xludf.DUMMYFUNCTION("""COMPUTED_VALUE"""),1046820)</f>
        <v>1046820</v>
      </c>
      <c r="G36" s="16">
        <f>IFERROR(__xludf.DUMMYFUNCTION("""COMPUTED_VALUE"""),45793.6458333333)</f>
        <v>45793.6458333333</v>
      </c>
      <c r="H36" s="17">
        <f>IFERROR(__xludf.DUMMYFUNCTION("""COMPUTED_VALUE"""),1225.4)</f>
        <v>1225.4</v>
      </c>
      <c r="I36" s="16">
        <f>IFERROR(__xludf.DUMMYFUNCTION("""COMPUTED_VALUE"""),45793.6458333333)</f>
        <v>45793.6458333333</v>
      </c>
      <c r="J36" s="17">
        <f>IFERROR(__xludf.DUMMYFUNCTION("""COMPUTED_VALUE"""),1197)</f>
        <v>1197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IFERROR(__xludf.DUMMYFUNCTION("""COMPUTED_VALUE"""),1205.9)</f>
        <v>1205.9</v>
      </c>
      <c r="C37" s="16">
        <f>IFERROR(__xludf.DUMMYFUNCTION("""COMPUTED_VALUE"""),45796.6458333333)</f>
        <v>45796.6458333333</v>
      </c>
      <c r="D37" s="17">
        <f>IFERROR(__xludf.DUMMYFUNCTION("""COMPUTED_VALUE"""),1205)</f>
        <v>1205</v>
      </c>
      <c r="E37" s="16">
        <f>IFERROR(__xludf.DUMMYFUNCTION("""COMPUTED_VALUE"""),45796.6458333333)</f>
        <v>45796.6458333333</v>
      </c>
      <c r="F37" s="17">
        <f>IFERROR(__xludf.DUMMYFUNCTION("""COMPUTED_VALUE"""),750206)</f>
        <v>750206</v>
      </c>
      <c r="G37" s="16">
        <f>IFERROR(__xludf.DUMMYFUNCTION("""COMPUTED_VALUE"""),45796.6458333333)</f>
        <v>45796.6458333333</v>
      </c>
      <c r="H37" s="17">
        <f>IFERROR(__xludf.DUMMYFUNCTION("""COMPUTED_VALUE"""),1225.9)</f>
        <v>1225.9</v>
      </c>
      <c r="I37" s="16">
        <f>IFERROR(__xludf.DUMMYFUNCTION("""COMPUTED_VALUE"""),45796.6458333333)</f>
        <v>45796.6458333333</v>
      </c>
      <c r="J37" s="17">
        <f>IFERROR(__xludf.DUMMYFUNCTION("""COMPUTED_VALUE"""),1201.4)</f>
        <v>1201.4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IFERROR(__xludf.DUMMYFUNCTION("""COMPUTED_VALUE"""),1191.8)</f>
        <v>1191.8</v>
      </c>
      <c r="C38" s="16">
        <f>IFERROR(__xludf.DUMMYFUNCTION("""COMPUTED_VALUE"""),45797.6458333333)</f>
        <v>45797.6458333333</v>
      </c>
      <c r="D38" s="17">
        <f>IFERROR(__xludf.DUMMYFUNCTION("""COMPUTED_VALUE"""),1209.5)</f>
        <v>1209.5</v>
      </c>
      <c r="E38" s="16">
        <f>IFERROR(__xludf.DUMMYFUNCTION("""COMPUTED_VALUE"""),45797.6458333333)</f>
        <v>45797.6458333333</v>
      </c>
      <c r="F38" s="17">
        <f>IFERROR(__xludf.DUMMYFUNCTION("""COMPUTED_VALUE"""),1035812)</f>
        <v>1035812</v>
      </c>
      <c r="G38" s="16">
        <f>IFERROR(__xludf.DUMMYFUNCTION("""COMPUTED_VALUE"""),45797.6458333333)</f>
        <v>45797.6458333333</v>
      </c>
      <c r="H38" s="17">
        <f>IFERROR(__xludf.DUMMYFUNCTION("""COMPUTED_VALUE"""),1219.6)</f>
        <v>1219.6</v>
      </c>
      <c r="I38" s="16">
        <f>IFERROR(__xludf.DUMMYFUNCTION("""COMPUTED_VALUE"""),45797.6458333333)</f>
        <v>45797.6458333333</v>
      </c>
      <c r="J38" s="17">
        <f>IFERROR(__xludf.DUMMYFUNCTION("""COMPUTED_VALUE"""),1190)</f>
        <v>1190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IFERROR(__xludf.DUMMYFUNCTION("""COMPUTED_VALUE"""),1204.1)</f>
        <v>1204.1</v>
      </c>
      <c r="C39" s="16">
        <f>IFERROR(__xludf.DUMMYFUNCTION("""COMPUTED_VALUE"""),45798.6458333333)</f>
        <v>45798.6458333333</v>
      </c>
      <c r="D39" s="17">
        <f>IFERROR(__xludf.DUMMYFUNCTION("""COMPUTED_VALUE"""),1187.2)</f>
        <v>1187.2</v>
      </c>
      <c r="E39" s="16">
        <f>IFERROR(__xludf.DUMMYFUNCTION("""COMPUTED_VALUE"""),45798.6458333333)</f>
        <v>45798.6458333333</v>
      </c>
      <c r="F39" s="17">
        <f>IFERROR(__xludf.DUMMYFUNCTION("""COMPUTED_VALUE"""),1378799)</f>
        <v>1378799</v>
      </c>
      <c r="G39" s="16">
        <f>IFERROR(__xludf.DUMMYFUNCTION("""COMPUTED_VALUE"""),45798.6458333333)</f>
        <v>45798.6458333333</v>
      </c>
      <c r="H39" s="17">
        <f>IFERROR(__xludf.DUMMYFUNCTION("""COMPUTED_VALUE"""),1223.9)</f>
        <v>1223.9</v>
      </c>
      <c r="I39" s="16">
        <f>IFERROR(__xludf.DUMMYFUNCTION("""COMPUTED_VALUE"""),45798.6458333333)</f>
        <v>45798.6458333333</v>
      </c>
      <c r="J39" s="17">
        <f>IFERROR(__xludf.DUMMYFUNCTION("""COMPUTED_VALUE"""),1187.2)</f>
        <v>1187.2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IFERROR(__xludf.DUMMYFUNCTION("""COMPUTED_VALUE"""),1188.2)</f>
        <v>1188.2</v>
      </c>
      <c r="C40" s="16">
        <f>IFERROR(__xludf.DUMMYFUNCTION("""COMPUTED_VALUE"""),45799.6458333333)</f>
        <v>45799.6458333333</v>
      </c>
      <c r="D40" s="17">
        <f>IFERROR(__xludf.DUMMYFUNCTION("""COMPUTED_VALUE"""),1208)</f>
        <v>1208</v>
      </c>
      <c r="E40" s="16">
        <f>IFERROR(__xludf.DUMMYFUNCTION("""COMPUTED_VALUE"""),45799.6458333333)</f>
        <v>45799.6458333333</v>
      </c>
      <c r="F40" s="17">
        <f>IFERROR(__xludf.DUMMYFUNCTION("""COMPUTED_VALUE"""),654454)</f>
        <v>654454</v>
      </c>
      <c r="G40" s="16">
        <f>IFERROR(__xludf.DUMMYFUNCTION("""COMPUTED_VALUE"""),45799.6458333333)</f>
        <v>45799.6458333333</v>
      </c>
      <c r="H40" s="17">
        <f>IFERROR(__xludf.DUMMYFUNCTION("""COMPUTED_VALUE"""),1210.8)</f>
        <v>1210.8</v>
      </c>
      <c r="I40" s="16">
        <f>IFERROR(__xludf.DUMMYFUNCTION("""COMPUTED_VALUE"""),45799.6458333333)</f>
        <v>45799.6458333333</v>
      </c>
      <c r="J40" s="17">
        <f>IFERROR(__xludf.DUMMYFUNCTION("""COMPUTED_VALUE"""),1176)</f>
        <v>1176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IFERROR(__xludf.DUMMYFUNCTION("""COMPUTED_VALUE"""),1197.1)</f>
        <v>1197.1</v>
      </c>
      <c r="C41" s="16">
        <f>IFERROR(__xludf.DUMMYFUNCTION("""COMPUTED_VALUE"""),45800.6458333333)</f>
        <v>45800.6458333333</v>
      </c>
      <c r="D41" s="17">
        <f>IFERROR(__xludf.DUMMYFUNCTION("""COMPUTED_VALUE"""),1194)</f>
        <v>1194</v>
      </c>
      <c r="E41" s="16">
        <f>IFERROR(__xludf.DUMMYFUNCTION("""COMPUTED_VALUE"""),45800.6458333333)</f>
        <v>45800.6458333333</v>
      </c>
      <c r="F41" s="17">
        <f>IFERROR(__xludf.DUMMYFUNCTION("""COMPUTED_VALUE"""),395839)</f>
        <v>395839</v>
      </c>
      <c r="G41" s="16">
        <f>IFERROR(__xludf.DUMMYFUNCTION("""COMPUTED_VALUE"""),45800.6458333333)</f>
        <v>45800.6458333333</v>
      </c>
      <c r="H41" s="17">
        <f>IFERROR(__xludf.DUMMYFUNCTION("""COMPUTED_VALUE"""),1200.8)</f>
        <v>1200.8</v>
      </c>
      <c r="I41" s="16">
        <f>IFERROR(__xludf.DUMMYFUNCTION("""COMPUTED_VALUE"""),45800.6458333333)</f>
        <v>45800.6458333333</v>
      </c>
      <c r="J41" s="17">
        <f>IFERROR(__xludf.DUMMYFUNCTION("""COMPUTED_VALUE"""),1179.2)</f>
        <v>1179.2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IFERROR(__xludf.DUMMYFUNCTION("""COMPUTED_VALUE"""),1180.9)</f>
        <v>1180.9</v>
      </c>
      <c r="C42" s="16">
        <f>IFERROR(__xludf.DUMMYFUNCTION("""COMPUTED_VALUE"""),45803.6458333333)</f>
        <v>45803.6458333333</v>
      </c>
      <c r="D42" s="17">
        <f>IFERROR(__xludf.DUMMYFUNCTION("""COMPUTED_VALUE"""),1200)</f>
        <v>1200</v>
      </c>
      <c r="E42" s="16">
        <f>IFERROR(__xludf.DUMMYFUNCTION("""COMPUTED_VALUE"""),45803.6458333333)</f>
        <v>45803.6458333333</v>
      </c>
      <c r="F42" s="17">
        <f>IFERROR(__xludf.DUMMYFUNCTION("""COMPUTED_VALUE"""),590169)</f>
        <v>590169</v>
      </c>
      <c r="G42" s="16">
        <f>IFERROR(__xludf.DUMMYFUNCTION("""COMPUTED_VALUE"""),45803.6458333333)</f>
        <v>45803.6458333333</v>
      </c>
      <c r="H42" s="17">
        <f>IFERROR(__xludf.DUMMYFUNCTION("""COMPUTED_VALUE"""),1208.2)</f>
        <v>1208.2</v>
      </c>
      <c r="I42" s="16">
        <f>IFERROR(__xludf.DUMMYFUNCTION("""COMPUTED_VALUE"""),45803.6458333333)</f>
        <v>45803.6458333333</v>
      </c>
      <c r="J42" s="17">
        <f>IFERROR(__xludf.DUMMYFUNCTION("""COMPUTED_VALUE"""),1175.5)</f>
        <v>1175.5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IFERROR(__xludf.DUMMYFUNCTION("""COMPUTED_VALUE"""),1191.2)</f>
        <v>1191.2</v>
      </c>
      <c r="C43" s="16">
        <f>IFERROR(__xludf.DUMMYFUNCTION("""COMPUTED_VALUE"""),45804.6458333333)</f>
        <v>45804.6458333333</v>
      </c>
      <c r="D43" s="17">
        <f>IFERROR(__xludf.DUMMYFUNCTION("""COMPUTED_VALUE"""),1172.9)</f>
        <v>1172.9</v>
      </c>
      <c r="E43" s="16">
        <f>IFERROR(__xludf.DUMMYFUNCTION("""COMPUTED_VALUE"""),45804.6458333333)</f>
        <v>45804.6458333333</v>
      </c>
      <c r="F43" s="17">
        <f>IFERROR(__xludf.DUMMYFUNCTION("""COMPUTED_VALUE"""),2537489)</f>
        <v>2537489</v>
      </c>
      <c r="G43" s="16">
        <f>IFERROR(__xludf.DUMMYFUNCTION("""COMPUTED_VALUE"""),45804.6458333333)</f>
        <v>45804.6458333333</v>
      </c>
      <c r="H43" s="17">
        <f>IFERROR(__xludf.DUMMYFUNCTION("""COMPUTED_VALUE"""),1207.7)</f>
        <v>1207.7</v>
      </c>
      <c r="I43" s="16">
        <f>IFERROR(__xludf.DUMMYFUNCTION("""COMPUTED_VALUE"""),45804.6458333333)</f>
        <v>45804.6458333333</v>
      </c>
      <c r="J43" s="17">
        <f>IFERROR(__xludf.DUMMYFUNCTION("""COMPUTED_VALUE"""),1165)</f>
        <v>1165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IFERROR(__xludf.DUMMYFUNCTION("""COMPUTED_VALUE"""),1147.8)</f>
        <v>1147.8</v>
      </c>
      <c r="C44" s="16">
        <f>IFERROR(__xludf.DUMMYFUNCTION("""COMPUTED_VALUE"""),45805.6458333333)</f>
        <v>45805.6458333333</v>
      </c>
      <c r="D44" s="17">
        <f>IFERROR(__xludf.DUMMYFUNCTION("""COMPUTED_VALUE"""),1189.5)</f>
        <v>1189.5</v>
      </c>
      <c r="E44" s="16">
        <f>IFERROR(__xludf.DUMMYFUNCTION("""COMPUTED_VALUE"""),45805.6458333333)</f>
        <v>45805.6458333333</v>
      </c>
      <c r="F44" s="17">
        <f>IFERROR(__xludf.DUMMYFUNCTION("""COMPUTED_VALUE"""),1847701)</f>
        <v>1847701</v>
      </c>
      <c r="G44" s="16">
        <f>IFERROR(__xludf.DUMMYFUNCTION("""COMPUTED_VALUE"""),45805.6458333333)</f>
        <v>45805.6458333333</v>
      </c>
      <c r="H44" s="17">
        <f>IFERROR(__xludf.DUMMYFUNCTION("""COMPUTED_VALUE"""),1190.7)</f>
        <v>1190.7</v>
      </c>
      <c r="I44" s="16">
        <f>IFERROR(__xludf.DUMMYFUNCTION("""COMPUTED_VALUE"""),45805.6458333333)</f>
        <v>45805.6458333333</v>
      </c>
      <c r="J44" s="17">
        <f>IFERROR(__xludf.DUMMYFUNCTION("""COMPUTED_VALUE"""),1142)</f>
        <v>1142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IFERROR(__xludf.DUMMYFUNCTION("""COMPUTED_VALUE"""),1172.9)</f>
        <v>1172.9</v>
      </c>
      <c r="C45" s="16">
        <f>IFERROR(__xludf.DUMMYFUNCTION("""COMPUTED_VALUE"""),45806.6458333333)</f>
        <v>45806.6458333333</v>
      </c>
      <c r="D45" s="17">
        <f>IFERROR(__xludf.DUMMYFUNCTION("""COMPUTED_VALUE"""),1160)</f>
        <v>1160</v>
      </c>
      <c r="E45" s="16">
        <f>IFERROR(__xludf.DUMMYFUNCTION("""COMPUTED_VALUE"""),45806.6458333333)</f>
        <v>45806.6458333333</v>
      </c>
      <c r="F45" s="17">
        <f>IFERROR(__xludf.DUMMYFUNCTION("""COMPUTED_VALUE"""),1501372)</f>
        <v>1501372</v>
      </c>
      <c r="G45" s="16">
        <f>IFERROR(__xludf.DUMMYFUNCTION("""COMPUTED_VALUE"""),45806.6458333333)</f>
        <v>45806.6458333333</v>
      </c>
      <c r="H45" s="17">
        <f>IFERROR(__xludf.DUMMYFUNCTION("""COMPUTED_VALUE"""),1176.2)</f>
        <v>1176.2</v>
      </c>
      <c r="I45" s="16">
        <f>IFERROR(__xludf.DUMMYFUNCTION("""COMPUTED_VALUE"""),45806.6458333333)</f>
        <v>45806.6458333333</v>
      </c>
      <c r="J45" s="17">
        <f>IFERROR(__xludf.DUMMYFUNCTION("""COMPUTED_VALUE"""),1147)</f>
        <v>1147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IFERROR(__xludf.DUMMYFUNCTION("""COMPUTED_VALUE"""),1147.8)</f>
        <v>1147.8</v>
      </c>
      <c r="C46" s="16">
        <f>IFERROR(__xludf.DUMMYFUNCTION("""COMPUTED_VALUE"""),45807.6458333333)</f>
        <v>45807.6458333333</v>
      </c>
      <c r="D46" s="17">
        <f>IFERROR(__xludf.DUMMYFUNCTION("""COMPUTED_VALUE"""),1172)</f>
        <v>1172</v>
      </c>
      <c r="E46" s="16">
        <f>IFERROR(__xludf.DUMMYFUNCTION("""COMPUTED_VALUE"""),45807.6458333333)</f>
        <v>45807.6458333333</v>
      </c>
      <c r="F46" s="17">
        <f>IFERROR(__xludf.DUMMYFUNCTION("""COMPUTED_VALUE"""),2022281)</f>
        <v>2022281</v>
      </c>
      <c r="G46" s="16">
        <f>IFERROR(__xludf.DUMMYFUNCTION("""COMPUTED_VALUE"""),45807.6458333333)</f>
        <v>45807.6458333333</v>
      </c>
      <c r="H46" s="17">
        <f>IFERROR(__xludf.DUMMYFUNCTION("""COMPUTED_VALUE"""),1174)</f>
        <v>1174</v>
      </c>
      <c r="I46" s="16">
        <f>IFERROR(__xludf.DUMMYFUNCTION("""COMPUTED_VALUE"""),45807.6458333333)</f>
        <v>45807.6458333333</v>
      </c>
      <c r="J46" s="17">
        <f>IFERROR(__xludf.DUMMYFUNCTION("""COMPUTED_VALUE"""),1144.3)</f>
        <v>1144.3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IFERROR(__xludf.DUMMYFUNCTION("""COMPUTED_VALUE"""),1136.8)</f>
        <v>1136.8</v>
      </c>
      <c r="C47" s="16">
        <f>IFERROR(__xludf.DUMMYFUNCTION("""COMPUTED_VALUE"""),45810.6458333333)</f>
        <v>45810.6458333333</v>
      </c>
      <c r="D47" s="17">
        <f>IFERROR(__xludf.DUMMYFUNCTION("""COMPUTED_VALUE"""),1151)</f>
        <v>1151</v>
      </c>
      <c r="E47" s="16">
        <f>IFERROR(__xludf.DUMMYFUNCTION("""COMPUTED_VALUE"""),45810.6458333333)</f>
        <v>45810.6458333333</v>
      </c>
      <c r="F47" s="17">
        <f>IFERROR(__xludf.DUMMYFUNCTION("""COMPUTED_VALUE"""),1025524)</f>
        <v>1025524</v>
      </c>
      <c r="G47" s="16">
        <f>IFERROR(__xludf.DUMMYFUNCTION("""COMPUTED_VALUE"""),45810.6458333333)</f>
        <v>45810.6458333333</v>
      </c>
      <c r="H47" s="17">
        <f>IFERROR(__xludf.DUMMYFUNCTION("""COMPUTED_VALUE"""),1155)</f>
        <v>1155</v>
      </c>
      <c r="I47" s="16">
        <f>IFERROR(__xludf.DUMMYFUNCTION("""COMPUTED_VALUE"""),45810.6458333333)</f>
        <v>45810.6458333333</v>
      </c>
      <c r="J47" s="17">
        <f>IFERROR(__xludf.DUMMYFUNCTION("""COMPUTED_VALUE"""),1131.1)</f>
        <v>1131.1</v>
      </c>
      <c r="K47" s="3">
        <f t="shared" si="2"/>
        <v>0</v>
      </c>
      <c r="L47" s="3">
        <f t="shared" si="3"/>
        <v>1136.8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IFERROR(__xludf.DUMMYFUNCTION("""COMPUTED_VALUE"""),1143.8)</f>
        <v>1143.8</v>
      </c>
      <c r="C48" s="16">
        <f>IFERROR(__xludf.DUMMYFUNCTION("""COMPUTED_VALUE"""),45811.6458333333)</f>
        <v>45811.6458333333</v>
      </c>
      <c r="D48" s="17">
        <f>IFERROR(__xludf.DUMMYFUNCTION("""COMPUTED_VALUE"""),1136.8)</f>
        <v>1136.8</v>
      </c>
      <c r="E48" s="16">
        <f>IFERROR(__xludf.DUMMYFUNCTION("""COMPUTED_VALUE"""),45811.6458333333)</f>
        <v>45811.6458333333</v>
      </c>
      <c r="F48" s="17">
        <f>IFERROR(__xludf.DUMMYFUNCTION("""COMPUTED_VALUE"""),1839557)</f>
        <v>1839557</v>
      </c>
      <c r="G48" s="16">
        <f>IFERROR(__xludf.DUMMYFUNCTION("""COMPUTED_VALUE"""),45811.6458333333)</f>
        <v>45811.6458333333</v>
      </c>
      <c r="H48" s="17">
        <f>IFERROR(__xludf.DUMMYFUNCTION("""COMPUTED_VALUE"""),1152.9)</f>
        <v>1152.9</v>
      </c>
      <c r="I48" s="16">
        <f>IFERROR(__xludf.DUMMYFUNCTION("""COMPUTED_VALUE"""),45811.6458333333)</f>
        <v>45811.6458333333</v>
      </c>
      <c r="J48" s="17">
        <f>IFERROR(__xludf.DUMMYFUNCTION("""COMPUTED_VALUE"""),1128.9)</f>
        <v>1128.9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IFERROR(__xludf.DUMMYFUNCTION("""COMPUTED_VALUE"""),1138.7)</f>
        <v>1138.7</v>
      </c>
      <c r="C49" s="16">
        <f>IFERROR(__xludf.DUMMYFUNCTION("""COMPUTED_VALUE"""),45812.6458333333)</f>
        <v>45812.6458333333</v>
      </c>
      <c r="D49" s="17">
        <f>IFERROR(__xludf.DUMMYFUNCTION("""COMPUTED_VALUE"""),1145)</f>
        <v>1145</v>
      </c>
      <c r="E49" s="16">
        <f>IFERROR(__xludf.DUMMYFUNCTION("""COMPUTED_VALUE"""),45812.6458333333)</f>
        <v>45812.6458333333</v>
      </c>
      <c r="F49" s="17">
        <f>IFERROR(__xludf.DUMMYFUNCTION("""COMPUTED_VALUE"""),1100538)</f>
        <v>1100538</v>
      </c>
      <c r="G49" s="16">
        <f>IFERROR(__xludf.DUMMYFUNCTION("""COMPUTED_VALUE"""),45812.6458333333)</f>
        <v>45812.6458333333</v>
      </c>
      <c r="H49" s="17">
        <f>IFERROR(__xludf.DUMMYFUNCTION("""COMPUTED_VALUE"""),1152.8)</f>
        <v>1152.8</v>
      </c>
      <c r="I49" s="16">
        <f>IFERROR(__xludf.DUMMYFUNCTION("""COMPUTED_VALUE"""),45812.6458333333)</f>
        <v>45812.6458333333</v>
      </c>
      <c r="J49" s="17">
        <f>IFERROR(__xludf.DUMMYFUNCTION("""COMPUTED_VALUE"""),1135.1)</f>
        <v>1135.1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IFERROR(__xludf.DUMMYFUNCTION("""COMPUTED_VALUE"""),1159.5)</f>
        <v>1159.5</v>
      </c>
      <c r="C50" s="16">
        <f>IFERROR(__xludf.DUMMYFUNCTION("""COMPUTED_VALUE"""),45813.6458333333)</f>
        <v>45813.6458333333</v>
      </c>
      <c r="D50" s="17">
        <f>IFERROR(__xludf.DUMMYFUNCTION("""COMPUTED_VALUE"""),1141.8)</f>
        <v>1141.8</v>
      </c>
      <c r="E50" s="16">
        <f>IFERROR(__xludf.DUMMYFUNCTION("""COMPUTED_VALUE"""),45813.6458333333)</f>
        <v>45813.6458333333</v>
      </c>
      <c r="F50" s="17">
        <f>IFERROR(__xludf.DUMMYFUNCTION("""COMPUTED_VALUE"""),709775)</f>
        <v>709775</v>
      </c>
      <c r="G50" s="16">
        <f>IFERROR(__xludf.DUMMYFUNCTION("""COMPUTED_VALUE"""),45813.6458333333)</f>
        <v>45813.6458333333</v>
      </c>
      <c r="H50" s="17">
        <f>IFERROR(__xludf.DUMMYFUNCTION("""COMPUTED_VALUE"""),1161.5)</f>
        <v>1161.5</v>
      </c>
      <c r="I50" s="16">
        <f>IFERROR(__xludf.DUMMYFUNCTION("""COMPUTED_VALUE"""),45813.6458333333)</f>
        <v>45813.6458333333</v>
      </c>
      <c r="J50" s="17">
        <f>IFERROR(__xludf.DUMMYFUNCTION("""COMPUTED_VALUE"""),1141.8)</f>
        <v>1141.8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IFERROR(__xludf.DUMMYFUNCTION("""COMPUTED_VALUE"""),1161.1)</f>
        <v>1161.1</v>
      </c>
      <c r="C51" s="16">
        <f>IFERROR(__xludf.DUMMYFUNCTION("""COMPUTED_VALUE"""),45814.6458333333)</f>
        <v>45814.6458333333</v>
      </c>
      <c r="D51" s="17">
        <f>IFERROR(__xludf.DUMMYFUNCTION("""COMPUTED_VALUE"""),1160.9)</f>
        <v>1160.9</v>
      </c>
      <c r="E51" s="16">
        <f>IFERROR(__xludf.DUMMYFUNCTION("""COMPUTED_VALUE"""),45814.6458333333)</f>
        <v>45814.6458333333</v>
      </c>
      <c r="F51" s="17">
        <f>IFERROR(__xludf.DUMMYFUNCTION("""COMPUTED_VALUE"""),392642)</f>
        <v>392642</v>
      </c>
      <c r="G51" s="16">
        <f>IFERROR(__xludf.DUMMYFUNCTION("""COMPUTED_VALUE"""),45814.6458333333)</f>
        <v>45814.6458333333</v>
      </c>
      <c r="H51" s="17">
        <f>IFERROR(__xludf.DUMMYFUNCTION("""COMPUTED_VALUE"""),1174.6)</f>
        <v>1174.6</v>
      </c>
      <c r="I51" s="16">
        <f>IFERROR(__xludf.DUMMYFUNCTION("""COMPUTED_VALUE"""),45814.6458333333)</f>
        <v>45814.6458333333</v>
      </c>
      <c r="J51" s="17">
        <f>IFERROR(__xludf.DUMMYFUNCTION("""COMPUTED_VALUE"""),1150)</f>
        <v>1150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IFERROR(__xludf.DUMMYFUNCTION("""COMPUTED_VALUE"""),1161.1)</f>
        <v>1161.1</v>
      </c>
      <c r="C52" s="16">
        <f>IFERROR(__xludf.DUMMYFUNCTION("""COMPUTED_VALUE"""),45817.6458333333)</f>
        <v>45817.6458333333</v>
      </c>
      <c r="D52" s="17">
        <f>IFERROR(__xludf.DUMMYFUNCTION("""COMPUTED_VALUE"""),1161.9)</f>
        <v>1161.9</v>
      </c>
      <c r="E52" s="16">
        <f>IFERROR(__xludf.DUMMYFUNCTION("""COMPUTED_VALUE"""),45817.6458333333)</f>
        <v>45817.6458333333</v>
      </c>
      <c r="F52" s="17">
        <f>IFERROR(__xludf.DUMMYFUNCTION("""COMPUTED_VALUE"""),412132)</f>
        <v>412132</v>
      </c>
      <c r="G52" s="16">
        <f>IFERROR(__xludf.DUMMYFUNCTION("""COMPUTED_VALUE"""),45817.6458333333)</f>
        <v>45817.6458333333</v>
      </c>
      <c r="H52" s="17">
        <f>IFERROR(__xludf.DUMMYFUNCTION("""COMPUTED_VALUE"""),1173.9)</f>
        <v>1173.9</v>
      </c>
      <c r="I52" s="16">
        <f>IFERROR(__xludf.DUMMYFUNCTION("""COMPUTED_VALUE"""),45817.6458333333)</f>
        <v>45817.6458333333</v>
      </c>
      <c r="J52" s="17">
        <f>IFERROR(__xludf.DUMMYFUNCTION("""COMPUTED_VALUE"""),1158.1)</f>
        <v>1158.1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IFERROR(__xludf.DUMMYFUNCTION("""COMPUTED_VALUE"""),1170.9)</f>
        <v>1170.9</v>
      </c>
      <c r="C53" s="16">
        <f>IFERROR(__xludf.DUMMYFUNCTION("""COMPUTED_VALUE"""),45818.6458333333)</f>
        <v>45818.6458333333</v>
      </c>
      <c r="D53" s="17">
        <f>IFERROR(__xludf.DUMMYFUNCTION("""COMPUTED_VALUE"""),1162)</f>
        <v>1162</v>
      </c>
      <c r="E53" s="16">
        <f>IFERROR(__xludf.DUMMYFUNCTION("""COMPUTED_VALUE"""),45818.6458333333)</f>
        <v>45818.6458333333</v>
      </c>
      <c r="F53" s="17">
        <f>IFERROR(__xludf.DUMMYFUNCTION("""COMPUTED_VALUE"""),564177)</f>
        <v>564177</v>
      </c>
      <c r="G53" s="16">
        <f>IFERROR(__xludf.DUMMYFUNCTION("""COMPUTED_VALUE"""),45818.6458333333)</f>
        <v>45818.6458333333</v>
      </c>
      <c r="H53" s="17">
        <f>IFERROR(__xludf.DUMMYFUNCTION("""COMPUTED_VALUE"""),1172.5)</f>
        <v>1172.5</v>
      </c>
      <c r="I53" s="16">
        <f>IFERROR(__xludf.DUMMYFUNCTION("""COMPUTED_VALUE"""),45818.6458333333)</f>
        <v>45818.6458333333</v>
      </c>
      <c r="J53" s="17">
        <f>IFERROR(__xludf.DUMMYFUNCTION("""COMPUTED_VALUE"""),1152.5)</f>
        <v>1152.5</v>
      </c>
      <c r="K53" s="3">
        <f t="shared" si="2"/>
        <v>1170.9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IFERROR(__xludf.DUMMYFUNCTION("""COMPUTED_VALUE"""),1161)</f>
        <v>1161</v>
      </c>
      <c r="C54" s="16">
        <f>IFERROR(__xludf.DUMMYFUNCTION("""COMPUTED_VALUE"""),45819.6458333333)</f>
        <v>45819.6458333333</v>
      </c>
      <c r="D54" s="17">
        <f>IFERROR(__xludf.DUMMYFUNCTION("""COMPUTED_VALUE"""),1194.3)</f>
        <v>1194.3</v>
      </c>
      <c r="E54" s="16">
        <f>IFERROR(__xludf.DUMMYFUNCTION("""COMPUTED_VALUE"""),45819.6458333333)</f>
        <v>45819.6458333333</v>
      </c>
      <c r="F54" s="17">
        <f>IFERROR(__xludf.DUMMYFUNCTION("""COMPUTED_VALUE"""),1341981)</f>
        <v>1341981</v>
      </c>
      <c r="G54" s="16">
        <f>IFERROR(__xludf.DUMMYFUNCTION("""COMPUTED_VALUE"""),45819.6458333333)</f>
        <v>45819.6458333333</v>
      </c>
      <c r="H54" s="17">
        <f>IFERROR(__xludf.DUMMYFUNCTION("""COMPUTED_VALUE"""),1194.3)</f>
        <v>1194.3</v>
      </c>
      <c r="I54" s="16">
        <f>IFERROR(__xludf.DUMMYFUNCTION("""COMPUTED_VALUE"""),45819.6458333333)</f>
        <v>45819.6458333333</v>
      </c>
      <c r="J54" s="17">
        <f>IFERROR(__xludf.DUMMYFUNCTION("""COMPUTED_VALUE"""),1156.4)</f>
        <v>1156.4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IFERROR(__xludf.DUMMYFUNCTION("""COMPUTED_VALUE"""),1155.2)</f>
        <v>1155.2</v>
      </c>
      <c r="C55" s="16">
        <f>IFERROR(__xludf.DUMMYFUNCTION("""COMPUTED_VALUE"""),45820.6458333333)</f>
        <v>45820.6458333333</v>
      </c>
      <c r="D55" s="17">
        <f>IFERROR(__xludf.DUMMYFUNCTION("""COMPUTED_VALUE"""),1164.8)</f>
        <v>1164.8</v>
      </c>
      <c r="E55" s="16">
        <f>IFERROR(__xludf.DUMMYFUNCTION("""COMPUTED_VALUE"""),45820.6458333333)</f>
        <v>45820.6458333333</v>
      </c>
      <c r="F55" s="17">
        <f>IFERROR(__xludf.DUMMYFUNCTION("""COMPUTED_VALUE"""),973800)</f>
        <v>973800</v>
      </c>
      <c r="G55" s="16">
        <f>IFERROR(__xludf.DUMMYFUNCTION("""COMPUTED_VALUE"""),45820.6458333333)</f>
        <v>45820.6458333333</v>
      </c>
      <c r="H55" s="17">
        <f>IFERROR(__xludf.DUMMYFUNCTION("""COMPUTED_VALUE"""),1180.2)</f>
        <v>1180.2</v>
      </c>
      <c r="I55" s="16">
        <f>IFERROR(__xludf.DUMMYFUNCTION("""COMPUTED_VALUE"""),45820.6458333333)</f>
        <v>45820.6458333333</v>
      </c>
      <c r="J55" s="17">
        <f>IFERROR(__xludf.DUMMYFUNCTION("""COMPUTED_VALUE"""),1151)</f>
        <v>1151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IFERROR(__xludf.DUMMYFUNCTION("""COMPUTED_VALUE"""),1150.2)</f>
        <v>1150.2</v>
      </c>
      <c r="C56" s="16">
        <f>IFERROR(__xludf.DUMMYFUNCTION("""COMPUTED_VALUE"""),45821.6458333333)</f>
        <v>45821.6458333333</v>
      </c>
      <c r="D56" s="17">
        <f>IFERROR(__xludf.DUMMYFUNCTION("""COMPUTED_VALUE"""),1141)</f>
        <v>1141</v>
      </c>
      <c r="E56" s="16">
        <f>IFERROR(__xludf.DUMMYFUNCTION("""COMPUTED_VALUE"""),45821.6458333333)</f>
        <v>45821.6458333333</v>
      </c>
      <c r="F56" s="17">
        <f>IFERROR(__xludf.DUMMYFUNCTION("""COMPUTED_VALUE"""),1133056)</f>
        <v>1133056</v>
      </c>
      <c r="G56" s="16">
        <f>IFERROR(__xludf.DUMMYFUNCTION("""COMPUTED_VALUE"""),45821.6458333333)</f>
        <v>45821.6458333333</v>
      </c>
      <c r="H56" s="17">
        <f>IFERROR(__xludf.DUMMYFUNCTION("""COMPUTED_VALUE"""),1155)</f>
        <v>1155</v>
      </c>
      <c r="I56" s="16">
        <f>IFERROR(__xludf.DUMMYFUNCTION("""COMPUTED_VALUE"""),45821.6458333333)</f>
        <v>45821.6458333333</v>
      </c>
      <c r="J56" s="17">
        <f>IFERROR(__xludf.DUMMYFUNCTION("""COMPUTED_VALUE"""),1135.6)</f>
        <v>1135.6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IFERROR(__xludf.DUMMYFUNCTION("""COMPUTED_VALUE"""),1145.4)</f>
        <v>1145.4</v>
      </c>
      <c r="C57" s="16">
        <f>IFERROR(__xludf.DUMMYFUNCTION("""COMPUTED_VALUE"""),45824.6458333333)</f>
        <v>45824.6458333333</v>
      </c>
      <c r="D57" s="17">
        <f>IFERROR(__xludf.DUMMYFUNCTION("""COMPUTED_VALUE"""),1152.1)</f>
        <v>1152.1</v>
      </c>
      <c r="E57" s="16">
        <f>IFERROR(__xludf.DUMMYFUNCTION("""COMPUTED_VALUE"""),45824.6458333333)</f>
        <v>45824.6458333333</v>
      </c>
      <c r="F57" s="17">
        <f>IFERROR(__xludf.DUMMYFUNCTION("""COMPUTED_VALUE"""),878308)</f>
        <v>878308</v>
      </c>
      <c r="G57" s="16">
        <f>IFERROR(__xludf.DUMMYFUNCTION("""COMPUTED_VALUE"""),45824.6458333333)</f>
        <v>45824.6458333333</v>
      </c>
      <c r="H57" s="17">
        <f>IFERROR(__xludf.DUMMYFUNCTION("""COMPUTED_VALUE"""),1157)</f>
        <v>1157</v>
      </c>
      <c r="I57" s="16">
        <f>IFERROR(__xludf.DUMMYFUNCTION("""COMPUTED_VALUE"""),45824.6458333333)</f>
        <v>45824.6458333333</v>
      </c>
      <c r="J57" s="17">
        <f>IFERROR(__xludf.DUMMYFUNCTION("""COMPUTED_VALUE"""),1137.6)</f>
        <v>1137.6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IFERROR(__xludf.DUMMYFUNCTION("""COMPUTED_VALUE"""),1109.7)</f>
        <v>1109.7</v>
      </c>
      <c r="C58" s="16">
        <f>IFERROR(__xludf.DUMMYFUNCTION("""COMPUTED_VALUE"""),45825.6458333333)</f>
        <v>45825.6458333333</v>
      </c>
      <c r="D58" s="17">
        <f>IFERROR(__xludf.DUMMYFUNCTION("""COMPUTED_VALUE"""),1145.4)</f>
        <v>1145.4</v>
      </c>
      <c r="E58" s="16">
        <f>IFERROR(__xludf.DUMMYFUNCTION("""COMPUTED_VALUE"""),45825.6458333333)</f>
        <v>45825.6458333333</v>
      </c>
      <c r="F58" s="17">
        <f>IFERROR(__xludf.DUMMYFUNCTION("""COMPUTED_VALUE"""),2690978)</f>
        <v>2690978</v>
      </c>
      <c r="G58" s="16">
        <f>IFERROR(__xludf.DUMMYFUNCTION("""COMPUTED_VALUE"""),45825.6458333333)</f>
        <v>45825.6458333333</v>
      </c>
      <c r="H58" s="17">
        <f>IFERROR(__xludf.DUMMYFUNCTION("""COMPUTED_VALUE"""),1149.8)</f>
        <v>1149.8</v>
      </c>
      <c r="I58" s="16">
        <f>IFERROR(__xludf.DUMMYFUNCTION("""COMPUTED_VALUE"""),45825.6458333333)</f>
        <v>45825.6458333333</v>
      </c>
      <c r="J58" s="17">
        <f>IFERROR(__xludf.DUMMYFUNCTION("""COMPUTED_VALUE"""),1094.4)</f>
        <v>1094.4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IFERROR(__xludf.DUMMYFUNCTION("""COMPUTED_VALUE"""),1105.3)</f>
        <v>1105.3</v>
      </c>
      <c r="C59" s="16">
        <f>IFERROR(__xludf.DUMMYFUNCTION("""COMPUTED_VALUE"""),45826.6458333333)</f>
        <v>45826.6458333333</v>
      </c>
      <c r="D59" s="17">
        <f>IFERROR(__xludf.DUMMYFUNCTION("""COMPUTED_VALUE"""),1109.7)</f>
        <v>1109.7</v>
      </c>
      <c r="E59" s="16">
        <f>IFERROR(__xludf.DUMMYFUNCTION("""COMPUTED_VALUE"""),45826.6458333333)</f>
        <v>45826.6458333333</v>
      </c>
      <c r="F59" s="17">
        <f>IFERROR(__xludf.DUMMYFUNCTION("""COMPUTED_VALUE"""),860409)</f>
        <v>860409</v>
      </c>
      <c r="G59" s="16">
        <f>IFERROR(__xludf.DUMMYFUNCTION("""COMPUTED_VALUE"""),45826.6458333333)</f>
        <v>45826.6458333333</v>
      </c>
      <c r="H59" s="17">
        <f>IFERROR(__xludf.DUMMYFUNCTION("""COMPUTED_VALUE"""),1123.9)</f>
        <v>1123.9</v>
      </c>
      <c r="I59" s="16">
        <f>IFERROR(__xludf.DUMMYFUNCTION("""COMPUTED_VALUE"""),45826.6458333333)</f>
        <v>45826.6458333333</v>
      </c>
      <c r="J59" s="17">
        <f>IFERROR(__xludf.DUMMYFUNCTION("""COMPUTED_VALUE"""),1101)</f>
        <v>1101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IFERROR(__xludf.DUMMYFUNCTION("""COMPUTED_VALUE"""),1082.5)</f>
        <v>1082.5</v>
      </c>
      <c r="C60" s="16">
        <f>IFERROR(__xludf.DUMMYFUNCTION("""COMPUTED_VALUE"""),45827.6458333333)</f>
        <v>45827.6458333333</v>
      </c>
      <c r="D60" s="17">
        <f>IFERROR(__xludf.DUMMYFUNCTION("""COMPUTED_VALUE"""),1106)</f>
        <v>1106</v>
      </c>
      <c r="E60" s="16">
        <f>IFERROR(__xludf.DUMMYFUNCTION("""COMPUTED_VALUE"""),45827.6458333333)</f>
        <v>45827.6458333333</v>
      </c>
      <c r="F60" s="17">
        <f>IFERROR(__xludf.DUMMYFUNCTION("""COMPUTED_VALUE"""),976481)</f>
        <v>976481</v>
      </c>
      <c r="G60" s="16">
        <f>IFERROR(__xludf.DUMMYFUNCTION("""COMPUTED_VALUE"""),45827.6458333333)</f>
        <v>45827.6458333333</v>
      </c>
      <c r="H60" s="17">
        <f>IFERROR(__xludf.DUMMYFUNCTION("""COMPUTED_VALUE"""),1111.4)</f>
        <v>1111.4</v>
      </c>
      <c r="I60" s="16">
        <f>IFERROR(__xludf.DUMMYFUNCTION("""COMPUTED_VALUE"""),45827.6458333333)</f>
        <v>45827.6458333333</v>
      </c>
      <c r="J60" s="17">
        <f>IFERROR(__xludf.DUMMYFUNCTION("""COMPUTED_VALUE"""),1078.5)</f>
        <v>1078.5</v>
      </c>
      <c r="K60" s="3">
        <f t="shared" si="2"/>
        <v>0</v>
      </c>
      <c r="L60" s="3">
        <f t="shared" si="3"/>
        <v>1082.5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IFERROR(__xludf.DUMMYFUNCTION("""COMPUTED_VALUE"""),1097.2)</f>
        <v>1097.2</v>
      </c>
      <c r="C61" s="16">
        <f>IFERROR(__xludf.DUMMYFUNCTION("""COMPUTED_VALUE"""),45828.6458333333)</f>
        <v>45828.6458333333</v>
      </c>
      <c r="D61" s="17">
        <f>IFERROR(__xludf.DUMMYFUNCTION("""COMPUTED_VALUE"""),1087.9)</f>
        <v>1087.9</v>
      </c>
      <c r="E61" s="16">
        <f>IFERROR(__xludf.DUMMYFUNCTION("""COMPUTED_VALUE"""),45828.6458333333)</f>
        <v>45828.6458333333</v>
      </c>
      <c r="F61" s="17">
        <f>IFERROR(__xludf.DUMMYFUNCTION("""COMPUTED_VALUE"""),2471302)</f>
        <v>2471302</v>
      </c>
      <c r="G61" s="16">
        <f>IFERROR(__xludf.DUMMYFUNCTION("""COMPUTED_VALUE"""),45828.6458333333)</f>
        <v>45828.6458333333</v>
      </c>
      <c r="H61" s="17">
        <f>IFERROR(__xludf.DUMMYFUNCTION("""COMPUTED_VALUE"""),1103)</f>
        <v>1103</v>
      </c>
      <c r="I61" s="16">
        <f>IFERROR(__xludf.DUMMYFUNCTION("""COMPUTED_VALUE"""),45828.6458333333)</f>
        <v>45828.6458333333</v>
      </c>
      <c r="J61" s="17">
        <f>IFERROR(__xludf.DUMMYFUNCTION("""COMPUTED_VALUE"""),1081)</f>
        <v>1081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IFERROR(__xludf.DUMMYFUNCTION("""COMPUTED_VALUE"""),1099.7)</f>
        <v>1099.7</v>
      </c>
      <c r="C62" s="16">
        <f>IFERROR(__xludf.DUMMYFUNCTION("""COMPUTED_VALUE"""),45831.6458333333)</f>
        <v>45831.6458333333</v>
      </c>
      <c r="D62" s="17">
        <f>IFERROR(__xludf.DUMMYFUNCTION("""COMPUTED_VALUE"""),1094.1)</f>
        <v>1094.1</v>
      </c>
      <c r="E62" s="16">
        <f>IFERROR(__xludf.DUMMYFUNCTION("""COMPUTED_VALUE"""),45831.6458333333)</f>
        <v>45831.6458333333</v>
      </c>
      <c r="F62" s="17">
        <f>IFERROR(__xludf.DUMMYFUNCTION("""COMPUTED_VALUE"""),344580)</f>
        <v>344580</v>
      </c>
      <c r="G62" s="16">
        <f>IFERROR(__xludf.DUMMYFUNCTION("""COMPUTED_VALUE"""),45831.6458333333)</f>
        <v>45831.6458333333</v>
      </c>
      <c r="H62" s="17">
        <f>IFERROR(__xludf.DUMMYFUNCTION("""COMPUTED_VALUE"""),1105.4)</f>
        <v>1105.4</v>
      </c>
      <c r="I62" s="16">
        <f>IFERROR(__xludf.DUMMYFUNCTION("""COMPUTED_VALUE"""),45831.6458333333)</f>
        <v>45831.6458333333</v>
      </c>
      <c r="J62" s="17">
        <f>IFERROR(__xludf.DUMMYFUNCTION("""COMPUTED_VALUE"""),1087.2)</f>
        <v>1087.2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IFERROR(__xludf.DUMMYFUNCTION("""COMPUTED_VALUE"""),1104.2)</f>
        <v>1104.2</v>
      </c>
      <c r="C63" s="16">
        <f>IFERROR(__xludf.DUMMYFUNCTION("""COMPUTED_VALUE"""),45832.6458333333)</f>
        <v>45832.6458333333</v>
      </c>
      <c r="D63" s="17">
        <f>IFERROR(__xludf.DUMMYFUNCTION("""COMPUTED_VALUE"""),1102)</f>
        <v>1102</v>
      </c>
      <c r="E63" s="16">
        <f>IFERROR(__xludf.DUMMYFUNCTION("""COMPUTED_VALUE"""),45832.6458333333)</f>
        <v>45832.6458333333</v>
      </c>
      <c r="F63" s="17">
        <f>IFERROR(__xludf.DUMMYFUNCTION("""COMPUTED_VALUE"""),400107)</f>
        <v>400107</v>
      </c>
      <c r="G63" s="16">
        <f>IFERROR(__xludf.DUMMYFUNCTION("""COMPUTED_VALUE"""),45832.6458333333)</f>
        <v>45832.6458333333</v>
      </c>
      <c r="H63" s="17">
        <f>IFERROR(__xludf.DUMMYFUNCTION("""COMPUTED_VALUE"""),1118.5)</f>
        <v>1118.5</v>
      </c>
      <c r="I63" s="16">
        <f>IFERROR(__xludf.DUMMYFUNCTION("""COMPUTED_VALUE"""),45832.6458333333)</f>
        <v>45832.6458333333</v>
      </c>
      <c r="J63" s="17">
        <f>IFERROR(__xludf.DUMMYFUNCTION("""COMPUTED_VALUE"""),1101.1)</f>
        <v>1101.1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IFERROR(__xludf.DUMMYFUNCTION("""COMPUTED_VALUE"""),1120.2)</f>
        <v>1120.2</v>
      </c>
      <c r="C64" s="16">
        <f>IFERROR(__xludf.DUMMYFUNCTION("""COMPUTED_VALUE"""),45833.6458333333)</f>
        <v>45833.6458333333</v>
      </c>
      <c r="D64" s="17">
        <f>IFERROR(__xludf.DUMMYFUNCTION("""COMPUTED_VALUE"""),1117)</f>
        <v>1117</v>
      </c>
      <c r="E64" s="16">
        <f>IFERROR(__xludf.DUMMYFUNCTION("""COMPUTED_VALUE"""),45833.6458333333)</f>
        <v>45833.6458333333</v>
      </c>
      <c r="F64" s="17">
        <f>IFERROR(__xludf.DUMMYFUNCTION("""COMPUTED_VALUE"""),816916)</f>
        <v>816916</v>
      </c>
      <c r="G64" s="16">
        <f>IFERROR(__xludf.DUMMYFUNCTION("""COMPUTED_VALUE"""),45833.6458333333)</f>
        <v>45833.6458333333</v>
      </c>
      <c r="H64" s="17">
        <f>IFERROR(__xludf.DUMMYFUNCTION("""COMPUTED_VALUE"""),1122.1)</f>
        <v>1122.1</v>
      </c>
      <c r="I64" s="16">
        <f>IFERROR(__xludf.DUMMYFUNCTION("""COMPUTED_VALUE"""),45833.6458333333)</f>
        <v>45833.6458333333</v>
      </c>
      <c r="J64" s="17">
        <f>IFERROR(__xludf.DUMMYFUNCTION("""COMPUTED_VALUE"""),1106.8)</f>
        <v>1106.8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IFERROR(__xludf.DUMMYFUNCTION("""COMPUTED_VALUE"""),1123.2)</f>
        <v>1123.2</v>
      </c>
      <c r="C65" s="16">
        <f>IFERROR(__xludf.DUMMYFUNCTION("""COMPUTED_VALUE"""),45834.6458333333)</f>
        <v>45834.6458333333</v>
      </c>
      <c r="D65" s="17">
        <f>IFERROR(__xludf.DUMMYFUNCTION("""COMPUTED_VALUE"""),1132)</f>
        <v>1132</v>
      </c>
      <c r="E65" s="16">
        <f>IFERROR(__xludf.DUMMYFUNCTION("""COMPUTED_VALUE"""),45834.6458333333)</f>
        <v>45834.6458333333</v>
      </c>
      <c r="F65" s="17">
        <f>IFERROR(__xludf.DUMMYFUNCTION("""COMPUTED_VALUE"""),1110836)</f>
        <v>1110836</v>
      </c>
      <c r="G65" s="16">
        <f>IFERROR(__xludf.DUMMYFUNCTION("""COMPUTED_VALUE"""),45834.6458333333)</f>
        <v>45834.6458333333</v>
      </c>
      <c r="H65" s="17">
        <f>IFERROR(__xludf.DUMMYFUNCTION("""COMPUTED_VALUE"""),1135)</f>
        <v>1135</v>
      </c>
      <c r="I65" s="16">
        <f>IFERROR(__xludf.DUMMYFUNCTION("""COMPUTED_VALUE"""),45834.6458333333)</f>
        <v>45834.6458333333</v>
      </c>
      <c r="J65" s="17">
        <f>IFERROR(__xludf.DUMMYFUNCTION("""COMPUTED_VALUE"""),1114.1)</f>
        <v>1114.1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IFERROR(__xludf.DUMMYFUNCTION("""COMPUTED_VALUE"""),1121)</f>
        <v>1121</v>
      </c>
      <c r="C66" s="16">
        <f>IFERROR(__xludf.DUMMYFUNCTION("""COMPUTED_VALUE"""),45835.6458333333)</f>
        <v>45835.6458333333</v>
      </c>
      <c r="D66" s="17">
        <f>IFERROR(__xludf.DUMMYFUNCTION("""COMPUTED_VALUE"""),1128.7)</f>
        <v>1128.7</v>
      </c>
      <c r="E66" s="16">
        <f>IFERROR(__xludf.DUMMYFUNCTION("""COMPUTED_VALUE"""),45835.6458333333)</f>
        <v>45835.6458333333</v>
      </c>
      <c r="F66" s="17">
        <f>IFERROR(__xludf.DUMMYFUNCTION("""COMPUTED_VALUE"""),1627657)</f>
        <v>1627657</v>
      </c>
      <c r="G66" s="16">
        <f>IFERROR(__xludf.DUMMYFUNCTION("""COMPUTED_VALUE"""),45835.6458333333)</f>
        <v>45835.6458333333</v>
      </c>
      <c r="H66" s="17">
        <f>IFERROR(__xludf.DUMMYFUNCTION("""COMPUTED_VALUE"""),1138.8)</f>
        <v>1138.8</v>
      </c>
      <c r="I66" s="16">
        <f>IFERROR(__xludf.DUMMYFUNCTION("""COMPUTED_VALUE"""),45835.6458333333)</f>
        <v>45835.6458333333</v>
      </c>
      <c r="J66" s="17">
        <f>IFERROR(__xludf.DUMMYFUNCTION("""COMPUTED_VALUE"""),1119)</f>
        <v>1119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IFERROR(__xludf.DUMMYFUNCTION("""COMPUTED_VALUE"""),1134.8)</f>
        <v>1134.8</v>
      </c>
      <c r="C67" s="16">
        <f>IFERROR(__xludf.DUMMYFUNCTION("""COMPUTED_VALUE"""),45838.6458333333)</f>
        <v>45838.6458333333</v>
      </c>
      <c r="D67" s="17">
        <f>IFERROR(__xludf.DUMMYFUNCTION("""COMPUTED_VALUE"""),1150)</f>
        <v>1150</v>
      </c>
      <c r="E67" s="16">
        <f>IFERROR(__xludf.DUMMYFUNCTION("""COMPUTED_VALUE"""),45838.6458333333)</f>
        <v>45838.6458333333</v>
      </c>
      <c r="F67" s="17">
        <f>IFERROR(__xludf.DUMMYFUNCTION("""COMPUTED_VALUE"""),1653812)</f>
        <v>1653812</v>
      </c>
      <c r="G67" s="16">
        <f>IFERROR(__xludf.DUMMYFUNCTION("""COMPUTED_VALUE"""),45838.6458333333)</f>
        <v>45838.6458333333</v>
      </c>
      <c r="H67" s="17">
        <f>IFERROR(__xludf.DUMMYFUNCTION("""COMPUTED_VALUE"""),1159.9)</f>
        <v>1159.9</v>
      </c>
      <c r="I67" s="16">
        <f>IFERROR(__xludf.DUMMYFUNCTION("""COMPUTED_VALUE"""),45838.6458333333)</f>
        <v>45838.6458333333</v>
      </c>
      <c r="J67" s="17">
        <f>IFERROR(__xludf.DUMMYFUNCTION("""COMPUTED_VALUE"""),1130)</f>
        <v>1130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IFERROR(__xludf.DUMMYFUNCTION("""COMPUTED_VALUE"""),1132.5)</f>
        <v>1132.5</v>
      </c>
      <c r="C68" s="16">
        <f>IFERROR(__xludf.DUMMYFUNCTION("""COMPUTED_VALUE"""),45839.6458333333)</f>
        <v>45839.6458333333</v>
      </c>
      <c r="D68" s="17">
        <f>IFERROR(__xludf.DUMMYFUNCTION("""COMPUTED_VALUE"""),1137.1)</f>
        <v>1137.1</v>
      </c>
      <c r="E68" s="16">
        <f>IFERROR(__xludf.DUMMYFUNCTION("""COMPUTED_VALUE"""),45839.6458333333)</f>
        <v>45839.6458333333</v>
      </c>
      <c r="F68" s="17">
        <f>IFERROR(__xludf.DUMMYFUNCTION("""COMPUTED_VALUE"""),961883)</f>
        <v>961883</v>
      </c>
      <c r="G68" s="16">
        <f>IFERROR(__xludf.DUMMYFUNCTION("""COMPUTED_VALUE"""),45839.6458333333)</f>
        <v>45839.6458333333</v>
      </c>
      <c r="H68" s="17">
        <f>IFERROR(__xludf.DUMMYFUNCTION("""COMPUTED_VALUE"""),1138.5)</f>
        <v>1138.5</v>
      </c>
      <c r="I68" s="16">
        <f>IFERROR(__xludf.DUMMYFUNCTION("""COMPUTED_VALUE"""),45839.6458333333)</f>
        <v>45839.6458333333</v>
      </c>
      <c r="J68" s="17">
        <f>IFERROR(__xludf.DUMMYFUNCTION("""COMPUTED_VALUE"""),1112)</f>
        <v>1112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IFERROR(__xludf.DUMMYFUNCTION("""COMPUTED_VALUE"""),1158)</f>
        <v>1158</v>
      </c>
      <c r="C69" s="16">
        <f>IFERROR(__xludf.DUMMYFUNCTION("""COMPUTED_VALUE"""),45840.6458333333)</f>
        <v>45840.6458333333</v>
      </c>
      <c r="D69" s="17">
        <f>IFERROR(__xludf.DUMMYFUNCTION("""COMPUTED_VALUE"""),1133)</f>
        <v>1133</v>
      </c>
      <c r="E69" s="16">
        <f>IFERROR(__xludf.DUMMYFUNCTION("""COMPUTED_VALUE"""),45840.6458333333)</f>
        <v>45840.6458333333</v>
      </c>
      <c r="F69" s="17">
        <f>IFERROR(__xludf.DUMMYFUNCTION("""COMPUTED_VALUE"""),1558073)</f>
        <v>1558073</v>
      </c>
      <c r="G69" s="16">
        <f>IFERROR(__xludf.DUMMYFUNCTION("""COMPUTED_VALUE"""),45840.6458333333)</f>
        <v>45840.6458333333</v>
      </c>
      <c r="H69" s="17">
        <f>IFERROR(__xludf.DUMMYFUNCTION("""COMPUTED_VALUE"""),1167.6)</f>
        <v>1167.6</v>
      </c>
      <c r="I69" s="16">
        <f>IFERROR(__xludf.DUMMYFUNCTION("""COMPUTED_VALUE"""),45840.6458333333)</f>
        <v>45840.6458333333</v>
      </c>
      <c r="J69" s="17">
        <f>IFERROR(__xludf.DUMMYFUNCTION("""COMPUTED_VALUE"""),1131.1)</f>
        <v>1131.1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IFERROR(__xludf.DUMMYFUNCTION("""COMPUTED_VALUE"""),1156.1)</f>
        <v>1156.1</v>
      </c>
      <c r="C70" s="16">
        <f>IFERROR(__xludf.DUMMYFUNCTION("""COMPUTED_VALUE"""),45841.6458333333)</f>
        <v>45841.6458333333</v>
      </c>
      <c r="D70" s="17">
        <f>IFERROR(__xludf.DUMMYFUNCTION("""COMPUTED_VALUE"""),1164)</f>
        <v>1164</v>
      </c>
      <c r="E70" s="16">
        <f>IFERROR(__xludf.DUMMYFUNCTION("""COMPUTED_VALUE"""),45841.6458333333)</f>
        <v>45841.6458333333</v>
      </c>
      <c r="F70" s="17">
        <f>IFERROR(__xludf.DUMMYFUNCTION("""COMPUTED_VALUE"""),1234364)</f>
        <v>1234364</v>
      </c>
      <c r="G70" s="16">
        <f>IFERROR(__xludf.DUMMYFUNCTION("""COMPUTED_VALUE"""),45841.6458333333)</f>
        <v>45841.6458333333</v>
      </c>
      <c r="H70" s="17">
        <f>IFERROR(__xludf.DUMMYFUNCTION("""COMPUTED_VALUE"""),1164)</f>
        <v>1164</v>
      </c>
      <c r="I70" s="16">
        <f>IFERROR(__xludf.DUMMYFUNCTION("""COMPUTED_VALUE"""),45841.6458333333)</f>
        <v>45841.6458333333</v>
      </c>
      <c r="J70" s="17">
        <f>IFERROR(__xludf.DUMMYFUNCTION("""COMPUTED_VALUE"""),1144.2)</f>
        <v>1144.2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IFERROR(__xludf.DUMMYFUNCTION("""COMPUTED_VALUE"""),1191.3)</f>
        <v>1191.3</v>
      </c>
      <c r="C71" s="16">
        <f>IFERROR(__xludf.DUMMYFUNCTION("""COMPUTED_VALUE"""),45842.6458333333)</f>
        <v>45842.6458333333</v>
      </c>
      <c r="D71" s="17">
        <f>IFERROR(__xludf.DUMMYFUNCTION("""COMPUTED_VALUE"""),1160.1)</f>
        <v>1160.1</v>
      </c>
      <c r="E71" s="16">
        <f>IFERROR(__xludf.DUMMYFUNCTION("""COMPUTED_VALUE"""),45842.6458333333)</f>
        <v>45842.6458333333</v>
      </c>
      <c r="F71" s="17">
        <f>IFERROR(__xludf.DUMMYFUNCTION("""COMPUTED_VALUE"""),1933477)</f>
        <v>1933477</v>
      </c>
      <c r="G71" s="16">
        <f>IFERROR(__xludf.DUMMYFUNCTION("""COMPUTED_VALUE"""),45842.6458333333)</f>
        <v>45842.6458333333</v>
      </c>
      <c r="H71" s="17">
        <f>IFERROR(__xludf.DUMMYFUNCTION("""COMPUTED_VALUE"""),1197)</f>
        <v>1197</v>
      </c>
      <c r="I71" s="16">
        <f>IFERROR(__xludf.DUMMYFUNCTION("""COMPUTED_VALUE"""),45842.6458333333)</f>
        <v>45842.6458333333</v>
      </c>
      <c r="J71" s="17">
        <f>IFERROR(__xludf.DUMMYFUNCTION("""COMPUTED_VALUE"""),1158.6)</f>
        <v>1158.6</v>
      </c>
      <c r="K71" s="3">
        <f t="shared" si="2"/>
        <v>1191.3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IFERROR(__xludf.DUMMYFUNCTION("""COMPUTED_VALUE"""),1185.1)</f>
        <v>1185.1</v>
      </c>
      <c r="C72" s="16">
        <f>IFERROR(__xludf.DUMMYFUNCTION("""COMPUTED_VALUE"""),45845.6458333333)</f>
        <v>45845.6458333333</v>
      </c>
      <c r="D72" s="17">
        <f>IFERROR(__xludf.DUMMYFUNCTION("""COMPUTED_VALUE"""),1188)</f>
        <v>1188</v>
      </c>
      <c r="E72" s="16">
        <f>IFERROR(__xludf.DUMMYFUNCTION("""COMPUTED_VALUE"""),45845.6458333333)</f>
        <v>45845.6458333333</v>
      </c>
      <c r="F72" s="17">
        <f>IFERROR(__xludf.DUMMYFUNCTION("""COMPUTED_VALUE"""),697326)</f>
        <v>697326</v>
      </c>
      <c r="G72" s="16">
        <f>IFERROR(__xludf.DUMMYFUNCTION("""COMPUTED_VALUE"""),45845.6458333333)</f>
        <v>45845.6458333333</v>
      </c>
      <c r="H72" s="17">
        <f>IFERROR(__xludf.DUMMYFUNCTION("""COMPUTED_VALUE"""),1193)</f>
        <v>1193</v>
      </c>
      <c r="I72" s="16">
        <f>IFERROR(__xludf.DUMMYFUNCTION("""COMPUTED_VALUE"""),45845.6458333333)</f>
        <v>45845.6458333333</v>
      </c>
      <c r="J72" s="17">
        <f>IFERROR(__xludf.DUMMYFUNCTION("""COMPUTED_VALUE"""),1176)</f>
        <v>1176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IFERROR(__xludf.DUMMYFUNCTION("""COMPUTED_VALUE"""),1147.7)</f>
        <v>1147.7</v>
      </c>
      <c r="C73" s="16">
        <f>IFERROR(__xludf.DUMMYFUNCTION("""COMPUTED_VALUE"""),45846.6458333333)</f>
        <v>45846.6458333333</v>
      </c>
      <c r="D73" s="17">
        <f>IFERROR(__xludf.DUMMYFUNCTION("""COMPUTED_VALUE"""),1169.1)</f>
        <v>1169.1</v>
      </c>
      <c r="E73" s="16">
        <f>IFERROR(__xludf.DUMMYFUNCTION("""COMPUTED_VALUE"""),45846.6458333333)</f>
        <v>45846.6458333333</v>
      </c>
      <c r="F73" s="17">
        <f>IFERROR(__xludf.DUMMYFUNCTION("""COMPUTED_VALUE"""),2226072)</f>
        <v>2226072</v>
      </c>
      <c r="G73" s="16">
        <f>IFERROR(__xludf.DUMMYFUNCTION("""COMPUTED_VALUE"""),45846.6458333333)</f>
        <v>45846.6458333333</v>
      </c>
      <c r="H73" s="17">
        <f>IFERROR(__xludf.DUMMYFUNCTION("""COMPUTED_VALUE"""),1171.9)</f>
        <v>1171.9</v>
      </c>
      <c r="I73" s="16">
        <f>IFERROR(__xludf.DUMMYFUNCTION("""COMPUTED_VALUE"""),45846.6458333333)</f>
        <v>45846.6458333333</v>
      </c>
      <c r="J73" s="17">
        <f>IFERROR(__xludf.DUMMYFUNCTION("""COMPUTED_VALUE"""),1130.7)</f>
        <v>1130.7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IFERROR(__xludf.DUMMYFUNCTION("""COMPUTED_VALUE"""),1142.6)</f>
        <v>1142.6</v>
      </c>
      <c r="C74" s="16">
        <f>IFERROR(__xludf.DUMMYFUNCTION("""COMPUTED_VALUE"""),45847.6458333333)</f>
        <v>45847.6458333333</v>
      </c>
      <c r="D74" s="17">
        <f>IFERROR(__xludf.DUMMYFUNCTION("""COMPUTED_VALUE"""),1152)</f>
        <v>1152</v>
      </c>
      <c r="E74" s="16">
        <f>IFERROR(__xludf.DUMMYFUNCTION("""COMPUTED_VALUE"""),45847.6458333333)</f>
        <v>45847.6458333333</v>
      </c>
      <c r="F74" s="17">
        <f>IFERROR(__xludf.DUMMYFUNCTION("""COMPUTED_VALUE"""),1453848)</f>
        <v>1453848</v>
      </c>
      <c r="G74" s="16">
        <f>IFERROR(__xludf.DUMMYFUNCTION("""COMPUTED_VALUE"""),45847.6458333333)</f>
        <v>45847.6458333333</v>
      </c>
      <c r="H74" s="17">
        <f>IFERROR(__xludf.DUMMYFUNCTION("""COMPUTED_VALUE"""),1164.5)</f>
        <v>1164.5</v>
      </c>
      <c r="I74" s="16">
        <f>IFERROR(__xludf.DUMMYFUNCTION("""COMPUTED_VALUE"""),45847.6458333333)</f>
        <v>45847.6458333333</v>
      </c>
      <c r="J74" s="17">
        <f>IFERROR(__xludf.DUMMYFUNCTION("""COMPUTED_VALUE"""),1135.3)</f>
        <v>1135.3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IFERROR(__xludf.DUMMYFUNCTION("""COMPUTED_VALUE"""),1129.9)</f>
        <v>1129.9</v>
      </c>
      <c r="C75" s="16">
        <f>IFERROR(__xludf.DUMMYFUNCTION("""COMPUTED_VALUE"""),45848.6458333333)</f>
        <v>45848.6458333333</v>
      </c>
      <c r="D75" s="17">
        <f>IFERROR(__xludf.DUMMYFUNCTION("""COMPUTED_VALUE"""),1143)</f>
        <v>1143</v>
      </c>
      <c r="E75" s="16">
        <f>IFERROR(__xludf.DUMMYFUNCTION("""COMPUTED_VALUE"""),45848.6458333333)</f>
        <v>45848.6458333333</v>
      </c>
      <c r="F75" s="17">
        <f>IFERROR(__xludf.DUMMYFUNCTION("""COMPUTED_VALUE"""),869017)</f>
        <v>869017</v>
      </c>
      <c r="G75" s="16">
        <f>IFERROR(__xludf.DUMMYFUNCTION("""COMPUTED_VALUE"""),45848.6458333333)</f>
        <v>45848.6458333333</v>
      </c>
      <c r="H75" s="17">
        <f>IFERROR(__xludf.DUMMYFUNCTION("""COMPUTED_VALUE"""),1151)</f>
        <v>1151</v>
      </c>
      <c r="I75" s="16">
        <f>IFERROR(__xludf.DUMMYFUNCTION("""COMPUTED_VALUE"""),45848.6458333333)</f>
        <v>45848.6458333333</v>
      </c>
      <c r="J75" s="17">
        <f>IFERROR(__xludf.DUMMYFUNCTION("""COMPUTED_VALUE"""),1127.1)</f>
        <v>1127.1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IFERROR(__xludf.DUMMYFUNCTION("""COMPUTED_VALUE"""),1124.8)</f>
        <v>1124.8</v>
      </c>
      <c r="C76" s="16">
        <f>IFERROR(__xludf.DUMMYFUNCTION("""COMPUTED_VALUE"""),45849.6458333333)</f>
        <v>45849.6458333333</v>
      </c>
      <c r="D76" s="17">
        <f>IFERROR(__xludf.DUMMYFUNCTION("""COMPUTED_VALUE"""),1135)</f>
        <v>1135</v>
      </c>
      <c r="E76" s="16">
        <f>IFERROR(__xludf.DUMMYFUNCTION("""COMPUTED_VALUE"""),45849.6458333333)</f>
        <v>45849.6458333333</v>
      </c>
      <c r="F76" s="17">
        <f>IFERROR(__xludf.DUMMYFUNCTION("""COMPUTED_VALUE"""),1058994)</f>
        <v>1058994</v>
      </c>
      <c r="G76" s="16">
        <f>IFERROR(__xludf.DUMMYFUNCTION("""COMPUTED_VALUE"""),45849.6458333333)</f>
        <v>45849.6458333333</v>
      </c>
      <c r="H76" s="17">
        <f>IFERROR(__xludf.DUMMYFUNCTION("""COMPUTED_VALUE"""),1139)</f>
        <v>1139</v>
      </c>
      <c r="I76" s="16">
        <f>IFERROR(__xludf.DUMMYFUNCTION("""COMPUTED_VALUE"""),45849.6458333333)</f>
        <v>45849.6458333333</v>
      </c>
      <c r="J76" s="17">
        <f>IFERROR(__xludf.DUMMYFUNCTION("""COMPUTED_VALUE"""),1115.2)</f>
        <v>1115.2</v>
      </c>
      <c r="K76" s="3">
        <f t="shared" si="2"/>
        <v>0</v>
      </c>
      <c r="L76" s="3">
        <f t="shared" si="3"/>
        <v>1124.8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IFERROR(__xludf.DUMMYFUNCTION("""COMPUTED_VALUE"""),1138.6)</f>
        <v>1138.6</v>
      </c>
      <c r="C77" s="16">
        <f>IFERROR(__xludf.DUMMYFUNCTION("""COMPUTED_VALUE"""),45852.6458333333)</f>
        <v>45852.6458333333</v>
      </c>
      <c r="D77" s="17">
        <f>IFERROR(__xludf.DUMMYFUNCTION("""COMPUTED_VALUE"""),1124.7)</f>
        <v>1124.7</v>
      </c>
      <c r="E77" s="16">
        <f>IFERROR(__xludf.DUMMYFUNCTION("""COMPUTED_VALUE"""),45852.6458333333)</f>
        <v>45852.6458333333</v>
      </c>
      <c r="F77" s="17">
        <f>IFERROR(__xludf.DUMMYFUNCTION("""COMPUTED_VALUE"""),819943)</f>
        <v>819943</v>
      </c>
      <c r="G77" s="16">
        <f>IFERROR(__xludf.DUMMYFUNCTION("""COMPUTED_VALUE"""),45852.6458333333)</f>
        <v>45852.6458333333</v>
      </c>
      <c r="H77" s="17">
        <f>IFERROR(__xludf.DUMMYFUNCTION("""COMPUTED_VALUE"""),1147.7)</f>
        <v>1147.7</v>
      </c>
      <c r="I77" s="16">
        <f>IFERROR(__xludf.DUMMYFUNCTION("""COMPUTED_VALUE"""),45852.6458333333)</f>
        <v>45852.6458333333</v>
      </c>
      <c r="J77" s="17">
        <f>IFERROR(__xludf.DUMMYFUNCTION("""COMPUTED_VALUE"""),1122.6)</f>
        <v>1122.6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IFERROR(__xludf.DUMMYFUNCTION("""COMPUTED_VALUE"""),1152)</f>
        <v>1152</v>
      </c>
      <c r="C78" s="16">
        <f>IFERROR(__xludf.DUMMYFUNCTION("""COMPUTED_VALUE"""),45853.6458333333)</f>
        <v>45853.6458333333</v>
      </c>
      <c r="D78" s="17">
        <f>IFERROR(__xludf.DUMMYFUNCTION("""COMPUTED_VALUE"""),1140.1)</f>
        <v>1140.1</v>
      </c>
      <c r="E78" s="16">
        <f>IFERROR(__xludf.DUMMYFUNCTION("""COMPUTED_VALUE"""),45853.6458333333)</f>
        <v>45853.6458333333</v>
      </c>
      <c r="F78" s="17">
        <f>IFERROR(__xludf.DUMMYFUNCTION("""COMPUTED_VALUE"""),847119)</f>
        <v>847119</v>
      </c>
      <c r="G78" s="16">
        <f>IFERROR(__xludf.DUMMYFUNCTION("""COMPUTED_VALUE"""),45853.6458333333)</f>
        <v>45853.6458333333</v>
      </c>
      <c r="H78" s="17">
        <f>IFERROR(__xludf.DUMMYFUNCTION("""COMPUTED_VALUE"""),1157)</f>
        <v>1157</v>
      </c>
      <c r="I78" s="16">
        <f>IFERROR(__xludf.DUMMYFUNCTION("""COMPUTED_VALUE"""),45853.6458333333)</f>
        <v>45853.6458333333</v>
      </c>
      <c r="J78" s="17">
        <f>IFERROR(__xludf.DUMMYFUNCTION("""COMPUTED_VALUE"""),1134)</f>
        <v>1134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IFERROR(__xludf.DUMMYFUNCTION("""COMPUTED_VALUE"""),1152.9)</f>
        <v>1152.9</v>
      </c>
      <c r="C79" s="16">
        <f>IFERROR(__xludf.DUMMYFUNCTION("""COMPUTED_VALUE"""),45854.6458333333)</f>
        <v>45854.6458333333</v>
      </c>
      <c r="D79" s="17">
        <f>IFERROR(__xludf.DUMMYFUNCTION("""COMPUTED_VALUE"""),1151.8)</f>
        <v>1151.8</v>
      </c>
      <c r="E79" s="16">
        <f>IFERROR(__xludf.DUMMYFUNCTION("""COMPUTED_VALUE"""),45854.6458333333)</f>
        <v>45854.6458333333</v>
      </c>
      <c r="F79" s="17">
        <f>IFERROR(__xludf.DUMMYFUNCTION("""COMPUTED_VALUE"""),580099)</f>
        <v>580099</v>
      </c>
      <c r="G79" s="16">
        <f>IFERROR(__xludf.DUMMYFUNCTION("""COMPUTED_VALUE"""),45854.6458333333)</f>
        <v>45854.6458333333</v>
      </c>
      <c r="H79" s="17">
        <f>IFERROR(__xludf.DUMMYFUNCTION("""COMPUTED_VALUE"""),1156.9)</f>
        <v>1156.9</v>
      </c>
      <c r="I79" s="16">
        <f>IFERROR(__xludf.DUMMYFUNCTION("""COMPUTED_VALUE"""),45854.6458333333)</f>
        <v>45854.6458333333</v>
      </c>
      <c r="J79" s="17">
        <f>IFERROR(__xludf.DUMMYFUNCTION("""COMPUTED_VALUE"""),1143.8)</f>
        <v>1143.8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IFERROR(__xludf.DUMMYFUNCTION("""COMPUTED_VALUE"""),1154.2)</f>
        <v>1154.2</v>
      </c>
      <c r="C80" s="16">
        <f>IFERROR(__xludf.DUMMYFUNCTION("""COMPUTED_VALUE"""),45855.6458333333)</f>
        <v>45855.6458333333</v>
      </c>
      <c r="D80" s="17">
        <f>IFERROR(__xludf.DUMMYFUNCTION("""COMPUTED_VALUE"""),1153)</f>
        <v>1153</v>
      </c>
      <c r="E80" s="16">
        <f>IFERROR(__xludf.DUMMYFUNCTION("""COMPUTED_VALUE"""),45855.6458333333)</f>
        <v>45855.6458333333</v>
      </c>
      <c r="F80" s="17">
        <f>IFERROR(__xludf.DUMMYFUNCTION("""COMPUTED_VALUE"""),549875)</f>
        <v>549875</v>
      </c>
      <c r="G80" s="16">
        <f>IFERROR(__xludf.DUMMYFUNCTION("""COMPUTED_VALUE"""),45855.6458333333)</f>
        <v>45855.6458333333</v>
      </c>
      <c r="H80" s="17">
        <f>IFERROR(__xludf.DUMMYFUNCTION("""COMPUTED_VALUE"""),1166.8)</f>
        <v>1166.8</v>
      </c>
      <c r="I80" s="16">
        <f>IFERROR(__xludf.DUMMYFUNCTION("""COMPUTED_VALUE"""),45855.6458333333)</f>
        <v>45855.6458333333</v>
      </c>
      <c r="J80" s="17">
        <f>IFERROR(__xludf.DUMMYFUNCTION("""COMPUTED_VALUE"""),1151.3)</f>
        <v>1151.3</v>
      </c>
      <c r="K80" s="3">
        <f t="shared" si="2"/>
        <v>1154.2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IFERROR(__xludf.DUMMYFUNCTION("""COMPUTED_VALUE"""),1139.5)</f>
        <v>1139.5</v>
      </c>
      <c r="C81" s="16">
        <f>IFERROR(__xludf.DUMMYFUNCTION("""COMPUTED_VALUE"""),45856.6458333333)</f>
        <v>45856.6458333333</v>
      </c>
      <c r="D81" s="17">
        <f>IFERROR(__xludf.DUMMYFUNCTION("""COMPUTED_VALUE"""),1155)</f>
        <v>1155</v>
      </c>
      <c r="E81" s="16">
        <f>IFERROR(__xludf.DUMMYFUNCTION("""COMPUTED_VALUE"""),45856.6458333333)</f>
        <v>45856.6458333333</v>
      </c>
      <c r="F81" s="17">
        <f>IFERROR(__xludf.DUMMYFUNCTION("""COMPUTED_VALUE"""),421109)</f>
        <v>421109</v>
      </c>
      <c r="G81" s="16">
        <f>IFERROR(__xludf.DUMMYFUNCTION("""COMPUTED_VALUE"""),45856.6458333333)</f>
        <v>45856.6458333333</v>
      </c>
      <c r="H81" s="17">
        <f>IFERROR(__xludf.DUMMYFUNCTION("""COMPUTED_VALUE"""),1155.8)</f>
        <v>1155.8</v>
      </c>
      <c r="I81" s="16">
        <f>IFERROR(__xludf.DUMMYFUNCTION("""COMPUTED_VALUE"""),45856.6458333333)</f>
        <v>45856.6458333333</v>
      </c>
      <c r="J81" s="17">
        <f>IFERROR(__xludf.DUMMYFUNCTION("""COMPUTED_VALUE"""),1136.7)</f>
        <v>1136.7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IFERROR(__xludf.DUMMYFUNCTION("""COMPUTED_VALUE"""),1138.5)</f>
        <v>1138.5</v>
      </c>
      <c r="C82" s="16">
        <f>IFERROR(__xludf.DUMMYFUNCTION("""COMPUTED_VALUE"""),45859.6458333333)</f>
        <v>45859.6458333333</v>
      </c>
      <c r="D82" s="17">
        <f>IFERROR(__xludf.DUMMYFUNCTION("""COMPUTED_VALUE"""),1139)</f>
        <v>1139</v>
      </c>
      <c r="E82" s="16">
        <f>IFERROR(__xludf.DUMMYFUNCTION("""COMPUTED_VALUE"""),45859.6458333333)</f>
        <v>45859.6458333333</v>
      </c>
      <c r="F82" s="17">
        <f>IFERROR(__xludf.DUMMYFUNCTION("""COMPUTED_VALUE"""),330975)</f>
        <v>330975</v>
      </c>
      <c r="G82" s="16">
        <f>IFERROR(__xludf.DUMMYFUNCTION("""COMPUTED_VALUE"""),45859.6458333333)</f>
        <v>45859.6458333333</v>
      </c>
      <c r="H82" s="17">
        <f>IFERROR(__xludf.DUMMYFUNCTION("""COMPUTED_VALUE"""),1148.6)</f>
        <v>1148.6</v>
      </c>
      <c r="I82" s="16">
        <f>IFERROR(__xludf.DUMMYFUNCTION("""COMPUTED_VALUE"""),45859.6458333333)</f>
        <v>45859.6458333333</v>
      </c>
      <c r="J82" s="17">
        <f>IFERROR(__xludf.DUMMYFUNCTION("""COMPUTED_VALUE"""),1132.1)</f>
        <v>1132.1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IFERROR(__xludf.DUMMYFUNCTION("""COMPUTED_VALUE"""),1101.4)</f>
        <v>1101.4</v>
      </c>
      <c r="C83" s="16">
        <f>IFERROR(__xludf.DUMMYFUNCTION("""COMPUTED_VALUE"""),45860.6458333333)</f>
        <v>45860.6458333333</v>
      </c>
      <c r="D83" s="17">
        <f>IFERROR(__xludf.DUMMYFUNCTION("""COMPUTED_VALUE"""),1139)</f>
        <v>1139</v>
      </c>
      <c r="E83" s="16">
        <f>IFERROR(__xludf.DUMMYFUNCTION("""COMPUTED_VALUE"""),45860.6458333333)</f>
        <v>45860.6458333333</v>
      </c>
      <c r="F83" s="17">
        <f>IFERROR(__xludf.DUMMYFUNCTION("""COMPUTED_VALUE"""),1119858)</f>
        <v>1119858</v>
      </c>
      <c r="G83" s="16">
        <f>IFERROR(__xludf.DUMMYFUNCTION("""COMPUTED_VALUE"""),45860.6458333333)</f>
        <v>45860.6458333333</v>
      </c>
      <c r="H83" s="17">
        <f>IFERROR(__xludf.DUMMYFUNCTION("""COMPUTED_VALUE"""),1142.3)</f>
        <v>1142.3</v>
      </c>
      <c r="I83" s="16">
        <f>IFERROR(__xludf.DUMMYFUNCTION("""COMPUTED_VALUE"""),45860.6458333333)</f>
        <v>45860.6458333333</v>
      </c>
      <c r="J83" s="17">
        <f>IFERROR(__xludf.DUMMYFUNCTION("""COMPUTED_VALUE"""),1100)</f>
        <v>1100</v>
      </c>
      <c r="K83" s="3">
        <f t="shared" si="2"/>
        <v>0</v>
      </c>
      <c r="L83" s="3">
        <f t="shared" si="3"/>
        <v>1101.4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IFERROR(__xludf.DUMMYFUNCTION("""COMPUTED_VALUE"""),1117.4)</f>
        <v>1117.4</v>
      </c>
      <c r="C84" s="16">
        <f>IFERROR(__xludf.DUMMYFUNCTION("""COMPUTED_VALUE"""),45861.6458333333)</f>
        <v>45861.6458333333</v>
      </c>
      <c r="D84" s="17">
        <f>IFERROR(__xludf.DUMMYFUNCTION("""COMPUTED_VALUE"""),1104.1)</f>
        <v>1104.1</v>
      </c>
      <c r="E84" s="16">
        <f>IFERROR(__xludf.DUMMYFUNCTION("""COMPUTED_VALUE"""),45861.6458333333)</f>
        <v>45861.6458333333</v>
      </c>
      <c r="F84" s="17">
        <f>IFERROR(__xludf.DUMMYFUNCTION("""COMPUTED_VALUE"""),547355)</f>
        <v>547355</v>
      </c>
      <c r="G84" s="16">
        <f>IFERROR(__xludf.DUMMYFUNCTION("""COMPUTED_VALUE"""),45861.6458333333)</f>
        <v>45861.6458333333</v>
      </c>
      <c r="H84" s="17">
        <f>IFERROR(__xludf.DUMMYFUNCTION("""COMPUTED_VALUE"""),1119.1)</f>
        <v>1119.1</v>
      </c>
      <c r="I84" s="16">
        <f>IFERROR(__xludf.DUMMYFUNCTION("""COMPUTED_VALUE"""),45861.6458333333)</f>
        <v>45861.6458333333</v>
      </c>
      <c r="J84" s="17">
        <f>IFERROR(__xludf.DUMMYFUNCTION("""COMPUTED_VALUE"""),1104.1)</f>
        <v>1104.1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IFERROR(__xludf.DUMMYFUNCTION("""COMPUTED_VALUE"""),1114.1)</f>
        <v>1114.1</v>
      </c>
      <c r="C85" s="16">
        <f>IFERROR(__xludf.DUMMYFUNCTION("""COMPUTED_VALUE"""),45862.6458333333)</f>
        <v>45862.6458333333</v>
      </c>
      <c r="D85" s="17">
        <f>IFERROR(__xludf.DUMMYFUNCTION("""COMPUTED_VALUE"""),1120.1)</f>
        <v>1120.1</v>
      </c>
      <c r="E85" s="16">
        <f>IFERROR(__xludf.DUMMYFUNCTION("""COMPUTED_VALUE"""),45862.6458333333)</f>
        <v>45862.6458333333</v>
      </c>
      <c r="F85" s="17">
        <f>IFERROR(__xludf.DUMMYFUNCTION("""COMPUTED_VALUE"""),1069867)</f>
        <v>1069867</v>
      </c>
      <c r="G85" s="16">
        <f>IFERROR(__xludf.DUMMYFUNCTION("""COMPUTED_VALUE"""),45862.6458333333)</f>
        <v>45862.6458333333</v>
      </c>
      <c r="H85" s="17">
        <f>IFERROR(__xludf.DUMMYFUNCTION("""COMPUTED_VALUE"""),1130)</f>
        <v>1130</v>
      </c>
      <c r="I85" s="16">
        <f>IFERROR(__xludf.DUMMYFUNCTION("""COMPUTED_VALUE"""),45862.6458333333)</f>
        <v>45862.6458333333</v>
      </c>
      <c r="J85" s="17">
        <f>IFERROR(__xludf.DUMMYFUNCTION("""COMPUTED_VALUE"""),1111.8)</f>
        <v>1111.8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IFERROR(__xludf.DUMMYFUNCTION("""COMPUTED_VALUE"""),1122.8)</f>
        <v>1122.8</v>
      </c>
      <c r="C86" s="16">
        <f>IFERROR(__xludf.DUMMYFUNCTION("""COMPUTED_VALUE"""),45863.6458333333)</f>
        <v>45863.6458333333</v>
      </c>
      <c r="D86" s="17">
        <f>IFERROR(__xludf.DUMMYFUNCTION("""COMPUTED_VALUE"""),1120.1)</f>
        <v>1120.1</v>
      </c>
      <c r="E86" s="16">
        <f>IFERROR(__xludf.DUMMYFUNCTION("""COMPUTED_VALUE"""),45863.6458333333)</f>
        <v>45863.6458333333</v>
      </c>
      <c r="F86" s="17">
        <f>IFERROR(__xludf.DUMMYFUNCTION("""COMPUTED_VALUE"""),695747)</f>
        <v>695747</v>
      </c>
      <c r="G86" s="16">
        <f>IFERROR(__xludf.DUMMYFUNCTION("""COMPUTED_VALUE"""),45863.6458333333)</f>
        <v>45863.6458333333</v>
      </c>
      <c r="H86" s="17">
        <f>IFERROR(__xludf.DUMMYFUNCTION("""COMPUTED_VALUE"""),1130.7)</f>
        <v>1130.7</v>
      </c>
      <c r="I86" s="16">
        <f>IFERROR(__xludf.DUMMYFUNCTION("""COMPUTED_VALUE"""),45863.6458333333)</f>
        <v>45863.6458333333</v>
      </c>
      <c r="J86" s="17">
        <f>IFERROR(__xludf.DUMMYFUNCTION("""COMPUTED_VALUE"""),1107)</f>
        <v>1107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IFERROR(__xludf.DUMMYFUNCTION("""COMPUTED_VALUE"""),1127)</f>
        <v>1127</v>
      </c>
      <c r="C87" s="16">
        <f>IFERROR(__xludf.DUMMYFUNCTION("""COMPUTED_VALUE"""),45866.6458333333)</f>
        <v>45866.6458333333</v>
      </c>
      <c r="D87" s="17">
        <f>IFERROR(__xludf.DUMMYFUNCTION("""COMPUTED_VALUE"""),1124)</f>
        <v>1124</v>
      </c>
      <c r="E87" s="16">
        <f>IFERROR(__xludf.DUMMYFUNCTION("""COMPUTED_VALUE"""),45866.6458333333)</f>
        <v>45866.6458333333</v>
      </c>
      <c r="F87" s="17">
        <f>IFERROR(__xludf.DUMMYFUNCTION("""COMPUTED_VALUE"""),740682)</f>
        <v>740682</v>
      </c>
      <c r="G87" s="16">
        <f>IFERROR(__xludf.DUMMYFUNCTION("""COMPUTED_VALUE"""),45866.6458333333)</f>
        <v>45866.6458333333</v>
      </c>
      <c r="H87" s="17">
        <f>IFERROR(__xludf.DUMMYFUNCTION("""COMPUTED_VALUE"""),1135)</f>
        <v>1135</v>
      </c>
      <c r="I87" s="16">
        <f>IFERROR(__xludf.DUMMYFUNCTION("""COMPUTED_VALUE"""),45866.6458333333)</f>
        <v>45866.6458333333</v>
      </c>
      <c r="J87" s="17">
        <f>IFERROR(__xludf.DUMMYFUNCTION("""COMPUTED_VALUE"""),1118.7)</f>
        <v>1118.7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IFERROR(__xludf.DUMMYFUNCTION("""COMPUTED_VALUE"""),1158.1)</f>
        <v>1158.1</v>
      </c>
      <c r="C88" s="16">
        <f>IFERROR(__xludf.DUMMYFUNCTION("""COMPUTED_VALUE"""),45867.6458333333)</f>
        <v>45867.6458333333</v>
      </c>
      <c r="D88" s="17">
        <f>IFERROR(__xludf.DUMMYFUNCTION("""COMPUTED_VALUE"""),1122.1)</f>
        <v>1122.1</v>
      </c>
      <c r="E88" s="16">
        <f>IFERROR(__xludf.DUMMYFUNCTION("""COMPUTED_VALUE"""),45867.6458333333)</f>
        <v>45867.6458333333</v>
      </c>
      <c r="F88" s="17">
        <f>IFERROR(__xludf.DUMMYFUNCTION("""COMPUTED_VALUE"""),800744)</f>
        <v>800744</v>
      </c>
      <c r="G88" s="16">
        <f>IFERROR(__xludf.DUMMYFUNCTION("""COMPUTED_VALUE"""),45867.6458333333)</f>
        <v>45867.6458333333</v>
      </c>
      <c r="H88" s="17">
        <f>IFERROR(__xludf.DUMMYFUNCTION("""COMPUTED_VALUE"""),1160.7)</f>
        <v>1160.7</v>
      </c>
      <c r="I88" s="16">
        <f>IFERROR(__xludf.DUMMYFUNCTION("""COMPUTED_VALUE"""),45867.6458333333)</f>
        <v>45867.6458333333</v>
      </c>
      <c r="J88" s="17">
        <f>IFERROR(__xludf.DUMMYFUNCTION("""COMPUTED_VALUE"""),1121.9)</f>
        <v>1121.9</v>
      </c>
      <c r="K88" s="3">
        <f t="shared" si="2"/>
        <v>1158.1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IFERROR(__xludf.DUMMYFUNCTION("""COMPUTED_VALUE"""),1158)</f>
        <v>1158</v>
      </c>
      <c r="C89" s="16">
        <f>IFERROR(__xludf.DUMMYFUNCTION("""COMPUTED_VALUE"""),45868.6458333333)</f>
        <v>45868.6458333333</v>
      </c>
      <c r="D89" s="17">
        <f>IFERROR(__xludf.DUMMYFUNCTION("""COMPUTED_VALUE"""),1161.1)</f>
        <v>1161.1</v>
      </c>
      <c r="E89" s="16">
        <f>IFERROR(__xludf.DUMMYFUNCTION("""COMPUTED_VALUE"""),45868.6458333333)</f>
        <v>45868.6458333333</v>
      </c>
      <c r="F89" s="17">
        <f>IFERROR(__xludf.DUMMYFUNCTION("""COMPUTED_VALUE"""),672250)</f>
        <v>672250</v>
      </c>
      <c r="G89" s="16">
        <f>IFERROR(__xludf.DUMMYFUNCTION("""COMPUTED_VALUE"""),45868.6458333333)</f>
        <v>45868.6458333333</v>
      </c>
      <c r="H89" s="17">
        <f>IFERROR(__xludf.DUMMYFUNCTION("""COMPUTED_VALUE"""),1162.7)</f>
        <v>1162.7</v>
      </c>
      <c r="I89" s="16">
        <f>IFERROR(__xludf.DUMMYFUNCTION("""COMPUTED_VALUE"""),45868.6458333333)</f>
        <v>45868.6458333333</v>
      </c>
      <c r="J89" s="17">
        <f>IFERROR(__xludf.DUMMYFUNCTION("""COMPUTED_VALUE"""),1142.5)</f>
        <v>1142.5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IFERROR(__xludf.DUMMYFUNCTION("""COMPUTED_VALUE"""),1139.8)</f>
        <v>1139.8</v>
      </c>
      <c r="C90" s="16">
        <f>IFERROR(__xludf.DUMMYFUNCTION("""COMPUTED_VALUE"""),45869.6458333333)</f>
        <v>45869.6458333333</v>
      </c>
      <c r="D90" s="17">
        <f>IFERROR(__xludf.DUMMYFUNCTION("""COMPUTED_VALUE"""),1150)</f>
        <v>1150</v>
      </c>
      <c r="E90" s="16">
        <f>IFERROR(__xludf.DUMMYFUNCTION("""COMPUTED_VALUE"""),45869.6458333333)</f>
        <v>45869.6458333333</v>
      </c>
      <c r="F90" s="17">
        <f>IFERROR(__xludf.DUMMYFUNCTION("""COMPUTED_VALUE"""),5490626)</f>
        <v>5490626</v>
      </c>
      <c r="G90" s="16">
        <f>IFERROR(__xludf.DUMMYFUNCTION("""COMPUTED_VALUE"""),45869.6458333333)</f>
        <v>45869.6458333333</v>
      </c>
      <c r="H90" s="17">
        <f>IFERROR(__xludf.DUMMYFUNCTION("""COMPUTED_VALUE"""),1172.7)</f>
        <v>1172.7</v>
      </c>
      <c r="I90" s="16">
        <f>IFERROR(__xludf.DUMMYFUNCTION("""COMPUTED_VALUE"""),45869.6458333333)</f>
        <v>45869.6458333333</v>
      </c>
      <c r="J90" s="17">
        <f>IFERROR(__xludf.DUMMYFUNCTION("""COMPUTED_VALUE"""),1135)</f>
        <v>1135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IFERROR(__xludf.DUMMYFUNCTION("""COMPUTED_VALUE"""),1079.8)</f>
        <v>1079.8</v>
      </c>
      <c r="C91" s="16">
        <f>IFERROR(__xludf.DUMMYFUNCTION("""COMPUTED_VALUE"""),45870.6458333333)</f>
        <v>45870.6458333333</v>
      </c>
      <c r="D91" s="17">
        <f>IFERROR(__xludf.DUMMYFUNCTION("""COMPUTED_VALUE"""),1142)</f>
        <v>1142</v>
      </c>
      <c r="E91" s="16">
        <f>IFERROR(__xludf.DUMMYFUNCTION("""COMPUTED_VALUE"""),45870.6458333333)</f>
        <v>45870.6458333333</v>
      </c>
      <c r="F91" s="17">
        <f>IFERROR(__xludf.DUMMYFUNCTION("""COMPUTED_VALUE"""),2025491)</f>
        <v>2025491</v>
      </c>
      <c r="G91" s="16">
        <f>IFERROR(__xludf.DUMMYFUNCTION("""COMPUTED_VALUE"""),45870.6458333333)</f>
        <v>45870.6458333333</v>
      </c>
      <c r="H91" s="17">
        <f>IFERROR(__xludf.DUMMYFUNCTION("""COMPUTED_VALUE"""),1144)</f>
        <v>1144</v>
      </c>
      <c r="I91" s="16">
        <f>IFERROR(__xludf.DUMMYFUNCTION("""COMPUTED_VALUE"""),45870.6458333333)</f>
        <v>45870.6458333333</v>
      </c>
      <c r="J91" s="17">
        <f>IFERROR(__xludf.DUMMYFUNCTION("""COMPUTED_VALUE"""),1075.3)</f>
        <v>1075.3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IFERROR(__xludf.DUMMYFUNCTION("""COMPUTED_VALUE"""),1090.4)</f>
        <v>1090.4</v>
      </c>
      <c r="C92" s="16">
        <f>IFERROR(__xludf.DUMMYFUNCTION("""COMPUTED_VALUE"""),45873.6458333333)</f>
        <v>45873.6458333333</v>
      </c>
      <c r="D92" s="17">
        <f>IFERROR(__xludf.DUMMYFUNCTION("""COMPUTED_VALUE"""),1085.1)</f>
        <v>1085.1</v>
      </c>
      <c r="E92" s="16">
        <f>IFERROR(__xludf.DUMMYFUNCTION("""COMPUTED_VALUE"""),45873.6458333333)</f>
        <v>45873.6458333333</v>
      </c>
      <c r="F92" s="17">
        <f>IFERROR(__xludf.DUMMYFUNCTION("""COMPUTED_VALUE"""),716719)</f>
        <v>716719</v>
      </c>
      <c r="G92" s="16">
        <f>IFERROR(__xludf.DUMMYFUNCTION("""COMPUTED_VALUE"""),45873.6458333333)</f>
        <v>45873.6458333333</v>
      </c>
      <c r="H92" s="17">
        <f>IFERROR(__xludf.DUMMYFUNCTION("""COMPUTED_VALUE"""),1101.4)</f>
        <v>1101.4</v>
      </c>
      <c r="I92" s="16">
        <f>IFERROR(__xludf.DUMMYFUNCTION("""COMPUTED_VALUE"""),45873.6458333333)</f>
        <v>45873.6458333333</v>
      </c>
      <c r="J92" s="17">
        <f>IFERROR(__xludf.DUMMYFUNCTION("""COMPUTED_VALUE"""),1076)</f>
        <v>1076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IFERROR(__xludf.DUMMYFUNCTION("""COMPUTED_VALUE"""),1079.3)</f>
        <v>1079.3</v>
      </c>
      <c r="C93" s="16">
        <f>IFERROR(__xludf.DUMMYFUNCTION("""COMPUTED_VALUE"""),45874.6458333333)</f>
        <v>45874.6458333333</v>
      </c>
      <c r="D93" s="17">
        <f>IFERROR(__xludf.DUMMYFUNCTION("""COMPUTED_VALUE"""),1073.1)</f>
        <v>1073.1</v>
      </c>
      <c r="E93" s="16">
        <f>IFERROR(__xludf.DUMMYFUNCTION("""COMPUTED_VALUE"""),45874.6458333333)</f>
        <v>45874.6458333333</v>
      </c>
      <c r="F93" s="17">
        <f>IFERROR(__xludf.DUMMYFUNCTION("""COMPUTED_VALUE"""),2733423)</f>
        <v>2733423</v>
      </c>
      <c r="G93" s="16">
        <f>IFERROR(__xludf.DUMMYFUNCTION("""COMPUTED_VALUE"""),45874.6458333333)</f>
        <v>45874.6458333333</v>
      </c>
      <c r="H93" s="17">
        <f>IFERROR(__xludf.DUMMYFUNCTION("""COMPUTED_VALUE"""),1109.4)</f>
        <v>1109.4</v>
      </c>
      <c r="I93" s="16">
        <f>IFERROR(__xludf.DUMMYFUNCTION("""COMPUTED_VALUE"""),45874.6458333333)</f>
        <v>45874.6458333333</v>
      </c>
      <c r="J93" s="17">
        <f>IFERROR(__xludf.DUMMYFUNCTION("""COMPUTED_VALUE"""),1060.9)</f>
        <v>1060.9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IFERROR(__xludf.DUMMYFUNCTION("""COMPUTED_VALUE"""),1072.3)</f>
        <v>1072.3</v>
      </c>
      <c r="C94" s="16">
        <f>IFERROR(__xludf.DUMMYFUNCTION("""COMPUTED_VALUE"""),45875.6458333333)</f>
        <v>45875.6458333333</v>
      </c>
      <c r="D94" s="17">
        <f>IFERROR(__xludf.DUMMYFUNCTION("""COMPUTED_VALUE"""),1070.9)</f>
        <v>1070.9</v>
      </c>
      <c r="E94" s="16">
        <f>IFERROR(__xludf.DUMMYFUNCTION("""COMPUTED_VALUE"""),45875.6458333333)</f>
        <v>45875.6458333333</v>
      </c>
      <c r="F94" s="17">
        <f>IFERROR(__xludf.DUMMYFUNCTION("""COMPUTED_VALUE"""),1830084)</f>
        <v>1830084</v>
      </c>
      <c r="G94" s="16">
        <f>IFERROR(__xludf.DUMMYFUNCTION("""COMPUTED_VALUE"""),45875.6458333333)</f>
        <v>45875.6458333333</v>
      </c>
      <c r="H94" s="17">
        <f>IFERROR(__xludf.DUMMYFUNCTION("""COMPUTED_VALUE"""),1085)</f>
        <v>1085</v>
      </c>
      <c r="I94" s="16">
        <f>IFERROR(__xludf.DUMMYFUNCTION("""COMPUTED_VALUE"""),45875.6458333333)</f>
        <v>45875.6458333333</v>
      </c>
      <c r="J94" s="17">
        <f>IFERROR(__xludf.DUMMYFUNCTION("""COMPUTED_VALUE"""),1060.2)</f>
        <v>1060.2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IFERROR(__xludf.DUMMYFUNCTION("""COMPUTED_VALUE"""),1069.6)</f>
        <v>1069.6</v>
      </c>
      <c r="C95" s="16">
        <f>IFERROR(__xludf.DUMMYFUNCTION("""COMPUTED_VALUE"""),45876.6458333333)</f>
        <v>45876.6458333333</v>
      </c>
      <c r="D95" s="17">
        <f>IFERROR(__xludf.DUMMYFUNCTION("""COMPUTED_VALUE"""),1060.1)</f>
        <v>1060.1</v>
      </c>
      <c r="E95" s="16">
        <f>IFERROR(__xludf.DUMMYFUNCTION("""COMPUTED_VALUE"""),45876.6458333333)</f>
        <v>45876.6458333333</v>
      </c>
      <c r="F95" s="17">
        <f>IFERROR(__xludf.DUMMYFUNCTION("""COMPUTED_VALUE"""),947918)</f>
        <v>947918</v>
      </c>
      <c r="G95" s="16">
        <f>IFERROR(__xludf.DUMMYFUNCTION("""COMPUTED_VALUE"""),45876.6458333333)</f>
        <v>45876.6458333333</v>
      </c>
      <c r="H95" s="17">
        <f>IFERROR(__xludf.DUMMYFUNCTION("""COMPUTED_VALUE"""),1084.3)</f>
        <v>1084.3</v>
      </c>
      <c r="I95" s="16">
        <f>IFERROR(__xludf.DUMMYFUNCTION("""COMPUTED_VALUE"""),45876.6458333333)</f>
        <v>45876.6458333333</v>
      </c>
      <c r="J95" s="17">
        <f>IFERROR(__xludf.DUMMYFUNCTION("""COMPUTED_VALUE"""),1047.6)</f>
        <v>1047.6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IFERROR(__xludf.DUMMYFUNCTION("""COMPUTED_VALUE"""),1042.1)</f>
        <v>1042.1</v>
      </c>
      <c r="C96" s="16">
        <f>IFERROR(__xludf.DUMMYFUNCTION("""COMPUTED_VALUE"""),45877.6458333333)</f>
        <v>45877.6458333333</v>
      </c>
      <c r="D96" s="17">
        <f>IFERROR(__xludf.DUMMYFUNCTION("""COMPUTED_VALUE"""),1070.1)</f>
        <v>1070.1</v>
      </c>
      <c r="E96" s="16">
        <f>IFERROR(__xludf.DUMMYFUNCTION("""COMPUTED_VALUE"""),45877.6458333333)</f>
        <v>45877.6458333333</v>
      </c>
      <c r="F96" s="17">
        <f>IFERROR(__xludf.DUMMYFUNCTION("""COMPUTED_VALUE"""),881747)</f>
        <v>881747</v>
      </c>
      <c r="G96" s="16">
        <f>IFERROR(__xludf.DUMMYFUNCTION("""COMPUTED_VALUE"""),45877.6458333333)</f>
        <v>45877.6458333333</v>
      </c>
      <c r="H96" s="17">
        <f>IFERROR(__xludf.DUMMYFUNCTION("""COMPUTED_VALUE"""),1070.8)</f>
        <v>1070.8</v>
      </c>
      <c r="I96" s="16">
        <f>IFERROR(__xludf.DUMMYFUNCTION("""COMPUTED_VALUE"""),45877.6458333333)</f>
        <v>45877.6458333333</v>
      </c>
      <c r="J96" s="17">
        <f>IFERROR(__xludf.DUMMYFUNCTION("""COMPUTED_VALUE"""),1039.2)</f>
        <v>1039.2</v>
      </c>
      <c r="K96" s="3">
        <f t="shared" si="2"/>
        <v>0</v>
      </c>
      <c r="L96" s="3">
        <f t="shared" si="3"/>
        <v>1042.1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IFERROR(__xludf.DUMMYFUNCTION("""COMPUTED_VALUE"""),1052.9)</f>
        <v>1052.9</v>
      </c>
      <c r="C97" s="16">
        <f>IFERROR(__xludf.DUMMYFUNCTION("""COMPUTED_VALUE"""),45880.6458333333)</f>
        <v>45880.6458333333</v>
      </c>
      <c r="D97" s="17">
        <f>IFERROR(__xludf.DUMMYFUNCTION("""COMPUTED_VALUE"""),1042)</f>
        <v>1042</v>
      </c>
      <c r="E97" s="16">
        <f>IFERROR(__xludf.DUMMYFUNCTION("""COMPUTED_VALUE"""),45880.6458333333)</f>
        <v>45880.6458333333</v>
      </c>
      <c r="F97" s="17">
        <f>IFERROR(__xludf.DUMMYFUNCTION("""COMPUTED_VALUE"""),796011)</f>
        <v>796011</v>
      </c>
      <c r="G97" s="16">
        <f>IFERROR(__xludf.DUMMYFUNCTION("""COMPUTED_VALUE"""),45880.6458333333)</f>
        <v>45880.6458333333</v>
      </c>
      <c r="H97" s="17">
        <f>IFERROR(__xludf.DUMMYFUNCTION("""COMPUTED_VALUE"""),1056.4)</f>
        <v>1056.4</v>
      </c>
      <c r="I97" s="16">
        <f>IFERROR(__xludf.DUMMYFUNCTION("""COMPUTED_VALUE"""),45880.6458333333)</f>
        <v>45880.6458333333</v>
      </c>
      <c r="J97" s="17">
        <f>IFERROR(__xludf.DUMMYFUNCTION("""COMPUTED_VALUE"""),1031.8)</f>
        <v>1031.8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IFERROR(__xludf.DUMMYFUNCTION("""COMPUTED_VALUE"""),1058.2)</f>
        <v>1058.2</v>
      </c>
      <c r="C98" s="16">
        <f>IFERROR(__xludf.DUMMYFUNCTION("""COMPUTED_VALUE"""),45881.6458333333)</f>
        <v>45881.6458333333</v>
      </c>
      <c r="D98" s="17">
        <f>IFERROR(__xludf.DUMMYFUNCTION("""COMPUTED_VALUE"""),1052.5)</f>
        <v>1052.5</v>
      </c>
      <c r="E98" s="16">
        <f>IFERROR(__xludf.DUMMYFUNCTION("""COMPUTED_VALUE"""),45881.6458333333)</f>
        <v>45881.6458333333</v>
      </c>
      <c r="F98" s="17">
        <f>IFERROR(__xludf.DUMMYFUNCTION("""COMPUTED_VALUE"""),668937)</f>
        <v>668937</v>
      </c>
      <c r="G98" s="16">
        <f>IFERROR(__xludf.DUMMYFUNCTION("""COMPUTED_VALUE"""),45881.6458333333)</f>
        <v>45881.6458333333</v>
      </c>
      <c r="H98" s="17">
        <f>IFERROR(__xludf.DUMMYFUNCTION("""COMPUTED_VALUE"""),1068.5)</f>
        <v>1068.5</v>
      </c>
      <c r="I98" s="16">
        <f>IFERROR(__xludf.DUMMYFUNCTION("""COMPUTED_VALUE"""),45881.6458333333)</f>
        <v>45881.6458333333</v>
      </c>
      <c r="J98" s="17">
        <f>IFERROR(__xludf.DUMMYFUNCTION("""COMPUTED_VALUE"""),1045.1)</f>
        <v>1045.1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IFERROR(__xludf.DUMMYFUNCTION("""COMPUTED_VALUE"""),1078.2)</f>
        <v>1078.2</v>
      </c>
      <c r="C99" s="16">
        <f>IFERROR(__xludf.DUMMYFUNCTION("""COMPUTED_VALUE"""),45882.6458333333)</f>
        <v>45882.6458333333</v>
      </c>
      <c r="D99" s="17">
        <f>IFERROR(__xludf.DUMMYFUNCTION("""COMPUTED_VALUE"""),1059.2)</f>
        <v>1059.2</v>
      </c>
      <c r="E99" s="16">
        <f>IFERROR(__xludf.DUMMYFUNCTION("""COMPUTED_VALUE"""),45882.6458333333)</f>
        <v>45882.6458333333</v>
      </c>
      <c r="F99" s="17">
        <f>IFERROR(__xludf.DUMMYFUNCTION("""COMPUTED_VALUE"""),444446)</f>
        <v>444446</v>
      </c>
      <c r="G99" s="16">
        <f>IFERROR(__xludf.DUMMYFUNCTION("""COMPUTED_VALUE"""),45882.6458333333)</f>
        <v>45882.6458333333</v>
      </c>
      <c r="H99" s="17">
        <f>IFERROR(__xludf.DUMMYFUNCTION("""COMPUTED_VALUE"""),1083.6)</f>
        <v>1083.6</v>
      </c>
      <c r="I99" s="16">
        <f>IFERROR(__xludf.DUMMYFUNCTION("""COMPUTED_VALUE"""),45882.6458333333)</f>
        <v>45882.6458333333</v>
      </c>
      <c r="J99" s="17">
        <f>IFERROR(__xludf.DUMMYFUNCTION("""COMPUTED_VALUE"""),1057.2)</f>
        <v>1057.2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IFERROR(__xludf.DUMMYFUNCTION("""COMPUTED_VALUE"""),1083.6)</f>
        <v>1083.6</v>
      </c>
      <c r="C100" s="16">
        <f>IFERROR(__xludf.DUMMYFUNCTION("""COMPUTED_VALUE"""),45883.6458333333)</f>
        <v>45883.6458333333</v>
      </c>
      <c r="D100" s="17">
        <f>IFERROR(__xludf.DUMMYFUNCTION("""COMPUTED_VALUE"""),1081)</f>
        <v>1081</v>
      </c>
      <c r="E100" s="16">
        <f>IFERROR(__xludf.DUMMYFUNCTION("""COMPUTED_VALUE"""),45883.6458333333)</f>
        <v>45883.6458333333</v>
      </c>
      <c r="F100" s="17">
        <f>IFERROR(__xludf.DUMMYFUNCTION("""COMPUTED_VALUE"""),1154139)</f>
        <v>1154139</v>
      </c>
      <c r="G100" s="16">
        <f>IFERROR(__xludf.DUMMYFUNCTION("""COMPUTED_VALUE"""),45883.6458333333)</f>
        <v>45883.6458333333</v>
      </c>
      <c r="H100" s="17">
        <f>IFERROR(__xludf.DUMMYFUNCTION("""COMPUTED_VALUE"""),1113)</f>
        <v>1113</v>
      </c>
      <c r="I100" s="16">
        <f>IFERROR(__xludf.DUMMYFUNCTION("""COMPUTED_VALUE"""),45883.6458333333)</f>
        <v>45883.6458333333</v>
      </c>
      <c r="J100" s="17">
        <f>IFERROR(__xludf.DUMMYFUNCTION("""COMPUTED_VALUE"""),1070)</f>
        <v>1070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IFERROR(__xludf.DUMMYFUNCTION("""COMPUTED_VALUE"""),1089.3)</f>
        <v>1089.3</v>
      </c>
      <c r="C101" s="16">
        <f>IFERROR(__xludf.DUMMYFUNCTION("""COMPUTED_VALUE"""),45887.6458333333)</f>
        <v>45887.6458333333</v>
      </c>
      <c r="D101" s="17">
        <f>IFERROR(__xludf.DUMMYFUNCTION("""COMPUTED_VALUE"""),1093.7)</f>
        <v>1093.7</v>
      </c>
      <c r="E101" s="16">
        <f>IFERROR(__xludf.DUMMYFUNCTION("""COMPUTED_VALUE"""),45887.6458333333)</f>
        <v>45887.6458333333</v>
      </c>
      <c r="F101" s="17">
        <f>IFERROR(__xludf.DUMMYFUNCTION("""COMPUTED_VALUE"""),1030797)</f>
        <v>1030797</v>
      </c>
      <c r="G101" s="16">
        <f>IFERROR(__xludf.DUMMYFUNCTION("""COMPUTED_VALUE"""),45887.6458333333)</f>
        <v>45887.6458333333</v>
      </c>
      <c r="H101" s="17">
        <f>IFERROR(__xludf.DUMMYFUNCTION("""COMPUTED_VALUE"""),1093.7)</f>
        <v>1093.7</v>
      </c>
      <c r="I101" s="16">
        <f>IFERROR(__xludf.DUMMYFUNCTION("""COMPUTED_VALUE"""),45887.6458333333)</f>
        <v>45887.6458333333</v>
      </c>
      <c r="J101" s="17">
        <f>IFERROR(__xludf.DUMMYFUNCTION("""COMPUTED_VALUE"""),1070.8)</f>
        <v>1070.8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IFERROR(__xludf.DUMMYFUNCTION("""COMPUTED_VALUE"""),1089.7)</f>
        <v>1089.7</v>
      </c>
      <c r="C102" s="16">
        <f>IFERROR(__xludf.DUMMYFUNCTION("""COMPUTED_VALUE"""),45888.6458333333)</f>
        <v>45888.6458333333</v>
      </c>
      <c r="D102" s="17">
        <f>IFERROR(__xludf.DUMMYFUNCTION("""COMPUTED_VALUE"""),1092)</f>
        <v>1092</v>
      </c>
      <c r="E102" s="16">
        <f>IFERROR(__xludf.DUMMYFUNCTION("""COMPUTED_VALUE"""),45888.6458333333)</f>
        <v>45888.6458333333</v>
      </c>
      <c r="F102" s="17">
        <f>IFERROR(__xludf.DUMMYFUNCTION("""COMPUTED_VALUE"""),258816)</f>
        <v>258816</v>
      </c>
      <c r="G102" s="16">
        <f>IFERROR(__xludf.DUMMYFUNCTION("""COMPUTED_VALUE"""),45888.6458333333)</f>
        <v>45888.6458333333</v>
      </c>
      <c r="H102" s="17">
        <f>IFERROR(__xludf.DUMMYFUNCTION("""COMPUTED_VALUE"""),1098.8)</f>
        <v>1098.8</v>
      </c>
      <c r="I102" s="16">
        <f>IFERROR(__xludf.DUMMYFUNCTION("""COMPUTED_VALUE"""),45888.6458333333)</f>
        <v>45888.6458333333</v>
      </c>
      <c r="J102" s="17">
        <f>IFERROR(__xludf.DUMMYFUNCTION("""COMPUTED_VALUE"""),1086)</f>
        <v>1086</v>
      </c>
      <c r="K102" s="3">
        <f t="shared" si="2"/>
        <v>1089.7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IFERROR(__xludf.DUMMYFUNCTION("""COMPUTED_VALUE"""),1046.4)</f>
        <v>1046.4</v>
      </c>
      <c r="C103" s="16">
        <f>IFERROR(__xludf.DUMMYFUNCTION("""COMPUTED_VALUE"""),45889.6458333333)</f>
        <v>45889.6458333333</v>
      </c>
      <c r="D103" s="17">
        <f>IFERROR(__xludf.DUMMYFUNCTION("""COMPUTED_VALUE"""),1070)</f>
        <v>1070</v>
      </c>
      <c r="E103" s="16">
        <f>IFERROR(__xludf.DUMMYFUNCTION("""COMPUTED_VALUE"""),45889.6458333333)</f>
        <v>45889.6458333333</v>
      </c>
      <c r="F103" s="17">
        <f>IFERROR(__xludf.DUMMYFUNCTION("""COMPUTED_VALUE"""),4610136)</f>
        <v>4610136</v>
      </c>
      <c r="G103" s="16">
        <f>IFERROR(__xludf.DUMMYFUNCTION("""COMPUTED_VALUE"""),45889.6458333333)</f>
        <v>45889.6458333333</v>
      </c>
      <c r="H103" s="17">
        <f>IFERROR(__xludf.DUMMYFUNCTION("""COMPUTED_VALUE"""),1078)</f>
        <v>1078</v>
      </c>
      <c r="I103" s="16">
        <f>IFERROR(__xludf.DUMMYFUNCTION("""COMPUTED_VALUE"""),45889.6458333333)</f>
        <v>45889.6458333333</v>
      </c>
      <c r="J103" s="17">
        <f>IFERROR(__xludf.DUMMYFUNCTION("""COMPUTED_VALUE"""),1039)</f>
        <v>1039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IFERROR(__xludf.DUMMYFUNCTION("""COMPUTED_VALUE"""),1041)</f>
        <v>1041</v>
      </c>
      <c r="C104" s="16">
        <f>IFERROR(__xludf.DUMMYFUNCTION("""COMPUTED_VALUE"""),45890.6458333333)</f>
        <v>45890.6458333333</v>
      </c>
      <c r="D104" s="17">
        <f>IFERROR(__xludf.DUMMYFUNCTION("""COMPUTED_VALUE"""),1045)</f>
        <v>1045</v>
      </c>
      <c r="E104" s="16">
        <f>IFERROR(__xludf.DUMMYFUNCTION("""COMPUTED_VALUE"""),45890.6458333333)</f>
        <v>45890.6458333333</v>
      </c>
      <c r="F104" s="17">
        <f>IFERROR(__xludf.DUMMYFUNCTION("""COMPUTED_VALUE"""),1522514)</f>
        <v>1522514</v>
      </c>
      <c r="G104" s="16">
        <f>IFERROR(__xludf.DUMMYFUNCTION("""COMPUTED_VALUE"""),45890.6458333333)</f>
        <v>45890.6458333333</v>
      </c>
      <c r="H104" s="17">
        <f>IFERROR(__xludf.DUMMYFUNCTION("""COMPUTED_VALUE"""),1054.6)</f>
        <v>1054.6</v>
      </c>
      <c r="I104" s="16">
        <f>IFERROR(__xludf.DUMMYFUNCTION("""COMPUTED_VALUE"""),45890.6458333333)</f>
        <v>45890.6458333333</v>
      </c>
      <c r="J104" s="17">
        <f>IFERROR(__xludf.DUMMYFUNCTION("""COMPUTED_VALUE"""),1032.5)</f>
        <v>1032.5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IFERROR(__xludf.DUMMYFUNCTION("""COMPUTED_VALUE"""),1050.4)</f>
        <v>1050.4</v>
      </c>
      <c r="C105" s="16">
        <f>IFERROR(__xludf.DUMMYFUNCTION("""COMPUTED_VALUE"""),45891.6458333333)</f>
        <v>45891.6458333333</v>
      </c>
      <c r="D105" s="17">
        <f>IFERROR(__xludf.DUMMYFUNCTION("""COMPUTED_VALUE"""),1048)</f>
        <v>1048</v>
      </c>
      <c r="E105" s="16">
        <f>IFERROR(__xludf.DUMMYFUNCTION("""COMPUTED_VALUE"""),45891.6458333333)</f>
        <v>45891.6458333333</v>
      </c>
      <c r="F105" s="17">
        <f>IFERROR(__xludf.DUMMYFUNCTION("""COMPUTED_VALUE"""),1872943)</f>
        <v>1872943</v>
      </c>
      <c r="G105" s="16">
        <f>IFERROR(__xludf.DUMMYFUNCTION("""COMPUTED_VALUE"""),45891.6458333333)</f>
        <v>45891.6458333333</v>
      </c>
      <c r="H105" s="17">
        <f>IFERROR(__xludf.DUMMYFUNCTION("""COMPUTED_VALUE"""),1056.6)</f>
        <v>1056.6</v>
      </c>
      <c r="I105" s="16">
        <f>IFERROR(__xludf.DUMMYFUNCTION("""COMPUTED_VALUE"""),45891.6458333333)</f>
        <v>45891.6458333333</v>
      </c>
      <c r="J105" s="17">
        <f>IFERROR(__xludf.DUMMYFUNCTION("""COMPUTED_VALUE"""),1036.5)</f>
        <v>1036.5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IFERROR(__xludf.DUMMYFUNCTION("""COMPUTED_VALUE"""),1067.4)</f>
        <v>1067.4</v>
      </c>
      <c r="C106" s="16">
        <f>IFERROR(__xludf.DUMMYFUNCTION("""COMPUTED_VALUE"""),45894.6458333333)</f>
        <v>45894.6458333333</v>
      </c>
      <c r="D106" s="17">
        <f>IFERROR(__xludf.DUMMYFUNCTION("""COMPUTED_VALUE"""),1055.5)</f>
        <v>1055.5</v>
      </c>
      <c r="E106" s="16">
        <f>IFERROR(__xludf.DUMMYFUNCTION("""COMPUTED_VALUE"""),45894.6458333333)</f>
        <v>45894.6458333333</v>
      </c>
      <c r="F106" s="17">
        <f>IFERROR(__xludf.DUMMYFUNCTION("""COMPUTED_VALUE"""),763968)</f>
        <v>763968</v>
      </c>
      <c r="G106" s="16">
        <f>IFERROR(__xludf.DUMMYFUNCTION("""COMPUTED_VALUE"""),45894.6458333333)</f>
        <v>45894.6458333333</v>
      </c>
      <c r="H106" s="17">
        <f>IFERROR(__xludf.DUMMYFUNCTION("""COMPUTED_VALUE"""),1075.9)</f>
        <v>1075.9</v>
      </c>
      <c r="I106" s="16">
        <f>IFERROR(__xludf.DUMMYFUNCTION("""COMPUTED_VALUE"""),45894.6458333333)</f>
        <v>45894.6458333333</v>
      </c>
      <c r="J106" s="17">
        <f>IFERROR(__xludf.DUMMYFUNCTION("""COMPUTED_VALUE"""),1052.4)</f>
        <v>1052.4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IFERROR(__xludf.DUMMYFUNCTION("""COMPUTED_VALUE"""),1045.6)</f>
        <v>1045.6</v>
      </c>
      <c r="C107" s="16">
        <f>IFERROR(__xludf.DUMMYFUNCTION("""COMPUTED_VALUE"""),45895.6458333333)</f>
        <v>45895.6458333333</v>
      </c>
      <c r="D107" s="17">
        <f>IFERROR(__xludf.DUMMYFUNCTION("""COMPUTED_VALUE"""),1065)</f>
        <v>1065</v>
      </c>
      <c r="E107" s="16">
        <f>IFERROR(__xludf.DUMMYFUNCTION("""COMPUTED_VALUE"""),45895.6458333333)</f>
        <v>45895.6458333333</v>
      </c>
      <c r="F107" s="17">
        <f>IFERROR(__xludf.DUMMYFUNCTION("""COMPUTED_VALUE"""),2586406)</f>
        <v>2586406</v>
      </c>
      <c r="G107" s="16">
        <f>IFERROR(__xludf.DUMMYFUNCTION("""COMPUTED_VALUE"""),45895.6458333333)</f>
        <v>45895.6458333333</v>
      </c>
      <c r="H107" s="17">
        <f>IFERROR(__xludf.DUMMYFUNCTION("""COMPUTED_VALUE"""),1067)</f>
        <v>1067</v>
      </c>
      <c r="I107" s="16">
        <f>IFERROR(__xludf.DUMMYFUNCTION("""COMPUTED_VALUE"""),45895.6458333333)</f>
        <v>45895.6458333333</v>
      </c>
      <c r="J107" s="17">
        <f>IFERROR(__xludf.DUMMYFUNCTION("""COMPUTED_VALUE"""),1042.7)</f>
        <v>1042.7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IFERROR(__xludf.DUMMYFUNCTION("""COMPUTED_VALUE"""),1026.3)</f>
        <v>1026.3</v>
      </c>
      <c r="C108" s="16">
        <f>IFERROR(__xludf.DUMMYFUNCTION("""COMPUTED_VALUE"""),45897.6458333333)</f>
        <v>45897.6458333333</v>
      </c>
      <c r="D108" s="17">
        <f>IFERROR(__xludf.DUMMYFUNCTION("""COMPUTED_VALUE"""),1046.7)</f>
        <v>1046.7</v>
      </c>
      <c r="E108" s="16">
        <f>IFERROR(__xludf.DUMMYFUNCTION("""COMPUTED_VALUE"""),45897.6458333333)</f>
        <v>45897.6458333333</v>
      </c>
      <c r="F108" s="17">
        <f>IFERROR(__xludf.DUMMYFUNCTION("""COMPUTED_VALUE"""),2342067)</f>
        <v>2342067</v>
      </c>
      <c r="G108" s="16">
        <f>IFERROR(__xludf.DUMMYFUNCTION("""COMPUTED_VALUE"""),45897.6458333333)</f>
        <v>45897.6458333333</v>
      </c>
      <c r="H108" s="17">
        <f>IFERROR(__xludf.DUMMYFUNCTION("""COMPUTED_VALUE"""),1047.3)</f>
        <v>1047.3</v>
      </c>
      <c r="I108" s="16">
        <f>IFERROR(__xludf.DUMMYFUNCTION("""COMPUTED_VALUE"""),45897.6458333333)</f>
        <v>45897.6458333333</v>
      </c>
      <c r="J108" s="17">
        <f>IFERROR(__xludf.DUMMYFUNCTION("""COMPUTED_VALUE"""),1021.7)</f>
        <v>1021.7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IFERROR(__xludf.DUMMYFUNCTION("""COMPUTED_VALUE"""),1027.9)</f>
        <v>1027.9</v>
      </c>
      <c r="C109" s="16">
        <f>IFERROR(__xludf.DUMMYFUNCTION("""COMPUTED_VALUE"""),45898.6458333333)</f>
        <v>45898.6458333333</v>
      </c>
      <c r="D109" s="17">
        <f>IFERROR(__xludf.DUMMYFUNCTION("""COMPUTED_VALUE"""),1035.1)</f>
        <v>1035.1</v>
      </c>
      <c r="E109" s="16">
        <f>IFERROR(__xludf.DUMMYFUNCTION("""COMPUTED_VALUE"""),45898.6458333333)</f>
        <v>45898.6458333333</v>
      </c>
      <c r="F109" s="17">
        <f>IFERROR(__xludf.DUMMYFUNCTION("""COMPUTED_VALUE"""),882168)</f>
        <v>882168</v>
      </c>
      <c r="G109" s="16">
        <f>IFERROR(__xludf.DUMMYFUNCTION("""COMPUTED_VALUE"""),45898.6458333333)</f>
        <v>45898.6458333333</v>
      </c>
      <c r="H109" s="17">
        <f>IFERROR(__xludf.DUMMYFUNCTION("""COMPUTED_VALUE"""),1040.1)</f>
        <v>1040.1</v>
      </c>
      <c r="I109" s="16">
        <f>IFERROR(__xludf.DUMMYFUNCTION("""COMPUTED_VALUE"""),45898.6458333333)</f>
        <v>45898.6458333333</v>
      </c>
      <c r="J109" s="17">
        <f>IFERROR(__xludf.DUMMYFUNCTION("""COMPUTED_VALUE"""),1020)</f>
        <v>1020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IFERROR(__xludf.DUMMYFUNCTION("""COMPUTED_VALUE"""),1025)</f>
        <v>1025</v>
      </c>
      <c r="C110" s="16">
        <f>IFERROR(__xludf.DUMMYFUNCTION("""COMPUTED_VALUE"""),45901.6458333333)</f>
        <v>45901.6458333333</v>
      </c>
      <c r="D110" s="17">
        <f>IFERROR(__xludf.DUMMYFUNCTION("""COMPUTED_VALUE"""),1022.8)</f>
        <v>1022.8</v>
      </c>
      <c r="E110" s="16">
        <f>IFERROR(__xludf.DUMMYFUNCTION("""COMPUTED_VALUE"""),45901.6458333333)</f>
        <v>45901.6458333333</v>
      </c>
      <c r="F110" s="17">
        <f>IFERROR(__xludf.DUMMYFUNCTION("""COMPUTED_VALUE"""),1626317)</f>
        <v>1626317</v>
      </c>
      <c r="G110" s="16">
        <f>IFERROR(__xludf.DUMMYFUNCTION("""COMPUTED_VALUE"""),45901.6458333333)</f>
        <v>45901.6458333333</v>
      </c>
      <c r="H110" s="17">
        <f>IFERROR(__xludf.DUMMYFUNCTION("""COMPUTED_VALUE"""),1035.8)</f>
        <v>1035.8</v>
      </c>
      <c r="I110" s="16">
        <f>IFERROR(__xludf.DUMMYFUNCTION("""COMPUTED_VALUE"""),45901.6458333333)</f>
        <v>45901.6458333333</v>
      </c>
      <c r="J110" s="17">
        <f>IFERROR(__xludf.DUMMYFUNCTION("""COMPUTED_VALUE"""),1016.1)</f>
        <v>1016.1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IFERROR(__xludf.DUMMYFUNCTION("""COMPUTED_VALUE"""),1022.2)</f>
        <v>1022.2</v>
      </c>
      <c r="C111" s="16">
        <f>IFERROR(__xludf.DUMMYFUNCTION("""COMPUTED_VALUE"""),45902.6458333333)</f>
        <v>45902.6458333333</v>
      </c>
      <c r="D111" s="17">
        <f>IFERROR(__xludf.DUMMYFUNCTION("""COMPUTED_VALUE"""),1027.6)</f>
        <v>1027.6</v>
      </c>
      <c r="E111" s="16">
        <f>IFERROR(__xludf.DUMMYFUNCTION("""COMPUTED_VALUE"""),45902.6458333333)</f>
        <v>45902.6458333333</v>
      </c>
      <c r="F111" s="17">
        <f>IFERROR(__xludf.DUMMYFUNCTION("""COMPUTED_VALUE"""),947610)</f>
        <v>947610</v>
      </c>
      <c r="G111" s="16">
        <f>IFERROR(__xludf.DUMMYFUNCTION("""COMPUTED_VALUE"""),45902.6458333333)</f>
        <v>45902.6458333333</v>
      </c>
      <c r="H111" s="17">
        <f>IFERROR(__xludf.DUMMYFUNCTION("""COMPUTED_VALUE"""),1032.9)</f>
        <v>1032.9</v>
      </c>
      <c r="I111" s="16">
        <f>IFERROR(__xludf.DUMMYFUNCTION("""COMPUTED_VALUE"""),45902.6458333333)</f>
        <v>45902.6458333333</v>
      </c>
      <c r="J111" s="17">
        <f>IFERROR(__xludf.DUMMYFUNCTION("""COMPUTED_VALUE"""),1016.2)</f>
        <v>1016.2</v>
      </c>
      <c r="K111" s="3">
        <f t="shared" si="2"/>
        <v>0</v>
      </c>
      <c r="L111" s="3">
        <f t="shared" si="3"/>
        <v>1022.2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IFERROR(__xludf.DUMMYFUNCTION("""COMPUTED_VALUE"""),1034.9)</f>
        <v>1034.9</v>
      </c>
      <c r="C112" s="16">
        <f>IFERROR(__xludf.DUMMYFUNCTION("""COMPUTED_VALUE"""),45903.6458333333)</f>
        <v>45903.6458333333</v>
      </c>
      <c r="D112" s="17">
        <f>IFERROR(__xludf.DUMMYFUNCTION("""COMPUTED_VALUE"""),1025)</f>
        <v>1025</v>
      </c>
      <c r="E112" s="16">
        <f>IFERROR(__xludf.DUMMYFUNCTION("""COMPUTED_VALUE"""),45903.6458333333)</f>
        <v>45903.6458333333</v>
      </c>
      <c r="F112" s="17">
        <f>IFERROR(__xludf.DUMMYFUNCTION("""COMPUTED_VALUE"""),982554)</f>
        <v>982554</v>
      </c>
      <c r="G112" s="16">
        <f>IFERROR(__xludf.DUMMYFUNCTION("""COMPUTED_VALUE"""),45903.6458333333)</f>
        <v>45903.6458333333</v>
      </c>
      <c r="H112" s="17">
        <f>IFERROR(__xludf.DUMMYFUNCTION("""COMPUTED_VALUE"""),1041.5)</f>
        <v>1041.5</v>
      </c>
      <c r="I112" s="16">
        <f>IFERROR(__xludf.DUMMYFUNCTION("""COMPUTED_VALUE"""),45903.6458333333)</f>
        <v>45903.6458333333</v>
      </c>
      <c r="J112" s="17">
        <f>IFERROR(__xludf.DUMMYFUNCTION("""COMPUTED_VALUE"""),1021)</f>
        <v>1021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IFERROR(__xludf.DUMMYFUNCTION("""COMPUTED_VALUE"""),1036)</f>
        <v>1036</v>
      </c>
      <c r="C113" s="16">
        <f>IFERROR(__xludf.DUMMYFUNCTION("""COMPUTED_VALUE"""),45904.6458333333)</f>
        <v>45904.6458333333</v>
      </c>
      <c r="D113" s="17">
        <f>IFERROR(__xludf.DUMMYFUNCTION("""COMPUTED_VALUE"""),1055)</f>
        <v>1055</v>
      </c>
      <c r="E113" s="16">
        <f>IFERROR(__xludf.DUMMYFUNCTION("""COMPUTED_VALUE"""),45904.6458333333)</f>
        <v>45904.6458333333</v>
      </c>
      <c r="F113" s="17">
        <f>IFERROR(__xludf.DUMMYFUNCTION("""COMPUTED_VALUE"""),422479)</f>
        <v>422479</v>
      </c>
      <c r="G113" s="16">
        <f>IFERROR(__xludf.DUMMYFUNCTION("""COMPUTED_VALUE"""),45904.6458333333)</f>
        <v>45904.6458333333</v>
      </c>
      <c r="H113" s="17">
        <f>IFERROR(__xludf.DUMMYFUNCTION("""COMPUTED_VALUE"""),1055)</f>
        <v>1055</v>
      </c>
      <c r="I113" s="16">
        <f>IFERROR(__xludf.DUMMYFUNCTION("""COMPUTED_VALUE"""),45904.6458333333)</f>
        <v>45904.6458333333</v>
      </c>
      <c r="J113" s="17">
        <f>IFERROR(__xludf.DUMMYFUNCTION("""COMPUTED_VALUE"""),1033.1)</f>
        <v>1033.1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IFERROR(__xludf.DUMMYFUNCTION("""COMPUTED_VALUE"""),1044.1)</f>
        <v>1044.1</v>
      </c>
      <c r="C114" s="16">
        <f>IFERROR(__xludf.DUMMYFUNCTION("""COMPUTED_VALUE"""),45905.6458333333)</f>
        <v>45905.6458333333</v>
      </c>
      <c r="D114" s="17">
        <f>IFERROR(__xludf.DUMMYFUNCTION("""COMPUTED_VALUE"""),1038.3)</f>
        <v>1038.3</v>
      </c>
      <c r="E114" s="16">
        <f>IFERROR(__xludf.DUMMYFUNCTION("""COMPUTED_VALUE"""),45905.6458333333)</f>
        <v>45905.6458333333</v>
      </c>
      <c r="F114" s="17">
        <f>IFERROR(__xludf.DUMMYFUNCTION("""COMPUTED_VALUE"""),738814)</f>
        <v>738814</v>
      </c>
      <c r="G114" s="16">
        <f>IFERROR(__xludf.DUMMYFUNCTION("""COMPUTED_VALUE"""),45905.6458333333)</f>
        <v>45905.6458333333</v>
      </c>
      <c r="H114" s="17">
        <f>IFERROR(__xludf.DUMMYFUNCTION("""COMPUTED_VALUE"""),1054.8)</f>
        <v>1054.8</v>
      </c>
      <c r="I114" s="16">
        <f>IFERROR(__xludf.DUMMYFUNCTION("""COMPUTED_VALUE"""),45905.6458333333)</f>
        <v>45905.6458333333</v>
      </c>
      <c r="J114" s="17">
        <f>IFERROR(__xludf.DUMMYFUNCTION("""COMPUTED_VALUE"""),1033.2)</f>
        <v>1033.2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IFERROR(__xludf.DUMMYFUNCTION("""COMPUTED_VALUE"""),1040.2)</f>
        <v>1040.2</v>
      </c>
      <c r="C115" s="16">
        <f>IFERROR(__xludf.DUMMYFUNCTION("""COMPUTED_VALUE"""),45908.6458333333)</f>
        <v>45908.6458333333</v>
      </c>
      <c r="D115" s="17">
        <f>IFERROR(__xludf.DUMMYFUNCTION("""COMPUTED_VALUE"""),1040.4)</f>
        <v>1040.4</v>
      </c>
      <c r="E115" s="16">
        <f>IFERROR(__xludf.DUMMYFUNCTION("""COMPUTED_VALUE"""),45908.6458333333)</f>
        <v>45908.6458333333</v>
      </c>
      <c r="F115" s="17">
        <f>IFERROR(__xludf.DUMMYFUNCTION("""COMPUTED_VALUE"""),415761)</f>
        <v>415761</v>
      </c>
      <c r="G115" s="16">
        <f>IFERROR(__xludf.DUMMYFUNCTION("""COMPUTED_VALUE"""),45908.6458333333)</f>
        <v>45908.6458333333</v>
      </c>
      <c r="H115" s="17">
        <f>IFERROR(__xludf.DUMMYFUNCTION("""COMPUTED_VALUE"""),1052.6)</f>
        <v>1052.6</v>
      </c>
      <c r="I115" s="16">
        <f>IFERROR(__xludf.DUMMYFUNCTION("""COMPUTED_VALUE"""),45908.6458333333)</f>
        <v>45908.6458333333</v>
      </c>
      <c r="J115" s="17">
        <f>IFERROR(__xludf.DUMMYFUNCTION("""COMPUTED_VALUE"""),1035.4)</f>
        <v>1035.4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IFERROR(__xludf.DUMMYFUNCTION("""COMPUTED_VALUE"""),1043.9)</f>
        <v>1043.9</v>
      </c>
      <c r="C116" s="16">
        <f>IFERROR(__xludf.DUMMYFUNCTION("""COMPUTED_VALUE"""),45909.6458333333)</f>
        <v>45909.6458333333</v>
      </c>
      <c r="D116" s="17">
        <f>IFERROR(__xludf.DUMMYFUNCTION("""COMPUTED_VALUE"""),1041)</f>
        <v>1041</v>
      </c>
      <c r="E116" s="16">
        <f>IFERROR(__xludf.DUMMYFUNCTION("""COMPUTED_VALUE"""),45909.6458333333)</f>
        <v>45909.6458333333</v>
      </c>
      <c r="F116" s="17">
        <f>IFERROR(__xludf.DUMMYFUNCTION("""COMPUTED_VALUE"""),1036358)</f>
        <v>1036358</v>
      </c>
      <c r="G116" s="16">
        <f>IFERROR(__xludf.DUMMYFUNCTION("""COMPUTED_VALUE"""),45909.6458333333)</f>
        <v>45909.6458333333</v>
      </c>
      <c r="H116" s="17">
        <f>IFERROR(__xludf.DUMMYFUNCTION("""COMPUTED_VALUE"""),1050)</f>
        <v>1050</v>
      </c>
      <c r="I116" s="16">
        <f>IFERROR(__xludf.DUMMYFUNCTION("""COMPUTED_VALUE"""),45909.6458333333)</f>
        <v>45909.6458333333</v>
      </c>
      <c r="J116" s="17">
        <f>IFERROR(__xludf.DUMMYFUNCTION("""COMPUTED_VALUE"""),1036)</f>
        <v>1036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IFERROR(__xludf.DUMMYFUNCTION("""COMPUTED_VALUE"""),1050.3)</f>
        <v>1050.3</v>
      </c>
      <c r="C117" s="16">
        <f>IFERROR(__xludf.DUMMYFUNCTION("""COMPUTED_VALUE"""),45910.6458333333)</f>
        <v>45910.6458333333</v>
      </c>
      <c r="D117" s="17">
        <f>IFERROR(__xludf.DUMMYFUNCTION("""COMPUTED_VALUE"""),1053)</f>
        <v>1053</v>
      </c>
      <c r="E117" s="16">
        <f>IFERROR(__xludf.DUMMYFUNCTION("""COMPUTED_VALUE"""),45910.6458333333)</f>
        <v>45910.6458333333</v>
      </c>
      <c r="F117" s="17">
        <f>IFERROR(__xludf.DUMMYFUNCTION("""COMPUTED_VALUE"""),1684330)</f>
        <v>1684330</v>
      </c>
      <c r="G117" s="16">
        <f>IFERROR(__xludf.DUMMYFUNCTION("""COMPUTED_VALUE"""),45910.6458333333)</f>
        <v>45910.6458333333</v>
      </c>
      <c r="H117" s="17">
        <f>IFERROR(__xludf.DUMMYFUNCTION("""COMPUTED_VALUE"""),1074)</f>
        <v>1074</v>
      </c>
      <c r="I117" s="16">
        <f>IFERROR(__xludf.DUMMYFUNCTION("""COMPUTED_VALUE"""),45910.6458333333)</f>
        <v>45910.6458333333</v>
      </c>
      <c r="J117" s="17">
        <f>IFERROR(__xludf.DUMMYFUNCTION("""COMPUTED_VALUE"""),1048)</f>
        <v>1048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IFERROR(__xludf.DUMMYFUNCTION("""COMPUTED_VALUE"""),1109.2)</f>
        <v>1109.2</v>
      </c>
      <c r="C118" s="16">
        <f>IFERROR(__xludf.DUMMYFUNCTION("""COMPUTED_VALUE"""),45911.6458333333)</f>
        <v>45911.6458333333</v>
      </c>
      <c r="D118" s="17">
        <f>IFERROR(__xludf.DUMMYFUNCTION("""COMPUTED_VALUE"""),1065)</f>
        <v>1065</v>
      </c>
      <c r="E118" s="16">
        <f>IFERROR(__xludf.DUMMYFUNCTION("""COMPUTED_VALUE"""),45911.6458333333)</f>
        <v>45911.6458333333</v>
      </c>
      <c r="F118" s="17">
        <f>IFERROR(__xludf.DUMMYFUNCTION("""COMPUTED_VALUE"""),5850105)</f>
        <v>5850105</v>
      </c>
      <c r="G118" s="16">
        <f>IFERROR(__xludf.DUMMYFUNCTION("""COMPUTED_VALUE"""),45911.6458333333)</f>
        <v>45911.6458333333</v>
      </c>
      <c r="H118" s="17">
        <f>IFERROR(__xludf.DUMMYFUNCTION("""COMPUTED_VALUE"""),1117.9)</f>
        <v>1117.9</v>
      </c>
      <c r="I118" s="16">
        <f>IFERROR(__xludf.DUMMYFUNCTION("""COMPUTED_VALUE"""),45911.6458333333)</f>
        <v>45911.6458333333</v>
      </c>
      <c r="J118" s="17">
        <f>IFERROR(__xludf.DUMMYFUNCTION("""COMPUTED_VALUE"""),1061.3)</f>
        <v>1061.3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IFERROR(__xludf.DUMMYFUNCTION("""COMPUTED_VALUE"""),1094.4)</f>
        <v>1094.4</v>
      </c>
      <c r="C119" s="16">
        <f>IFERROR(__xludf.DUMMYFUNCTION("""COMPUTED_VALUE"""),45912.6458333333)</f>
        <v>45912.6458333333</v>
      </c>
      <c r="D119" s="17">
        <f>IFERROR(__xludf.DUMMYFUNCTION("""COMPUTED_VALUE"""),1103.1)</f>
        <v>1103.1</v>
      </c>
      <c r="E119" s="16">
        <f>IFERROR(__xludf.DUMMYFUNCTION("""COMPUTED_VALUE"""),45912.6458333333)</f>
        <v>45912.6458333333</v>
      </c>
      <c r="F119" s="17">
        <f>IFERROR(__xludf.DUMMYFUNCTION("""COMPUTED_VALUE"""),794187)</f>
        <v>794187</v>
      </c>
      <c r="G119" s="16">
        <f>IFERROR(__xludf.DUMMYFUNCTION("""COMPUTED_VALUE"""),45912.6458333333)</f>
        <v>45912.6458333333</v>
      </c>
      <c r="H119" s="17">
        <f>IFERROR(__xludf.DUMMYFUNCTION("""COMPUTED_VALUE"""),1118.4)</f>
        <v>1118.4</v>
      </c>
      <c r="I119" s="16">
        <f>IFERROR(__xludf.DUMMYFUNCTION("""COMPUTED_VALUE"""),45912.6458333333)</f>
        <v>45912.6458333333</v>
      </c>
      <c r="J119" s="17">
        <f>IFERROR(__xludf.DUMMYFUNCTION("""COMPUTED_VALUE"""),1091)</f>
        <v>1091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IFERROR(__xludf.DUMMYFUNCTION("""COMPUTED_VALUE"""),1100.1)</f>
        <v>1100.1</v>
      </c>
      <c r="C120" s="16">
        <f>IFERROR(__xludf.DUMMYFUNCTION("""COMPUTED_VALUE"""),45915.6458333333)</f>
        <v>45915.6458333333</v>
      </c>
      <c r="D120" s="17">
        <f>IFERROR(__xludf.DUMMYFUNCTION("""COMPUTED_VALUE"""),1090)</f>
        <v>1090</v>
      </c>
      <c r="E120" s="16">
        <f>IFERROR(__xludf.DUMMYFUNCTION("""COMPUTED_VALUE"""),45915.6458333333)</f>
        <v>45915.6458333333</v>
      </c>
      <c r="F120" s="17">
        <f>IFERROR(__xludf.DUMMYFUNCTION("""COMPUTED_VALUE"""),1368536)</f>
        <v>1368536</v>
      </c>
      <c r="G120" s="16">
        <f>IFERROR(__xludf.DUMMYFUNCTION("""COMPUTED_VALUE"""),45915.6458333333)</f>
        <v>45915.6458333333</v>
      </c>
      <c r="H120" s="17">
        <f>IFERROR(__xludf.DUMMYFUNCTION("""COMPUTED_VALUE"""),1105.9)</f>
        <v>1105.9</v>
      </c>
      <c r="I120" s="16">
        <f>IFERROR(__xludf.DUMMYFUNCTION("""COMPUTED_VALUE"""),45915.6458333333)</f>
        <v>45915.6458333333</v>
      </c>
      <c r="J120" s="17">
        <f>IFERROR(__xludf.DUMMYFUNCTION("""COMPUTED_VALUE"""),1075.1)</f>
        <v>1075.1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IFERROR(__xludf.DUMMYFUNCTION("""COMPUTED_VALUE"""),1091.6)</f>
        <v>1091.6</v>
      </c>
      <c r="C121" s="16">
        <f>IFERROR(__xludf.DUMMYFUNCTION("""COMPUTED_VALUE"""),45916.6458333333)</f>
        <v>45916.6458333333</v>
      </c>
      <c r="D121" s="17">
        <f>IFERROR(__xludf.DUMMYFUNCTION("""COMPUTED_VALUE"""),1100)</f>
        <v>1100</v>
      </c>
      <c r="E121" s="16">
        <f>IFERROR(__xludf.DUMMYFUNCTION("""COMPUTED_VALUE"""),45916.6458333333)</f>
        <v>45916.6458333333</v>
      </c>
      <c r="F121" s="17">
        <f>IFERROR(__xludf.DUMMYFUNCTION("""COMPUTED_VALUE"""),1225324)</f>
        <v>1225324</v>
      </c>
      <c r="G121" s="16">
        <f>IFERROR(__xludf.DUMMYFUNCTION("""COMPUTED_VALUE"""),45916.6458333333)</f>
        <v>45916.6458333333</v>
      </c>
      <c r="H121" s="17">
        <f>IFERROR(__xludf.DUMMYFUNCTION("""COMPUTED_VALUE"""),1109)</f>
        <v>1109</v>
      </c>
      <c r="I121" s="16">
        <f>IFERROR(__xludf.DUMMYFUNCTION("""COMPUTED_VALUE"""),45916.6458333333)</f>
        <v>45916.6458333333</v>
      </c>
      <c r="J121" s="17">
        <f>IFERROR(__xludf.DUMMYFUNCTION("""COMPUTED_VALUE"""),1088.7)</f>
        <v>1088.7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IFERROR(__xludf.DUMMYFUNCTION("""COMPUTED_VALUE"""),1095.7)</f>
        <v>1095.7</v>
      </c>
      <c r="C122" s="16">
        <f>IFERROR(__xludf.DUMMYFUNCTION("""COMPUTED_VALUE"""),45917.6458333333)</f>
        <v>45917.6458333333</v>
      </c>
      <c r="D122" s="17">
        <f>IFERROR(__xludf.DUMMYFUNCTION("""COMPUTED_VALUE"""),1096)</f>
        <v>1096</v>
      </c>
      <c r="E122" s="16">
        <f>IFERROR(__xludf.DUMMYFUNCTION("""COMPUTED_VALUE"""),45917.6458333333)</f>
        <v>45917.6458333333</v>
      </c>
      <c r="F122" s="17">
        <f>IFERROR(__xludf.DUMMYFUNCTION("""COMPUTED_VALUE"""),796923)</f>
        <v>796923</v>
      </c>
      <c r="G122" s="16">
        <f>IFERROR(__xludf.DUMMYFUNCTION("""COMPUTED_VALUE"""),45917.6458333333)</f>
        <v>45917.6458333333</v>
      </c>
      <c r="H122" s="17">
        <f>IFERROR(__xludf.DUMMYFUNCTION("""COMPUTED_VALUE"""),1103.8)</f>
        <v>1103.8</v>
      </c>
      <c r="I122" s="16">
        <f>IFERROR(__xludf.DUMMYFUNCTION("""COMPUTED_VALUE"""),45917.6458333333)</f>
        <v>45917.6458333333</v>
      </c>
      <c r="J122" s="17">
        <f>IFERROR(__xludf.DUMMYFUNCTION("""COMPUTED_VALUE"""),1087.5)</f>
        <v>1087.5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IFERROR(__xludf.DUMMYFUNCTION("""COMPUTED_VALUE"""),1128.9)</f>
        <v>1128.9</v>
      </c>
      <c r="C123" s="16">
        <f>IFERROR(__xludf.DUMMYFUNCTION("""COMPUTED_VALUE"""),45918.6458333333)</f>
        <v>45918.6458333333</v>
      </c>
      <c r="D123" s="17">
        <f>IFERROR(__xludf.DUMMYFUNCTION("""COMPUTED_VALUE"""),1100.5)</f>
        <v>1100.5</v>
      </c>
      <c r="E123" s="16">
        <f>IFERROR(__xludf.DUMMYFUNCTION("""COMPUTED_VALUE"""),45918.6458333333)</f>
        <v>45918.6458333333</v>
      </c>
      <c r="F123" s="17">
        <f>IFERROR(__xludf.DUMMYFUNCTION("""COMPUTED_VALUE"""),1829041)</f>
        <v>1829041</v>
      </c>
      <c r="G123" s="16">
        <f>IFERROR(__xludf.DUMMYFUNCTION("""COMPUTED_VALUE"""),45918.6458333333)</f>
        <v>45918.6458333333</v>
      </c>
      <c r="H123" s="17">
        <f>IFERROR(__xludf.DUMMYFUNCTION("""COMPUTED_VALUE"""),1132)</f>
        <v>1132</v>
      </c>
      <c r="I123" s="16">
        <f>IFERROR(__xludf.DUMMYFUNCTION("""COMPUTED_VALUE"""),45918.6458333333)</f>
        <v>45918.6458333333</v>
      </c>
      <c r="J123" s="17">
        <f>IFERROR(__xludf.DUMMYFUNCTION("""COMPUTED_VALUE"""),1095.8)</f>
        <v>1095.8</v>
      </c>
      <c r="K123" s="3">
        <f t="shared" si="2"/>
        <v>1128.9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IFERROR(__xludf.DUMMYFUNCTION("""COMPUTED_VALUE"""),1119.2)</f>
        <v>1119.2</v>
      </c>
      <c r="C124" s="16">
        <f>IFERROR(__xludf.DUMMYFUNCTION("""COMPUTED_VALUE"""),45919.6458333333)</f>
        <v>45919.6458333333</v>
      </c>
      <c r="D124" s="17">
        <f>IFERROR(__xludf.DUMMYFUNCTION("""COMPUTED_VALUE"""),1130)</f>
        <v>1130</v>
      </c>
      <c r="E124" s="16">
        <f>IFERROR(__xludf.DUMMYFUNCTION("""COMPUTED_VALUE"""),45919.6458333333)</f>
        <v>45919.6458333333</v>
      </c>
      <c r="F124" s="17">
        <f>IFERROR(__xludf.DUMMYFUNCTION("""COMPUTED_VALUE"""),958952)</f>
        <v>958952</v>
      </c>
      <c r="G124" s="16">
        <f>IFERROR(__xludf.DUMMYFUNCTION("""COMPUTED_VALUE"""),45919.6458333333)</f>
        <v>45919.6458333333</v>
      </c>
      <c r="H124" s="17">
        <f>IFERROR(__xludf.DUMMYFUNCTION("""COMPUTED_VALUE"""),1138)</f>
        <v>1138</v>
      </c>
      <c r="I124" s="16">
        <f>IFERROR(__xludf.DUMMYFUNCTION("""COMPUTED_VALUE"""),45919.6458333333)</f>
        <v>45919.6458333333</v>
      </c>
      <c r="J124" s="17">
        <f>IFERROR(__xludf.DUMMYFUNCTION("""COMPUTED_VALUE"""),1116.9)</f>
        <v>1116.9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IFERROR(__xludf.DUMMYFUNCTION("""COMPUTED_VALUE"""),1117.4)</f>
        <v>1117.4</v>
      </c>
      <c r="C125" s="16">
        <f>IFERROR(__xludf.DUMMYFUNCTION("""COMPUTED_VALUE"""),45922.6458333333)</f>
        <v>45922.6458333333</v>
      </c>
      <c r="D125" s="17">
        <f>IFERROR(__xludf.DUMMYFUNCTION("""COMPUTED_VALUE"""),1120.1)</f>
        <v>1120.1</v>
      </c>
      <c r="E125" s="16">
        <f>IFERROR(__xludf.DUMMYFUNCTION("""COMPUTED_VALUE"""),45922.6458333333)</f>
        <v>45922.6458333333</v>
      </c>
      <c r="F125" s="17">
        <f>IFERROR(__xludf.DUMMYFUNCTION("""COMPUTED_VALUE"""),1491052)</f>
        <v>1491052</v>
      </c>
      <c r="G125" s="16">
        <f>IFERROR(__xludf.DUMMYFUNCTION("""COMPUTED_VALUE"""),45922.6458333333)</f>
        <v>45922.6458333333</v>
      </c>
      <c r="H125" s="17">
        <f>IFERROR(__xludf.DUMMYFUNCTION("""COMPUTED_VALUE"""),1127)</f>
        <v>1127</v>
      </c>
      <c r="I125" s="16">
        <f>IFERROR(__xludf.DUMMYFUNCTION("""COMPUTED_VALUE"""),45922.6458333333)</f>
        <v>45922.6458333333</v>
      </c>
      <c r="J125" s="17">
        <f>IFERROR(__xludf.DUMMYFUNCTION("""COMPUTED_VALUE"""),1110)</f>
        <v>1110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IFERROR(__xludf.DUMMYFUNCTION("""COMPUTED_VALUE"""),1109.9)</f>
        <v>1109.9</v>
      </c>
      <c r="C126" s="16">
        <f>IFERROR(__xludf.DUMMYFUNCTION("""COMPUTED_VALUE"""),45923.6458333333)</f>
        <v>45923.6458333333</v>
      </c>
      <c r="D126" s="17">
        <f>IFERROR(__xludf.DUMMYFUNCTION("""COMPUTED_VALUE"""),1112)</f>
        <v>1112</v>
      </c>
      <c r="E126" s="16">
        <f>IFERROR(__xludf.DUMMYFUNCTION("""COMPUTED_VALUE"""),45923.6458333333)</f>
        <v>45923.6458333333</v>
      </c>
      <c r="F126" s="17">
        <f>IFERROR(__xludf.DUMMYFUNCTION("""COMPUTED_VALUE"""),1396979)</f>
        <v>1396979</v>
      </c>
      <c r="G126" s="16">
        <f>IFERROR(__xludf.DUMMYFUNCTION("""COMPUTED_VALUE"""),45923.6458333333)</f>
        <v>45923.6458333333</v>
      </c>
      <c r="H126" s="17">
        <f>IFERROR(__xludf.DUMMYFUNCTION("""COMPUTED_VALUE"""),1124)</f>
        <v>1124</v>
      </c>
      <c r="I126" s="16">
        <f>IFERROR(__xludf.DUMMYFUNCTION("""COMPUTED_VALUE"""),45923.6458333333)</f>
        <v>45923.6458333333</v>
      </c>
      <c r="J126" s="17">
        <f>IFERROR(__xludf.DUMMYFUNCTION("""COMPUTED_VALUE"""),1099.2)</f>
        <v>1099.2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IFERROR(__xludf.DUMMYFUNCTION("""COMPUTED_VALUE"""),1090.9)</f>
        <v>1090.9</v>
      </c>
      <c r="C127" s="16">
        <f>IFERROR(__xludf.DUMMYFUNCTION("""COMPUTED_VALUE"""),45924.6458333333)</f>
        <v>45924.6458333333</v>
      </c>
      <c r="D127" s="17">
        <f>IFERROR(__xludf.DUMMYFUNCTION("""COMPUTED_VALUE"""),1109.9)</f>
        <v>1109.9</v>
      </c>
      <c r="E127" s="16">
        <f>IFERROR(__xludf.DUMMYFUNCTION("""COMPUTED_VALUE"""),45924.6458333333)</f>
        <v>45924.6458333333</v>
      </c>
      <c r="F127" s="17">
        <f>IFERROR(__xludf.DUMMYFUNCTION("""COMPUTED_VALUE"""),1246781)</f>
        <v>1246781</v>
      </c>
      <c r="G127" s="16">
        <f>IFERROR(__xludf.DUMMYFUNCTION("""COMPUTED_VALUE"""),45924.6458333333)</f>
        <v>45924.6458333333</v>
      </c>
      <c r="H127" s="17">
        <f>IFERROR(__xludf.DUMMYFUNCTION("""COMPUTED_VALUE"""),1112.6)</f>
        <v>1112.6</v>
      </c>
      <c r="I127" s="16">
        <f>IFERROR(__xludf.DUMMYFUNCTION("""COMPUTED_VALUE"""),45924.6458333333)</f>
        <v>45924.6458333333</v>
      </c>
      <c r="J127" s="17">
        <f>IFERROR(__xludf.DUMMYFUNCTION("""COMPUTED_VALUE"""),1088.8)</f>
        <v>1088.8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IFERROR(__xludf.DUMMYFUNCTION("""COMPUTED_VALUE"""),1097)</f>
        <v>1097</v>
      </c>
      <c r="C128" s="16">
        <f>IFERROR(__xludf.DUMMYFUNCTION("""COMPUTED_VALUE"""),45925.6458333333)</f>
        <v>45925.6458333333</v>
      </c>
      <c r="D128" s="17">
        <f>IFERROR(__xludf.DUMMYFUNCTION("""COMPUTED_VALUE"""),1092.1)</f>
        <v>1092.1</v>
      </c>
      <c r="E128" s="16">
        <f>IFERROR(__xludf.DUMMYFUNCTION("""COMPUTED_VALUE"""),45925.6458333333)</f>
        <v>45925.6458333333</v>
      </c>
      <c r="F128" s="17">
        <f>IFERROR(__xludf.DUMMYFUNCTION("""COMPUTED_VALUE"""),1710962)</f>
        <v>1710962</v>
      </c>
      <c r="G128" s="16">
        <f>IFERROR(__xludf.DUMMYFUNCTION("""COMPUTED_VALUE"""),45925.6458333333)</f>
        <v>45925.6458333333</v>
      </c>
      <c r="H128" s="17">
        <f>IFERROR(__xludf.DUMMYFUNCTION("""COMPUTED_VALUE"""),1108.7)</f>
        <v>1108.7</v>
      </c>
      <c r="I128" s="16">
        <f>IFERROR(__xludf.DUMMYFUNCTION("""COMPUTED_VALUE"""),45925.6458333333)</f>
        <v>45925.6458333333</v>
      </c>
      <c r="J128" s="17">
        <f>IFERROR(__xludf.DUMMYFUNCTION("""COMPUTED_VALUE"""),1092.1)</f>
        <v>1092.1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IFERROR(__xludf.DUMMYFUNCTION("""COMPUTED_VALUE"""),1090)</f>
        <v>1090</v>
      </c>
      <c r="C129" s="16">
        <f>IFERROR(__xludf.DUMMYFUNCTION("""COMPUTED_VALUE"""),45926.6458333333)</f>
        <v>45926.6458333333</v>
      </c>
      <c r="D129" s="17">
        <f>IFERROR(__xludf.DUMMYFUNCTION("""COMPUTED_VALUE"""),1080.5)</f>
        <v>1080.5</v>
      </c>
      <c r="E129" s="16">
        <f>IFERROR(__xludf.DUMMYFUNCTION("""COMPUTED_VALUE"""),45926.6458333333)</f>
        <v>45926.6458333333</v>
      </c>
      <c r="F129" s="17">
        <f>IFERROR(__xludf.DUMMYFUNCTION("""COMPUTED_VALUE"""),2425821)</f>
        <v>2425821</v>
      </c>
      <c r="G129" s="16">
        <f>IFERROR(__xludf.DUMMYFUNCTION("""COMPUTED_VALUE"""),45926.6458333333)</f>
        <v>45926.6458333333</v>
      </c>
      <c r="H129" s="17">
        <f>IFERROR(__xludf.DUMMYFUNCTION("""COMPUTED_VALUE"""),1100.3)</f>
        <v>1100.3</v>
      </c>
      <c r="I129" s="16">
        <f>IFERROR(__xludf.DUMMYFUNCTION("""COMPUTED_VALUE"""),45926.6458333333)</f>
        <v>45926.6458333333</v>
      </c>
      <c r="J129" s="17">
        <f>IFERROR(__xludf.DUMMYFUNCTION("""COMPUTED_VALUE"""),1072)</f>
        <v>1072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104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""price"")"),2003)</f>
        <v>2003</v>
      </c>
      <c r="I3" s="22" t="s">
        <v>269</v>
      </c>
      <c r="J3" s="23">
        <f>IFERROR(__xludf.DUMMYFUNCTION("GOOGLEFINANCE(L3, ""volume"")"),754739)</f>
        <v>754739</v>
      </c>
      <c r="K3" s="24" t="s">
        <v>270</v>
      </c>
      <c r="L3" s="25" t="str">
        <f>Mastersheet!B48</f>
        <v>BAJAJFINSV</v>
      </c>
      <c r="M3" s="26">
        <f>IFERROR(__xludf.DUMMYFUNCTION("""COMPUTED_VALUE"""),45926.6458333333)</f>
        <v>45926.6458333333</v>
      </c>
      <c r="N3" s="27">
        <f>IFERROR(__xludf.DUMMYFUNCTION("""COMPUTED_VALUE"""),2003.2)</f>
        <v>2003.2</v>
      </c>
      <c r="O3" s="26">
        <f>IFERROR(__xludf.DUMMYFUNCTION("""COMPUTED_VALUE"""),45926.6458333333)</f>
        <v>45926.6458333333</v>
      </c>
      <c r="P3" s="27">
        <f>IFERROR(__xludf.DUMMYFUNCTION("""COMPUTED_VALUE"""),2040)</f>
        <v>2040</v>
      </c>
      <c r="Q3" s="16">
        <f>IFERROR(__xludf.DUMMYFUNCTION("""COMPUTED_VALUE"""),45926.6458333333)</f>
        <v>45926.6458333333</v>
      </c>
      <c r="R3" s="17">
        <f>IFERROR(__xludf.DUMMYFUNCTION("""COMPUTED_VALUE"""),2047.5)</f>
        <v>2047.5</v>
      </c>
      <c r="S3" s="16">
        <f>IFERROR(__xludf.DUMMYFUNCTION("""COMPUTED_VALUE"""),45926.6458333333)</f>
        <v>45926.6458333333</v>
      </c>
      <c r="T3" s="17">
        <f>IFERROR(__xludf.DUMMYFUNCTION("""COMPUTED_VALUE"""),1996.1)</f>
        <v>1996.1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IFERROR(__xludf.DUMMYFUNCTION("""COMPUTED_VALUE"""),2005.75)</f>
        <v>2005.75</v>
      </c>
      <c r="C5" s="14">
        <f>IFERROR(__xludf.DUMMYFUNCTION("""COMPUTED_VALUE"""),45743.6458333333)</f>
        <v>45743.6458333333</v>
      </c>
      <c r="D5" s="15">
        <f>IFERROR(__xludf.DUMMYFUNCTION("""COMPUTED_VALUE"""),1940)</f>
        <v>1940</v>
      </c>
      <c r="E5" s="14">
        <f>IFERROR(__xludf.DUMMYFUNCTION("""COMPUTED_VALUE"""),45743.6458333333)</f>
        <v>45743.6458333333</v>
      </c>
      <c r="F5" s="15">
        <f>IFERROR(__xludf.DUMMYFUNCTION("""COMPUTED_VALUE"""),4506778)</f>
        <v>4506778</v>
      </c>
      <c r="G5" s="14">
        <f>IFERROR(__xludf.DUMMYFUNCTION("""COMPUTED_VALUE"""),45743.6458333333)</f>
        <v>45743.6458333333</v>
      </c>
      <c r="H5" s="15">
        <f>IFERROR(__xludf.DUMMYFUNCTION("""COMPUTED_VALUE"""),2011.5)</f>
        <v>2011.5</v>
      </c>
      <c r="I5" s="30">
        <f>IFERROR(__xludf.DUMMYFUNCTION("""COMPUTED_VALUE"""),45743.6458333333)</f>
        <v>45743.6458333333</v>
      </c>
      <c r="J5" s="3">
        <f>IFERROR(__xludf.DUMMYFUNCTION("""COMPUTED_VALUE"""),1932.6)</f>
        <v>1932.6</v>
      </c>
      <c r="K5" s="5"/>
      <c r="L5" s="5"/>
      <c r="M5" s="3">
        <f t="array" ref="M5">INDEX(K11:K124,MATCH(SMALL(ABS(K11:K124-H3),1),ABS(K11:K124-H3),0))</f>
        <v>1993.5</v>
      </c>
      <c r="N5" s="3">
        <f t="array" ref="N5">INDEX(K11:K124,MATCH(SMALL(ABS(K11:K124-H3),2),ABS(K11:K124-H3),0))</f>
        <v>2028.8</v>
      </c>
      <c r="O5" s="3">
        <f t="array" ref="O5">INDEX(L11:L124,MATCH(SMALL(ABS(L11:L124-H3),1),ABS(L11:L124-H3),0))</f>
        <v>2001</v>
      </c>
      <c r="P5" s="3">
        <f t="array" ref="P5">INDEX(L11:L124,MATCH(SMALL(ABS(L11:L124-H3),2),ABS(L11:L124-H3),0))</f>
        <v>1980.7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2007.35</v>
      </c>
      <c r="T5" s="17">
        <f ca="1">IF(AND(H3&gt;=Mastersheet!I3*S5,H3&lt;=Mastersheet!J3*S5),1,0)</f>
        <v>0</v>
      </c>
      <c r="U5" s="36">
        <f>(N3+P3)/2</f>
        <v>2021.6</v>
      </c>
      <c r="V5" s="17">
        <f>(N3+P3+R3+T3)/4</f>
        <v>2021.7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IFERROR(__xludf.DUMMYFUNCTION("""COMPUTED_VALUE"""),2007.35)</f>
        <v>2007.35</v>
      </c>
      <c r="C6" s="16">
        <f>IFERROR(__xludf.DUMMYFUNCTION("""COMPUTED_VALUE"""),45744.6458333333)</f>
        <v>45744.6458333333</v>
      </c>
      <c r="D6" s="17">
        <f>IFERROR(__xludf.DUMMYFUNCTION("""COMPUTED_VALUE"""),1995.75)</f>
        <v>1995.75</v>
      </c>
      <c r="E6" s="16">
        <f>IFERROR(__xludf.DUMMYFUNCTION("""COMPUTED_VALUE"""),45744.6458333333)</f>
        <v>45744.6458333333</v>
      </c>
      <c r="F6" s="17">
        <f>IFERROR(__xludf.DUMMYFUNCTION("""COMPUTED_VALUE"""),1907116)</f>
        <v>1907116</v>
      </c>
      <c r="G6" s="16">
        <f>IFERROR(__xludf.DUMMYFUNCTION("""COMPUTED_VALUE"""),45744.6458333333)</f>
        <v>45744.6458333333</v>
      </c>
      <c r="H6" s="17">
        <f>IFERROR(__xludf.DUMMYFUNCTION("""COMPUTED_VALUE"""),2022)</f>
        <v>2022</v>
      </c>
      <c r="I6" s="16">
        <f>IFERROR(__xludf.DUMMYFUNCTION("""COMPUTED_VALUE"""),45744.6458333333)</f>
        <v>45744.6458333333</v>
      </c>
      <c r="J6" s="17">
        <f>IFERROR(__xludf.DUMMYFUNCTION("""COMPUTED_VALUE"""),1994.2)</f>
        <v>1994.2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IFERROR(__xludf.DUMMYFUNCTION("""COMPUTED_VALUE"""),1937.1)</f>
        <v>1937.1</v>
      </c>
      <c r="C7" s="16">
        <f>IFERROR(__xludf.DUMMYFUNCTION("""COMPUTED_VALUE"""),45748.6458333333)</f>
        <v>45748.6458333333</v>
      </c>
      <c r="D7" s="17">
        <f>IFERROR(__xludf.DUMMYFUNCTION("""COMPUTED_VALUE"""),1998)</f>
        <v>1998</v>
      </c>
      <c r="E7" s="16">
        <f>IFERROR(__xludf.DUMMYFUNCTION("""COMPUTED_VALUE"""),45748.6458333333)</f>
        <v>45748.6458333333</v>
      </c>
      <c r="F7" s="17">
        <f>IFERROR(__xludf.DUMMYFUNCTION("""COMPUTED_VALUE"""),2125921)</f>
        <v>2125921</v>
      </c>
      <c r="G7" s="16">
        <f>IFERROR(__xludf.DUMMYFUNCTION("""COMPUTED_VALUE"""),45748.6458333333)</f>
        <v>45748.6458333333</v>
      </c>
      <c r="H7" s="17">
        <f>IFERROR(__xludf.DUMMYFUNCTION("""COMPUTED_VALUE"""),2002)</f>
        <v>2002</v>
      </c>
      <c r="I7" s="16">
        <f>IFERROR(__xludf.DUMMYFUNCTION("""COMPUTED_VALUE"""),45748.6458333333)</f>
        <v>45748.6458333333</v>
      </c>
      <c r="J7" s="17">
        <f>IFERROR(__xludf.DUMMYFUNCTION("""COMPUTED_VALUE"""),1932.5)</f>
        <v>1932.5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IFERROR(__xludf.DUMMYFUNCTION("""COMPUTED_VALUE"""),1930.95)</f>
        <v>1930.95</v>
      </c>
      <c r="C8" s="16">
        <f>IFERROR(__xludf.DUMMYFUNCTION("""COMPUTED_VALUE"""),45749.6458333333)</f>
        <v>45749.6458333333</v>
      </c>
      <c r="D8" s="17">
        <f>IFERROR(__xludf.DUMMYFUNCTION("""COMPUTED_VALUE"""),1946.3)</f>
        <v>1946.3</v>
      </c>
      <c r="E8" s="16">
        <f>IFERROR(__xludf.DUMMYFUNCTION("""COMPUTED_VALUE"""),45749.6458333333)</f>
        <v>45749.6458333333</v>
      </c>
      <c r="F8" s="17">
        <f>IFERROR(__xludf.DUMMYFUNCTION("""COMPUTED_VALUE"""),1057344)</f>
        <v>1057344</v>
      </c>
      <c r="G8" s="16">
        <f>IFERROR(__xludf.DUMMYFUNCTION("""COMPUTED_VALUE"""),45749.6458333333)</f>
        <v>45749.6458333333</v>
      </c>
      <c r="H8" s="17">
        <f>IFERROR(__xludf.DUMMYFUNCTION("""COMPUTED_VALUE"""),1963.5)</f>
        <v>1963.5</v>
      </c>
      <c r="I8" s="16">
        <f>IFERROR(__xludf.DUMMYFUNCTION("""COMPUTED_VALUE"""),45749.6458333333)</f>
        <v>45749.6458333333</v>
      </c>
      <c r="J8" s="17">
        <f>IFERROR(__xludf.DUMMYFUNCTION("""COMPUTED_VALUE"""),1920.95)</f>
        <v>1920.95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IFERROR(__xludf.DUMMYFUNCTION("""COMPUTED_VALUE"""),1920.45)</f>
        <v>1920.45</v>
      </c>
      <c r="C9" s="16">
        <f>IFERROR(__xludf.DUMMYFUNCTION("""COMPUTED_VALUE"""),45750.6458333333)</f>
        <v>45750.6458333333</v>
      </c>
      <c r="D9" s="17">
        <f>IFERROR(__xludf.DUMMYFUNCTION("""COMPUTED_VALUE"""),1915)</f>
        <v>1915</v>
      </c>
      <c r="E9" s="16">
        <f>IFERROR(__xludf.DUMMYFUNCTION("""COMPUTED_VALUE"""),45750.6458333333)</f>
        <v>45750.6458333333</v>
      </c>
      <c r="F9" s="17">
        <f>IFERROR(__xludf.DUMMYFUNCTION("""COMPUTED_VALUE"""),1598430)</f>
        <v>1598430</v>
      </c>
      <c r="G9" s="16">
        <f>IFERROR(__xludf.DUMMYFUNCTION("""COMPUTED_VALUE"""),45750.6458333333)</f>
        <v>45750.6458333333</v>
      </c>
      <c r="H9" s="17">
        <f>IFERROR(__xludf.DUMMYFUNCTION("""COMPUTED_VALUE"""),1950)</f>
        <v>1950</v>
      </c>
      <c r="I9" s="16">
        <f>IFERROR(__xludf.DUMMYFUNCTION("""COMPUTED_VALUE"""),45750.6458333333)</f>
        <v>45750.6458333333</v>
      </c>
      <c r="J9" s="17">
        <f>IFERROR(__xludf.DUMMYFUNCTION("""COMPUTED_VALUE"""),1904.95)</f>
        <v>1904.95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IFERROR(__xludf.DUMMYFUNCTION("""COMPUTED_VALUE"""),1912.3)</f>
        <v>1912.3</v>
      </c>
      <c r="C10" s="16">
        <f>IFERROR(__xludf.DUMMYFUNCTION("""COMPUTED_VALUE"""),45751.6458333333)</f>
        <v>45751.6458333333</v>
      </c>
      <c r="D10" s="17">
        <f>IFERROR(__xludf.DUMMYFUNCTION("""COMPUTED_VALUE"""),1912)</f>
        <v>1912</v>
      </c>
      <c r="E10" s="16">
        <f>IFERROR(__xludf.DUMMYFUNCTION("""COMPUTED_VALUE"""),45751.6458333333)</f>
        <v>45751.6458333333</v>
      </c>
      <c r="F10" s="17">
        <f>IFERROR(__xludf.DUMMYFUNCTION("""COMPUTED_VALUE"""),2120708)</f>
        <v>2120708</v>
      </c>
      <c r="G10" s="16">
        <f>IFERROR(__xludf.DUMMYFUNCTION("""COMPUTED_VALUE"""),45751.6458333333)</f>
        <v>45751.6458333333</v>
      </c>
      <c r="H10" s="17">
        <f>IFERROR(__xludf.DUMMYFUNCTION("""COMPUTED_VALUE"""),1929.95)</f>
        <v>1929.95</v>
      </c>
      <c r="I10" s="16">
        <f>IFERROR(__xludf.DUMMYFUNCTION("""COMPUTED_VALUE"""),45751.6458333333)</f>
        <v>45751.6458333333</v>
      </c>
      <c r="J10" s="17">
        <f>IFERROR(__xludf.DUMMYFUNCTION("""COMPUTED_VALUE"""),1897)</f>
        <v>1897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IFERROR(__xludf.DUMMYFUNCTION("""COMPUTED_VALUE"""),1852.65)</f>
        <v>1852.65</v>
      </c>
      <c r="C11" s="16">
        <f>IFERROR(__xludf.DUMMYFUNCTION("""COMPUTED_VALUE"""),45754.6458333333)</f>
        <v>45754.6458333333</v>
      </c>
      <c r="D11" s="17">
        <f>IFERROR(__xludf.DUMMYFUNCTION("""COMPUTED_VALUE"""),1835)</f>
        <v>1835</v>
      </c>
      <c r="E11" s="16">
        <f>IFERROR(__xludf.DUMMYFUNCTION("""COMPUTED_VALUE"""),45754.6458333333)</f>
        <v>45754.6458333333</v>
      </c>
      <c r="F11" s="17">
        <f>IFERROR(__xludf.DUMMYFUNCTION("""COMPUTED_VALUE"""),2594074)</f>
        <v>2594074</v>
      </c>
      <c r="G11" s="16">
        <f>IFERROR(__xludf.DUMMYFUNCTION("""COMPUTED_VALUE"""),45754.6458333333)</f>
        <v>45754.6458333333</v>
      </c>
      <c r="H11" s="17">
        <f>IFERROR(__xludf.DUMMYFUNCTION("""COMPUTED_VALUE"""),1894)</f>
        <v>1894</v>
      </c>
      <c r="I11" s="16">
        <f>IFERROR(__xludf.DUMMYFUNCTION("""COMPUTED_VALUE"""),45754.6458333333)</f>
        <v>45754.6458333333</v>
      </c>
      <c r="J11" s="17">
        <f>IFERROR(__xludf.DUMMYFUNCTION("""COMPUTED_VALUE"""),1823.5)</f>
        <v>1823.5</v>
      </c>
      <c r="K11" s="3">
        <f t="shared" ref="K11:K125" si="2">IF(B11=MAX(B5:B17),B11,0)</f>
        <v>0</v>
      </c>
      <c r="L11" s="3">
        <f t="shared" ref="L11:L125" si="3">IF(B11=MIN(B5:B17),B11,0)</f>
        <v>1852.65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IFERROR(__xludf.DUMMYFUNCTION("""COMPUTED_VALUE"""),1903.2)</f>
        <v>1903.2</v>
      </c>
      <c r="C12" s="16">
        <f>IFERROR(__xludf.DUMMYFUNCTION("""COMPUTED_VALUE"""),45755.6458333333)</f>
        <v>45755.6458333333</v>
      </c>
      <c r="D12" s="17">
        <f>IFERROR(__xludf.DUMMYFUNCTION("""COMPUTED_VALUE"""),1890)</f>
        <v>1890</v>
      </c>
      <c r="E12" s="16">
        <f>IFERROR(__xludf.DUMMYFUNCTION("""COMPUTED_VALUE"""),45755.6458333333)</f>
        <v>45755.6458333333</v>
      </c>
      <c r="F12" s="17">
        <f>IFERROR(__xludf.DUMMYFUNCTION("""COMPUTED_VALUE"""),3182018)</f>
        <v>3182018</v>
      </c>
      <c r="G12" s="16">
        <f>IFERROR(__xludf.DUMMYFUNCTION("""COMPUTED_VALUE"""),45755.6458333333)</f>
        <v>45755.6458333333</v>
      </c>
      <c r="H12" s="17">
        <f>IFERROR(__xludf.DUMMYFUNCTION("""COMPUTED_VALUE"""),1934)</f>
        <v>1934</v>
      </c>
      <c r="I12" s="16">
        <f>IFERROR(__xludf.DUMMYFUNCTION("""COMPUTED_VALUE"""),45755.6458333333)</f>
        <v>45755.6458333333</v>
      </c>
      <c r="J12" s="17">
        <f>IFERROR(__xludf.DUMMYFUNCTION("""COMPUTED_VALUE"""),1873.7)</f>
        <v>1873.7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IFERROR(__xludf.DUMMYFUNCTION("""COMPUTED_VALUE"""),1895.7)</f>
        <v>1895.7</v>
      </c>
      <c r="C13" s="16">
        <f>IFERROR(__xludf.DUMMYFUNCTION("""COMPUTED_VALUE"""),45756.6458333333)</f>
        <v>45756.6458333333</v>
      </c>
      <c r="D13" s="17">
        <f>IFERROR(__xludf.DUMMYFUNCTION("""COMPUTED_VALUE"""),1899)</f>
        <v>1899</v>
      </c>
      <c r="E13" s="16">
        <f>IFERROR(__xludf.DUMMYFUNCTION("""COMPUTED_VALUE"""),45756.6458333333)</f>
        <v>45756.6458333333</v>
      </c>
      <c r="F13" s="17">
        <f>IFERROR(__xludf.DUMMYFUNCTION("""COMPUTED_VALUE"""),1394829)</f>
        <v>1394829</v>
      </c>
      <c r="G13" s="16">
        <f>IFERROR(__xludf.DUMMYFUNCTION("""COMPUTED_VALUE"""),45756.6458333333)</f>
        <v>45756.6458333333</v>
      </c>
      <c r="H13" s="17">
        <f>IFERROR(__xludf.DUMMYFUNCTION("""COMPUTED_VALUE"""),1918.3)</f>
        <v>1918.3</v>
      </c>
      <c r="I13" s="16">
        <f>IFERROR(__xludf.DUMMYFUNCTION("""COMPUTED_VALUE"""),45756.6458333333)</f>
        <v>45756.6458333333</v>
      </c>
      <c r="J13" s="17">
        <f>IFERROR(__xludf.DUMMYFUNCTION("""COMPUTED_VALUE"""),1878)</f>
        <v>1878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IFERROR(__xludf.DUMMYFUNCTION("""COMPUTED_VALUE"""),1946.3)</f>
        <v>1946.3</v>
      </c>
      <c r="C14" s="16">
        <f>IFERROR(__xludf.DUMMYFUNCTION("""COMPUTED_VALUE"""),45758.6458333333)</f>
        <v>45758.6458333333</v>
      </c>
      <c r="D14" s="17">
        <f>IFERROR(__xludf.DUMMYFUNCTION("""COMPUTED_VALUE"""),1909.45)</f>
        <v>1909.45</v>
      </c>
      <c r="E14" s="16">
        <f>IFERROR(__xludf.DUMMYFUNCTION("""COMPUTED_VALUE"""),45758.6458333333)</f>
        <v>45758.6458333333</v>
      </c>
      <c r="F14" s="17">
        <f>IFERROR(__xludf.DUMMYFUNCTION("""COMPUTED_VALUE"""),1880510)</f>
        <v>1880510</v>
      </c>
      <c r="G14" s="16">
        <f>IFERROR(__xludf.DUMMYFUNCTION("""COMPUTED_VALUE"""),45758.6458333333)</f>
        <v>45758.6458333333</v>
      </c>
      <c r="H14" s="17">
        <f>IFERROR(__xludf.DUMMYFUNCTION("""COMPUTED_VALUE"""),1966)</f>
        <v>1966</v>
      </c>
      <c r="I14" s="16">
        <f>IFERROR(__xludf.DUMMYFUNCTION("""COMPUTED_VALUE"""),45758.6458333333)</f>
        <v>45758.6458333333</v>
      </c>
      <c r="J14" s="17">
        <f>IFERROR(__xludf.DUMMYFUNCTION("""COMPUTED_VALUE"""),1906.55)</f>
        <v>1906.55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IFERROR(__xludf.DUMMYFUNCTION("""COMPUTED_VALUE"""),1968)</f>
        <v>1968</v>
      </c>
      <c r="C15" s="16">
        <f>IFERROR(__xludf.DUMMYFUNCTION("""COMPUTED_VALUE"""),45762.6458333333)</f>
        <v>45762.6458333333</v>
      </c>
      <c r="D15" s="17">
        <f>IFERROR(__xludf.DUMMYFUNCTION("""COMPUTED_VALUE"""),1984)</f>
        <v>1984</v>
      </c>
      <c r="E15" s="16">
        <f>IFERROR(__xludf.DUMMYFUNCTION("""COMPUTED_VALUE"""),45762.6458333333)</f>
        <v>45762.6458333333</v>
      </c>
      <c r="F15" s="17">
        <f>IFERROR(__xludf.DUMMYFUNCTION("""COMPUTED_VALUE"""),1250872)</f>
        <v>1250872</v>
      </c>
      <c r="G15" s="16">
        <f>IFERROR(__xludf.DUMMYFUNCTION("""COMPUTED_VALUE"""),45762.6458333333)</f>
        <v>45762.6458333333</v>
      </c>
      <c r="H15" s="17">
        <f>IFERROR(__xludf.DUMMYFUNCTION("""COMPUTED_VALUE"""),1984)</f>
        <v>1984</v>
      </c>
      <c r="I15" s="16">
        <f>IFERROR(__xludf.DUMMYFUNCTION("""COMPUTED_VALUE"""),45762.6458333333)</f>
        <v>45762.6458333333</v>
      </c>
      <c r="J15" s="17">
        <f>IFERROR(__xludf.DUMMYFUNCTION("""COMPUTED_VALUE"""),1960.8)</f>
        <v>1960.8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IFERROR(__xludf.DUMMYFUNCTION("""COMPUTED_VALUE"""),1969.2)</f>
        <v>1969.2</v>
      </c>
      <c r="C16" s="16">
        <f>IFERROR(__xludf.DUMMYFUNCTION("""COMPUTED_VALUE"""),45763.6458333333)</f>
        <v>45763.6458333333</v>
      </c>
      <c r="D16" s="17">
        <f>IFERROR(__xludf.DUMMYFUNCTION("""COMPUTED_VALUE"""),1961)</f>
        <v>1961</v>
      </c>
      <c r="E16" s="16">
        <f>IFERROR(__xludf.DUMMYFUNCTION("""COMPUTED_VALUE"""),45763.6458333333)</f>
        <v>45763.6458333333</v>
      </c>
      <c r="F16" s="17">
        <f>IFERROR(__xludf.DUMMYFUNCTION("""COMPUTED_VALUE"""),1033717)</f>
        <v>1033717</v>
      </c>
      <c r="G16" s="16">
        <f>IFERROR(__xludf.DUMMYFUNCTION("""COMPUTED_VALUE"""),45763.6458333333)</f>
        <v>45763.6458333333</v>
      </c>
      <c r="H16" s="17">
        <f>IFERROR(__xludf.DUMMYFUNCTION("""COMPUTED_VALUE"""),1975.7)</f>
        <v>1975.7</v>
      </c>
      <c r="I16" s="16">
        <f>IFERROR(__xludf.DUMMYFUNCTION("""COMPUTED_VALUE"""),45763.6458333333)</f>
        <v>45763.6458333333</v>
      </c>
      <c r="J16" s="17">
        <f>IFERROR(__xludf.DUMMYFUNCTION("""COMPUTED_VALUE"""),1949.6)</f>
        <v>1949.6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IFERROR(__xludf.DUMMYFUNCTION("""COMPUTED_VALUE"""),2035.3)</f>
        <v>2035.3</v>
      </c>
      <c r="C17" s="16">
        <f>IFERROR(__xludf.DUMMYFUNCTION("""COMPUTED_VALUE"""),45764.6458333333)</f>
        <v>45764.6458333333</v>
      </c>
      <c r="D17" s="17">
        <f>IFERROR(__xludf.DUMMYFUNCTION("""COMPUTED_VALUE"""),1961.5)</f>
        <v>1961.5</v>
      </c>
      <c r="E17" s="16">
        <f>IFERROR(__xludf.DUMMYFUNCTION("""COMPUTED_VALUE"""),45764.6458333333)</f>
        <v>45764.6458333333</v>
      </c>
      <c r="F17" s="17">
        <f>IFERROR(__xludf.DUMMYFUNCTION("""COMPUTED_VALUE"""),2104540)</f>
        <v>2104540</v>
      </c>
      <c r="G17" s="16">
        <f>IFERROR(__xludf.DUMMYFUNCTION("""COMPUTED_VALUE"""),45764.6458333333)</f>
        <v>45764.6458333333</v>
      </c>
      <c r="H17" s="17">
        <f>IFERROR(__xludf.DUMMYFUNCTION("""COMPUTED_VALUE"""),2039.7)</f>
        <v>2039.7</v>
      </c>
      <c r="I17" s="16">
        <f>IFERROR(__xludf.DUMMYFUNCTION("""COMPUTED_VALUE"""),45764.6458333333)</f>
        <v>45764.6458333333</v>
      </c>
      <c r="J17" s="17">
        <f>IFERROR(__xludf.DUMMYFUNCTION("""COMPUTED_VALUE"""),1955)</f>
        <v>1955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IFERROR(__xludf.DUMMYFUNCTION("""COMPUTED_VALUE"""),2103.5)</f>
        <v>2103.5</v>
      </c>
      <c r="C18" s="16">
        <f>IFERROR(__xludf.DUMMYFUNCTION("""COMPUTED_VALUE"""),45768.6458333333)</f>
        <v>45768.6458333333</v>
      </c>
      <c r="D18" s="17">
        <f>IFERROR(__xludf.DUMMYFUNCTION("""COMPUTED_VALUE"""),2037.1)</f>
        <v>2037.1</v>
      </c>
      <c r="E18" s="16">
        <f>IFERROR(__xludf.DUMMYFUNCTION("""COMPUTED_VALUE"""),45768.6458333333)</f>
        <v>45768.6458333333</v>
      </c>
      <c r="F18" s="17">
        <f>IFERROR(__xludf.DUMMYFUNCTION("""COMPUTED_VALUE"""),2642028)</f>
        <v>2642028</v>
      </c>
      <c r="G18" s="16">
        <f>IFERROR(__xludf.DUMMYFUNCTION("""COMPUTED_VALUE"""),45768.6458333333)</f>
        <v>45768.6458333333</v>
      </c>
      <c r="H18" s="17">
        <f>IFERROR(__xludf.DUMMYFUNCTION("""COMPUTED_VALUE"""),2118.7)</f>
        <v>2118.7</v>
      </c>
      <c r="I18" s="16">
        <f>IFERROR(__xludf.DUMMYFUNCTION("""COMPUTED_VALUE"""),45768.6458333333)</f>
        <v>45768.6458333333</v>
      </c>
      <c r="J18" s="17">
        <f>IFERROR(__xludf.DUMMYFUNCTION("""COMPUTED_VALUE"""),2035.7)</f>
        <v>2035.7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IFERROR(__xludf.DUMMYFUNCTION("""COMPUTED_VALUE"""),2077)</f>
        <v>2077</v>
      </c>
      <c r="C19" s="16">
        <f>IFERROR(__xludf.DUMMYFUNCTION("""COMPUTED_VALUE"""),45769.6458333333)</f>
        <v>45769.6458333333</v>
      </c>
      <c r="D19" s="17">
        <f>IFERROR(__xludf.DUMMYFUNCTION("""COMPUTED_VALUE"""),2104)</f>
        <v>2104</v>
      </c>
      <c r="E19" s="16">
        <f>IFERROR(__xludf.DUMMYFUNCTION("""COMPUTED_VALUE"""),45769.6458333333)</f>
        <v>45769.6458333333</v>
      </c>
      <c r="F19" s="17">
        <f>IFERROR(__xludf.DUMMYFUNCTION("""COMPUTED_VALUE"""),1447675)</f>
        <v>1447675</v>
      </c>
      <c r="G19" s="16">
        <f>IFERROR(__xludf.DUMMYFUNCTION("""COMPUTED_VALUE"""),45769.6458333333)</f>
        <v>45769.6458333333</v>
      </c>
      <c r="H19" s="17">
        <f>IFERROR(__xludf.DUMMYFUNCTION("""COMPUTED_VALUE"""),2110)</f>
        <v>2110</v>
      </c>
      <c r="I19" s="16">
        <f>IFERROR(__xludf.DUMMYFUNCTION("""COMPUTED_VALUE"""),45769.6458333333)</f>
        <v>45769.6458333333</v>
      </c>
      <c r="J19" s="17">
        <f>IFERROR(__xludf.DUMMYFUNCTION("""COMPUTED_VALUE"""),2070)</f>
        <v>2070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IFERROR(__xludf.DUMMYFUNCTION("""COMPUTED_VALUE"""),2100.8)</f>
        <v>2100.8</v>
      </c>
      <c r="C20" s="16">
        <f>IFERROR(__xludf.DUMMYFUNCTION("""COMPUTED_VALUE"""),45770.6458333333)</f>
        <v>45770.6458333333</v>
      </c>
      <c r="D20" s="17">
        <f>IFERROR(__xludf.DUMMYFUNCTION("""COMPUTED_VALUE"""),2094)</f>
        <v>2094</v>
      </c>
      <c r="E20" s="16">
        <f>IFERROR(__xludf.DUMMYFUNCTION("""COMPUTED_VALUE"""),45770.6458333333)</f>
        <v>45770.6458333333</v>
      </c>
      <c r="F20" s="17">
        <f>IFERROR(__xludf.DUMMYFUNCTION("""COMPUTED_VALUE"""),1483177)</f>
        <v>1483177</v>
      </c>
      <c r="G20" s="16">
        <f>IFERROR(__xludf.DUMMYFUNCTION("""COMPUTED_VALUE"""),45770.6458333333)</f>
        <v>45770.6458333333</v>
      </c>
      <c r="H20" s="17">
        <f>IFERROR(__xludf.DUMMYFUNCTION("""COMPUTED_VALUE"""),2117.8)</f>
        <v>2117.8</v>
      </c>
      <c r="I20" s="16">
        <f>IFERROR(__xludf.DUMMYFUNCTION("""COMPUTED_VALUE"""),45770.6458333333)</f>
        <v>45770.6458333333</v>
      </c>
      <c r="J20" s="17">
        <f>IFERROR(__xludf.DUMMYFUNCTION("""COMPUTED_VALUE"""),2057.4)</f>
        <v>2057.4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IFERROR(__xludf.DUMMYFUNCTION("""COMPUTED_VALUE"""),2105)</f>
        <v>2105</v>
      </c>
      <c r="C21" s="16">
        <f>IFERROR(__xludf.DUMMYFUNCTION("""COMPUTED_VALUE"""),45771.6458333333)</f>
        <v>45771.6458333333</v>
      </c>
      <c r="D21" s="17">
        <f>IFERROR(__xludf.DUMMYFUNCTION("""COMPUTED_VALUE"""),2121.8)</f>
        <v>2121.8</v>
      </c>
      <c r="E21" s="16">
        <f>IFERROR(__xludf.DUMMYFUNCTION("""COMPUTED_VALUE"""),45771.6458333333)</f>
        <v>45771.6458333333</v>
      </c>
      <c r="F21" s="17">
        <f>IFERROR(__xludf.DUMMYFUNCTION("""COMPUTED_VALUE"""),1465968)</f>
        <v>1465968</v>
      </c>
      <c r="G21" s="16">
        <f>IFERROR(__xludf.DUMMYFUNCTION("""COMPUTED_VALUE"""),45771.6458333333)</f>
        <v>45771.6458333333</v>
      </c>
      <c r="H21" s="17">
        <f>IFERROR(__xludf.DUMMYFUNCTION("""COMPUTED_VALUE"""),2135)</f>
        <v>2135</v>
      </c>
      <c r="I21" s="16">
        <f>IFERROR(__xludf.DUMMYFUNCTION("""COMPUTED_VALUE"""),45771.6458333333)</f>
        <v>45771.6458333333</v>
      </c>
      <c r="J21" s="17">
        <f>IFERROR(__xludf.DUMMYFUNCTION("""COMPUTED_VALUE"""),2085.4)</f>
        <v>2085.4</v>
      </c>
      <c r="K21" s="3">
        <f t="shared" si="2"/>
        <v>2105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IFERROR(__xludf.DUMMYFUNCTION("""COMPUTED_VALUE"""),2045.5)</f>
        <v>2045.5</v>
      </c>
      <c r="C22" s="16">
        <f>IFERROR(__xludf.DUMMYFUNCTION("""COMPUTED_VALUE"""),45772.6458333333)</f>
        <v>45772.6458333333</v>
      </c>
      <c r="D22" s="17">
        <f>IFERROR(__xludf.DUMMYFUNCTION("""COMPUTED_VALUE"""),2105)</f>
        <v>2105</v>
      </c>
      <c r="E22" s="16">
        <f>IFERROR(__xludf.DUMMYFUNCTION("""COMPUTED_VALUE"""),45772.6458333333)</f>
        <v>45772.6458333333</v>
      </c>
      <c r="F22" s="17">
        <f>IFERROR(__xludf.DUMMYFUNCTION("""COMPUTED_VALUE"""),1960343)</f>
        <v>1960343</v>
      </c>
      <c r="G22" s="16">
        <f>IFERROR(__xludf.DUMMYFUNCTION("""COMPUTED_VALUE"""),45772.6458333333)</f>
        <v>45772.6458333333</v>
      </c>
      <c r="H22" s="17">
        <f>IFERROR(__xludf.DUMMYFUNCTION("""COMPUTED_VALUE"""),2125)</f>
        <v>2125</v>
      </c>
      <c r="I22" s="16">
        <f>IFERROR(__xludf.DUMMYFUNCTION("""COMPUTED_VALUE"""),45772.6458333333)</f>
        <v>45772.6458333333</v>
      </c>
      <c r="J22" s="17">
        <f>IFERROR(__xludf.DUMMYFUNCTION("""COMPUTED_VALUE"""),2023.1)</f>
        <v>2023.1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IFERROR(__xludf.DUMMYFUNCTION("""COMPUTED_VALUE"""),2049.7)</f>
        <v>2049.7</v>
      </c>
      <c r="C23" s="16">
        <f>IFERROR(__xludf.DUMMYFUNCTION("""COMPUTED_VALUE"""),45775.6458333333)</f>
        <v>45775.6458333333</v>
      </c>
      <c r="D23" s="17">
        <f>IFERROR(__xludf.DUMMYFUNCTION("""COMPUTED_VALUE"""),2040)</f>
        <v>2040</v>
      </c>
      <c r="E23" s="16">
        <f>IFERROR(__xludf.DUMMYFUNCTION("""COMPUTED_VALUE"""),45775.6458333333)</f>
        <v>45775.6458333333</v>
      </c>
      <c r="F23" s="17">
        <f>IFERROR(__xludf.DUMMYFUNCTION("""COMPUTED_VALUE"""),6311008)</f>
        <v>6311008</v>
      </c>
      <c r="G23" s="16">
        <f>IFERROR(__xludf.DUMMYFUNCTION("""COMPUTED_VALUE"""),45775.6458333333)</f>
        <v>45775.6458333333</v>
      </c>
      <c r="H23" s="17">
        <f>IFERROR(__xludf.DUMMYFUNCTION("""COMPUTED_VALUE"""),2094.8)</f>
        <v>2094.8</v>
      </c>
      <c r="I23" s="16">
        <f>IFERROR(__xludf.DUMMYFUNCTION("""COMPUTED_VALUE"""),45775.6458333333)</f>
        <v>45775.6458333333</v>
      </c>
      <c r="J23" s="17">
        <f>IFERROR(__xludf.DUMMYFUNCTION("""COMPUTED_VALUE"""),2040)</f>
        <v>2040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IFERROR(__xludf.DUMMYFUNCTION("""COMPUTED_VALUE"""),2066.9)</f>
        <v>2066.9</v>
      </c>
      <c r="C24" s="16">
        <f>IFERROR(__xludf.DUMMYFUNCTION("""COMPUTED_VALUE"""),45776.6458333333)</f>
        <v>45776.6458333333</v>
      </c>
      <c r="D24" s="17">
        <f>IFERROR(__xludf.DUMMYFUNCTION("""COMPUTED_VALUE"""),2061)</f>
        <v>2061</v>
      </c>
      <c r="E24" s="16">
        <f>IFERROR(__xludf.DUMMYFUNCTION("""COMPUTED_VALUE"""),45776.6458333333)</f>
        <v>45776.6458333333</v>
      </c>
      <c r="F24" s="17">
        <f>IFERROR(__xludf.DUMMYFUNCTION("""COMPUTED_VALUE"""),2119823)</f>
        <v>2119823</v>
      </c>
      <c r="G24" s="16">
        <f>IFERROR(__xludf.DUMMYFUNCTION("""COMPUTED_VALUE"""),45776.6458333333)</f>
        <v>45776.6458333333</v>
      </c>
      <c r="H24" s="17">
        <f>IFERROR(__xludf.DUMMYFUNCTION("""COMPUTED_VALUE"""),2082)</f>
        <v>2082</v>
      </c>
      <c r="I24" s="16">
        <f>IFERROR(__xludf.DUMMYFUNCTION("""COMPUTED_VALUE"""),45776.6458333333)</f>
        <v>45776.6458333333</v>
      </c>
      <c r="J24" s="17">
        <f>IFERROR(__xludf.DUMMYFUNCTION("""COMPUTED_VALUE"""),2028.8)</f>
        <v>2028.8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IFERROR(__xludf.DUMMYFUNCTION("""COMPUTED_VALUE"""),1951.6)</f>
        <v>1951.6</v>
      </c>
      <c r="C25" s="16">
        <f>IFERROR(__xludf.DUMMYFUNCTION("""COMPUTED_VALUE"""),45777.6458333333)</f>
        <v>45777.6458333333</v>
      </c>
      <c r="D25" s="17">
        <f>IFERROR(__xludf.DUMMYFUNCTION("""COMPUTED_VALUE"""),2018.2)</f>
        <v>2018.2</v>
      </c>
      <c r="E25" s="16">
        <f>IFERROR(__xludf.DUMMYFUNCTION("""COMPUTED_VALUE"""),45777.6458333333)</f>
        <v>45777.6458333333</v>
      </c>
      <c r="F25" s="17">
        <f>IFERROR(__xludf.DUMMYFUNCTION("""COMPUTED_VALUE"""),4684518)</f>
        <v>4684518</v>
      </c>
      <c r="G25" s="16">
        <f>IFERROR(__xludf.DUMMYFUNCTION("""COMPUTED_VALUE"""),45777.6458333333)</f>
        <v>45777.6458333333</v>
      </c>
      <c r="H25" s="17">
        <f>IFERROR(__xludf.DUMMYFUNCTION("""COMPUTED_VALUE"""),2020)</f>
        <v>2020</v>
      </c>
      <c r="I25" s="16">
        <f>IFERROR(__xludf.DUMMYFUNCTION("""COMPUTED_VALUE"""),45777.6458333333)</f>
        <v>45777.6458333333</v>
      </c>
      <c r="J25" s="17">
        <f>IFERROR(__xludf.DUMMYFUNCTION("""COMPUTED_VALUE"""),1926.5)</f>
        <v>1926.5</v>
      </c>
      <c r="K25" s="3">
        <f t="shared" si="2"/>
        <v>0</v>
      </c>
      <c r="L25" s="3">
        <f t="shared" si="3"/>
        <v>1951.6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IFERROR(__xludf.DUMMYFUNCTION("""COMPUTED_VALUE"""),1958)</f>
        <v>1958</v>
      </c>
      <c r="C26" s="16">
        <f>IFERROR(__xludf.DUMMYFUNCTION("""COMPUTED_VALUE"""),45779.6458333333)</f>
        <v>45779.6458333333</v>
      </c>
      <c r="D26" s="17">
        <f>IFERROR(__xludf.DUMMYFUNCTION("""COMPUTED_VALUE"""),1955)</f>
        <v>1955</v>
      </c>
      <c r="E26" s="16">
        <f>IFERROR(__xludf.DUMMYFUNCTION("""COMPUTED_VALUE"""),45779.6458333333)</f>
        <v>45779.6458333333</v>
      </c>
      <c r="F26" s="17">
        <f>IFERROR(__xludf.DUMMYFUNCTION("""COMPUTED_VALUE"""),1949238)</f>
        <v>1949238</v>
      </c>
      <c r="G26" s="16">
        <f>IFERROR(__xludf.DUMMYFUNCTION("""COMPUTED_VALUE"""),45779.6458333333)</f>
        <v>45779.6458333333</v>
      </c>
      <c r="H26" s="17">
        <f>IFERROR(__xludf.DUMMYFUNCTION("""COMPUTED_VALUE"""),1986.6)</f>
        <v>1986.6</v>
      </c>
      <c r="I26" s="16">
        <f>IFERROR(__xludf.DUMMYFUNCTION("""COMPUTED_VALUE"""),45779.6458333333)</f>
        <v>45779.6458333333</v>
      </c>
      <c r="J26" s="17">
        <f>IFERROR(__xludf.DUMMYFUNCTION("""COMPUTED_VALUE"""),1917.2)</f>
        <v>1917.2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IFERROR(__xludf.DUMMYFUNCTION("""COMPUTED_VALUE"""),2026.2)</f>
        <v>2026.2</v>
      </c>
      <c r="C27" s="16">
        <f>IFERROR(__xludf.DUMMYFUNCTION("""COMPUTED_VALUE"""),45782.6458333333)</f>
        <v>45782.6458333333</v>
      </c>
      <c r="D27" s="17">
        <f>IFERROR(__xludf.DUMMYFUNCTION("""COMPUTED_VALUE"""),1964.9)</f>
        <v>1964.9</v>
      </c>
      <c r="E27" s="16">
        <f>IFERROR(__xludf.DUMMYFUNCTION("""COMPUTED_VALUE"""),45782.6458333333)</f>
        <v>45782.6458333333</v>
      </c>
      <c r="F27" s="17">
        <f>IFERROR(__xludf.DUMMYFUNCTION("""COMPUTED_VALUE"""),2072898)</f>
        <v>2072898</v>
      </c>
      <c r="G27" s="16">
        <f>IFERROR(__xludf.DUMMYFUNCTION("""COMPUTED_VALUE"""),45782.6458333333)</f>
        <v>45782.6458333333</v>
      </c>
      <c r="H27" s="17">
        <f>IFERROR(__xludf.DUMMYFUNCTION("""COMPUTED_VALUE"""),2036.6)</f>
        <v>2036.6</v>
      </c>
      <c r="I27" s="16">
        <f>IFERROR(__xludf.DUMMYFUNCTION("""COMPUTED_VALUE"""),45782.6458333333)</f>
        <v>45782.6458333333</v>
      </c>
      <c r="J27" s="17">
        <f>IFERROR(__xludf.DUMMYFUNCTION("""COMPUTED_VALUE"""),1959.1)</f>
        <v>1959.1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IFERROR(__xludf.DUMMYFUNCTION("""COMPUTED_VALUE"""),2035.8)</f>
        <v>2035.8</v>
      </c>
      <c r="C28" s="16">
        <f>IFERROR(__xludf.DUMMYFUNCTION("""COMPUTED_VALUE"""),45783.6458333333)</f>
        <v>45783.6458333333</v>
      </c>
      <c r="D28" s="17">
        <f>IFERROR(__xludf.DUMMYFUNCTION("""COMPUTED_VALUE"""),2028.9)</f>
        <v>2028.9</v>
      </c>
      <c r="E28" s="16">
        <f>IFERROR(__xludf.DUMMYFUNCTION("""COMPUTED_VALUE"""),45783.6458333333)</f>
        <v>45783.6458333333</v>
      </c>
      <c r="F28" s="17">
        <f>IFERROR(__xludf.DUMMYFUNCTION("""COMPUTED_VALUE"""),1698230)</f>
        <v>1698230</v>
      </c>
      <c r="G28" s="16">
        <f>IFERROR(__xludf.DUMMYFUNCTION("""COMPUTED_VALUE"""),45783.6458333333)</f>
        <v>45783.6458333333</v>
      </c>
      <c r="H28" s="17">
        <f>IFERROR(__xludf.DUMMYFUNCTION("""COMPUTED_VALUE"""),2045)</f>
        <v>2045</v>
      </c>
      <c r="I28" s="16">
        <f>IFERROR(__xludf.DUMMYFUNCTION("""COMPUTED_VALUE"""),45783.6458333333)</f>
        <v>45783.6458333333</v>
      </c>
      <c r="J28" s="17">
        <f>IFERROR(__xludf.DUMMYFUNCTION("""COMPUTED_VALUE"""),2008.1)</f>
        <v>2008.1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IFERROR(__xludf.DUMMYFUNCTION("""COMPUTED_VALUE"""),2030.3)</f>
        <v>2030.3</v>
      </c>
      <c r="C29" s="16">
        <f>IFERROR(__xludf.DUMMYFUNCTION("""COMPUTED_VALUE"""),45784.6458333333)</f>
        <v>45784.6458333333</v>
      </c>
      <c r="D29" s="17">
        <f>IFERROR(__xludf.DUMMYFUNCTION("""COMPUTED_VALUE"""),2011.3)</f>
        <v>2011.3</v>
      </c>
      <c r="E29" s="16">
        <f>IFERROR(__xludf.DUMMYFUNCTION("""COMPUTED_VALUE"""),45784.6458333333)</f>
        <v>45784.6458333333</v>
      </c>
      <c r="F29" s="17">
        <f>IFERROR(__xludf.DUMMYFUNCTION("""COMPUTED_VALUE"""),1078158)</f>
        <v>1078158</v>
      </c>
      <c r="G29" s="16">
        <f>IFERROR(__xludf.DUMMYFUNCTION("""COMPUTED_VALUE"""),45784.6458333333)</f>
        <v>45784.6458333333</v>
      </c>
      <c r="H29" s="17">
        <f>IFERROR(__xludf.DUMMYFUNCTION("""COMPUTED_VALUE"""),2045.5)</f>
        <v>2045.5</v>
      </c>
      <c r="I29" s="16">
        <f>IFERROR(__xludf.DUMMYFUNCTION("""COMPUTED_VALUE"""),45784.6458333333)</f>
        <v>45784.6458333333</v>
      </c>
      <c r="J29" s="17">
        <f>IFERROR(__xludf.DUMMYFUNCTION("""COMPUTED_VALUE"""),2009.7)</f>
        <v>2009.7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IFERROR(__xludf.DUMMYFUNCTION("""COMPUTED_VALUE"""),2006)</f>
        <v>2006</v>
      </c>
      <c r="C30" s="16">
        <f>IFERROR(__xludf.DUMMYFUNCTION("""COMPUTED_VALUE"""),45785.6458333333)</f>
        <v>45785.6458333333</v>
      </c>
      <c r="D30" s="17">
        <f>IFERROR(__xludf.DUMMYFUNCTION("""COMPUTED_VALUE"""),2032)</f>
        <v>2032</v>
      </c>
      <c r="E30" s="16">
        <f>IFERROR(__xludf.DUMMYFUNCTION("""COMPUTED_VALUE"""),45785.6458333333)</f>
        <v>45785.6458333333</v>
      </c>
      <c r="F30" s="17">
        <f>IFERROR(__xludf.DUMMYFUNCTION("""COMPUTED_VALUE"""),1697652)</f>
        <v>1697652</v>
      </c>
      <c r="G30" s="16">
        <f>IFERROR(__xludf.DUMMYFUNCTION("""COMPUTED_VALUE"""),45785.6458333333)</f>
        <v>45785.6458333333</v>
      </c>
      <c r="H30" s="17">
        <f>IFERROR(__xludf.DUMMYFUNCTION("""COMPUTED_VALUE"""),2050)</f>
        <v>2050</v>
      </c>
      <c r="I30" s="16">
        <f>IFERROR(__xludf.DUMMYFUNCTION("""COMPUTED_VALUE"""),45785.6458333333)</f>
        <v>45785.6458333333</v>
      </c>
      <c r="J30" s="17">
        <f>IFERROR(__xludf.DUMMYFUNCTION("""COMPUTED_VALUE"""),1992.9)</f>
        <v>1992.9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IFERROR(__xludf.DUMMYFUNCTION("""COMPUTED_VALUE"""),1970)</f>
        <v>1970</v>
      </c>
      <c r="C31" s="16">
        <f>IFERROR(__xludf.DUMMYFUNCTION("""COMPUTED_VALUE"""),45786.6458333333)</f>
        <v>45786.6458333333</v>
      </c>
      <c r="D31" s="17">
        <f>IFERROR(__xludf.DUMMYFUNCTION("""COMPUTED_VALUE"""),1970)</f>
        <v>1970</v>
      </c>
      <c r="E31" s="16">
        <f>IFERROR(__xludf.DUMMYFUNCTION("""COMPUTED_VALUE"""),45786.6458333333)</f>
        <v>45786.6458333333</v>
      </c>
      <c r="F31" s="17">
        <f>IFERROR(__xludf.DUMMYFUNCTION("""COMPUTED_VALUE"""),1207361)</f>
        <v>1207361</v>
      </c>
      <c r="G31" s="16">
        <f>IFERROR(__xludf.DUMMYFUNCTION("""COMPUTED_VALUE"""),45786.6458333333)</f>
        <v>45786.6458333333</v>
      </c>
      <c r="H31" s="17">
        <f>IFERROR(__xludf.DUMMYFUNCTION("""COMPUTED_VALUE"""),1999)</f>
        <v>1999</v>
      </c>
      <c r="I31" s="16">
        <f>IFERROR(__xludf.DUMMYFUNCTION("""COMPUTED_VALUE"""),45786.6458333333)</f>
        <v>45786.6458333333</v>
      </c>
      <c r="J31" s="17">
        <f>IFERROR(__xludf.DUMMYFUNCTION("""COMPUTED_VALUE"""),1963)</f>
        <v>1963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IFERROR(__xludf.DUMMYFUNCTION("""COMPUTED_VALUE"""),2050.4)</f>
        <v>2050.4</v>
      </c>
      <c r="C32" s="16">
        <f>IFERROR(__xludf.DUMMYFUNCTION("""COMPUTED_VALUE"""),45789.6458333333)</f>
        <v>45789.6458333333</v>
      </c>
      <c r="D32" s="17">
        <f>IFERROR(__xludf.DUMMYFUNCTION("""COMPUTED_VALUE"""),2024.9)</f>
        <v>2024.9</v>
      </c>
      <c r="E32" s="16">
        <f>IFERROR(__xludf.DUMMYFUNCTION("""COMPUTED_VALUE"""),45789.6458333333)</f>
        <v>45789.6458333333</v>
      </c>
      <c r="F32" s="17">
        <f>IFERROR(__xludf.DUMMYFUNCTION("""COMPUTED_VALUE"""),1057561)</f>
        <v>1057561</v>
      </c>
      <c r="G32" s="16">
        <f>IFERROR(__xludf.DUMMYFUNCTION("""COMPUTED_VALUE"""),45789.6458333333)</f>
        <v>45789.6458333333</v>
      </c>
      <c r="H32" s="17">
        <f>IFERROR(__xludf.DUMMYFUNCTION("""COMPUTED_VALUE"""),2057.6)</f>
        <v>2057.6</v>
      </c>
      <c r="I32" s="16">
        <f>IFERROR(__xludf.DUMMYFUNCTION("""COMPUTED_VALUE"""),45789.6458333333)</f>
        <v>45789.6458333333</v>
      </c>
      <c r="J32" s="17">
        <f>IFERROR(__xludf.DUMMYFUNCTION("""COMPUTED_VALUE"""),2011.8)</f>
        <v>2011.8</v>
      </c>
      <c r="K32" s="3">
        <f t="shared" si="2"/>
        <v>2050.4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IFERROR(__xludf.DUMMYFUNCTION("""COMPUTED_VALUE"""),2018.2)</f>
        <v>2018.2</v>
      </c>
      <c r="C33" s="16">
        <f>IFERROR(__xludf.DUMMYFUNCTION("""COMPUTED_VALUE"""),45790.6458333333)</f>
        <v>45790.6458333333</v>
      </c>
      <c r="D33" s="17">
        <f>IFERROR(__xludf.DUMMYFUNCTION("""COMPUTED_VALUE"""),2046.9)</f>
        <v>2046.9</v>
      </c>
      <c r="E33" s="16">
        <f>IFERROR(__xludf.DUMMYFUNCTION("""COMPUTED_VALUE"""),45790.6458333333)</f>
        <v>45790.6458333333</v>
      </c>
      <c r="F33" s="17">
        <f>IFERROR(__xludf.DUMMYFUNCTION("""COMPUTED_VALUE"""),2217985)</f>
        <v>2217985</v>
      </c>
      <c r="G33" s="16">
        <f>IFERROR(__xludf.DUMMYFUNCTION("""COMPUTED_VALUE"""),45790.6458333333)</f>
        <v>45790.6458333333</v>
      </c>
      <c r="H33" s="17">
        <f>IFERROR(__xludf.DUMMYFUNCTION("""COMPUTED_VALUE"""),2061.4)</f>
        <v>2061.4</v>
      </c>
      <c r="I33" s="16">
        <f>IFERROR(__xludf.DUMMYFUNCTION("""COMPUTED_VALUE"""),45790.6458333333)</f>
        <v>45790.6458333333</v>
      </c>
      <c r="J33" s="17">
        <f>IFERROR(__xludf.DUMMYFUNCTION("""COMPUTED_VALUE"""),2010.6)</f>
        <v>2010.6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IFERROR(__xludf.DUMMYFUNCTION("""COMPUTED_VALUE"""),2020.4)</f>
        <v>2020.4</v>
      </c>
      <c r="C34" s="16">
        <f>IFERROR(__xludf.DUMMYFUNCTION("""COMPUTED_VALUE"""),45791.6458333333)</f>
        <v>45791.6458333333</v>
      </c>
      <c r="D34" s="17">
        <f>IFERROR(__xludf.DUMMYFUNCTION("""COMPUTED_VALUE"""),2028.9)</f>
        <v>2028.9</v>
      </c>
      <c r="E34" s="16">
        <f>IFERROR(__xludf.DUMMYFUNCTION("""COMPUTED_VALUE"""),45791.6458333333)</f>
        <v>45791.6458333333</v>
      </c>
      <c r="F34" s="17">
        <f>IFERROR(__xludf.DUMMYFUNCTION("""COMPUTED_VALUE"""),1670853)</f>
        <v>1670853</v>
      </c>
      <c r="G34" s="16">
        <f>IFERROR(__xludf.DUMMYFUNCTION("""COMPUTED_VALUE"""),45791.6458333333)</f>
        <v>45791.6458333333</v>
      </c>
      <c r="H34" s="17">
        <f>IFERROR(__xludf.DUMMYFUNCTION("""COMPUTED_VALUE"""),2042)</f>
        <v>2042</v>
      </c>
      <c r="I34" s="16">
        <f>IFERROR(__xludf.DUMMYFUNCTION("""COMPUTED_VALUE"""),45791.6458333333)</f>
        <v>45791.6458333333</v>
      </c>
      <c r="J34" s="17">
        <f>IFERROR(__xludf.DUMMYFUNCTION("""COMPUTED_VALUE"""),2010)</f>
        <v>2010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IFERROR(__xludf.DUMMYFUNCTION("""COMPUTED_VALUE"""),2041.9)</f>
        <v>2041.9</v>
      </c>
      <c r="C35" s="16">
        <f>IFERROR(__xludf.DUMMYFUNCTION("""COMPUTED_VALUE"""),45792.6458333333)</f>
        <v>45792.6458333333</v>
      </c>
      <c r="D35" s="17">
        <f>IFERROR(__xludf.DUMMYFUNCTION("""COMPUTED_VALUE"""),2015.1)</f>
        <v>2015.1</v>
      </c>
      <c r="E35" s="16">
        <f>IFERROR(__xludf.DUMMYFUNCTION("""COMPUTED_VALUE"""),45792.6458333333)</f>
        <v>45792.6458333333</v>
      </c>
      <c r="F35" s="17">
        <f>IFERROR(__xludf.DUMMYFUNCTION("""COMPUTED_VALUE"""),2640223)</f>
        <v>2640223</v>
      </c>
      <c r="G35" s="16">
        <f>IFERROR(__xludf.DUMMYFUNCTION("""COMPUTED_VALUE"""),45792.6458333333)</f>
        <v>45792.6458333333</v>
      </c>
      <c r="H35" s="17">
        <f>IFERROR(__xludf.DUMMYFUNCTION("""COMPUTED_VALUE"""),2050.4)</f>
        <v>2050.4</v>
      </c>
      <c r="I35" s="16">
        <f>IFERROR(__xludf.DUMMYFUNCTION("""COMPUTED_VALUE"""),45792.6458333333)</f>
        <v>45792.6458333333</v>
      </c>
      <c r="J35" s="17">
        <f>IFERROR(__xludf.DUMMYFUNCTION("""COMPUTED_VALUE"""),1996.7)</f>
        <v>1996.7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IFERROR(__xludf.DUMMYFUNCTION("""COMPUTED_VALUE"""),2033.6)</f>
        <v>2033.6</v>
      </c>
      <c r="C36" s="16">
        <f>IFERROR(__xludf.DUMMYFUNCTION("""COMPUTED_VALUE"""),45793.6458333333)</f>
        <v>45793.6458333333</v>
      </c>
      <c r="D36" s="17">
        <f>IFERROR(__xludf.DUMMYFUNCTION("""COMPUTED_VALUE"""),2054)</f>
        <v>2054</v>
      </c>
      <c r="E36" s="16">
        <f>IFERROR(__xludf.DUMMYFUNCTION("""COMPUTED_VALUE"""),45793.6458333333)</f>
        <v>45793.6458333333</v>
      </c>
      <c r="F36" s="17">
        <f>IFERROR(__xludf.DUMMYFUNCTION("""COMPUTED_VALUE"""),1568556)</f>
        <v>1568556</v>
      </c>
      <c r="G36" s="16">
        <f>IFERROR(__xludf.DUMMYFUNCTION("""COMPUTED_VALUE"""),45793.6458333333)</f>
        <v>45793.6458333333</v>
      </c>
      <c r="H36" s="17">
        <f>IFERROR(__xludf.DUMMYFUNCTION("""COMPUTED_VALUE"""),2071)</f>
        <v>2071</v>
      </c>
      <c r="I36" s="16">
        <f>IFERROR(__xludf.DUMMYFUNCTION("""COMPUTED_VALUE"""),45793.6458333333)</f>
        <v>45793.6458333333</v>
      </c>
      <c r="J36" s="17">
        <f>IFERROR(__xludf.DUMMYFUNCTION("""COMPUTED_VALUE"""),2022)</f>
        <v>2022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IFERROR(__xludf.DUMMYFUNCTION("""COMPUTED_VALUE"""),2038.3)</f>
        <v>2038.3</v>
      </c>
      <c r="C37" s="16">
        <f>IFERROR(__xludf.DUMMYFUNCTION("""COMPUTED_VALUE"""),45796.6458333333)</f>
        <v>45796.6458333333</v>
      </c>
      <c r="D37" s="17">
        <f>IFERROR(__xludf.DUMMYFUNCTION("""COMPUTED_VALUE"""),2038.9)</f>
        <v>2038.9</v>
      </c>
      <c r="E37" s="16">
        <f>IFERROR(__xludf.DUMMYFUNCTION("""COMPUTED_VALUE"""),45796.6458333333)</f>
        <v>45796.6458333333</v>
      </c>
      <c r="F37" s="17">
        <f>IFERROR(__xludf.DUMMYFUNCTION("""COMPUTED_VALUE"""),1379603)</f>
        <v>1379603</v>
      </c>
      <c r="G37" s="16">
        <f>IFERROR(__xludf.DUMMYFUNCTION("""COMPUTED_VALUE"""),45796.6458333333)</f>
        <v>45796.6458333333</v>
      </c>
      <c r="H37" s="17">
        <f>IFERROR(__xludf.DUMMYFUNCTION("""COMPUTED_VALUE"""),2053)</f>
        <v>2053</v>
      </c>
      <c r="I37" s="16">
        <f>IFERROR(__xludf.DUMMYFUNCTION("""COMPUTED_VALUE"""),45796.6458333333)</f>
        <v>45796.6458333333</v>
      </c>
      <c r="J37" s="17">
        <f>IFERROR(__xludf.DUMMYFUNCTION("""COMPUTED_VALUE"""),2035)</f>
        <v>2035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IFERROR(__xludf.DUMMYFUNCTION("""COMPUTED_VALUE"""),2005.1)</f>
        <v>2005.1</v>
      </c>
      <c r="C38" s="16">
        <f>IFERROR(__xludf.DUMMYFUNCTION("""COMPUTED_VALUE"""),45797.6458333333)</f>
        <v>45797.6458333333</v>
      </c>
      <c r="D38" s="17">
        <f>IFERROR(__xludf.DUMMYFUNCTION("""COMPUTED_VALUE"""),2047)</f>
        <v>2047</v>
      </c>
      <c r="E38" s="16">
        <f>IFERROR(__xludf.DUMMYFUNCTION("""COMPUTED_VALUE"""),45797.6458333333)</f>
        <v>45797.6458333333</v>
      </c>
      <c r="F38" s="17">
        <f>IFERROR(__xludf.DUMMYFUNCTION("""COMPUTED_VALUE"""),2170575)</f>
        <v>2170575</v>
      </c>
      <c r="G38" s="16">
        <f>IFERROR(__xludf.DUMMYFUNCTION("""COMPUTED_VALUE"""),45797.6458333333)</f>
        <v>45797.6458333333</v>
      </c>
      <c r="H38" s="17">
        <f>IFERROR(__xludf.DUMMYFUNCTION("""COMPUTED_VALUE"""),2047)</f>
        <v>2047</v>
      </c>
      <c r="I38" s="16">
        <f>IFERROR(__xludf.DUMMYFUNCTION("""COMPUTED_VALUE"""),45797.6458333333)</f>
        <v>45797.6458333333</v>
      </c>
      <c r="J38" s="17">
        <f>IFERROR(__xludf.DUMMYFUNCTION("""COMPUTED_VALUE"""),1995)</f>
        <v>1995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IFERROR(__xludf.DUMMYFUNCTION("""COMPUTED_VALUE"""),2037.3)</f>
        <v>2037.3</v>
      </c>
      <c r="C39" s="16">
        <f>IFERROR(__xludf.DUMMYFUNCTION("""COMPUTED_VALUE"""),45798.6458333333)</f>
        <v>45798.6458333333</v>
      </c>
      <c r="D39" s="17">
        <f>IFERROR(__xludf.DUMMYFUNCTION("""COMPUTED_VALUE"""),2011.5)</f>
        <v>2011.5</v>
      </c>
      <c r="E39" s="16">
        <f>IFERROR(__xludf.DUMMYFUNCTION("""COMPUTED_VALUE"""),45798.6458333333)</f>
        <v>45798.6458333333</v>
      </c>
      <c r="F39" s="17">
        <f>IFERROR(__xludf.DUMMYFUNCTION("""COMPUTED_VALUE"""),1291354)</f>
        <v>1291354</v>
      </c>
      <c r="G39" s="16">
        <f>IFERROR(__xludf.DUMMYFUNCTION("""COMPUTED_VALUE"""),45798.6458333333)</f>
        <v>45798.6458333333</v>
      </c>
      <c r="H39" s="17">
        <f>IFERROR(__xludf.DUMMYFUNCTION("""COMPUTED_VALUE"""),2047)</f>
        <v>2047</v>
      </c>
      <c r="I39" s="16">
        <f>IFERROR(__xludf.DUMMYFUNCTION("""COMPUTED_VALUE"""),45798.6458333333)</f>
        <v>45798.6458333333</v>
      </c>
      <c r="J39" s="17">
        <f>IFERROR(__xludf.DUMMYFUNCTION("""COMPUTED_VALUE"""),1998.2)</f>
        <v>1998.2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IFERROR(__xludf.DUMMYFUNCTION("""COMPUTED_VALUE"""),2001)</f>
        <v>2001</v>
      </c>
      <c r="C40" s="16">
        <f>IFERROR(__xludf.DUMMYFUNCTION("""COMPUTED_VALUE"""),45799.6458333333)</f>
        <v>45799.6458333333</v>
      </c>
      <c r="D40" s="17">
        <f>IFERROR(__xludf.DUMMYFUNCTION("""COMPUTED_VALUE"""),2037.3)</f>
        <v>2037.3</v>
      </c>
      <c r="E40" s="16">
        <f>IFERROR(__xludf.DUMMYFUNCTION("""COMPUTED_VALUE"""),45799.6458333333)</f>
        <v>45799.6458333333</v>
      </c>
      <c r="F40" s="17">
        <f>IFERROR(__xludf.DUMMYFUNCTION("""COMPUTED_VALUE"""),1178160)</f>
        <v>1178160</v>
      </c>
      <c r="G40" s="16">
        <f>IFERROR(__xludf.DUMMYFUNCTION("""COMPUTED_VALUE"""),45799.6458333333)</f>
        <v>45799.6458333333</v>
      </c>
      <c r="H40" s="17">
        <f>IFERROR(__xludf.DUMMYFUNCTION("""COMPUTED_VALUE"""),2041.8)</f>
        <v>2041.8</v>
      </c>
      <c r="I40" s="16">
        <f>IFERROR(__xludf.DUMMYFUNCTION("""COMPUTED_VALUE"""),45799.6458333333)</f>
        <v>45799.6458333333</v>
      </c>
      <c r="J40" s="17">
        <f>IFERROR(__xludf.DUMMYFUNCTION("""COMPUTED_VALUE"""),1992)</f>
        <v>1992</v>
      </c>
      <c r="K40" s="3">
        <f t="shared" si="2"/>
        <v>0</v>
      </c>
      <c r="L40" s="3">
        <f t="shared" si="3"/>
        <v>2001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IFERROR(__xludf.DUMMYFUNCTION("""COMPUTED_VALUE"""),2036.5)</f>
        <v>2036.5</v>
      </c>
      <c r="C41" s="16">
        <f>IFERROR(__xludf.DUMMYFUNCTION("""COMPUTED_VALUE"""),45800.6458333333)</f>
        <v>45800.6458333333</v>
      </c>
      <c r="D41" s="17">
        <f>IFERROR(__xludf.DUMMYFUNCTION("""COMPUTED_VALUE"""),2005.9)</f>
        <v>2005.9</v>
      </c>
      <c r="E41" s="16">
        <f>IFERROR(__xludf.DUMMYFUNCTION("""COMPUTED_VALUE"""),45800.6458333333)</f>
        <v>45800.6458333333</v>
      </c>
      <c r="F41" s="17">
        <f>IFERROR(__xludf.DUMMYFUNCTION("""COMPUTED_VALUE"""),1085026)</f>
        <v>1085026</v>
      </c>
      <c r="G41" s="16">
        <f>IFERROR(__xludf.DUMMYFUNCTION("""COMPUTED_VALUE"""),45800.6458333333)</f>
        <v>45800.6458333333</v>
      </c>
      <c r="H41" s="17">
        <f>IFERROR(__xludf.DUMMYFUNCTION("""COMPUTED_VALUE"""),2048.7)</f>
        <v>2048.7</v>
      </c>
      <c r="I41" s="16">
        <f>IFERROR(__xludf.DUMMYFUNCTION("""COMPUTED_VALUE"""),45800.6458333333)</f>
        <v>45800.6458333333</v>
      </c>
      <c r="J41" s="17">
        <f>IFERROR(__xludf.DUMMYFUNCTION("""COMPUTED_VALUE"""),2003.2)</f>
        <v>2003.2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IFERROR(__xludf.DUMMYFUNCTION("""COMPUTED_VALUE"""),2052.6)</f>
        <v>2052.6</v>
      </c>
      <c r="C42" s="16">
        <f>IFERROR(__xludf.DUMMYFUNCTION("""COMPUTED_VALUE"""),45803.6458333333)</f>
        <v>45803.6458333333</v>
      </c>
      <c r="D42" s="17">
        <f>IFERROR(__xludf.DUMMYFUNCTION("""COMPUTED_VALUE"""),2044)</f>
        <v>2044</v>
      </c>
      <c r="E42" s="16">
        <f>IFERROR(__xludf.DUMMYFUNCTION("""COMPUTED_VALUE"""),45803.6458333333)</f>
        <v>45803.6458333333</v>
      </c>
      <c r="F42" s="17">
        <f>IFERROR(__xludf.DUMMYFUNCTION("""COMPUTED_VALUE"""),714431)</f>
        <v>714431</v>
      </c>
      <c r="G42" s="16">
        <f>IFERROR(__xludf.DUMMYFUNCTION("""COMPUTED_VALUE"""),45803.6458333333)</f>
        <v>45803.6458333333</v>
      </c>
      <c r="H42" s="17">
        <f>IFERROR(__xludf.DUMMYFUNCTION("""COMPUTED_VALUE"""),2070)</f>
        <v>2070</v>
      </c>
      <c r="I42" s="16">
        <f>IFERROR(__xludf.DUMMYFUNCTION("""COMPUTED_VALUE"""),45803.6458333333)</f>
        <v>45803.6458333333</v>
      </c>
      <c r="J42" s="17">
        <f>IFERROR(__xludf.DUMMYFUNCTION("""COMPUTED_VALUE"""),2040.2)</f>
        <v>2040.2</v>
      </c>
      <c r="K42" s="3">
        <f t="shared" si="2"/>
        <v>2052.6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IFERROR(__xludf.DUMMYFUNCTION("""COMPUTED_VALUE"""),2029.9)</f>
        <v>2029.9</v>
      </c>
      <c r="C43" s="16">
        <f>IFERROR(__xludf.DUMMYFUNCTION("""COMPUTED_VALUE"""),45804.6458333333)</f>
        <v>45804.6458333333</v>
      </c>
      <c r="D43" s="17">
        <f>IFERROR(__xludf.DUMMYFUNCTION("""COMPUTED_VALUE"""),2050)</f>
        <v>2050</v>
      </c>
      <c r="E43" s="16">
        <f>IFERROR(__xludf.DUMMYFUNCTION("""COMPUTED_VALUE"""),45804.6458333333)</f>
        <v>45804.6458333333</v>
      </c>
      <c r="F43" s="17">
        <f>IFERROR(__xludf.DUMMYFUNCTION("""COMPUTED_VALUE"""),1175928)</f>
        <v>1175928</v>
      </c>
      <c r="G43" s="16">
        <f>IFERROR(__xludf.DUMMYFUNCTION("""COMPUTED_VALUE"""),45804.6458333333)</f>
        <v>45804.6458333333</v>
      </c>
      <c r="H43" s="17">
        <f>IFERROR(__xludf.DUMMYFUNCTION("""COMPUTED_VALUE"""),2058)</f>
        <v>2058</v>
      </c>
      <c r="I43" s="16">
        <f>IFERROR(__xludf.DUMMYFUNCTION("""COMPUTED_VALUE"""),45804.6458333333)</f>
        <v>45804.6458333333</v>
      </c>
      <c r="J43" s="17">
        <f>IFERROR(__xludf.DUMMYFUNCTION("""COMPUTED_VALUE"""),2014.5)</f>
        <v>2014.5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IFERROR(__xludf.DUMMYFUNCTION("""COMPUTED_VALUE"""),2022.4)</f>
        <v>2022.4</v>
      </c>
      <c r="C44" s="16">
        <f>IFERROR(__xludf.DUMMYFUNCTION("""COMPUTED_VALUE"""),45805.6458333333)</f>
        <v>45805.6458333333</v>
      </c>
      <c r="D44" s="17">
        <f>IFERROR(__xludf.DUMMYFUNCTION("""COMPUTED_VALUE"""),2044.9)</f>
        <v>2044.9</v>
      </c>
      <c r="E44" s="16">
        <f>IFERROR(__xludf.DUMMYFUNCTION("""COMPUTED_VALUE"""),45805.6458333333)</f>
        <v>45805.6458333333</v>
      </c>
      <c r="F44" s="17">
        <f>IFERROR(__xludf.DUMMYFUNCTION("""COMPUTED_VALUE"""),415312)</f>
        <v>415312</v>
      </c>
      <c r="G44" s="16">
        <f>IFERROR(__xludf.DUMMYFUNCTION("""COMPUTED_VALUE"""),45805.6458333333)</f>
        <v>45805.6458333333</v>
      </c>
      <c r="H44" s="17">
        <f>IFERROR(__xludf.DUMMYFUNCTION("""COMPUTED_VALUE"""),2044.9)</f>
        <v>2044.9</v>
      </c>
      <c r="I44" s="16">
        <f>IFERROR(__xludf.DUMMYFUNCTION("""COMPUTED_VALUE"""),45805.6458333333)</f>
        <v>45805.6458333333</v>
      </c>
      <c r="J44" s="17">
        <f>IFERROR(__xludf.DUMMYFUNCTION("""COMPUTED_VALUE"""),2018)</f>
        <v>2018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IFERROR(__xludf.DUMMYFUNCTION("""COMPUTED_VALUE"""),2010.9)</f>
        <v>2010.9</v>
      </c>
      <c r="C45" s="16">
        <f>IFERROR(__xludf.DUMMYFUNCTION("""COMPUTED_VALUE"""),45806.6458333333)</f>
        <v>45806.6458333333</v>
      </c>
      <c r="D45" s="17">
        <f>IFERROR(__xludf.DUMMYFUNCTION("""COMPUTED_VALUE"""),2031.4)</f>
        <v>2031.4</v>
      </c>
      <c r="E45" s="16">
        <f>IFERROR(__xludf.DUMMYFUNCTION("""COMPUTED_VALUE"""),45806.6458333333)</f>
        <v>45806.6458333333</v>
      </c>
      <c r="F45" s="17">
        <f>IFERROR(__xludf.DUMMYFUNCTION("""COMPUTED_VALUE"""),874950)</f>
        <v>874950</v>
      </c>
      <c r="G45" s="16">
        <f>IFERROR(__xludf.DUMMYFUNCTION("""COMPUTED_VALUE"""),45806.6458333333)</f>
        <v>45806.6458333333</v>
      </c>
      <c r="H45" s="17">
        <f>IFERROR(__xludf.DUMMYFUNCTION("""COMPUTED_VALUE"""),2032.9)</f>
        <v>2032.9</v>
      </c>
      <c r="I45" s="16">
        <f>IFERROR(__xludf.DUMMYFUNCTION("""COMPUTED_VALUE"""),45806.6458333333)</f>
        <v>45806.6458333333</v>
      </c>
      <c r="J45" s="17">
        <f>IFERROR(__xludf.DUMMYFUNCTION("""COMPUTED_VALUE"""),2000.1)</f>
        <v>2000.1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IFERROR(__xludf.DUMMYFUNCTION("""COMPUTED_VALUE"""),2017.4)</f>
        <v>2017.4</v>
      </c>
      <c r="C46" s="16">
        <f>IFERROR(__xludf.DUMMYFUNCTION("""COMPUTED_VALUE"""),45807.6458333333)</f>
        <v>45807.6458333333</v>
      </c>
      <c r="D46" s="17">
        <f>IFERROR(__xludf.DUMMYFUNCTION("""COMPUTED_VALUE"""),2010.9)</f>
        <v>2010.9</v>
      </c>
      <c r="E46" s="16">
        <f>IFERROR(__xludf.DUMMYFUNCTION("""COMPUTED_VALUE"""),45807.6458333333)</f>
        <v>45807.6458333333</v>
      </c>
      <c r="F46" s="17">
        <f>IFERROR(__xludf.DUMMYFUNCTION("""COMPUTED_VALUE"""),2144136)</f>
        <v>2144136</v>
      </c>
      <c r="G46" s="16">
        <f>IFERROR(__xludf.DUMMYFUNCTION("""COMPUTED_VALUE"""),45807.6458333333)</f>
        <v>45807.6458333333</v>
      </c>
      <c r="H46" s="17">
        <f>IFERROR(__xludf.DUMMYFUNCTION("""COMPUTED_VALUE"""),2031.7)</f>
        <v>2031.7</v>
      </c>
      <c r="I46" s="16">
        <f>IFERROR(__xludf.DUMMYFUNCTION("""COMPUTED_VALUE"""),45807.6458333333)</f>
        <v>45807.6458333333</v>
      </c>
      <c r="J46" s="17">
        <f>IFERROR(__xludf.DUMMYFUNCTION("""COMPUTED_VALUE"""),2010.9)</f>
        <v>2010.9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IFERROR(__xludf.DUMMYFUNCTION("""COMPUTED_VALUE"""),2029)</f>
        <v>2029</v>
      </c>
      <c r="C47" s="16">
        <f>IFERROR(__xludf.DUMMYFUNCTION("""COMPUTED_VALUE"""),45810.6458333333)</f>
        <v>45810.6458333333</v>
      </c>
      <c r="D47" s="17">
        <f>IFERROR(__xludf.DUMMYFUNCTION("""COMPUTED_VALUE"""),2017.4)</f>
        <v>2017.4</v>
      </c>
      <c r="E47" s="16">
        <f>IFERROR(__xludf.DUMMYFUNCTION("""COMPUTED_VALUE"""),45810.6458333333)</f>
        <v>45810.6458333333</v>
      </c>
      <c r="F47" s="17">
        <f>IFERROR(__xludf.DUMMYFUNCTION("""COMPUTED_VALUE"""),1339043)</f>
        <v>1339043</v>
      </c>
      <c r="G47" s="16">
        <f>IFERROR(__xludf.DUMMYFUNCTION("""COMPUTED_VALUE"""),45810.6458333333)</f>
        <v>45810.6458333333</v>
      </c>
      <c r="H47" s="17">
        <f>IFERROR(__xludf.DUMMYFUNCTION("""COMPUTED_VALUE"""),2035.7)</f>
        <v>2035.7</v>
      </c>
      <c r="I47" s="16">
        <f>IFERROR(__xludf.DUMMYFUNCTION("""COMPUTED_VALUE"""),45810.6458333333)</f>
        <v>45810.6458333333</v>
      </c>
      <c r="J47" s="17">
        <f>IFERROR(__xludf.DUMMYFUNCTION("""COMPUTED_VALUE"""),1995.1)</f>
        <v>1995.1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IFERROR(__xludf.DUMMYFUNCTION("""COMPUTED_VALUE"""),1991.9)</f>
        <v>1991.9</v>
      </c>
      <c r="C48" s="16">
        <f>IFERROR(__xludf.DUMMYFUNCTION("""COMPUTED_VALUE"""),45811.6458333333)</f>
        <v>45811.6458333333</v>
      </c>
      <c r="D48" s="17">
        <f>IFERROR(__xludf.DUMMYFUNCTION("""COMPUTED_VALUE"""),2039.1)</f>
        <v>2039.1</v>
      </c>
      <c r="E48" s="16">
        <f>IFERROR(__xludf.DUMMYFUNCTION("""COMPUTED_VALUE"""),45811.6458333333)</f>
        <v>45811.6458333333</v>
      </c>
      <c r="F48" s="17">
        <f>IFERROR(__xludf.DUMMYFUNCTION("""COMPUTED_VALUE"""),1522876)</f>
        <v>1522876</v>
      </c>
      <c r="G48" s="16">
        <f>IFERROR(__xludf.DUMMYFUNCTION("""COMPUTED_VALUE"""),45811.6458333333)</f>
        <v>45811.6458333333</v>
      </c>
      <c r="H48" s="17">
        <f>IFERROR(__xludf.DUMMYFUNCTION("""COMPUTED_VALUE"""),2044.8)</f>
        <v>2044.8</v>
      </c>
      <c r="I48" s="16">
        <f>IFERROR(__xludf.DUMMYFUNCTION("""COMPUTED_VALUE"""),45811.6458333333)</f>
        <v>45811.6458333333</v>
      </c>
      <c r="J48" s="17">
        <f>IFERROR(__xludf.DUMMYFUNCTION("""COMPUTED_VALUE"""),1980)</f>
        <v>1980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IFERROR(__xludf.DUMMYFUNCTION("""COMPUTED_VALUE"""),1956.1)</f>
        <v>1956.1</v>
      </c>
      <c r="C49" s="16">
        <f>IFERROR(__xludf.DUMMYFUNCTION("""COMPUTED_VALUE"""),45812.6458333333)</f>
        <v>45812.6458333333</v>
      </c>
      <c r="D49" s="17">
        <f>IFERROR(__xludf.DUMMYFUNCTION("""COMPUTED_VALUE"""),2000)</f>
        <v>2000</v>
      </c>
      <c r="E49" s="16">
        <f>IFERROR(__xludf.DUMMYFUNCTION("""COMPUTED_VALUE"""),45812.6458333333)</f>
        <v>45812.6458333333</v>
      </c>
      <c r="F49" s="17">
        <f>IFERROR(__xludf.DUMMYFUNCTION("""COMPUTED_VALUE"""),1169875)</f>
        <v>1169875</v>
      </c>
      <c r="G49" s="16">
        <f>IFERROR(__xludf.DUMMYFUNCTION("""COMPUTED_VALUE"""),45812.6458333333)</f>
        <v>45812.6458333333</v>
      </c>
      <c r="H49" s="17">
        <f>IFERROR(__xludf.DUMMYFUNCTION("""COMPUTED_VALUE"""),2007.8)</f>
        <v>2007.8</v>
      </c>
      <c r="I49" s="16">
        <f>IFERROR(__xludf.DUMMYFUNCTION("""COMPUTED_VALUE"""),45812.6458333333)</f>
        <v>45812.6458333333</v>
      </c>
      <c r="J49" s="17">
        <f>IFERROR(__xludf.DUMMYFUNCTION("""COMPUTED_VALUE"""),1944.1)</f>
        <v>1944.1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IFERROR(__xludf.DUMMYFUNCTION("""COMPUTED_VALUE"""),1944)</f>
        <v>1944</v>
      </c>
      <c r="C50" s="16">
        <f>IFERROR(__xludf.DUMMYFUNCTION("""COMPUTED_VALUE"""),45813.6458333333)</f>
        <v>45813.6458333333</v>
      </c>
      <c r="D50" s="17">
        <f>IFERROR(__xludf.DUMMYFUNCTION("""COMPUTED_VALUE"""),1961)</f>
        <v>1961</v>
      </c>
      <c r="E50" s="16">
        <f>IFERROR(__xludf.DUMMYFUNCTION("""COMPUTED_VALUE"""),45813.6458333333)</f>
        <v>45813.6458333333</v>
      </c>
      <c r="F50" s="17">
        <f>IFERROR(__xludf.DUMMYFUNCTION("""COMPUTED_VALUE"""),1808602)</f>
        <v>1808602</v>
      </c>
      <c r="G50" s="16">
        <f>IFERROR(__xludf.DUMMYFUNCTION("""COMPUTED_VALUE"""),45813.6458333333)</f>
        <v>45813.6458333333</v>
      </c>
      <c r="H50" s="17">
        <f>IFERROR(__xludf.DUMMYFUNCTION("""COMPUTED_VALUE"""),1965.9)</f>
        <v>1965.9</v>
      </c>
      <c r="I50" s="16">
        <f>IFERROR(__xludf.DUMMYFUNCTION("""COMPUTED_VALUE"""),45813.6458333333)</f>
        <v>45813.6458333333</v>
      </c>
      <c r="J50" s="17">
        <f>IFERROR(__xludf.DUMMYFUNCTION("""COMPUTED_VALUE"""),1929.1)</f>
        <v>1929.1</v>
      </c>
      <c r="K50" s="3">
        <f t="shared" si="2"/>
        <v>0</v>
      </c>
      <c r="L50" s="3">
        <f t="shared" si="3"/>
        <v>1944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IFERROR(__xludf.DUMMYFUNCTION("""COMPUTED_VALUE"""),1990)</f>
        <v>1990</v>
      </c>
      <c r="C51" s="16">
        <f>IFERROR(__xludf.DUMMYFUNCTION("""COMPUTED_VALUE"""),45814.6458333333)</f>
        <v>45814.6458333333</v>
      </c>
      <c r="D51" s="17">
        <f>IFERROR(__xludf.DUMMYFUNCTION("""COMPUTED_VALUE"""),1968)</f>
        <v>1968</v>
      </c>
      <c r="E51" s="16">
        <f>IFERROR(__xludf.DUMMYFUNCTION("""COMPUTED_VALUE"""),45814.6458333333)</f>
        <v>45814.6458333333</v>
      </c>
      <c r="F51" s="17">
        <f>IFERROR(__xludf.DUMMYFUNCTION("""COMPUTED_VALUE"""),6970191)</f>
        <v>6970191</v>
      </c>
      <c r="G51" s="16">
        <f>IFERROR(__xludf.DUMMYFUNCTION("""COMPUTED_VALUE"""),45814.6458333333)</f>
        <v>45814.6458333333</v>
      </c>
      <c r="H51" s="17">
        <f>IFERROR(__xludf.DUMMYFUNCTION("""COMPUTED_VALUE"""),2018.7)</f>
        <v>2018.7</v>
      </c>
      <c r="I51" s="16">
        <f>IFERROR(__xludf.DUMMYFUNCTION("""COMPUTED_VALUE"""),45814.6458333333)</f>
        <v>45814.6458333333</v>
      </c>
      <c r="J51" s="17">
        <f>IFERROR(__xludf.DUMMYFUNCTION("""COMPUTED_VALUE"""),1921)</f>
        <v>1921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IFERROR(__xludf.DUMMYFUNCTION("""COMPUTED_VALUE"""),2017.4)</f>
        <v>2017.4</v>
      </c>
      <c r="C52" s="16">
        <f>IFERROR(__xludf.DUMMYFUNCTION("""COMPUTED_VALUE"""),45817.6458333333)</f>
        <v>45817.6458333333</v>
      </c>
      <c r="D52" s="17">
        <f>IFERROR(__xludf.DUMMYFUNCTION("""COMPUTED_VALUE"""),2001)</f>
        <v>2001</v>
      </c>
      <c r="E52" s="16">
        <f>IFERROR(__xludf.DUMMYFUNCTION("""COMPUTED_VALUE"""),45817.6458333333)</f>
        <v>45817.6458333333</v>
      </c>
      <c r="F52" s="17">
        <f>IFERROR(__xludf.DUMMYFUNCTION("""COMPUTED_VALUE"""),4221378)</f>
        <v>4221378</v>
      </c>
      <c r="G52" s="16">
        <f>IFERROR(__xludf.DUMMYFUNCTION("""COMPUTED_VALUE"""),45817.6458333333)</f>
        <v>45817.6458333333</v>
      </c>
      <c r="H52" s="17">
        <f>IFERROR(__xludf.DUMMYFUNCTION("""COMPUTED_VALUE"""),2057.7)</f>
        <v>2057.7</v>
      </c>
      <c r="I52" s="16">
        <f>IFERROR(__xludf.DUMMYFUNCTION("""COMPUTED_VALUE"""),45817.6458333333)</f>
        <v>45817.6458333333</v>
      </c>
      <c r="J52" s="17">
        <f>IFERROR(__xludf.DUMMYFUNCTION("""COMPUTED_VALUE"""),1991)</f>
        <v>1991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IFERROR(__xludf.DUMMYFUNCTION("""COMPUTED_VALUE"""),1998.1)</f>
        <v>1998.1</v>
      </c>
      <c r="C53" s="16">
        <f>IFERROR(__xludf.DUMMYFUNCTION("""COMPUTED_VALUE"""),45818.6458333333)</f>
        <v>45818.6458333333</v>
      </c>
      <c r="D53" s="17">
        <f>IFERROR(__xludf.DUMMYFUNCTION("""COMPUTED_VALUE"""),2022.1)</f>
        <v>2022.1</v>
      </c>
      <c r="E53" s="16">
        <f>IFERROR(__xludf.DUMMYFUNCTION("""COMPUTED_VALUE"""),45818.6458333333)</f>
        <v>45818.6458333333</v>
      </c>
      <c r="F53" s="17">
        <f>IFERROR(__xludf.DUMMYFUNCTION("""COMPUTED_VALUE"""),3306765)</f>
        <v>3306765</v>
      </c>
      <c r="G53" s="16">
        <f>IFERROR(__xludf.DUMMYFUNCTION("""COMPUTED_VALUE"""),45818.6458333333)</f>
        <v>45818.6458333333</v>
      </c>
      <c r="H53" s="17">
        <f>IFERROR(__xludf.DUMMYFUNCTION("""COMPUTED_VALUE"""),2028.3)</f>
        <v>2028.3</v>
      </c>
      <c r="I53" s="16">
        <f>IFERROR(__xludf.DUMMYFUNCTION("""COMPUTED_VALUE"""),45818.6458333333)</f>
        <v>45818.6458333333</v>
      </c>
      <c r="J53" s="17">
        <f>IFERROR(__xludf.DUMMYFUNCTION("""COMPUTED_VALUE"""),1988.1)</f>
        <v>1988.1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IFERROR(__xludf.DUMMYFUNCTION("""COMPUTED_VALUE"""),2012.9)</f>
        <v>2012.9</v>
      </c>
      <c r="C54" s="16">
        <f>IFERROR(__xludf.DUMMYFUNCTION("""COMPUTED_VALUE"""),45819.6458333333)</f>
        <v>45819.6458333333</v>
      </c>
      <c r="D54" s="17">
        <f>IFERROR(__xludf.DUMMYFUNCTION("""COMPUTED_VALUE"""),2004)</f>
        <v>2004</v>
      </c>
      <c r="E54" s="16">
        <f>IFERROR(__xludf.DUMMYFUNCTION("""COMPUTED_VALUE"""),45819.6458333333)</f>
        <v>45819.6458333333</v>
      </c>
      <c r="F54" s="17">
        <f>IFERROR(__xludf.DUMMYFUNCTION("""COMPUTED_VALUE"""),2245988)</f>
        <v>2245988</v>
      </c>
      <c r="G54" s="16">
        <f>IFERROR(__xludf.DUMMYFUNCTION("""COMPUTED_VALUE"""),45819.6458333333)</f>
        <v>45819.6458333333</v>
      </c>
      <c r="H54" s="17">
        <f>IFERROR(__xludf.DUMMYFUNCTION("""COMPUTED_VALUE"""),2029)</f>
        <v>2029</v>
      </c>
      <c r="I54" s="16">
        <f>IFERROR(__xludf.DUMMYFUNCTION("""COMPUTED_VALUE"""),45819.6458333333)</f>
        <v>45819.6458333333</v>
      </c>
      <c r="J54" s="17">
        <f>IFERROR(__xludf.DUMMYFUNCTION("""COMPUTED_VALUE"""),1982.9)</f>
        <v>1982.9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IFERROR(__xludf.DUMMYFUNCTION("""COMPUTED_VALUE"""),2028.8)</f>
        <v>2028.8</v>
      </c>
      <c r="C55" s="16">
        <f>IFERROR(__xludf.DUMMYFUNCTION("""COMPUTED_VALUE"""),45820.6458333333)</f>
        <v>45820.6458333333</v>
      </c>
      <c r="D55" s="17">
        <f>IFERROR(__xludf.DUMMYFUNCTION("""COMPUTED_VALUE"""),2016)</f>
        <v>2016</v>
      </c>
      <c r="E55" s="16">
        <f>IFERROR(__xludf.DUMMYFUNCTION("""COMPUTED_VALUE"""),45820.6458333333)</f>
        <v>45820.6458333333</v>
      </c>
      <c r="F55" s="17">
        <f>IFERROR(__xludf.DUMMYFUNCTION("""COMPUTED_VALUE"""),3783347)</f>
        <v>3783347</v>
      </c>
      <c r="G55" s="16">
        <f>IFERROR(__xludf.DUMMYFUNCTION("""COMPUTED_VALUE"""),45820.6458333333)</f>
        <v>45820.6458333333</v>
      </c>
      <c r="H55" s="17">
        <f>IFERROR(__xludf.DUMMYFUNCTION("""COMPUTED_VALUE"""),2059.7)</f>
        <v>2059.7</v>
      </c>
      <c r="I55" s="16">
        <f>IFERROR(__xludf.DUMMYFUNCTION("""COMPUTED_VALUE"""),45820.6458333333)</f>
        <v>45820.6458333333</v>
      </c>
      <c r="J55" s="17">
        <f>IFERROR(__xludf.DUMMYFUNCTION("""COMPUTED_VALUE"""),2012.2)</f>
        <v>2012.2</v>
      </c>
      <c r="K55" s="3">
        <f t="shared" si="2"/>
        <v>2028.8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IFERROR(__xludf.DUMMYFUNCTION("""COMPUTED_VALUE"""),2011)</f>
        <v>2011</v>
      </c>
      <c r="C56" s="16">
        <f>IFERROR(__xludf.DUMMYFUNCTION("""COMPUTED_VALUE"""),45821.6458333333)</f>
        <v>45821.6458333333</v>
      </c>
      <c r="D56" s="17">
        <f>IFERROR(__xludf.DUMMYFUNCTION("""COMPUTED_VALUE"""),2000)</f>
        <v>2000</v>
      </c>
      <c r="E56" s="16">
        <f>IFERROR(__xludf.DUMMYFUNCTION("""COMPUTED_VALUE"""),45821.6458333333)</f>
        <v>45821.6458333333</v>
      </c>
      <c r="F56" s="17">
        <f>IFERROR(__xludf.DUMMYFUNCTION("""COMPUTED_VALUE"""),1418715)</f>
        <v>1418715</v>
      </c>
      <c r="G56" s="16">
        <f>IFERROR(__xludf.DUMMYFUNCTION("""COMPUTED_VALUE"""),45821.6458333333)</f>
        <v>45821.6458333333</v>
      </c>
      <c r="H56" s="17">
        <f>IFERROR(__xludf.DUMMYFUNCTION("""COMPUTED_VALUE"""),2016.9)</f>
        <v>2016.9</v>
      </c>
      <c r="I56" s="16">
        <f>IFERROR(__xludf.DUMMYFUNCTION("""COMPUTED_VALUE"""),45821.6458333333)</f>
        <v>45821.6458333333</v>
      </c>
      <c r="J56" s="17">
        <f>IFERROR(__xludf.DUMMYFUNCTION("""COMPUTED_VALUE"""),1980)</f>
        <v>1980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IFERROR(__xludf.DUMMYFUNCTION("""COMPUTED_VALUE"""),2028.2)</f>
        <v>2028.2</v>
      </c>
      <c r="C57" s="16">
        <f>IFERROR(__xludf.DUMMYFUNCTION("""COMPUTED_VALUE"""),45824.6458333333)</f>
        <v>45824.6458333333</v>
      </c>
      <c r="D57" s="17">
        <f>IFERROR(__xludf.DUMMYFUNCTION("""COMPUTED_VALUE"""),2005)</f>
        <v>2005</v>
      </c>
      <c r="E57" s="16">
        <f>IFERROR(__xludf.DUMMYFUNCTION("""COMPUTED_VALUE"""),45824.6458333333)</f>
        <v>45824.6458333333</v>
      </c>
      <c r="F57" s="17">
        <f>IFERROR(__xludf.DUMMYFUNCTION("""COMPUTED_VALUE"""),1645983)</f>
        <v>1645983</v>
      </c>
      <c r="G57" s="16">
        <f>IFERROR(__xludf.DUMMYFUNCTION("""COMPUTED_VALUE"""),45824.6458333333)</f>
        <v>45824.6458333333</v>
      </c>
      <c r="H57" s="17">
        <f>IFERROR(__xludf.DUMMYFUNCTION("""COMPUTED_VALUE"""),2040)</f>
        <v>2040</v>
      </c>
      <c r="I57" s="16">
        <f>IFERROR(__xludf.DUMMYFUNCTION("""COMPUTED_VALUE"""),45824.6458333333)</f>
        <v>45824.6458333333</v>
      </c>
      <c r="J57" s="17">
        <f>IFERROR(__xludf.DUMMYFUNCTION("""COMPUTED_VALUE"""),1998)</f>
        <v>1998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IFERROR(__xludf.DUMMYFUNCTION("""COMPUTED_VALUE"""),2003.3)</f>
        <v>2003.3</v>
      </c>
      <c r="C58" s="16">
        <f>IFERROR(__xludf.DUMMYFUNCTION("""COMPUTED_VALUE"""),45825.6458333333)</f>
        <v>45825.6458333333</v>
      </c>
      <c r="D58" s="17">
        <f>IFERROR(__xludf.DUMMYFUNCTION("""COMPUTED_VALUE"""),2030)</f>
        <v>2030</v>
      </c>
      <c r="E58" s="16">
        <f>IFERROR(__xludf.DUMMYFUNCTION("""COMPUTED_VALUE"""),45825.6458333333)</f>
        <v>45825.6458333333</v>
      </c>
      <c r="F58" s="17">
        <f>IFERROR(__xludf.DUMMYFUNCTION("""COMPUTED_VALUE"""),1220096)</f>
        <v>1220096</v>
      </c>
      <c r="G58" s="16">
        <f>IFERROR(__xludf.DUMMYFUNCTION("""COMPUTED_VALUE"""),45825.6458333333)</f>
        <v>45825.6458333333</v>
      </c>
      <c r="H58" s="17">
        <f>IFERROR(__xludf.DUMMYFUNCTION("""COMPUTED_VALUE"""),2033.9)</f>
        <v>2033.9</v>
      </c>
      <c r="I58" s="16">
        <f>IFERROR(__xludf.DUMMYFUNCTION("""COMPUTED_VALUE"""),45825.6458333333)</f>
        <v>45825.6458333333</v>
      </c>
      <c r="J58" s="17">
        <f>IFERROR(__xludf.DUMMYFUNCTION("""COMPUTED_VALUE"""),1996.2)</f>
        <v>1996.2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IFERROR(__xludf.DUMMYFUNCTION("""COMPUTED_VALUE"""),1981.4)</f>
        <v>1981.4</v>
      </c>
      <c r="C59" s="16">
        <f>IFERROR(__xludf.DUMMYFUNCTION("""COMPUTED_VALUE"""),45826.6458333333)</f>
        <v>45826.6458333333</v>
      </c>
      <c r="D59" s="17">
        <f>IFERROR(__xludf.DUMMYFUNCTION("""COMPUTED_VALUE"""),2002)</f>
        <v>2002</v>
      </c>
      <c r="E59" s="16">
        <f>IFERROR(__xludf.DUMMYFUNCTION("""COMPUTED_VALUE"""),45826.6458333333)</f>
        <v>45826.6458333333</v>
      </c>
      <c r="F59" s="17">
        <f>IFERROR(__xludf.DUMMYFUNCTION("""COMPUTED_VALUE"""),1401356)</f>
        <v>1401356</v>
      </c>
      <c r="G59" s="16">
        <f>IFERROR(__xludf.DUMMYFUNCTION("""COMPUTED_VALUE"""),45826.6458333333)</f>
        <v>45826.6458333333</v>
      </c>
      <c r="H59" s="17">
        <f>IFERROR(__xludf.DUMMYFUNCTION("""COMPUTED_VALUE"""),2018)</f>
        <v>2018</v>
      </c>
      <c r="I59" s="16">
        <f>IFERROR(__xludf.DUMMYFUNCTION("""COMPUTED_VALUE"""),45826.6458333333)</f>
        <v>45826.6458333333</v>
      </c>
      <c r="J59" s="17">
        <f>IFERROR(__xludf.DUMMYFUNCTION("""COMPUTED_VALUE"""),1975.8)</f>
        <v>1975.8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IFERROR(__xludf.DUMMYFUNCTION("""COMPUTED_VALUE"""),1967.6)</f>
        <v>1967.6</v>
      </c>
      <c r="C60" s="16">
        <f>IFERROR(__xludf.DUMMYFUNCTION("""COMPUTED_VALUE"""),45827.6458333333)</f>
        <v>45827.6458333333</v>
      </c>
      <c r="D60" s="17">
        <f>IFERROR(__xludf.DUMMYFUNCTION("""COMPUTED_VALUE"""),1982)</f>
        <v>1982</v>
      </c>
      <c r="E60" s="16">
        <f>IFERROR(__xludf.DUMMYFUNCTION("""COMPUTED_VALUE"""),45827.6458333333)</f>
        <v>45827.6458333333</v>
      </c>
      <c r="F60" s="17">
        <f>IFERROR(__xludf.DUMMYFUNCTION("""COMPUTED_VALUE"""),745887)</f>
        <v>745887</v>
      </c>
      <c r="G60" s="16">
        <f>IFERROR(__xludf.DUMMYFUNCTION("""COMPUTED_VALUE"""),45827.6458333333)</f>
        <v>45827.6458333333</v>
      </c>
      <c r="H60" s="17">
        <f>IFERROR(__xludf.DUMMYFUNCTION("""COMPUTED_VALUE"""),1996.2)</f>
        <v>1996.2</v>
      </c>
      <c r="I60" s="16">
        <f>IFERROR(__xludf.DUMMYFUNCTION("""COMPUTED_VALUE"""),45827.6458333333)</f>
        <v>45827.6458333333</v>
      </c>
      <c r="J60" s="17">
        <f>IFERROR(__xludf.DUMMYFUNCTION("""COMPUTED_VALUE"""),1957.4)</f>
        <v>1957.4</v>
      </c>
      <c r="K60" s="3">
        <f t="shared" si="2"/>
        <v>0</v>
      </c>
      <c r="L60" s="3">
        <f t="shared" si="3"/>
        <v>1967.6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IFERROR(__xludf.DUMMYFUNCTION("""COMPUTED_VALUE"""),1986.2)</f>
        <v>1986.2</v>
      </c>
      <c r="C61" s="16">
        <f>IFERROR(__xludf.DUMMYFUNCTION("""COMPUTED_VALUE"""),45828.6458333333)</f>
        <v>45828.6458333333</v>
      </c>
      <c r="D61" s="17">
        <f>IFERROR(__xludf.DUMMYFUNCTION("""COMPUTED_VALUE"""),1974.8)</f>
        <v>1974.8</v>
      </c>
      <c r="E61" s="16">
        <f>IFERROR(__xludf.DUMMYFUNCTION("""COMPUTED_VALUE"""),45828.6458333333)</f>
        <v>45828.6458333333</v>
      </c>
      <c r="F61" s="17">
        <f>IFERROR(__xludf.DUMMYFUNCTION("""COMPUTED_VALUE"""),1931248)</f>
        <v>1931248</v>
      </c>
      <c r="G61" s="16">
        <f>IFERROR(__xludf.DUMMYFUNCTION("""COMPUTED_VALUE"""),45828.6458333333)</f>
        <v>45828.6458333333</v>
      </c>
      <c r="H61" s="17">
        <f>IFERROR(__xludf.DUMMYFUNCTION("""COMPUTED_VALUE"""),1998.9)</f>
        <v>1998.9</v>
      </c>
      <c r="I61" s="16">
        <f>IFERROR(__xludf.DUMMYFUNCTION("""COMPUTED_VALUE"""),45828.6458333333)</f>
        <v>45828.6458333333</v>
      </c>
      <c r="J61" s="17">
        <f>IFERROR(__xludf.DUMMYFUNCTION("""COMPUTED_VALUE"""),1965)</f>
        <v>1965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IFERROR(__xludf.DUMMYFUNCTION("""COMPUTED_VALUE"""),1997.6)</f>
        <v>1997.6</v>
      </c>
      <c r="C62" s="16">
        <f>IFERROR(__xludf.DUMMYFUNCTION("""COMPUTED_VALUE"""),45831.6458333333)</f>
        <v>45831.6458333333</v>
      </c>
      <c r="D62" s="17">
        <f>IFERROR(__xludf.DUMMYFUNCTION("""COMPUTED_VALUE"""),1976.3)</f>
        <v>1976.3</v>
      </c>
      <c r="E62" s="16">
        <f>IFERROR(__xludf.DUMMYFUNCTION("""COMPUTED_VALUE"""),45831.6458333333)</f>
        <v>45831.6458333333</v>
      </c>
      <c r="F62" s="17">
        <f>IFERROR(__xludf.DUMMYFUNCTION("""COMPUTED_VALUE"""),1125629)</f>
        <v>1125629</v>
      </c>
      <c r="G62" s="16">
        <f>IFERROR(__xludf.DUMMYFUNCTION("""COMPUTED_VALUE"""),45831.6458333333)</f>
        <v>45831.6458333333</v>
      </c>
      <c r="H62" s="17">
        <f>IFERROR(__xludf.DUMMYFUNCTION("""COMPUTED_VALUE"""),2008.4)</f>
        <v>2008.4</v>
      </c>
      <c r="I62" s="16">
        <f>IFERROR(__xludf.DUMMYFUNCTION("""COMPUTED_VALUE"""),45831.6458333333)</f>
        <v>45831.6458333333</v>
      </c>
      <c r="J62" s="17">
        <f>IFERROR(__xludf.DUMMYFUNCTION("""COMPUTED_VALUE"""),1950.7)</f>
        <v>1950.7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IFERROR(__xludf.DUMMYFUNCTION("""COMPUTED_VALUE"""),2009.2)</f>
        <v>2009.2</v>
      </c>
      <c r="C63" s="16">
        <f>IFERROR(__xludf.DUMMYFUNCTION("""COMPUTED_VALUE"""),45832.6458333333)</f>
        <v>45832.6458333333</v>
      </c>
      <c r="D63" s="17">
        <f>IFERROR(__xludf.DUMMYFUNCTION("""COMPUTED_VALUE"""),2019)</f>
        <v>2019</v>
      </c>
      <c r="E63" s="16">
        <f>IFERROR(__xludf.DUMMYFUNCTION("""COMPUTED_VALUE"""),45832.6458333333)</f>
        <v>45832.6458333333</v>
      </c>
      <c r="F63" s="17">
        <f>IFERROR(__xludf.DUMMYFUNCTION("""COMPUTED_VALUE"""),1717823)</f>
        <v>1717823</v>
      </c>
      <c r="G63" s="16">
        <f>IFERROR(__xludf.DUMMYFUNCTION("""COMPUTED_VALUE"""),45832.6458333333)</f>
        <v>45832.6458333333</v>
      </c>
      <c r="H63" s="17">
        <f>IFERROR(__xludf.DUMMYFUNCTION("""COMPUTED_VALUE"""),2032.4)</f>
        <v>2032.4</v>
      </c>
      <c r="I63" s="16">
        <f>IFERROR(__xludf.DUMMYFUNCTION("""COMPUTED_VALUE"""),45832.6458333333)</f>
        <v>45832.6458333333</v>
      </c>
      <c r="J63" s="17">
        <f>IFERROR(__xludf.DUMMYFUNCTION("""COMPUTED_VALUE"""),1999.2)</f>
        <v>1999.2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IFERROR(__xludf.DUMMYFUNCTION("""COMPUTED_VALUE"""),2011.8)</f>
        <v>2011.8</v>
      </c>
      <c r="C64" s="16">
        <f>IFERROR(__xludf.DUMMYFUNCTION("""COMPUTED_VALUE"""),45833.6458333333)</f>
        <v>45833.6458333333</v>
      </c>
      <c r="D64" s="17">
        <f>IFERROR(__xludf.DUMMYFUNCTION("""COMPUTED_VALUE"""),2028)</f>
        <v>2028</v>
      </c>
      <c r="E64" s="16">
        <f>IFERROR(__xludf.DUMMYFUNCTION("""COMPUTED_VALUE"""),45833.6458333333)</f>
        <v>45833.6458333333</v>
      </c>
      <c r="F64" s="17">
        <f>IFERROR(__xludf.DUMMYFUNCTION("""COMPUTED_VALUE"""),998245)</f>
        <v>998245</v>
      </c>
      <c r="G64" s="16">
        <f>IFERROR(__xludf.DUMMYFUNCTION("""COMPUTED_VALUE"""),45833.6458333333)</f>
        <v>45833.6458333333</v>
      </c>
      <c r="H64" s="17">
        <f>IFERROR(__xludf.DUMMYFUNCTION("""COMPUTED_VALUE"""),2028)</f>
        <v>2028</v>
      </c>
      <c r="I64" s="16">
        <f>IFERROR(__xludf.DUMMYFUNCTION("""COMPUTED_VALUE"""),45833.6458333333)</f>
        <v>45833.6458333333</v>
      </c>
      <c r="J64" s="17">
        <f>IFERROR(__xludf.DUMMYFUNCTION("""COMPUTED_VALUE"""),2004)</f>
        <v>2004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IFERROR(__xludf.DUMMYFUNCTION("""COMPUTED_VALUE"""),2053.6)</f>
        <v>2053.6</v>
      </c>
      <c r="C65" s="16">
        <f>IFERROR(__xludf.DUMMYFUNCTION("""COMPUTED_VALUE"""),45834.6458333333)</f>
        <v>45834.6458333333</v>
      </c>
      <c r="D65" s="17">
        <f>IFERROR(__xludf.DUMMYFUNCTION("""COMPUTED_VALUE"""),2018)</f>
        <v>2018</v>
      </c>
      <c r="E65" s="16">
        <f>IFERROR(__xludf.DUMMYFUNCTION("""COMPUTED_VALUE"""),45834.6458333333)</f>
        <v>45834.6458333333</v>
      </c>
      <c r="F65" s="17">
        <f>IFERROR(__xludf.DUMMYFUNCTION("""COMPUTED_VALUE"""),1828277)</f>
        <v>1828277</v>
      </c>
      <c r="G65" s="16">
        <f>IFERROR(__xludf.DUMMYFUNCTION("""COMPUTED_VALUE"""),45834.6458333333)</f>
        <v>45834.6458333333</v>
      </c>
      <c r="H65" s="17">
        <f>IFERROR(__xludf.DUMMYFUNCTION("""COMPUTED_VALUE"""),2058)</f>
        <v>2058</v>
      </c>
      <c r="I65" s="16">
        <f>IFERROR(__xludf.DUMMYFUNCTION("""COMPUTED_VALUE"""),45834.6458333333)</f>
        <v>45834.6458333333</v>
      </c>
      <c r="J65" s="17">
        <f>IFERROR(__xludf.DUMMYFUNCTION("""COMPUTED_VALUE"""),2011.8)</f>
        <v>2011.8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IFERROR(__xludf.DUMMYFUNCTION("""COMPUTED_VALUE"""),2044)</f>
        <v>2044</v>
      </c>
      <c r="C66" s="16">
        <f>IFERROR(__xludf.DUMMYFUNCTION("""COMPUTED_VALUE"""),45835.6458333333)</f>
        <v>45835.6458333333</v>
      </c>
      <c r="D66" s="17">
        <f>IFERROR(__xludf.DUMMYFUNCTION("""COMPUTED_VALUE"""),2060)</f>
        <v>2060</v>
      </c>
      <c r="E66" s="16">
        <f>IFERROR(__xludf.DUMMYFUNCTION("""COMPUTED_VALUE"""),45835.6458333333)</f>
        <v>45835.6458333333</v>
      </c>
      <c r="F66" s="17">
        <f>IFERROR(__xludf.DUMMYFUNCTION("""COMPUTED_VALUE"""),6315182)</f>
        <v>6315182</v>
      </c>
      <c r="G66" s="16">
        <f>IFERROR(__xludf.DUMMYFUNCTION("""COMPUTED_VALUE"""),45835.6458333333)</f>
        <v>45835.6458333333</v>
      </c>
      <c r="H66" s="17">
        <f>IFERROR(__xludf.DUMMYFUNCTION("""COMPUTED_VALUE"""),2065)</f>
        <v>2065</v>
      </c>
      <c r="I66" s="16">
        <f>IFERROR(__xludf.DUMMYFUNCTION("""COMPUTED_VALUE"""),45835.6458333333)</f>
        <v>45835.6458333333</v>
      </c>
      <c r="J66" s="17">
        <f>IFERROR(__xludf.DUMMYFUNCTION("""COMPUTED_VALUE"""),2005)</f>
        <v>2005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IFERROR(__xludf.DUMMYFUNCTION("""COMPUTED_VALUE"""),2056)</f>
        <v>2056</v>
      </c>
      <c r="C67" s="16">
        <f>IFERROR(__xludf.DUMMYFUNCTION("""COMPUTED_VALUE"""),45838.6458333333)</f>
        <v>45838.6458333333</v>
      </c>
      <c r="D67" s="17">
        <f>IFERROR(__xludf.DUMMYFUNCTION("""COMPUTED_VALUE"""),2040)</f>
        <v>2040</v>
      </c>
      <c r="E67" s="16">
        <f>IFERROR(__xludf.DUMMYFUNCTION("""COMPUTED_VALUE"""),45838.6458333333)</f>
        <v>45838.6458333333</v>
      </c>
      <c r="F67" s="17">
        <f>IFERROR(__xludf.DUMMYFUNCTION("""COMPUTED_VALUE"""),1363779)</f>
        <v>1363779</v>
      </c>
      <c r="G67" s="16">
        <f>IFERROR(__xludf.DUMMYFUNCTION("""COMPUTED_VALUE"""),45838.6458333333)</f>
        <v>45838.6458333333</v>
      </c>
      <c r="H67" s="17">
        <f>IFERROR(__xludf.DUMMYFUNCTION("""COMPUTED_VALUE"""),2064)</f>
        <v>2064</v>
      </c>
      <c r="I67" s="16">
        <f>IFERROR(__xludf.DUMMYFUNCTION("""COMPUTED_VALUE"""),45838.6458333333)</f>
        <v>45838.6458333333</v>
      </c>
      <c r="J67" s="17">
        <f>IFERROR(__xludf.DUMMYFUNCTION("""COMPUTED_VALUE"""),2028)</f>
        <v>2028</v>
      </c>
      <c r="K67" s="3">
        <f t="shared" si="2"/>
        <v>2056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IFERROR(__xludf.DUMMYFUNCTION("""COMPUTED_VALUE"""),2053.8)</f>
        <v>2053.8</v>
      </c>
      <c r="C68" s="16">
        <f>IFERROR(__xludf.DUMMYFUNCTION("""COMPUTED_VALUE"""),45839.6458333333)</f>
        <v>45839.6458333333</v>
      </c>
      <c r="D68" s="17">
        <f>IFERROR(__xludf.DUMMYFUNCTION("""COMPUTED_VALUE"""),2055.1)</f>
        <v>2055.1</v>
      </c>
      <c r="E68" s="16">
        <f>IFERROR(__xludf.DUMMYFUNCTION("""COMPUTED_VALUE"""),45839.6458333333)</f>
        <v>45839.6458333333</v>
      </c>
      <c r="F68" s="17">
        <f>IFERROR(__xludf.DUMMYFUNCTION("""COMPUTED_VALUE"""),1002015)</f>
        <v>1002015</v>
      </c>
      <c r="G68" s="16">
        <f>IFERROR(__xludf.DUMMYFUNCTION("""COMPUTED_VALUE"""),45839.6458333333)</f>
        <v>45839.6458333333</v>
      </c>
      <c r="H68" s="17">
        <f>IFERROR(__xludf.DUMMYFUNCTION("""COMPUTED_VALUE"""),2068.5)</f>
        <v>2068.5</v>
      </c>
      <c r="I68" s="16">
        <f>IFERROR(__xludf.DUMMYFUNCTION("""COMPUTED_VALUE"""),45839.6458333333)</f>
        <v>45839.6458333333</v>
      </c>
      <c r="J68" s="17">
        <f>IFERROR(__xludf.DUMMYFUNCTION("""COMPUTED_VALUE"""),2042.6)</f>
        <v>2042.6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IFERROR(__xludf.DUMMYFUNCTION("""COMPUTED_VALUE"""),2007.9)</f>
        <v>2007.9</v>
      </c>
      <c r="C69" s="16">
        <f>IFERROR(__xludf.DUMMYFUNCTION("""COMPUTED_VALUE"""),45840.6458333333)</f>
        <v>45840.6458333333</v>
      </c>
      <c r="D69" s="17">
        <f>IFERROR(__xludf.DUMMYFUNCTION("""COMPUTED_VALUE"""),2054)</f>
        <v>2054</v>
      </c>
      <c r="E69" s="16">
        <f>IFERROR(__xludf.DUMMYFUNCTION("""COMPUTED_VALUE"""),45840.6458333333)</f>
        <v>45840.6458333333</v>
      </c>
      <c r="F69" s="17">
        <f>IFERROR(__xludf.DUMMYFUNCTION("""COMPUTED_VALUE"""),1204931)</f>
        <v>1204931</v>
      </c>
      <c r="G69" s="16">
        <f>IFERROR(__xludf.DUMMYFUNCTION("""COMPUTED_VALUE"""),45840.6458333333)</f>
        <v>45840.6458333333</v>
      </c>
      <c r="H69" s="17">
        <f>IFERROR(__xludf.DUMMYFUNCTION("""COMPUTED_VALUE"""),2057.5)</f>
        <v>2057.5</v>
      </c>
      <c r="I69" s="16">
        <f>IFERROR(__xludf.DUMMYFUNCTION("""COMPUTED_VALUE"""),45840.6458333333)</f>
        <v>45840.6458333333</v>
      </c>
      <c r="J69" s="17">
        <f>IFERROR(__xludf.DUMMYFUNCTION("""COMPUTED_VALUE"""),1996.6)</f>
        <v>1996.6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IFERROR(__xludf.DUMMYFUNCTION("""COMPUTED_VALUE"""),1980.7)</f>
        <v>1980.7</v>
      </c>
      <c r="C70" s="16">
        <f>IFERROR(__xludf.DUMMYFUNCTION("""COMPUTED_VALUE"""),45841.6458333333)</f>
        <v>45841.6458333333</v>
      </c>
      <c r="D70" s="17">
        <f>IFERROR(__xludf.DUMMYFUNCTION("""COMPUTED_VALUE"""),2008)</f>
        <v>2008</v>
      </c>
      <c r="E70" s="16">
        <f>IFERROR(__xludf.DUMMYFUNCTION("""COMPUTED_VALUE"""),45841.6458333333)</f>
        <v>45841.6458333333</v>
      </c>
      <c r="F70" s="17">
        <f>IFERROR(__xludf.DUMMYFUNCTION("""COMPUTED_VALUE"""),1133593)</f>
        <v>1133593</v>
      </c>
      <c r="G70" s="16">
        <f>IFERROR(__xludf.DUMMYFUNCTION("""COMPUTED_VALUE"""),45841.6458333333)</f>
        <v>45841.6458333333</v>
      </c>
      <c r="H70" s="17">
        <f>IFERROR(__xludf.DUMMYFUNCTION("""COMPUTED_VALUE"""),2014.4)</f>
        <v>2014.4</v>
      </c>
      <c r="I70" s="16">
        <f>IFERROR(__xludf.DUMMYFUNCTION("""COMPUTED_VALUE"""),45841.6458333333)</f>
        <v>45841.6458333333</v>
      </c>
      <c r="J70" s="17">
        <f>IFERROR(__xludf.DUMMYFUNCTION("""COMPUTED_VALUE"""),1977.6)</f>
        <v>1977.6</v>
      </c>
      <c r="K70" s="3">
        <f t="shared" si="2"/>
        <v>0</v>
      </c>
      <c r="L70" s="3">
        <f t="shared" si="3"/>
        <v>1980.7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IFERROR(__xludf.DUMMYFUNCTION("""COMPUTED_VALUE"""),1994.4)</f>
        <v>1994.4</v>
      </c>
      <c r="C71" s="16">
        <f>IFERROR(__xludf.DUMMYFUNCTION("""COMPUTED_VALUE"""),45842.6458333333)</f>
        <v>45842.6458333333</v>
      </c>
      <c r="D71" s="17">
        <f>IFERROR(__xludf.DUMMYFUNCTION("""COMPUTED_VALUE"""),1993)</f>
        <v>1993</v>
      </c>
      <c r="E71" s="16">
        <f>IFERROR(__xludf.DUMMYFUNCTION("""COMPUTED_VALUE"""),45842.6458333333)</f>
        <v>45842.6458333333</v>
      </c>
      <c r="F71" s="17">
        <f>IFERROR(__xludf.DUMMYFUNCTION("""COMPUTED_VALUE"""),1509178)</f>
        <v>1509178</v>
      </c>
      <c r="G71" s="16">
        <f>IFERROR(__xludf.DUMMYFUNCTION("""COMPUTED_VALUE"""),45842.6458333333)</f>
        <v>45842.6458333333</v>
      </c>
      <c r="H71" s="17">
        <f>IFERROR(__xludf.DUMMYFUNCTION("""COMPUTED_VALUE"""),2032.9)</f>
        <v>2032.9</v>
      </c>
      <c r="I71" s="16">
        <f>IFERROR(__xludf.DUMMYFUNCTION("""COMPUTED_VALUE"""),45842.6458333333)</f>
        <v>45842.6458333333</v>
      </c>
      <c r="J71" s="17">
        <f>IFERROR(__xludf.DUMMYFUNCTION("""COMPUTED_VALUE"""),1985)</f>
        <v>1985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IFERROR(__xludf.DUMMYFUNCTION("""COMPUTED_VALUE"""),2006.4)</f>
        <v>2006.4</v>
      </c>
      <c r="C72" s="16">
        <f>IFERROR(__xludf.DUMMYFUNCTION("""COMPUTED_VALUE"""),45845.6458333333)</f>
        <v>45845.6458333333</v>
      </c>
      <c r="D72" s="17">
        <f>IFERROR(__xludf.DUMMYFUNCTION("""COMPUTED_VALUE"""),1996.8)</f>
        <v>1996.8</v>
      </c>
      <c r="E72" s="16">
        <f>IFERROR(__xludf.DUMMYFUNCTION("""COMPUTED_VALUE"""),45845.6458333333)</f>
        <v>45845.6458333333</v>
      </c>
      <c r="F72" s="17">
        <f>IFERROR(__xludf.DUMMYFUNCTION("""COMPUTED_VALUE"""),861699)</f>
        <v>861699</v>
      </c>
      <c r="G72" s="16">
        <f>IFERROR(__xludf.DUMMYFUNCTION("""COMPUTED_VALUE"""),45845.6458333333)</f>
        <v>45845.6458333333</v>
      </c>
      <c r="H72" s="17">
        <f>IFERROR(__xludf.DUMMYFUNCTION("""COMPUTED_VALUE"""),2016.9)</f>
        <v>2016.9</v>
      </c>
      <c r="I72" s="16">
        <f>IFERROR(__xludf.DUMMYFUNCTION("""COMPUTED_VALUE"""),45845.6458333333)</f>
        <v>45845.6458333333</v>
      </c>
      <c r="J72" s="17">
        <f>IFERROR(__xludf.DUMMYFUNCTION("""COMPUTED_VALUE"""),1993)</f>
        <v>1993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IFERROR(__xludf.DUMMYFUNCTION("""COMPUTED_VALUE"""),2018.3)</f>
        <v>2018.3</v>
      </c>
      <c r="C73" s="16">
        <f>IFERROR(__xludf.DUMMYFUNCTION("""COMPUTED_VALUE"""),45846.6458333333)</f>
        <v>45846.6458333333</v>
      </c>
      <c r="D73" s="17">
        <f>IFERROR(__xludf.DUMMYFUNCTION("""COMPUTED_VALUE"""),2000)</f>
        <v>2000</v>
      </c>
      <c r="E73" s="16">
        <f>IFERROR(__xludf.DUMMYFUNCTION("""COMPUTED_VALUE"""),45846.6458333333)</f>
        <v>45846.6458333333</v>
      </c>
      <c r="F73" s="17">
        <f>IFERROR(__xludf.DUMMYFUNCTION("""COMPUTED_VALUE"""),986803)</f>
        <v>986803</v>
      </c>
      <c r="G73" s="16">
        <f>IFERROR(__xludf.DUMMYFUNCTION("""COMPUTED_VALUE"""),45846.6458333333)</f>
        <v>45846.6458333333</v>
      </c>
      <c r="H73" s="17">
        <f>IFERROR(__xludf.DUMMYFUNCTION("""COMPUTED_VALUE"""),2020.6)</f>
        <v>2020.6</v>
      </c>
      <c r="I73" s="16">
        <f>IFERROR(__xludf.DUMMYFUNCTION("""COMPUTED_VALUE"""),45846.6458333333)</f>
        <v>45846.6458333333</v>
      </c>
      <c r="J73" s="17">
        <f>IFERROR(__xludf.DUMMYFUNCTION("""COMPUTED_VALUE"""),1998.7)</f>
        <v>1998.7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IFERROR(__xludf.DUMMYFUNCTION("""COMPUTED_VALUE"""),2026.4)</f>
        <v>2026.4</v>
      </c>
      <c r="C74" s="16">
        <f>IFERROR(__xludf.DUMMYFUNCTION("""COMPUTED_VALUE"""),45847.6458333333)</f>
        <v>45847.6458333333</v>
      </c>
      <c r="D74" s="17">
        <f>IFERROR(__xludf.DUMMYFUNCTION("""COMPUTED_VALUE"""),2013)</f>
        <v>2013</v>
      </c>
      <c r="E74" s="16">
        <f>IFERROR(__xludf.DUMMYFUNCTION("""COMPUTED_VALUE"""),45847.6458333333)</f>
        <v>45847.6458333333</v>
      </c>
      <c r="F74" s="17">
        <f>IFERROR(__xludf.DUMMYFUNCTION("""COMPUTED_VALUE"""),1161769)</f>
        <v>1161769</v>
      </c>
      <c r="G74" s="16">
        <f>IFERROR(__xludf.DUMMYFUNCTION("""COMPUTED_VALUE"""),45847.6458333333)</f>
        <v>45847.6458333333</v>
      </c>
      <c r="H74" s="17">
        <f>IFERROR(__xludf.DUMMYFUNCTION("""COMPUTED_VALUE"""),2037.6)</f>
        <v>2037.6</v>
      </c>
      <c r="I74" s="16">
        <f>IFERROR(__xludf.DUMMYFUNCTION("""COMPUTED_VALUE"""),45847.6458333333)</f>
        <v>45847.6458333333</v>
      </c>
      <c r="J74" s="17">
        <f>IFERROR(__xludf.DUMMYFUNCTION("""COMPUTED_VALUE"""),2012)</f>
        <v>2012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IFERROR(__xludf.DUMMYFUNCTION("""COMPUTED_VALUE"""),2039.4)</f>
        <v>2039.4</v>
      </c>
      <c r="C75" s="16">
        <f>IFERROR(__xludf.DUMMYFUNCTION("""COMPUTED_VALUE"""),45848.6458333333)</f>
        <v>45848.6458333333</v>
      </c>
      <c r="D75" s="17">
        <f>IFERROR(__xludf.DUMMYFUNCTION("""COMPUTED_VALUE"""),2034)</f>
        <v>2034</v>
      </c>
      <c r="E75" s="16">
        <f>IFERROR(__xludf.DUMMYFUNCTION("""COMPUTED_VALUE"""),45848.6458333333)</f>
        <v>45848.6458333333</v>
      </c>
      <c r="F75" s="17">
        <f>IFERROR(__xludf.DUMMYFUNCTION("""COMPUTED_VALUE"""),1230564)</f>
        <v>1230564</v>
      </c>
      <c r="G75" s="16">
        <f>IFERROR(__xludf.DUMMYFUNCTION("""COMPUTED_VALUE"""),45848.6458333333)</f>
        <v>45848.6458333333</v>
      </c>
      <c r="H75" s="17">
        <f>IFERROR(__xludf.DUMMYFUNCTION("""COMPUTED_VALUE"""),2049)</f>
        <v>2049</v>
      </c>
      <c r="I75" s="16">
        <f>IFERROR(__xludf.DUMMYFUNCTION("""COMPUTED_VALUE"""),45848.6458333333)</f>
        <v>45848.6458333333</v>
      </c>
      <c r="J75" s="17">
        <f>IFERROR(__xludf.DUMMYFUNCTION("""COMPUTED_VALUE"""),2021.8)</f>
        <v>2021.8</v>
      </c>
      <c r="K75" s="3">
        <f t="shared" si="2"/>
        <v>2039.4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IFERROR(__xludf.DUMMYFUNCTION("""COMPUTED_VALUE"""),2017.2)</f>
        <v>2017.2</v>
      </c>
      <c r="C76" s="16">
        <f>IFERROR(__xludf.DUMMYFUNCTION("""COMPUTED_VALUE"""),45849.6458333333)</f>
        <v>45849.6458333333</v>
      </c>
      <c r="D76" s="17">
        <f>IFERROR(__xludf.DUMMYFUNCTION("""COMPUTED_VALUE"""),2037)</f>
        <v>2037</v>
      </c>
      <c r="E76" s="16">
        <f>IFERROR(__xludf.DUMMYFUNCTION("""COMPUTED_VALUE"""),45849.6458333333)</f>
        <v>45849.6458333333</v>
      </c>
      <c r="F76" s="17">
        <f>IFERROR(__xludf.DUMMYFUNCTION("""COMPUTED_VALUE"""),1145529)</f>
        <v>1145529</v>
      </c>
      <c r="G76" s="16">
        <f>IFERROR(__xludf.DUMMYFUNCTION("""COMPUTED_VALUE"""),45849.6458333333)</f>
        <v>45849.6458333333</v>
      </c>
      <c r="H76" s="17">
        <f>IFERROR(__xludf.DUMMYFUNCTION("""COMPUTED_VALUE"""),2040.7)</f>
        <v>2040.7</v>
      </c>
      <c r="I76" s="16">
        <f>IFERROR(__xludf.DUMMYFUNCTION("""COMPUTED_VALUE"""),45849.6458333333)</f>
        <v>45849.6458333333</v>
      </c>
      <c r="J76" s="17">
        <f>IFERROR(__xludf.DUMMYFUNCTION("""COMPUTED_VALUE"""),2000.2)</f>
        <v>2000.2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IFERROR(__xludf.DUMMYFUNCTION("""COMPUTED_VALUE"""),2003.6)</f>
        <v>2003.6</v>
      </c>
      <c r="C77" s="16">
        <f>IFERROR(__xludf.DUMMYFUNCTION("""COMPUTED_VALUE"""),45852.6458333333)</f>
        <v>45852.6458333333</v>
      </c>
      <c r="D77" s="17">
        <f>IFERROR(__xludf.DUMMYFUNCTION("""COMPUTED_VALUE"""),2010)</f>
        <v>2010</v>
      </c>
      <c r="E77" s="16">
        <f>IFERROR(__xludf.DUMMYFUNCTION("""COMPUTED_VALUE"""),45852.6458333333)</f>
        <v>45852.6458333333</v>
      </c>
      <c r="F77" s="17">
        <f>IFERROR(__xludf.DUMMYFUNCTION("""COMPUTED_VALUE"""),605261)</f>
        <v>605261</v>
      </c>
      <c r="G77" s="16">
        <f>IFERROR(__xludf.DUMMYFUNCTION("""COMPUTED_VALUE"""),45852.6458333333)</f>
        <v>45852.6458333333</v>
      </c>
      <c r="H77" s="17">
        <f>IFERROR(__xludf.DUMMYFUNCTION("""COMPUTED_VALUE"""),2015)</f>
        <v>2015</v>
      </c>
      <c r="I77" s="16">
        <f>IFERROR(__xludf.DUMMYFUNCTION("""COMPUTED_VALUE"""),45852.6458333333)</f>
        <v>45852.6458333333</v>
      </c>
      <c r="J77" s="17">
        <f>IFERROR(__xludf.DUMMYFUNCTION("""COMPUTED_VALUE"""),1989)</f>
        <v>1989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IFERROR(__xludf.DUMMYFUNCTION("""COMPUTED_VALUE"""),2036.5)</f>
        <v>2036.5</v>
      </c>
      <c r="C78" s="16">
        <f>IFERROR(__xludf.DUMMYFUNCTION("""COMPUTED_VALUE"""),45853.6458333333)</f>
        <v>45853.6458333333</v>
      </c>
      <c r="D78" s="17">
        <f>IFERROR(__xludf.DUMMYFUNCTION("""COMPUTED_VALUE"""),2010)</f>
        <v>2010</v>
      </c>
      <c r="E78" s="16">
        <f>IFERROR(__xludf.DUMMYFUNCTION("""COMPUTED_VALUE"""),45853.6458333333)</f>
        <v>45853.6458333333</v>
      </c>
      <c r="F78" s="17">
        <f>IFERROR(__xludf.DUMMYFUNCTION("""COMPUTED_VALUE"""),888117)</f>
        <v>888117</v>
      </c>
      <c r="G78" s="16">
        <f>IFERROR(__xludf.DUMMYFUNCTION("""COMPUTED_VALUE"""),45853.6458333333)</f>
        <v>45853.6458333333</v>
      </c>
      <c r="H78" s="17">
        <f>IFERROR(__xludf.DUMMYFUNCTION("""COMPUTED_VALUE"""),2046)</f>
        <v>2046</v>
      </c>
      <c r="I78" s="16">
        <f>IFERROR(__xludf.DUMMYFUNCTION("""COMPUTED_VALUE"""),45853.6458333333)</f>
        <v>45853.6458333333</v>
      </c>
      <c r="J78" s="17">
        <f>IFERROR(__xludf.DUMMYFUNCTION("""COMPUTED_VALUE"""),2004.1)</f>
        <v>2004.1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IFERROR(__xludf.DUMMYFUNCTION("""COMPUTED_VALUE"""),2036)</f>
        <v>2036</v>
      </c>
      <c r="C79" s="16">
        <f>IFERROR(__xludf.DUMMYFUNCTION("""COMPUTED_VALUE"""),45854.6458333333)</f>
        <v>45854.6458333333</v>
      </c>
      <c r="D79" s="17">
        <f>IFERROR(__xludf.DUMMYFUNCTION("""COMPUTED_VALUE"""),2040.1)</f>
        <v>2040.1</v>
      </c>
      <c r="E79" s="16">
        <f>IFERROR(__xludf.DUMMYFUNCTION("""COMPUTED_VALUE"""),45854.6458333333)</f>
        <v>45854.6458333333</v>
      </c>
      <c r="F79" s="17">
        <f>IFERROR(__xludf.DUMMYFUNCTION("""COMPUTED_VALUE"""),633132)</f>
        <v>633132</v>
      </c>
      <c r="G79" s="16">
        <f>IFERROR(__xludf.DUMMYFUNCTION("""COMPUTED_VALUE"""),45854.6458333333)</f>
        <v>45854.6458333333</v>
      </c>
      <c r="H79" s="17">
        <f>IFERROR(__xludf.DUMMYFUNCTION("""COMPUTED_VALUE"""),2043.7)</f>
        <v>2043.7</v>
      </c>
      <c r="I79" s="16">
        <f>IFERROR(__xludf.DUMMYFUNCTION("""COMPUTED_VALUE"""),45854.6458333333)</f>
        <v>45854.6458333333</v>
      </c>
      <c r="J79" s="17">
        <f>IFERROR(__xludf.DUMMYFUNCTION("""COMPUTED_VALUE"""),2018.1)</f>
        <v>2018.1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IFERROR(__xludf.DUMMYFUNCTION("""COMPUTED_VALUE"""),2026.5)</f>
        <v>2026.5</v>
      </c>
      <c r="C80" s="16">
        <f>IFERROR(__xludf.DUMMYFUNCTION("""COMPUTED_VALUE"""),45855.6458333333)</f>
        <v>45855.6458333333</v>
      </c>
      <c r="D80" s="17">
        <f>IFERROR(__xludf.DUMMYFUNCTION("""COMPUTED_VALUE"""),2037.6)</f>
        <v>2037.6</v>
      </c>
      <c r="E80" s="16">
        <f>IFERROR(__xludf.DUMMYFUNCTION("""COMPUTED_VALUE"""),45855.6458333333)</f>
        <v>45855.6458333333</v>
      </c>
      <c r="F80" s="17">
        <f>IFERROR(__xludf.DUMMYFUNCTION("""COMPUTED_VALUE"""),458912)</f>
        <v>458912</v>
      </c>
      <c r="G80" s="16">
        <f>IFERROR(__xludf.DUMMYFUNCTION("""COMPUTED_VALUE"""),45855.6458333333)</f>
        <v>45855.6458333333</v>
      </c>
      <c r="H80" s="17">
        <f>IFERROR(__xludf.DUMMYFUNCTION("""COMPUTED_VALUE"""),2047.5)</f>
        <v>2047.5</v>
      </c>
      <c r="I80" s="16">
        <f>IFERROR(__xludf.DUMMYFUNCTION("""COMPUTED_VALUE"""),45855.6458333333)</f>
        <v>45855.6458333333</v>
      </c>
      <c r="J80" s="17">
        <f>IFERROR(__xludf.DUMMYFUNCTION("""COMPUTED_VALUE"""),2020.3)</f>
        <v>2020.3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IFERROR(__xludf.DUMMYFUNCTION("""COMPUTED_VALUE"""),2029.6)</f>
        <v>2029.6</v>
      </c>
      <c r="C81" s="16">
        <f>IFERROR(__xludf.DUMMYFUNCTION("""COMPUTED_VALUE"""),45856.6458333333)</f>
        <v>45856.6458333333</v>
      </c>
      <c r="D81" s="17">
        <f>IFERROR(__xludf.DUMMYFUNCTION("""COMPUTED_VALUE"""),2029.9)</f>
        <v>2029.9</v>
      </c>
      <c r="E81" s="16">
        <f>IFERROR(__xludf.DUMMYFUNCTION("""COMPUTED_VALUE"""),45856.6458333333)</f>
        <v>45856.6458333333</v>
      </c>
      <c r="F81" s="17">
        <f>IFERROR(__xludf.DUMMYFUNCTION("""COMPUTED_VALUE"""),995783)</f>
        <v>995783</v>
      </c>
      <c r="G81" s="16">
        <f>IFERROR(__xludf.DUMMYFUNCTION("""COMPUTED_VALUE"""),45856.6458333333)</f>
        <v>45856.6458333333</v>
      </c>
      <c r="H81" s="17">
        <f>IFERROR(__xludf.DUMMYFUNCTION("""COMPUTED_VALUE"""),2038.9)</f>
        <v>2038.9</v>
      </c>
      <c r="I81" s="16">
        <f>IFERROR(__xludf.DUMMYFUNCTION("""COMPUTED_VALUE"""),45856.6458333333)</f>
        <v>45856.6458333333</v>
      </c>
      <c r="J81" s="17">
        <f>IFERROR(__xludf.DUMMYFUNCTION("""COMPUTED_VALUE"""),2007.3)</f>
        <v>2007.3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IFERROR(__xludf.DUMMYFUNCTION("""COMPUTED_VALUE"""),2053.9)</f>
        <v>2053.9</v>
      </c>
      <c r="C82" s="16">
        <f>IFERROR(__xludf.DUMMYFUNCTION("""COMPUTED_VALUE"""),45859.6458333333)</f>
        <v>45859.6458333333</v>
      </c>
      <c r="D82" s="17">
        <f>IFERROR(__xludf.DUMMYFUNCTION("""COMPUTED_VALUE"""),2026.9)</f>
        <v>2026.9</v>
      </c>
      <c r="E82" s="16">
        <f>IFERROR(__xludf.DUMMYFUNCTION("""COMPUTED_VALUE"""),45859.6458333333)</f>
        <v>45859.6458333333</v>
      </c>
      <c r="F82" s="17">
        <f>IFERROR(__xludf.DUMMYFUNCTION("""COMPUTED_VALUE"""),999643)</f>
        <v>999643</v>
      </c>
      <c r="G82" s="16">
        <f>IFERROR(__xludf.DUMMYFUNCTION("""COMPUTED_VALUE"""),45859.6458333333)</f>
        <v>45859.6458333333</v>
      </c>
      <c r="H82" s="17">
        <f>IFERROR(__xludf.DUMMYFUNCTION("""COMPUTED_VALUE"""),2056)</f>
        <v>2056</v>
      </c>
      <c r="I82" s="16">
        <f>IFERROR(__xludf.DUMMYFUNCTION("""COMPUTED_VALUE"""),45859.6458333333)</f>
        <v>45859.6458333333</v>
      </c>
      <c r="J82" s="17">
        <f>IFERROR(__xludf.DUMMYFUNCTION("""COMPUTED_VALUE"""),2017.6)</f>
        <v>2017.6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IFERROR(__xludf.DUMMYFUNCTION("""COMPUTED_VALUE"""),2039.6)</f>
        <v>2039.6</v>
      </c>
      <c r="C83" s="16">
        <f>IFERROR(__xludf.DUMMYFUNCTION("""COMPUTED_VALUE"""),45860.6458333333)</f>
        <v>45860.6458333333</v>
      </c>
      <c r="D83" s="17">
        <f>IFERROR(__xludf.DUMMYFUNCTION("""COMPUTED_VALUE"""),2047.9)</f>
        <v>2047.9</v>
      </c>
      <c r="E83" s="16">
        <f>IFERROR(__xludf.DUMMYFUNCTION("""COMPUTED_VALUE"""),45860.6458333333)</f>
        <v>45860.6458333333</v>
      </c>
      <c r="F83" s="17">
        <f>IFERROR(__xludf.DUMMYFUNCTION("""COMPUTED_VALUE"""),1214275)</f>
        <v>1214275</v>
      </c>
      <c r="G83" s="16">
        <f>IFERROR(__xludf.DUMMYFUNCTION("""COMPUTED_VALUE"""),45860.6458333333)</f>
        <v>45860.6458333333</v>
      </c>
      <c r="H83" s="17">
        <f>IFERROR(__xludf.DUMMYFUNCTION("""COMPUTED_VALUE"""),2049)</f>
        <v>2049</v>
      </c>
      <c r="I83" s="16">
        <f>IFERROR(__xludf.DUMMYFUNCTION("""COMPUTED_VALUE"""),45860.6458333333)</f>
        <v>45860.6458333333</v>
      </c>
      <c r="J83" s="17">
        <f>IFERROR(__xludf.DUMMYFUNCTION("""COMPUTED_VALUE"""),2015.2)</f>
        <v>2015.2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IFERROR(__xludf.DUMMYFUNCTION("""COMPUTED_VALUE"""),2060.5)</f>
        <v>2060.5</v>
      </c>
      <c r="C84" s="16">
        <f>IFERROR(__xludf.DUMMYFUNCTION("""COMPUTED_VALUE"""),45861.6458333333)</f>
        <v>45861.6458333333</v>
      </c>
      <c r="D84" s="17">
        <f>IFERROR(__xludf.DUMMYFUNCTION("""COMPUTED_VALUE"""),2047.7)</f>
        <v>2047.7</v>
      </c>
      <c r="E84" s="16">
        <f>IFERROR(__xludf.DUMMYFUNCTION("""COMPUTED_VALUE"""),45861.6458333333)</f>
        <v>45861.6458333333</v>
      </c>
      <c r="F84" s="17">
        <f>IFERROR(__xludf.DUMMYFUNCTION("""COMPUTED_VALUE"""),878101)</f>
        <v>878101</v>
      </c>
      <c r="G84" s="16">
        <f>IFERROR(__xludf.DUMMYFUNCTION("""COMPUTED_VALUE"""),45861.6458333333)</f>
        <v>45861.6458333333</v>
      </c>
      <c r="H84" s="17">
        <f>IFERROR(__xludf.DUMMYFUNCTION("""COMPUTED_VALUE"""),2063.2)</f>
        <v>2063.2</v>
      </c>
      <c r="I84" s="16">
        <f>IFERROR(__xludf.DUMMYFUNCTION("""COMPUTED_VALUE"""),45861.6458333333)</f>
        <v>45861.6458333333</v>
      </c>
      <c r="J84" s="17">
        <f>IFERROR(__xludf.DUMMYFUNCTION("""COMPUTED_VALUE"""),2033.7)</f>
        <v>2033.7</v>
      </c>
      <c r="K84" s="3">
        <f t="shared" si="2"/>
        <v>2060.5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IFERROR(__xludf.DUMMYFUNCTION("""COMPUTED_VALUE"""),2032.3)</f>
        <v>2032.3</v>
      </c>
      <c r="C85" s="16">
        <f>IFERROR(__xludf.DUMMYFUNCTION("""COMPUTED_VALUE"""),45862.6458333333)</f>
        <v>45862.6458333333</v>
      </c>
      <c r="D85" s="17">
        <f>IFERROR(__xludf.DUMMYFUNCTION("""COMPUTED_VALUE"""),2060.5)</f>
        <v>2060.5</v>
      </c>
      <c r="E85" s="16">
        <f>IFERROR(__xludf.DUMMYFUNCTION("""COMPUTED_VALUE"""),45862.6458333333)</f>
        <v>45862.6458333333</v>
      </c>
      <c r="F85" s="17">
        <f>IFERROR(__xludf.DUMMYFUNCTION("""COMPUTED_VALUE"""),658995)</f>
        <v>658995</v>
      </c>
      <c r="G85" s="16">
        <f>IFERROR(__xludf.DUMMYFUNCTION("""COMPUTED_VALUE"""),45862.6458333333)</f>
        <v>45862.6458333333</v>
      </c>
      <c r="H85" s="17">
        <f>IFERROR(__xludf.DUMMYFUNCTION("""COMPUTED_VALUE"""),2060.6)</f>
        <v>2060.6</v>
      </c>
      <c r="I85" s="16">
        <f>IFERROR(__xludf.DUMMYFUNCTION("""COMPUTED_VALUE"""),45862.6458333333)</f>
        <v>45862.6458333333</v>
      </c>
      <c r="J85" s="17">
        <f>IFERROR(__xludf.DUMMYFUNCTION("""COMPUTED_VALUE"""),2025)</f>
        <v>2025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IFERROR(__xludf.DUMMYFUNCTION("""COMPUTED_VALUE"""),1985.8)</f>
        <v>1985.8</v>
      </c>
      <c r="C86" s="16">
        <f>IFERROR(__xludf.DUMMYFUNCTION("""COMPUTED_VALUE"""),45863.6458333333)</f>
        <v>45863.6458333333</v>
      </c>
      <c r="D86" s="17">
        <f>IFERROR(__xludf.DUMMYFUNCTION("""COMPUTED_VALUE"""),1999)</f>
        <v>1999</v>
      </c>
      <c r="E86" s="16">
        <f>IFERROR(__xludf.DUMMYFUNCTION("""COMPUTED_VALUE"""),45863.6458333333)</f>
        <v>45863.6458333333</v>
      </c>
      <c r="F86" s="17">
        <f>IFERROR(__xludf.DUMMYFUNCTION("""COMPUTED_VALUE"""),4102292)</f>
        <v>4102292</v>
      </c>
      <c r="G86" s="16">
        <f>IFERROR(__xludf.DUMMYFUNCTION("""COMPUTED_VALUE"""),45863.6458333333)</f>
        <v>45863.6458333333</v>
      </c>
      <c r="H86" s="17">
        <f>IFERROR(__xludf.DUMMYFUNCTION("""COMPUTED_VALUE"""),2000)</f>
        <v>2000</v>
      </c>
      <c r="I86" s="16">
        <f>IFERROR(__xludf.DUMMYFUNCTION("""COMPUTED_VALUE"""),45863.6458333333)</f>
        <v>45863.6458333333</v>
      </c>
      <c r="J86" s="17">
        <f>IFERROR(__xludf.DUMMYFUNCTION("""COMPUTED_VALUE"""),1932.9)</f>
        <v>1932.9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IFERROR(__xludf.DUMMYFUNCTION("""COMPUTED_VALUE"""),1977.8)</f>
        <v>1977.8</v>
      </c>
      <c r="C87" s="16">
        <f>IFERROR(__xludf.DUMMYFUNCTION("""COMPUTED_VALUE"""),45866.6458333333)</f>
        <v>45866.6458333333</v>
      </c>
      <c r="D87" s="17">
        <f>IFERROR(__xludf.DUMMYFUNCTION("""COMPUTED_VALUE"""),1990)</f>
        <v>1990</v>
      </c>
      <c r="E87" s="16">
        <f>IFERROR(__xludf.DUMMYFUNCTION("""COMPUTED_VALUE"""),45866.6458333333)</f>
        <v>45866.6458333333</v>
      </c>
      <c r="F87" s="17">
        <f>IFERROR(__xludf.DUMMYFUNCTION("""COMPUTED_VALUE"""),1469727)</f>
        <v>1469727</v>
      </c>
      <c r="G87" s="16">
        <f>IFERROR(__xludf.DUMMYFUNCTION("""COMPUTED_VALUE"""),45866.6458333333)</f>
        <v>45866.6458333333</v>
      </c>
      <c r="H87" s="17">
        <f>IFERROR(__xludf.DUMMYFUNCTION("""COMPUTED_VALUE"""),2023)</f>
        <v>2023</v>
      </c>
      <c r="I87" s="16">
        <f>IFERROR(__xludf.DUMMYFUNCTION("""COMPUTED_VALUE"""),45866.6458333333)</f>
        <v>45866.6458333333</v>
      </c>
      <c r="J87" s="17">
        <f>IFERROR(__xludf.DUMMYFUNCTION("""COMPUTED_VALUE"""),1971.1)</f>
        <v>1971.1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IFERROR(__xludf.DUMMYFUNCTION("""COMPUTED_VALUE"""),1972.6)</f>
        <v>1972.6</v>
      </c>
      <c r="C88" s="16">
        <f>IFERROR(__xludf.DUMMYFUNCTION("""COMPUTED_VALUE"""),45867.6458333333)</f>
        <v>45867.6458333333</v>
      </c>
      <c r="D88" s="17">
        <f>IFERROR(__xludf.DUMMYFUNCTION("""COMPUTED_VALUE"""),1977.8)</f>
        <v>1977.8</v>
      </c>
      <c r="E88" s="16">
        <f>IFERROR(__xludf.DUMMYFUNCTION("""COMPUTED_VALUE"""),45867.6458333333)</f>
        <v>45867.6458333333</v>
      </c>
      <c r="F88" s="17">
        <f>IFERROR(__xludf.DUMMYFUNCTION("""COMPUTED_VALUE"""),847965)</f>
        <v>847965</v>
      </c>
      <c r="G88" s="16">
        <f>IFERROR(__xludf.DUMMYFUNCTION("""COMPUTED_VALUE"""),45867.6458333333)</f>
        <v>45867.6458333333</v>
      </c>
      <c r="H88" s="17">
        <f>IFERROR(__xludf.DUMMYFUNCTION("""COMPUTED_VALUE"""),1984.5)</f>
        <v>1984.5</v>
      </c>
      <c r="I88" s="16">
        <f>IFERROR(__xludf.DUMMYFUNCTION("""COMPUTED_VALUE"""),45867.6458333333)</f>
        <v>45867.6458333333</v>
      </c>
      <c r="J88" s="17">
        <f>IFERROR(__xludf.DUMMYFUNCTION("""COMPUTED_VALUE"""),1943.8)</f>
        <v>1943.8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IFERROR(__xludf.DUMMYFUNCTION("""COMPUTED_VALUE"""),1959.8)</f>
        <v>1959.8</v>
      </c>
      <c r="C89" s="16">
        <f>IFERROR(__xludf.DUMMYFUNCTION("""COMPUTED_VALUE"""),45868.6458333333)</f>
        <v>45868.6458333333</v>
      </c>
      <c r="D89" s="17">
        <f>IFERROR(__xludf.DUMMYFUNCTION("""COMPUTED_VALUE"""),1972.7)</f>
        <v>1972.7</v>
      </c>
      <c r="E89" s="16">
        <f>IFERROR(__xludf.DUMMYFUNCTION("""COMPUTED_VALUE"""),45868.6458333333)</f>
        <v>45868.6458333333</v>
      </c>
      <c r="F89" s="17">
        <f>IFERROR(__xludf.DUMMYFUNCTION("""COMPUTED_VALUE"""),932988)</f>
        <v>932988</v>
      </c>
      <c r="G89" s="16">
        <f>IFERROR(__xludf.DUMMYFUNCTION("""COMPUTED_VALUE"""),45868.6458333333)</f>
        <v>45868.6458333333</v>
      </c>
      <c r="H89" s="17">
        <f>IFERROR(__xludf.DUMMYFUNCTION("""COMPUTED_VALUE"""),1989.1)</f>
        <v>1989.1</v>
      </c>
      <c r="I89" s="16">
        <f>IFERROR(__xludf.DUMMYFUNCTION("""COMPUTED_VALUE"""),45868.6458333333)</f>
        <v>45868.6458333333</v>
      </c>
      <c r="J89" s="17">
        <f>IFERROR(__xludf.DUMMYFUNCTION("""COMPUTED_VALUE"""),1945.1)</f>
        <v>1945.1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IFERROR(__xludf.DUMMYFUNCTION("""COMPUTED_VALUE"""),1948)</f>
        <v>1948</v>
      </c>
      <c r="C90" s="16">
        <f>IFERROR(__xludf.DUMMYFUNCTION("""COMPUTED_VALUE"""),45869.6458333333)</f>
        <v>45869.6458333333</v>
      </c>
      <c r="D90" s="17">
        <f>IFERROR(__xludf.DUMMYFUNCTION("""COMPUTED_VALUE"""),1953.1)</f>
        <v>1953.1</v>
      </c>
      <c r="E90" s="16">
        <f>IFERROR(__xludf.DUMMYFUNCTION("""COMPUTED_VALUE"""),45869.6458333333)</f>
        <v>45869.6458333333</v>
      </c>
      <c r="F90" s="17">
        <f>IFERROR(__xludf.DUMMYFUNCTION("""COMPUTED_VALUE"""),985553)</f>
        <v>985553</v>
      </c>
      <c r="G90" s="16">
        <f>IFERROR(__xludf.DUMMYFUNCTION("""COMPUTED_VALUE"""),45869.6458333333)</f>
        <v>45869.6458333333</v>
      </c>
      <c r="H90" s="17">
        <f>IFERROR(__xludf.DUMMYFUNCTION("""COMPUTED_VALUE"""),1968.3)</f>
        <v>1968.3</v>
      </c>
      <c r="I90" s="16">
        <f>IFERROR(__xludf.DUMMYFUNCTION("""COMPUTED_VALUE"""),45869.6458333333)</f>
        <v>45869.6458333333</v>
      </c>
      <c r="J90" s="17">
        <f>IFERROR(__xludf.DUMMYFUNCTION("""COMPUTED_VALUE"""),1941.1)</f>
        <v>1941.1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IFERROR(__xludf.DUMMYFUNCTION("""COMPUTED_VALUE"""),1916.3)</f>
        <v>1916.3</v>
      </c>
      <c r="C91" s="16">
        <f>IFERROR(__xludf.DUMMYFUNCTION("""COMPUTED_VALUE"""),45870.6458333333)</f>
        <v>45870.6458333333</v>
      </c>
      <c r="D91" s="17">
        <f>IFERROR(__xludf.DUMMYFUNCTION("""COMPUTED_VALUE"""),1945)</f>
        <v>1945</v>
      </c>
      <c r="E91" s="16">
        <f>IFERROR(__xludf.DUMMYFUNCTION("""COMPUTED_VALUE"""),45870.6458333333)</f>
        <v>45870.6458333333</v>
      </c>
      <c r="F91" s="17">
        <f>IFERROR(__xludf.DUMMYFUNCTION("""COMPUTED_VALUE"""),836974)</f>
        <v>836974</v>
      </c>
      <c r="G91" s="16">
        <f>IFERROR(__xludf.DUMMYFUNCTION("""COMPUTED_VALUE"""),45870.6458333333)</f>
        <v>45870.6458333333</v>
      </c>
      <c r="H91" s="17">
        <f>IFERROR(__xludf.DUMMYFUNCTION("""COMPUTED_VALUE"""),1977.9)</f>
        <v>1977.9</v>
      </c>
      <c r="I91" s="16">
        <f>IFERROR(__xludf.DUMMYFUNCTION("""COMPUTED_VALUE"""),45870.6458333333)</f>
        <v>45870.6458333333</v>
      </c>
      <c r="J91" s="17">
        <f>IFERROR(__xludf.DUMMYFUNCTION("""COMPUTED_VALUE"""),1911.2)</f>
        <v>1911.2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IFERROR(__xludf.DUMMYFUNCTION("""COMPUTED_VALUE"""),1933.6)</f>
        <v>1933.6</v>
      </c>
      <c r="C92" s="16">
        <f>IFERROR(__xludf.DUMMYFUNCTION("""COMPUTED_VALUE"""),45873.6458333333)</f>
        <v>45873.6458333333</v>
      </c>
      <c r="D92" s="17">
        <f>IFERROR(__xludf.DUMMYFUNCTION("""COMPUTED_VALUE"""),1923)</f>
        <v>1923</v>
      </c>
      <c r="E92" s="16">
        <f>IFERROR(__xludf.DUMMYFUNCTION("""COMPUTED_VALUE"""),45873.6458333333)</f>
        <v>45873.6458333333</v>
      </c>
      <c r="F92" s="17">
        <f>IFERROR(__xludf.DUMMYFUNCTION("""COMPUTED_VALUE"""),982532)</f>
        <v>982532</v>
      </c>
      <c r="G92" s="16">
        <f>IFERROR(__xludf.DUMMYFUNCTION("""COMPUTED_VALUE"""),45873.6458333333)</f>
        <v>45873.6458333333</v>
      </c>
      <c r="H92" s="17">
        <f>IFERROR(__xludf.DUMMYFUNCTION("""COMPUTED_VALUE"""),1944.4)</f>
        <v>1944.4</v>
      </c>
      <c r="I92" s="16">
        <f>IFERROR(__xludf.DUMMYFUNCTION("""COMPUTED_VALUE"""),45873.6458333333)</f>
        <v>45873.6458333333</v>
      </c>
      <c r="J92" s="17">
        <f>IFERROR(__xludf.DUMMYFUNCTION("""COMPUTED_VALUE"""),1923)</f>
        <v>1923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IFERROR(__xludf.DUMMYFUNCTION("""COMPUTED_VALUE"""),1939.4)</f>
        <v>1939.4</v>
      </c>
      <c r="C93" s="16">
        <f>IFERROR(__xludf.DUMMYFUNCTION("""COMPUTED_VALUE"""),45874.6458333333)</f>
        <v>45874.6458333333</v>
      </c>
      <c r="D93" s="17">
        <f>IFERROR(__xludf.DUMMYFUNCTION("""COMPUTED_VALUE"""),1930.1)</f>
        <v>1930.1</v>
      </c>
      <c r="E93" s="16">
        <f>IFERROR(__xludf.DUMMYFUNCTION("""COMPUTED_VALUE"""),45874.6458333333)</f>
        <v>45874.6458333333</v>
      </c>
      <c r="F93" s="17">
        <f>IFERROR(__xludf.DUMMYFUNCTION("""COMPUTED_VALUE"""),1101680)</f>
        <v>1101680</v>
      </c>
      <c r="G93" s="16">
        <f>IFERROR(__xludf.DUMMYFUNCTION("""COMPUTED_VALUE"""),45874.6458333333)</f>
        <v>45874.6458333333</v>
      </c>
      <c r="H93" s="17">
        <f>IFERROR(__xludf.DUMMYFUNCTION("""COMPUTED_VALUE"""),1942.7)</f>
        <v>1942.7</v>
      </c>
      <c r="I93" s="16">
        <f>IFERROR(__xludf.DUMMYFUNCTION("""COMPUTED_VALUE"""),45874.6458333333)</f>
        <v>45874.6458333333</v>
      </c>
      <c r="J93" s="17">
        <f>IFERROR(__xludf.DUMMYFUNCTION("""COMPUTED_VALUE"""),1916)</f>
        <v>1916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IFERROR(__xludf.DUMMYFUNCTION("""COMPUTED_VALUE"""),1924)</f>
        <v>1924</v>
      </c>
      <c r="C94" s="16">
        <f>IFERROR(__xludf.DUMMYFUNCTION("""COMPUTED_VALUE"""),45875.6458333333)</f>
        <v>45875.6458333333</v>
      </c>
      <c r="D94" s="17">
        <f>IFERROR(__xludf.DUMMYFUNCTION("""COMPUTED_VALUE"""),1939.4)</f>
        <v>1939.4</v>
      </c>
      <c r="E94" s="16">
        <f>IFERROR(__xludf.DUMMYFUNCTION("""COMPUTED_VALUE"""),45875.6458333333)</f>
        <v>45875.6458333333</v>
      </c>
      <c r="F94" s="17">
        <f>IFERROR(__xludf.DUMMYFUNCTION("""COMPUTED_VALUE"""),875588)</f>
        <v>875588</v>
      </c>
      <c r="G94" s="16">
        <f>IFERROR(__xludf.DUMMYFUNCTION("""COMPUTED_VALUE"""),45875.6458333333)</f>
        <v>45875.6458333333</v>
      </c>
      <c r="H94" s="17">
        <f>IFERROR(__xludf.DUMMYFUNCTION("""COMPUTED_VALUE"""),1946.7)</f>
        <v>1946.7</v>
      </c>
      <c r="I94" s="16">
        <f>IFERROR(__xludf.DUMMYFUNCTION("""COMPUTED_VALUE"""),45875.6458333333)</f>
        <v>45875.6458333333</v>
      </c>
      <c r="J94" s="17">
        <f>IFERROR(__xludf.DUMMYFUNCTION("""COMPUTED_VALUE"""),1912.2)</f>
        <v>1912.2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IFERROR(__xludf.DUMMYFUNCTION("""COMPUTED_VALUE"""),1914)</f>
        <v>1914</v>
      </c>
      <c r="C95" s="16">
        <f>IFERROR(__xludf.DUMMYFUNCTION("""COMPUTED_VALUE"""),45876.6458333333)</f>
        <v>45876.6458333333</v>
      </c>
      <c r="D95" s="17">
        <f>IFERROR(__xludf.DUMMYFUNCTION("""COMPUTED_VALUE"""),1919.7)</f>
        <v>1919.7</v>
      </c>
      <c r="E95" s="16">
        <f>IFERROR(__xludf.DUMMYFUNCTION("""COMPUTED_VALUE"""),45876.6458333333)</f>
        <v>45876.6458333333</v>
      </c>
      <c r="F95" s="17">
        <f>IFERROR(__xludf.DUMMYFUNCTION("""COMPUTED_VALUE"""),905353)</f>
        <v>905353</v>
      </c>
      <c r="G95" s="16">
        <f>IFERROR(__xludf.DUMMYFUNCTION("""COMPUTED_VALUE"""),45876.6458333333)</f>
        <v>45876.6458333333</v>
      </c>
      <c r="H95" s="17">
        <f>IFERROR(__xludf.DUMMYFUNCTION("""COMPUTED_VALUE"""),1932.9)</f>
        <v>1932.9</v>
      </c>
      <c r="I95" s="16">
        <f>IFERROR(__xludf.DUMMYFUNCTION("""COMPUTED_VALUE"""),45876.6458333333)</f>
        <v>45876.6458333333</v>
      </c>
      <c r="J95" s="17">
        <f>IFERROR(__xludf.DUMMYFUNCTION("""COMPUTED_VALUE"""),1890.6)</f>
        <v>1890.6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IFERROR(__xludf.DUMMYFUNCTION("""COMPUTED_VALUE"""),1919.2)</f>
        <v>1919.2</v>
      </c>
      <c r="C96" s="16">
        <f>IFERROR(__xludf.DUMMYFUNCTION("""COMPUTED_VALUE"""),45877.6458333333)</f>
        <v>45877.6458333333</v>
      </c>
      <c r="D96" s="17">
        <f>IFERROR(__xludf.DUMMYFUNCTION("""COMPUTED_VALUE"""),1915)</f>
        <v>1915</v>
      </c>
      <c r="E96" s="16">
        <f>IFERROR(__xludf.DUMMYFUNCTION("""COMPUTED_VALUE"""),45877.6458333333)</f>
        <v>45877.6458333333</v>
      </c>
      <c r="F96" s="17">
        <f>IFERROR(__xludf.DUMMYFUNCTION("""COMPUTED_VALUE"""),507893)</f>
        <v>507893</v>
      </c>
      <c r="G96" s="16">
        <f>IFERROR(__xludf.DUMMYFUNCTION("""COMPUTED_VALUE"""),45877.6458333333)</f>
        <v>45877.6458333333</v>
      </c>
      <c r="H96" s="17">
        <f>IFERROR(__xludf.DUMMYFUNCTION("""COMPUTED_VALUE"""),1929.7)</f>
        <v>1929.7</v>
      </c>
      <c r="I96" s="16">
        <f>IFERROR(__xludf.DUMMYFUNCTION("""COMPUTED_VALUE"""),45877.6458333333)</f>
        <v>45877.6458333333</v>
      </c>
      <c r="J96" s="17">
        <f>IFERROR(__xludf.DUMMYFUNCTION("""COMPUTED_VALUE"""),1906.4)</f>
        <v>1906.4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IFERROR(__xludf.DUMMYFUNCTION("""COMPUTED_VALUE"""),1922.8)</f>
        <v>1922.8</v>
      </c>
      <c r="C97" s="16">
        <f>IFERROR(__xludf.DUMMYFUNCTION("""COMPUTED_VALUE"""),45880.6458333333)</f>
        <v>45880.6458333333</v>
      </c>
      <c r="D97" s="17">
        <f>IFERROR(__xludf.DUMMYFUNCTION("""COMPUTED_VALUE"""),1918)</f>
        <v>1918</v>
      </c>
      <c r="E97" s="16">
        <f>IFERROR(__xludf.DUMMYFUNCTION("""COMPUTED_VALUE"""),45880.6458333333)</f>
        <v>45880.6458333333</v>
      </c>
      <c r="F97" s="17">
        <f>IFERROR(__xludf.DUMMYFUNCTION("""COMPUTED_VALUE"""),1489228)</f>
        <v>1489228</v>
      </c>
      <c r="G97" s="16">
        <f>IFERROR(__xludf.DUMMYFUNCTION("""COMPUTED_VALUE"""),45880.6458333333)</f>
        <v>45880.6458333333</v>
      </c>
      <c r="H97" s="17">
        <f>IFERROR(__xludf.DUMMYFUNCTION("""COMPUTED_VALUE"""),1939.8)</f>
        <v>1939.8</v>
      </c>
      <c r="I97" s="16">
        <f>IFERROR(__xludf.DUMMYFUNCTION("""COMPUTED_VALUE"""),45880.6458333333)</f>
        <v>45880.6458333333</v>
      </c>
      <c r="J97" s="17">
        <f>IFERROR(__xludf.DUMMYFUNCTION("""COMPUTED_VALUE"""),1903.1)</f>
        <v>1903.1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IFERROR(__xludf.DUMMYFUNCTION("""COMPUTED_VALUE"""),1908)</f>
        <v>1908</v>
      </c>
      <c r="C98" s="16">
        <f>IFERROR(__xludf.DUMMYFUNCTION("""COMPUTED_VALUE"""),45881.6458333333)</f>
        <v>45881.6458333333</v>
      </c>
      <c r="D98" s="17">
        <f>IFERROR(__xludf.DUMMYFUNCTION("""COMPUTED_VALUE"""),1925)</f>
        <v>1925</v>
      </c>
      <c r="E98" s="16">
        <f>IFERROR(__xludf.DUMMYFUNCTION("""COMPUTED_VALUE"""),45881.6458333333)</f>
        <v>45881.6458333333</v>
      </c>
      <c r="F98" s="17">
        <f>IFERROR(__xludf.DUMMYFUNCTION("""COMPUTED_VALUE"""),899579)</f>
        <v>899579</v>
      </c>
      <c r="G98" s="16">
        <f>IFERROR(__xludf.DUMMYFUNCTION("""COMPUTED_VALUE"""),45881.6458333333)</f>
        <v>45881.6458333333</v>
      </c>
      <c r="H98" s="17">
        <f>IFERROR(__xludf.DUMMYFUNCTION("""COMPUTED_VALUE"""),1934.3)</f>
        <v>1934.3</v>
      </c>
      <c r="I98" s="16">
        <f>IFERROR(__xludf.DUMMYFUNCTION("""COMPUTED_VALUE"""),45881.6458333333)</f>
        <v>45881.6458333333</v>
      </c>
      <c r="J98" s="17">
        <f>IFERROR(__xludf.DUMMYFUNCTION("""COMPUTED_VALUE"""),1904)</f>
        <v>1904</v>
      </c>
      <c r="K98" s="3">
        <f t="shared" si="2"/>
        <v>0</v>
      </c>
      <c r="L98" s="3">
        <f t="shared" si="3"/>
        <v>1908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IFERROR(__xludf.DUMMYFUNCTION("""COMPUTED_VALUE"""),1914.4)</f>
        <v>1914.4</v>
      </c>
      <c r="C99" s="16">
        <f>IFERROR(__xludf.DUMMYFUNCTION("""COMPUTED_VALUE"""),45882.6458333333)</f>
        <v>45882.6458333333</v>
      </c>
      <c r="D99" s="17">
        <f>IFERROR(__xludf.DUMMYFUNCTION("""COMPUTED_VALUE"""),1914)</f>
        <v>1914</v>
      </c>
      <c r="E99" s="16">
        <f>IFERROR(__xludf.DUMMYFUNCTION("""COMPUTED_VALUE"""),45882.6458333333)</f>
        <v>45882.6458333333</v>
      </c>
      <c r="F99" s="17">
        <f>IFERROR(__xludf.DUMMYFUNCTION("""COMPUTED_VALUE"""),710014)</f>
        <v>710014</v>
      </c>
      <c r="G99" s="16">
        <f>IFERROR(__xludf.DUMMYFUNCTION("""COMPUTED_VALUE"""),45882.6458333333)</f>
        <v>45882.6458333333</v>
      </c>
      <c r="H99" s="17">
        <f>IFERROR(__xludf.DUMMYFUNCTION("""COMPUTED_VALUE"""),1920)</f>
        <v>1920</v>
      </c>
      <c r="I99" s="16">
        <f>IFERROR(__xludf.DUMMYFUNCTION("""COMPUTED_VALUE"""),45882.6458333333)</f>
        <v>45882.6458333333</v>
      </c>
      <c r="J99" s="17">
        <f>IFERROR(__xludf.DUMMYFUNCTION("""COMPUTED_VALUE"""),1892.9)</f>
        <v>1892.9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IFERROR(__xludf.DUMMYFUNCTION("""COMPUTED_VALUE"""),1925.1)</f>
        <v>1925.1</v>
      </c>
      <c r="C100" s="16">
        <f>IFERROR(__xludf.DUMMYFUNCTION("""COMPUTED_VALUE"""),45883.6458333333)</f>
        <v>45883.6458333333</v>
      </c>
      <c r="D100" s="17">
        <f>IFERROR(__xludf.DUMMYFUNCTION("""COMPUTED_VALUE"""),1914.4)</f>
        <v>1914.4</v>
      </c>
      <c r="E100" s="16">
        <f>IFERROR(__xludf.DUMMYFUNCTION("""COMPUTED_VALUE"""),45883.6458333333)</f>
        <v>45883.6458333333</v>
      </c>
      <c r="F100" s="17">
        <f>IFERROR(__xludf.DUMMYFUNCTION("""COMPUTED_VALUE"""),765742)</f>
        <v>765742</v>
      </c>
      <c r="G100" s="16">
        <f>IFERROR(__xludf.DUMMYFUNCTION("""COMPUTED_VALUE"""),45883.6458333333)</f>
        <v>45883.6458333333</v>
      </c>
      <c r="H100" s="17">
        <f>IFERROR(__xludf.DUMMYFUNCTION("""COMPUTED_VALUE"""),1939.1)</f>
        <v>1939.1</v>
      </c>
      <c r="I100" s="16">
        <f>IFERROR(__xludf.DUMMYFUNCTION("""COMPUTED_VALUE"""),45883.6458333333)</f>
        <v>45883.6458333333</v>
      </c>
      <c r="J100" s="17">
        <f>IFERROR(__xludf.DUMMYFUNCTION("""COMPUTED_VALUE"""),1912.5)</f>
        <v>1912.5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IFERROR(__xludf.DUMMYFUNCTION("""COMPUTED_VALUE"""),1993.5)</f>
        <v>1993.5</v>
      </c>
      <c r="C101" s="16">
        <f>IFERROR(__xludf.DUMMYFUNCTION("""COMPUTED_VALUE"""),45887.6458333333)</f>
        <v>45887.6458333333</v>
      </c>
      <c r="D101" s="17">
        <f>IFERROR(__xludf.DUMMYFUNCTION("""COMPUTED_VALUE"""),1950)</f>
        <v>1950</v>
      </c>
      <c r="E101" s="16">
        <f>IFERROR(__xludf.DUMMYFUNCTION("""COMPUTED_VALUE"""),45887.6458333333)</f>
        <v>45887.6458333333</v>
      </c>
      <c r="F101" s="17">
        <f>IFERROR(__xludf.DUMMYFUNCTION("""COMPUTED_VALUE"""),1473915)</f>
        <v>1473915</v>
      </c>
      <c r="G101" s="16">
        <f>IFERROR(__xludf.DUMMYFUNCTION("""COMPUTED_VALUE"""),45887.6458333333)</f>
        <v>45887.6458333333</v>
      </c>
      <c r="H101" s="17">
        <f>IFERROR(__xludf.DUMMYFUNCTION("""COMPUTED_VALUE"""),2017)</f>
        <v>2017</v>
      </c>
      <c r="I101" s="16">
        <f>IFERROR(__xludf.DUMMYFUNCTION("""COMPUTED_VALUE"""),45887.6458333333)</f>
        <v>45887.6458333333</v>
      </c>
      <c r="J101" s="17">
        <f>IFERROR(__xludf.DUMMYFUNCTION("""COMPUTED_VALUE"""),1950)</f>
        <v>1950</v>
      </c>
      <c r="K101" s="3">
        <f t="shared" si="2"/>
        <v>1993.5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IFERROR(__xludf.DUMMYFUNCTION("""COMPUTED_VALUE"""),1972.2)</f>
        <v>1972.2</v>
      </c>
      <c r="C102" s="16">
        <f>IFERROR(__xludf.DUMMYFUNCTION("""COMPUTED_VALUE"""),45888.6458333333)</f>
        <v>45888.6458333333</v>
      </c>
      <c r="D102" s="17">
        <f>IFERROR(__xludf.DUMMYFUNCTION("""COMPUTED_VALUE"""),1994)</f>
        <v>1994</v>
      </c>
      <c r="E102" s="16">
        <f>IFERROR(__xludf.DUMMYFUNCTION("""COMPUTED_VALUE"""),45888.6458333333)</f>
        <v>45888.6458333333</v>
      </c>
      <c r="F102" s="17">
        <f>IFERROR(__xludf.DUMMYFUNCTION("""COMPUTED_VALUE"""),1389770)</f>
        <v>1389770</v>
      </c>
      <c r="G102" s="16">
        <f>IFERROR(__xludf.DUMMYFUNCTION("""COMPUTED_VALUE"""),45888.6458333333)</f>
        <v>45888.6458333333</v>
      </c>
      <c r="H102" s="17">
        <f>IFERROR(__xludf.DUMMYFUNCTION("""COMPUTED_VALUE"""),1997.6)</f>
        <v>1997.6</v>
      </c>
      <c r="I102" s="16">
        <f>IFERROR(__xludf.DUMMYFUNCTION("""COMPUTED_VALUE"""),45888.6458333333)</f>
        <v>45888.6458333333</v>
      </c>
      <c r="J102" s="17">
        <f>IFERROR(__xludf.DUMMYFUNCTION("""COMPUTED_VALUE"""),1964.8)</f>
        <v>1964.8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IFERROR(__xludf.DUMMYFUNCTION("""COMPUTED_VALUE"""),1958.5)</f>
        <v>1958.5</v>
      </c>
      <c r="C103" s="16">
        <f>IFERROR(__xludf.DUMMYFUNCTION("""COMPUTED_VALUE"""),45889.6458333333)</f>
        <v>45889.6458333333</v>
      </c>
      <c r="D103" s="17">
        <f>IFERROR(__xludf.DUMMYFUNCTION("""COMPUTED_VALUE"""),1972.8)</f>
        <v>1972.8</v>
      </c>
      <c r="E103" s="16">
        <f>IFERROR(__xludf.DUMMYFUNCTION("""COMPUTED_VALUE"""),45889.6458333333)</f>
        <v>45889.6458333333</v>
      </c>
      <c r="F103" s="17">
        <f>IFERROR(__xludf.DUMMYFUNCTION("""COMPUTED_VALUE"""),1461680)</f>
        <v>1461680</v>
      </c>
      <c r="G103" s="16">
        <f>IFERROR(__xludf.DUMMYFUNCTION("""COMPUTED_VALUE"""),45889.6458333333)</f>
        <v>45889.6458333333</v>
      </c>
      <c r="H103" s="17">
        <f>IFERROR(__xludf.DUMMYFUNCTION("""COMPUTED_VALUE"""),1976.5)</f>
        <v>1976.5</v>
      </c>
      <c r="I103" s="16">
        <f>IFERROR(__xludf.DUMMYFUNCTION("""COMPUTED_VALUE"""),45889.6458333333)</f>
        <v>45889.6458333333</v>
      </c>
      <c r="J103" s="17">
        <f>IFERROR(__xludf.DUMMYFUNCTION("""COMPUTED_VALUE"""),1949.2)</f>
        <v>1949.2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IFERROR(__xludf.DUMMYFUNCTION("""COMPUTED_VALUE"""),1980)</f>
        <v>1980</v>
      </c>
      <c r="C104" s="16">
        <f>IFERROR(__xludf.DUMMYFUNCTION("""COMPUTED_VALUE"""),45890.6458333333)</f>
        <v>45890.6458333333</v>
      </c>
      <c r="D104" s="17">
        <f>IFERROR(__xludf.DUMMYFUNCTION("""COMPUTED_VALUE"""),1984)</f>
        <v>1984</v>
      </c>
      <c r="E104" s="16">
        <f>IFERROR(__xludf.DUMMYFUNCTION("""COMPUTED_VALUE"""),45890.6458333333)</f>
        <v>45890.6458333333</v>
      </c>
      <c r="F104" s="17">
        <f>IFERROR(__xludf.DUMMYFUNCTION("""COMPUTED_VALUE"""),2346236)</f>
        <v>2346236</v>
      </c>
      <c r="G104" s="16">
        <f>IFERROR(__xludf.DUMMYFUNCTION("""COMPUTED_VALUE"""),45890.6458333333)</f>
        <v>45890.6458333333</v>
      </c>
      <c r="H104" s="17">
        <f>IFERROR(__xludf.DUMMYFUNCTION("""COMPUTED_VALUE"""),1998)</f>
        <v>1998</v>
      </c>
      <c r="I104" s="16">
        <f>IFERROR(__xludf.DUMMYFUNCTION("""COMPUTED_VALUE"""),45890.6458333333)</f>
        <v>45890.6458333333</v>
      </c>
      <c r="J104" s="17">
        <f>IFERROR(__xludf.DUMMYFUNCTION("""COMPUTED_VALUE"""),1974.5)</f>
        <v>1974.5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IFERROR(__xludf.DUMMYFUNCTION("""COMPUTED_VALUE"""),1965.9)</f>
        <v>1965.9</v>
      </c>
      <c r="C105" s="16">
        <f>IFERROR(__xludf.DUMMYFUNCTION("""COMPUTED_VALUE"""),45891.6458333333)</f>
        <v>45891.6458333333</v>
      </c>
      <c r="D105" s="17">
        <f>IFERROR(__xludf.DUMMYFUNCTION("""COMPUTED_VALUE"""),1975)</f>
        <v>1975</v>
      </c>
      <c r="E105" s="16">
        <f>IFERROR(__xludf.DUMMYFUNCTION("""COMPUTED_VALUE"""),45891.6458333333)</f>
        <v>45891.6458333333</v>
      </c>
      <c r="F105" s="17">
        <f>IFERROR(__xludf.DUMMYFUNCTION("""COMPUTED_VALUE"""),709444)</f>
        <v>709444</v>
      </c>
      <c r="G105" s="16">
        <f>IFERROR(__xludf.DUMMYFUNCTION("""COMPUTED_VALUE"""),45891.6458333333)</f>
        <v>45891.6458333333</v>
      </c>
      <c r="H105" s="17">
        <f>IFERROR(__xludf.DUMMYFUNCTION("""COMPUTED_VALUE"""),1977.3)</f>
        <v>1977.3</v>
      </c>
      <c r="I105" s="16">
        <f>IFERROR(__xludf.DUMMYFUNCTION("""COMPUTED_VALUE"""),45891.6458333333)</f>
        <v>45891.6458333333</v>
      </c>
      <c r="J105" s="17">
        <f>IFERROR(__xludf.DUMMYFUNCTION("""COMPUTED_VALUE"""),1963.5)</f>
        <v>1963.5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IFERROR(__xludf.DUMMYFUNCTION("""COMPUTED_VALUE"""),1963.8)</f>
        <v>1963.8</v>
      </c>
      <c r="C106" s="16">
        <f>IFERROR(__xludf.DUMMYFUNCTION("""COMPUTED_VALUE"""),45894.6458333333)</f>
        <v>45894.6458333333</v>
      </c>
      <c r="D106" s="17">
        <f>IFERROR(__xludf.DUMMYFUNCTION("""COMPUTED_VALUE"""),1959.1)</f>
        <v>1959.1</v>
      </c>
      <c r="E106" s="16">
        <f>IFERROR(__xludf.DUMMYFUNCTION("""COMPUTED_VALUE"""),45894.6458333333)</f>
        <v>45894.6458333333</v>
      </c>
      <c r="F106" s="17">
        <f>IFERROR(__xludf.DUMMYFUNCTION("""COMPUTED_VALUE"""),869509)</f>
        <v>869509</v>
      </c>
      <c r="G106" s="16">
        <f>IFERROR(__xludf.DUMMYFUNCTION("""COMPUTED_VALUE"""),45894.6458333333)</f>
        <v>45894.6458333333</v>
      </c>
      <c r="H106" s="17">
        <f>IFERROR(__xludf.DUMMYFUNCTION("""COMPUTED_VALUE"""),1967.8)</f>
        <v>1967.8</v>
      </c>
      <c r="I106" s="16">
        <f>IFERROR(__xludf.DUMMYFUNCTION("""COMPUTED_VALUE"""),45894.6458333333)</f>
        <v>45894.6458333333</v>
      </c>
      <c r="J106" s="17">
        <f>IFERROR(__xludf.DUMMYFUNCTION("""COMPUTED_VALUE"""),1953)</f>
        <v>1953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IFERROR(__xludf.DUMMYFUNCTION("""COMPUTED_VALUE"""),1924.2)</f>
        <v>1924.2</v>
      </c>
      <c r="C107" s="16">
        <f>IFERROR(__xludf.DUMMYFUNCTION("""COMPUTED_VALUE"""),45895.6458333333)</f>
        <v>45895.6458333333</v>
      </c>
      <c r="D107" s="17">
        <f>IFERROR(__xludf.DUMMYFUNCTION("""COMPUTED_VALUE"""),1960)</f>
        <v>1960</v>
      </c>
      <c r="E107" s="16">
        <f>IFERROR(__xludf.DUMMYFUNCTION("""COMPUTED_VALUE"""),45895.6458333333)</f>
        <v>45895.6458333333</v>
      </c>
      <c r="F107" s="17">
        <f>IFERROR(__xludf.DUMMYFUNCTION("""COMPUTED_VALUE"""),1179819)</f>
        <v>1179819</v>
      </c>
      <c r="G107" s="16">
        <f>IFERROR(__xludf.DUMMYFUNCTION("""COMPUTED_VALUE"""),45895.6458333333)</f>
        <v>45895.6458333333</v>
      </c>
      <c r="H107" s="17">
        <f>IFERROR(__xludf.DUMMYFUNCTION("""COMPUTED_VALUE"""),1963.4)</f>
        <v>1963.4</v>
      </c>
      <c r="I107" s="16">
        <f>IFERROR(__xludf.DUMMYFUNCTION("""COMPUTED_VALUE"""),45895.6458333333)</f>
        <v>45895.6458333333</v>
      </c>
      <c r="J107" s="17">
        <f>IFERROR(__xludf.DUMMYFUNCTION("""COMPUTED_VALUE"""),1917.6)</f>
        <v>1917.6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IFERROR(__xludf.DUMMYFUNCTION("""COMPUTED_VALUE"""),1917.6)</f>
        <v>1917.6</v>
      </c>
      <c r="C108" s="16">
        <f>IFERROR(__xludf.DUMMYFUNCTION("""COMPUTED_VALUE"""),45897.6458333333)</f>
        <v>45897.6458333333</v>
      </c>
      <c r="D108" s="17">
        <f>IFERROR(__xludf.DUMMYFUNCTION("""COMPUTED_VALUE"""),1920)</f>
        <v>1920</v>
      </c>
      <c r="E108" s="16">
        <f>IFERROR(__xludf.DUMMYFUNCTION("""COMPUTED_VALUE"""),45897.6458333333)</f>
        <v>45897.6458333333</v>
      </c>
      <c r="F108" s="17">
        <f>IFERROR(__xludf.DUMMYFUNCTION("""COMPUTED_VALUE"""),985012)</f>
        <v>985012</v>
      </c>
      <c r="G108" s="16">
        <f>IFERROR(__xludf.DUMMYFUNCTION("""COMPUTED_VALUE"""),45897.6458333333)</f>
        <v>45897.6458333333</v>
      </c>
      <c r="H108" s="17">
        <f>IFERROR(__xludf.DUMMYFUNCTION("""COMPUTED_VALUE"""),1939.7)</f>
        <v>1939.7</v>
      </c>
      <c r="I108" s="16">
        <f>IFERROR(__xludf.DUMMYFUNCTION("""COMPUTED_VALUE"""),45897.6458333333)</f>
        <v>45897.6458333333</v>
      </c>
      <c r="J108" s="17">
        <f>IFERROR(__xludf.DUMMYFUNCTION("""COMPUTED_VALUE"""),1910.6)</f>
        <v>1910.6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IFERROR(__xludf.DUMMYFUNCTION("""COMPUTED_VALUE"""),1913.5)</f>
        <v>1913.5</v>
      </c>
      <c r="C109" s="16">
        <f>IFERROR(__xludf.DUMMYFUNCTION("""COMPUTED_VALUE"""),45898.6458333333)</f>
        <v>45898.6458333333</v>
      </c>
      <c r="D109" s="17">
        <f>IFERROR(__xludf.DUMMYFUNCTION("""COMPUTED_VALUE"""),1923.1)</f>
        <v>1923.1</v>
      </c>
      <c r="E109" s="16">
        <f>IFERROR(__xludf.DUMMYFUNCTION("""COMPUTED_VALUE"""),45898.6458333333)</f>
        <v>45898.6458333333</v>
      </c>
      <c r="F109" s="17">
        <f>IFERROR(__xludf.DUMMYFUNCTION("""COMPUTED_VALUE"""),735268)</f>
        <v>735268</v>
      </c>
      <c r="G109" s="16">
        <f>IFERROR(__xludf.DUMMYFUNCTION("""COMPUTED_VALUE"""),45898.6458333333)</f>
        <v>45898.6458333333</v>
      </c>
      <c r="H109" s="17">
        <f>IFERROR(__xludf.DUMMYFUNCTION("""COMPUTED_VALUE"""),1931.1)</f>
        <v>1931.1</v>
      </c>
      <c r="I109" s="16">
        <f>IFERROR(__xludf.DUMMYFUNCTION("""COMPUTED_VALUE"""),45898.6458333333)</f>
        <v>45898.6458333333</v>
      </c>
      <c r="J109" s="17">
        <f>IFERROR(__xludf.DUMMYFUNCTION("""COMPUTED_VALUE"""),1910)</f>
        <v>1910</v>
      </c>
      <c r="K109" s="3">
        <f t="shared" si="2"/>
        <v>0</v>
      </c>
      <c r="L109" s="3">
        <f t="shared" si="3"/>
        <v>1913.5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IFERROR(__xludf.DUMMYFUNCTION("""COMPUTED_VALUE"""),1943.5)</f>
        <v>1943.5</v>
      </c>
      <c r="C110" s="16">
        <f>IFERROR(__xludf.DUMMYFUNCTION("""COMPUTED_VALUE"""),45901.6458333333)</f>
        <v>45901.6458333333</v>
      </c>
      <c r="D110" s="17">
        <f>IFERROR(__xludf.DUMMYFUNCTION("""COMPUTED_VALUE"""),1918.9)</f>
        <v>1918.9</v>
      </c>
      <c r="E110" s="16">
        <f>IFERROR(__xludf.DUMMYFUNCTION("""COMPUTED_VALUE"""),45901.6458333333)</f>
        <v>45901.6458333333</v>
      </c>
      <c r="F110" s="17">
        <f>IFERROR(__xludf.DUMMYFUNCTION("""COMPUTED_VALUE"""),590079)</f>
        <v>590079</v>
      </c>
      <c r="G110" s="16">
        <f>IFERROR(__xludf.DUMMYFUNCTION("""COMPUTED_VALUE"""),45901.6458333333)</f>
        <v>45901.6458333333</v>
      </c>
      <c r="H110" s="17">
        <f>IFERROR(__xludf.DUMMYFUNCTION("""COMPUTED_VALUE"""),1946)</f>
        <v>1946</v>
      </c>
      <c r="I110" s="16">
        <f>IFERROR(__xludf.DUMMYFUNCTION("""COMPUTED_VALUE"""),45901.6458333333)</f>
        <v>45901.6458333333</v>
      </c>
      <c r="J110" s="17">
        <f>IFERROR(__xludf.DUMMYFUNCTION("""COMPUTED_VALUE"""),1913)</f>
        <v>1913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IFERROR(__xludf.DUMMYFUNCTION("""COMPUTED_VALUE"""),1955.9)</f>
        <v>1955.9</v>
      </c>
      <c r="C111" s="16">
        <f>IFERROR(__xludf.DUMMYFUNCTION("""COMPUTED_VALUE"""),45902.6458333333)</f>
        <v>45902.6458333333</v>
      </c>
      <c r="D111" s="17">
        <f>IFERROR(__xludf.DUMMYFUNCTION("""COMPUTED_VALUE"""),1945)</f>
        <v>1945</v>
      </c>
      <c r="E111" s="16">
        <f>IFERROR(__xludf.DUMMYFUNCTION("""COMPUTED_VALUE"""),45902.6458333333)</f>
        <v>45902.6458333333</v>
      </c>
      <c r="F111" s="17">
        <f>IFERROR(__xludf.DUMMYFUNCTION("""COMPUTED_VALUE"""),907972)</f>
        <v>907972</v>
      </c>
      <c r="G111" s="16">
        <f>IFERROR(__xludf.DUMMYFUNCTION("""COMPUTED_VALUE"""),45902.6458333333)</f>
        <v>45902.6458333333</v>
      </c>
      <c r="H111" s="17">
        <f>IFERROR(__xludf.DUMMYFUNCTION("""COMPUTED_VALUE"""),1958.7)</f>
        <v>1958.7</v>
      </c>
      <c r="I111" s="16">
        <f>IFERROR(__xludf.DUMMYFUNCTION("""COMPUTED_VALUE"""),45902.6458333333)</f>
        <v>45902.6458333333</v>
      </c>
      <c r="J111" s="17">
        <f>IFERROR(__xludf.DUMMYFUNCTION("""COMPUTED_VALUE"""),1938.6)</f>
        <v>1938.6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IFERROR(__xludf.DUMMYFUNCTION("""COMPUTED_VALUE"""),1966.1)</f>
        <v>1966.1</v>
      </c>
      <c r="C112" s="16">
        <f>IFERROR(__xludf.DUMMYFUNCTION("""COMPUTED_VALUE"""),45903.6458333333)</f>
        <v>45903.6458333333</v>
      </c>
      <c r="D112" s="17">
        <f>IFERROR(__xludf.DUMMYFUNCTION("""COMPUTED_VALUE"""),1950)</f>
        <v>1950</v>
      </c>
      <c r="E112" s="16">
        <f>IFERROR(__xludf.DUMMYFUNCTION("""COMPUTED_VALUE"""),45903.6458333333)</f>
        <v>45903.6458333333</v>
      </c>
      <c r="F112" s="17">
        <f>IFERROR(__xludf.DUMMYFUNCTION("""COMPUTED_VALUE"""),934230)</f>
        <v>934230</v>
      </c>
      <c r="G112" s="16">
        <f>IFERROR(__xludf.DUMMYFUNCTION("""COMPUTED_VALUE"""),45903.6458333333)</f>
        <v>45903.6458333333</v>
      </c>
      <c r="H112" s="17">
        <f>IFERROR(__xludf.DUMMYFUNCTION("""COMPUTED_VALUE"""),1972)</f>
        <v>1972</v>
      </c>
      <c r="I112" s="16">
        <f>IFERROR(__xludf.DUMMYFUNCTION("""COMPUTED_VALUE"""),45903.6458333333)</f>
        <v>45903.6458333333</v>
      </c>
      <c r="J112" s="17">
        <f>IFERROR(__xludf.DUMMYFUNCTION("""COMPUTED_VALUE"""),1950)</f>
        <v>1950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IFERROR(__xludf.DUMMYFUNCTION("""COMPUTED_VALUE"""),2002.2)</f>
        <v>2002.2</v>
      </c>
      <c r="C113" s="16">
        <f>IFERROR(__xludf.DUMMYFUNCTION("""COMPUTED_VALUE"""),45904.6458333333)</f>
        <v>45904.6458333333</v>
      </c>
      <c r="D113" s="17">
        <f>IFERROR(__xludf.DUMMYFUNCTION("""COMPUTED_VALUE"""),1985)</f>
        <v>1985</v>
      </c>
      <c r="E113" s="16">
        <f>IFERROR(__xludf.DUMMYFUNCTION("""COMPUTED_VALUE"""),45904.6458333333)</f>
        <v>45904.6458333333</v>
      </c>
      <c r="F113" s="17">
        <f>IFERROR(__xludf.DUMMYFUNCTION("""COMPUTED_VALUE"""),2459026)</f>
        <v>2459026</v>
      </c>
      <c r="G113" s="16">
        <f>IFERROR(__xludf.DUMMYFUNCTION("""COMPUTED_VALUE"""),45904.6458333333)</f>
        <v>45904.6458333333</v>
      </c>
      <c r="H113" s="17">
        <f>IFERROR(__xludf.DUMMYFUNCTION("""COMPUTED_VALUE"""),2033.8)</f>
        <v>2033.8</v>
      </c>
      <c r="I113" s="16">
        <f>IFERROR(__xludf.DUMMYFUNCTION("""COMPUTED_VALUE"""),45904.6458333333)</f>
        <v>45904.6458333333</v>
      </c>
      <c r="J113" s="17">
        <f>IFERROR(__xludf.DUMMYFUNCTION("""COMPUTED_VALUE"""),1971)</f>
        <v>1971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IFERROR(__xludf.DUMMYFUNCTION("""COMPUTED_VALUE"""),2014.4)</f>
        <v>2014.4</v>
      </c>
      <c r="C114" s="16">
        <f>IFERROR(__xludf.DUMMYFUNCTION("""COMPUTED_VALUE"""),45905.6458333333)</f>
        <v>45905.6458333333</v>
      </c>
      <c r="D114" s="17">
        <f>IFERROR(__xludf.DUMMYFUNCTION("""COMPUTED_VALUE"""),2013.9)</f>
        <v>2013.9</v>
      </c>
      <c r="E114" s="16">
        <f>IFERROR(__xludf.DUMMYFUNCTION("""COMPUTED_VALUE"""),45905.6458333333)</f>
        <v>45905.6458333333</v>
      </c>
      <c r="F114" s="17">
        <f>IFERROR(__xludf.DUMMYFUNCTION("""COMPUTED_VALUE"""),1077230)</f>
        <v>1077230</v>
      </c>
      <c r="G114" s="16">
        <f>IFERROR(__xludf.DUMMYFUNCTION("""COMPUTED_VALUE"""),45905.6458333333)</f>
        <v>45905.6458333333</v>
      </c>
      <c r="H114" s="17">
        <f>IFERROR(__xludf.DUMMYFUNCTION("""COMPUTED_VALUE"""),2023.8)</f>
        <v>2023.8</v>
      </c>
      <c r="I114" s="16">
        <f>IFERROR(__xludf.DUMMYFUNCTION("""COMPUTED_VALUE"""),45905.6458333333)</f>
        <v>45905.6458333333</v>
      </c>
      <c r="J114" s="17">
        <f>IFERROR(__xludf.DUMMYFUNCTION("""COMPUTED_VALUE"""),2002.1)</f>
        <v>2002.1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IFERROR(__xludf.DUMMYFUNCTION("""COMPUTED_VALUE"""),2008.4)</f>
        <v>2008.4</v>
      </c>
      <c r="C115" s="16">
        <f>IFERROR(__xludf.DUMMYFUNCTION("""COMPUTED_VALUE"""),45908.6458333333)</f>
        <v>45908.6458333333</v>
      </c>
      <c r="D115" s="17">
        <f>IFERROR(__xludf.DUMMYFUNCTION("""COMPUTED_VALUE"""),2014.4)</f>
        <v>2014.4</v>
      </c>
      <c r="E115" s="16">
        <f>IFERROR(__xludf.DUMMYFUNCTION("""COMPUTED_VALUE"""),45908.6458333333)</f>
        <v>45908.6458333333</v>
      </c>
      <c r="F115" s="17">
        <f>IFERROR(__xludf.DUMMYFUNCTION("""COMPUTED_VALUE"""),338055)</f>
        <v>338055</v>
      </c>
      <c r="G115" s="16">
        <f>IFERROR(__xludf.DUMMYFUNCTION("""COMPUTED_VALUE"""),45908.6458333333)</f>
        <v>45908.6458333333</v>
      </c>
      <c r="H115" s="17">
        <f>IFERROR(__xludf.DUMMYFUNCTION("""COMPUTED_VALUE"""),2026.4)</f>
        <v>2026.4</v>
      </c>
      <c r="I115" s="16">
        <f>IFERROR(__xludf.DUMMYFUNCTION("""COMPUTED_VALUE"""),45908.6458333333)</f>
        <v>45908.6458333333</v>
      </c>
      <c r="J115" s="17">
        <f>IFERROR(__xludf.DUMMYFUNCTION("""COMPUTED_VALUE"""),2006.1)</f>
        <v>2006.1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IFERROR(__xludf.DUMMYFUNCTION("""COMPUTED_VALUE"""),2025.3)</f>
        <v>2025.3</v>
      </c>
      <c r="C116" s="16">
        <f>IFERROR(__xludf.DUMMYFUNCTION("""COMPUTED_VALUE"""),45909.6458333333)</f>
        <v>45909.6458333333</v>
      </c>
      <c r="D116" s="17">
        <f>IFERROR(__xludf.DUMMYFUNCTION("""COMPUTED_VALUE"""),2012)</f>
        <v>2012</v>
      </c>
      <c r="E116" s="16">
        <f>IFERROR(__xludf.DUMMYFUNCTION("""COMPUTED_VALUE"""),45909.6458333333)</f>
        <v>45909.6458333333</v>
      </c>
      <c r="F116" s="17">
        <f>IFERROR(__xludf.DUMMYFUNCTION("""COMPUTED_VALUE"""),1240640)</f>
        <v>1240640</v>
      </c>
      <c r="G116" s="16">
        <f>IFERROR(__xludf.DUMMYFUNCTION("""COMPUTED_VALUE"""),45909.6458333333)</f>
        <v>45909.6458333333</v>
      </c>
      <c r="H116" s="17">
        <f>IFERROR(__xludf.DUMMYFUNCTION("""COMPUTED_VALUE"""),2039)</f>
        <v>2039</v>
      </c>
      <c r="I116" s="16">
        <f>IFERROR(__xludf.DUMMYFUNCTION("""COMPUTED_VALUE"""),45909.6458333333)</f>
        <v>45909.6458333333</v>
      </c>
      <c r="J116" s="17">
        <f>IFERROR(__xludf.DUMMYFUNCTION("""COMPUTED_VALUE"""),2012)</f>
        <v>2012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IFERROR(__xludf.DUMMYFUNCTION("""COMPUTED_VALUE"""),2038.2)</f>
        <v>2038.2</v>
      </c>
      <c r="C117" s="16">
        <f>IFERROR(__xludf.DUMMYFUNCTION("""COMPUTED_VALUE"""),45910.6458333333)</f>
        <v>45910.6458333333</v>
      </c>
      <c r="D117" s="17">
        <f>IFERROR(__xludf.DUMMYFUNCTION("""COMPUTED_VALUE"""),2035.1)</f>
        <v>2035.1</v>
      </c>
      <c r="E117" s="16">
        <f>IFERROR(__xludf.DUMMYFUNCTION("""COMPUTED_VALUE"""),45910.6458333333)</f>
        <v>45910.6458333333</v>
      </c>
      <c r="F117" s="17">
        <f>IFERROR(__xludf.DUMMYFUNCTION("""COMPUTED_VALUE"""),927634)</f>
        <v>927634</v>
      </c>
      <c r="G117" s="16">
        <f>IFERROR(__xludf.DUMMYFUNCTION("""COMPUTED_VALUE"""),45910.6458333333)</f>
        <v>45910.6458333333</v>
      </c>
      <c r="H117" s="17">
        <f>IFERROR(__xludf.DUMMYFUNCTION("""COMPUTED_VALUE"""),2047)</f>
        <v>2047</v>
      </c>
      <c r="I117" s="16">
        <f>IFERROR(__xludf.DUMMYFUNCTION("""COMPUTED_VALUE"""),45910.6458333333)</f>
        <v>45910.6458333333</v>
      </c>
      <c r="J117" s="17">
        <f>IFERROR(__xludf.DUMMYFUNCTION("""COMPUTED_VALUE"""),2026.6)</f>
        <v>2026.6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IFERROR(__xludf.DUMMYFUNCTION("""COMPUTED_VALUE"""),2037.8)</f>
        <v>2037.8</v>
      </c>
      <c r="C118" s="16">
        <f>IFERROR(__xludf.DUMMYFUNCTION("""COMPUTED_VALUE"""),45911.6458333333)</f>
        <v>45911.6458333333</v>
      </c>
      <c r="D118" s="17">
        <f>IFERROR(__xludf.DUMMYFUNCTION("""COMPUTED_VALUE"""),2038)</f>
        <v>2038</v>
      </c>
      <c r="E118" s="16">
        <f>IFERROR(__xludf.DUMMYFUNCTION("""COMPUTED_VALUE"""),45911.6458333333)</f>
        <v>45911.6458333333</v>
      </c>
      <c r="F118" s="17">
        <f>IFERROR(__xludf.DUMMYFUNCTION("""COMPUTED_VALUE"""),720797)</f>
        <v>720797</v>
      </c>
      <c r="G118" s="16">
        <f>IFERROR(__xludf.DUMMYFUNCTION("""COMPUTED_VALUE"""),45911.6458333333)</f>
        <v>45911.6458333333</v>
      </c>
      <c r="H118" s="17">
        <f>IFERROR(__xludf.DUMMYFUNCTION("""COMPUTED_VALUE"""),2048.8)</f>
        <v>2048.8</v>
      </c>
      <c r="I118" s="16">
        <f>IFERROR(__xludf.DUMMYFUNCTION("""COMPUTED_VALUE"""),45911.6458333333)</f>
        <v>45911.6458333333</v>
      </c>
      <c r="J118" s="17">
        <f>IFERROR(__xludf.DUMMYFUNCTION("""COMPUTED_VALUE"""),2028.4)</f>
        <v>2028.4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IFERROR(__xludf.DUMMYFUNCTION("""COMPUTED_VALUE"""),2081.5)</f>
        <v>2081.5</v>
      </c>
      <c r="C119" s="16">
        <f>IFERROR(__xludf.DUMMYFUNCTION("""COMPUTED_VALUE"""),45912.6458333333)</f>
        <v>45912.6458333333</v>
      </c>
      <c r="D119" s="17">
        <f>IFERROR(__xludf.DUMMYFUNCTION("""COMPUTED_VALUE"""),2036.1)</f>
        <v>2036.1</v>
      </c>
      <c r="E119" s="16">
        <f>IFERROR(__xludf.DUMMYFUNCTION("""COMPUTED_VALUE"""),45912.6458333333)</f>
        <v>45912.6458333333</v>
      </c>
      <c r="F119" s="17">
        <f>IFERROR(__xludf.DUMMYFUNCTION("""COMPUTED_VALUE"""),1546838)</f>
        <v>1546838</v>
      </c>
      <c r="G119" s="16">
        <f>IFERROR(__xludf.DUMMYFUNCTION("""COMPUTED_VALUE"""),45912.6458333333)</f>
        <v>45912.6458333333</v>
      </c>
      <c r="H119" s="17">
        <f>IFERROR(__xludf.DUMMYFUNCTION("""COMPUTED_VALUE"""),2089)</f>
        <v>2089</v>
      </c>
      <c r="I119" s="16">
        <f>IFERROR(__xludf.DUMMYFUNCTION("""COMPUTED_VALUE"""),45912.6458333333)</f>
        <v>45912.6458333333</v>
      </c>
      <c r="J119" s="17">
        <f>IFERROR(__xludf.DUMMYFUNCTION("""COMPUTED_VALUE"""),2034.3)</f>
        <v>2034.3</v>
      </c>
      <c r="K119" s="3">
        <f t="shared" si="2"/>
        <v>2081.5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IFERROR(__xludf.DUMMYFUNCTION("""COMPUTED_VALUE"""),2080)</f>
        <v>2080</v>
      </c>
      <c r="C120" s="16">
        <f>IFERROR(__xludf.DUMMYFUNCTION("""COMPUTED_VALUE"""),45915.6458333333)</f>
        <v>45915.6458333333</v>
      </c>
      <c r="D120" s="17">
        <f>IFERROR(__xludf.DUMMYFUNCTION("""COMPUTED_VALUE"""),2078)</f>
        <v>2078</v>
      </c>
      <c r="E120" s="16">
        <f>IFERROR(__xludf.DUMMYFUNCTION("""COMPUTED_VALUE"""),45915.6458333333)</f>
        <v>45915.6458333333</v>
      </c>
      <c r="F120" s="17">
        <f>IFERROR(__xludf.DUMMYFUNCTION("""COMPUTED_VALUE"""),1014957)</f>
        <v>1014957</v>
      </c>
      <c r="G120" s="16">
        <f>IFERROR(__xludf.DUMMYFUNCTION("""COMPUTED_VALUE"""),45915.6458333333)</f>
        <v>45915.6458333333</v>
      </c>
      <c r="H120" s="17">
        <f>IFERROR(__xludf.DUMMYFUNCTION("""COMPUTED_VALUE"""),2097)</f>
        <v>2097</v>
      </c>
      <c r="I120" s="16">
        <f>IFERROR(__xludf.DUMMYFUNCTION("""COMPUTED_VALUE"""),45915.6458333333)</f>
        <v>45915.6458333333</v>
      </c>
      <c r="J120" s="17">
        <f>IFERROR(__xludf.DUMMYFUNCTION("""COMPUTED_VALUE"""),2068)</f>
        <v>2068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IFERROR(__xludf.DUMMYFUNCTION("""COMPUTED_VALUE"""),2080.3)</f>
        <v>2080.3</v>
      </c>
      <c r="C121" s="16">
        <f>IFERROR(__xludf.DUMMYFUNCTION("""COMPUTED_VALUE"""),45916.6458333333)</f>
        <v>45916.6458333333</v>
      </c>
      <c r="D121" s="17">
        <f>IFERROR(__xludf.DUMMYFUNCTION("""COMPUTED_VALUE"""),2085)</f>
        <v>2085</v>
      </c>
      <c r="E121" s="16">
        <f>IFERROR(__xludf.DUMMYFUNCTION("""COMPUTED_VALUE"""),45916.6458333333)</f>
        <v>45916.6458333333</v>
      </c>
      <c r="F121" s="17">
        <f>IFERROR(__xludf.DUMMYFUNCTION("""COMPUTED_VALUE"""),928203)</f>
        <v>928203</v>
      </c>
      <c r="G121" s="16">
        <f>IFERROR(__xludf.DUMMYFUNCTION("""COMPUTED_VALUE"""),45916.6458333333)</f>
        <v>45916.6458333333</v>
      </c>
      <c r="H121" s="17">
        <f>IFERROR(__xludf.DUMMYFUNCTION("""COMPUTED_VALUE"""),2104.9)</f>
        <v>2104.9</v>
      </c>
      <c r="I121" s="16">
        <f>IFERROR(__xludf.DUMMYFUNCTION("""COMPUTED_VALUE"""),45916.6458333333)</f>
        <v>45916.6458333333</v>
      </c>
      <c r="J121" s="17">
        <f>IFERROR(__xludf.DUMMYFUNCTION("""COMPUTED_VALUE"""),2077.6)</f>
        <v>2077.6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IFERROR(__xludf.DUMMYFUNCTION("""COMPUTED_VALUE"""),2057)</f>
        <v>2057</v>
      </c>
      <c r="C122" s="16">
        <f>IFERROR(__xludf.DUMMYFUNCTION("""COMPUTED_VALUE"""),45917.6458333333)</f>
        <v>45917.6458333333</v>
      </c>
      <c r="D122" s="17">
        <f>IFERROR(__xludf.DUMMYFUNCTION("""COMPUTED_VALUE"""),2088)</f>
        <v>2088</v>
      </c>
      <c r="E122" s="16">
        <f>IFERROR(__xludf.DUMMYFUNCTION("""COMPUTED_VALUE"""),45917.6458333333)</f>
        <v>45917.6458333333</v>
      </c>
      <c r="F122" s="17">
        <f>IFERROR(__xludf.DUMMYFUNCTION("""COMPUTED_VALUE"""),1199866)</f>
        <v>1199866</v>
      </c>
      <c r="G122" s="16">
        <f>IFERROR(__xludf.DUMMYFUNCTION("""COMPUTED_VALUE"""),45917.6458333333)</f>
        <v>45917.6458333333</v>
      </c>
      <c r="H122" s="17">
        <f>IFERROR(__xludf.DUMMYFUNCTION("""COMPUTED_VALUE"""),2090)</f>
        <v>2090</v>
      </c>
      <c r="I122" s="16">
        <f>IFERROR(__xludf.DUMMYFUNCTION("""COMPUTED_VALUE"""),45917.6458333333)</f>
        <v>45917.6458333333</v>
      </c>
      <c r="J122" s="17">
        <f>IFERROR(__xludf.DUMMYFUNCTION("""COMPUTED_VALUE"""),2054.9)</f>
        <v>2054.9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IFERROR(__xludf.DUMMYFUNCTION("""COMPUTED_VALUE"""),2069.2)</f>
        <v>2069.2</v>
      </c>
      <c r="C123" s="16">
        <f>IFERROR(__xludf.DUMMYFUNCTION("""COMPUTED_VALUE"""),45918.6458333333)</f>
        <v>45918.6458333333</v>
      </c>
      <c r="D123" s="17">
        <f>IFERROR(__xludf.DUMMYFUNCTION("""COMPUTED_VALUE"""),2066)</f>
        <v>2066</v>
      </c>
      <c r="E123" s="16">
        <f>IFERROR(__xludf.DUMMYFUNCTION("""COMPUTED_VALUE"""),45918.6458333333)</f>
        <v>45918.6458333333</v>
      </c>
      <c r="F123" s="17">
        <f>IFERROR(__xludf.DUMMYFUNCTION("""COMPUTED_VALUE"""),904666)</f>
        <v>904666</v>
      </c>
      <c r="G123" s="16">
        <f>IFERROR(__xludf.DUMMYFUNCTION("""COMPUTED_VALUE"""),45918.6458333333)</f>
        <v>45918.6458333333</v>
      </c>
      <c r="H123" s="17">
        <f>IFERROR(__xludf.DUMMYFUNCTION("""COMPUTED_VALUE"""),2075)</f>
        <v>2075</v>
      </c>
      <c r="I123" s="16">
        <f>IFERROR(__xludf.DUMMYFUNCTION("""COMPUTED_VALUE"""),45918.6458333333)</f>
        <v>45918.6458333333</v>
      </c>
      <c r="J123" s="17">
        <f>IFERROR(__xludf.DUMMYFUNCTION("""COMPUTED_VALUE"""),2045)</f>
        <v>2045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IFERROR(__xludf.DUMMYFUNCTION("""COMPUTED_VALUE"""),2067.3)</f>
        <v>2067.3</v>
      </c>
      <c r="C124" s="16">
        <f>IFERROR(__xludf.DUMMYFUNCTION("""COMPUTED_VALUE"""),45919.6458333333)</f>
        <v>45919.6458333333</v>
      </c>
      <c r="D124" s="17">
        <f>IFERROR(__xludf.DUMMYFUNCTION("""COMPUTED_VALUE"""),2069)</f>
        <v>2069</v>
      </c>
      <c r="E124" s="16">
        <f>IFERROR(__xludf.DUMMYFUNCTION("""COMPUTED_VALUE"""),45919.6458333333)</f>
        <v>45919.6458333333</v>
      </c>
      <c r="F124" s="17">
        <f>IFERROR(__xludf.DUMMYFUNCTION("""COMPUTED_VALUE"""),1973991)</f>
        <v>1973991</v>
      </c>
      <c r="G124" s="16">
        <f>IFERROR(__xludf.DUMMYFUNCTION("""COMPUTED_VALUE"""),45919.6458333333)</f>
        <v>45919.6458333333</v>
      </c>
      <c r="H124" s="17">
        <f>IFERROR(__xludf.DUMMYFUNCTION("""COMPUTED_VALUE"""),2077.2)</f>
        <v>2077.2</v>
      </c>
      <c r="I124" s="16">
        <f>IFERROR(__xludf.DUMMYFUNCTION("""COMPUTED_VALUE"""),45919.6458333333)</f>
        <v>45919.6458333333</v>
      </c>
      <c r="J124" s="17">
        <f>IFERROR(__xludf.DUMMYFUNCTION("""COMPUTED_VALUE"""),2053.7)</f>
        <v>2053.7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IFERROR(__xludf.DUMMYFUNCTION("""COMPUTED_VALUE"""),2069.5)</f>
        <v>2069.5</v>
      </c>
      <c r="C125" s="16">
        <f>IFERROR(__xludf.DUMMYFUNCTION("""COMPUTED_VALUE"""),45922.6458333333)</f>
        <v>45922.6458333333</v>
      </c>
      <c r="D125" s="17">
        <f>IFERROR(__xludf.DUMMYFUNCTION("""COMPUTED_VALUE"""),2067.3)</f>
        <v>2067.3</v>
      </c>
      <c r="E125" s="16">
        <f>IFERROR(__xludf.DUMMYFUNCTION("""COMPUTED_VALUE"""),45922.6458333333)</f>
        <v>45922.6458333333</v>
      </c>
      <c r="F125" s="17">
        <f>IFERROR(__xludf.DUMMYFUNCTION("""COMPUTED_VALUE"""),633360)</f>
        <v>633360</v>
      </c>
      <c r="G125" s="16">
        <f>IFERROR(__xludf.DUMMYFUNCTION("""COMPUTED_VALUE"""),45922.6458333333)</f>
        <v>45922.6458333333</v>
      </c>
      <c r="H125" s="17">
        <f>IFERROR(__xludf.DUMMYFUNCTION("""COMPUTED_VALUE"""),2082)</f>
        <v>2082</v>
      </c>
      <c r="I125" s="16">
        <f>IFERROR(__xludf.DUMMYFUNCTION("""COMPUTED_VALUE"""),45922.6458333333)</f>
        <v>45922.6458333333</v>
      </c>
      <c r="J125" s="17">
        <f>IFERROR(__xludf.DUMMYFUNCTION("""COMPUTED_VALUE"""),2062.3)</f>
        <v>2062.3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IFERROR(__xludf.DUMMYFUNCTION("""COMPUTED_VALUE"""),2084.4)</f>
        <v>2084.4</v>
      </c>
      <c r="C126" s="16">
        <f>IFERROR(__xludf.DUMMYFUNCTION("""COMPUTED_VALUE"""),45923.6458333333)</f>
        <v>45923.6458333333</v>
      </c>
      <c r="D126" s="17">
        <f>IFERROR(__xludf.DUMMYFUNCTION("""COMPUTED_VALUE"""),2068)</f>
        <v>2068</v>
      </c>
      <c r="E126" s="16">
        <f>IFERROR(__xludf.DUMMYFUNCTION("""COMPUTED_VALUE"""),45923.6458333333)</f>
        <v>45923.6458333333</v>
      </c>
      <c r="F126" s="17">
        <f>IFERROR(__xludf.DUMMYFUNCTION("""COMPUTED_VALUE"""),1177350)</f>
        <v>1177350</v>
      </c>
      <c r="G126" s="16">
        <f>IFERROR(__xludf.DUMMYFUNCTION("""COMPUTED_VALUE"""),45923.6458333333)</f>
        <v>45923.6458333333</v>
      </c>
      <c r="H126" s="17">
        <f>IFERROR(__xludf.DUMMYFUNCTION("""COMPUTED_VALUE"""),2092)</f>
        <v>2092</v>
      </c>
      <c r="I126" s="16">
        <f>IFERROR(__xludf.DUMMYFUNCTION("""COMPUTED_VALUE"""),45923.6458333333)</f>
        <v>45923.6458333333</v>
      </c>
      <c r="J126" s="17">
        <f>IFERROR(__xludf.DUMMYFUNCTION("""COMPUTED_VALUE"""),2068)</f>
        <v>2068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IFERROR(__xludf.DUMMYFUNCTION("""COMPUTED_VALUE"""),2069.2)</f>
        <v>2069.2</v>
      </c>
      <c r="C127" s="16">
        <f>IFERROR(__xludf.DUMMYFUNCTION("""COMPUTED_VALUE"""),45924.6458333333)</f>
        <v>45924.6458333333</v>
      </c>
      <c r="D127" s="17">
        <f>IFERROR(__xludf.DUMMYFUNCTION("""COMPUTED_VALUE"""),2084.1)</f>
        <v>2084.1</v>
      </c>
      <c r="E127" s="16">
        <f>IFERROR(__xludf.DUMMYFUNCTION("""COMPUTED_VALUE"""),45924.6458333333)</f>
        <v>45924.6458333333</v>
      </c>
      <c r="F127" s="17">
        <f>IFERROR(__xludf.DUMMYFUNCTION("""COMPUTED_VALUE"""),602541)</f>
        <v>602541</v>
      </c>
      <c r="G127" s="16">
        <f>IFERROR(__xludf.DUMMYFUNCTION("""COMPUTED_VALUE"""),45924.6458333333)</f>
        <v>45924.6458333333</v>
      </c>
      <c r="H127" s="17">
        <f>IFERROR(__xludf.DUMMYFUNCTION("""COMPUTED_VALUE"""),2088.8)</f>
        <v>2088.8</v>
      </c>
      <c r="I127" s="16">
        <f>IFERROR(__xludf.DUMMYFUNCTION("""COMPUTED_VALUE"""),45924.6458333333)</f>
        <v>45924.6458333333</v>
      </c>
      <c r="J127" s="17">
        <f>IFERROR(__xludf.DUMMYFUNCTION("""COMPUTED_VALUE"""),2062.9)</f>
        <v>2062.9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IFERROR(__xludf.DUMMYFUNCTION("""COMPUTED_VALUE"""),2035.6)</f>
        <v>2035.6</v>
      </c>
      <c r="C128" s="16">
        <f>IFERROR(__xludf.DUMMYFUNCTION("""COMPUTED_VALUE"""),45925.6458333333)</f>
        <v>45925.6458333333</v>
      </c>
      <c r="D128" s="17">
        <f>IFERROR(__xludf.DUMMYFUNCTION("""COMPUTED_VALUE"""),2069.2)</f>
        <v>2069.2</v>
      </c>
      <c r="E128" s="16">
        <f>IFERROR(__xludf.DUMMYFUNCTION("""COMPUTED_VALUE"""),45925.6458333333)</f>
        <v>45925.6458333333</v>
      </c>
      <c r="F128" s="17">
        <f>IFERROR(__xludf.DUMMYFUNCTION("""COMPUTED_VALUE"""),952122)</f>
        <v>952122</v>
      </c>
      <c r="G128" s="16">
        <f>IFERROR(__xludf.DUMMYFUNCTION("""COMPUTED_VALUE"""),45925.6458333333)</f>
        <v>45925.6458333333</v>
      </c>
      <c r="H128" s="17">
        <f>IFERROR(__xludf.DUMMYFUNCTION("""COMPUTED_VALUE"""),2074)</f>
        <v>2074</v>
      </c>
      <c r="I128" s="16">
        <f>IFERROR(__xludf.DUMMYFUNCTION("""COMPUTED_VALUE"""),45925.6458333333)</f>
        <v>45925.6458333333</v>
      </c>
      <c r="J128" s="17">
        <f>IFERROR(__xludf.DUMMYFUNCTION("""COMPUTED_VALUE"""),2032.4)</f>
        <v>2032.4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IFERROR(__xludf.DUMMYFUNCTION("""COMPUTED_VALUE"""),2003.2)</f>
        <v>2003.2</v>
      </c>
      <c r="C129" s="16">
        <f>IFERROR(__xludf.DUMMYFUNCTION("""COMPUTED_VALUE"""),45926.6458333333)</f>
        <v>45926.6458333333</v>
      </c>
      <c r="D129" s="17">
        <f>IFERROR(__xludf.DUMMYFUNCTION("""COMPUTED_VALUE"""),2040)</f>
        <v>2040</v>
      </c>
      <c r="E129" s="16">
        <f>IFERROR(__xludf.DUMMYFUNCTION("""COMPUTED_VALUE"""),45926.6458333333)</f>
        <v>45926.6458333333</v>
      </c>
      <c r="F129" s="17">
        <f>IFERROR(__xludf.DUMMYFUNCTION("""COMPUTED_VALUE"""),754739)</f>
        <v>754739</v>
      </c>
      <c r="G129" s="16">
        <f>IFERROR(__xludf.DUMMYFUNCTION("""COMPUTED_VALUE"""),45926.6458333333)</f>
        <v>45926.6458333333</v>
      </c>
      <c r="H129" s="17">
        <f>IFERROR(__xludf.DUMMYFUNCTION("""COMPUTED_VALUE"""),2047.5)</f>
        <v>2047.5</v>
      </c>
      <c r="I129" s="16">
        <f>IFERROR(__xludf.DUMMYFUNCTION("""COMPUTED_VALUE"""),45926.6458333333)</f>
        <v>45926.6458333333</v>
      </c>
      <c r="J129" s="17">
        <f>IFERROR(__xludf.DUMMYFUNCTION("""COMPUTED_VALUE"""),1996.1)</f>
        <v>1996.1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106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""price"")"),172.05)</f>
        <v>172.05</v>
      </c>
      <c r="I3" s="22" t="s">
        <v>269</v>
      </c>
      <c r="J3" s="23">
        <f>IFERROR(__xludf.DUMMYFUNCTION("GOOGLEFINANCE(L3, ""volume"")"),8760356)</f>
        <v>8760356</v>
      </c>
      <c r="K3" s="24" t="s">
        <v>270</v>
      </c>
      <c r="L3" s="25" t="str">
        <f>Mastersheet!B49</f>
        <v>GAIL</v>
      </c>
      <c r="M3" s="26">
        <f>IFERROR(__xludf.DUMMYFUNCTION("""COMPUTED_VALUE"""),45926.6458333333)</f>
        <v>45926.6458333333</v>
      </c>
      <c r="N3" s="27">
        <f>IFERROR(__xludf.DUMMYFUNCTION("""COMPUTED_VALUE"""),172.02)</f>
        <v>172.02</v>
      </c>
      <c r="O3" s="26">
        <f>IFERROR(__xludf.DUMMYFUNCTION("""COMPUTED_VALUE"""),45926.6458333333)</f>
        <v>45926.6458333333</v>
      </c>
      <c r="P3" s="27">
        <f>IFERROR(__xludf.DUMMYFUNCTION("""COMPUTED_VALUE"""),174.31)</f>
        <v>174.31</v>
      </c>
      <c r="Q3" s="16">
        <f>IFERROR(__xludf.DUMMYFUNCTION("""COMPUTED_VALUE"""),45926.6458333333)</f>
        <v>45926.6458333333</v>
      </c>
      <c r="R3" s="17">
        <f>IFERROR(__xludf.DUMMYFUNCTION("""COMPUTED_VALUE"""),174.55)</f>
        <v>174.55</v>
      </c>
      <c r="S3" s="16">
        <f>IFERROR(__xludf.DUMMYFUNCTION("""COMPUTED_VALUE"""),45926.6458333333)</f>
        <v>45926.6458333333</v>
      </c>
      <c r="T3" s="17">
        <f>IFERROR(__xludf.DUMMYFUNCTION("""COMPUTED_VALUE"""),171.3)</f>
        <v>171.3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IFERROR(__xludf.DUMMYFUNCTION("""COMPUTED_VALUE"""),181.56)</f>
        <v>181.56</v>
      </c>
      <c r="C5" s="14">
        <f>IFERROR(__xludf.DUMMYFUNCTION("""COMPUTED_VALUE"""),45743.6458333333)</f>
        <v>45743.6458333333</v>
      </c>
      <c r="D5" s="15">
        <f>IFERROR(__xludf.DUMMYFUNCTION("""COMPUTED_VALUE"""),172.9)</f>
        <v>172.9</v>
      </c>
      <c r="E5" s="14">
        <f>IFERROR(__xludf.DUMMYFUNCTION("""COMPUTED_VALUE"""),45743.6458333333)</f>
        <v>45743.6458333333</v>
      </c>
      <c r="F5" s="15">
        <f>IFERROR(__xludf.DUMMYFUNCTION("""COMPUTED_VALUE"""),23986738)</f>
        <v>23986738</v>
      </c>
      <c r="G5" s="14">
        <f>IFERROR(__xludf.DUMMYFUNCTION("""COMPUTED_VALUE"""),45743.6458333333)</f>
        <v>45743.6458333333</v>
      </c>
      <c r="H5" s="15">
        <f>IFERROR(__xludf.DUMMYFUNCTION("""COMPUTED_VALUE"""),182.25)</f>
        <v>182.25</v>
      </c>
      <c r="I5" s="30">
        <f>IFERROR(__xludf.DUMMYFUNCTION("""COMPUTED_VALUE"""),45743.6458333333)</f>
        <v>45743.6458333333</v>
      </c>
      <c r="J5" s="3">
        <f>IFERROR(__xludf.DUMMYFUNCTION("""COMPUTED_VALUE"""),172.2)</f>
        <v>172.2</v>
      </c>
      <c r="K5" s="5"/>
      <c r="L5" s="5"/>
      <c r="M5" s="3">
        <f t="array" ref="M5">INDEX(K11:K124,MATCH(SMALL(ABS(K11:K124-H3),1),ABS(K11:K124-H3),0))</f>
        <v>178.12</v>
      </c>
      <c r="N5" s="3">
        <f t="array" ref="N5">INDEX(K11:K124,MATCH(SMALL(ABS(K11:K124-H3),2),ABS(K11:K124-H3),0))</f>
        <v>179.29</v>
      </c>
      <c r="O5" s="3">
        <f t="array" ref="O5">INDEX(L11:L124,MATCH(SMALL(ABS(L11:L124-H3),1),ABS(L11:L124-H3),0))</f>
        <v>172.37</v>
      </c>
      <c r="P5" s="3">
        <f t="array" ref="P5">INDEX(L11:L124,MATCH(SMALL(ABS(L11:L124-H3),2),ABS(L11:L124-H3),0))</f>
        <v>171.22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181.89</v>
      </c>
      <c r="T5" s="17">
        <f ca="1">IF(AND(H3&gt;=Mastersheet!I3*S5,H3&lt;=Mastersheet!J3*S5),1,0)</f>
        <v>0</v>
      </c>
      <c r="U5" s="36">
        <f>(N3+P3)/2</f>
        <v>173.165</v>
      </c>
      <c r="V5" s="17">
        <f>(N3+P3+R3+T3)/4</f>
        <v>173.045</v>
      </c>
      <c r="W5" s="17">
        <f>IF(V5&gt;U5,1,0)</f>
        <v>0</v>
      </c>
      <c r="X5" s="17">
        <f>IF(V5&gt;U5,0,1)</f>
        <v>1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IFERROR(__xludf.DUMMYFUNCTION("""COMPUTED_VALUE"""),183.04)</f>
        <v>183.04</v>
      </c>
      <c r="C6" s="16">
        <f>IFERROR(__xludf.DUMMYFUNCTION("""COMPUTED_VALUE"""),45744.6458333333)</f>
        <v>45744.6458333333</v>
      </c>
      <c r="D6" s="17">
        <f>IFERROR(__xludf.DUMMYFUNCTION("""COMPUTED_VALUE"""),181.99)</f>
        <v>181.99</v>
      </c>
      <c r="E6" s="16">
        <f>IFERROR(__xludf.DUMMYFUNCTION("""COMPUTED_VALUE"""),45744.6458333333)</f>
        <v>45744.6458333333</v>
      </c>
      <c r="F6" s="17">
        <f>IFERROR(__xludf.DUMMYFUNCTION("""COMPUTED_VALUE"""),22871476)</f>
        <v>22871476</v>
      </c>
      <c r="G6" s="16">
        <f>IFERROR(__xludf.DUMMYFUNCTION("""COMPUTED_VALUE"""),45744.6458333333)</f>
        <v>45744.6458333333</v>
      </c>
      <c r="H6" s="17">
        <f>IFERROR(__xludf.DUMMYFUNCTION("""COMPUTED_VALUE"""),184.95)</f>
        <v>184.95</v>
      </c>
      <c r="I6" s="16">
        <f>IFERROR(__xludf.DUMMYFUNCTION("""COMPUTED_VALUE"""),45744.6458333333)</f>
        <v>45744.6458333333</v>
      </c>
      <c r="J6" s="17">
        <f>IFERROR(__xludf.DUMMYFUNCTION("""COMPUTED_VALUE"""),180.81)</f>
        <v>180.81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1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IFERROR(__xludf.DUMMYFUNCTION("""COMPUTED_VALUE"""),186.32)</f>
        <v>186.32</v>
      </c>
      <c r="C7" s="16">
        <f>IFERROR(__xludf.DUMMYFUNCTION("""COMPUTED_VALUE"""),45748.6458333333)</f>
        <v>45748.6458333333</v>
      </c>
      <c r="D7" s="17">
        <f>IFERROR(__xludf.DUMMYFUNCTION("""COMPUTED_VALUE"""),181.59)</f>
        <v>181.59</v>
      </c>
      <c r="E7" s="16">
        <f>IFERROR(__xludf.DUMMYFUNCTION("""COMPUTED_VALUE"""),45748.6458333333)</f>
        <v>45748.6458333333</v>
      </c>
      <c r="F7" s="17">
        <f>IFERROR(__xludf.DUMMYFUNCTION("""COMPUTED_VALUE"""),16373953)</f>
        <v>16373953</v>
      </c>
      <c r="G7" s="16">
        <f>IFERROR(__xludf.DUMMYFUNCTION("""COMPUTED_VALUE"""),45748.6458333333)</f>
        <v>45748.6458333333</v>
      </c>
      <c r="H7" s="17">
        <f>IFERROR(__xludf.DUMMYFUNCTION("""COMPUTED_VALUE"""),186.95)</f>
        <v>186.95</v>
      </c>
      <c r="I7" s="16">
        <f>IFERROR(__xludf.DUMMYFUNCTION("""COMPUTED_VALUE"""),45748.6458333333)</f>
        <v>45748.6458333333</v>
      </c>
      <c r="J7" s="17">
        <f>IFERROR(__xludf.DUMMYFUNCTION("""COMPUTED_VALUE"""),179.67)</f>
        <v>179.67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IFERROR(__xludf.DUMMYFUNCTION("""COMPUTED_VALUE"""),184.06)</f>
        <v>184.06</v>
      </c>
      <c r="C8" s="16">
        <f>IFERROR(__xludf.DUMMYFUNCTION("""COMPUTED_VALUE"""),45749.6458333333)</f>
        <v>45749.6458333333</v>
      </c>
      <c r="D8" s="17">
        <f>IFERROR(__xludf.DUMMYFUNCTION("""COMPUTED_VALUE"""),184.05)</f>
        <v>184.05</v>
      </c>
      <c r="E8" s="16">
        <f>IFERROR(__xludf.DUMMYFUNCTION("""COMPUTED_VALUE"""),45749.6458333333)</f>
        <v>45749.6458333333</v>
      </c>
      <c r="F8" s="17">
        <f>IFERROR(__xludf.DUMMYFUNCTION("""COMPUTED_VALUE"""),13488498)</f>
        <v>13488498</v>
      </c>
      <c r="G8" s="16">
        <f>IFERROR(__xludf.DUMMYFUNCTION("""COMPUTED_VALUE"""),45749.6458333333)</f>
        <v>45749.6458333333</v>
      </c>
      <c r="H8" s="17">
        <f>IFERROR(__xludf.DUMMYFUNCTION("""COMPUTED_VALUE"""),186.9)</f>
        <v>186.9</v>
      </c>
      <c r="I8" s="16">
        <f>IFERROR(__xludf.DUMMYFUNCTION("""COMPUTED_VALUE"""),45749.6458333333)</f>
        <v>45749.6458333333</v>
      </c>
      <c r="J8" s="17">
        <f>IFERROR(__xludf.DUMMYFUNCTION("""COMPUTED_VALUE"""),183.1)</f>
        <v>183.1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IFERROR(__xludf.DUMMYFUNCTION("""COMPUTED_VALUE"""),183.63)</f>
        <v>183.63</v>
      </c>
      <c r="C9" s="16">
        <f>IFERROR(__xludf.DUMMYFUNCTION("""COMPUTED_VALUE"""),45750.6458333333)</f>
        <v>45750.6458333333</v>
      </c>
      <c r="D9" s="17">
        <f>IFERROR(__xludf.DUMMYFUNCTION("""COMPUTED_VALUE"""),182.06)</f>
        <v>182.06</v>
      </c>
      <c r="E9" s="16">
        <f>IFERROR(__xludf.DUMMYFUNCTION("""COMPUTED_VALUE"""),45750.6458333333)</f>
        <v>45750.6458333333</v>
      </c>
      <c r="F9" s="17">
        <f>IFERROR(__xludf.DUMMYFUNCTION("""COMPUTED_VALUE"""),10999215)</f>
        <v>10999215</v>
      </c>
      <c r="G9" s="16">
        <f>IFERROR(__xludf.DUMMYFUNCTION("""COMPUTED_VALUE"""),45750.6458333333)</f>
        <v>45750.6458333333</v>
      </c>
      <c r="H9" s="17">
        <f>IFERROR(__xludf.DUMMYFUNCTION("""COMPUTED_VALUE"""),185.5)</f>
        <v>185.5</v>
      </c>
      <c r="I9" s="16">
        <f>IFERROR(__xludf.DUMMYFUNCTION("""COMPUTED_VALUE"""),45750.6458333333)</f>
        <v>45750.6458333333</v>
      </c>
      <c r="J9" s="17">
        <f>IFERROR(__xludf.DUMMYFUNCTION("""COMPUTED_VALUE"""),180.57)</f>
        <v>180.57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IFERROR(__xludf.DUMMYFUNCTION("""COMPUTED_VALUE"""),176.61)</f>
        <v>176.61</v>
      </c>
      <c r="C10" s="16">
        <f>IFERROR(__xludf.DUMMYFUNCTION("""COMPUTED_VALUE"""),45751.6458333333)</f>
        <v>45751.6458333333</v>
      </c>
      <c r="D10" s="17">
        <f>IFERROR(__xludf.DUMMYFUNCTION("""COMPUTED_VALUE"""),183.2)</f>
        <v>183.2</v>
      </c>
      <c r="E10" s="16">
        <f>IFERROR(__xludf.DUMMYFUNCTION("""COMPUTED_VALUE"""),45751.6458333333)</f>
        <v>45751.6458333333</v>
      </c>
      <c r="F10" s="17">
        <f>IFERROR(__xludf.DUMMYFUNCTION("""COMPUTED_VALUE"""),12870074)</f>
        <v>12870074</v>
      </c>
      <c r="G10" s="16">
        <f>IFERROR(__xludf.DUMMYFUNCTION("""COMPUTED_VALUE"""),45751.6458333333)</f>
        <v>45751.6458333333</v>
      </c>
      <c r="H10" s="17">
        <f>IFERROR(__xludf.DUMMYFUNCTION("""COMPUTED_VALUE"""),184.9)</f>
        <v>184.9</v>
      </c>
      <c r="I10" s="16">
        <f>IFERROR(__xludf.DUMMYFUNCTION("""COMPUTED_VALUE"""),45751.6458333333)</f>
        <v>45751.6458333333</v>
      </c>
      <c r="J10" s="17">
        <f>IFERROR(__xludf.DUMMYFUNCTION("""COMPUTED_VALUE"""),175)</f>
        <v>175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IFERROR(__xludf.DUMMYFUNCTION("""COMPUTED_VALUE"""),169.03)</f>
        <v>169.03</v>
      </c>
      <c r="C11" s="16">
        <f>IFERROR(__xludf.DUMMYFUNCTION("""COMPUTED_VALUE"""),45754.6458333333)</f>
        <v>45754.6458333333</v>
      </c>
      <c r="D11" s="17">
        <f>IFERROR(__xludf.DUMMYFUNCTION("""COMPUTED_VALUE"""),159.8)</f>
        <v>159.8</v>
      </c>
      <c r="E11" s="16">
        <f>IFERROR(__xludf.DUMMYFUNCTION("""COMPUTED_VALUE"""),45754.6458333333)</f>
        <v>45754.6458333333</v>
      </c>
      <c r="F11" s="17">
        <f>IFERROR(__xludf.DUMMYFUNCTION("""COMPUTED_VALUE"""),14675014)</f>
        <v>14675014</v>
      </c>
      <c r="G11" s="16">
        <f>IFERROR(__xludf.DUMMYFUNCTION("""COMPUTED_VALUE"""),45754.6458333333)</f>
        <v>45754.6458333333</v>
      </c>
      <c r="H11" s="17">
        <f>IFERROR(__xludf.DUMMYFUNCTION("""COMPUTED_VALUE"""),171.7)</f>
        <v>171.7</v>
      </c>
      <c r="I11" s="16">
        <f>IFERROR(__xludf.DUMMYFUNCTION("""COMPUTED_VALUE"""),45754.6458333333)</f>
        <v>45754.6458333333</v>
      </c>
      <c r="J11" s="17">
        <f>IFERROR(__xludf.DUMMYFUNCTION("""COMPUTED_VALUE"""),159.61)</f>
        <v>159.61</v>
      </c>
      <c r="K11" s="3">
        <f t="shared" ref="K11:K125" si="2">IF(B11=MAX(B5:B17),B11,0)</f>
        <v>0</v>
      </c>
      <c r="L11" s="3">
        <f t="shared" ref="L11:L125" si="3">IF(B11=MIN(B5:B17),B11,0)</f>
        <v>0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IFERROR(__xludf.DUMMYFUNCTION("""COMPUTED_VALUE"""),172.57)</f>
        <v>172.57</v>
      </c>
      <c r="C12" s="16">
        <f>IFERROR(__xludf.DUMMYFUNCTION("""COMPUTED_VALUE"""),45755.6458333333)</f>
        <v>45755.6458333333</v>
      </c>
      <c r="D12" s="17">
        <f>IFERROR(__xludf.DUMMYFUNCTION("""COMPUTED_VALUE"""),174.42)</f>
        <v>174.42</v>
      </c>
      <c r="E12" s="16">
        <f>IFERROR(__xludf.DUMMYFUNCTION("""COMPUTED_VALUE"""),45755.6458333333)</f>
        <v>45755.6458333333</v>
      </c>
      <c r="F12" s="17">
        <f>IFERROR(__xludf.DUMMYFUNCTION("""COMPUTED_VALUE"""),11262619)</f>
        <v>11262619</v>
      </c>
      <c r="G12" s="16">
        <f>IFERROR(__xludf.DUMMYFUNCTION("""COMPUTED_VALUE"""),45755.6458333333)</f>
        <v>45755.6458333333</v>
      </c>
      <c r="H12" s="17">
        <f>IFERROR(__xludf.DUMMYFUNCTION("""COMPUTED_VALUE"""),177.43)</f>
        <v>177.43</v>
      </c>
      <c r="I12" s="16">
        <f>IFERROR(__xludf.DUMMYFUNCTION("""COMPUTED_VALUE"""),45755.6458333333)</f>
        <v>45755.6458333333</v>
      </c>
      <c r="J12" s="17">
        <f>IFERROR(__xludf.DUMMYFUNCTION("""COMPUTED_VALUE"""),169.69)</f>
        <v>169.69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IFERROR(__xludf.DUMMYFUNCTION("""COMPUTED_VALUE"""),168.86)</f>
        <v>168.86</v>
      </c>
      <c r="C13" s="16">
        <f>IFERROR(__xludf.DUMMYFUNCTION("""COMPUTED_VALUE"""),45756.6458333333)</f>
        <v>45756.6458333333</v>
      </c>
      <c r="D13" s="17">
        <f>IFERROR(__xludf.DUMMYFUNCTION("""COMPUTED_VALUE"""),172.8)</f>
        <v>172.8</v>
      </c>
      <c r="E13" s="16">
        <f>IFERROR(__xludf.DUMMYFUNCTION("""COMPUTED_VALUE"""),45756.6458333333)</f>
        <v>45756.6458333333</v>
      </c>
      <c r="F13" s="17">
        <f>IFERROR(__xludf.DUMMYFUNCTION("""COMPUTED_VALUE"""),8093175)</f>
        <v>8093175</v>
      </c>
      <c r="G13" s="16">
        <f>IFERROR(__xludf.DUMMYFUNCTION("""COMPUTED_VALUE"""),45756.6458333333)</f>
        <v>45756.6458333333</v>
      </c>
      <c r="H13" s="17">
        <f>IFERROR(__xludf.DUMMYFUNCTION("""COMPUTED_VALUE"""),173.57)</f>
        <v>173.57</v>
      </c>
      <c r="I13" s="16">
        <f>IFERROR(__xludf.DUMMYFUNCTION("""COMPUTED_VALUE"""),45756.6458333333)</f>
        <v>45756.6458333333</v>
      </c>
      <c r="J13" s="17">
        <f>IFERROR(__xludf.DUMMYFUNCTION("""COMPUTED_VALUE"""),167.42)</f>
        <v>167.42</v>
      </c>
      <c r="K13" s="3">
        <f t="shared" si="2"/>
        <v>0</v>
      </c>
      <c r="L13" s="3">
        <f t="shared" si="3"/>
        <v>168.86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IFERROR(__xludf.DUMMYFUNCTION("""COMPUTED_VALUE"""),171.71)</f>
        <v>171.71</v>
      </c>
      <c r="C14" s="16">
        <f>IFERROR(__xludf.DUMMYFUNCTION("""COMPUTED_VALUE"""),45758.6458333333)</f>
        <v>45758.6458333333</v>
      </c>
      <c r="D14" s="17">
        <f>IFERROR(__xludf.DUMMYFUNCTION("""COMPUTED_VALUE"""),173.02)</f>
        <v>173.02</v>
      </c>
      <c r="E14" s="16">
        <f>IFERROR(__xludf.DUMMYFUNCTION("""COMPUTED_VALUE"""),45758.6458333333)</f>
        <v>45758.6458333333</v>
      </c>
      <c r="F14" s="17">
        <f>IFERROR(__xludf.DUMMYFUNCTION("""COMPUTED_VALUE"""),11757223)</f>
        <v>11757223</v>
      </c>
      <c r="G14" s="16">
        <f>IFERROR(__xludf.DUMMYFUNCTION("""COMPUTED_VALUE"""),45758.6458333333)</f>
        <v>45758.6458333333</v>
      </c>
      <c r="H14" s="17">
        <f>IFERROR(__xludf.DUMMYFUNCTION("""COMPUTED_VALUE"""),173.37)</f>
        <v>173.37</v>
      </c>
      <c r="I14" s="16">
        <f>IFERROR(__xludf.DUMMYFUNCTION("""COMPUTED_VALUE"""),45758.6458333333)</f>
        <v>45758.6458333333</v>
      </c>
      <c r="J14" s="17">
        <f>IFERROR(__xludf.DUMMYFUNCTION("""COMPUTED_VALUE"""),169.31)</f>
        <v>169.31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IFERROR(__xludf.DUMMYFUNCTION("""COMPUTED_VALUE"""),178.99)</f>
        <v>178.99</v>
      </c>
      <c r="C15" s="16">
        <f>IFERROR(__xludf.DUMMYFUNCTION("""COMPUTED_VALUE"""),45762.6458333333)</f>
        <v>45762.6458333333</v>
      </c>
      <c r="D15" s="17">
        <f>IFERROR(__xludf.DUMMYFUNCTION("""COMPUTED_VALUE"""),176.69)</f>
        <v>176.69</v>
      </c>
      <c r="E15" s="16">
        <f>IFERROR(__xludf.DUMMYFUNCTION("""COMPUTED_VALUE"""),45762.6458333333)</f>
        <v>45762.6458333333</v>
      </c>
      <c r="F15" s="17">
        <f>IFERROR(__xludf.DUMMYFUNCTION("""COMPUTED_VALUE"""),15842566)</f>
        <v>15842566</v>
      </c>
      <c r="G15" s="16">
        <f>IFERROR(__xludf.DUMMYFUNCTION("""COMPUTED_VALUE"""),45762.6458333333)</f>
        <v>45762.6458333333</v>
      </c>
      <c r="H15" s="17">
        <f>IFERROR(__xludf.DUMMYFUNCTION("""COMPUTED_VALUE"""),180.76)</f>
        <v>180.76</v>
      </c>
      <c r="I15" s="16">
        <f>IFERROR(__xludf.DUMMYFUNCTION("""COMPUTED_VALUE"""),45762.6458333333)</f>
        <v>45762.6458333333</v>
      </c>
      <c r="J15" s="17">
        <f>IFERROR(__xludf.DUMMYFUNCTION("""COMPUTED_VALUE"""),174.88)</f>
        <v>174.88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IFERROR(__xludf.DUMMYFUNCTION("""COMPUTED_VALUE"""),184.7)</f>
        <v>184.7</v>
      </c>
      <c r="C16" s="16">
        <f>IFERROR(__xludf.DUMMYFUNCTION("""COMPUTED_VALUE"""),45763.6458333333)</f>
        <v>45763.6458333333</v>
      </c>
      <c r="D16" s="17">
        <f>IFERROR(__xludf.DUMMYFUNCTION("""COMPUTED_VALUE"""),178)</f>
        <v>178</v>
      </c>
      <c r="E16" s="16">
        <f>IFERROR(__xludf.DUMMYFUNCTION("""COMPUTED_VALUE"""),45763.6458333333)</f>
        <v>45763.6458333333</v>
      </c>
      <c r="F16" s="17">
        <f>IFERROR(__xludf.DUMMYFUNCTION("""COMPUTED_VALUE"""),20404245)</f>
        <v>20404245</v>
      </c>
      <c r="G16" s="16">
        <f>IFERROR(__xludf.DUMMYFUNCTION("""COMPUTED_VALUE"""),45763.6458333333)</f>
        <v>45763.6458333333</v>
      </c>
      <c r="H16" s="17">
        <f>IFERROR(__xludf.DUMMYFUNCTION("""COMPUTED_VALUE"""),185)</f>
        <v>185</v>
      </c>
      <c r="I16" s="16">
        <f>IFERROR(__xludf.DUMMYFUNCTION("""COMPUTED_VALUE"""),45763.6458333333)</f>
        <v>45763.6458333333</v>
      </c>
      <c r="J16" s="17">
        <f>IFERROR(__xludf.DUMMYFUNCTION("""COMPUTED_VALUE"""),176.31)</f>
        <v>176.31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IFERROR(__xludf.DUMMYFUNCTION("""COMPUTED_VALUE"""),186.99)</f>
        <v>186.99</v>
      </c>
      <c r="C17" s="16">
        <f>IFERROR(__xludf.DUMMYFUNCTION("""COMPUTED_VALUE"""),45764.6458333333)</f>
        <v>45764.6458333333</v>
      </c>
      <c r="D17" s="17">
        <f>IFERROR(__xludf.DUMMYFUNCTION("""COMPUTED_VALUE"""),184.7)</f>
        <v>184.7</v>
      </c>
      <c r="E17" s="16">
        <f>IFERROR(__xludf.DUMMYFUNCTION("""COMPUTED_VALUE"""),45764.6458333333)</f>
        <v>45764.6458333333</v>
      </c>
      <c r="F17" s="17">
        <f>IFERROR(__xludf.DUMMYFUNCTION("""COMPUTED_VALUE"""),19477011)</f>
        <v>19477011</v>
      </c>
      <c r="G17" s="16">
        <f>IFERROR(__xludf.DUMMYFUNCTION("""COMPUTED_VALUE"""),45764.6458333333)</f>
        <v>45764.6458333333</v>
      </c>
      <c r="H17" s="17">
        <f>IFERROR(__xludf.DUMMYFUNCTION("""COMPUTED_VALUE"""),188.7)</f>
        <v>188.7</v>
      </c>
      <c r="I17" s="16">
        <f>IFERROR(__xludf.DUMMYFUNCTION("""COMPUTED_VALUE"""),45764.6458333333)</f>
        <v>45764.6458333333</v>
      </c>
      <c r="J17" s="17">
        <f>IFERROR(__xludf.DUMMYFUNCTION("""COMPUTED_VALUE"""),183.81)</f>
        <v>183.81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IFERROR(__xludf.DUMMYFUNCTION("""COMPUTED_VALUE"""),195.32)</f>
        <v>195.32</v>
      </c>
      <c r="C18" s="16">
        <f>IFERROR(__xludf.DUMMYFUNCTION("""COMPUTED_VALUE"""),45768.6458333333)</f>
        <v>45768.6458333333</v>
      </c>
      <c r="D18" s="17">
        <f>IFERROR(__xludf.DUMMYFUNCTION("""COMPUTED_VALUE"""),190.5)</f>
        <v>190.5</v>
      </c>
      <c r="E18" s="16">
        <f>IFERROR(__xludf.DUMMYFUNCTION("""COMPUTED_VALUE"""),45768.6458333333)</f>
        <v>45768.6458333333</v>
      </c>
      <c r="F18" s="17">
        <f>IFERROR(__xludf.DUMMYFUNCTION("""COMPUTED_VALUE"""),31364829)</f>
        <v>31364829</v>
      </c>
      <c r="G18" s="16">
        <f>IFERROR(__xludf.DUMMYFUNCTION("""COMPUTED_VALUE"""),45768.6458333333)</f>
        <v>45768.6458333333</v>
      </c>
      <c r="H18" s="17">
        <f>IFERROR(__xludf.DUMMYFUNCTION("""COMPUTED_VALUE"""),197)</f>
        <v>197</v>
      </c>
      <c r="I18" s="16">
        <f>IFERROR(__xludf.DUMMYFUNCTION("""COMPUTED_VALUE"""),45768.6458333333)</f>
        <v>45768.6458333333</v>
      </c>
      <c r="J18" s="17">
        <f>IFERROR(__xludf.DUMMYFUNCTION("""COMPUTED_VALUE"""),188.59)</f>
        <v>188.59</v>
      </c>
      <c r="K18" s="3">
        <f t="shared" si="2"/>
        <v>195.32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IFERROR(__xludf.DUMMYFUNCTION("""COMPUTED_VALUE"""),193.24)</f>
        <v>193.24</v>
      </c>
      <c r="C19" s="16">
        <f>IFERROR(__xludf.DUMMYFUNCTION("""COMPUTED_VALUE"""),45769.6458333333)</f>
        <v>45769.6458333333</v>
      </c>
      <c r="D19" s="17">
        <f>IFERROR(__xludf.DUMMYFUNCTION("""COMPUTED_VALUE"""),196.11)</f>
        <v>196.11</v>
      </c>
      <c r="E19" s="16">
        <f>IFERROR(__xludf.DUMMYFUNCTION("""COMPUTED_VALUE"""),45769.6458333333)</f>
        <v>45769.6458333333</v>
      </c>
      <c r="F19" s="17">
        <f>IFERROR(__xludf.DUMMYFUNCTION("""COMPUTED_VALUE"""),15312211)</f>
        <v>15312211</v>
      </c>
      <c r="G19" s="16">
        <f>IFERROR(__xludf.DUMMYFUNCTION("""COMPUTED_VALUE"""),45769.6458333333)</f>
        <v>45769.6458333333</v>
      </c>
      <c r="H19" s="17">
        <f>IFERROR(__xludf.DUMMYFUNCTION("""COMPUTED_VALUE"""),196.7)</f>
        <v>196.7</v>
      </c>
      <c r="I19" s="16">
        <f>IFERROR(__xludf.DUMMYFUNCTION("""COMPUTED_VALUE"""),45769.6458333333)</f>
        <v>45769.6458333333</v>
      </c>
      <c r="J19" s="17">
        <f>IFERROR(__xludf.DUMMYFUNCTION("""COMPUTED_VALUE"""),192.79)</f>
        <v>192.79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IFERROR(__xludf.DUMMYFUNCTION("""COMPUTED_VALUE"""),193.5)</f>
        <v>193.5</v>
      </c>
      <c r="C20" s="16">
        <f>IFERROR(__xludf.DUMMYFUNCTION("""COMPUTED_VALUE"""),45770.6458333333)</f>
        <v>45770.6458333333</v>
      </c>
      <c r="D20" s="17">
        <f>IFERROR(__xludf.DUMMYFUNCTION("""COMPUTED_VALUE"""),194.29)</f>
        <v>194.29</v>
      </c>
      <c r="E20" s="16">
        <f>IFERROR(__xludf.DUMMYFUNCTION("""COMPUTED_VALUE"""),45770.6458333333)</f>
        <v>45770.6458333333</v>
      </c>
      <c r="F20" s="17">
        <f>IFERROR(__xludf.DUMMYFUNCTION("""COMPUTED_VALUE"""),8545702)</f>
        <v>8545702</v>
      </c>
      <c r="G20" s="16">
        <f>IFERROR(__xludf.DUMMYFUNCTION("""COMPUTED_VALUE"""),45770.6458333333)</f>
        <v>45770.6458333333</v>
      </c>
      <c r="H20" s="17">
        <f>IFERROR(__xludf.DUMMYFUNCTION("""COMPUTED_VALUE"""),194.8)</f>
        <v>194.8</v>
      </c>
      <c r="I20" s="16">
        <f>IFERROR(__xludf.DUMMYFUNCTION("""COMPUTED_VALUE"""),45770.6458333333)</f>
        <v>45770.6458333333</v>
      </c>
      <c r="J20" s="17">
        <f>IFERROR(__xludf.DUMMYFUNCTION("""COMPUTED_VALUE"""),189.9)</f>
        <v>189.9</v>
      </c>
      <c r="K20" s="3">
        <f t="shared" si="2"/>
        <v>0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IFERROR(__xludf.DUMMYFUNCTION("""COMPUTED_VALUE"""),193.24)</f>
        <v>193.24</v>
      </c>
      <c r="C21" s="16">
        <f>IFERROR(__xludf.DUMMYFUNCTION("""COMPUTED_VALUE"""),45771.6458333333)</f>
        <v>45771.6458333333</v>
      </c>
      <c r="D21" s="17">
        <f>IFERROR(__xludf.DUMMYFUNCTION("""COMPUTED_VALUE"""),192.21)</f>
        <v>192.21</v>
      </c>
      <c r="E21" s="16">
        <f>IFERROR(__xludf.DUMMYFUNCTION("""COMPUTED_VALUE"""),45771.6458333333)</f>
        <v>45771.6458333333</v>
      </c>
      <c r="F21" s="17">
        <f>IFERROR(__xludf.DUMMYFUNCTION("""COMPUTED_VALUE"""),12332917)</f>
        <v>12332917</v>
      </c>
      <c r="G21" s="16">
        <f>IFERROR(__xludf.DUMMYFUNCTION("""COMPUTED_VALUE"""),45771.6458333333)</f>
        <v>45771.6458333333</v>
      </c>
      <c r="H21" s="17">
        <f>IFERROR(__xludf.DUMMYFUNCTION("""COMPUTED_VALUE"""),194.28)</f>
        <v>194.28</v>
      </c>
      <c r="I21" s="16">
        <f>IFERROR(__xludf.DUMMYFUNCTION("""COMPUTED_VALUE"""),45771.6458333333)</f>
        <v>45771.6458333333</v>
      </c>
      <c r="J21" s="17">
        <f>IFERROR(__xludf.DUMMYFUNCTION("""COMPUTED_VALUE"""),191.9)</f>
        <v>191.9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IFERROR(__xludf.DUMMYFUNCTION("""COMPUTED_VALUE"""),186.74)</f>
        <v>186.74</v>
      </c>
      <c r="C22" s="16">
        <f>IFERROR(__xludf.DUMMYFUNCTION("""COMPUTED_VALUE"""),45772.6458333333)</f>
        <v>45772.6458333333</v>
      </c>
      <c r="D22" s="17">
        <f>IFERROR(__xludf.DUMMYFUNCTION("""COMPUTED_VALUE"""),193)</f>
        <v>193</v>
      </c>
      <c r="E22" s="16">
        <f>IFERROR(__xludf.DUMMYFUNCTION("""COMPUTED_VALUE"""),45772.6458333333)</f>
        <v>45772.6458333333</v>
      </c>
      <c r="F22" s="17">
        <f>IFERROR(__xludf.DUMMYFUNCTION("""COMPUTED_VALUE"""),9791154)</f>
        <v>9791154</v>
      </c>
      <c r="G22" s="16">
        <f>IFERROR(__xludf.DUMMYFUNCTION("""COMPUTED_VALUE"""),45772.6458333333)</f>
        <v>45772.6458333333</v>
      </c>
      <c r="H22" s="17">
        <f>IFERROR(__xludf.DUMMYFUNCTION("""COMPUTED_VALUE"""),194.67)</f>
        <v>194.67</v>
      </c>
      <c r="I22" s="16">
        <f>IFERROR(__xludf.DUMMYFUNCTION("""COMPUTED_VALUE"""),45772.6458333333)</f>
        <v>45772.6458333333</v>
      </c>
      <c r="J22" s="17">
        <f>IFERROR(__xludf.DUMMYFUNCTION("""COMPUTED_VALUE"""),184.88)</f>
        <v>184.88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IFERROR(__xludf.DUMMYFUNCTION("""COMPUTED_VALUE"""),189.32)</f>
        <v>189.32</v>
      </c>
      <c r="C23" s="16">
        <f>IFERROR(__xludf.DUMMYFUNCTION("""COMPUTED_VALUE"""),45775.6458333333)</f>
        <v>45775.6458333333</v>
      </c>
      <c r="D23" s="17">
        <f>IFERROR(__xludf.DUMMYFUNCTION("""COMPUTED_VALUE"""),185.99)</f>
        <v>185.99</v>
      </c>
      <c r="E23" s="16">
        <f>IFERROR(__xludf.DUMMYFUNCTION("""COMPUTED_VALUE"""),45775.6458333333)</f>
        <v>45775.6458333333</v>
      </c>
      <c r="F23" s="17">
        <f>IFERROR(__xludf.DUMMYFUNCTION("""COMPUTED_VALUE"""),8332481)</f>
        <v>8332481</v>
      </c>
      <c r="G23" s="16">
        <f>IFERROR(__xludf.DUMMYFUNCTION("""COMPUTED_VALUE"""),45775.6458333333)</f>
        <v>45775.6458333333</v>
      </c>
      <c r="H23" s="17">
        <f>IFERROR(__xludf.DUMMYFUNCTION("""COMPUTED_VALUE"""),191.1)</f>
        <v>191.1</v>
      </c>
      <c r="I23" s="16">
        <f>IFERROR(__xludf.DUMMYFUNCTION("""COMPUTED_VALUE"""),45775.6458333333)</f>
        <v>45775.6458333333</v>
      </c>
      <c r="J23" s="17">
        <f>IFERROR(__xludf.DUMMYFUNCTION("""COMPUTED_VALUE"""),185.84)</f>
        <v>185.84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IFERROR(__xludf.DUMMYFUNCTION("""COMPUTED_VALUE"""),189.6)</f>
        <v>189.6</v>
      </c>
      <c r="C24" s="16">
        <f>IFERROR(__xludf.DUMMYFUNCTION("""COMPUTED_VALUE"""),45776.6458333333)</f>
        <v>45776.6458333333</v>
      </c>
      <c r="D24" s="17">
        <f>IFERROR(__xludf.DUMMYFUNCTION("""COMPUTED_VALUE"""),189.37)</f>
        <v>189.37</v>
      </c>
      <c r="E24" s="16">
        <f>IFERROR(__xludf.DUMMYFUNCTION("""COMPUTED_VALUE"""),45776.6458333333)</f>
        <v>45776.6458333333</v>
      </c>
      <c r="F24" s="17">
        <f>IFERROR(__xludf.DUMMYFUNCTION("""COMPUTED_VALUE"""),6147630)</f>
        <v>6147630</v>
      </c>
      <c r="G24" s="16">
        <f>IFERROR(__xludf.DUMMYFUNCTION("""COMPUTED_VALUE"""),45776.6458333333)</f>
        <v>45776.6458333333</v>
      </c>
      <c r="H24" s="17">
        <f>IFERROR(__xludf.DUMMYFUNCTION("""COMPUTED_VALUE"""),193.19)</f>
        <v>193.19</v>
      </c>
      <c r="I24" s="16">
        <f>IFERROR(__xludf.DUMMYFUNCTION("""COMPUTED_VALUE"""),45776.6458333333)</f>
        <v>45776.6458333333</v>
      </c>
      <c r="J24" s="17">
        <f>IFERROR(__xludf.DUMMYFUNCTION("""COMPUTED_VALUE"""),188.9)</f>
        <v>188.9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IFERROR(__xludf.DUMMYFUNCTION("""COMPUTED_VALUE"""),189.09)</f>
        <v>189.09</v>
      </c>
      <c r="C25" s="16">
        <f>IFERROR(__xludf.DUMMYFUNCTION("""COMPUTED_VALUE"""),45777.6458333333)</f>
        <v>45777.6458333333</v>
      </c>
      <c r="D25" s="17">
        <f>IFERROR(__xludf.DUMMYFUNCTION("""COMPUTED_VALUE"""),189.15)</f>
        <v>189.15</v>
      </c>
      <c r="E25" s="16">
        <f>IFERROR(__xludf.DUMMYFUNCTION("""COMPUTED_VALUE"""),45777.6458333333)</f>
        <v>45777.6458333333</v>
      </c>
      <c r="F25" s="17">
        <f>IFERROR(__xludf.DUMMYFUNCTION("""COMPUTED_VALUE"""),11049144)</f>
        <v>11049144</v>
      </c>
      <c r="G25" s="16">
        <f>IFERROR(__xludf.DUMMYFUNCTION("""COMPUTED_VALUE"""),45777.6458333333)</f>
        <v>45777.6458333333</v>
      </c>
      <c r="H25" s="17">
        <f>IFERROR(__xludf.DUMMYFUNCTION("""COMPUTED_VALUE"""),192.3)</f>
        <v>192.3</v>
      </c>
      <c r="I25" s="16">
        <f>IFERROR(__xludf.DUMMYFUNCTION("""COMPUTED_VALUE"""),45777.6458333333)</f>
        <v>45777.6458333333</v>
      </c>
      <c r="J25" s="17">
        <f>IFERROR(__xludf.DUMMYFUNCTION("""COMPUTED_VALUE"""),187.41)</f>
        <v>187.41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IFERROR(__xludf.DUMMYFUNCTION("""COMPUTED_VALUE"""),189.54)</f>
        <v>189.54</v>
      </c>
      <c r="C26" s="16">
        <f>IFERROR(__xludf.DUMMYFUNCTION("""COMPUTED_VALUE"""),45779.6458333333)</f>
        <v>45779.6458333333</v>
      </c>
      <c r="D26" s="17">
        <f>IFERROR(__xludf.DUMMYFUNCTION("""COMPUTED_VALUE"""),190)</f>
        <v>190</v>
      </c>
      <c r="E26" s="16">
        <f>IFERROR(__xludf.DUMMYFUNCTION("""COMPUTED_VALUE"""),45779.6458333333)</f>
        <v>45779.6458333333</v>
      </c>
      <c r="F26" s="17">
        <f>IFERROR(__xludf.DUMMYFUNCTION("""COMPUTED_VALUE"""),6381498)</f>
        <v>6381498</v>
      </c>
      <c r="G26" s="16">
        <f>IFERROR(__xludf.DUMMYFUNCTION("""COMPUTED_VALUE"""),45779.6458333333)</f>
        <v>45779.6458333333</v>
      </c>
      <c r="H26" s="17">
        <f>IFERROR(__xludf.DUMMYFUNCTION("""COMPUTED_VALUE"""),192.6)</f>
        <v>192.6</v>
      </c>
      <c r="I26" s="16">
        <f>IFERROR(__xludf.DUMMYFUNCTION("""COMPUTED_VALUE"""),45779.6458333333)</f>
        <v>45779.6458333333</v>
      </c>
      <c r="J26" s="17">
        <f>IFERROR(__xludf.DUMMYFUNCTION("""COMPUTED_VALUE"""),187.73)</f>
        <v>187.73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IFERROR(__xludf.DUMMYFUNCTION("""COMPUTED_VALUE"""),191.19)</f>
        <v>191.19</v>
      </c>
      <c r="C27" s="16">
        <f>IFERROR(__xludf.DUMMYFUNCTION("""COMPUTED_VALUE"""),45782.6458333333)</f>
        <v>45782.6458333333</v>
      </c>
      <c r="D27" s="17">
        <f>IFERROR(__xludf.DUMMYFUNCTION("""COMPUTED_VALUE"""),189.54)</f>
        <v>189.54</v>
      </c>
      <c r="E27" s="16">
        <f>IFERROR(__xludf.DUMMYFUNCTION("""COMPUTED_VALUE"""),45782.6458333333)</f>
        <v>45782.6458333333</v>
      </c>
      <c r="F27" s="17">
        <f>IFERROR(__xludf.DUMMYFUNCTION("""COMPUTED_VALUE"""),11170518)</f>
        <v>11170518</v>
      </c>
      <c r="G27" s="16">
        <f>IFERROR(__xludf.DUMMYFUNCTION("""COMPUTED_VALUE"""),45782.6458333333)</f>
        <v>45782.6458333333</v>
      </c>
      <c r="H27" s="17">
        <f>IFERROR(__xludf.DUMMYFUNCTION("""COMPUTED_VALUE"""),193.1)</f>
        <v>193.1</v>
      </c>
      <c r="I27" s="16">
        <f>IFERROR(__xludf.DUMMYFUNCTION("""COMPUTED_VALUE"""),45782.6458333333)</f>
        <v>45782.6458333333</v>
      </c>
      <c r="J27" s="17">
        <f>IFERROR(__xludf.DUMMYFUNCTION("""COMPUTED_VALUE"""),187.27)</f>
        <v>187.27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IFERROR(__xludf.DUMMYFUNCTION("""COMPUTED_VALUE"""),186.41)</f>
        <v>186.41</v>
      </c>
      <c r="C28" s="16">
        <f>IFERROR(__xludf.DUMMYFUNCTION("""COMPUTED_VALUE"""),45783.6458333333)</f>
        <v>45783.6458333333</v>
      </c>
      <c r="D28" s="17">
        <f>IFERROR(__xludf.DUMMYFUNCTION("""COMPUTED_VALUE"""),192)</f>
        <v>192</v>
      </c>
      <c r="E28" s="16">
        <f>IFERROR(__xludf.DUMMYFUNCTION("""COMPUTED_VALUE"""),45783.6458333333)</f>
        <v>45783.6458333333</v>
      </c>
      <c r="F28" s="17">
        <f>IFERROR(__xludf.DUMMYFUNCTION("""COMPUTED_VALUE"""),6179703)</f>
        <v>6179703</v>
      </c>
      <c r="G28" s="16">
        <f>IFERROR(__xludf.DUMMYFUNCTION("""COMPUTED_VALUE"""),45783.6458333333)</f>
        <v>45783.6458333333</v>
      </c>
      <c r="H28" s="17">
        <f>IFERROR(__xludf.DUMMYFUNCTION("""COMPUTED_VALUE"""),192.12)</f>
        <v>192.12</v>
      </c>
      <c r="I28" s="16">
        <f>IFERROR(__xludf.DUMMYFUNCTION("""COMPUTED_VALUE"""),45783.6458333333)</f>
        <v>45783.6458333333</v>
      </c>
      <c r="J28" s="17">
        <f>IFERROR(__xludf.DUMMYFUNCTION("""COMPUTED_VALUE"""),184.89)</f>
        <v>184.89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IFERROR(__xludf.DUMMYFUNCTION("""COMPUTED_VALUE"""),189.23)</f>
        <v>189.23</v>
      </c>
      <c r="C29" s="16">
        <f>IFERROR(__xludf.DUMMYFUNCTION("""COMPUTED_VALUE"""),45784.6458333333)</f>
        <v>45784.6458333333</v>
      </c>
      <c r="D29" s="17">
        <f>IFERROR(__xludf.DUMMYFUNCTION("""COMPUTED_VALUE"""),183)</f>
        <v>183</v>
      </c>
      <c r="E29" s="16">
        <f>IFERROR(__xludf.DUMMYFUNCTION("""COMPUTED_VALUE"""),45784.6458333333)</f>
        <v>45784.6458333333</v>
      </c>
      <c r="F29" s="17">
        <f>IFERROR(__xludf.DUMMYFUNCTION("""COMPUTED_VALUE"""),7734600)</f>
        <v>7734600</v>
      </c>
      <c r="G29" s="16">
        <f>IFERROR(__xludf.DUMMYFUNCTION("""COMPUTED_VALUE"""),45784.6458333333)</f>
        <v>45784.6458333333</v>
      </c>
      <c r="H29" s="17">
        <f>IFERROR(__xludf.DUMMYFUNCTION("""COMPUTED_VALUE"""),190.3)</f>
        <v>190.3</v>
      </c>
      <c r="I29" s="16">
        <f>IFERROR(__xludf.DUMMYFUNCTION("""COMPUTED_VALUE"""),45784.6458333333)</f>
        <v>45784.6458333333</v>
      </c>
      <c r="J29" s="17">
        <f>IFERROR(__xludf.DUMMYFUNCTION("""COMPUTED_VALUE"""),183)</f>
        <v>183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IFERROR(__xludf.DUMMYFUNCTION("""COMPUTED_VALUE"""),184.27)</f>
        <v>184.27</v>
      </c>
      <c r="C30" s="16">
        <f>IFERROR(__xludf.DUMMYFUNCTION("""COMPUTED_VALUE"""),45785.6458333333)</f>
        <v>45785.6458333333</v>
      </c>
      <c r="D30" s="17">
        <f>IFERROR(__xludf.DUMMYFUNCTION("""COMPUTED_VALUE"""),188.52)</f>
        <v>188.52</v>
      </c>
      <c r="E30" s="16">
        <f>IFERROR(__xludf.DUMMYFUNCTION("""COMPUTED_VALUE"""),45785.6458333333)</f>
        <v>45785.6458333333</v>
      </c>
      <c r="F30" s="17">
        <f>IFERROR(__xludf.DUMMYFUNCTION("""COMPUTED_VALUE"""),10327093)</f>
        <v>10327093</v>
      </c>
      <c r="G30" s="16">
        <f>IFERROR(__xludf.DUMMYFUNCTION("""COMPUTED_VALUE"""),45785.6458333333)</f>
        <v>45785.6458333333</v>
      </c>
      <c r="H30" s="17">
        <f>IFERROR(__xludf.DUMMYFUNCTION("""COMPUTED_VALUE"""),191.38)</f>
        <v>191.38</v>
      </c>
      <c r="I30" s="16">
        <f>IFERROR(__xludf.DUMMYFUNCTION("""COMPUTED_VALUE"""),45785.6458333333)</f>
        <v>45785.6458333333</v>
      </c>
      <c r="J30" s="17">
        <f>IFERROR(__xludf.DUMMYFUNCTION("""COMPUTED_VALUE"""),182.48)</f>
        <v>182.48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IFERROR(__xludf.DUMMYFUNCTION("""COMPUTED_VALUE"""),181.6)</f>
        <v>181.6</v>
      </c>
      <c r="C31" s="16">
        <f>IFERROR(__xludf.DUMMYFUNCTION("""COMPUTED_VALUE"""),45786.6458333333)</f>
        <v>45786.6458333333</v>
      </c>
      <c r="D31" s="17">
        <f>IFERROR(__xludf.DUMMYFUNCTION("""COMPUTED_VALUE"""),178.76)</f>
        <v>178.76</v>
      </c>
      <c r="E31" s="16">
        <f>IFERROR(__xludf.DUMMYFUNCTION("""COMPUTED_VALUE"""),45786.6458333333)</f>
        <v>45786.6458333333</v>
      </c>
      <c r="F31" s="17">
        <f>IFERROR(__xludf.DUMMYFUNCTION("""COMPUTED_VALUE"""),13961118)</f>
        <v>13961118</v>
      </c>
      <c r="G31" s="16">
        <f>IFERROR(__xludf.DUMMYFUNCTION("""COMPUTED_VALUE"""),45786.6458333333)</f>
        <v>45786.6458333333</v>
      </c>
      <c r="H31" s="17">
        <f>IFERROR(__xludf.DUMMYFUNCTION("""COMPUTED_VALUE"""),182.9)</f>
        <v>182.9</v>
      </c>
      <c r="I31" s="16">
        <f>IFERROR(__xludf.DUMMYFUNCTION("""COMPUTED_VALUE"""),45786.6458333333)</f>
        <v>45786.6458333333</v>
      </c>
      <c r="J31" s="17">
        <f>IFERROR(__xludf.DUMMYFUNCTION("""COMPUTED_VALUE"""),178.6)</f>
        <v>178.6</v>
      </c>
      <c r="K31" s="3">
        <f t="shared" si="2"/>
        <v>0</v>
      </c>
      <c r="L31" s="3">
        <f t="shared" si="3"/>
        <v>181.6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IFERROR(__xludf.DUMMYFUNCTION("""COMPUTED_VALUE"""),187.8)</f>
        <v>187.8</v>
      </c>
      <c r="C32" s="16">
        <f>IFERROR(__xludf.DUMMYFUNCTION("""COMPUTED_VALUE"""),45789.6458333333)</f>
        <v>45789.6458333333</v>
      </c>
      <c r="D32" s="17">
        <f>IFERROR(__xludf.DUMMYFUNCTION("""COMPUTED_VALUE"""),187.34)</f>
        <v>187.34</v>
      </c>
      <c r="E32" s="16">
        <f>IFERROR(__xludf.DUMMYFUNCTION("""COMPUTED_VALUE"""),45789.6458333333)</f>
        <v>45789.6458333333</v>
      </c>
      <c r="F32" s="17">
        <f>IFERROR(__xludf.DUMMYFUNCTION("""COMPUTED_VALUE"""),12160088)</f>
        <v>12160088</v>
      </c>
      <c r="G32" s="16">
        <f>IFERROR(__xludf.DUMMYFUNCTION("""COMPUTED_VALUE"""),45789.6458333333)</f>
        <v>45789.6458333333</v>
      </c>
      <c r="H32" s="17">
        <f>IFERROR(__xludf.DUMMYFUNCTION("""COMPUTED_VALUE"""),189.13)</f>
        <v>189.13</v>
      </c>
      <c r="I32" s="16">
        <f>IFERROR(__xludf.DUMMYFUNCTION("""COMPUTED_VALUE"""),45789.6458333333)</f>
        <v>45789.6458333333</v>
      </c>
      <c r="J32" s="17">
        <f>IFERROR(__xludf.DUMMYFUNCTION("""COMPUTED_VALUE"""),186.04)</f>
        <v>186.04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IFERROR(__xludf.DUMMYFUNCTION("""COMPUTED_VALUE"""),183.83)</f>
        <v>183.83</v>
      </c>
      <c r="C33" s="16">
        <f>IFERROR(__xludf.DUMMYFUNCTION("""COMPUTED_VALUE"""),45790.6458333333)</f>
        <v>45790.6458333333</v>
      </c>
      <c r="D33" s="17">
        <f>IFERROR(__xludf.DUMMYFUNCTION("""COMPUTED_VALUE"""),188.73)</f>
        <v>188.73</v>
      </c>
      <c r="E33" s="16">
        <f>IFERROR(__xludf.DUMMYFUNCTION("""COMPUTED_VALUE"""),45790.6458333333)</f>
        <v>45790.6458333333</v>
      </c>
      <c r="F33" s="17">
        <f>IFERROR(__xludf.DUMMYFUNCTION("""COMPUTED_VALUE"""),18769044)</f>
        <v>18769044</v>
      </c>
      <c r="G33" s="16">
        <f>IFERROR(__xludf.DUMMYFUNCTION("""COMPUTED_VALUE"""),45790.6458333333)</f>
        <v>45790.6458333333</v>
      </c>
      <c r="H33" s="17">
        <f>IFERROR(__xludf.DUMMYFUNCTION("""COMPUTED_VALUE"""),189.52)</f>
        <v>189.52</v>
      </c>
      <c r="I33" s="16">
        <f>IFERROR(__xludf.DUMMYFUNCTION("""COMPUTED_VALUE"""),45790.6458333333)</f>
        <v>45790.6458333333</v>
      </c>
      <c r="J33" s="17">
        <f>IFERROR(__xludf.DUMMYFUNCTION("""COMPUTED_VALUE"""),183.1)</f>
        <v>183.1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IFERROR(__xludf.DUMMYFUNCTION("""COMPUTED_VALUE"""),185.93)</f>
        <v>185.93</v>
      </c>
      <c r="C34" s="16">
        <f>IFERROR(__xludf.DUMMYFUNCTION("""COMPUTED_VALUE"""),45791.6458333333)</f>
        <v>45791.6458333333</v>
      </c>
      <c r="D34" s="17">
        <f>IFERROR(__xludf.DUMMYFUNCTION("""COMPUTED_VALUE"""),185)</f>
        <v>185</v>
      </c>
      <c r="E34" s="16">
        <f>IFERROR(__xludf.DUMMYFUNCTION("""COMPUTED_VALUE"""),45791.6458333333)</f>
        <v>45791.6458333333</v>
      </c>
      <c r="F34" s="17">
        <f>IFERROR(__xludf.DUMMYFUNCTION("""COMPUTED_VALUE"""),13578551)</f>
        <v>13578551</v>
      </c>
      <c r="G34" s="16">
        <f>IFERROR(__xludf.DUMMYFUNCTION("""COMPUTED_VALUE"""),45791.6458333333)</f>
        <v>45791.6458333333</v>
      </c>
      <c r="H34" s="17">
        <f>IFERROR(__xludf.DUMMYFUNCTION("""COMPUTED_VALUE"""),187.84)</f>
        <v>187.84</v>
      </c>
      <c r="I34" s="16">
        <f>IFERROR(__xludf.DUMMYFUNCTION("""COMPUTED_VALUE"""),45791.6458333333)</f>
        <v>45791.6458333333</v>
      </c>
      <c r="J34" s="17">
        <f>IFERROR(__xludf.DUMMYFUNCTION("""COMPUTED_VALUE"""),183.01)</f>
        <v>183.01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IFERROR(__xludf.DUMMYFUNCTION("""COMPUTED_VALUE"""),185.02)</f>
        <v>185.02</v>
      </c>
      <c r="C35" s="16">
        <f>IFERROR(__xludf.DUMMYFUNCTION("""COMPUTED_VALUE"""),45792.6458333333)</f>
        <v>45792.6458333333</v>
      </c>
      <c r="D35" s="17">
        <f>IFERROR(__xludf.DUMMYFUNCTION("""COMPUTED_VALUE"""),186.5)</f>
        <v>186.5</v>
      </c>
      <c r="E35" s="16">
        <f>IFERROR(__xludf.DUMMYFUNCTION("""COMPUTED_VALUE"""),45792.6458333333)</f>
        <v>45792.6458333333</v>
      </c>
      <c r="F35" s="17">
        <f>IFERROR(__xludf.DUMMYFUNCTION("""COMPUTED_VALUE"""),14364503)</f>
        <v>14364503</v>
      </c>
      <c r="G35" s="16">
        <f>IFERROR(__xludf.DUMMYFUNCTION("""COMPUTED_VALUE"""),45792.6458333333)</f>
        <v>45792.6458333333</v>
      </c>
      <c r="H35" s="17">
        <f>IFERROR(__xludf.DUMMYFUNCTION("""COMPUTED_VALUE"""),186.5)</f>
        <v>186.5</v>
      </c>
      <c r="I35" s="16">
        <f>IFERROR(__xludf.DUMMYFUNCTION("""COMPUTED_VALUE"""),45792.6458333333)</f>
        <v>45792.6458333333</v>
      </c>
      <c r="J35" s="17">
        <f>IFERROR(__xludf.DUMMYFUNCTION("""COMPUTED_VALUE"""),182.85)</f>
        <v>182.85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IFERROR(__xludf.DUMMYFUNCTION("""COMPUTED_VALUE"""),186.28)</f>
        <v>186.28</v>
      </c>
      <c r="C36" s="16">
        <f>IFERROR(__xludf.DUMMYFUNCTION("""COMPUTED_VALUE"""),45793.6458333333)</f>
        <v>45793.6458333333</v>
      </c>
      <c r="D36" s="17">
        <f>IFERROR(__xludf.DUMMYFUNCTION("""COMPUTED_VALUE"""),184.95)</f>
        <v>184.95</v>
      </c>
      <c r="E36" s="16">
        <f>IFERROR(__xludf.DUMMYFUNCTION("""COMPUTED_VALUE"""),45793.6458333333)</f>
        <v>45793.6458333333</v>
      </c>
      <c r="F36" s="17">
        <f>IFERROR(__xludf.DUMMYFUNCTION("""COMPUTED_VALUE"""),17089599)</f>
        <v>17089599</v>
      </c>
      <c r="G36" s="16">
        <f>IFERROR(__xludf.DUMMYFUNCTION("""COMPUTED_VALUE"""),45793.6458333333)</f>
        <v>45793.6458333333</v>
      </c>
      <c r="H36" s="17">
        <f>IFERROR(__xludf.DUMMYFUNCTION("""COMPUTED_VALUE"""),187.5)</f>
        <v>187.5</v>
      </c>
      <c r="I36" s="16">
        <f>IFERROR(__xludf.DUMMYFUNCTION("""COMPUTED_VALUE"""),45793.6458333333)</f>
        <v>45793.6458333333</v>
      </c>
      <c r="J36" s="17">
        <f>IFERROR(__xludf.DUMMYFUNCTION("""COMPUTED_VALUE"""),184.38)</f>
        <v>184.38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IFERROR(__xludf.DUMMYFUNCTION("""COMPUTED_VALUE"""),189.48)</f>
        <v>189.48</v>
      </c>
      <c r="C37" s="16">
        <f>IFERROR(__xludf.DUMMYFUNCTION("""COMPUTED_VALUE"""),45796.6458333333)</f>
        <v>45796.6458333333</v>
      </c>
      <c r="D37" s="17">
        <f>IFERROR(__xludf.DUMMYFUNCTION("""COMPUTED_VALUE"""),187.39)</f>
        <v>187.39</v>
      </c>
      <c r="E37" s="16">
        <f>IFERROR(__xludf.DUMMYFUNCTION("""COMPUTED_VALUE"""),45796.6458333333)</f>
        <v>45796.6458333333</v>
      </c>
      <c r="F37" s="17">
        <f>IFERROR(__xludf.DUMMYFUNCTION("""COMPUTED_VALUE"""),14465387)</f>
        <v>14465387</v>
      </c>
      <c r="G37" s="16">
        <f>IFERROR(__xludf.DUMMYFUNCTION("""COMPUTED_VALUE"""),45796.6458333333)</f>
        <v>45796.6458333333</v>
      </c>
      <c r="H37" s="17">
        <f>IFERROR(__xludf.DUMMYFUNCTION("""COMPUTED_VALUE"""),190.95)</f>
        <v>190.95</v>
      </c>
      <c r="I37" s="16">
        <f>IFERROR(__xludf.DUMMYFUNCTION("""COMPUTED_VALUE"""),45796.6458333333)</f>
        <v>45796.6458333333</v>
      </c>
      <c r="J37" s="17">
        <f>IFERROR(__xludf.DUMMYFUNCTION("""COMPUTED_VALUE"""),186.3)</f>
        <v>186.3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IFERROR(__xludf.DUMMYFUNCTION("""COMPUTED_VALUE"""),191.1)</f>
        <v>191.1</v>
      </c>
      <c r="C38" s="16">
        <f>IFERROR(__xludf.DUMMYFUNCTION("""COMPUTED_VALUE"""),45797.6458333333)</f>
        <v>45797.6458333333</v>
      </c>
      <c r="D38" s="17">
        <f>IFERROR(__xludf.DUMMYFUNCTION("""COMPUTED_VALUE"""),190.39)</f>
        <v>190.39</v>
      </c>
      <c r="E38" s="16">
        <f>IFERROR(__xludf.DUMMYFUNCTION("""COMPUTED_VALUE"""),45797.6458333333)</f>
        <v>45797.6458333333</v>
      </c>
      <c r="F38" s="17">
        <f>IFERROR(__xludf.DUMMYFUNCTION("""COMPUTED_VALUE"""),21788836)</f>
        <v>21788836</v>
      </c>
      <c r="G38" s="16">
        <f>IFERROR(__xludf.DUMMYFUNCTION("""COMPUTED_VALUE"""),45797.6458333333)</f>
        <v>45797.6458333333</v>
      </c>
      <c r="H38" s="17">
        <f>IFERROR(__xludf.DUMMYFUNCTION("""COMPUTED_VALUE"""),194)</f>
        <v>194</v>
      </c>
      <c r="I38" s="16">
        <f>IFERROR(__xludf.DUMMYFUNCTION("""COMPUTED_VALUE"""),45797.6458333333)</f>
        <v>45797.6458333333</v>
      </c>
      <c r="J38" s="17">
        <f>IFERROR(__xludf.DUMMYFUNCTION("""COMPUTED_VALUE"""),188.9)</f>
        <v>188.9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IFERROR(__xludf.DUMMYFUNCTION("""COMPUTED_VALUE"""),190.64)</f>
        <v>190.64</v>
      </c>
      <c r="C39" s="16">
        <f>IFERROR(__xludf.DUMMYFUNCTION("""COMPUTED_VALUE"""),45798.6458333333)</f>
        <v>45798.6458333333</v>
      </c>
      <c r="D39" s="17">
        <f>IFERROR(__xludf.DUMMYFUNCTION("""COMPUTED_VALUE"""),191.4)</f>
        <v>191.4</v>
      </c>
      <c r="E39" s="16">
        <f>IFERROR(__xludf.DUMMYFUNCTION("""COMPUTED_VALUE"""),45798.6458333333)</f>
        <v>45798.6458333333</v>
      </c>
      <c r="F39" s="17">
        <f>IFERROR(__xludf.DUMMYFUNCTION("""COMPUTED_VALUE"""),10013046)</f>
        <v>10013046</v>
      </c>
      <c r="G39" s="16">
        <f>IFERROR(__xludf.DUMMYFUNCTION("""COMPUTED_VALUE"""),45798.6458333333)</f>
        <v>45798.6458333333</v>
      </c>
      <c r="H39" s="17">
        <f>IFERROR(__xludf.DUMMYFUNCTION("""COMPUTED_VALUE"""),191.5)</f>
        <v>191.5</v>
      </c>
      <c r="I39" s="16">
        <f>IFERROR(__xludf.DUMMYFUNCTION("""COMPUTED_VALUE"""),45798.6458333333)</f>
        <v>45798.6458333333</v>
      </c>
      <c r="J39" s="17">
        <f>IFERROR(__xludf.DUMMYFUNCTION("""COMPUTED_VALUE"""),187.5)</f>
        <v>187.5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IFERROR(__xludf.DUMMYFUNCTION("""COMPUTED_VALUE"""),192.61)</f>
        <v>192.61</v>
      </c>
      <c r="C40" s="16">
        <f>IFERROR(__xludf.DUMMYFUNCTION("""COMPUTED_VALUE"""),45799.6458333333)</f>
        <v>45799.6458333333</v>
      </c>
      <c r="D40" s="17">
        <f>IFERROR(__xludf.DUMMYFUNCTION("""COMPUTED_VALUE"""),189.75)</f>
        <v>189.75</v>
      </c>
      <c r="E40" s="16">
        <f>IFERROR(__xludf.DUMMYFUNCTION("""COMPUTED_VALUE"""),45799.6458333333)</f>
        <v>45799.6458333333</v>
      </c>
      <c r="F40" s="17">
        <f>IFERROR(__xludf.DUMMYFUNCTION("""COMPUTED_VALUE"""),10157103)</f>
        <v>10157103</v>
      </c>
      <c r="G40" s="16">
        <f>IFERROR(__xludf.DUMMYFUNCTION("""COMPUTED_VALUE"""),45799.6458333333)</f>
        <v>45799.6458333333</v>
      </c>
      <c r="H40" s="17">
        <f>IFERROR(__xludf.DUMMYFUNCTION("""COMPUTED_VALUE"""),193)</f>
        <v>193</v>
      </c>
      <c r="I40" s="16">
        <f>IFERROR(__xludf.DUMMYFUNCTION("""COMPUTED_VALUE"""),45799.6458333333)</f>
        <v>45799.6458333333</v>
      </c>
      <c r="J40" s="17">
        <f>IFERROR(__xludf.DUMMYFUNCTION("""COMPUTED_VALUE"""),189.21)</f>
        <v>189.21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IFERROR(__xludf.DUMMYFUNCTION("""COMPUTED_VALUE"""),191.28)</f>
        <v>191.28</v>
      </c>
      <c r="C41" s="16">
        <f>IFERROR(__xludf.DUMMYFUNCTION("""COMPUTED_VALUE"""),45800.6458333333)</f>
        <v>45800.6458333333</v>
      </c>
      <c r="D41" s="17">
        <f>IFERROR(__xludf.DUMMYFUNCTION("""COMPUTED_VALUE"""),192.91)</f>
        <v>192.91</v>
      </c>
      <c r="E41" s="16">
        <f>IFERROR(__xludf.DUMMYFUNCTION("""COMPUTED_VALUE"""),45800.6458333333)</f>
        <v>45800.6458333333</v>
      </c>
      <c r="F41" s="17">
        <f>IFERROR(__xludf.DUMMYFUNCTION("""COMPUTED_VALUE"""),9709796)</f>
        <v>9709796</v>
      </c>
      <c r="G41" s="16">
        <f>IFERROR(__xludf.DUMMYFUNCTION("""COMPUTED_VALUE"""),45800.6458333333)</f>
        <v>45800.6458333333</v>
      </c>
      <c r="H41" s="17">
        <f>IFERROR(__xludf.DUMMYFUNCTION("""COMPUTED_VALUE"""),193.99)</f>
        <v>193.99</v>
      </c>
      <c r="I41" s="16">
        <f>IFERROR(__xludf.DUMMYFUNCTION("""COMPUTED_VALUE"""),45800.6458333333)</f>
        <v>45800.6458333333</v>
      </c>
      <c r="J41" s="17">
        <f>IFERROR(__xludf.DUMMYFUNCTION("""COMPUTED_VALUE"""),190.07)</f>
        <v>190.07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IFERROR(__xludf.DUMMYFUNCTION("""COMPUTED_VALUE"""),193.15)</f>
        <v>193.15</v>
      </c>
      <c r="C42" s="16">
        <f>IFERROR(__xludf.DUMMYFUNCTION("""COMPUTED_VALUE"""),45803.6458333333)</f>
        <v>45803.6458333333</v>
      </c>
      <c r="D42" s="17">
        <f>IFERROR(__xludf.DUMMYFUNCTION("""COMPUTED_VALUE"""),192)</f>
        <v>192</v>
      </c>
      <c r="E42" s="16">
        <f>IFERROR(__xludf.DUMMYFUNCTION("""COMPUTED_VALUE"""),45803.6458333333)</f>
        <v>45803.6458333333</v>
      </c>
      <c r="F42" s="17">
        <f>IFERROR(__xludf.DUMMYFUNCTION("""COMPUTED_VALUE"""),7364228)</f>
        <v>7364228</v>
      </c>
      <c r="G42" s="16">
        <f>IFERROR(__xludf.DUMMYFUNCTION("""COMPUTED_VALUE"""),45803.6458333333)</f>
        <v>45803.6458333333</v>
      </c>
      <c r="H42" s="17">
        <f>IFERROR(__xludf.DUMMYFUNCTION("""COMPUTED_VALUE"""),194.66)</f>
        <v>194.66</v>
      </c>
      <c r="I42" s="16">
        <f>IFERROR(__xludf.DUMMYFUNCTION("""COMPUTED_VALUE"""),45803.6458333333)</f>
        <v>45803.6458333333</v>
      </c>
      <c r="J42" s="17">
        <f>IFERROR(__xludf.DUMMYFUNCTION("""COMPUTED_VALUE"""),191.96)</f>
        <v>191.96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IFERROR(__xludf.DUMMYFUNCTION("""COMPUTED_VALUE"""),193.98)</f>
        <v>193.98</v>
      </c>
      <c r="C43" s="16">
        <f>IFERROR(__xludf.DUMMYFUNCTION("""COMPUTED_VALUE"""),45804.6458333333)</f>
        <v>45804.6458333333</v>
      </c>
      <c r="D43" s="17">
        <f>IFERROR(__xludf.DUMMYFUNCTION("""COMPUTED_VALUE"""),193)</f>
        <v>193</v>
      </c>
      <c r="E43" s="16">
        <f>IFERROR(__xludf.DUMMYFUNCTION("""COMPUTED_VALUE"""),45804.6458333333)</f>
        <v>45804.6458333333</v>
      </c>
      <c r="F43" s="17">
        <f>IFERROR(__xludf.DUMMYFUNCTION("""COMPUTED_VALUE"""),9676557)</f>
        <v>9676557</v>
      </c>
      <c r="G43" s="16">
        <f>IFERROR(__xludf.DUMMYFUNCTION("""COMPUTED_VALUE"""),45804.6458333333)</f>
        <v>45804.6458333333</v>
      </c>
      <c r="H43" s="17">
        <f>IFERROR(__xludf.DUMMYFUNCTION("""COMPUTED_VALUE"""),194.3)</f>
        <v>194.3</v>
      </c>
      <c r="I43" s="16">
        <f>IFERROR(__xludf.DUMMYFUNCTION("""COMPUTED_VALUE"""),45804.6458333333)</f>
        <v>45804.6458333333</v>
      </c>
      <c r="J43" s="17">
        <f>IFERROR(__xludf.DUMMYFUNCTION("""COMPUTED_VALUE"""),190.61)</f>
        <v>190.61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IFERROR(__xludf.DUMMYFUNCTION("""COMPUTED_VALUE"""),194.34)</f>
        <v>194.34</v>
      </c>
      <c r="C44" s="16">
        <f>IFERROR(__xludf.DUMMYFUNCTION("""COMPUTED_VALUE"""),45805.6458333333)</f>
        <v>45805.6458333333</v>
      </c>
      <c r="D44" s="17">
        <f>IFERROR(__xludf.DUMMYFUNCTION("""COMPUTED_VALUE"""),194)</f>
        <v>194</v>
      </c>
      <c r="E44" s="16">
        <f>IFERROR(__xludf.DUMMYFUNCTION("""COMPUTED_VALUE"""),45805.6458333333)</f>
        <v>45805.6458333333</v>
      </c>
      <c r="F44" s="17">
        <f>IFERROR(__xludf.DUMMYFUNCTION("""COMPUTED_VALUE"""),11799541)</f>
        <v>11799541</v>
      </c>
      <c r="G44" s="16">
        <f>IFERROR(__xludf.DUMMYFUNCTION("""COMPUTED_VALUE"""),45805.6458333333)</f>
        <v>45805.6458333333</v>
      </c>
      <c r="H44" s="17">
        <f>IFERROR(__xludf.DUMMYFUNCTION("""COMPUTED_VALUE"""),197.28)</f>
        <v>197.28</v>
      </c>
      <c r="I44" s="16">
        <f>IFERROR(__xludf.DUMMYFUNCTION("""COMPUTED_VALUE"""),45805.6458333333)</f>
        <v>45805.6458333333</v>
      </c>
      <c r="J44" s="17">
        <f>IFERROR(__xludf.DUMMYFUNCTION("""COMPUTED_VALUE"""),193.11)</f>
        <v>193.11</v>
      </c>
      <c r="K44" s="3">
        <f t="shared" si="2"/>
        <v>194.34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IFERROR(__xludf.DUMMYFUNCTION("""COMPUTED_VALUE"""),191.75)</f>
        <v>191.75</v>
      </c>
      <c r="C45" s="16">
        <f>IFERROR(__xludf.DUMMYFUNCTION("""COMPUTED_VALUE"""),45806.6458333333)</f>
        <v>45806.6458333333</v>
      </c>
      <c r="D45" s="17">
        <f>IFERROR(__xludf.DUMMYFUNCTION("""COMPUTED_VALUE"""),193.75)</f>
        <v>193.75</v>
      </c>
      <c r="E45" s="16">
        <f>IFERROR(__xludf.DUMMYFUNCTION("""COMPUTED_VALUE"""),45806.6458333333)</f>
        <v>45806.6458333333</v>
      </c>
      <c r="F45" s="17">
        <f>IFERROR(__xludf.DUMMYFUNCTION("""COMPUTED_VALUE"""),15154707)</f>
        <v>15154707</v>
      </c>
      <c r="G45" s="16">
        <f>IFERROR(__xludf.DUMMYFUNCTION("""COMPUTED_VALUE"""),45806.6458333333)</f>
        <v>45806.6458333333</v>
      </c>
      <c r="H45" s="17">
        <f>IFERROR(__xludf.DUMMYFUNCTION("""COMPUTED_VALUE"""),194.57)</f>
        <v>194.57</v>
      </c>
      <c r="I45" s="16">
        <f>IFERROR(__xludf.DUMMYFUNCTION("""COMPUTED_VALUE"""),45806.6458333333)</f>
        <v>45806.6458333333</v>
      </c>
      <c r="J45" s="17">
        <f>IFERROR(__xludf.DUMMYFUNCTION("""COMPUTED_VALUE"""),190.86)</f>
        <v>190.86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IFERROR(__xludf.DUMMYFUNCTION("""COMPUTED_VALUE"""),189.8)</f>
        <v>189.8</v>
      </c>
      <c r="C46" s="16">
        <f>IFERROR(__xludf.DUMMYFUNCTION("""COMPUTED_VALUE"""),45807.6458333333)</f>
        <v>45807.6458333333</v>
      </c>
      <c r="D46" s="17">
        <f>IFERROR(__xludf.DUMMYFUNCTION("""COMPUTED_VALUE"""),192)</f>
        <v>192</v>
      </c>
      <c r="E46" s="16">
        <f>IFERROR(__xludf.DUMMYFUNCTION("""COMPUTED_VALUE"""),45807.6458333333)</f>
        <v>45807.6458333333</v>
      </c>
      <c r="F46" s="17">
        <f>IFERROR(__xludf.DUMMYFUNCTION("""COMPUTED_VALUE"""),26351115)</f>
        <v>26351115</v>
      </c>
      <c r="G46" s="16">
        <f>IFERROR(__xludf.DUMMYFUNCTION("""COMPUTED_VALUE"""),45807.6458333333)</f>
        <v>45807.6458333333</v>
      </c>
      <c r="H46" s="17">
        <f>IFERROR(__xludf.DUMMYFUNCTION("""COMPUTED_VALUE"""),193)</f>
        <v>193</v>
      </c>
      <c r="I46" s="16">
        <f>IFERROR(__xludf.DUMMYFUNCTION("""COMPUTED_VALUE"""),45807.6458333333)</f>
        <v>45807.6458333333</v>
      </c>
      <c r="J46" s="17">
        <f>IFERROR(__xludf.DUMMYFUNCTION("""COMPUTED_VALUE"""),188.96)</f>
        <v>188.96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IFERROR(__xludf.DUMMYFUNCTION("""COMPUTED_VALUE"""),191.71)</f>
        <v>191.71</v>
      </c>
      <c r="C47" s="16">
        <f>IFERROR(__xludf.DUMMYFUNCTION("""COMPUTED_VALUE"""),45810.6458333333)</f>
        <v>45810.6458333333</v>
      </c>
      <c r="D47" s="17">
        <f>IFERROR(__xludf.DUMMYFUNCTION("""COMPUTED_VALUE"""),189.8)</f>
        <v>189.8</v>
      </c>
      <c r="E47" s="16">
        <f>IFERROR(__xludf.DUMMYFUNCTION("""COMPUTED_VALUE"""),45810.6458333333)</f>
        <v>45810.6458333333</v>
      </c>
      <c r="F47" s="17">
        <f>IFERROR(__xludf.DUMMYFUNCTION("""COMPUTED_VALUE"""),8101618)</f>
        <v>8101618</v>
      </c>
      <c r="G47" s="16">
        <f>IFERROR(__xludf.DUMMYFUNCTION("""COMPUTED_VALUE"""),45810.6458333333)</f>
        <v>45810.6458333333</v>
      </c>
      <c r="H47" s="17">
        <f>IFERROR(__xludf.DUMMYFUNCTION("""COMPUTED_VALUE"""),192.25)</f>
        <v>192.25</v>
      </c>
      <c r="I47" s="16">
        <f>IFERROR(__xludf.DUMMYFUNCTION("""COMPUTED_VALUE"""),45810.6458333333)</f>
        <v>45810.6458333333</v>
      </c>
      <c r="J47" s="17">
        <f>IFERROR(__xludf.DUMMYFUNCTION("""COMPUTED_VALUE"""),188.31)</f>
        <v>188.31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IFERROR(__xludf.DUMMYFUNCTION("""COMPUTED_VALUE"""),191.91)</f>
        <v>191.91</v>
      </c>
      <c r="C48" s="16">
        <f>IFERROR(__xludf.DUMMYFUNCTION("""COMPUTED_VALUE"""),45811.6458333333)</f>
        <v>45811.6458333333</v>
      </c>
      <c r="D48" s="17">
        <f>IFERROR(__xludf.DUMMYFUNCTION("""COMPUTED_VALUE"""),191.75)</f>
        <v>191.75</v>
      </c>
      <c r="E48" s="16">
        <f>IFERROR(__xludf.DUMMYFUNCTION("""COMPUTED_VALUE"""),45811.6458333333)</f>
        <v>45811.6458333333</v>
      </c>
      <c r="F48" s="17">
        <f>IFERROR(__xludf.DUMMYFUNCTION("""COMPUTED_VALUE"""),10598180)</f>
        <v>10598180</v>
      </c>
      <c r="G48" s="16">
        <f>IFERROR(__xludf.DUMMYFUNCTION("""COMPUTED_VALUE"""),45811.6458333333)</f>
        <v>45811.6458333333</v>
      </c>
      <c r="H48" s="17">
        <f>IFERROR(__xludf.DUMMYFUNCTION("""COMPUTED_VALUE"""),194.87)</f>
        <v>194.87</v>
      </c>
      <c r="I48" s="16">
        <f>IFERROR(__xludf.DUMMYFUNCTION("""COMPUTED_VALUE"""),45811.6458333333)</f>
        <v>45811.6458333333</v>
      </c>
      <c r="J48" s="17">
        <f>IFERROR(__xludf.DUMMYFUNCTION("""COMPUTED_VALUE"""),191.27)</f>
        <v>191.27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IFERROR(__xludf.DUMMYFUNCTION("""COMPUTED_VALUE"""),189.52)</f>
        <v>189.52</v>
      </c>
      <c r="C49" s="16">
        <f>IFERROR(__xludf.DUMMYFUNCTION("""COMPUTED_VALUE"""),45812.6458333333)</f>
        <v>45812.6458333333</v>
      </c>
      <c r="D49" s="17">
        <f>IFERROR(__xludf.DUMMYFUNCTION("""COMPUTED_VALUE"""),191.9)</f>
        <v>191.9</v>
      </c>
      <c r="E49" s="16">
        <f>IFERROR(__xludf.DUMMYFUNCTION("""COMPUTED_VALUE"""),45812.6458333333)</f>
        <v>45812.6458333333</v>
      </c>
      <c r="F49" s="17">
        <f>IFERROR(__xludf.DUMMYFUNCTION("""COMPUTED_VALUE"""),17603834)</f>
        <v>17603834</v>
      </c>
      <c r="G49" s="16">
        <f>IFERROR(__xludf.DUMMYFUNCTION("""COMPUTED_VALUE"""),45812.6458333333)</f>
        <v>45812.6458333333</v>
      </c>
      <c r="H49" s="17">
        <f>IFERROR(__xludf.DUMMYFUNCTION("""COMPUTED_VALUE"""),193)</f>
        <v>193</v>
      </c>
      <c r="I49" s="16">
        <f>IFERROR(__xludf.DUMMYFUNCTION("""COMPUTED_VALUE"""),45812.6458333333)</f>
        <v>45812.6458333333</v>
      </c>
      <c r="J49" s="17">
        <f>IFERROR(__xludf.DUMMYFUNCTION("""COMPUTED_VALUE"""),186.3)</f>
        <v>186.3</v>
      </c>
      <c r="K49" s="3">
        <f t="shared" si="2"/>
        <v>0</v>
      </c>
      <c r="L49" s="3">
        <f t="shared" si="3"/>
        <v>189.52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IFERROR(__xludf.DUMMYFUNCTION("""COMPUTED_VALUE"""),190.62)</f>
        <v>190.62</v>
      </c>
      <c r="C50" s="16">
        <f>IFERROR(__xludf.DUMMYFUNCTION("""COMPUTED_VALUE"""),45813.6458333333)</f>
        <v>45813.6458333333</v>
      </c>
      <c r="D50" s="17">
        <f>IFERROR(__xludf.DUMMYFUNCTION("""COMPUTED_VALUE"""),190.69)</f>
        <v>190.69</v>
      </c>
      <c r="E50" s="16">
        <f>IFERROR(__xludf.DUMMYFUNCTION("""COMPUTED_VALUE"""),45813.6458333333)</f>
        <v>45813.6458333333</v>
      </c>
      <c r="F50" s="17">
        <f>IFERROR(__xludf.DUMMYFUNCTION("""COMPUTED_VALUE"""),7467344)</f>
        <v>7467344</v>
      </c>
      <c r="G50" s="16">
        <f>IFERROR(__xludf.DUMMYFUNCTION("""COMPUTED_VALUE"""),45813.6458333333)</f>
        <v>45813.6458333333</v>
      </c>
      <c r="H50" s="17">
        <f>IFERROR(__xludf.DUMMYFUNCTION("""COMPUTED_VALUE"""),192.87)</f>
        <v>192.87</v>
      </c>
      <c r="I50" s="16">
        <f>IFERROR(__xludf.DUMMYFUNCTION("""COMPUTED_VALUE"""),45813.6458333333)</f>
        <v>45813.6458333333</v>
      </c>
      <c r="J50" s="17">
        <f>IFERROR(__xludf.DUMMYFUNCTION("""COMPUTED_VALUE"""),189.5)</f>
        <v>189.5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IFERROR(__xludf.DUMMYFUNCTION("""COMPUTED_VALUE"""),191.15)</f>
        <v>191.15</v>
      </c>
      <c r="C51" s="16">
        <f>IFERROR(__xludf.DUMMYFUNCTION("""COMPUTED_VALUE"""),45814.6458333333)</f>
        <v>45814.6458333333</v>
      </c>
      <c r="D51" s="17">
        <f>IFERROR(__xludf.DUMMYFUNCTION("""COMPUTED_VALUE"""),190.62)</f>
        <v>190.62</v>
      </c>
      <c r="E51" s="16">
        <f>IFERROR(__xludf.DUMMYFUNCTION("""COMPUTED_VALUE"""),45814.6458333333)</f>
        <v>45814.6458333333</v>
      </c>
      <c r="F51" s="17">
        <f>IFERROR(__xludf.DUMMYFUNCTION("""COMPUTED_VALUE"""),6637216)</f>
        <v>6637216</v>
      </c>
      <c r="G51" s="16">
        <f>IFERROR(__xludf.DUMMYFUNCTION("""COMPUTED_VALUE"""),45814.6458333333)</f>
        <v>45814.6458333333</v>
      </c>
      <c r="H51" s="17">
        <f>IFERROR(__xludf.DUMMYFUNCTION("""COMPUTED_VALUE"""),191.88)</f>
        <v>191.88</v>
      </c>
      <c r="I51" s="16">
        <f>IFERROR(__xludf.DUMMYFUNCTION("""COMPUTED_VALUE"""),45814.6458333333)</f>
        <v>45814.6458333333</v>
      </c>
      <c r="J51" s="17">
        <f>IFERROR(__xludf.DUMMYFUNCTION("""COMPUTED_VALUE"""),189.72)</f>
        <v>189.72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IFERROR(__xludf.DUMMYFUNCTION("""COMPUTED_VALUE"""),193.64)</f>
        <v>193.64</v>
      </c>
      <c r="C52" s="16">
        <f>IFERROR(__xludf.DUMMYFUNCTION("""COMPUTED_VALUE"""),45817.6458333333)</f>
        <v>45817.6458333333</v>
      </c>
      <c r="D52" s="17">
        <f>IFERROR(__xludf.DUMMYFUNCTION("""COMPUTED_VALUE"""),191.5)</f>
        <v>191.5</v>
      </c>
      <c r="E52" s="16">
        <f>IFERROR(__xludf.DUMMYFUNCTION("""COMPUTED_VALUE"""),45817.6458333333)</f>
        <v>45817.6458333333</v>
      </c>
      <c r="F52" s="17">
        <f>IFERROR(__xludf.DUMMYFUNCTION("""COMPUTED_VALUE"""),7485555)</f>
        <v>7485555</v>
      </c>
      <c r="G52" s="16">
        <f>IFERROR(__xludf.DUMMYFUNCTION("""COMPUTED_VALUE"""),45817.6458333333)</f>
        <v>45817.6458333333</v>
      </c>
      <c r="H52" s="17">
        <f>IFERROR(__xludf.DUMMYFUNCTION("""COMPUTED_VALUE"""),194.8)</f>
        <v>194.8</v>
      </c>
      <c r="I52" s="16">
        <f>IFERROR(__xludf.DUMMYFUNCTION("""COMPUTED_VALUE"""),45817.6458333333)</f>
        <v>45817.6458333333</v>
      </c>
      <c r="J52" s="17">
        <f>IFERROR(__xludf.DUMMYFUNCTION("""COMPUTED_VALUE"""),191.39)</f>
        <v>191.39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IFERROR(__xludf.DUMMYFUNCTION("""COMPUTED_VALUE"""),195.67)</f>
        <v>195.67</v>
      </c>
      <c r="C53" s="16">
        <f>IFERROR(__xludf.DUMMYFUNCTION("""COMPUTED_VALUE"""),45818.6458333333)</f>
        <v>45818.6458333333</v>
      </c>
      <c r="D53" s="17">
        <f>IFERROR(__xludf.DUMMYFUNCTION("""COMPUTED_VALUE"""),195)</f>
        <v>195</v>
      </c>
      <c r="E53" s="16">
        <f>IFERROR(__xludf.DUMMYFUNCTION("""COMPUTED_VALUE"""),45818.6458333333)</f>
        <v>45818.6458333333</v>
      </c>
      <c r="F53" s="17">
        <f>IFERROR(__xludf.DUMMYFUNCTION("""COMPUTED_VALUE"""),11402867)</f>
        <v>11402867</v>
      </c>
      <c r="G53" s="16">
        <f>IFERROR(__xludf.DUMMYFUNCTION("""COMPUTED_VALUE"""),45818.6458333333)</f>
        <v>45818.6458333333</v>
      </c>
      <c r="H53" s="17">
        <f>IFERROR(__xludf.DUMMYFUNCTION("""COMPUTED_VALUE"""),197.5)</f>
        <v>197.5</v>
      </c>
      <c r="I53" s="16">
        <f>IFERROR(__xludf.DUMMYFUNCTION("""COMPUTED_VALUE"""),45818.6458333333)</f>
        <v>45818.6458333333</v>
      </c>
      <c r="J53" s="17">
        <f>IFERROR(__xludf.DUMMYFUNCTION("""COMPUTED_VALUE"""),192.75)</f>
        <v>192.75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IFERROR(__xludf.DUMMYFUNCTION("""COMPUTED_VALUE"""),200.09)</f>
        <v>200.09</v>
      </c>
      <c r="C54" s="16">
        <f>IFERROR(__xludf.DUMMYFUNCTION("""COMPUTED_VALUE"""),45819.6458333333)</f>
        <v>45819.6458333333</v>
      </c>
      <c r="D54" s="17">
        <f>IFERROR(__xludf.DUMMYFUNCTION("""COMPUTED_VALUE"""),197.01)</f>
        <v>197.01</v>
      </c>
      <c r="E54" s="16">
        <f>IFERROR(__xludf.DUMMYFUNCTION("""COMPUTED_VALUE"""),45819.6458333333)</f>
        <v>45819.6458333333</v>
      </c>
      <c r="F54" s="17">
        <f>IFERROR(__xludf.DUMMYFUNCTION("""COMPUTED_VALUE"""),24303718)</f>
        <v>24303718</v>
      </c>
      <c r="G54" s="16">
        <f>IFERROR(__xludf.DUMMYFUNCTION("""COMPUTED_VALUE"""),45819.6458333333)</f>
        <v>45819.6458333333</v>
      </c>
      <c r="H54" s="17">
        <f>IFERROR(__xludf.DUMMYFUNCTION("""COMPUTED_VALUE"""),200.6)</f>
        <v>200.6</v>
      </c>
      <c r="I54" s="16">
        <f>IFERROR(__xludf.DUMMYFUNCTION("""COMPUTED_VALUE"""),45819.6458333333)</f>
        <v>45819.6458333333</v>
      </c>
      <c r="J54" s="17">
        <f>IFERROR(__xludf.DUMMYFUNCTION("""COMPUTED_VALUE"""),196.3)</f>
        <v>196.3</v>
      </c>
      <c r="K54" s="3">
        <f t="shared" si="2"/>
        <v>200.09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IFERROR(__xludf.DUMMYFUNCTION("""COMPUTED_VALUE"""),192.18)</f>
        <v>192.18</v>
      </c>
      <c r="C55" s="16">
        <f>IFERROR(__xludf.DUMMYFUNCTION("""COMPUTED_VALUE"""),45820.6458333333)</f>
        <v>45820.6458333333</v>
      </c>
      <c r="D55" s="17">
        <f>IFERROR(__xludf.DUMMYFUNCTION("""COMPUTED_VALUE"""),202.4)</f>
        <v>202.4</v>
      </c>
      <c r="E55" s="16">
        <f>IFERROR(__xludf.DUMMYFUNCTION("""COMPUTED_VALUE"""),45820.6458333333)</f>
        <v>45820.6458333333</v>
      </c>
      <c r="F55" s="17">
        <f>IFERROR(__xludf.DUMMYFUNCTION("""COMPUTED_VALUE"""),27331751)</f>
        <v>27331751</v>
      </c>
      <c r="G55" s="16">
        <f>IFERROR(__xludf.DUMMYFUNCTION("""COMPUTED_VALUE"""),45820.6458333333)</f>
        <v>45820.6458333333</v>
      </c>
      <c r="H55" s="17">
        <f>IFERROR(__xludf.DUMMYFUNCTION("""COMPUTED_VALUE"""),202.79)</f>
        <v>202.79</v>
      </c>
      <c r="I55" s="16">
        <f>IFERROR(__xludf.DUMMYFUNCTION("""COMPUTED_VALUE"""),45820.6458333333)</f>
        <v>45820.6458333333</v>
      </c>
      <c r="J55" s="17">
        <f>IFERROR(__xludf.DUMMYFUNCTION("""COMPUTED_VALUE"""),191.76)</f>
        <v>191.76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IFERROR(__xludf.DUMMYFUNCTION("""COMPUTED_VALUE"""),191.34)</f>
        <v>191.34</v>
      </c>
      <c r="C56" s="16">
        <f>IFERROR(__xludf.DUMMYFUNCTION("""COMPUTED_VALUE"""),45821.6458333333)</f>
        <v>45821.6458333333</v>
      </c>
      <c r="D56" s="17">
        <f>IFERROR(__xludf.DUMMYFUNCTION("""COMPUTED_VALUE"""),190)</f>
        <v>190</v>
      </c>
      <c r="E56" s="16">
        <f>IFERROR(__xludf.DUMMYFUNCTION("""COMPUTED_VALUE"""),45821.6458333333)</f>
        <v>45821.6458333333</v>
      </c>
      <c r="F56" s="17">
        <f>IFERROR(__xludf.DUMMYFUNCTION("""COMPUTED_VALUE"""),15290087)</f>
        <v>15290087</v>
      </c>
      <c r="G56" s="16">
        <f>IFERROR(__xludf.DUMMYFUNCTION("""COMPUTED_VALUE"""),45821.6458333333)</f>
        <v>45821.6458333333</v>
      </c>
      <c r="H56" s="17">
        <f>IFERROR(__xludf.DUMMYFUNCTION("""COMPUTED_VALUE"""),192.53)</f>
        <v>192.53</v>
      </c>
      <c r="I56" s="16">
        <f>IFERROR(__xludf.DUMMYFUNCTION("""COMPUTED_VALUE"""),45821.6458333333)</f>
        <v>45821.6458333333</v>
      </c>
      <c r="J56" s="17">
        <f>IFERROR(__xludf.DUMMYFUNCTION("""COMPUTED_VALUE"""),185.17)</f>
        <v>185.17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IFERROR(__xludf.DUMMYFUNCTION("""COMPUTED_VALUE"""),191.63)</f>
        <v>191.63</v>
      </c>
      <c r="C57" s="16">
        <f>IFERROR(__xludf.DUMMYFUNCTION("""COMPUTED_VALUE"""),45824.6458333333)</f>
        <v>45824.6458333333</v>
      </c>
      <c r="D57" s="17">
        <f>IFERROR(__xludf.DUMMYFUNCTION("""COMPUTED_VALUE"""),192.5)</f>
        <v>192.5</v>
      </c>
      <c r="E57" s="16">
        <f>IFERROR(__xludf.DUMMYFUNCTION("""COMPUTED_VALUE"""),45824.6458333333)</f>
        <v>45824.6458333333</v>
      </c>
      <c r="F57" s="17">
        <f>IFERROR(__xludf.DUMMYFUNCTION("""COMPUTED_VALUE"""),7728599)</f>
        <v>7728599</v>
      </c>
      <c r="G57" s="16">
        <f>IFERROR(__xludf.DUMMYFUNCTION("""COMPUTED_VALUE"""),45824.6458333333)</f>
        <v>45824.6458333333</v>
      </c>
      <c r="H57" s="17">
        <f>IFERROR(__xludf.DUMMYFUNCTION("""COMPUTED_VALUE"""),192.65)</f>
        <v>192.65</v>
      </c>
      <c r="I57" s="16">
        <f>IFERROR(__xludf.DUMMYFUNCTION("""COMPUTED_VALUE"""),45824.6458333333)</f>
        <v>45824.6458333333</v>
      </c>
      <c r="J57" s="17">
        <f>IFERROR(__xludf.DUMMYFUNCTION("""COMPUTED_VALUE"""),188.5)</f>
        <v>188.5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IFERROR(__xludf.DUMMYFUNCTION("""COMPUTED_VALUE"""),190.47)</f>
        <v>190.47</v>
      </c>
      <c r="C58" s="16">
        <f>IFERROR(__xludf.DUMMYFUNCTION("""COMPUTED_VALUE"""),45825.6458333333)</f>
        <v>45825.6458333333</v>
      </c>
      <c r="D58" s="17">
        <f>IFERROR(__xludf.DUMMYFUNCTION("""COMPUTED_VALUE"""),191.63)</f>
        <v>191.63</v>
      </c>
      <c r="E58" s="16">
        <f>IFERROR(__xludf.DUMMYFUNCTION("""COMPUTED_VALUE"""),45825.6458333333)</f>
        <v>45825.6458333333</v>
      </c>
      <c r="F58" s="17">
        <f>IFERROR(__xludf.DUMMYFUNCTION("""COMPUTED_VALUE"""),8847687)</f>
        <v>8847687</v>
      </c>
      <c r="G58" s="16">
        <f>IFERROR(__xludf.DUMMYFUNCTION("""COMPUTED_VALUE"""),45825.6458333333)</f>
        <v>45825.6458333333</v>
      </c>
      <c r="H58" s="17">
        <f>IFERROR(__xludf.DUMMYFUNCTION("""COMPUTED_VALUE"""),192.5)</f>
        <v>192.5</v>
      </c>
      <c r="I58" s="16">
        <f>IFERROR(__xludf.DUMMYFUNCTION("""COMPUTED_VALUE"""),45825.6458333333)</f>
        <v>45825.6458333333</v>
      </c>
      <c r="J58" s="17">
        <f>IFERROR(__xludf.DUMMYFUNCTION("""COMPUTED_VALUE"""),188.8)</f>
        <v>188.8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IFERROR(__xludf.DUMMYFUNCTION("""COMPUTED_VALUE"""),185.72)</f>
        <v>185.72</v>
      </c>
      <c r="C59" s="16">
        <f>IFERROR(__xludf.DUMMYFUNCTION("""COMPUTED_VALUE"""),45826.6458333333)</f>
        <v>45826.6458333333</v>
      </c>
      <c r="D59" s="17">
        <f>IFERROR(__xludf.DUMMYFUNCTION("""COMPUTED_VALUE"""),188.61)</f>
        <v>188.61</v>
      </c>
      <c r="E59" s="16">
        <f>IFERROR(__xludf.DUMMYFUNCTION("""COMPUTED_VALUE"""),45826.6458333333)</f>
        <v>45826.6458333333</v>
      </c>
      <c r="F59" s="17">
        <f>IFERROR(__xludf.DUMMYFUNCTION("""COMPUTED_VALUE"""),11903224)</f>
        <v>11903224</v>
      </c>
      <c r="G59" s="16">
        <f>IFERROR(__xludf.DUMMYFUNCTION("""COMPUTED_VALUE"""),45826.6458333333)</f>
        <v>45826.6458333333</v>
      </c>
      <c r="H59" s="17">
        <f>IFERROR(__xludf.DUMMYFUNCTION("""COMPUTED_VALUE"""),190.4)</f>
        <v>190.4</v>
      </c>
      <c r="I59" s="16">
        <f>IFERROR(__xludf.DUMMYFUNCTION("""COMPUTED_VALUE"""),45826.6458333333)</f>
        <v>45826.6458333333</v>
      </c>
      <c r="J59" s="17">
        <f>IFERROR(__xludf.DUMMYFUNCTION("""COMPUTED_VALUE"""),185.2)</f>
        <v>185.2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IFERROR(__xludf.DUMMYFUNCTION("""COMPUTED_VALUE"""),180.41)</f>
        <v>180.41</v>
      </c>
      <c r="C60" s="16">
        <f>IFERROR(__xludf.DUMMYFUNCTION("""COMPUTED_VALUE"""),45827.6458333333)</f>
        <v>45827.6458333333</v>
      </c>
      <c r="D60" s="17">
        <f>IFERROR(__xludf.DUMMYFUNCTION("""COMPUTED_VALUE"""),185.5)</f>
        <v>185.5</v>
      </c>
      <c r="E60" s="16">
        <f>IFERROR(__xludf.DUMMYFUNCTION("""COMPUTED_VALUE"""),45827.6458333333)</f>
        <v>45827.6458333333</v>
      </c>
      <c r="F60" s="17">
        <f>IFERROR(__xludf.DUMMYFUNCTION("""COMPUTED_VALUE"""),18702293)</f>
        <v>18702293</v>
      </c>
      <c r="G60" s="16">
        <f>IFERROR(__xludf.DUMMYFUNCTION("""COMPUTED_VALUE"""),45827.6458333333)</f>
        <v>45827.6458333333</v>
      </c>
      <c r="H60" s="17">
        <f>IFERROR(__xludf.DUMMYFUNCTION("""COMPUTED_VALUE"""),186.46)</f>
        <v>186.46</v>
      </c>
      <c r="I60" s="16">
        <f>IFERROR(__xludf.DUMMYFUNCTION("""COMPUTED_VALUE"""),45827.6458333333)</f>
        <v>45827.6458333333</v>
      </c>
      <c r="J60" s="17">
        <f>IFERROR(__xludf.DUMMYFUNCTION("""COMPUTED_VALUE"""),179.5)</f>
        <v>179.5</v>
      </c>
      <c r="K60" s="3">
        <f t="shared" si="2"/>
        <v>0</v>
      </c>
      <c r="L60" s="3">
        <f t="shared" si="3"/>
        <v>180.41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IFERROR(__xludf.DUMMYFUNCTION("""COMPUTED_VALUE"""),181.85)</f>
        <v>181.85</v>
      </c>
      <c r="C61" s="16">
        <f>IFERROR(__xludf.DUMMYFUNCTION("""COMPUTED_VALUE"""),45828.6458333333)</f>
        <v>45828.6458333333</v>
      </c>
      <c r="D61" s="17">
        <f>IFERROR(__xludf.DUMMYFUNCTION("""COMPUTED_VALUE"""),180.15)</f>
        <v>180.15</v>
      </c>
      <c r="E61" s="16">
        <f>IFERROR(__xludf.DUMMYFUNCTION("""COMPUTED_VALUE"""),45828.6458333333)</f>
        <v>45828.6458333333</v>
      </c>
      <c r="F61" s="17">
        <f>IFERROR(__xludf.DUMMYFUNCTION("""COMPUTED_VALUE"""),18520686)</f>
        <v>18520686</v>
      </c>
      <c r="G61" s="16">
        <f>IFERROR(__xludf.DUMMYFUNCTION("""COMPUTED_VALUE"""),45828.6458333333)</f>
        <v>45828.6458333333</v>
      </c>
      <c r="H61" s="17">
        <f>IFERROR(__xludf.DUMMYFUNCTION("""COMPUTED_VALUE"""),182.62)</f>
        <v>182.62</v>
      </c>
      <c r="I61" s="16">
        <f>IFERROR(__xludf.DUMMYFUNCTION("""COMPUTED_VALUE"""),45828.6458333333)</f>
        <v>45828.6458333333</v>
      </c>
      <c r="J61" s="17">
        <f>IFERROR(__xludf.DUMMYFUNCTION("""COMPUTED_VALUE"""),179.42)</f>
        <v>179.42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IFERROR(__xludf.DUMMYFUNCTION("""COMPUTED_VALUE"""),184.76)</f>
        <v>184.76</v>
      </c>
      <c r="C62" s="16">
        <f>IFERROR(__xludf.DUMMYFUNCTION("""COMPUTED_VALUE"""),45831.6458333333)</f>
        <v>45831.6458333333</v>
      </c>
      <c r="D62" s="17">
        <f>IFERROR(__xludf.DUMMYFUNCTION("""COMPUTED_VALUE"""),180)</f>
        <v>180</v>
      </c>
      <c r="E62" s="16">
        <f>IFERROR(__xludf.DUMMYFUNCTION("""COMPUTED_VALUE"""),45831.6458333333)</f>
        <v>45831.6458333333</v>
      </c>
      <c r="F62" s="17">
        <f>IFERROR(__xludf.DUMMYFUNCTION("""COMPUTED_VALUE"""),11308631)</f>
        <v>11308631</v>
      </c>
      <c r="G62" s="16">
        <f>IFERROR(__xludf.DUMMYFUNCTION("""COMPUTED_VALUE"""),45831.6458333333)</f>
        <v>45831.6458333333</v>
      </c>
      <c r="H62" s="17">
        <f>IFERROR(__xludf.DUMMYFUNCTION("""COMPUTED_VALUE"""),185.16)</f>
        <v>185.16</v>
      </c>
      <c r="I62" s="16">
        <f>IFERROR(__xludf.DUMMYFUNCTION("""COMPUTED_VALUE"""),45831.6458333333)</f>
        <v>45831.6458333333</v>
      </c>
      <c r="J62" s="17">
        <f>IFERROR(__xludf.DUMMYFUNCTION("""COMPUTED_VALUE"""),179.85)</f>
        <v>179.85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IFERROR(__xludf.DUMMYFUNCTION("""COMPUTED_VALUE"""),185.49)</f>
        <v>185.49</v>
      </c>
      <c r="C63" s="16">
        <f>IFERROR(__xludf.DUMMYFUNCTION("""COMPUTED_VALUE"""),45832.6458333333)</f>
        <v>45832.6458333333</v>
      </c>
      <c r="D63" s="17">
        <f>IFERROR(__xludf.DUMMYFUNCTION("""COMPUTED_VALUE"""),186.06)</f>
        <v>186.06</v>
      </c>
      <c r="E63" s="16">
        <f>IFERROR(__xludf.DUMMYFUNCTION("""COMPUTED_VALUE"""),45832.6458333333)</f>
        <v>45832.6458333333</v>
      </c>
      <c r="F63" s="17">
        <f>IFERROR(__xludf.DUMMYFUNCTION("""COMPUTED_VALUE"""),7404157)</f>
        <v>7404157</v>
      </c>
      <c r="G63" s="16">
        <f>IFERROR(__xludf.DUMMYFUNCTION("""COMPUTED_VALUE"""),45832.6458333333)</f>
        <v>45832.6458333333</v>
      </c>
      <c r="H63" s="17">
        <f>IFERROR(__xludf.DUMMYFUNCTION("""COMPUTED_VALUE"""),187.89)</f>
        <v>187.89</v>
      </c>
      <c r="I63" s="16">
        <f>IFERROR(__xludf.DUMMYFUNCTION("""COMPUTED_VALUE"""),45832.6458333333)</f>
        <v>45832.6458333333</v>
      </c>
      <c r="J63" s="17">
        <f>IFERROR(__xludf.DUMMYFUNCTION("""COMPUTED_VALUE"""),185.11)</f>
        <v>185.11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IFERROR(__xludf.DUMMYFUNCTION("""COMPUTED_VALUE"""),183.98)</f>
        <v>183.98</v>
      </c>
      <c r="C64" s="16">
        <f>IFERROR(__xludf.DUMMYFUNCTION("""COMPUTED_VALUE"""),45833.6458333333)</f>
        <v>45833.6458333333</v>
      </c>
      <c r="D64" s="17">
        <f>IFERROR(__xludf.DUMMYFUNCTION("""COMPUTED_VALUE"""),187.39)</f>
        <v>187.39</v>
      </c>
      <c r="E64" s="16">
        <f>IFERROR(__xludf.DUMMYFUNCTION("""COMPUTED_VALUE"""),45833.6458333333)</f>
        <v>45833.6458333333</v>
      </c>
      <c r="F64" s="17">
        <f>IFERROR(__xludf.DUMMYFUNCTION("""COMPUTED_VALUE"""),8112854)</f>
        <v>8112854</v>
      </c>
      <c r="G64" s="16">
        <f>IFERROR(__xludf.DUMMYFUNCTION("""COMPUTED_VALUE"""),45833.6458333333)</f>
        <v>45833.6458333333</v>
      </c>
      <c r="H64" s="17">
        <f>IFERROR(__xludf.DUMMYFUNCTION("""COMPUTED_VALUE"""),187.39)</f>
        <v>187.39</v>
      </c>
      <c r="I64" s="16">
        <f>IFERROR(__xludf.DUMMYFUNCTION("""COMPUTED_VALUE"""),45833.6458333333)</f>
        <v>45833.6458333333</v>
      </c>
      <c r="J64" s="17">
        <f>IFERROR(__xludf.DUMMYFUNCTION("""COMPUTED_VALUE"""),183.61)</f>
        <v>183.61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IFERROR(__xludf.DUMMYFUNCTION("""COMPUTED_VALUE"""),186.79)</f>
        <v>186.79</v>
      </c>
      <c r="C65" s="16">
        <f>IFERROR(__xludf.DUMMYFUNCTION("""COMPUTED_VALUE"""),45834.6458333333)</f>
        <v>45834.6458333333</v>
      </c>
      <c r="D65" s="17">
        <f>IFERROR(__xludf.DUMMYFUNCTION("""COMPUTED_VALUE"""),184.62)</f>
        <v>184.62</v>
      </c>
      <c r="E65" s="16">
        <f>IFERROR(__xludf.DUMMYFUNCTION("""COMPUTED_VALUE"""),45834.6458333333)</f>
        <v>45834.6458333333</v>
      </c>
      <c r="F65" s="17">
        <f>IFERROR(__xludf.DUMMYFUNCTION("""COMPUTED_VALUE"""),12858332)</f>
        <v>12858332</v>
      </c>
      <c r="G65" s="16">
        <f>IFERROR(__xludf.DUMMYFUNCTION("""COMPUTED_VALUE"""),45834.6458333333)</f>
        <v>45834.6458333333</v>
      </c>
      <c r="H65" s="17">
        <f>IFERROR(__xludf.DUMMYFUNCTION("""COMPUTED_VALUE"""),187.2)</f>
        <v>187.2</v>
      </c>
      <c r="I65" s="16">
        <f>IFERROR(__xludf.DUMMYFUNCTION("""COMPUTED_VALUE"""),45834.6458333333)</f>
        <v>45834.6458333333</v>
      </c>
      <c r="J65" s="17">
        <f>IFERROR(__xludf.DUMMYFUNCTION("""COMPUTED_VALUE"""),183.84)</f>
        <v>183.84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IFERROR(__xludf.DUMMYFUNCTION("""COMPUTED_VALUE"""),191.02)</f>
        <v>191.02</v>
      </c>
      <c r="C66" s="16">
        <f>IFERROR(__xludf.DUMMYFUNCTION("""COMPUTED_VALUE"""),45835.6458333333)</f>
        <v>45835.6458333333</v>
      </c>
      <c r="D66" s="17">
        <f>IFERROR(__xludf.DUMMYFUNCTION("""COMPUTED_VALUE"""),187.7)</f>
        <v>187.7</v>
      </c>
      <c r="E66" s="16">
        <f>IFERROR(__xludf.DUMMYFUNCTION("""COMPUTED_VALUE"""),45835.6458333333)</f>
        <v>45835.6458333333</v>
      </c>
      <c r="F66" s="17">
        <f>IFERROR(__xludf.DUMMYFUNCTION("""COMPUTED_VALUE"""),13050123)</f>
        <v>13050123</v>
      </c>
      <c r="G66" s="16">
        <f>IFERROR(__xludf.DUMMYFUNCTION("""COMPUTED_VALUE"""),45835.6458333333)</f>
        <v>45835.6458333333</v>
      </c>
      <c r="H66" s="17">
        <f>IFERROR(__xludf.DUMMYFUNCTION("""COMPUTED_VALUE"""),191.61)</f>
        <v>191.61</v>
      </c>
      <c r="I66" s="16">
        <f>IFERROR(__xludf.DUMMYFUNCTION("""COMPUTED_VALUE"""),45835.6458333333)</f>
        <v>45835.6458333333</v>
      </c>
      <c r="J66" s="17">
        <f>IFERROR(__xludf.DUMMYFUNCTION("""COMPUTED_VALUE"""),187.11)</f>
        <v>187.11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IFERROR(__xludf.DUMMYFUNCTION("""COMPUTED_VALUE"""),190.84)</f>
        <v>190.84</v>
      </c>
      <c r="C67" s="16">
        <f>IFERROR(__xludf.DUMMYFUNCTION("""COMPUTED_VALUE"""),45838.6458333333)</f>
        <v>45838.6458333333</v>
      </c>
      <c r="D67" s="17">
        <f>IFERROR(__xludf.DUMMYFUNCTION("""COMPUTED_VALUE"""),192)</f>
        <v>192</v>
      </c>
      <c r="E67" s="16">
        <f>IFERROR(__xludf.DUMMYFUNCTION("""COMPUTED_VALUE"""),45838.6458333333)</f>
        <v>45838.6458333333</v>
      </c>
      <c r="F67" s="17">
        <f>IFERROR(__xludf.DUMMYFUNCTION("""COMPUTED_VALUE"""),9866638)</f>
        <v>9866638</v>
      </c>
      <c r="G67" s="16">
        <f>IFERROR(__xludf.DUMMYFUNCTION("""COMPUTED_VALUE"""),45838.6458333333)</f>
        <v>45838.6458333333</v>
      </c>
      <c r="H67" s="17">
        <f>IFERROR(__xludf.DUMMYFUNCTION("""COMPUTED_VALUE"""),192.45)</f>
        <v>192.45</v>
      </c>
      <c r="I67" s="16">
        <f>IFERROR(__xludf.DUMMYFUNCTION("""COMPUTED_VALUE"""),45838.6458333333)</f>
        <v>45838.6458333333</v>
      </c>
      <c r="J67" s="17">
        <f>IFERROR(__xludf.DUMMYFUNCTION("""COMPUTED_VALUE"""),189.25)</f>
        <v>189.25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IFERROR(__xludf.DUMMYFUNCTION("""COMPUTED_VALUE"""),189.62)</f>
        <v>189.62</v>
      </c>
      <c r="C68" s="16">
        <f>IFERROR(__xludf.DUMMYFUNCTION("""COMPUTED_VALUE"""),45839.6458333333)</f>
        <v>45839.6458333333</v>
      </c>
      <c r="D68" s="17">
        <f>IFERROR(__xludf.DUMMYFUNCTION("""COMPUTED_VALUE"""),191.1)</f>
        <v>191.1</v>
      </c>
      <c r="E68" s="16">
        <f>IFERROR(__xludf.DUMMYFUNCTION("""COMPUTED_VALUE"""),45839.6458333333)</f>
        <v>45839.6458333333</v>
      </c>
      <c r="F68" s="17">
        <f>IFERROR(__xludf.DUMMYFUNCTION("""COMPUTED_VALUE"""),8969214)</f>
        <v>8969214</v>
      </c>
      <c r="G68" s="16">
        <f>IFERROR(__xludf.DUMMYFUNCTION("""COMPUTED_VALUE"""),45839.6458333333)</f>
        <v>45839.6458333333</v>
      </c>
      <c r="H68" s="17">
        <f>IFERROR(__xludf.DUMMYFUNCTION("""COMPUTED_VALUE"""),191.32)</f>
        <v>191.32</v>
      </c>
      <c r="I68" s="16">
        <f>IFERROR(__xludf.DUMMYFUNCTION("""COMPUTED_VALUE"""),45839.6458333333)</f>
        <v>45839.6458333333</v>
      </c>
      <c r="J68" s="17">
        <f>IFERROR(__xludf.DUMMYFUNCTION("""COMPUTED_VALUE"""),188)</f>
        <v>188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IFERROR(__xludf.DUMMYFUNCTION("""COMPUTED_VALUE"""),190.76)</f>
        <v>190.76</v>
      </c>
      <c r="C69" s="16">
        <f>IFERROR(__xludf.DUMMYFUNCTION("""COMPUTED_VALUE"""),45840.6458333333)</f>
        <v>45840.6458333333</v>
      </c>
      <c r="D69" s="17">
        <f>IFERROR(__xludf.DUMMYFUNCTION("""COMPUTED_VALUE"""),190.46)</f>
        <v>190.46</v>
      </c>
      <c r="E69" s="16">
        <f>IFERROR(__xludf.DUMMYFUNCTION("""COMPUTED_VALUE"""),45840.6458333333)</f>
        <v>45840.6458333333</v>
      </c>
      <c r="F69" s="17">
        <f>IFERROR(__xludf.DUMMYFUNCTION("""COMPUTED_VALUE"""),13834006)</f>
        <v>13834006</v>
      </c>
      <c r="G69" s="16">
        <f>IFERROR(__xludf.DUMMYFUNCTION("""COMPUTED_VALUE"""),45840.6458333333)</f>
        <v>45840.6458333333</v>
      </c>
      <c r="H69" s="17">
        <f>IFERROR(__xludf.DUMMYFUNCTION("""COMPUTED_VALUE"""),191.99)</f>
        <v>191.99</v>
      </c>
      <c r="I69" s="16">
        <f>IFERROR(__xludf.DUMMYFUNCTION("""COMPUTED_VALUE"""),45840.6458333333)</f>
        <v>45840.6458333333</v>
      </c>
      <c r="J69" s="17">
        <f>IFERROR(__xludf.DUMMYFUNCTION("""COMPUTED_VALUE"""),188.15)</f>
        <v>188.15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IFERROR(__xludf.DUMMYFUNCTION("""COMPUTED_VALUE"""),192.74)</f>
        <v>192.74</v>
      </c>
      <c r="C70" s="16">
        <f>IFERROR(__xludf.DUMMYFUNCTION("""COMPUTED_VALUE"""),45841.6458333333)</f>
        <v>45841.6458333333</v>
      </c>
      <c r="D70" s="17">
        <f>IFERROR(__xludf.DUMMYFUNCTION("""COMPUTED_VALUE"""),191.31)</f>
        <v>191.31</v>
      </c>
      <c r="E70" s="16">
        <f>IFERROR(__xludf.DUMMYFUNCTION("""COMPUTED_VALUE"""),45841.6458333333)</f>
        <v>45841.6458333333</v>
      </c>
      <c r="F70" s="17">
        <f>IFERROR(__xludf.DUMMYFUNCTION("""COMPUTED_VALUE"""),14497014)</f>
        <v>14497014</v>
      </c>
      <c r="G70" s="16">
        <f>IFERROR(__xludf.DUMMYFUNCTION("""COMPUTED_VALUE"""),45841.6458333333)</f>
        <v>45841.6458333333</v>
      </c>
      <c r="H70" s="17">
        <f>IFERROR(__xludf.DUMMYFUNCTION("""COMPUTED_VALUE"""),193.52)</f>
        <v>193.52</v>
      </c>
      <c r="I70" s="16">
        <f>IFERROR(__xludf.DUMMYFUNCTION("""COMPUTED_VALUE"""),45841.6458333333)</f>
        <v>45841.6458333333</v>
      </c>
      <c r="J70" s="17">
        <f>IFERROR(__xludf.DUMMYFUNCTION("""COMPUTED_VALUE"""),190.76)</f>
        <v>190.76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IFERROR(__xludf.DUMMYFUNCTION("""COMPUTED_VALUE"""),193.41)</f>
        <v>193.41</v>
      </c>
      <c r="C71" s="16">
        <f>IFERROR(__xludf.DUMMYFUNCTION("""COMPUTED_VALUE"""),45842.6458333333)</f>
        <v>45842.6458333333</v>
      </c>
      <c r="D71" s="17">
        <f>IFERROR(__xludf.DUMMYFUNCTION("""COMPUTED_VALUE"""),192.74)</f>
        <v>192.74</v>
      </c>
      <c r="E71" s="16">
        <f>IFERROR(__xludf.DUMMYFUNCTION("""COMPUTED_VALUE"""),45842.6458333333)</f>
        <v>45842.6458333333</v>
      </c>
      <c r="F71" s="17">
        <f>IFERROR(__xludf.DUMMYFUNCTION("""COMPUTED_VALUE"""),11748872)</f>
        <v>11748872</v>
      </c>
      <c r="G71" s="16">
        <f>IFERROR(__xludf.DUMMYFUNCTION("""COMPUTED_VALUE"""),45842.6458333333)</f>
        <v>45842.6458333333</v>
      </c>
      <c r="H71" s="17">
        <f>IFERROR(__xludf.DUMMYFUNCTION("""COMPUTED_VALUE"""),195.19)</f>
        <v>195.19</v>
      </c>
      <c r="I71" s="16">
        <f>IFERROR(__xludf.DUMMYFUNCTION("""COMPUTED_VALUE"""),45842.6458333333)</f>
        <v>45842.6458333333</v>
      </c>
      <c r="J71" s="17">
        <f>IFERROR(__xludf.DUMMYFUNCTION("""COMPUTED_VALUE"""),191.65)</f>
        <v>191.65</v>
      </c>
      <c r="K71" s="3">
        <f t="shared" si="2"/>
        <v>193.41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IFERROR(__xludf.DUMMYFUNCTION("""COMPUTED_VALUE"""),193.15)</f>
        <v>193.15</v>
      </c>
      <c r="C72" s="16">
        <f>IFERROR(__xludf.DUMMYFUNCTION("""COMPUTED_VALUE"""),45845.6458333333)</f>
        <v>45845.6458333333</v>
      </c>
      <c r="D72" s="17">
        <f>IFERROR(__xludf.DUMMYFUNCTION("""COMPUTED_VALUE"""),193.5)</f>
        <v>193.5</v>
      </c>
      <c r="E72" s="16">
        <f>IFERROR(__xludf.DUMMYFUNCTION("""COMPUTED_VALUE"""),45845.6458333333)</f>
        <v>45845.6458333333</v>
      </c>
      <c r="F72" s="17">
        <f>IFERROR(__xludf.DUMMYFUNCTION("""COMPUTED_VALUE"""),10135456)</f>
        <v>10135456</v>
      </c>
      <c r="G72" s="16">
        <f>IFERROR(__xludf.DUMMYFUNCTION("""COMPUTED_VALUE"""),45845.6458333333)</f>
        <v>45845.6458333333</v>
      </c>
      <c r="H72" s="17">
        <f>IFERROR(__xludf.DUMMYFUNCTION("""COMPUTED_VALUE"""),195.3)</f>
        <v>195.3</v>
      </c>
      <c r="I72" s="16">
        <f>IFERROR(__xludf.DUMMYFUNCTION("""COMPUTED_VALUE"""),45845.6458333333)</f>
        <v>45845.6458333333</v>
      </c>
      <c r="J72" s="17">
        <f>IFERROR(__xludf.DUMMYFUNCTION("""COMPUTED_VALUE"""),192.72)</f>
        <v>192.72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IFERROR(__xludf.DUMMYFUNCTION("""COMPUTED_VALUE"""),192.63)</f>
        <v>192.63</v>
      </c>
      <c r="C73" s="16">
        <f>IFERROR(__xludf.DUMMYFUNCTION("""COMPUTED_VALUE"""),45846.6458333333)</f>
        <v>45846.6458333333</v>
      </c>
      <c r="D73" s="17">
        <f>IFERROR(__xludf.DUMMYFUNCTION("""COMPUTED_VALUE"""),193.1)</f>
        <v>193.1</v>
      </c>
      <c r="E73" s="16">
        <f>IFERROR(__xludf.DUMMYFUNCTION("""COMPUTED_VALUE"""),45846.6458333333)</f>
        <v>45846.6458333333</v>
      </c>
      <c r="F73" s="17">
        <f>IFERROR(__xludf.DUMMYFUNCTION("""COMPUTED_VALUE"""),10024889)</f>
        <v>10024889</v>
      </c>
      <c r="G73" s="16">
        <f>IFERROR(__xludf.DUMMYFUNCTION("""COMPUTED_VALUE"""),45846.6458333333)</f>
        <v>45846.6458333333</v>
      </c>
      <c r="H73" s="17">
        <f>IFERROR(__xludf.DUMMYFUNCTION("""COMPUTED_VALUE"""),195.45)</f>
        <v>195.45</v>
      </c>
      <c r="I73" s="16">
        <f>IFERROR(__xludf.DUMMYFUNCTION("""COMPUTED_VALUE"""),45846.6458333333)</f>
        <v>45846.6458333333</v>
      </c>
      <c r="J73" s="17">
        <f>IFERROR(__xludf.DUMMYFUNCTION("""COMPUTED_VALUE"""),192.18)</f>
        <v>192.18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IFERROR(__xludf.DUMMYFUNCTION("""COMPUTED_VALUE"""),185.03)</f>
        <v>185.03</v>
      </c>
      <c r="C74" s="16">
        <f>IFERROR(__xludf.DUMMYFUNCTION("""COMPUTED_VALUE"""),45847.6458333333)</f>
        <v>45847.6458333333</v>
      </c>
      <c r="D74" s="17">
        <f>IFERROR(__xludf.DUMMYFUNCTION("""COMPUTED_VALUE"""),192.7)</f>
        <v>192.7</v>
      </c>
      <c r="E74" s="16">
        <f>IFERROR(__xludf.DUMMYFUNCTION("""COMPUTED_VALUE"""),45847.6458333333)</f>
        <v>45847.6458333333</v>
      </c>
      <c r="F74" s="17">
        <f>IFERROR(__xludf.DUMMYFUNCTION("""COMPUTED_VALUE"""),27312219)</f>
        <v>27312219</v>
      </c>
      <c r="G74" s="16">
        <f>IFERROR(__xludf.DUMMYFUNCTION("""COMPUTED_VALUE"""),45847.6458333333)</f>
        <v>45847.6458333333</v>
      </c>
      <c r="H74" s="17">
        <f>IFERROR(__xludf.DUMMYFUNCTION("""COMPUTED_VALUE"""),192.7)</f>
        <v>192.7</v>
      </c>
      <c r="I74" s="16">
        <f>IFERROR(__xludf.DUMMYFUNCTION("""COMPUTED_VALUE"""),45847.6458333333)</f>
        <v>45847.6458333333</v>
      </c>
      <c r="J74" s="17">
        <f>IFERROR(__xludf.DUMMYFUNCTION("""COMPUTED_VALUE"""),184.7)</f>
        <v>184.7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IFERROR(__xludf.DUMMYFUNCTION("""COMPUTED_VALUE"""),185.67)</f>
        <v>185.67</v>
      </c>
      <c r="C75" s="16">
        <f>IFERROR(__xludf.DUMMYFUNCTION("""COMPUTED_VALUE"""),45848.6458333333)</f>
        <v>45848.6458333333</v>
      </c>
      <c r="D75" s="17">
        <f>IFERROR(__xludf.DUMMYFUNCTION("""COMPUTED_VALUE"""),187)</f>
        <v>187</v>
      </c>
      <c r="E75" s="16">
        <f>IFERROR(__xludf.DUMMYFUNCTION("""COMPUTED_VALUE"""),45848.6458333333)</f>
        <v>45848.6458333333</v>
      </c>
      <c r="F75" s="17">
        <f>IFERROR(__xludf.DUMMYFUNCTION("""COMPUTED_VALUE"""),13016217)</f>
        <v>13016217</v>
      </c>
      <c r="G75" s="16">
        <f>IFERROR(__xludf.DUMMYFUNCTION("""COMPUTED_VALUE"""),45848.6458333333)</f>
        <v>45848.6458333333</v>
      </c>
      <c r="H75" s="17">
        <f>IFERROR(__xludf.DUMMYFUNCTION("""COMPUTED_VALUE"""),187)</f>
        <v>187</v>
      </c>
      <c r="I75" s="16">
        <f>IFERROR(__xludf.DUMMYFUNCTION("""COMPUTED_VALUE"""),45848.6458333333)</f>
        <v>45848.6458333333</v>
      </c>
      <c r="J75" s="17">
        <f>IFERROR(__xludf.DUMMYFUNCTION("""COMPUTED_VALUE"""),184.1)</f>
        <v>184.1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IFERROR(__xludf.DUMMYFUNCTION("""COMPUTED_VALUE"""),181.89)</f>
        <v>181.89</v>
      </c>
      <c r="C76" s="16">
        <f>IFERROR(__xludf.DUMMYFUNCTION("""COMPUTED_VALUE"""),45849.6458333333)</f>
        <v>45849.6458333333</v>
      </c>
      <c r="D76" s="17">
        <f>IFERROR(__xludf.DUMMYFUNCTION("""COMPUTED_VALUE"""),185.3)</f>
        <v>185.3</v>
      </c>
      <c r="E76" s="16">
        <f>IFERROR(__xludf.DUMMYFUNCTION("""COMPUTED_VALUE"""),45849.6458333333)</f>
        <v>45849.6458333333</v>
      </c>
      <c r="F76" s="17">
        <f>IFERROR(__xludf.DUMMYFUNCTION("""COMPUTED_VALUE"""),13793909)</f>
        <v>13793909</v>
      </c>
      <c r="G76" s="16">
        <f>IFERROR(__xludf.DUMMYFUNCTION("""COMPUTED_VALUE"""),45849.6458333333)</f>
        <v>45849.6458333333</v>
      </c>
      <c r="H76" s="17">
        <f>IFERROR(__xludf.DUMMYFUNCTION("""COMPUTED_VALUE"""),185.3)</f>
        <v>185.3</v>
      </c>
      <c r="I76" s="16">
        <f>IFERROR(__xludf.DUMMYFUNCTION("""COMPUTED_VALUE"""),45849.6458333333)</f>
        <v>45849.6458333333</v>
      </c>
      <c r="J76" s="17">
        <f>IFERROR(__xludf.DUMMYFUNCTION("""COMPUTED_VALUE"""),181.55)</f>
        <v>181.55</v>
      </c>
      <c r="K76" s="3">
        <f t="shared" si="2"/>
        <v>0</v>
      </c>
      <c r="L76" s="3">
        <f t="shared" si="3"/>
        <v>181.89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IFERROR(__xludf.DUMMYFUNCTION("""COMPUTED_VALUE"""),183.64)</f>
        <v>183.64</v>
      </c>
      <c r="C77" s="16">
        <f>IFERROR(__xludf.DUMMYFUNCTION("""COMPUTED_VALUE"""),45852.6458333333)</f>
        <v>45852.6458333333</v>
      </c>
      <c r="D77" s="17">
        <f>IFERROR(__xludf.DUMMYFUNCTION("""COMPUTED_VALUE"""),181.89)</f>
        <v>181.89</v>
      </c>
      <c r="E77" s="16">
        <f>IFERROR(__xludf.DUMMYFUNCTION("""COMPUTED_VALUE"""),45852.6458333333)</f>
        <v>45852.6458333333</v>
      </c>
      <c r="F77" s="17">
        <f>IFERROR(__xludf.DUMMYFUNCTION("""COMPUTED_VALUE"""),15937447)</f>
        <v>15937447</v>
      </c>
      <c r="G77" s="16">
        <f>IFERROR(__xludf.DUMMYFUNCTION("""COMPUTED_VALUE"""),45852.6458333333)</f>
        <v>45852.6458333333</v>
      </c>
      <c r="H77" s="17">
        <f>IFERROR(__xludf.DUMMYFUNCTION("""COMPUTED_VALUE"""),184.4)</f>
        <v>184.4</v>
      </c>
      <c r="I77" s="16">
        <f>IFERROR(__xludf.DUMMYFUNCTION("""COMPUTED_VALUE"""),45852.6458333333)</f>
        <v>45852.6458333333</v>
      </c>
      <c r="J77" s="17">
        <f>IFERROR(__xludf.DUMMYFUNCTION("""COMPUTED_VALUE"""),180.11)</f>
        <v>180.11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IFERROR(__xludf.DUMMYFUNCTION("""COMPUTED_VALUE"""),184.71)</f>
        <v>184.71</v>
      </c>
      <c r="C78" s="16">
        <f>IFERROR(__xludf.DUMMYFUNCTION("""COMPUTED_VALUE"""),45853.6458333333)</f>
        <v>45853.6458333333</v>
      </c>
      <c r="D78" s="17">
        <f>IFERROR(__xludf.DUMMYFUNCTION("""COMPUTED_VALUE"""),182.32)</f>
        <v>182.32</v>
      </c>
      <c r="E78" s="16">
        <f>IFERROR(__xludf.DUMMYFUNCTION("""COMPUTED_VALUE"""),45853.6458333333)</f>
        <v>45853.6458333333</v>
      </c>
      <c r="F78" s="17">
        <f>IFERROR(__xludf.DUMMYFUNCTION("""COMPUTED_VALUE"""),7678880)</f>
        <v>7678880</v>
      </c>
      <c r="G78" s="16">
        <f>IFERROR(__xludf.DUMMYFUNCTION("""COMPUTED_VALUE"""),45853.6458333333)</f>
        <v>45853.6458333333</v>
      </c>
      <c r="H78" s="17">
        <f>IFERROR(__xludf.DUMMYFUNCTION("""COMPUTED_VALUE"""),184.99)</f>
        <v>184.99</v>
      </c>
      <c r="I78" s="16">
        <f>IFERROR(__xludf.DUMMYFUNCTION("""COMPUTED_VALUE"""),45853.6458333333)</f>
        <v>45853.6458333333</v>
      </c>
      <c r="J78" s="17">
        <f>IFERROR(__xludf.DUMMYFUNCTION("""COMPUTED_VALUE"""),182.32)</f>
        <v>182.32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IFERROR(__xludf.DUMMYFUNCTION("""COMPUTED_VALUE"""),184.33)</f>
        <v>184.33</v>
      </c>
      <c r="C79" s="16">
        <f>IFERROR(__xludf.DUMMYFUNCTION("""COMPUTED_VALUE"""),45854.6458333333)</f>
        <v>45854.6458333333</v>
      </c>
      <c r="D79" s="17">
        <f>IFERROR(__xludf.DUMMYFUNCTION("""COMPUTED_VALUE"""),184.69)</f>
        <v>184.69</v>
      </c>
      <c r="E79" s="16">
        <f>IFERROR(__xludf.DUMMYFUNCTION("""COMPUTED_VALUE"""),45854.6458333333)</f>
        <v>45854.6458333333</v>
      </c>
      <c r="F79" s="17">
        <f>IFERROR(__xludf.DUMMYFUNCTION("""COMPUTED_VALUE"""),8484342)</f>
        <v>8484342</v>
      </c>
      <c r="G79" s="16">
        <f>IFERROR(__xludf.DUMMYFUNCTION("""COMPUTED_VALUE"""),45854.6458333333)</f>
        <v>45854.6458333333</v>
      </c>
      <c r="H79" s="17">
        <f>IFERROR(__xludf.DUMMYFUNCTION("""COMPUTED_VALUE"""),185.18)</f>
        <v>185.18</v>
      </c>
      <c r="I79" s="16">
        <f>IFERROR(__xludf.DUMMYFUNCTION("""COMPUTED_VALUE"""),45854.6458333333)</f>
        <v>45854.6458333333</v>
      </c>
      <c r="J79" s="17">
        <f>IFERROR(__xludf.DUMMYFUNCTION("""COMPUTED_VALUE"""),183.4)</f>
        <v>183.4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IFERROR(__xludf.DUMMYFUNCTION("""COMPUTED_VALUE"""),185.29)</f>
        <v>185.29</v>
      </c>
      <c r="C80" s="16">
        <f>IFERROR(__xludf.DUMMYFUNCTION("""COMPUTED_VALUE"""),45855.6458333333)</f>
        <v>45855.6458333333</v>
      </c>
      <c r="D80" s="17">
        <f>IFERROR(__xludf.DUMMYFUNCTION("""COMPUTED_VALUE"""),184.76)</f>
        <v>184.76</v>
      </c>
      <c r="E80" s="16">
        <f>IFERROR(__xludf.DUMMYFUNCTION("""COMPUTED_VALUE"""),45855.6458333333)</f>
        <v>45855.6458333333</v>
      </c>
      <c r="F80" s="17">
        <f>IFERROR(__xludf.DUMMYFUNCTION("""COMPUTED_VALUE"""),7030843)</f>
        <v>7030843</v>
      </c>
      <c r="G80" s="16">
        <f>IFERROR(__xludf.DUMMYFUNCTION("""COMPUTED_VALUE"""),45855.6458333333)</f>
        <v>45855.6458333333</v>
      </c>
      <c r="H80" s="17">
        <f>IFERROR(__xludf.DUMMYFUNCTION("""COMPUTED_VALUE"""),186.1)</f>
        <v>186.1</v>
      </c>
      <c r="I80" s="16">
        <f>IFERROR(__xludf.DUMMYFUNCTION("""COMPUTED_VALUE"""),45855.6458333333)</f>
        <v>45855.6458333333</v>
      </c>
      <c r="J80" s="17">
        <f>IFERROR(__xludf.DUMMYFUNCTION("""COMPUTED_VALUE"""),184.1)</f>
        <v>184.1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IFERROR(__xludf.DUMMYFUNCTION("""COMPUTED_VALUE"""),185.23)</f>
        <v>185.23</v>
      </c>
      <c r="C81" s="16">
        <f>IFERROR(__xludf.DUMMYFUNCTION("""COMPUTED_VALUE"""),45856.6458333333)</f>
        <v>45856.6458333333</v>
      </c>
      <c r="D81" s="17">
        <f>IFERROR(__xludf.DUMMYFUNCTION("""COMPUTED_VALUE"""),185)</f>
        <v>185</v>
      </c>
      <c r="E81" s="16">
        <f>IFERROR(__xludf.DUMMYFUNCTION("""COMPUTED_VALUE"""),45856.6458333333)</f>
        <v>45856.6458333333</v>
      </c>
      <c r="F81" s="17">
        <f>IFERROR(__xludf.DUMMYFUNCTION("""COMPUTED_VALUE"""),7725761)</f>
        <v>7725761</v>
      </c>
      <c r="G81" s="16">
        <f>IFERROR(__xludf.DUMMYFUNCTION("""COMPUTED_VALUE"""),45856.6458333333)</f>
        <v>45856.6458333333</v>
      </c>
      <c r="H81" s="17">
        <f>IFERROR(__xludf.DUMMYFUNCTION("""COMPUTED_VALUE"""),186.04)</f>
        <v>186.04</v>
      </c>
      <c r="I81" s="16">
        <f>IFERROR(__xludf.DUMMYFUNCTION("""COMPUTED_VALUE"""),45856.6458333333)</f>
        <v>45856.6458333333</v>
      </c>
      <c r="J81" s="17">
        <f>IFERROR(__xludf.DUMMYFUNCTION("""COMPUTED_VALUE"""),183.1)</f>
        <v>183.1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IFERROR(__xludf.DUMMYFUNCTION("""COMPUTED_VALUE"""),184.12)</f>
        <v>184.12</v>
      </c>
      <c r="C82" s="16">
        <f>IFERROR(__xludf.DUMMYFUNCTION("""COMPUTED_VALUE"""),45859.6458333333)</f>
        <v>45859.6458333333</v>
      </c>
      <c r="D82" s="17">
        <f>IFERROR(__xludf.DUMMYFUNCTION("""COMPUTED_VALUE"""),184.6)</f>
        <v>184.6</v>
      </c>
      <c r="E82" s="16">
        <f>IFERROR(__xludf.DUMMYFUNCTION("""COMPUTED_VALUE"""),45859.6458333333)</f>
        <v>45859.6458333333</v>
      </c>
      <c r="F82" s="17">
        <f>IFERROR(__xludf.DUMMYFUNCTION("""COMPUTED_VALUE"""),5533832)</f>
        <v>5533832</v>
      </c>
      <c r="G82" s="16">
        <f>IFERROR(__xludf.DUMMYFUNCTION("""COMPUTED_VALUE"""),45859.6458333333)</f>
        <v>45859.6458333333</v>
      </c>
      <c r="H82" s="17">
        <f>IFERROR(__xludf.DUMMYFUNCTION("""COMPUTED_VALUE"""),185.02)</f>
        <v>185.02</v>
      </c>
      <c r="I82" s="16">
        <f>IFERROR(__xludf.DUMMYFUNCTION("""COMPUTED_VALUE"""),45859.6458333333)</f>
        <v>45859.6458333333</v>
      </c>
      <c r="J82" s="17">
        <f>IFERROR(__xludf.DUMMYFUNCTION("""COMPUTED_VALUE"""),183.38)</f>
        <v>183.38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IFERROR(__xludf.DUMMYFUNCTION("""COMPUTED_VALUE"""),184.03)</f>
        <v>184.03</v>
      </c>
      <c r="C83" s="16">
        <f>IFERROR(__xludf.DUMMYFUNCTION("""COMPUTED_VALUE"""),45860.6458333333)</f>
        <v>45860.6458333333</v>
      </c>
      <c r="D83" s="17">
        <f>IFERROR(__xludf.DUMMYFUNCTION("""COMPUTED_VALUE"""),184.2)</f>
        <v>184.2</v>
      </c>
      <c r="E83" s="16">
        <f>IFERROR(__xludf.DUMMYFUNCTION("""COMPUTED_VALUE"""),45860.6458333333)</f>
        <v>45860.6458333333</v>
      </c>
      <c r="F83" s="17">
        <f>IFERROR(__xludf.DUMMYFUNCTION("""COMPUTED_VALUE"""),6991724)</f>
        <v>6991724</v>
      </c>
      <c r="G83" s="16">
        <f>IFERROR(__xludf.DUMMYFUNCTION("""COMPUTED_VALUE"""),45860.6458333333)</f>
        <v>45860.6458333333</v>
      </c>
      <c r="H83" s="17">
        <f>IFERROR(__xludf.DUMMYFUNCTION("""COMPUTED_VALUE"""),184.85)</f>
        <v>184.85</v>
      </c>
      <c r="I83" s="16">
        <f>IFERROR(__xludf.DUMMYFUNCTION("""COMPUTED_VALUE"""),45860.6458333333)</f>
        <v>45860.6458333333</v>
      </c>
      <c r="J83" s="17">
        <f>IFERROR(__xludf.DUMMYFUNCTION("""COMPUTED_VALUE"""),183.26)</f>
        <v>183.26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IFERROR(__xludf.DUMMYFUNCTION("""COMPUTED_VALUE"""),186.39)</f>
        <v>186.39</v>
      </c>
      <c r="C84" s="16">
        <f>IFERROR(__xludf.DUMMYFUNCTION("""COMPUTED_VALUE"""),45861.6458333333)</f>
        <v>45861.6458333333</v>
      </c>
      <c r="D84" s="17">
        <f>IFERROR(__xludf.DUMMYFUNCTION("""COMPUTED_VALUE"""),184)</f>
        <v>184</v>
      </c>
      <c r="E84" s="16">
        <f>IFERROR(__xludf.DUMMYFUNCTION("""COMPUTED_VALUE"""),45861.6458333333)</f>
        <v>45861.6458333333</v>
      </c>
      <c r="F84" s="17">
        <f>IFERROR(__xludf.DUMMYFUNCTION("""COMPUTED_VALUE"""),7798034)</f>
        <v>7798034</v>
      </c>
      <c r="G84" s="16">
        <f>IFERROR(__xludf.DUMMYFUNCTION("""COMPUTED_VALUE"""),45861.6458333333)</f>
        <v>45861.6458333333</v>
      </c>
      <c r="H84" s="17">
        <f>IFERROR(__xludf.DUMMYFUNCTION("""COMPUTED_VALUE"""),186.6)</f>
        <v>186.6</v>
      </c>
      <c r="I84" s="16">
        <f>IFERROR(__xludf.DUMMYFUNCTION("""COMPUTED_VALUE"""),45861.6458333333)</f>
        <v>45861.6458333333</v>
      </c>
      <c r="J84" s="17">
        <f>IFERROR(__xludf.DUMMYFUNCTION("""COMPUTED_VALUE"""),183.96)</f>
        <v>183.96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IFERROR(__xludf.DUMMYFUNCTION("""COMPUTED_VALUE"""),187.97)</f>
        <v>187.97</v>
      </c>
      <c r="C85" s="16">
        <f>IFERROR(__xludf.DUMMYFUNCTION("""COMPUTED_VALUE"""),45862.6458333333)</f>
        <v>45862.6458333333</v>
      </c>
      <c r="D85" s="17">
        <f>IFERROR(__xludf.DUMMYFUNCTION("""COMPUTED_VALUE"""),186.58)</f>
        <v>186.58</v>
      </c>
      <c r="E85" s="16">
        <f>IFERROR(__xludf.DUMMYFUNCTION("""COMPUTED_VALUE"""),45862.6458333333)</f>
        <v>45862.6458333333</v>
      </c>
      <c r="F85" s="17">
        <f>IFERROR(__xludf.DUMMYFUNCTION("""COMPUTED_VALUE"""),11684679)</f>
        <v>11684679</v>
      </c>
      <c r="G85" s="16">
        <f>IFERROR(__xludf.DUMMYFUNCTION("""COMPUTED_VALUE"""),45862.6458333333)</f>
        <v>45862.6458333333</v>
      </c>
      <c r="H85" s="17">
        <f>IFERROR(__xludf.DUMMYFUNCTION("""COMPUTED_VALUE"""),188.89)</f>
        <v>188.89</v>
      </c>
      <c r="I85" s="16">
        <f>IFERROR(__xludf.DUMMYFUNCTION("""COMPUTED_VALUE"""),45862.6458333333)</f>
        <v>45862.6458333333</v>
      </c>
      <c r="J85" s="17">
        <f>IFERROR(__xludf.DUMMYFUNCTION("""COMPUTED_VALUE"""),186.58)</f>
        <v>186.58</v>
      </c>
      <c r="K85" s="3">
        <f t="shared" si="2"/>
        <v>187.97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IFERROR(__xludf.DUMMYFUNCTION("""COMPUTED_VALUE"""),183.51)</f>
        <v>183.51</v>
      </c>
      <c r="C86" s="16">
        <f>IFERROR(__xludf.DUMMYFUNCTION("""COMPUTED_VALUE"""),45863.6458333333)</f>
        <v>45863.6458333333</v>
      </c>
      <c r="D86" s="17">
        <f>IFERROR(__xludf.DUMMYFUNCTION("""COMPUTED_VALUE"""),187.13)</f>
        <v>187.13</v>
      </c>
      <c r="E86" s="16">
        <f>IFERROR(__xludf.DUMMYFUNCTION("""COMPUTED_VALUE"""),45863.6458333333)</f>
        <v>45863.6458333333</v>
      </c>
      <c r="F86" s="17">
        <f>IFERROR(__xludf.DUMMYFUNCTION("""COMPUTED_VALUE"""),10429865)</f>
        <v>10429865</v>
      </c>
      <c r="G86" s="16">
        <f>IFERROR(__xludf.DUMMYFUNCTION("""COMPUTED_VALUE"""),45863.6458333333)</f>
        <v>45863.6458333333</v>
      </c>
      <c r="H86" s="17">
        <f>IFERROR(__xludf.DUMMYFUNCTION("""COMPUTED_VALUE"""),187.83)</f>
        <v>187.83</v>
      </c>
      <c r="I86" s="16">
        <f>IFERROR(__xludf.DUMMYFUNCTION("""COMPUTED_VALUE"""),45863.6458333333)</f>
        <v>45863.6458333333</v>
      </c>
      <c r="J86" s="17">
        <f>IFERROR(__xludf.DUMMYFUNCTION("""COMPUTED_VALUE"""),183.09)</f>
        <v>183.09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IFERROR(__xludf.DUMMYFUNCTION("""COMPUTED_VALUE"""),180.63)</f>
        <v>180.63</v>
      </c>
      <c r="C87" s="16">
        <f>IFERROR(__xludf.DUMMYFUNCTION("""COMPUTED_VALUE"""),45866.6458333333)</f>
        <v>45866.6458333333</v>
      </c>
      <c r="D87" s="17">
        <f>IFERROR(__xludf.DUMMYFUNCTION("""COMPUTED_VALUE"""),183.51)</f>
        <v>183.51</v>
      </c>
      <c r="E87" s="16">
        <f>IFERROR(__xludf.DUMMYFUNCTION("""COMPUTED_VALUE"""),45866.6458333333)</f>
        <v>45866.6458333333</v>
      </c>
      <c r="F87" s="17">
        <f>IFERROR(__xludf.DUMMYFUNCTION("""COMPUTED_VALUE"""),11229894)</f>
        <v>11229894</v>
      </c>
      <c r="G87" s="16">
        <f>IFERROR(__xludf.DUMMYFUNCTION("""COMPUTED_VALUE"""),45866.6458333333)</f>
        <v>45866.6458333333</v>
      </c>
      <c r="H87" s="17">
        <f>IFERROR(__xludf.DUMMYFUNCTION("""COMPUTED_VALUE"""),185.62)</f>
        <v>185.62</v>
      </c>
      <c r="I87" s="16">
        <f>IFERROR(__xludf.DUMMYFUNCTION("""COMPUTED_VALUE"""),45866.6458333333)</f>
        <v>45866.6458333333</v>
      </c>
      <c r="J87" s="17">
        <f>IFERROR(__xludf.DUMMYFUNCTION("""COMPUTED_VALUE"""),179.55)</f>
        <v>179.55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IFERROR(__xludf.DUMMYFUNCTION("""COMPUTED_VALUE"""),182.98)</f>
        <v>182.98</v>
      </c>
      <c r="C88" s="16">
        <f>IFERROR(__xludf.DUMMYFUNCTION("""COMPUTED_VALUE"""),45867.6458333333)</f>
        <v>45867.6458333333</v>
      </c>
      <c r="D88" s="17">
        <f>IFERROR(__xludf.DUMMYFUNCTION("""COMPUTED_VALUE"""),179.3)</f>
        <v>179.3</v>
      </c>
      <c r="E88" s="16">
        <f>IFERROR(__xludf.DUMMYFUNCTION("""COMPUTED_VALUE"""),45867.6458333333)</f>
        <v>45867.6458333333</v>
      </c>
      <c r="F88" s="17">
        <f>IFERROR(__xludf.DUMMYFUNCTION("""COMPUTED_VALUE"""),13852750)</f>
        <v>13852750</v>
      </c>
      <c r="G88" s="16">
        <f>IFERROR(__xludf.DUMMYFUNCTION("""COMPUTED_VALUE"""),45867.6458333333)</f>
        <v>45867.6458333333</v>
      </c>
      <c r="H88" s="17">
        <f>IFERROR(__xludf.DUMMYFUNCTION("""COMPUTED_VALUE"""),185.34)</f>
        <v>185.34</v>
      </c>
      <c r="I88" s="16">
        <f>IFERROR(__xludf.DUMMYFUNCTION("""COMPUTED_VALUE"""),45867.6458333333)</f>
        <v>45867.6458333333</v>
      </c>
      <c r="J88" s="17">
        <f>IFERROR(__xludf.DUMMYFUNCTION("""COMPUTED_VALUE"""),178.2)</f>
        <v>178.2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IFERROR(__xludf.DUMMYFUNCTION("""COMPUTED_VALUE"""),180.57)</f>
        <v>180.57</v>
      </c>
      <c r="C89" s="16">
        <f>IFERROR(__xludf.DUMMYFUNCTION("""COMPUTED_VALUE"""),45868.6458333333)</f>
        <v>45868.6458333333</v>
      </c>
      <c r="D89" s="17">
        <f>IFERROR(__xludf.DUMMYFUNCTION("""COMPUTED_VALUE"""),182.99)</f>
        <v>182.99</v>
      </c>
      <c r="E89" s="16">
        <f>IFERROR(__xludf.DUMMYFUNCTION("""COMPUTED_VALUE"""),45868.6458333333)</f>
        <v>45868.6458333333</v>
      </c>
      <c r="F89" s="17">
        <f>IFERROR(__xludf.DUMMYFUNCTION("""COMPUTED_VALUE"""),8784760)</f>
        <v>8784760</v>
      </c>
      <c r="G89" s="16">
        <f>IFERROR(__xludf.DUMMYFUNCTION("""COMPUTED_VALUE"""),45868.6458333333)</f>
        <v>45868.6458333333</v>
      </c>
      <c r="H89" s="17">
        <f>IFERROR(__xludf.DUMMYFUNCTION("""COMPUTED_VALUE"""),183.07)</f>
        <v>183.07</v>
      </c>
      <c r="I89" s="16">
        <f>IFERROR(__xludf.DUMMYFUNCTION("""COMPUTED_VALUE"""),45868.6458333333)</f>
        <v>45868.6458333333</v>
      </c>
      <c r="J89" s="17">
        <f>IFERROR(__xludf.DUMMYFUNCTION("""COMPUTED_VALUE"""),179.9)</f>
        <v>179.9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IFERROR(__xludf.DUMMYFUNCTION("""COMPUTED_VALUE"""),177.68)</f>
        <v>177.68</v>
      </c>
      <c r="C90" s="16">
        <f>IFERROR(__xludf.DUMMYFUNCTION("""COMPUTED_VALUE"""),45869.6458333333)</f>
        <v>45869.6458333333</v>
      </c>
      <c r="D90" s="17">
        <f>IFERROR(__xludf.DUMMYFUNCTION("""COMPUTED_VALUE"""),178)</f>
        <v>178</v>
      </c>
      <c r="E90" s="16">
        <f>IFERROR(__xludf.DUMMYFUNCTION("""COMPUTED_VALUE"""),45869.6458333333)</f>
        <v>45869.6458333333</v>
      </c>
      <c r="F90" s="17">
        <f>IFERROR(__xludf.DUMMYFUNCTION("""COMPUTED_VALUE"""),7939221)</f>
        <v>7939221</v>
      </c>
      <c r="G90" s="16">
        <f>IFERROR(__xludf.DUMMYFUNCTION("""COMPUTED_VALUE"""),45869.6458333333)</f>
        <v>45869.6458333333</v>
      </c>
      <c r="H90" s="17">
        <f>IFERROR(__xludf.DUMMYFUNCTION("""COMPUTED_VALUE"""),178.91)</f>
        <v>178.91</v>
      </c>
      <c r="I90" s="16">
        <f>IFERROR(__xludf.DUMMYFUNCTION("""COMPUTED_VALUE"""),45869.6458333333)</f>
        <v>45869.6458333333</v>
      </c>
      <c r="J90" s="17">
        <f>IFERROR(__xludf.DUMMYFUNCTION("""COMPUTED_VALUE"""),177.36)</f>
        <v>177.36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IFERROR(__xludf.DUMMYFUNCTION("""COMPUTED_VALUE"""),174.39)</f>
        <v>174.39</v>
      </c>
      <c r="C91" s="16">
        <f>IFERROR(__xludf.DUMMYFUNCTION("""COMPUTED_VALUE"""),45870.6458333333)</f>
        <v>45870.6458333333</v>
      </c>
      <c r="D91" s="17">
        <f>IFERROR(__xludf.DUMMYFUNCTION("""COMPUTED_VALUE"""),177.67)</f>
        <v>177.67</v>
      </c>
      <c r="E91" s="16">
        <f>IFERROR(__xludf.DUMMYFUNCTION("""COMPUTED_VALUE"""),45870.6458333333)</f>
        <v>45870.6458333333</v>
      </c>
      <c r="F91" s="17">
        <f>IFERROR(__xludf.DUMMYFUNCTION("""COMPUTED_VALUE"""),12964065)</f>
        <v>12964065</v>
      </c>
      <c r="G91" s="16">
        <f>IFERROR(__xludf.DUMMYFUNCTION("""COMPUTED_VALUE"""),45870.6458333333)</f>
        <v>45870.6458333333</v>
      </c>
      <c r="H91" s="17">
        <f>IFERROR(__xludf.DUMMYFUNCTION("""COMPUTED_VALUE"""),177.68)</f>
        <v>177.68</v>
      </c>
      <c r="I91" s="16">
        <f>IFERROR(__xludf.DUMMYFUNCTION("""COMPUTED_VALUE"""),45870.6458333333)</f>
        <v>45870.6458333333</v>
      </c>
      <c r="J91" s="17">
        <f>IFERROR(__xludf.DUMMYFUNCTION("""COMPUTED_VALUE"""),173.85)</f>
        <v>173.85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IFERROR(__xludf.DUMMYFUNCTION("""COMPUTED_VALUE"""),174.54)</f>
        <v>174.54</v>
      </c>
      <c r="C92" s="16">
        <f>IFERROR(__xludf.DUMMYFUNCTION("""COMPUTED_VALUE"""),45873.6458333333)</f>
        <v>45873.6458333333</v>
      </c>
      <c r="D92" s="17">
        <f>IFERROR(__xludf.DUMMYFUNCTION("""COMPUTED_VALUE"""),173.7)</f>
        <v>173.7</v>
      </c>
      <c r="E92" s="16">
        <f>IFERROR(__xludf.DUMMYFUNCTION("""COMPUTED_VALUE"""),45873.6458333333)</f>
        <v>45873.6458333333</v>
      </c>
      <c r="F92" s="17">
        <f>IFERROR(__xludf.DUMMYFUNCTION("""COMPUTED_VALUE"""),9781181)</f>
        <v>9781181</v>
      </c>
      <c r="G92" s="16">
        <f>IFERROR(__xludf.DUMMYFUNCTION("""COMPUTED_VALUE"""),45873.6458333333)</f>
        <v>45873.6458333333</v>
      </c>
      <c r="H92" s="17">
        <f>IFERROR(__xludf.DUMMYFUNCTION("""COMPUTED_VALUE"""),175.37)</f>
        <v>175.37</v>
      </c>
      <c r="I92" s="16">
        <f>IFERROR(__xludf.DUMMYFUNCTION("""COMPUTED_VALUE"""),45873.6458333333)</f>
        <v>45873.6458333333</v>
      </c>
      <c r="J92" s="17">
        <f>IFERROR(__xludf.DUMMYFUNCTION("""COMPUTED_VALUE"""),172.5)</f>
        <v>172.5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IFERROR(__xludf.DUMMYFUNCTION("""COMPUTED_VALUE"""),171.34)</f>
        <v>171.34</v>
      </c>
      <c r="C93" s="16">
        <f>IFERROR(__xludf.DUMMYFUNCTION("""COMPUTED_VALUE"""),45874.6458333333)</f>
        <v>45874.6458333333</v>
      </c>
      <c r="D93" s="17">
        <f>IFERROR(__xludf.DUMMYFUNCTION("""COMPUTED_VALUE"""),174.54)</f>
        <v>174.54</v>
      </c>
      <c r="E93" s="16">
        <f>IFERROR(__xludf.DUMMYFUNCTION("""COMPUTED_VALUE"""),45874.6458333333)</f>
        <v>45874.6458333333</v>
      </c>
      <c r="F93" s="17">
        <f>IFERROR(__xludf.DUMMYFUNCTION("""COMPUTED_VALUE"""),14688223)</f>
        <v>14688223</v>
      </c>
      <c r="G93" s="16">
        <f>IFERROR(__xludf.DUMMYFUNCTION("""COMPUTED_VALUE"""),45874.6458333333)</f>
        <v>45874.6458333333</v>
      </c>
      <c r="H93" s="17">
        <f>IFERROR(__xludf.DUMMYFUNCTION("""COMPUTED_VALUE"""),174.9)</f>
        <v>174.9</v>
      </c>
      <c r="I93" s="16">
        <f>IFERROR(__xludf.DUMMYFUNCTION("""COMPUTED_VALUE"""),45874.6458333333)</f>
        <v>45874.6458333333</v>
      </c>
      <c r="J93" s="17">
        <f>IFERROR(__xludf.DUMMYFUNCTION("""COMPUTED_VALUE"""),170.7)</f>
        <v>170.7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IFERROR(__xludf.DUMMYFUNCTION("""COMPUTED_VALUE"""),169.91)</f>
        <v>169.91</v>
      </c>
      <c r="C94" s="16">
        <f>IFERROR(__xludf.DUMMYFUNCTION("""COMPUTED_VALUE"""),45875.6458333333)</f>
        <v>45875.6458333333</v>
      </c>
      <c r="D94" s="17">
        <f>IFERROR(__xludf.DUMMYFUNCTION("""COMPUTED_VALUE"""),171.89)</f>
        <v>171.89</v>
      </c>
      <c r="E94" s="16">
        <f>IFERROR(__xludf.DUMMYFUNCTION("""COMPUTED_VALUE"""),45875.6458333333)</f>
        <v>45875.6458333333</v>
      </c>
      <c r="F94" s="17">
        <f>IFERROR(__xludf.DUMMYFUNCTION("""COMPUTED_VALUE"""),16492438)</f>
        <v>16492438</v>
      </c>
      <c r="G94" s="16">
        <f>IFERROR(__xludf.DUMMYFUNCTION("""COMPUTED_VALUE"""),45875.6458333333)</f>
        <v>45875.6458333333</v>
      </c>
      <c r="H94" s="17">
        <f>IFERROR(__xludf.DUMMYFUNCTION("""COMPUTED_VALUE"""),172)</f>
        <v>172</v>
      </c>
      <c r="I94" s="16">
        <f>IFERROR(__xludf.DUMMYFUNCTION("""COMPUTED_VALUE"""),45875.6458333333)</f>
        <v>45875.6458333333</v>
      </c>
      <c r="J94" s="17">
        <f>IFERROR(__xludf.DUMMYFUNCTION("""COMPUTED_VALUE"""),169.32)</f>
        <v>169.32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IFERROR(__xludf.DUMMYFUNCTION("""COMPUTED_VALUE"""),169.49)</f>
        <v>169.49</v>
      </c>
      <c r="C95" s="16">
        <f>IFERROR(__xludf.DUMMYFUNCTION("""COMPUTED_VALUE"""),45876.6458333333)</f>
        <v>45876.6458333333</v>
      </c>
      <c r="D95" s="17">
        <f>IFERROR(__xludf.DUMMYFUNCTION("""COMPUTED_VALUE"""),169.66)</f>
        <v>169.66</v>
      </c>
      <c r="E95" s="16">
        <f>IFERROR(__xludf.DUMMYFUNCTION("""COMPUTED_VALUE"""),45876.6458333333)</f>
        <v>45876.6458333333</v>
      </c>
      <c r="F95" s="17">
        <f>IFERROR(__xludf.DUMMYFUNCTION("""COMPUTED_VALUE"""),13072513)</f>
        <v>13072513</v>
      </c>
      <c r="G95" s="16">
        <f>IFERROR(__xludf.DUMMYFUNCTION("""COMPUTED_VALUE"""),45876.6458333333)</f>
        <v>45876.6458333333</v>
      </c>
      <c r="H95" s="17">
        <f>IFERROR(__xludf.DUMMYFUNCTION("""COMPUTED_VALUE"""),169.85)</f>
        <v>169.85</v>
      </c>
      <c r="I95" s="16">
        <f>IFERROR(__xludf.DUMMYFUNCTION("""COMPUTED_VALUE"""),45876.6458333333)</f>
        <v>45876.6458333333</v>
      </c>
      <c r="J95" s="17">
        <f>IFERROR(__xludf.DUMMYFUNCTION("""COMPUTED_VALUE"""),167.25)</f>
        <v>167.25</v>
      </c>
      <c r="K95" s="3">
        <f t="shared" si="2"/>
        <v>0</v>
      </c>
      <c r="L95" s="3">
        <f t="shared" si="3"/>
        <v>169.49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IFERROR(__xludf.DUMMYFUNCTION("""COMPUTED_VALUE"""),171.15)</f>
        <v>171.15</v>
      </c>
      <c r="C96" s="16">
        <f>IFERROR(__xludf.DUMMYFUNCTION("""COMPUTED_VALUE"""),45877.6458333333)</f>
        <v>45877.6458333333</v>
      </c>
      <c r="D96" s="17">
        <f>IFERROR(__xludf.DUMMYFUNCTION("""COMPUTED_VALUE"""),169.43)</f>
        <v>169.43</v>
      </c>
      <c r="E96" s="16">
        <f>IFERROR(__xludf.DUMMYFUNCTION("""COMPUTED_VALUE"""),45877.6458333333)</f>
        <v>45877.6458333333</v>
      </c>
      <c r="F96" s="17">
        <f>IFERROR(__xludf.DUMMYFUNCTION("""COMPUTED_VALUE"""),15908370)</f>
        <v>15908370</v>
      </c>
      <c r="G96" s="16">
        <f>IFERROR(__xludf.DUMMYFUNCTION("""COMPUTED_VALUE"""),45877.6458333333)</f>
        <v>45877.6458333333</v>
      </c>
      <c r="H96" s="17">
        <f>IFERROR(__xludf.DUMMYFUNCTION("""COMPUTED_VALUE"""),172)</f>
        <v>172</v>
      </c>
      <c r="I96" s="16">
        <f>IFERROR(__xludf.DUMMYFUNCTION("""COMPUTED_VALUE"""),45877.6458333333)</f>
        <v>45877.6458333333</v>
      </c>
      <c r="J96" s="17">
        <f>IFERROR(__xludf.DUMMYFUNCTION("""COMPUTED_VALUE"""),168.3)</f>
        <v>168.3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IFERROR(__xludf.DUMMYFUNCTION("""COMPUTED_VALUE"""),173.02)</f>
        <v>173.02</v>
      </c>
      <c r="C97" s="16">
        <f>IFERROR(__xludf.DUMMYFUNCTION("""COMPUTED_VALUE"""),45880.6458333333)</f>
        <v>45880.6458333333</v>
      </c>
      <c r="D97" s="17">
        <f>IFERROR(__xludf.DUMMYFUNCTION("""COMPUTED_VALUE"""),171.15)</f>
        <v>171.15</v>
      </c>
      <c r="E97" s="16">
        <f>IFERROR(__xludf.DUMMYFUNCTION("""COMPUTED_VALUE"""),45880.6458333333)</f>
        <v>45880.6458333333</v>
      </c>
      <c r="F97" s="17">
        <f>IFERROR(__xludf.DUMMYFUNCTION("""COMPUTED_VALUE"""),5576496)</f>
        <v>5576496</v>
      </c>
      <c r="G97" s="16">
        <f>IFERROR(__xludf.DUMMYFUNCTION("""COMPUTED_VALUE"""),45880.6458333333)</f>
        <v>45880.6458333333</v>
      </c>
      <c r="H97" s="17">
        <f>IFERROR(__xludf.DUMMYFUNCTION("""COMPUTED_VALUE"""),173.23)</f>
        <v>173.23</v>
      </c>
      <c r="I97" s="16">
        <f>IFERROR(__xludf.DUMMYFUNCTION("""COMPUTED_VALUE"""),45880.6458333333)</f>
        <v>45880.6458333333</v>
      </c>
      <c r="J97" s="17">
        <f>IFERROR(__xludf.DUMMYFUNCTION("""COMPUTED_VALUE"""),170.1)</f>
        <v>170.1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IFERROR(__xludf.DUMMYFUNCTION("""COMPUTED_VALUE"""),174.3)</f>
        <v>174.3</v>
      </c>
      <c r="C98" s="16">
        <f>IFERROR(__xludf.DUMMYFUNCTION("""COMPUTED_VALUE"""),45881.6458333333)</f>
        <v>45881.6458333333</v>
      </c>
      <c r="D98" s="17">
        <f>IFERROR(__xludf.DUMMYFUNCTION("""COMPUTED_VALUE"""),173)</f>
        <v>173</v>
      </c>
      <c r="E98" s="16">
        <f>IFERROR(__xludf.DUMMYFUNCTION("""COMPUTED_VALUE"""),45881.6458333333)</f>
        <v>45881.6458333333</v>
      </c>
      <c r="F98" s="17">
        <f>IFERROR(__xludf.DUMMYFUNCTION("""COMPUTED_VALUE"""),7141744)</f>
        <v>7141744</v>
      </c>
      <c r="G98" s="16">
        <f>IFERROR(__xludf.DUMMYFUNCTION("""COMPUTED_VALUE"""),45881.6458333333)</f>
        <v>45881.6458333333</v>
      </c>
      <c r="H98" s="17">
        <f>IFERROR(__xludf.DUMMYFUNCTION("""COMPUTED_VALUE"""),175.24)</f>
        <v>175.24</v>
      </c>
      <c r="I98" s="16">
        <f>IFERROR(__xludf.DUMMYFUNCTION("""COMPUTED_VALUE"""),45881.6458333333)</f>
        <v>45881.6458333333</v>
      </c>
      <c r="J98" s="17">
        <f>IFERROR(__xludf.DUMMYFUNCTION("""COMPUTED_VALUE"""),172.48)</f>
        <v>172.48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IFERROR(__xludf.DUMMYFUNCTION("""COMPUTED_VALUE"""),173.36)</f>
        <v>173.36</v>
      </c>
      <c r="C99" s="16">
        <f>IFERROR(__xludf.DUMMYFUNCTION("""COMPUTED_VALUE"""),45882.6458333333)</f>
        <v>45882.6458333333</v>
      </c>
      <c r="D99" s="17">
        <f>IFERROR(__xludf.DUMMYFUNCTION("""COMPUTED_VALUE"""),174.2)</f>
        <v>174.2</v>
      </c>
      <c r="E99" s="16">
        <f>IFERROR(__xludf.DUMMYFUNCTION("""COMPUTED_VALUE"""),45882.6458333333)</f>
        <v>45882.6458333333</v>
      </c>
      <c r="F99" s="17">
        <f>IFERROR(__xludf.DUMMYFUNCTION("""COMPUTED_VALUE"""),6019021)</f>
        <v>6019021</v>
      </c>
      <c r="G99" s="16">
        <f>IFERROR(__xludf.DUMMYFUNCTION("""COMPUTED_VALUE"""),45882.6458333333)</f>
        <v>45882.6458333333</v>
      </c>
      <c r="H99" s="17">
        <f>IFERROR(__xludf.DUMMYFUNCTION("""COMPUTED_VALUE"""),174.76)</f>
        <v>174.76</v>
      </c>
      <c r="I99" s="16">
        <f>IFERROR(__xludf.DUMMYFUNCTION("""COMPUTED_VALUE"""),45882.6458333333)</f>
        <v>45882.6458333333</v>
      </c>
      <c r="J99" s="17">
        <f>IFERROR(__xludf.DUMMYFUNCTION("""COMPUTED_VALUE"""),172.3)</f>
        <v>172.3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IFERROR(__xludf.DUMMYFUNCTION("""COMPUTED_VALUE"""),173.93)</f>
        <v>173.93</v>
      </c>
      <c r="C100" s="16">
        <f>IFERROR(__xludf.DUMMYFUNCTION("""COMPUTED_VALUE"""),45883.6458333333)</f>
        <v>45883.6458333333</v>
      </c>
      <c r="D100" s="17">
        <f>IFERROR(__xludf.DUMMYFUNCTION("""COMPUTED_VALUE"""),173.06)</f>
        <v>173.06</v>
      </c>
      <c r="E100" s="16">
        <f>IFERROR(__xludf.DUMMYFUNCTION("""COMPUTED_VALUE"""),45883.6458333333)</f>
        <v>45883.6458333333</v>
      </c>
      <c r="F100" s="17">
        <f>IFERROR(__xludf.DUMMYFUNCTION("""COMPUTED_VALUE"""),8864011)</f>
        <v>8864011</v>
      </c>
      <c r="G100" s="16">
        <f>IFERROR(__xludf.DUMMYFUNCTION("""COMPUTED_VALUE"""),45883.6458333333)</f>
        <v>45883.6458333333</v>
      </c>
      <c r="H100" s="17">
        <f>IFERROR(__xludf.DUMMYFUNCTION("""COMPUTED_VALUE"""),174.84)</f>
        <v>174.84</v>
      </c>
      <c r="I100" s="16">
        <f>IFERROR(__xludf.DUMMYFUNCTION("""COMPUTED_VALUE"""),45883.6458333333)</f>
        <v>45883.6458333333</v>
      </c>
      <c r="J100" s="17">
        <f>IFERROR(__xludf.DUMMYFUNCTION("""COMPUTED_VALUE"""),172.87)</f>
        <v>172.87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IFERROR(__xludf.DUMMYFUNCTION("""COMPUTED_VALUE"""),173.66)</f>
        <v>173.66</v>
      </c>
      <c r="C101" s="16">
        <f>IFERROR(__xludf.DUMMYFUNCTION("""COMPUTED_VALUE"""),45887.6458333333)</f>
        <v>45887.6458333333</v>
      </c>
      <c r="D101" s="17">
        <f>IFERROR(__xludf.DUMMYFUNCTION("""COMPUTED_VALUE"""),174)</f>
        <v>174</v>
      </c>
      <c r="E101" s="16">
        <f>IFERROR(__xludf.DUMMYFUNCTION("""COMPUTED_VALUE"""),45887.6458333333)</f>
        <v>45887.6458333333</v>
      </c>
      <c r="F101" s="17">
        <f>IFERROR(__xludf.DUMMYFUNCTION("""COMPUTED_VALUE"""),6363956)</f>
        <v>6363956</v>
      </c>
      <c r="G101" s="16">
        <f>IFERROR(__xludf.DUMMYFUNCTION("""COMPUTED_VALUE"""),45887.6458333333)</f>
        <v>45887.6458333333</v>
      </c>
      <c r="H101" s="17">
        <f>IFERROR(__xludf.DUMMYFUNCTION("""COMPUTED_VALUE"""),174.51)</f>
        <v>174.51</v>
      </c>
      <c r="I101" s="16">
        <f>IFERROR(__xludf.DUMMYFUNCTION("""COMPUTED_VALUE"""),45887.6458333333)</f>
        <v>45887.6458333333</v>
      </c>
      <c r="J101" s="17">
        <f>IFERROR(__xludf.DUMMYFUNCTION("""COMPUTED_VALUE"""),172.36)</f>
        <v>172.36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IFERROR(__xludf.DUMMYFUNCTION("""COMPUTED_VALUE"""),174.89)</f>
        <v>174.89</v>
      </c>
      <c r="C102" s="16">
        <f>IFERROR(__xludf.DUMMYFUNCTION("""COMPUTED_VALUE"""),45888.6458333333)</f>
        <v>45888.6458333333</v>
      </c>
      <c r="D102" s="17">
        <f>IFERROR(__xludf.DUMMYFUNCTION("""COMPUTED_VALUE"""),173.4)</f>
        <v>173.4</v>
      </c>
      <c r="E102" s="16">
        <f>IFERROR(__xludf.DUMMYFUNCTION("""COMPUTED_VALUE"""),45888.6458333333)</f>
        <v>45888.6458333333</v>
      </c>
      <c r="F102" s="17">
        <f>IFERROR(__xludf.DUMMYFUNCTION("""COMPUTED_VALUE"""),6732317)</f>
        <v>6732317</v>
      </c>
      <c r="G102" s="16">
        <f>IFERROR(__xludf.DUMMYFUNCTION("""COMPUTED_VALUE"""),45888.6458333333)</f>
        <v>45888.6458333333</v>
      </c>
      <c r="H102" s="17">
        <f>IFERROR(__xludf.DUMMYFUNCTION("""COMPUTED_VALUE"""),176.3)</f>
        <v>176.3</v>
      </c>
      <c r="I102" s="16">
        <f>IFERROR(__xludf.DUMMYFUNCTION("""COMPUTED_VALUE"""),45888.6458333333)</f>
        <v>45888.6458333333</v>
      </c>
      <c r="J102" s="17">
        <f>IFERROR(__xludf.DUMMYFUNCTION("""COMPUTED_VALUE"""),173.4)</f>
        <v>173.4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IFERROR(__xludf.DUMMYFUNCTION("""COMPUTED_VALUE"""),178.12)</f>
        <v>178.12</v>
      </c>
      <c r="C103" s="16">
        <f>IFERROR(__xludf.DUMMYFUNCTION("""COMPUTED_VALUE"""),45889.6458333333)</f>
        <v>45889.6458333333</v>
      </c>
      <c r="D103" s="17">
        <f>IFERROR(__xludf.DUMMYFUNCTION("""COMPUTED_VALUE"""),175.16)</f>
        <v>175.16</v>
      </c>
      <c r="E103" s="16">
        <f>IFERROR(__xludf.DUMMYFUNCTION("""COMPUTED_VALUE"""),45889.6458333333)</f>
        <v>45889.6458333333</v>
      </c>
      <c r="F103" s="17">
        <f>IFERROR(__xludf.DUMMYFUNCTION("""COMPUTED_VALUE"""),10610680)</f>
        <v>10610680</v>
      </c>
      <c r="G103" s="16">
        <f>IFERROR(__xludf.DUMMYFUNCTION("""COMPUTED_VALUE"""),45889.6458333333)</f>
        <v>45889.6458333333</v>
      </c>
      <c r="H103" s="17">
        <f>IFERROR(__xludf.DUMMYFUNCTION("""COMPUTED_VALUE"""),179.39)</f>
        <v>179.39</v>
      </c>
      <c r="I103" s="16">
        <f>IFERROR(__xludf.DUMMYFUNCTION("""COMPUTED_VALUE"""),45889.6458333333)</f>
        <v>45889.6458333333</v>
      </c>
      <c r="J103" s="17">
        <f>IFERROR(__xludf.DUMMYFUNCTION("""COMPUTED_VALUE"""),174.89)</f>
        <v>174.89</v>
      </c>
      <c r="K103" s="3">
        <f t="shared" si="2"/>
        <v>178.12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IFERROR(__xludf.DUMMYFUNCTION("""COMPUTED_VALUE"""),177.77)</f>
        <v>177.77</v>
      </c>
      <c r="C104" s="16">
        <f>IFERROR(__xludf.DUMMYFUNCTION("""COMPUTED_VALUE"""),45890.6458333333)</f>
        <v>45890.6458333333</v>
      </c>
      <c r="D104" s="17">
        <f>IFERROR(__xludf.DUMMYFUNCTION("""COMPUTED_VALUE"""),178.75)</f>
        <v>178.75</v>
      </c>
      <c r="E104" s="16">
        <f>IFERROR(__xludf.DUMMYFUNCTION("""COMPUTED_VALUE"""),45890.6458333333)</f>
        <v>45890.6458333333</v>
      </c>
      <c r="F104" s="17">
        <f>IFERROR(__xludf.DUMMYFUNCTION("""COMPUTED_VALUE"""),7252426)</f>
        <v>7252426</v>
      </c>
      <c r="G104" s="16">
        <f>IFERROR(__xludf.DUMMYFUNCTION("""COMPUTED_VALUE"""),45890.6458333333)</f>
        <v>45890.6458333333</v>
      </c>
      <c r="H104" s="17">
        <f>IFERROR(__xludf.DUMMYFUNCTION("""COMPUTED_VALUE"""),178.88)</f>
        <v>178.88</v>
      </c>
      <c r="I104" s="16">
        <f>IFERROR(__xludf.DUMMYFUNCTION("""COMPUTED_VALUE"""),45890.6458333333)</f>
        <v>45890.6458333333</v>
      </c>
      <c r="J104" s="17">
        <f>IFERROR(__xludf.DUMMYFUNCTION("""COMPUTED_VALUE"""),177.12)</f>
        <v>177.12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IFERROR(__xludf.DUMMYFUNCTION("""COMPUTED_VALUE"""),176.81)</f>
        <v>176.81</v>
      </c>
      <c r="C105" s="16">
        <f>IFERROR(__xludf.DUMMYFUNCTION("""COMPUTED_VALUE"""),45891.6458333333)</f>
        <v>45891.6458333333</v>
      </c>
      <c r="D105" s="17">
        <f>IFERROR(__xludf.DUMMYFUNCTION("""COMPUTED_VALUE"""),177.61)</f>
        <v>177.61</v>
      </c>
      <c r="E105" s="16">
        <f>IFERROR(__xludf.DUMMYFUNCTION("""COMPUTED_VALUE"""),45891.6458333333)</f>
        <v>45891.6458333333</v>
      </c>
      <c r="F105" s="17">
        <f>IFERROR(__xludf.DUMMYFUNCTION("""COMPUTED_VALUE"""),6424964)</f>
        <v>6424964</v>
      </c>
      <c r="G105" s="16">
        <f>IFERROR(__xludf.DUMMYFUNCTION("""COMPUTED_VALUE"""),45891.6458333333)</f>
        <v>45891.6458333333</v>
      </c>
      <c r="H105" s="17">
        <f>IFERROR(__xludf.DUMMYFUNCTION("""COMPUTED_VALUE"""),177.94)</f>
        <v>177.94</v>
      </c>
      <c r="I105" s="16">
        <f>IFERROR(__xludf.DUMMYFUNCTION("""COMPUTED_VALUE"""),45891.6458333333)</f>
        <v>45891.6458333333</v>
      </c>
      <c r="J105" s="17">
        <f>IFERROR(__xludf.DUMMYFUNCTION("""COMPUTED_VALUE"""),176.05)</f>
        <v>176.05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IFERROR(__xludf.DUMMYFUNCTION("""COMPUTED_VALUE"""),175.9)</f>
        <v>175.9</v>
      </c>
      <c r="C106" s="16">
        <f>IFERROR(__xludf.DUMMYFUNCTION("""COMPUTED_VALUE"""),45894.6458333333)</f>
        <v>45894.6458333333</v>
      </c>
      <c r="D106" s="17">
        <f>IFERROR(__xludf.DUMMYFUNCTION("""COMPUTED_VALUE"""),176.82)</f>
        <v>176.82</v>
      </c>
      <c r="E106" s="16">
        <f>IFERROR(__xludf.DUMMYFUNCTION("""COMPUTED_VALUE"""),45894.6458333333)</f>
        <v>45894.6458333333</v>
      </c>
      <c r="F106" s="17">
        <f>IFERROR(__xludf.DUMMYFUNCTION("""COMPUTED_VALUE"""),8324913)</f>
        <v>8324913</v>
      </c>
      <c r="G106" s="16">
        <f>IFERROR(__xludf.DUMMYFUNCTION("""COMPUTED_VALUE"""),45894.6458333333)</f>
        <v>45894.6458333333</v>
      </c>
      <c r="H106" s="17">
        <f>IFERROR(__xludf.DUMMYFUNCTION("""COMPUTED_VALUE"""),176.86)</f>
        <v>176.86</v>
      </c>
      <c r="I106" s="16">
        <f>IFERROR(__xludf.DUMMYFUNCTION("""COMPUTED_VALUE"""),45894.6458333333)</f>
        <v>45894.6458333333</v>
      </c>
      <c r="J106" s="17">
        <f>IFERROR(__xludf.DUMMYFUNCTION("""COMPUTED_VALUE"""),175.06)</f>
        <v>175.06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IFERROR(__xludf.DUMMYFUNCTION("""COMPUTED_VALUE"""),171.64)</f>
        <v>171.64</v>
      </c>
      <c r="C107" s="16">
        <f>IFERROR(__xludf.DUMMYFUNCTION("""COMPUTED_VALUE"""),45895.6458333333)</f>
        <v>45895.6458333333</v>
      </c>
      <c r="D107" s="17">
        <f>IFERROR(__xludf.DUMMYFUNCTION("""COMPUTED_VALUE"""),174.33)</f>
        <v>174.33</v>
      </c>
      <c r="E107" s="16">
        <f>IFERROR(__xludf.DUMMYFUNCTION("""COMPUTED_VALUE"""),45895.6458333333)</f>
        <v>45895.6458333333</v>
      </c>
      <c r="F107" s="17">
        <f>IFERROR(__xludf.DUMMYFUNCTION("""COMPUTED_VALUE"""),9987523)</f>
        <v>9987523</v>
      </c>
      <c r="G107" s="16">
        <f>IFERROR(__xludf.DUMMYFUNCTION("""COMPUTED_VALUE"""),45895.6458333333)</f>
        <v>45895.6458333333</v>
      </c>
      <c r="H107" s="17">
        <f>IFERROR(__xludf.DUMMYFUNCTION("""COMPUTED_VALUE"""),175.87)</f>
        <v>175.87</v>
      </c>
      <c r="I107" s="16">
        <f>IFERROR(__xludf.DUMMYFUNCTION("""COMPUTED_VALUE"""),45895.6458333333)</f>
        <v>45895.6458333333</v>
      </c>
      <c r="J107" s="17">
        <f>IFERROR(__xludf.DUMMYFUNCTION("""COMPUTED_VALUE"""),171)</f>
        <v>171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IFERROR(__xludf.DUMMYFUNCTION("""COMPUTED_VALUE"""),171.22)</f>
        <v>171.22</v>
      </c>
      <c r="C108" s="16">
        <f>IFERROR(__xludf.DUMMYFUNCTION("""COMPUTED_VALUE"""),45897.6458333333)</f>
        <v>45897.6458333333</v>
      </c>
      <c r="D108" s="17">
        <f>IFERROR(__xludf.DUMMYFUNCTION("""COMPUTED_VALUE"""),171.64)</f>
        <v>171.64</v>
      </c>
      <c r="E108" s="16">
        <f>IFERROR(__xludf.DUMMYFUNCTION("""COMPUTED_VALUE"""),45897.6458333333)</f>
        <v>45897.6458333333</v>
      </c>
      <c r="F108" s="17">
        <f>IFERROR(__xludf.DUMMYFUNCTION("""COMPUTED_VALUE"""),8495627)</f>
        <v>8495627</v>
      </c>
      <c r="G108" s="16">
        <f>IFERROR(__xludf.DUMMYFUNCTION("""COMPUTED_VALUE"""),45897.6458333333)</f>
        <v>45897.6458333333</v>
      </c>
      <c r="H108" s="17">
        <f>IFERROR(__xludf.DUMMYFUNCTION("""COMPUTED_VALUE"""),172.4)</f>
        <v>172.4</v>
      </c>
      <c r="I108" s="16">
        <f>IFERROR(__xludf.DUMMYFUNCTION("""COMPUTED_VALUE"""),45897.6458333333)</f>
        <v>45897.6458333333</v>
      </c>
      <c r="J108" s="17">
        <f>IFERROR(__xludf.DUMMYFUNCTION("""COMPUTED_VALUE"""),169.56)</f>
        <v>169.56</v>
      </c>
      <c r="K108" s="3">
        <f t="shared" si="2"/>
        <v>0</v>
      </c>
      <c r="L108" s="3">
        <f t="shared" si="3"/>
        <v>171.22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IFERROR(__xludf.DUMMYFUNCTION("""COMPUTED_VALUE"""),173.07)</f>
        <v>173.07</v>
      </c>
      <c r="C109" s="16">
        <f>IFERROR(__xludf.DUMMYFUNCTION("""COMPUTED_VALUE"""),45898.6458333333)</f>
        <v>45898.6458333333</v>
      </c>
      <c r="D109" s="17">
        <f>IFERROR(__xludf.DUMMYFUNCTION("""COMPUTED_VALUE"""),170.18)</f>
        <v>170.18</v>
      </c>
      <c r="E109" s="16">
        <f>IFERROR(__xludf.DUMMYFUNCTION("""COMPUTED_VALUE"""),45898.6458333333)</f>
        <v>45898.6458333333</v>
      </c>
      <c r="F109" s="17">
        <f>IFERROR(__xludf.DUMMYFUNCTION("""COMPUTED_VALUE"""),8823629)</f>
        <v>8823629</v>
      </c>
      <c r="G109" s="16">
        <f>IFERROR(__xludf.DUMMYFUNCTION("""COMPUTED_VALUE"""),45898.6458333333)</f>
        <v>45898.6458333333</v>
      </c>
      <c r="H109" s="17">
        <f>IFERROR(__xludf.DUMMYFUNCTION("""COMPUTED_VALUE"""),174)</f>
        <v>174</v>
      </c>
      <c r="I109" s="16">
        <f>IFERROR(__xludf.DUMMYFUNCTION("""COMPUTED_VALUE"""),45898.6458333333)</f>
        <v>45898.6458333333</v>
      </c>
      <c r="J109" s="17">
        <f>IFERROR(__xludf.DUMMYFUNCTION("""COMPUTED_VALUE"""),170.06)</f>
        <v>170.06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IFERROR(__xludf.DUMMYFUNCTION("""COMPUTED_VALUE"""),175.94)</f>
        <v>175.94</v>
      </c>
      <c r="C110" s="16">
        <f>IFERROR(__xludf.DUMMYFUNCTION("""COMPUTED_VALUE"""),45901.6458333333)</f>
        <v>45901.6458333333</v>
      </c>
      <c r="D110" s="17">
        <f>IFERROR(__xludf.DUMMYFUNCTION("""COMPUTED_VALUE"""),173.12)</f>
        <v>173.12</v>
      </c>
      <c r="E110" s="16">
        <f>IFERROR(__xludf.DUMMYFUNCTION("""COMPUTED_VALUE"""),45901.6458333333)</f>
        <v>45901.6458333333</v>
      </c>
      <c r="F110" s="17">
        <f>IFERROR(__xludf.DUMMYFUNCTION("""COMPUTED_VALUE"""),6770507)</f>
        <v>6770507</v>
      </c>
      <c r="G110" s="16">
        <f>IFERROR(__xludf.DUMMYFUNCTION("""COMPUTED_VALUE"""),45901.6458333333)</f>
        <v>45901.6458333333</v>
      </c>
      <c r="H110" s="17">
        <f>IFERROR(__xludf.DUMMYFUNCTION("""COMPUTED_VALUE"""),176.16)</f>
        <v>176.16</v>
      </c>
      <c r="I110" s="16">
        <f>IFERROR(__xludf.DUMMYFUNCTION("""COMPUTED_VALUE"""),45901.6458333333)</f>
        <v>45901.6458333333</v>
      </c>
      <c r="J110" s="17">
        <f>IFERROR(__xludf.DUMMYFUNCTION("""COMPUTED_VALUE"""),172.86)</f>
        <v>172.86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IFERROR(__xludf.DUMMYFUNCTION("""COMPUTED_VALUE"""),179.29)</f>
        <v>179.29</v>
      </c>
      <c r="C111" s="16">
        <f>IFERROR(__xludf.DUMMYFUNCTION("""COMPUTED_VALUE"""),45902.6458333333)</f>
        <v>45902.6458333333</v>
      </c>
      <c r="D111" s="17">
        <f>IFERROR(__xludf.DUMMYFUNCTION("""COMPUTED_VALUE"""),176.05)</f>
        <v>176.05</v>
      </c>
      <c r="E111" s="16">
        <f>IFERROR(__xludf.DUMMYFUNCTION("""COMPUTED_VALUE"""),45902.6458333333)</f>
        <v>45902.6458333333</v>
      </c>
      <c r="F111" s="17">
        <f>IFERROR(__xludf.DUMMYFUNCTION("""COMPUTED_VALUE"""),8668666)</f>
        <v>8668666</v>
      </c>
      <c r="G111" s="16">
        <f>IFERROR(__xludf.DUMMYFUNCTION("""COMPUTED_VALUE"""),45902.6458333333)</f>
        <v>45902.6458333333</v>
      </c>
      <c r="H111" s="17">
        <f>IFERROR(__xludf.DUMMYFUNCTION("""COMPUTED_VALUE"""),180.45)</f>
        <v>180.45</v>
      </c>
      <c r="I111" s="16">
        <f>IFERROR(__xludf.DUMMYFUNCTION("""COMPUTED_VALUE"""),45902.6458333333)</f>
        <v>45902.6458333333</v>
      </c>
      <c r="J111" s="17">
        <f>IFERROR(__xludf.DUMMYFUNCTION("""COMPUTED_VALUE"""),175.72)</f>
        <v>175.72</v>
      </c>
      <c r="K111" s="3">
        <f t="shared" si="2"/>
        <v>179.29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IFERROR(__xludf.DUMMYFUNCTION("""COMPUTED_VALUE"""),178.02)</f>
        <v>178.02</v>
      </c>
      <c r="C112" s="16">
        <f>IFERROR(__xludf.DUMMYFUNCTION("""COMPUTED_VALUE"""),45903.6458333333)</f>
        <v>45903.6458333333</v>
      </c>
      <c r="D112" s="17">
        <f>IFERROR(__xludf.DUMMYFUNCTION("""COMPUTED_VALUE"""),180.39)</f>
        <v>180.39</v>
      </c>
      <c r="E112" s="16">
        <f>IFERROR(__xludf.DUMMYFUNCTION("""COMPUTED_VALUE"""),45903.6458333333)</f>
        <v>45903.6458333333</v>
      </c>
      <c r="F112" s="17">
        <f>IFERROR(__xludf.DUMMYFUNCTION("""COMPUTED_VALUE"""),6209706)</f>
        <v>6209706</v>
      </c>
      <c r="G112" s="16">
        <f>IFERROR(__xludf.DUMMYFUNCTION("""COMPUTED_VALUE"""),45903.6458333333)</f>
        <v>45903.6458333333</v>
      </c>
      <c r="H112" s="17">
        <f>IFERROR(__xludf.DUMMYFUNCTION("""COMPUTED_VALUE"""),181.35)</f>
        <v>181.35</v>
      </c>
      <c r="I112" s="16">
        <f>IFERROR(__xludf.DUMMYFUNCTION("""COMPUTED_VALUE"""),45903.6458333333)</f>
        <v>45903.6458333333</v>
      </c>
      <c r="J112" s="17">
        <f>IFERROR(__xludf.DUMMYFUNCTION("""COMPUTED_VALUE"""),176.94)</f>
        <v>176.94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IFERROR(__xludf.DUMMYFUNCTION("""COMPUTED_VALUE"""),174.66)</f>
        <v>174.66</v>
      </c>
      <c r="C113" s="16">
        <f>IFERROR(__xludf.DUMMYFUNCTION("""COMPUTED_VALUE"""),45904.6458333333)</f>
        <v>45904.6458333333</v>
      </c>
      <c r="D113" s="17">
        <f>IFERROR(__xludf.DUMMYFUNCTION("""COMPUTED_VALUE"""),178.59)</f>
        <v>178.59</v>
      </c>
      <c r="E113" s="16">
        <f>IFERROR(__xludf.DUMMYFUNCTION("""COMPUTED_VALUE"""),45904.6458333333)</f>
        <v>45904.6458333333</v>
      </c>
      <c r="F113" s="17">
        <f>IFERROR(__xludf.DUMMYFUNCTION("""COMPUTED_VALUE"""),9769773)</f>
        <v>9769773</v>
      </c>
      <c r="G113" s="16">
        <f>IFERROR(__xludf.DUMMYFUNCTION("""COMPUTED_VALUE"""),45904.6458333333)</f>
        <v>45904.6458333333</v>
      </c>
      <c r="H113" s="17">
        <f>IFERROR(__xludf.DUMMYFUNCTION("""COMPUTED_VALUE"""),178.75)</f>
        <v>178.75</v>
      </c>
      <c r="I113" s="16">
        <f>IFERROR(__xludf.DUMMYFUNCTION("""COMPUTED_VALUE"""),45904.6458333333)</f>
        <v>45904.6458333333</v>
      </c>
      <c r="J113" s="17">
        <f>IFERROR(__xludf.DUMMYFUNCTION("""COMPUTED_VALUE"""),174)</f>
        <v>174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IFERROR(__xludf.DUMMYFUNCTION("""COMPUTED_VALUE"""),173.97)</f>
        <v>173.97</v>
      </c>
      <c r="C114" s="16">
        <f>IFERROR(__xludf.DUMMYFUNCTION("""COMPUTED_VALUE"""),45905.6458333333)</f>
        <v>45905.6458333333</v>
      </c>
      <c r="D114" s="17">
        <f>IFERROR(__xludf.DUMMYFUNCTION("""COMPUTED_VALUE"""),174.67)</f>
        <v>174.67</v>
      </c>
      <c r="E114" s="16">
        <f>IFERROR(__xludf.DUMMYFUNCTION("""COMPUTED_VALUE"""),45905.6458333333)</f>
        <v>45905.6458333333</v>
      </c>
      <c r="F114" s="17">
        <f>IFERROR(__xludf.DUMMYFUNCTION("""COMPUTED_VALUE"""),7598903)</f>
        <v>7598903</v>
      </c>
      <c r="G114" s="16">
        <f>IFERROR(__xludf.DUMMYFUNCTION("""COMPUTED_VALUE"""),45905.6458333333)</f>
        <v>45905.6458333333</v>
      </c>
      <c r="H114" s="17">
        <f>IFERROR(__xludf.DUMMYFUNCTION("""COMPUTED_VALUE"""),175.22)</f>
        <v>175.22</v>
      </c>
      <c r="I114" s="16">
        <f>IFERROR(__xludf.DUMMYFUNCTION("""COMPUTED_VALUE"""),45905.6458333333)</f>
        <v>45905.6458333333</v>
      </c>
      <c r="J114" s="17">
        <f>IFERROR(__xludf.DUMMYFUNCTION("""COMPUTED_VALUE"""),172.61)</f>
        <v>172.61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IFERROR(__xludf.DUMMYFUNCTION("""COMPUTED_VALUE"""),172.37)</f>
        <v>172.37</v>
      </c>
      <c r="C115" s="16">
        <f>IFERROR(__xludf.DUMMYFUNCTION("""COMPUTED_VALUE"""),45908.6458333333)</f>
        <v>45908.6458333333</v>
      </c>
      <c r="D115" s="17">
        <f>IFERROR(__xludf.DUMMYFUNCTION("""COMPUTED_VALUE"""),173.97)</f>
        <v>173.97</v>
      </c>
      <c r="E115" s="16">
        <f>IFERROR(__xludf.DUMMYFUNCTION("""COMPUTED_VALUE"""),45908.6458333333)</f>
        <v>45908.6458333333</v>
      </c>
      <c r="F115" s="17">
        <f>IFERROR(__xludf.DUMMYFUNCTION("""COMPUTED_VALUE"""),5686270)</f>
        <v>5686270</v>
      </c>
      <c r="G115" s="16">
        <f>IFERROR(__xludf.DUMMYFUNCTION("""COMPUTED_VALUE"""),45908.6458333333)</f>
        <v>45908.6458333333</v>
      </c>
      <c r="H115" s="17">
        <f>IFERROR(__xludf.DUMMYFUNCTION("""COMPUTED_VALUE"""),174.5)</f>
        <v>174.5</v>
      </c>
      <c r="I115" s="16">
        <f>IFERROR(__xludf.DUMMYFUNCTION("""COMPUTED_VALUE"""),45908.6458333333)</f>
        <v>45908.6458333333</v>
      </c>
      <c r="J115" s="17">
        <f>IFERROR(__xludf.DUMMYFUNCTION("""COMPUTED_VALUE"""),172.03)</f>
        <v>172.03</v>
      </c>
      <c r="K115" s="3">
        <f t="shared" si="2"/>
        <v>0</v>
      </c>
      <c r="L115" s="3">
        <f t="shared" si="3"/>
        <v>172.37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IFERROR(__xludf.DUMMYFUNCTION("""COMPUTED_VALUE"""),172.96)</f>
        <v>172.96</v>
      </c>
      <c r="C116" s="16">
        <f>IFERROR(__xludf.DUMMYFUNCTION("""COMPUTED_VALUE"""),45909.6458333333)</f>
        <v>45909.6458333333</v>
      </c>
      <c r="D116" s="17">
        <f>IFERROR(__xludf.DUMMYFUNCTION("""COMPUTED_VALUE"""),172.39)</f>
        <v>172.39</v>
      </c>
      <c r="E116" s="16">
        <f>IFERROR(__xludf.DUMMYFUNCTION("""COMPUTED_VALUE"""),45909.6458333333)</f>
        <v>45909.6458333333</v>
      </c>
      <c r="F116" s="17">
        <f>IFERROR(__xludf.DUMMYFUNCTION("""COMPUTED_VALUE"""),8186535)</f>
        <v>8186535</v>
      </c>
      <c r="G116" s="16">
        <f>IFERROR(__xludf.DUMMYFUNCTION("""COMPUTED_VALUE"""),45909.6458333333)</f>
        <v>45909.6458333333</v>
      </c>
      <c r="H116" s="17">
        <f>IFERROR(__xludf.DUMMYFUNCTION("""COMPUTED_VALUE"""),173.64)</f>
        <v>173.64</v>
      </c>
      <c r="I116" s="16">
        <f>IFERROR(__xludf.DUMMYFUNCTION("""COMPUTED_VALUE"""),45909.6458333333)</f>
        <v>45909.6458333333</v>
      </c>
      <c r="J116" s="17">
        <f>IFERROR(__xludf.DUMMYFUNCTION("""COMPUTED_VALUE"""),171.7)</f>
        <v>171.7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IFERROR(__xludf.DUMMYFUNCTION("""COMPUTED_VALUE"""),173.9)</f>
        <v>173.9</v>
      </c>
      <c r="C117" s="16">
        <f>IFERROR(__xludf.DUMMYFUNCTION("""COMPUTED_VALUE"""),45910.6458333333)</f>
        <v>45910.6458333333</v>
      </c>
      <c r="D117" s="17">
        <f>IFERROR(__xludf.DUMMYFUNCTION("""COMPUTED_VALUE"""),173.4)</f>
        <v>173.4</v>
      </c>
      <c r="E117" s="16">
        <f>IFERROR(__xludf.DUMMYFUNCTION("""COMPUTED_VALUE"""),45910.6458333333)</f>
        <v>45910.6458333333</v>
      </c>
      <c r="F117" s="17">
        <f>IFERROR(__xludf.DUMMYFUNCTION("""COMPUTED_VALUE"""),7050241)</f>
        <v>7050241</v>
      </c>
      <c r="G117" s="16">
        <f>IFERROR(__xludf.DUMMYFUNCTION("""COMPUTED_VALUE"""),45910.6458333333)</f>
        <v>45910.6458333333</v>
      </c>
      <c r="H117" s="17">
        <f>IFERROR(__xludf.DUMMYFUNCTION("""COMPUTED_VALUE"""),174.78)</f>
        <v>174.78</v>
      </c>
      <c r="I117" s="16">
        <f>IFERROR(__xludf.DUMMYFUNCTION("""COMPUTED_VALUE"""),45910.6458333333)</f>
        <v>45910.6458333333</v>
      </c>
      <c r="J117" s="17">
        <f>IFERROR(__xludf.DUMMYFUNCTION("""COMPUTED_VALUE"""),173.1)</f>
        <v>173.1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IFERROR(__xludf.DUMMYFUNCTION("""COMPUTED_VALUE"""),179.01)</f>
        <v>179.01</v>
      </c>
      <c r="C118" s="16">
        <f>IFERROR(__xludf.DUMMYFUNCTION("""COMPUTED_VALUE"""),45911.6458333333)</f>
        <v>45911.6458333333</v>
      </c>
      <c r="D118" s="17">
        <f>IFERROR(__xludf.DUMMYFUNCTION("""COMPUTED_VALUE"""),175.9)</f>
        <v>175.9</v>
      </c>
      <c r="E118" s="16">
        <f>IFERROR(__xludf.DUMMYFUNCTION("""COMPUTED_VALUE"""),45911.6458333333)</f>
        <v>45911.6458333333</v>
      </c>
      <c r="F118" s="17">
        <f>IFERROR(__xludf.DUMMYFUNCTION("""COMPUTED_VALUE"""),13059152)</f>
        <v>13059152</v>
      </c>
      <c r="G118" s="16">
        <f>IFERROR(__xludf.DUMMYFUNCTION("""COMPUTED_VALUE"""),45911.6458333333)</f>
        <v>45911.6458333333</v>
      </c>
      <c r="H118" s="17">
        <f>IFERROR(__xludf.DUMMYFUNCTION("""COMPUTED_VALUE"""),179.78)</f>
        <v>179.78</v>
      </c>
      <c r="I118" s="16">
        <f>IFERROR(__xludf.DUMMYFUNCTION("""COMPUTED_VALUE"""),45911.6458333333)</f>
        <v>45911.6458333333</v>
      </c>
      <c r="J118" s="17">
        <f>IFERROR(__xludf.DUMMYFUNCTION("""COMPUTED_VALUE"""),175.3)</f>
        <v>175.3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IFERROR(__xludf.DUMMYFUNCTION("""COMPUTED_VALUE"""),178.55)</f>
        <v>178.55</v>
      </c>
      <c r="C119" s="16">
        <f>IFERROR(__xludf.DUMMYFUNCTION("""COMPUTED_VALUE"""),45912.6458333333)</f>
        <v>45912.6458333333</v>
      </c>
      <c r="D119" s="17">
        <f>IFERROR(__xludf.DUMMYFUNCTION("""COMPUTED_VALUE"""),180.5)</f>
        <v>180.5</v>
      </c>
      <c r="E119" s="16">
        <f>IFERROR(__xludf.DUMMYFUNCTION("""COMPUTED_VALUE"""),45912.6458333333)</f>
        <v>45912.6458333333</v>
      </c>
      <c r="F119" s="17">
        <f>IFERROR(__xludf.DUMMYFUNCTION("""COMPUTED_VALUE"""),19079692)</f>
        <v>19079692</v>
      </c>
      <c r="G119" s="16">
        <f>IFERROR(__xludf.DUMMYFUNCTION("""COMPUTED_VALUE"""),45912.6458333333)</f>
        <v>45912.6458333333</v>
      </c>
      <c r="H119" s="17">
        <f>IFERROR(__xludf.DUMMYFUNCTION("""COMPUTED_VALUE"""),183.8)</f>
        <v>183.8</v>
      </c>
      <c r="I119" s="16">
        <f>IFERROR(__xludf.DUMMYFUNCTION("""COMPUTED_VALUE"""),45912.6458333333)</f>
        <v>45912.6458333333</v>
      </c>
      <c r="J119" s="17">
        <f>IFERROR(__xludf.DUMMYFUNCTION("""COMPUTED_VALUE"""),178.1)</f>
        <v>178.1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IFERROR(__xludf.DUMMYFUNCTION("""COMPUTED_VALUE"""),179.93)</f>
        <v>179.93</v>
      </c>
      <c r="C120" s="16">
        <f>IFERROR(__xludf.DUMMYFUNCTION("""COMPUTED_VALUE"""),45915.6458333333)</f>
        <v>45915.6458333333</v>
      </c>
      <c r="D120" s="17">
        <f>IFERROR(__xludf.DUMMYFUNCTION("""COMPUTED_VALUE"""),179)</f>
        <v>179</v>
      </c>
      <c r="E120" s="16">
        <f>IFERROR(__xludf.DUMMYFUNCTION("""COMPUTED_VALUE"""),45915.6458333333)</f>
        <v>45915.6458333333</v>
      </c>
      <c r="F120" s="17">
        <f>IFERROR(__xludf.DUMMYFUNCTION("""COMPUTED_VALUE"""),4509947)</f>
        <v>4509947</v>
      </c>
      <c r="G120" s="16">
        <f>IFERROR(__xludf.DUMMYFUNCTION("""COMPUTED_VALUE"""),45915.6458333333)</f>
        <v>45915.6458333333</v>
      </c>
      <c r="H120" s="17">
        <f>IFERROR(__xludf.DUMMYFUNCTION("""COMPUTED_VALUE"""),180.57)</f>
        <v>180.57</v>
      </c>
      <c r="I120" s="16">
        <f>IFERROR(__xludf.DUMMYFUNCTION("""COMPUTED_VALUE"""),45915.6458333333)</f>
        <v>45915.6458333333</v>
      </c>
      <c r="J120" s="17">
        <f>IFERROR(__xludf.DUMMYFUNCTION("""COMPUTED_VALUE"""),177.66)</f>
        <v>177.66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IFERROR(__xludf.DUMMYFUNCTION("""COMPUTED_VALUE"""),182.24)</f>
        <v>182.24</v>
      </c>
      <c r="C121" s="16">
        <f>IFERROR(__xludf.DUMMYFUNCTION("""COMPUTED_VALUE"""),45916.6458333333)</f>
        <v>45916.6458333333</v>
      </c>
      <c r="D121" s="17">
        <f>IFERROR(__xludf.DUMMYFUNCTION("""COMPUTED_VALUE"""),180.7)</f>
        <v>180.7</v>
      </c>
      <c r="E121" s="16">
        <f>IFERROR(__xludf.DUMMYFUNCTION("""COMPUTED_VALUE"""),45916.6458333333)</f>
        <v>45916.6458333333</v>
      </c>
      <c r="F121" s="17">
        <f>IFERROR(__xludf.DUMMYFUNCTION("""COMPUTED_VALUE"""),6383724)</f>
        <v>6383724</v>
      </c>
      <c r="G121" s="16">
        <f>IFERROR(__xludf.DUMMYFUNCTION("""COMPUTED_VALUE"""),45916.6458333333)</f>
        <v>45916.6458333333</v>
      </c>
      <c r="H121" s="17">
        <f>IFERROR(__xludf.DUMMYFUNCTION("""COMPUTED_VALUE"""),182.5)</f>
        <v>182.5</v>
      </c>
      <c r="I121" s="16">
        <f>IFERROR(__xludf.DUMMYFUNCTION("""COMPUTED_VALUE"""),45916.6458333333)</f>
        <v>45916.6458333333</v>
      </c>
      <c r="J121" s="17">
        <f>IFERROR(__xludf.DUMMYFUNCTION("""COMPUTED_VALUE"""),179.25)</f>
        <v>179.25</v>
      </c>
      <c r="K121" s="3">
        <f t="shared" si="2"/>
        <v>182.24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IFERROR(__xludf.DUMMYFUNCTION("""COMPUTED_VALUE"""),181.6)</f>
        <v>181.6</v>
      </c>
      <c r="C122" s="16">
        <f>IFERROR(__xludf.DUMMYFUNCTION("""COMPUTED_VALUE"""),45917.6458333333)</f>
        <v>45917.6458333333</v>
      </c>
      <c r="D122" s="17">
        <f>IFERROR(__xludf.DUMMYFUNCTION("""COMPUTED_VALUE"""),182.24)</f>
        <v>182.24</v>
      </c>
      <c r="E122" s="16">
        <f>IFERROR(__xludf.DUMMYFUNCTION("""COMPUTED_VALUE"""),45917.6458333333)</f>
        <v>45917.6458333333</v>
      </c>
      <c r="F122" s="17">
        <f>IFERROR(__xludf.DUMMYFUNCTION("""COMPUTED_VALUE"""),4834786)</f>
        <v>4834786</v>
      </c>
      <c r="G122" s="16">
        <f>IFERROR(__xludf.DUMMYFUNCTION("""COMPUTED_VALUE"""),45917.6458333333)</f>
        <v>45917.6458333333</v>
      </c>
      <c r="H122" s="17">
        <f>IFERROR(__xludf.DUMMYFUNCTION("""COMPUTED_VALUE"""),182.99)</f>
        <v>182.99</v>
      </c>
      <c r="I122" s="16">
        <f>IFERROR(__xludf.DUMMYFUNCTION("""COMPUTED_VALUE"""),45917.6458333333)</f>
        <v>45917.6458333333</v>
      </c>
      <c r="J122" s="17">
        <f>IFERROR(__xludf.DUMMYFUNCTION("""COMPUTED_VALUE"""),180.7)</f>
        <v>180.7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IFERROR(__xludf.DUMMYFUNCTION("""COMPUTED_VALUE"""),180.95)</f>
        <v>180.95</v>
      </c>
      <c r="C123" s="16">
        <f>IFERROR(__xludf.DUMMYFUNCTION("""COMPUTED_VALUE"""),45918.6458333333)</f>
        <v>45918.6458333333</v>
      </c>
      <c r="D123" s="17">
        <f>IFERROR(__xludf.DUMMYFUNCTION("""COMPUTED_VALUE"""),182)</f>
        <v>182</v>
      </c>
      <c r="E123" s="16">
        <f>IFERROR(__xludf.DUMMYFUNCTION("""COMPUTED_VALUE"""),45918.6458333333)</f>
        <v>45918.6458333333</v>
      </c>
      <c r="F123" s="17">
        <f>IFERROR(__xludf.DUMMYFUNCTION("""COMPUTED_VALUE"""),5872596)</f>
        <v>5872596</v>
      </c>
      <c r="G123" s="16">
        <f>IFERROR(__xludf.DUMMYFUNCTION("""COMPUTED_VALUE"""),45918.6458333333)</f>
        <v>45918.6458333333</v>
      </c>
      <c r="H123" s="17">
        <f>IFERROR(__xludf.DUMMYFUNCTION("""COMPUTED_VALUE"""),182.98)</f>
        <v>182.98</v>
      </c>
      <c r="I123" s="16">
        <f>IFERROR(__xludf.DUMMYFUNCTION("""COMPUTED_VALUE"""),45918.6458333333)</f>
        <v>45918.6458333333</v>
      </c>
      <c r="J123" s="17">
        <f>IFERROR(__xludf.DUMMYFUNCTION("""COMPUTED_VALUE"""),180.25)</f>
        <v>180.25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IFERROR(__xludf.DUMMYFUNCTION("""COMPUTED_VALUE"""),181.65)</f>
        <v>181.65</v>
      </c>
      <c r="C124" s="16">
        <f>IFERROR(__xludf.DUMMYFUNCTION("""COMPUTED_VALUE"""),45919.6458333333)</f>
        <v>45919.6458333333</v>
      </c>
      <c r="D124" s="17">
        <f>IFERROR(__xludf.DUMMYFUNCTION("""COMPUTED_VALUE"""),181.1)</f>
        <v>181.1</v>
      </c>
      <c r="E124" s="16">
        <f>IFERROR(__xludf.DUMMYFUNCTION("""COMPUTED_VALUE"""),45919.6458333333)</f>
        <v>45919.6458333333</v>
      </c>
      <c r="F124" s="17">
        <f>IFERROR(__xludf.DUMMYFUNCTION("""COMPUTED_VALUE"""),6567199)</f>
        <v>6567199</v>
      </c>
      <c r="G124" s="16">
        <f>IFERROR(__xludf.DUMMYFUNCTION("""COMPUTED_VALUE"""),45919.6458333333)</f>
        <v>45919.6458333333</v>
      </c>
      <c r="H124" s="17">
        <f>IFERROR(__xludf.DUMMYFUNCTION("""COMPUTED_VALUE"""),182.05)</f>
        <v>182.05</v>
      </c>
      <c r="I124" s="16">
        <f>IFERROR(__xludf.DUMMYFUNCTION("""COMPUTED_VALUE"""),45919.6458333333)</f>
        <v>45919.6458333333</v>
      </c>
      <c r="J124" s="17">
        <f>IFERROR(__xludf.DUMMYFUNCTION("""COMPUTED_VALUE"""),180.5)</f>
        <v>180.5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IFERROR(__xludf.DUMMYFUNCTION("""COMPUTED_VALUE"""),180.95)</f>
        <v>180.95</v>
      </c>
      <c r="C125" s="16">
        <f>IFERROR(__xludf.DUMMYFUNCTION("""COMPUTED_VALUE"""),45922.6458333333)</f>
        <v>45922.6458333333</v>
      </c>
      <c r="D125" s="17">
        <f>IFERROR(__xludf.DUMMYFUNCTION("""COMPUTED_VALUE"""),181.6)</f>
        <v>181.6</v>
      </c>
      <c r="E125" s="16">
        <f>IFERROR(__xludf.DUMMYFUNCTION("""COMPUTED_VALUE"""),45922.6458333333)</f>
        <v>45922.6458333333</v>
      </c>
      <c r="F125" s="17">
        <f>IFERROR(__xludf.DUMMYFUNCTION("""COMPUTED_VALUE"""),5333007)</f>
        <v>5333007</v>
      </c>
      <c r="G125" s="16">
        <f>IFERROR(__xludf.DUMMYFUNCTION("""COMPUTED_VALUE"""),45922.6458333333)</f>
        <v>45922.6458333333</v>
      </c>
      <c r="H125" s="17">
        <f>IFERROR(__xludf.DUMMYFUNCTION("""COMPUTED_VALUE"""),182.36)</f>
        <v>182.36</v>
      </c>
      <c r="I125" s="16">
        <f>IFERROR(__xludf.DUMMYFUNCTION("""COMPUTED_VALUE"""),45922.6458333333)</f>
        <v>45922.6458333333</v>
      </c>
      <c r="J125" s="17">
        <f>IFERROR(__xludf.DUMMYFUNCTION("""COMPUTED_VALUE"""),179.85)</f>
        <v>179.85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IFERROR(__xludf.DUMMYFUNCTION("""COMPUTED_VALUE"""),178.66)</f>
        <v>178.66</v>
      </c>
      <c r="C126" s="16">
        <f>IFERROR(__xludf.DUMMYFUNCTION("""COMPUTED_VALUE"""),45923.6458333333)</f>
        <v>45923.6458333333</v>
      </c>
      <c r="D126" s="17">
        <f>IFERROR(__xludf.DUMMYFUNCTION("""COMPUTED_VALUE"""),181.1)</f>
        <v>181.1</v>
      </c>
      <c r="E126" s="16">
        <f>IFERROR(__xludf.DUMMYFUNCTION("""COMPUTED_VALUE"""),45923.6458333333)</f>
        <v>45923.6458333333</v>
      </c>
      <c r="F126" s="17">
        <f>IFERROR(__xludf.DUMMYFUNCTION("""COMPUTED_VALUE"""),6368313)</f>
        <v>6368313</v>
      </c>
      <c r="G126" s="16">
        <f>IFERROR(__xludf.DUMMYFUNCTION("""COMPUTED_VALUE"""),45923.6458333333)</f>
        <v>45923.6458333333</v>
      </c>
      <c r="H126" s="17">
        <f>IFERROR(__xludf.DUMMYFUNCTION("""COMPUTED_VALUE"""),181.7)</f>
        <v>181.7</v>
      </c>
      <c r="I126" s="16">
        <f>IFERROR(__xludf.DUMMYFUNCTION("""COMPUTED_VALUE"""),45923.6458333333)</f>
        <v>45923.6458333333</v>
      </c>
      <c r="J126" s="17">
        <f>IFERROR(__xludf.DUMMYFUNCTION("""COMPUTED_VALUE"""),178.15)</f>
        <v>178.15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IFERROR(__xludf.DUMMYFUNCTION("""COMPUTED_VALUE"""),175.91)</f>
        <v>175.91</v>
      </c>
      <c r="C127" s="16">
        <f>IFERROR(__xludf.DUMMYFUNCTION("""COMPUTED_VALUE"""),45924.6458333333)</f>
        <v>45924.6458333333</v>
      </c>
      <c r="D127" s="17">
        <f>IFERROR(__xludf.DUMMYFUNCTION("""COMPUTED_VALUE"""),178.7)</f>
        <v>178.7</v>
      </c>
      <c r="E127" s="16">
        <f>IFERROR(__xludf.DUMMYFUNCTION("""COMPUTED_VALUE"""),45924.6458333333)</f>
        <v>45924.6458333333</v>
      </c>
      <c r="F127" s="17">
        <f>IFERROR(__xludf.DUMMYFUNCTION("""COMPUTED_VALUE"""),10054492)</f>
        <v>10054492</v>
      </c>
      <c r="G127" s="16">
        <f>IFERROR(__xludf.DUMMYFUNCTION("""COMPUTED_VALUE"""),45924.6458333333)</f>
        <v>45924.6458333333</v>
      </c>
      <c r="H127" s="17">
        <f>IFERROR(__xludf.DUMMYFUNCTION("""COMPUTED_VALUE"""),179)</f>
        <v>179</v>
      </c>
      <c r="I127" s="16">
        <f>IFERROR(__xludf.DUMMYFUNCTION("""COMPUTED_VALUE"""),45924.6458333333)</f>
        <v>45924.6458333333</v>
      </c>
      <c r="J127" s="17">
        <f>IFERROR(__xludf.DUMMYFUNCTION("""COMPUTED_VALUE"""),175.66)</f>
        <v>175.66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IFERROR(__xludf.DUMMYFUNCTION("""COMPUTED_VALUE"""),174.42)</f>
        <v>174.42</v>
      </c>
      <c r="C128" s="16">
        <f>IFERROR(__xludf.DUMMYFUNCTION("""COMPUTED_VALUE"""),45925.6458333333)</f>
        <v>45925.6458333333</v>
      </c>
      <c r="D128" s="17">
        <f>IFERROR(__xludf.DUMMYFUNCTION("""COMPUTED_VALUE"""),176)</f>
        <v>176</v>
      </c>
      <c r="E128" s="16">
        <f>IFERROR(__xludf.DUMMYFUNCTION("""COMPUTED_VALUE"""),45925.6458333333)</f>
        <v>45925.6458333333</v>
      </c>
      <c r="F128" s="17">
        <f>IFERROR(__xludf.DUMMYFUNCTION("""COMPUTED_VALUE"""),8858607)</f>
        <v>8858607</v>
      </c>
      <c r="G128" s="16">
        <f>IFERROR(__xludf.DUMMYFUNCTION("""COMPUTED_VALUE"""),45925.6458333333)</f>
        <v>45925.6458333333</v>
      </c>
      <c r="H128" s="17">
        <f>IFERROR(__xludf.DUMMYFUNCTION("""COMPUTED_VALUE"""),177.66)</f>
        <v>177.66</v>
      </c>
      <c r="I128" s="16">
        <f>IFERROR(__xludf.DUMMYFUNCTION("""COMPUTED_VALUE"""),45925.6458333333)</f>
        <v>45925.6458333333</v>
      </c>
      <c r="J128" s="17">
        <f>IFERROR(__xludf.DUMMYFUNCTION("""COMPUTED_VALUE"""),174)</f>
        <v>174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IFERROR(__xludf.DUMMYFUNCTION("""COMPUTED_VALUE"""),172.02)</f>
        <v>172.02</v>
      </c>
      <c r="C129" s="16">
        <f>IFERROR(__xludf.DUMMYFUNCTION("""COMPUTED_VALUE"""),45926.6458333333)</f>
        <v>45926.6458333333</v>
      </c>
      <c r="D129" s="17">
        <f>IFERROR(__xludf.DUMMYFUNCTION("""COMPUTED_VALUE"""),174.31)</f>
        <v>174.31</v>
      </c>
      <c r="E129" s="16">
        <f>IFERROR(__xludf.DUMMYFUNCTION("""COMPUTED_VALUE"""),45926.6458333333)</f>
        <v>45926.6458333333</v>
      </c>
      <c r="F129" s="17">
        <f>IFERROR(__xludf.DUMMYFUNCTION("""COMPUTED_VALUE"""),8760356)</f>
        <v>8760356</v>
      </c>
      <c r="G129" s="16">
        <f>IFERROR(__xludf.DUMMYFUNCTION("""COMPUTED_VALUE"""),45926.6458333333)</f>
        <v>45926.6458333333</v>
      </c>
      <c r="H129" s="17">
        <f>IFERROR(__xludf.DUMMYFUNCTION("""COMPUTED_VALUE"""),174.55)</f>
        <v>174.55</v>
      </c>
      <c r="I129" s="16">
        <f>IFERROR(__xludf.DUMMYFUNCTION("""COMPUTED_VALUE"""),45926.6458333333)</f>
        <v>45926.6458333333</v>
      </c>
      <c r="J129" s="17">
        <f>IFERROR(__xludf.DUMMYFUNCTION("""COMPUTED_VALUE"""),171.3)</f>
        <v>171.3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31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108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""price"")"),16.52)</f>
        <v>16.52</v>
      </c>
      <c r="I3" s="22" t="s">
        <v>269</v>
      </c>
      <c r="J3" s="23">
        <f>IFERROR(__xludf.DUMMYFUNCTION("GOOGLEFINANCE(L3, ""volume"")"),19463621)</f>
        <v>19463621</v>
      </c>
      <c r="K3" s="24" t="s">
        <v>270</v>
      </c>
      <c r="L3" s="25" t="str">
        <f>Mastersheet!B50</f>
        <v>INFY</v>
      </c>
      <c r="M3" s="26">
        <f>IFERROR(__xludf.DUMMYFUNCTION("""COMPUTED_VALUE"""),45926.6666666666)</f>
        <v>45926.6666666666</v>
      </c>
      <c r="N3" s="27">
        <f>IFERROR(__xludf.DUMMYFUNCTION("""COMPUTED_VALUE"""),16.52)</f>
        <v>16.52</v>
      </c>
      <c r="O3" s="26">
        <f>IFERROR(__xludf.DUMMYFUNCTION("""COMPUTED_VALUE"""),45926.6666666666)</f>
        <v>45926.6666666666</v>
      </c>
      <c r="P3" s="27">
        <f>IFERROR(__xludf.DUMMYFUNCTION("""COMPUTED_VALUE"""),16.45)</f>
        <v>16.45</v>
      </c>
      <c r="Q3" s="16">
        <f>IFERROR(__xludf.DUMMYFUNCTION("""COMPUTED_VALUE"""),45926.6666666666)</f>
        <v>45926.6666666666</v>
      </c>
      <c r="R3" s="17">
        <f>IFERROR(__xludf.DUMMYFUNCTION("""COMPUTED_VALUE"""),16.6)</f>
        <v>16.6</v>
      </c>
      <c r="S3" s="16">
        <f>IFERROR(__xludf.DUMMYFUNCTION("""COMPUTED_VALUE"""),45926.6666666666)</f>
        <v>45926.6666666666</v>
      </c>
      <c r="T3" s="17">
        <f>IFERROR(__xludf.DUMMYFUNCTION("""COMPUTED_VALUE"""),16.36)</f>
        <v>16.36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IFERROR(__xludf.DUMMYFUNCTION("""COMPUTED_VALUE"""),45743.6666666666)</f>
        <v>45743.6666666666</v>
      </c>
      <c r="B5" s="15">
        <f>IFERROR(__xludf.DUMMYFUNCTION("""COMPUTED_VALUE"""),18.67)</f>
        <v>18.67</v>
      </c>
      <c r="C5" s="14">
        <f>IFERROR(__xludf.DUMMYFUNCTION("""COMPUTED_VALUE"""),45743.6666666666)</f>
        <v>45743.6666666666</v>
      </c>
      <c r="D5" s="15">
        <f>IFERROR(__xludf.DUMMYFUNCTION("""COMPUTED_VALUE"""),18.7)</f>
        <v>18.7</v>
      </c>
      <c r="E5" s="14">
        <f>IFERROR(__xludf.DUMMYFUNCTION("""COMPUTED_VALUE"""),45743.6666666666)</f>
        <v>45743.6666666666</v>
      </c>
      <c r="F5" s="15">
        <f>IFERROR(__xludf.DUMMYFUNCTION("""COMPUTED_VALUE"""),6249534)</f>
        <v>6249534</v>
      </c>
      <c r="G5" s="14">
        <f>IFERROR(__xludf.DUMMYFUNCTION("""COMPUTED_VALUE"""),45743.6666666666)</f>
        <v>45743.6666666666</v>
      </c>
      <c r="H5" s="15">
        <f>IFERROR(__xludf.DUMMYFUNCTION("""COMPUTED_VALUE"""),18.78)</f>
        <v>18.78</v>
      </c>
      <c r="I5" s="30">
        <f>IFERROR(__xludf.DUMMYFUNCTION("""COMPUTED_VALUE"""),45743.6666666666)</f>
        <v>45743.6666666666</v>
      </c>
      <c r="J5" s="3">
        <f>IFERROR(__xludf.DUMMYFUNCTION("""COMPUTED_VALUE"""),18.6)</f>
        <v>18.6</v>
      </c>
      <c r="K5" s="5"/>
      <c r="L5" s="5"/>
      <c r="M5" s="3">
        <f t="array" ref="M5">INDEX(K11:K124,MATCH(SMALL(ABS(K11:K124-H3),1),ABS(K11:K124-H3),0))</f>
        <v>17.36</v>
      </c>
      <c r="N5" s="3">
        <f t="array" ref="N5">INDEX(K11:K124,MATCH(SMALL(ABS(K11:K124-H3),2),ABS(K11:K124-H3),0))</f>
        <v>17.68</v>
      </c>
      <c r="O5" s="3">
        <f t="array" ref="O5">INDEX(L11:L124,MATCH(SMALL(ABS(L11:L124-H3),1),ABS(L11:L124-H3),0))</f>
        <v>16.42</v>
      </c>
      <c r="P5" s="3">
        <f t="array" ref="P5">INDEX(L11:L124,MATCH(SMALL(ABS(L11:L124-H3),2),ABS(L11:L124-H3),0))</f>
        <v>16.38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16.14</v>
      </c>
      <c r="T5" s="17">
        <f ca="1">IF(AND(H3&gt;=Mastersheet!I3*S5,H3&lt;=Mastersheet!J3*S5),1,0)</f>
        <v>0</v>
      </c>
      <c r="U5" s="36">
        <f>(N3+P3)/2</f>
        <v>16.485</v>
      </c>
      <c r="V5" s="17">
        <f>(N3+P3+R3+T3)/4</f>
        <v>16.4825</v>
      </c>
      <c r="W5" s="17">
        <f>IF(V5&gt;U5,1,0)</f>
        <v>0</v>
      </c>
      <c r="X5" s="17">
        <f>IF(V5&gt;U5,0,1)</f>
        <v>1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IFERROR(__xludf.DUMMYFUNCTION("""COMPUTED_VALUE"""),45744.6666666666)</f>
        <v>45744.6666666666</v>
      </c>
      <c r="B6" s="17">
        <f>IFERROR(__xludf.DUMMYFUNCTION("""COMPUTED_VALUE"""),18.17)</f>
        <v>18.17</v>
      </c>
      <c r="C6" s="16">
        <f>IFERROR(__xludf.DUMMYFUNCTION("""COMPUTED_VALUE"""),45744.6666666666)</f>
        <v>45744.6666666666</v>
      </c>
      <c r="D6" s="17">
        <f>IFERROR(__xludf.DUMMYFUNCTION("""COMPUTED_VALUE"""),18.37)</f>
        <v>18.37</v>
      </c>
      <c r="E6" s="16">
        <f>IFERROR(__xludf.DUMMYFUNCTION("""COMPUTED_VALUE"""),45744.6666666666)</f>
        <v>45744.6666666666</v>
      </c>
      <c r="F6" s="17">
        <f>IFERROR(__xludf.DUMMYFUNCTION("""COMPUTED_VALUE"""),7866406)</f>
        <v>7866406</v>
      </c>
      <c r="G6" s="16">
        <f>IFERROR(__xludf.DUMMYFUNCTION("""COMPUTED_VALUE"""),45744.6666666666)</f>
        <v>45744.6666666666</v>
      </c>
      <c r="H6" s="17">
        <f>IFERROR(__xludf.DUMMYFUNCTION("""COMPUTED_VALUE"""),18.48)</f>
        <v>18.48</v>
      </c>
      <c r="I6" s="16">
        <f>IFERROR(__xludf.DUMMYFUNCTION("""COMPUTED_VALUE"""),45744.6666666666)</f>
        <v>45744.6666666666</v>
      </c>
      <c r="J6" s="17">
        <f>IFERROR(__xludf.DUMMYFUNCTION("""COMPUTED_VALUE"""),18.11)</f>
        <v>18.11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1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IFERROR(__xludf.DUMMYFUNCTION("""COMPUTED_VALUE"""),45747.6666666666)</f>
        <v>45747.6666666666</v>
      </c>
      <c r="B7" s="17">
        <f>IFERROR(__xludf.DUMMYFUNCTION("""COMPUTED_VALUE"""),18.25)</f>
        <v>18.25</v>
      </c>
      <c r="C7" s="16">
        <f>IFERROR(__xludf.DUMMYFUNCTION("""COMPUTED_VALUE"""),45747.6666666666)</f>
        <v>45747.6666666666</v>
      </c>
      <c r="D7" s="17">
        <f>IFERROR(__xludf.DUMMYFUNCTION("""COMPUTED_VALUE"""),17.98)</f>
        <v>17.98</v>
      </c>
      <c r="E7" s="16">
        <f>IFERROR(__xludf.DUMMYFUNCTION("""COMPUTED_VALUE"""),45747.6666666666)</f>
        <v>45747.6666666666</v>
      </c>
      <c r="F7" s="17">
        <f>IFERROR(__xludf.DUMMYFUNCTION("""COMPUTED_VALUE"""),12408232)</f>
        <v>12408232</v>
      </c>
      <c r="G7" s="16">
        <f>IFERROR(__xludf.DUMMYFUNCTION("""COMPUTED_VALUE"""),45747.6666666666)</f>
        <v>45747.6666666666</v>
      </c>
      <c r="H7" s="17">
        <f>IFERROR(__xludf.DUMMYFUNCTION("""COMPUTED_VALUE"""),18.29)</f>
        <v>18.29</v>
      </c>
      <c r="I7" s="16">
        <f>IFERROR(__xludf.DUMMYFUNCTION("""COMPUTED_VALUE"""),45747.6666666666)</f>
        <v>45747.6666666666</v>
      </c>
      <c r="J7" s="17">
        <f>IFERROR(__xludf.DUMMYFUNCTION("""COMPUTED_VALUE"""),17.87)</f>
        <v>17.87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IFERROR(__xludf.DUMMYFUNCTION("""COMPUTED_VALUE"""),45748.6666666666)</f>
        <v>45748.6666666666</v>
      </c>
      <c r="B8" s="17">
        <f>IFERROR(__xludf.DUMMYFUNCTION("""COMPUTED_VALUE"""),18.2)</f>
        <v>18.2</v>
      </c>
      <c r="C8" s="16">
        <f>IFERROR(__xludf.DUMMYFUNCTION("""COMPUTED_VALUE"""),45748.6666666666)</f>
        <v>45748.6666666666</v>
      </c>
      <c r="D8" s="17">
        <f>IFERROR(__xludf.DUMMYFUNCTION("""COMPUTED_VALUE"""),18.19)</f>
        <v>18.19</v>
      </c>
      <c r="E8" s="16">
        <f>IFERROR(__xludf.DUMMYFUNCTION("""COMPUTED_VALUE"""),45748.6666666666)</f>
        <v>45748.6666666666</v>
      </c>
      <c r="F8" s="17">
        <f>IFERROR(__xludf.DUMMYFUNCTION("""COMPUTED_VALUE"""),13574969)</f>
        <v>13574969</v>
      </c>
      <c r="G8" s="16">
        <f>IFERROR(__xludf.DUMMYFUNCTION("""COMPUTED_VALUE"""),45748.6666666666)</f>
        <v>45748.6666666666</v>
      </c>
      <c r="H8" s="17">
        <f>IFERROR(__xludf.DUMMYFUNCTION("""COMPUTED_VALUE"""),18.21)</f>
        <v>18.21</v>
      </c>
      <c r="I8" s="16">
        <f>IFERROR(__xludf.DUMMYFUNCTION("""COMPUTED_VALUE"""),45748.6666666666)</f>
        <v>45748.6666666666</v>
      </c>
      <c r="J8" s="17">
        <f>IFERROR(__xludf.DUMMYFUNCTION("""COMPUTED_VALUE"""),17.95)</f>
        <v>17.95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IFERROR(__xludf.DUMMYFUNCTION("""COMPUTED_VALUE"""),45749.6666666666)</f>
        <v>45749.6666666666</v>
      </c>
      <c r="B9" s="17">
        <f>IFERROR(__xludf.DUMMYFUNCTION("""COMPUTED_VALUE"""),18.39)</f>
        <v>18.39</v>
      </c>
      <c r="C9" s="16">
        <f>IFERROR(__xludf.DUMMYFUNCTION("""COMPUTED_VALUE"""),45749.6666666666)</f>
        <v>45749.6666666666</v>
      </c>
      <c r="D9" s="17">
        <f>IFERROR(__xludf.DUMMYFUNCTION("""COMPUTED_VALUE"""),18.15)</f>
        <v>18.15</v>
      </c>
      <c r="E9" s="16">
        <f>IFERROR(__xludf.DUMMYFUNCTION("""COMPUTED_VALUE"""),45749.6666666666)</f>
        <v>45749.6666666666</v>
      </c>
      <c r="F9" s="17">
        <f>IFERROR(__xludf.DUMMYFUNCTION("""COMPUTED_VALUE"""),9782282)</f>
        <v>9782282</v>
      </c>
      <c r="G9" s="16">
        <f>IFERROR(__xludf.DUMMYFUNCTION("""COMPUTED_VALUE"""),45749.6666666666)</f>
        <v>45749.6666666666</v>
      </c>
      <c r="H9" s="17">
        <f>IFERROR(__xludf.DUMMYFUNCTION("""COMPUTED_VALUE"""),18.43)</f>
        <v>18.43</v>
      </c>
      <c r="I9" s="16">
        <f>IFERROR(__xludf.DUMMYFUNCTION("""COMPUTED_VALUE"""),45749.6666666666)</f>
        <v>45749.6666666666</v>
      </c>
      <c r="J9" s="17">
        <f>IFERROR(__xludf.DUMMYFUNCTION("""COMPUTED_VALUE"""),18.12)</f>
        <v>18.12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IFERROR(__xludf.DUMMYFUNCTION("""COMPUTED_VALUE"""),45750.6666666666)</f>
        <v>45750.6666666666</v>
      </c>
      <c r="B10" s="17">
        <f>IFERROR(__xludf.DUMMYFUNCTION("""COMPUTED_VALUE"""),17.35)</f>
        <v>17.35</v>
      </c>
      <c r="C10" s="16">
        <f>IFERROR(__xludf.DUMMYFUNCTION("""COMPUTED_VALUE"""),45750.6666666666)</f>
        <v>45750.6666666666</v>
      </c>
      <c r="D10" s="17">
        <f>IFERROR(__xludf.DUMMYFUNCTION("""COMPUTED_VALUE"""),17.56)</f>
        <v>17.56</v>
      </c>
      <c r="E10" s="16">
        <f>IFERROR(__xludf.DUMMYFUNCTION("""COMPUTED_VALUE"""),45750.6666666666)</f>
        <v>45750.6666666666</v>
      </c>
      <c r="F10" s="17">
        <f>IFERROR(__xludf.DUMMYFUNCTION("""COMPUTED_VALUE"""),16271510)</f>
        <v>16271510</v>
      </c>
      <c r="G10" s="16">
        <f>IFERROR(__xludf.DUMMYFUNCTION("""COMPUTED_VALUE"""),45750.6666666666)</f>
        <v>45750.6666666666</v>
      </c>
      <c r="H10" s="17">
        <f>IFERROR(__xludf.DUMMYFUNCTION("""COMPUTED_VALUE"""),17.75)</f>
        <v>17.75</v>
      </c>
      <c r="I10" s="16">
        <f>IFERROR(__xludf.DUMMYFUNCTION("""COMPUTED_VALUE"""),45750.6666666666)</f>
        <v>45750.6666666666</v>
      </c>
      <c r="J10" s="17">
        <f>IFERROR(__xludf.DUMMYFUNCTION("""COMPUTED_VALUE"""),17.28)</f>
        <v>17.28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IFERROR(__xludf.DUMMYFUNCTION("""COMPUTED_VALUE"""),45751.6666666666)</f>
        <v>45751.6666666666</v>
      </c>
      <c r="B11" s="17">
        <f>IFERROR(__xludf.DUMMYFUNCTION("""COMPUTED_VALUE"""),16.58)</f>
        <v>16.58</v>
      </c>
      <c r="C11" s="16">
        <f>IFERROR(__xludf.DUMMYFUNCTION("""COMPUTED_VALUE"""),45751.6666666666)</f>
        <v>45751.6666666666</v>
      </c>
      <c r="D11" s="17">
        <f>IFERROR(__xludf.DUMMYFUNCTION("""COMPUTED_VALUE"""),16.8)</f>
        <v>16.8</v>
      </c>
      <c r="E11" s="16">
        <f>IFERROR(__xludf.DUMMYFUNCTION("""COMPUTED_VALUE"""),45751.6666666666)</f>
        <v>45751.6666666666</v>
      </c>
      <c r="F11" s="17">
        <f>IFERROR(__xludf.DUMMYFUNCTION("""COMPUTED_VALUE"""),19389289)</f>
        <v>19389289</v>
      </c>
      <c r="G11" s="16">
        <f>IFERROR(__xludf.DUMMYFUNCTION("""COMPUTED_VALUE"""),45751.6666666666)</f>
        <v>45751.6666666666</v>
      </c>
      <c r="H11" s="17">
        <f>IFERROR(__xludf.DUMMYFUNCTION("""COMPUTED_VALUE"""),16.9)</f>
        <v>16.9</v>
      </c>
      <c r="I11" s="16">
        <f>IFERROR(__xludf.DUMMYFUNCTION("""COMPUTED_VALUE"""),45751.6666666666)</f>
        <v>45751.6666666666</v>
      </c>
      <c r="J11" s="17">
        <f>IFERROR(__xludf.DUMMYFUNCTION("""COMPUTED_VALUE"""),16.5)</f>
        <v>16.5</v>
      </c>
      <c r="K11" s="3">
        <f t="shared" ref="K11:K125" si="2">IF(B11=MAX(B5:B17),B11,0)</f>
        <v>0</v>
      </c>
      <c r="L11" s="3">
        <f t="shared" ref="L11:L125" si="3">IF(B11=MIN(B5:B17),B11,0)</f>
        <v>0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IFERROR(__xludf.DUMMYFUNCTION("""COMPUTED_VALUE"""),45754.6666666666)</f>
        <v>45754.6666666666</v>
      </c>
      <c r="B12" s="17">
        <f>IFERROR(__xludf.DUMMYFUNCTION("""COMPUTED_VALUE"""),16.78)</f>
        <v>16.78</v>
      </c>
      <c r="C12" s="16">
        <f>IFERROR(__xludf.DUMMYFUNCTION("""COMPUTED_VALUE"""),45754.6666666666)</f>
        <v>45754.6666666666</v>
      </c>
      <c r="D12" s="17">
        <f>IFERROR(__xludf.DUMMYFUNCTION("""COMPUTED_VALUE"""),16.41)</f>
        <v>16.41</v>
      </c>
      <c r="E12" s="16">
        <f>IFERROR(__xludf.DUMMYFUNCTION("""COMPUTED_VALUE"""),45754.6666666666)</f>
        <v>45754.6666666666</v>
      </c>
      <c r="F12" s="17">
        <f>IFERROR(__xludf.DUMMYFUNCTION("""COMPUTED_VALUE"""),23310150)</f>
        <v>23310150</v>
      </c>
      <c r="G12" s="16">
        <f>IFERROR(__xludf.DUMMYFUNCTION("""COMPUTED_VALUE"""),45754.6666666666)</f>
        <v>45754.6666666666</v>
      </c>
      <c r="H12" s="17">
        <f>IFERROR(__xludf.DUMMYFUNCTION("""COMPUTED_VALUE"""),17.43)</f>
        <v>17.43</v>
      </c>
      <c r="I12" s="16">
        <f>IFERROR(__xludf.DUMMYFUNCTION("""COMPUTED_VALUE"""),45754.6666666666)</f>
        <v>45754.6666666666</v>
      </c>
      <c r="J12" s="17">
        <f>IFERROR(__xludf.DUMMYFUNCTION("""COMPUTED_VALUE"""),16.35)</f>
        <v>16.35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IFERROR(__xludf.DUMMYFUNCTION("""COMPUTED_VALUE"""),45755.6666666666)</f>
        <v>45755.6666666666</v>
      </c>
      <c r="B13" s="17">
        <f>IFERROR(__xludf.DUMMYFUNCTION("""COMPUTED_VALUE"""),16.42)</f>
        <v>16.42</v>
      </c>
      <c r="C13" s="16">
        <f>IFERROR(__xludf.DUMMYFUNCTION("""COMPUTED_VALUE"""),45755.6666666666)</f>
        <v>45755.6666666666</v>
      </c>
      <c r="D13" s="17">
        <f>IFERROR(__xludf.DUMMYFUNCTION("""COMPUTED_VALUE"""),17.04)</f>
        <v>17.04</v>
      </c>
      <c r="E13" s="16">
        <f>IFERROR(__xludf.DUMMYFUNCTION("""COMPUTED_VALUE"""),45755.6666666666)</f>
        <v>45755.6666666666</v>
      </c>
      <c r="F13" s="17">
        <f>IFERROR(__xludf.DUMMYFUNCTION("""COMPUTED_VALUE"""),12945061)</f>
        <v>12945061</v>
      </c>
      <c r="G13" s="16">
        <f>IFERROR(__xludf.DUMMYFUNCTION("""COMPUTED_VALUE"""),45755.6666666666)</f>
        <v>45755.6666666666</v>
      </c>
      <c r="H13" s="17">
        <f>IFERROR(__xludf.DUMMYFUNCTION("""COMPUTED_VALUE"""),17.17)</f>
        <v>17.17</v>
      </c>
      <c r="I13" s="16">
        <f>IFERROR(__xludf.DUMMYFUNCTION("""COMPUTED_VALUE"""),45755.6666666666)</f>
        <v>45755.6666666666</v>
      </c>
      <c r="J13" s="17">
        <f>IFERROR(__xludf.DUMMYFUNCTION("""COMPUTED_VALUE"""),16.23)</f>
        <v>16.23</v>
      </c>
      <c r="K13" s="3">
        <f t="shared" si="2"/>
        <v>0</v>
      </c>
      <c r="L13" s="3">
        <f t="shared" si="3"/>
        <v>16.42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IFERROR(__xludf.DUMMYFUNCTION("""COMPUTED_VALUE"""),45756.6666666666)</f>
        <v>45756.6666666666</v>
      </c>
      <c r="B14" s="17">
        <f>IFERROR(__xludf.DUMMYFUNCTION("""COMPUTED_VALUE"""),17.66)</f>
        <v>17.66</v>
      </c>
      <c r="C14" s="16">
        <f>IFERROR(__xludf.DUMMYFUNCTION("""COMPUTED_VALUE"""),45756.6666666666)</f>
        <v>45756.6666666666</v>
      </c>
      <c r="D14" s="17">
        <f>IFERROR(__xludf.DUMMYFUNCTION("""COMPUTED_VALUE"""),16.15)</f>
        <v>16.15</v>
      </c>
      <c r="E14" s="16">
        <f>IFERROR(__xludf.DUMMYFUNCTION("""COMPUTED_VALUE"""),45756.6666666666)</f>
        <v>45756.6666666666</v>
      </c>
      <c r="F14" s="17">
        <f>IFERROR(__xludf.DUMMYFUNCTION("""COMPUTED_VALUE"""),20797808)</f>
        <v>20797808</v>
      </c>
      <c r="G14" s="16">
        <f>IFERROR(__xludf.DUMMYFUNCTION("""COMPUTED_VALUE"""),45756.6666666666)</f>
        <v>45756.6666666666</v>
      </c>
      <c r="H14" s="17">
        <f>IFERROR(__xludf.DUMMYFUNCTION("""COMPUTED_VALUE"""),17.77)</f>
        <v>17.77</v>
      </c>
      <c r="I14" s="16">
        <f>IFERROR(__xludf.DUMMYFUNCTION("""COMPUTED_VALUE"""),45756.6666666666)</f>
        <v>45756.6666666666</v>
      </c>
      <c r="J14" s="17">
        <f>IFERROR(__xludf.DUMMYFUNCTION("""COMPUTED_VALUE"""),16.15)</f>
        <v>16.15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IFERROR(__xludf.DUMMYFUNCTION("""COMPUTED_VALUE"""),45757.6666666666)</f>
        <v>45757.6666666666</v>
      </c>
      <c r="B15" s="17">
        <f>IFERROR(__xludf.DUMMYFUNCTION("""COMPUTED_VALUE"""),16.98)</f>
        <v>16.98</v>
      </c>
      <c r="C15" s="16">
        <f>IFERROR(__xludf.DUMMYFUNCTION("""COMPUTED_VALUE"""),45757.6666666666)</f>
        <v>45757.6666666666</v>
      </c>
      <c r="D15" s="17">
        <f>IFERROR(__xludf.DUMMYFUNCTION("""COMPUTED_VALUE"""),17.26)</f>
        <v>17.26</v>
      </c>
      <c r="E15" s="16">
        <f>IFERROR(__xludf.DUMMYFUNCTION("""COMPUTED_VALUE"""),45757.6666666666)</f>
        <v>45757.6666666666</v>
      </c>
      <c r="F15" s="17">
        <f>IFERROR(__xludf.DUMMYFUNCTION("""COMPUTED_VALUE"""),25884800)</f>
        <v>25884800</v>
      </c>
      <c r="G15" s="16">
        <f>IFERROR(__xludf.DUMMYFUNCTION("""COMPUTED_VALUE"""),45757.6666666666)</f>
        <v>45757.6666666666</v>
      </c>
      <c r="H15" s="17">
        <f>IFERROR(__xludf.DUMMYFUNCTION("""COMPUTED_VALUE"""),17.31)</f>
        <v>17.31</v>
      </c>
      <c r="I15" s="16">
        <f>IFERROR(__xludf.DUMMYFUNCTION("""COMPUTED_VALUE"""),45757.6666666666)</f>
        <v>45757.6666666666</v>
      </c>
      <c r="J15" s="17">
        <f>IFERROR(__xludf.DUMMYFUNCTION("""COMPUTED_VALUE"""),16.5)</f>
        <v>16.5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IFERROR(__xludf.DUMMYFUNCTION("""COMPUTED_VALUE"""),45758.6666666666)</f>
        <v>45758.6666666666</v>
      </c>
      <c r="B16" s="17">
        <f>IFERROR(__xludf.DUMMYFUNCTION("""COMPUTED_VALUE"""),16.88)</f>
        <v>16.88</v>
      </c>
      <c r="C16" s="16">
        <f>IFERROR(__xludf.DUMMYFUNCTION("""COMPUTED_VALUE"""),45758.6666666666)</f>
        <v>45758.6666666666</v>
      </c>
      <c r="D16" s="17">
        <f>IFERROR(__xludf.DUMMYFUNCTION("""COMPUTED_VALUE"""),16.76)</f>
        <v>16.76</v>
      </c>
      <c r="E16" s="16">
        <f>IFERROR(__xludf.DUMMYFUNCTION("""COMPUTED_VALUE"""),45758.6666666666)</f>
        <v>45758.6666666666</v>
      </c>
      <c r="F16" s="17">
        <f>IFERROR(__xludf.DUMMYFUNCTION("""COMPUTED_VALUE"""),15133482)</f>
        <v>15133482</v>
      </c>
      <c r="G16" s="16">
        <f>IFERROR(__xludf.DUMMYFUNCTION("""COMPUTED_VALUE"""),45758.6666666666)</f>
        <v>45758.6666666666</v>
      </c>
      <c r="H16" s="17">
        <f>IFERROR(__xludf.DUMMYFUNCTION("""COMPUTED_VALUE"""),16.95)</f>
        <v>16.95</v>
      </c>
      <c r="I16" s="16">
        <f>IFERROR(__xludf.DUMMYFUNCTION("""COMPUTED_VALUE"""),45758.6666666666)</f>
        <v>45758.6666666666</v>
      </c>
      <c r="J16" s="17">
        <f>IFERROR(__xludf.DUMMYFUNCTION("""COMPUTED_VALUE"""),16.48)</f>
        <v>16.48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IFERROR(__xludf.DUMMYFUNCTION("""COMPUTED_VALUE"""),45761.6666666666)</f>
        <v>45761.6666666666</v>
      </c>
      <c r="B17" s="17">
        <f>IFERROR(__xludf.DUMMYFUNCTION("""COMPUTED_VALUE"""),17.01)</f>
        <v>17.01</v>
      </c>
      <c r="C17" s="16">
        <f>IFERROR(__xludf.DUMMYFUNCTION("""COMPUTED_VALUE"""),45761.6666666666)</f>
        <v>45761.6666666666</v>
      </c>
      <c r="D17" s="17">
        <f>IFERROR(__xludf.DUMMYFUNCTION("""COMPUTED_VALUE"""),17.17)</f>
        <v>17.17</v>
      </c>
      <c r="E17" s="16">
        <f>IFERROR(__xludf.DUMMYFUNCTION("""COMPUTED_VALUE"""),45761.6666666666)</f>
        <v>45761.6666666666</v>
      </c>
      <c r="F17" s="17">
        <f>IFERROR(__xludf.DUMMYFUNCTION("""COMPUTED_VALUE"""),20141986)</f>
        <v>20141986</v>
      </c>
      <c r="G17" s="16">
        <f>IFERROR(__xludf.DUMMYFUNCTION("""COMPUTED_VALUE"""),45761.6666666666)</f>
        <v>45761.6666666666</v>
      </c>
      <c r="H17" s="17">
        <f>IFERROR(__xludf.DUMMYFUNCTION("""COMPUTED_VALUE"""),17.17)</f>
        <v>17.17</v>
      </c>
      <c r="I17" s="16">
        <f>IFERROR(__xludf.DUMMYFUNCTION("""COMPUTED_VALUE"""),45761.6666666666)</f>
        <v>45761.6666666666</v>
      </c>
      <c r="J17" s="17">
        <f>IFERROR(__xludf.DUMMYFUNCTION("""COMPUTED_VALUE"""),16.88)</f>
        <v>16.88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IFERROR(__xludf.DUMMYFUNCTION("""COMPUTED_VALUE"""),45762.6666666666)</f>
        <v>45762.6666666666</v>
      </c>
      <c r="B18" s="17">
        <f>IFERROR(__xludf.DUMMYFUNCTION("""COMPUTED_VALUE"""),17.03)</f>
        <v>17.03</v>
      </c>
      <c r="C18" s="16">
        <f>IFERROR(__xludf.DUMMYFUNCTION("""COMPUTED_VALUE"""),45762.6666666666)</f>
        <v>45762.6666666666</v>
      </c>
      <c r="D18" s="17">
        <f>IFERROR(__xludf.DUMMYFUNCTION("""COMPUTED_VALUE"""),16.89)</f>
        <v>16.89</v>
      </c>
      <c r="E18" s="16">
        <f>IFERROR(__xludf.DUMMYFUNCTION("""COMPUTED_VALUE"""),45762.6666666666)</f>
        <v>45762.6666666666</v>
      </c>
      <c r="F18" s="17">
        <f>IFERROR(__xludf.DUMMYFUNCTION("""COMPUTED_VALUE"""),16826240)</f>
        <v>16826240</v>
      </c>
      <c r="G18" s="16">
        <f>IFERROR(__xludf.DUMMYFUNCTION("""COMPUTED_VALUE"""),45762.6666666666)</f>
        <v>45762.6666666666</v>
      </c>
      <c r="H18" s="17">
        <f>IFERROR(__xludf.DUMMYFUNCTION("""COMPUTED_VALUE"""),17.06)</f>
        <v>17.06</v>
      </c>
      <c r="I18" s="16">
        <f>IFERROR(__xludf.DUMMYFUNCTION("""COMPUTED_VALUE"""),45762.6666666666)</f>
        <v>45762.6666666666</v>
      </c>
      <c r="J18" s="17">
        <f>IFERROR(__xludf.DUMMYFUNCTION("""COMPUTED_VALUE"""),16.86)</f>
        <v>16.86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IFERROR(__xludf.DUMMYFUNCTION("""COMPUTED_VALUE"""),45763.6666666666)</f>
        <v>45763.6666666666</v>
      </c>
      <c r="B19" s="17">
        <f>IFERROR(__xludf.DUMMYFUNCTION("""COMPUTED_VALUE"""),16.58)</f>
        <v>16.58</v>
      </c>
      <c r="C19" s="16">
        <f>IFERROR(__xludf.DUMMYFUNCTION("""COMPUTED_VALUE"""),45763.6666666666)</f>
        <v>45763.6666666666</v>
      </c>
      <c r="D19" s="17">
        <f>IFERROR(__xludf.DUMMYFUNCTION("""COMPUTED_VALUE"""),16.6)</f>
        <v>16.6</v>
      </c>
      <c r="E19" s="16">
        <f>IFERROR(__xludf.DUMMYFUNCTION("""COMPUTED_VALUE"""),45763.6666666666)</f>
        <v>45763.6666666666</v>
      </c>
      <c r="F19" s="17">
        <f>IFERROR(__xludf.DUMMYFUNCTION("""COMPUTED_VALUE"""),21244786)</f>
        <v>21244786</v>
      </c>
      <c r="G19" s="16">
        <f>IFERROR(__xludf.DUMMYFUNCTION("""COMPUTED_VALUE"""),45763.6666666666)</f>
        <v>45763.6666666666</v>
      </c>
      <c r="H19" s="17">
        <f>IFERROR(__xludf.DUMMYFUNCTION("""COMPUTED_VALUE"""),16.85)</f>
        <v>16.85</v>
      </c>
      <c r="I19" s="16">
        <f>IFERROR(__xludf.DUMMYFUNCTION("""COMPUTED_VALUE"""),45763.6666666666)</f>
        <v>45763.6666666666</v>
      </c>
      <c r="J19" s="17">
        <f>IFERROR(__xludf.DUMMYFUNCTION("""COMPUTED_VALUE"""),16.53)</f>
        <v>16.53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IFERROR(__xludf.DUMMYFUNCTION("""COMPUTED_VALUE"""),45764.6666666666)</f>
        <v>45764.6666666666</v>
      </c>
      <c r="B20" s="17">
        <f>IFERROR(__xludf.DUMMYFUNCTION("""COMPUTED_VALUE"""),16.14)</f>
        <v>16.14</v>
      </c>
      <c r="C20" s="16">
        <f>IFERROR(__xludf.DUMMYFUNCTION("""COMPUTED_VALUE"""),45764.6666666666)</f>
        <v>45764.6666666666</v>
      </c>
      <c r="D20" s="17">
        <f>IFERROR(__xludf.DUMMYFUNCTION("""COMPUTED_VALUE"""),16.22)</f>
        <v>16.22</v>
      </c>
      <c r="E20" s="16">
        <f>IFERROR(__xludf.DUMMYFUNCTION("""COMPUTED_VALUE"""),45764.6666666666)</f>
        <v>45764.6666666666</v>
      </c>
      <c r="F20" s="17">
        <f>IFERROR(__xludf.DUMMYFUNCTION("""COMPUTED_VALUE"""),20714223)</f>
        <v>20714223</v>
      </c>
      <c r="G20" s="16">
        <f>IFERROR(__xludf.DUMMYFUNCTION("""COMPUTED_VALUE"""),45764.6666666666)</f>
        <v>45764.6666666666</v>
      </c>
      <c r="H20" s="17">
        <f>IFERROR(__xludf.DUMMYFUNCTION("""COMPUTED_VALUE"""),16.45)</f>
        <v>16.45</v>
      </c>
      <c r="I20" s="16">
        <f>IFERROR(__xludf.DUMMYFUNCTION("""COMPUTED_VALUE"""),45764.6666666666)</f>
        <v>45764.6666666666</v>
      </c>
      <c r="J20" s="17">
        <f>IFERROR(__xludf.DUMMYFUNCTION("""COMPUTED_VALUE"""),15.82)</f>
        <v>15.82</v>
      </c>
      <c r="K20" s="3">
        <f t="shared" si="2"/>
        <v>0</v>
      </c>
      <c r="L20" s="3">
        <f t="shared" si="3"/>
        <v>16.14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IFERROR(__xludf.DUMMYFUNCTION("""COMPUTED_VALUE"""),45768.6666666666)</f>
        <v>45768.6666666666</v>
      </c>
      <c r="B21" s="17">
        <f>IFERROR(__xludf.DUMMYFUNCTION("""COMPUTED_VALUE"""),16.58)</f>
        <v>16.58</v>
      </c>
      <c r="C21" s="16">
        <f>IFERROR(__xludf.DUMMYFUNCTION("""COMPUTED_VALUE"""),45768.6666666666)</f>
        <v>45768.6666666666</v>
      </c>
      <c r="D21" s="17">
        <f>IFERROR(__xludf.DUMMYFUNCTION("""COMPUTED_VALUE"""),16.86)</f>
        <v>16.86</v>
      </c>
      <c r="E21" s="16">
        <f>IFERROR(__xludf.DUMMYFUNCTION("""COMPUTED_VALUE"""),45768.6666666666)</f>
        <v>45768.6666666666</v>
      </c>
      <c r="F21" s="17">
        <f>IFERROR(__xludf.DUMMYFUNCTION("""COMPUTED_VALUE"""),20614525)</f>
        <v>20614525</v>
      </c>
      <c r="G21" s="16">
        <f>IFERROR(__xludf.DUMMYFUNCTION("""COMPUTED_VALUE"""),45768.6666666666)</f>
        <v>45768.6666666666</v>
      </c>
      <c r="H21" s="17">
        <f>IFERROR(__xludf.DUMMYFUNCTION("""COMPUTED_VALUE"""),16.88)</f>
        <v>16.88</v>
      </c>
      <c r="I21" s="16">
        <f>IFERROR(__xludf.DUMMYFUNCTION("""COMPUTED_VALUE"""),45768.6666666666)</f>
        <v>45768.6666666666</v>
      </c>
      <c r="J21" s="17">
        <f>IFERROR(__xludf.DUMMYFUNCTION("""COMPUTED_VALUE"""),16.39)</f>
        <v>16.39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IFERROR(__xludf.DUMMYFUNCTION("""COMPUTED_VALUE"""),45769.6666666666)</f>
        <v>45769.6666666666</v>
      </c>
      <c r="B22" s="17">
        <f>IFERROR(__xludf.DUMMYFUNCTION("""COMPUTED_VALUE"""),16.86)</f>
        <v>16.86</v>
      </c>
      <c r="C22" s="16">
        <f>IFERROR(__xludf.DUMMYFUNCTION("""COMPUTED_VALUE"""),45769.6666666666)</f>
        <v>45769.6666666666</v>
      </c>
      <c r="D22" s="17">
        <f>IFERROR(__xludf.DUMMYFUNCTION("""COMPUTED_VALUE"""),16.66)</f>
        <v>16.66</v>
      </c>
      <c r="E22" s="16">
        <f>IFERROR(__xludf.DUMMYFUNCTION("""COMPUTED_VALUE"""),45769.6666666666)</f>
        <v>45769.6666666666</v>
      </c>
      <c r="F22" s="17">
        <f>IFERROR(__xludf.DUMMYFUNCTION("""COMPUTED_VALUE"""),10459284)</f>
        <v>10459284</v>
      </c>
      <c r="G22" s="16">
        <f>IFERROR(__xludf.DUMMYFUNCTION("""COMPUTED_VALUE"""),45769.6666666666)</f>
        <v>45769.6666666666</v>
      </c>
      <c r="H22" s="17">
        <f>IFERROR(__xludf.DUMMYFUNCTION("""COMPUTED_VALUE"""),16.93)</f>
        <v>16.93</v>
      </c>
      <c r="I22" s="16">
        <f>IFERROR(__xludf.DUMMYFUNCTION("""COMPUTED_VALUE"""),45769.6666666666)</f>
        <v>45769.6666666666</v>
      </c>
      <c r="J22" s="17">
        <f>IFERROR(__xludf.DUMMYFUNCTION("""COMPUTED_VALUE"""),16.66)</f>
        <v>16.66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IFERROR(__xludf.DUMMYFUNCTION("""COMPUTED_VALUE"""),45770.6666666666)</f>
        <v>45770.6666666666</v>
      </c>
      <c r="B23" s="17">
        <f>IFERROR(__xludf.DUMMYFUNCTION("""COMPUTED_VALUE"""),17.23)</f>
        <v>17.23</v>
      </c>
      <c r="C23" s="16">
        <f>IFERROR(__xludf.DUMMYFUNCTION("""COMPUTED_VALUE"""),45770.6666666666)</f>
        <v>45770.6666666666</v>
      </c>
      <c r="D23" s="17">
        <f>IFERROR(__xludf.DUMMYFUNCTION("""COMPUTED_VALUE"""),17.36)</f>
        <v>17.36</v>
      </c>
      <c r="E23" s="16">
        <f>IFERROR(__xludf.DUMMYFUNCTION("""COMPUTED_VALUE"""),45770.6666666666)</f>
        <v>45770.6666666666</v>
      </c>
      <c r="F23" s="17">
        <f>IFERROR(__xludf.DUMMYFUNCTION("""COMPUTED_VALUE"""),12569332)</f>
        <v>12569332</v>
      </c>
      <c r="G23" s="16">
        <f>IFERROR(__xludf.DUMMYFUNCTION("""COMPUTED_VALUE"""),45770.6666666666)</f>
        <v>45770.6666666666</v>
      </c>
      <c r="H23" s="17">
        <f>IFERROR(__xludf.DUMMYFUNCTION("""COMPUTED_VALUE"""),17.55)</f>
        <v>17.55</v>
      </c>
      <c r="I23" s="16">
        <f>IFERROR(__xludf.DUMMYFUNCTION("""COMPUTED_VALUE"""),45770.6666666666)</f>
        <v>45770.6666666666</v>
      </c>
      <c r="J23" s="17">
        <f>IFERROR(__xludf.DUMMYFUNCTION("""COMPUTED_VALUE"""),17.18)</f>
        <v>17.18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IFERROR(__xludf.DUMMYFUNCTION("""COMPUTED_VALUE"""),45771.6666666666)</f>
        <v>45771.6666666666</v>
      </c>
      <c r="B24" s="17">
        <f>IFERROR(__xludf.DUMMYFUNCTION("""COMPUTED_VALUE"""),17.36)</f>
        <v>17.36</v>
      </c>
      <c r="C24" s="16">
        <f>IFERROR(__xludf.DUMMYFUNCTION("""COMPUTED_VALUE"""),45771.6666666666)</f>
        <v>45771.6666666666</v>
      </c>
      <c r="D24" s="17">
        <f>IFERROR(__xludf.DUMMYFUNCTION("""COMPUTED_VALUE"""),17.27)</f>
        <v>17.27</v>
      </c>
      <c r="E24" s="16">
        <f>IFERROR(__xludf.DUMMYFUNCTION("""COMPUTED_VALUE"""),45771.6666666666)</f>
        <v>45771.6666666666</v>
      </c>
      <c r="F24" s="17">
        <f>IFERROR(__xludf.DUMMYFUNCTION("""COMPUTED_VALUE"""),10165912)</f>
        <v>10165912</v>
      </c>
      <c r="G24" s="16">
        <f>IFERROR(__xludf.DUMMYFUNCTION("""COMPUTED_VALUE"""),45771.6666666666)</f>
        <v>45771.6666666666</v>
      </c>
      <c r="H24" s="17">
        <f>IFERROR(__xludf.DUMMYFUNCTION("""COMPUTED_VALUE"""),17.45)</f>
        <v>17.45</v>
      </c>
      <c r="I24" s="16">
        <f>IFERROR(__xludf.DUMMYFUNCTION("""COMPUTED_VALUE"""),45771.6666666666)</f>
        <v>45771.6666666666</v>
      </c>
      <c r="J24" s="17">
        <f>IFERROR(__xludf.DUMMYFUNCTION("""COMPUTED_VALUE"""),17.24)</f>
        <v>17.24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IFERROR(__xludf.DUMMYFUNCTION("""COMPUTED_VALUE"""),45772.6666666666)</f>
        <v>45772.6666666666</v>
      </c>
      <c r="B25" s="17">
        <f>IFERROR(__xludf.DUMMYFUNCTION("""COMPUTED_VALUE"""),17.4)</f>
        <v>17.4</v>
      </c>
      <c r="C25" s="16">
        <f>IFERROR(__xludf.DUMMYFUNCTION("""COMPUTED_VALUE"""),45772.6666666666)</f>
        <v>45772.6666666666</v>
      </c>
      <c r="D25" s="17">
        <f>IFERROR(__xludf.DUMMYFUNCTION("""COMPUTED_VALUE"""),17.4)</f>
        <v>17.4</v>
      </c>
      <c r="E25" s="16">
        <f>IFERROR(__xludf.DUMMYFUNCTION("""COMPUTED_VALUE"""),45772.6666666666)</f>
        <v>45772.6666666666</v>
      </c>
      <c r="F25" s="17">
        <f>IFERROR(__xludf.DUMMYFUNCTION("""COMPUTED_VALUE"""),7574053)</f>
        <v>7574053</v>
      </c>
      <c r="G25" s="16">
        <f>IFERROR(__xludf.DUMMYFUNCTION("""COMPUTED_VALUE"""),45772.6666666666)</f>
        <v>45772.6666666666</v>
      </c>
      <c r="H25" s="17">
        <f>IFERROR(__xludf.DUMMYFUNCTION("""COMPUTED_VALUE"""),17.44)</f>
        <v>17.44</v>
      </c>
      <c r="I25" s="16">
        <f>IFERROR(__xludf.DUMMYFUNCTION("""COMPUTED_VALUE"""),45772.6666666666)</f>
        <v>45772.6666666666</v>
      </c>
      <c r="J25" s="17">
        <f>IFERROR(__xludf.DUMMYFUNCTION("""COMPUTED_VALUE"""),17.26)</f>
        <v>17.26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IFERROR(__xludf.DUMMYFUNCTION("""COMPUTED_VALUE"""),45775.6666666666)</f>
        <v>45775.6666666666</v>
      </c>
      <c r="B26" s="17">
        <f>IFERROR(__xludf.DUMMYFUNCTION("""COMPUTED_VALUE"""),17.33)</f>
        <v>17.33</v>
      </c>
      <c r="C26" s="16">
        <f>IFERROR(__xludf.DUMMYFUNCTION("""COMPUTED_VALUE"""),45775.6666666666)</f>
        <v>45775.6666666666</v>
      </c>
      <c r="D26" s="17">
        <f>IFERROR(__xludf.DUMMYFUNCTION("""COMPUTED_VALUE"""),17.36)</f>
        <v>17.36</v>
      </c>
      <c r="E26" s="16">
        <f>IFERROR(__xludf.DUMMYFUNCTION("""COMPUTED_VALUE"""),45775.6666666666)</f>
        <v>45775.6666666666</v>
      </c>
      <c r="F26" s="17">
        <f>IFERROR(__xludf.DUMMYFUNCTION("""COMPUTED_VALUE"""),7546899)</f>
        <v>7546899</v>
      </c>
      <c r="G26" s="16">
        <f>IFERROR(__xludf.DUMMYFUNCTION("""COMPUTED_VALUE"""),45775.6666666666)</f>
        <v>45775.6666666666</v>
      </c>
      <c r="H26" s="17">
        <f>IFERROR(__xludf.DUMMYFUNCTION("""COMPUTED_VALUE"""),17.45)</f>
        <v>17.45</v>
      </c>
      <c r="I26" s="16">
        <f>IFERROR(__xludf.DUMMYFUNCTION("""COMPUTED_VALUE"""),45775.6666666666)</f>
        <v>45775.6666666666</v>
      </c>
      <c r="J26" s="17">
        <f>IFERROR(__xludf.DUMMYFUNCTION("""COMPUTED_VALUE"""),17.15)</f>
        <v>17.15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IFERROR(__xludf.DUMMYFUNCTION("""COMPUTED_VALUE"""),45776.6666666666)</f>
        <v>45776.6666666666</v>
      </c>
      <c r="B27" s="17">
        <f>IFERROR(__xludf.DUMMYFUNCTION("""COMPUTED_VALUE"""),17.57)</f>
        <v>17.57</v>
      </c>
      <c r="C27" s="16">
        <f>IFERROR(__xludf.DUMMYFUNCTION("""COMPUTED_VALUE"""),45776.6666666666)</f>
        <v>45776.6666666666</v>
      </c>
      <c r="D27" s="17">
        <f>IFERROR(__xludf.DUMMYFUNCTION("""COMPUTED_VALUE"""),17.43)</f>
        <v>17.43</v>
      </c>
      <c r="E27" s="16">
        <f>IFERROR(__xludf.DUMMYFUNCTION("""COMPUTED_VALUE"""),45776.6666666666)</f>
        <v>45776.6666666666</v>
      </c>
      <c r="F27" s="17">
        <f>IFERROR(__xludf.DUMMYFUNCTION("""COMPUTED_VALUE"""),7769596)</f>
        <v>7769596</v>
      </c>
      <c r="G27" s="16">
        <f>IFERROR(__xludf.DUMMYFUNCTION("""COMPUTED_VALUE"""),45776.6666666666)</f>
        <v>45776.6666666666</v>
      </c>
      <c r="H27" s="17">
        <f>IFERROR(__xludf.DUMMYFUNCTION("""COMPUTED_VALUE"""),17.65)</f>
        <v>17.65</v>
      </c>
      <c r="I27" s="16">
        <f>IFERROR(__xludf.DUMMYFUNCTION("""COMPUTED_VALUE"""),45776.6666666666)</f>
        <v>45776.6666666666</v>
      </c>
      <c r="J27" s="17">
        <f>IFERROR(__xludf.DUMMYFUNCTION("""COMPUTED_VALUE"""),17.36)</f>
        <v>17.36</v>
      </c>
      <c r="K27" s="3">
        <f t="shared" si="2"/>
        <v>0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IFERROR(__xludf.DUMMYFUNCTION("""COMPUTED_VALUE"""),45777.6666666666)</f>
        <v>45777.6666666666</v>
      </c>
      <c r="B28" s="17">
        <f>IFERROR(__xludf.DUMMYFUNCTION("""COMPUTED_VALUE"""),17.6)</f>
        <v>17.6</v>
      </c>
      <c r="C28" s="16">
        <f>IFERROR(__xludf.DUMMYFUNCTION("""COMPUTED_VALUE"""),45777.6666666666)</f>
        <v>45777.6666666666</v>
      </c>
      <c r="D28" s="17">
        <f>IFERROR(__xludf.DUMMYFUNCTION("""COMPUTED_VALUE"""),17.55)</f>
        <v>17.55</v>
      </c>
      <c r="E28" s="16">
        <f>IFERROR(__xludf.DUMMYFUNCTION("""COMPUTED_VALUE"""),45777.6666666666)</f>
        <v>45777.6666666666</v>
      </c>
      <c r="F28" s="17">
        <f>IFERROR(__xludf.DUMMYFUNCTION("""COMPUTED_VALUE"""),7085545)</f>
        <v>7085545</v>
      </c>
      <c r="G28" s="16">
        <f>IFERROR(__xludf.DUMMYFUNCTION("""COMPUTED_VALUE"""),45777.6666666666)</f>
        <v>45777.6666666666</v>
      </c>
      <c r="H28" s="17">
        <f>IFERROR(__xludf.DUMMYFUNCTION("""COMPUTED_VALUE"""),17.62)</f>
        <v>17.62</v>
      </c>
      <c r="I28" s="16">
        <f>IFERROR(__xludf.DUMMYFUNCTION("""COMPUTED_VALUE"""),45777.6666666666)</f>
        <v>45777.6666666666</v>
      </c>
      <c r="J28" s="17">
        <f>IFERROR(__xludf.DUMMYFUNCTION("""COMPUTED_VALUE"""),17.29)</f>
        <v>17.29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IFERROR(__xludf.DUMMYFUNCTION("""COMPUTED_VALUE"""),45778.6666666666)</f>
        <v>45778.6666666666</v>
      </c>
      <c r="B29" s="17">
        <f>IFERROR(__xludf.DUMMYFUNCTION("""COMPUTED_VALUE"""),17.6)</f>
        <v>17.6</v>
      </c>
      <c r="C29" s="16">
        <f>IFERROR(__xludf.DUMMYFUNCTION("""COMPUTED_VALUE"""),45778.6666666666)</f>
        <v>45778.6666666666</v>
      </c>
      <c r="D29" s="17">
        <f>IFERROR(__xludf.DUMMYFUNCTION("""COMPUTED_VALUE"""),17.72)</f>
        <v>17.72</v>
      </c>
      <c r="E29" s="16">
        <f>IFERROR(__xludf.DUMMYFUNCTION("""COMPUTED_VALUE"""),45778.6666666666)</f>
        <v>45778.6666666666</v>
      </c>
      <c r="F29" s="17">
        <f>IFERROR(__xludf.DUMMYFUNCTION("""COMPUTED_VALUE"""),7752851)</f>
        <v>7752851</v>
      </c>
      <c r="G29" s="16">
        <f>IFERROR(__xludf.DUMMYFUNCTION("""COMPUTED_VALUE"""),45778.6666666666)</f>
        <v>45778.6666666666</v>
      </c>
      <c r="H29" s="17">
        <f>IFERROR(__xludf.DUMMYFUNCTION("""COMPUTED_VALUE"""),17.76)</f>
        <v>17.76</v>
      </c>
      <c r="I29" s="16">
        <f>IFERROR(__xludf.DUMMYFUNCTION("""COMPUTED_VALUE"""),45778.6666666666)</f>
        <v>45778.6666666666</v>
      </c>
      <c r="J29" s="17">
        <f>IFERROR(__xludf.DUMMYFUNCTION("""COMPUTED_VALUE"""),17.59)</f>
        <v>17.59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IFERROR(__xludf.DUMMYFUNCTION("""COMPUTED_VALUE"""),45779.6666666666)</f>
        <v>45779.6666666666</v>
      </c>
      <c r="B30" s="17">
        <f>IFERROR(__xludf.DUMMYFUNCTION("""COMPUTED_VALUE"""),17.88)</f>
        <v>17.88</v>
      </c>
      <c r="C30" s="16">
        <f>IFERROR(__xludf.DUMMYFUNCTION("""COMPUTED_VALUE"""),45779.6666666666)</f>
        <v>45779.6666666666</v>
      </c>
      <c r="D30" s="17">
        <f>IFERROR(__xludf.DUMMYFUNCTION("""COMPUTED_VALUE"""),17.87)</f>
        <v>17.87</v>
      </c>
      <c r="E30" s="16">
        <f>IFERROR(__xludf.DUMMYFUNCTION("""COMPUTED_VALUE"""),45779.6666666666)</f>
        <v>45779.6666666666</v>
      </c>
      <c r="F30" s="17">
        <f>IFERROR(__xludf.DUMMYFUNCTION("""COMPUTED_VALUE"""),8940503)</f>
        <v>8940503</v>
      </c>
      <c r="G30" s="16">
        <f>IFERROR(__xludf.DUMMYFUNCTION("""COMPUTED_VALUE"""),45779.6666666666)</f>
        <v>45779.6666666666</v>
      </c>
      <c r="H30" s="17">
        <f>IFERROR(__xludf.DUMMYFUNCTION("""COMPUTED_VALUE"""),18.02)</f>
        <v>18.02</v>
      </c>
      <c r="I30" s="16">
        <f>IFERROR(__xludf.DUMMYFUNCTION("""COMPUTED_VALUE"""),45779.6666666666)</f>
        <v>45779.6666666666</v>
      </c>
      <c r="J30" s="17">
        <f>IFERROR(__xludf.DUMMYFUNCTION("""COMPUTED_VALUE"""),17.87)</f>
        <v>17.87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IFERROR(__xludf.DUMMYFUNCTION("""COMPUTED_VALUE"""),45782.6666666666)</f>
        <v>45782.6666666666</v>
      </c>
      <c r="B31" s="17">
        <f>IFERROR(__xludf.DUMMYFUNCTION("""COMPUTED_VALUE"""),17.85)</f>
        <v>17.85</v>
      </c>
      <c r="C31" s="16">
        <f>IFERROR(__xludf.DUMMYFUNCTION("""COMPUTED_VALUE"""),45782.6666666666)</f>
        <v>45782.6666666666</v>
      </c>
      <c r="D31" s="17">
        <f>IFERROR(__xludf.DUMMYFUNCTION("""COMPUTED_VALUE"""),17.84)</f>
        <v>17.84</v>
      </c>
      <c r="E31" s="16">
        <f>IFERROR(__xludf.DUMMYFUNCTION("""COMPUTED_VALUE"""),45782.6666666666)</f>
        <v>45782.6666666666</v>
      </c>
      <c r="F31" s="17">
        <f>IFERROR(__xludf.DUMMYFUNCTION("""COMPUTED_VALUE"""),5659491)</f>
        <v>5659491</v>
      </c>
      <c r="G31" s="16">
        <f>IFERROR(__xludf.DUMMYFUNCTION("""COMPUTED_VALUE"""),45782.6666666666)</f>
        <v>45782.6666666666</v>
      </c>
      <c r="H31" s="17">
        <f>IFERROR(__xludf.DUMMYFUNCTION("""COMPUTED_VALUE"""),17.98)</f>
        <v>17.98</v>
      </c>
      <c r="I31" s="16">
        <f>IFERROR(__xludf.DUMMYFUNCTION("""COMPUTED_VALUE"""),45782.6666666666)</f>
        <v>45782.6666666666</v>
      </c>
      <c r="J31" s="17">
        <f>IFERROR(__xludf.DUMMYFUNCTION("""COMPUTED_VALUE"""),17.84)</f>
        <v>17.84</v>
      </c>
      <c r="K31" s="3">
        <f t="shared" si="2"/>
        <v>0</v>
      </c>
      <c r="L31" s="3">
        <f t="shared" si="3"/>
        <v>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IFERROR(__xludf.DUMMYFUNCTION("""COMPUTED_VALUE"""),45783.6666666666)</f>
        <v>45783.6666666666</v>
      </c>
      <c r="B32" s="17">
        <f>IFERROR(__xludf.DUMMYFUNCTION("""COMPUTED_VALUE"""),17.77)</f>
        <v>17.77</v>
      </c>
      <c r="C32" s="16">
        <f>IFERROR(__xludf.DUMMYFUNCTION("""COMPUTED_VALUE"""),45783.6666666666)</f>
        <v>45783.6666666666</v>
      </c>
      <c r="D32" s="17">
        <f>IFERROR(__xludf.DUMMYFUNCTION("""COMPUTED_VALUE"""),17.85)</f>
        <v>17.85</v>
      </c>
      <c r="E32" s="16">
        <f>IFERROR(__xludf.DUMMYFUNCTION("""COMPUTED_VALUE"""),45783.6666666666)</f>
        <v>45783.6666666666</v>
      </c>
      <c r="F32" s="17">
        <f>IFERROR(__xludf.DUMMYFUNCTION("""COMPUTED_VALUE"""),8333394)</f>
        <v>8333394</v>
      </c>
      <c r="G32" s="16">
        <f>IFERROR(__xludf.DUMMYFUNCTION("""COMPUTED_VALUE"""),45783.6666666666)</f>
        <v>45783.6666666666</v>
      </c>
      <c r="H32" s="17">
        <f>IFERROR(__xludf.DUMMYFUNCTION("""COMPUTED_VALUE"""),17.99)</f>
        <v>17.99</v>
      </c>
      <c r="I32" s="16">
        <f>IFERROR(__xludf.DUMMYFUNCTION("""COMPUTED_VALUE"""),45783.6666666666)</f>
        <v>45783.6666666666</v>
      </c>
      <c r="J32" s="17">
        <f>IFERROR(__xludf.DUMMYFUNCTION("""COMPUTED_VALUE"""),17.74)</f>
        <v>17.74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IFERROR(__xludf.DUMMYFUNCTION("""COMPUTED_VALUE"""),45784.6666666666)</f>
        <v>45784.6666666666</v>
      </c>
      <c r="B33" s="17">
        <f>IFERROR(__xludf.DUMMYFUNCTION("""COMPUTED_VALUE"""),17.71)</f>
        <v>17.71</v>
      </c>
      <c r="C33" s="16">
        <f>IFERROR(__xludf.DUMMYFUNCTION("""COMPUTED_VALUE"""),45784.6666666666)</f>
        <v>45784.6666666666</v>
      </c>
      <c r="D33" s="17">
        <f>IFERROR(__xludf.DUMMYFUNCTION("""COMPUTED_VALUE"""),17.69)</f>
        <v>17.69</v>
      </c>
      <c r="E33" s="16">
        <f>IFERROR(__xludf.DUMMYFUNCTION("""COMPUTED_VALUE"""),45784.6666666666)</f>
        <v>45784.6666666666</v>
      </c>
      <c r="F33" s="17">
        <f>IFERROR(__xludf.DUMMYFUNCTION("""COMPUTED_VALUE"""),5478956)</f>
        <v>5478956</v>
      </c>
      <c r="G33" s="16">
        <f>IFERROR(__xludf.DUMMYFUNCTION("""COMPUTED_VALUE"""),45784.6666666666)</f>
        <v>45784.6666666666</v>
      </c>
      <c r="H33" s="17">
        <f>IFERROR(__xludf.DUMMYFUNCTION("""COMPUTED_VALUE"""),17.76)</f>
        <v>17.76</v>
      </c>
      <c r="I33" s="16">
        <f>IFERROR(__xludf.DUMMYFUNCTION("""COMPUTED_VALUE"""),45784.6666666666)</f>
        <v>45784.6666666666</v>
      </c>
      <c r="J33" s="17">
        <f>IFERROR(__xludf.DUMMYFUNCTION("""COMPUTED_VALUE"""),17.63)</f>
        <v>17.63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IFERROR(__xludf.DUMMYFUNCTION("""COMPUTED_VALUE"""),45785.6666666666)</f>
        <v>45785.6666666666</v>
      </c>
      <c r="B34" s="17">
        <f>IFERROR(__xludf.DUMMYFUNCTION("""COMPUTED_VALUE"""),17.49)</f>
        <v>17.49</v>
      </c>
      <c r="C34" s="16">
        <f>IFERROR(__xludf.DUMMYFUNCTION("""COMPUTED_VALUE"""),45785.6666666666)</f>
        <v>45785.6666666666</v>
      </c>
      <c r="D34" s="17">
        <f>IFERROR(__xludf.DUMMYFUNCTION("""COMPUTED_VALUE"""),17.67)</f>
        <v>17.67</v>
      </c>
      <c r="E34" s="16">
        <f>IFERROR(__xludf.DUMMYFUNCTION("""COMPUTED_VALUE"""),45785.6666666666)</f>
        <v>45785.6666666666</v>
      </c>
      <c r="F34" s="17">
        <f>IFERROR(__xludf.DUMMYFUNCTION("""COMPUTED_VALUE"""),11433459)</f>
        <v>11433459</v>
      </c>
      <c r="G34" s="16">
        <f>IFERROR(__xludf.DUMMYFUNCTION("""COMPUTED_VALUE"""),45785.6666666666)</f>
        <v>45785.6666666666</v>
      </c>
      <c r="H34" s="17">
        <f>IFERROR(__xludf.DUMMYFUNCTION("""COMPUTED_VALUE"""),17.77)</f>
        <v>17.77</v>
      </c>
      <c r="I34" s="16">
        <f>IFERROR(__xludf.DUMMYFUNCTION("""COMPUTED_VALUE"""),45785.6666666666)</f>
        <v>45785.6666666666</v>
      </c>
      <c r="J34" s="17">
        <f>IFERROR(__xludf.DUMMYFUNCTION("""COMPUTED_VALUE"""),17.45)</f>
        <v>17.45</v>
      </c>
      <c r="K34" s="3">
        <f t="shared" si="2"/>
        <v>0</v>
      </c>
      <c r="L34" s="3">
        <f t="shared" si="3"/>
        <v>17.49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IFERROR(__xludf.DUMMYFUNCTION("""COMPUTED_VALUE"""),45786.6666666666)</f>
        <v>45786.6666666666</v>
      </c>
      <c r="B35" s="17">
        <f>IFERROR(__xludf.DUMMYFUNCTION("""COMPUTED_VALUE"""),17.49)</f>
        <v>17.49</v>
      </c>
      <c r="C35" s="16">
        <f>IFERROR(__xludf.DUMMYFUNCTION("""COMPUTED_VALUE"""),45786.6666666666)</f>
        <v>45786.6666666666</v>
      </c>
      <c r="D35" s="17">
        <f>IFERROR(__xludf.DUMMYFUNCTION("""COMPUTED_VALUE"""),17.72)</f>
        <v>17.72</v>
      </c>
      <c r="E35" s="16">
        <f>IFERROR(__xludf.DUMMYFUNCTION("""COMPUTED_VALUE"""),45786.6666666666)</f>
        <v>45786.6666666666</v>
      </c>
      <c r="F35" s="17">
        <f>IFERROR(__xludf.DUMMYFUNCTION("""COMPUTED_VALUE"""),8642437)</f>
        <v>8642437</v>
      </c>
      <c r="G35" s="16">
        <f>IFERROR(__xludf.DUMMYFUNCTION("""COMPUTED_VALUE"""),45786.6666666666)</f>
        <v>45786.6666666666</v>
      </c>
      <c r="H35" s="17">
        <f>IFERROR(__xludf.DUMMYFUNCTION("""COMPUTED_VALUE"""),17.76)</f>
        <v>17.76</v>
      </c>
      <c r="I35" s="16">
        <f>IFERROR(__xludf.DUMMYFUNCTION("""COMPUTED_VALUE"""),45786.6666666666)</f>
        <v>45786.6666666666</v>
      </c>
      <c r="J35" s="17">
        <f>IFERROR(__xludf.DUMMYFUNCTION("""COMPUTED_VALUE"""),17.41)</f>
        <v>17.41</v>
      </c>
      <c r="K35" s="3">
        <f t="shared" si="2"/>
        <v>0</v>
      </c>
      <c r="L35" s="3">
        <f t="shared" si="3"/>
        <v>17.49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IFERROR(__xludf.DUMMYFUNCTION("""COMPUTED_VALUE"""),45789.6666666666)</f>
        <v>45789.6666666666</v>
      </c>
      <c r="B36" s="17">
        <f>IFERROR(__xludf.DUMMYFUNCTION("""COMPUTED_VALUE"""),18.65)</f>
        <v>18.65</v>
      </c>
      <c r="C36" s="16">
        <f>IFERROR(__xludf.DUMMYFUNCTION("""COMPUTED_VALUE"""),45789.6666666666)</f>
        <v>45789.6666666666</v>
      </c>
      <c r="D36" s="17">
        <f>IFERROR(__xludf.DUMMYFUNCTION("""COMPUTED_VALUE"""),18.86)</f>
        <v>18.86</v>
      </c>
      <c r="E36" s="16">
        <f>IFERROR(__xludf.DUMMYFUNCTION("""COMPUTED_VALUE"""),45789.6666666666)</f>
        <v>45789.6666666666</v>
      </c>
      <c r="F36" s="17">
        <f>IFERROR(__xludf.DUMMYFUNCTION("""COMPUTED_VALUE"""),16249496)</f>
        <v>16249496</v>
      </c>
      <c r="G36" s="16">
        <f>IFERROR(__xludf.DUMMYFUNCTION("""COMPUTED_VALUE"""),45789.6666666666)</f>
        <v>45789.6666666666</v>
      </c>
      <c r="H36" s="17">
        <f>IFERROR(__xludf.DUMMYFUNCTION("""COMPUTED_VALUE"""),18.92)</f>
        <v>18.92</v>
      </c>
      <c r="I36" s="16">
        <f>IFERROR(__xludf.DUMMYFUNCTION("""COMPUTED_VALUE"""),45789.6666666666)</f>
        <v>45789.6666666666</v>
      </c>
      <c r="J36" s="17">
        <f>IFERROR(__xludf.DUMMYFUNCTION("""COMPUTED_VALUE"""),18.5)</f>
        <v>18.5</v>
      </c>
      <c r="K36" s="3">
        <f t="shared" si="2"/>
        <v>0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IFERROR(__xludf.DUMMYFUNCTION("""COMPUTED_VALUE"""),45790.6666666666)</f>
        <v>45790.6666666666</v>
      </c>
      <c r="B37" s="17">
        <f>IFERROR(__xludf.DUMMYFUNCTION("""COMPUTED_VALUE"""),18.38)</f>
        <v>18.38</v>
      </c>
      <c r="C37" s="16">
        <f>IFERROR(__xludf.DUMMYFUNCTION("""COMPUTED_VALUE"""),45790.6666666666)</f>
        <v>45790.6666666666</v>
      </c>
      <c r="D37" s="17">
        <f>IFERROR(__xludf.DUMMYFUNCTION("""COMPUTED_VALUE"""),18.28)</f>
        <v>18.28</v>
      </c>
      <c r="E37" s="16">
        <f>IFERROR(__xludf.DUMMYFUNCTION("""COMPUTED_VALUE"""),45790.6666666666)</f>
        <v>45790.6666666666</v>
      </c>
      <c r="F37" s="17">
        <f>IFERROR(__xludf.DUMMYFUNCTION("""COMPUTED_VALUE"""),8599756)</f>
        <v>8599756</v>
      </c>
      <c r="G37" s="16">
        <f>IFERROR(__xludf.DUMMYFUNCTION("""COMPUTED_VALUE"""),45790.6666666666)</f>
        <v>45790.6666666666</v>
      </c>
      <c r="H37" s="17">
        <f>IFERROR(__xludf.DUMMYFUNCTION("""COMPUTED_VALUE"""),18.45)</f>
        <v>18.45</v>
      </c>
      <c r="I37" s="16">
        <f>IFERROR(__xludf.DUMMYFUNCTION("""COMPUTED_VALUE"""),45790.6666666666)</f>
        <v>45790.6666666666</v>
      </c>
      <c r="J37" s="17">
        <f>IFERROR(__xludf.DUMMYFUNCTION("""COMPUTED_VALUE"""),18.27)</f>
        <v>18.27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IFERROR(__xludf.DUMMYFUNCTION("""COMPUTED_VALUE"""),45791.6666666666)</f>
        <v>45791.6666666666</v>
      </c>
      <c r="B38" s="17">
        <f>IFERROR(__xludf.DUMMYFUNCTION("""COMPUTED_VALUE"""),18.46)</f>
        <v>18.46</v>
      </c>
      <c r="C38" s="16">
        <f>IFERROR(__xludf.DUMMYFUNCTION("""COMPUTED_VALUE"""),45791.6666666666)</f>
        <v>45791.6666666666</v>
      </c>
      <c r="D38" s="17">
        <f>IFERROR(__xludf.DUMMYFUNCTION("""COMPUTED_VALUE"""),18.53)</f>
        <v>18.53</v>
      </c>
      <c r="E38" s="16">
        <f>IFERROR(__xludf.DUMMYFUNCTION("""COMPUTED_VALUE"""),45791.6666666666)</f>
        <v>45791.6666666666</v>
      </c>
      <c r="F38" s="17">
        <f>IFERROR(__xludf.DUMMYFUNCTION("""COMPUTED_VALUE"""),8648376)</f>
        <v>8648376</v>
      </c>
      <c r="G38" s="16">
        <f>IFERROR(__xludf.DUMMYFUNCTION("""COMPUTED_VALUE"""),45791.6666666666)</f>
        <v>45791.6666666666</v>
      </c>
      <c r="H38" s="17">
        <f>IFERROR(__xludf.DUMMYFUNCTION("""COMPUTED_VALUE"""),18.54)</f>
        <v>18.54</v>
      </c>
      <c r="I38" s="16">
        <f>IFERROR(__xludf.DUMMYFUNCTION("""COMPUTED_VALUE"""),45791.6666666666)</f>
        <v>45791.6666666666</v>
      </c>
      <c r="J38" s="17">
        <f>IFERROR(__xludf.DUMMYFUNCTION("""COMPUTED_VALUE"""),18.39)</f>
        <v>18.39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IFERROR(__xludf.DUMMYFUNCTION("""COMPUTED_VALUE"""),45792.6666666666)</f>
        <v>45792.6666666666</v>
      </c>
      <c r="B39" s="17">
        <f>IFERROR(__xludf.DUMMYFUNCTION("""COMPUTED_VALUE"""),18.72)</f>
        <v>18.72</v>
      </c>
      <c r="C39" s="16">
        <f>IFERROR(__xludf.DUMMYFUNCTION("""COMPUTED_VALUE"""),45792.6666666666)</f>
        <v>45792.6666666666</v>
      </c>
      <c r="D39" s="17">
        <f>IFERROR(__xludf.DUMMYFUNCTION("""COMPUTED_VALUE"""),18.66)</f>
        <v>18.66</v>
      </c>
      <c r="E39" s="16">
        <f>IFERROR(__xludf.DUMMYFUNCTION("""COMPUTED_VALUE"""),45792.6666666666)</f>
        <v>45792.6666666666</v>
      </c>
      <c r="F39" s="17">
        <f>IFERROR(__xludf.DUMMYFUNCTION("""COMPUTED_VALUE"""),8079156)</f>
        <v>8079156</v>
      </c>
      <c r="G39" s="16">
        <f>IFERROR(__xludf.DUMMYFUNCTION("""COMPUTED_VALUE"""),45792.6666666666)</f>
        <v>45792.6666666666</v>
      </c>
      <c r="H39" s="17">
        <f>IFERROR(__xludf.DUMMYFUNCTION("""COMPUTED_VALUE"""),18.79)</f>
        <v>18.79</v>
      </c>
      <c r="I39" s="16">
        <f>IFERROR(__xludf.DUMMYFUNCTION("""COMPUTED_VALUE"""),45792.6666666666)</f>
        <v>45792.6666666666</v>
      </c>
      <c r="J39" s="17">
        <f>IFERROR(__xludf.DUMMYFUNCTION("""COMPUTED_VALUE"""),18.61)</f>
        <v>18.61</v>
      </c>
      <c r="K39" s="3">
        <f t="shared" si="2"/>
        <v>18.72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IFERROR(__xludf.DUMMYFUNCTION("""COMPUTED_VALUE"""),45793.6666666666)</f>
        <v>45793.6666666666</v>
      </c>
      <c r="B40" s="17">
        <f>IFERROR(__xludf.DUMMYFUNCTION("""COMPUTED_VALUE"""),18.31)</f>
        <v>18.31</v>
      </c>
      <c r="C40" s="16">
        <f>IFERROR(__xludf.DUMMYFUNCTION("""COMPUTED_VALUE"""),45793.6666666666)</f>
        <v>45793.6666666666</v>
      </c>
      <c r="D40" s="17">
        <f>IFERROR(__xludf.DUMMYFUNCTION("""COMPUTED_VALUE"""),18.34)</f>
        <v>18.34</v>
      </c>
      <c r="E40" s="16">
        <f>IFERROR(__xludf.DUMMYFUNCTION("""COMPUTED_VALUE"""),45793.6666666666)</f>
        <v>45793.6666666666</v>
      </c>
      <c r="F40" s="17">
        <f>IFERROR(__xludf.DUMMYFUNCTION("""COMPUTED_VALUE"""),12914272)</f>
        <v>12914272</v>
      </c>
      <c r="G40" s="16">
        <f>IFERROR(__xludf.DUMMYFUNCTION("""COMPUTED_VALUE"""),45793.6666666666)</f>
        <v>45793.6666666666</v>
      </c>
      <c r="H40" s="17">
        <f>IFERROR(__xludf.DUMMYFUNCTION("""COMPUTED_VALUE"""),18.4)</f>
        <v>18.4</v>
      </c>
      <c r="I40" s="16">
        <f>IFERROR(__xludf.DUMMYFUNCTION("""COMPUTED_VALUE"""),45793.6666666666)</f>
        <v>45793.6666666666</v>
      </c>
      <c r="J40" s="17">
        <f>IFERROR(__xludf.DUMMYFUNCTION("""COMPUTED_VALUE"""),18.11)</f>
        <v>18.11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IFERROR(__xludf.DUMMYFUNCTION("""COMPUTED_VALUE"""),45796.6666666666)</f>
        <v>45796.6666666666</v>
      </c>
      <c r="B41" s="17">
        <f>IFERROR(__xludf.DUMMYFUNCTION("""COMPUTED_VALUE"""),18.33)</f>
        <v>18.33</v>
      </c>
      <c r="C41" s="16">
        <f>IFERROR(__xludf.DUMMYFUNCTION("""COMPUTED_VALUE"""),45796.6666666666)</f>
        <v>45796.6666666666</v>
      </c>
      <c r="D41" s="17">
        <f>IFERROR(__xludf.DUMMYFUNCTION("""COMPUTED_VALUE"""),18.1)</f>
        <v>18.1</v>
      </c>
      <c r="E41" s="16">
        <f>IFERROR(__xludf.DUMMYFUNCTION("""COMPUTED_VALUE"""),45796.6666666666)</f>
        <v>45796.6666666666</v>
      </c>
      <c r="F41" s="17">
        <f>IFERROR(__xludf.DUMMYFUNCTION("""COMPUTED_VALUE"""),9394498)</f>
        <v>9394498</v>
      </c>
      <c r="G41" s="16">
        <f>IFERROR(__xludf.DUMMYFUNCTION("""COMPUTED_VALUE"""),45796.6666666666)</f>
        <v>45796.6666666666</v>
      </c>
      <c r="H41" s="17">
        <f>IFERROR(__xludf.DUMMYFUNCTION("""COMPUTED_VALUE"""),18.39)</f>
        <v>18.39</v>
      </c>
      <c r="I41" s="16">
        <f>IFERROR(__xludf.DUMMYFUNCTION("""COMPUTED_VALUE"""),45796.6666666666)</f>
        <v>45796.6666666666</v>
      </c>
      <c r="J41" s="17">
        <f>IFERROR(__xludf.DUMMYFUNCTION("""COMPUTED_VALUE"""),18.09)</f>
        <v>18.09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IFERROR(__xludf.DUMMYFUNCTION("""COMPUTED_VALUE"""),45797.6666666666)</f>
        <v>45797.6666666666</v>
      </c>
      <c r="B42" s="17">
        <f>IFERROR(__xludf.DUMMYFUNCTION("""COMPUTED_VALUE"""),18.24)</f>
        <v>18.24</v>
      </c>
      <c r="C42" s="16">
        <f>IFERROR(__xludf.DUMMYFUNCTION("""COMPUTED_VALUE"""),45797.6666666666)</f>
        <v>45797.6666666666</v>
      </c>
      <c r="D42" s="17">
        <f>IFERROR(__xludf.DUMMYFUNCTION("""COMPUTED_VALUE"""),18.27)</f>
        <v>18.27</v>
      </c>
      <c r="E42" s="16">
        <f>IFERROR(__xludf.DUMMYFUNCTION("""COMPUTED_VALUE"""),45797.6666666666)</f>
        <v>45797.6666666666</v>
      </c>
      <c r="F42" s="17">
        <f>IFERROR(__xludf.DUMMYFUNCTION("""COMPUTED_VALUE"""),7065541)</f>
        <v>7065541</v>
      </c>
      <c r="G42" s="16">
        <f>IFERROR(__xludf.DUMMYFUNCTION("""COMPUTED_VALUE"""),45797.6666666666)</f>
        <v>45797.6666666666</v>
      </c>
      <c r="H42" s="17">
        <f>IFERROR(__xludf.DUMMYFUNCTION("""COMPUTED_VALUE"""),18.3)</f>
        <v>18.3</v>
      </c>
      <c r="I42" s="16">
        <f>IFERROR(__xludf.DUMMYFUNCTION("""COMPUTED_VALUE"""),45797.6666666666)</f>
        <v>45797.6666666666</v>
      </c>
      <c r="J42" s="17">
        <f>IFERROR(__xludf.DUMMYFUNCTION("""COMPUTED_VALUE"""),18.16)</f>
        <v>18.16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IFERROR(__xludf.DUMMYFUNCTION("""COMPUTED_VALUE"""),45798.6666666666)</f>
        <v>45798.6666666666</v>
      </c>
      <c r="B43" s="17">
        <f>IFERROR(__xludf.DUMMYFUNCTION("""COMPUTED_VALUE"""),18.16)</f>
        <v>18.16</v>
      </c>
      <c r="C43" s="16">
        <f>IFERROR(__xludf.DUMMYFUNCTION("""COMPUTED_VALUE"""),45798.6666666666)</f>
        <v>45798.6666666666</v>
      </c>
      <c r="D43" s="17">
        <f>IFERROR(__xludf.DUMMYFUNCTION("""COMPUTED_VALUE"""),18.16)</f>
        <v>18.16</v>
      </c>
      <c r="E43" s="16">
        <f>IFERROR(__xludf.DUMMYFUNCTION("""COMPUTED_VALUE"""),45798.6666666666)</f>
        <v>45798.6666666666</v>
      </c>
      <c r="F43" s="17">
        <f>IFERROR(__xludf.DUMMYFUNCTION("""COMPUTED_VALUE"""),7863640)</f>
        <v>7863640</v>
      </c>
      <c r="G43" s="16">
        <f>IFERROR(__xludf.DUMMYFUNCTION("""COMPUTED_VALUE"""),45798.6666666666)</f>
        <v>45798.6666666666</v>
      </c>
      <c r="H43" s="17">
        <f>IFERROR(__xludf.DUMMYFUNCTION("""COMPUTED_VALUE"""),18.35)</f>
        <v>18.35</v>
      </c>
      <c r="I43" s="16">
        <f>IFERROR(__xludf.DUMMYFUNCTION("""COMPUTED_VALUE"""),45798.6666666666)</f>
        <v>45798.6666666666</v>
      </c>
      <c r="J43" s="17">
        <f>IFERROR(__xludf.DUMMYFUNCTION("""COMPUTED_VALUE"""),18.08)</f>
        <v>18.08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IFERROR(__xludf.DUMMYFUNCTION("""COMPUTED_VALUE"""),45799.6666666666)</f>
        <v>45799.6666666666</v>
      </c>
      <c r="B44" s="17">
        <f>IFERROR(__xludf.DUMMYFUNCTION("""COMPUTED_VALUE"""),18.04)</f>
        <v>18.04</v>
      </c>
      <c r="C44" s="16">
        <f>IFERROR(__xludf.DUMMYFUNCTION("""COMPUTED_VALUE"""),45799.6666666666)</f>
        <v>45799.6666666666</v>
      </c>
      <c r="D44" s="17">
        <f>IFERROR(__xludf.DUMMYFUNCTION("""COMPUTED_VALUE"""),17.91)</f>
        <v>17.91</v>
      </c>
      <c r="E44" s="16">
        <f>IFERROR(__xludf.DUMMYFUNCTION("""COMPUTED_VALUE"""),45799.6666666666)</f>
        <v>45799.6666666666</v>
      </c>
      <c r="F44" s="17">
        <f>IFERROR(__xludf.DUMMYFUNCTION("""COMPUTED_VALUE"""),8344995)</f>
        <v>8344995</v>
      </c>
      <c r="G44" s="16">
        <f>IFERROR(__xludf.DUMMYFUNCTION("""COMPUTED_VALUE"""),45799.6666666666)</f>
        <v>45799.6666666666</v>
      </c>
      <c r="H44" s="17">
        <f>IFERROR(__xludf.DUMMYFUNCTION("""COMPUTED_VALUE"""),18.14)</f>
        <v>18.14</v>
      </c>
      <c r="I44" s="16">
        <f>IFERROR(__xludf.DUMMYFUNCTION("""COMPUTED_VALUE"""),45799.6666666666)</f>
        <v>45799.6666666666</v>
      </c>
      <c r="J44" s="17">
        <f>IFERROR(__xludf.DUMMYFUNCTION("""COMPUTED_VALUE"""),17.81)</f>
        <v>17.81</v>
      </c>
      <c r="K44" s="3">
        <f t="shared" si="2"/>
        <v>0</v>
      </c>
      <c r="L44" s="3">
        <f t="shared" si="3"/>
        <v>18.04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IFERROR(__xludf.DUMMYFUNCTION("""COMPUTED_VALUE"""),45800.6666666666)</f>
        <v>45800.6666666666</v>
      </c>
      <c r="B45" s="17">
        <f>IFERROR(__xludf.DUMMYFUNCTION("""COMPUTED_VALUE"""),18.11)</f>
        <v>18.11</v>
      </c>
      <c r="C45" s="16">
        <f>IFERROR(__xludf.DUMMYFUNCTION("""COMPUTED_VALUE"""),45800.6666666666)</f>
        <v>45800.6666666666</v>
      </c>
      <c r="D45" s="17">
        <f>IFERROR(__xludf.DUMMYFUNCTION("""COMPUTED_VALUE"""),17.95)</f>
        <v>17.95</v>
      </c>
      <c r="E45" s="16">
        <f>IFERROR(__xludf.DUMMYFUNCTION("""COMPUTED_VALUE"""),45800.6666666666)</f>
        <v>45800.6666666666</v>
      </c>
      <c r="F45" s="17">
        <f>IFERROR(__xludf.DUMMYFUNCTION("""COMPUTED_VALUE"""),10086746)</f>
        <v>10086746</v>
      </c>
      <c r="G45" s="16">
        <f>IFERROR(__xludf.DUMMYFUNCTION("""COMPUTED_VALUE"""),45800.6666666666)</f>
        <v>45800.6666666666</v>
      </c>
      <c r="H45" s="17">
        <f>IFERROR(__xludf.DUMMYFUNCTION("""COMPUTED_VALUE"""),18.21)</f>
        <v>18.21</v>
      </c>
      <c r="I45" s="16">
        <f>IFERROR(__xludf.DUMMYFUNCTION("""COMPUTED_VALUE"""),45800.6666666666)</f>
        <v>45800.6666666666</v>
      </c>
      <c r="J45" s="17">
        <f>IFERROR(__xludf.DUMMYFUNCTION("""COMPUTED_VALUE"""),17.95)</f>
        <v>17.95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IFERROR(__xludf.DUMMYFUNCTION("""COMPUTED_VALUE"""),45804.6666666666)</f>
        <v>45804.6666666666</v>
      </c>
      <c r="B46" s="17">
        <f>IFERROR(__xludf.DUMMYFUNCTION("""COMPUTED_VALUE"""),18.49)</f>
        <v>18.49</v>
      </c>
      <c r="C46" s="16">
        <f>IFERROR(__xludf.DUMMYFUNCTION("""COMPUTED_VALUE"""),45804.6666666666)</f>
        <v>45804.6666666666</v>
      </c>
      <c r="D46" s="17">
        <f>IFERROR(__xludf.DUMMYFUNCTION("""COMPUTED_VALUE"""),18.29)</f>
        <v>18.29</v>
      </c>
      <c r="E46" s="16">
        <f>IFERROR(__xludf.DUMMYFUNCTION("""COMPUTED_VALUE"""),45804.6666666666)</f>
        <v>45804.6666666666</v>
      </c>
      <c r="F46" s="17">
        <f>IFERROR(__xludf.DUMMYFUNCTION("""COMPUTED_VALUE"""),9014442)</f>
        <v>9014442</v>
      </c>
      <c r="G46" s="16">
        <f>IFERROR(__xludf.DUMMYFUNCTION("""COMPUTED_VALUE"""),45804.6666666666)</f>
        <v>45804.6666666666</v>
      </c>
      <c r="H46" s="17">
        <f>IFERROR(__xludf.DUMMYFUNCTION("""COMPUTED_VALUE"""),18.51)</f>
        <v>18.51</v>
      </c>
      <c r="I46" s="16">
        <f>IFERROR(__xludf.DUMMYFUNCTION("""COMPUTED_VALUE"""),45804.6666666666)</f>
        <v>45804.6666666666</v>
      </c>
      <c r="J46" s="17">
        <f>IFERROR(__xludf.DUMMYFUNCTION("""COMPUTED_VALUE"""),18.27)</f>
        <v>18.27</v>
      </c>
      <c r="K46" s="3">
        <f t="shared" si="2"/>
        <v>18.49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IFERROR(__xludf.DUMMYFUNCTION("""COMPUTED_VALUE"""),45805.6666666666)</f>
        <v>45805.6666666666</v>
      </c>
      <c r="B47" s="17">
        <f>IFERROR(__xludf.DUMMYFUNCTION("""COMPUTED_VALUE"""),18.36)</f>
        <v>18.36</v>
      </c>
      <c r="C47" s="16">
        <f>IFERROR(__xludf.DUMMYFUNCTION("""COMPUTED_VALUE"""),45805.6666666666)</f>
        <v>45805.6666666666</v>
      </c>
      <c r="D47" s="17">
        <f>IFERROR(__xludf.DUMMYFUNCTION("""COMPUTED_VALUE"""),18.37)</f>
        <v>18.37</v>
      </c>
      <c r="E47" s="16">
        <f>IFERROR(__xludf.DUMMYFUNCTION("""COMPUTED_VALUE"""),45805.6666666666)</f>
        <v>45805.6666666666</v>
      </c>
      <c r="F47" s="17">
        <f>IFERROR(__xludf.DUMMYFUNCTION("""COMPUTED_VALUE"""),6625900)</f>
        <v>6625900</v>
      </c>
      <c r="G47" s="16">
        <f>IFERROR(__xludf.DUMMYFUNCTION("""COMPUTED_VALUE"""),45805.6666666666)</f>
        <v>45805.6666666666</v>
      </c>
      <c r="H47" s="17">
        <f>IFERROR(__xludf.DUMMYFUNCTION("""COMPUTED_VALUE"""),18.45)</f>
        <v>18.45</v>
      </c>
      <c r="I47" s="16">
        <f>IFERROR(__xludf.DUMMYFUNCTION("""COMPUTED_VALUE"""),45805.6666666666)</f>
        <v>45805.6666666666</v>
      </c>
      <c r="J47" s="17">
        <f>IFERROR(__xludf.DUMMYFUNCTION("""COMPUTED_VALUE"""),18.32)</f>
        <v>18.32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IFERROR(__xludf.DUMMYFUNCTION("""COMPUTED_VALUE"""),45806.6666666666)</f>
        <v>45806.6666666666</v>
      </c>
      <c r="B48" s="17">
        <f>IFERROR(__xludf.DUMMYFUNCTION("""COMPUTED_VALUE"""),18.46)</f>
        <v>18.46</v>
      </c>
      <c r="C48" s="16">
        <f>IFERROR(__xludf.DUMMYFUNCTION("""COMPUTED_VALUE"""),45806.6666666666)</f>
        <v>45806.6666666666</v>
      </c>
      <c r="D48" s="17">
        <f>IFERROR(__xludf.DUMMYFUNCTION("""COMPUTED_VALUE"""),18.53)</f>
        <v>18.53</v>
      </c>
      <c r="E48" s="16">
        <f>IFERROR(__xludf.DUMMYFUNCTION("""COMPUTED_VALUE"""),45806.6666666666)</f>
        <v>45806.6666666666</v>
      </c>
      <c r="F48" s="17">
        <f>IFERROR(__xludf.DUMMYFUNCTION("""COMPUTED_VALUE"""),8527908)</f>
        <v>8527908</v>
      </c>
      <c r="G48" s="16">
        <f>IFERROR(__xludf.DUMMYFUNCTION("""COMPUTED_VALUE"""),45806.6666666666)</f>
        <v>45806.6666666666</v>
      </c>
      <c r="H48" s="17">
        <f>IFERROR(__xludf.DUMMYFUNCTION("""COMPUTED_VALUE"""),18.59)</f>
        <v>18.59</v>
      </c>
      <c r="I48" s="16">
        <f>IFERROR(__xludf.DUMMYFUNCTION("""COMPUTED_VALUE"""),45806.6666666666)</f>
        <v>45806.6666666666</v>
      </c>
      <c r="J48" s="17">
        <f>IFERROR(__xludf.DUMMYFUNCTION("""COMPUTED_VALUE"""),18.39)</f>
        <v>18.39</v>
      </c>
      <c r="K48" s="3">
        <f t="shared" si="2"/>
        <v>0</v>
      </c>
      <c r="L48" s="3">
        <f t="shared" si="3"/>
        <v>0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IFERROR(__xludf.DUMMYFUNCTION("""COMPUTED_VALUE"""),45807.6666666666)</f>
        <v>45807.6666666666</v>
      </c>
      <c r="B49" s="17">
        <f>IFERROR(__xludf.DUMMYFUNCTION("""COMPUTED_VALUE"""),18.19)</f>
        <v>18.19</v>
      </c>
      <c r="C49" s="16">
        <f>IFERROR(__xludf.DUMMYFUNCTION("""COMPUTED_VALUE"""),45807.6666666666)</f>
        <v>45807.6666666666</v>
      </c>
      <c r="D49" s="17">
        <f>IFERROR(__xludf.DUMMYFUNCTION("""COMPUTED_VALUE"""),18.25)</f>
        <v>18.25</v>
      </c>
      <c r="E49" s="16">
        <f>IFERROR(__xludf.DUMMYFUNCTION("""COMPUTED_VALUE"""),45807.6666666666)</f>
        <v>45807.6666666666</v>
      </c>
      <c r="F49" s="17">
        <f>IFERROR(__xludf.DUMMYFUNCTION("""COMPUTED_VALUE"""),12638483)</f>
        <v>12638483</v>
      </c>
      <c r="G49" s="16">
        <f>IFERROR(__xludf.DUMMYFUNCTION("""COMPUTED_VALUE"""),45807.6666666666)</f>
        <v>45807.6666666666</v>
      </c>
      <c r="H49" s="17">
        <f>IFERROR(__xludf.DUMMYFUNCTION("""COMPUTED_VALUE"""),18.27)</f>
        <v>18.27</v>
      </c>
      <c r="I49" s="16">
        <f>IFERROR(__xludf.DUMMYFUNCTION("""COMPUTED_VALUE"""),45807.6666666666)</f>
        <v>45807.6666666666</v>
      </c>
      <c r="J49" s="17">
        <f>IFERROR(__xludf.DUMMYFUNCTION("""COMPUTED_VALUE"""),18.08)</f>
        <v>18.08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IFERROR(__xludf.DUMMYFUNCTION("""COMPUTED_VALUE"""),45810.6666666666)</f>
        <v>45810.6666666666</v>
      </c>
      <c r="B50" s="17">
        <f>IFERROR(__xludf.DUMMYFUNCTION("""COMPUTED_VALUE"""),18.19)</f>
        <v>18.19</v>
      </c>
      <c r="C50" s="16">
        <f>IFERROR(__xludf.DUMMYFUNCTION("""COMPUTED_VALUE"""),45810.6666666666)</f>
        <v>45810.6666666666</v>
      </c>
      <c r="D50" s="17">
        <f>IFERROR(__xludf.DUMMYFUNCTION("""COMPUTED_VALUE"""),18.07)</f>
        <v>18.07</v>
      </c>
      <c r="E50" s="16">
        <f>IFERROR(__xludf.DUMMYFUNCTION("""COMPUTED_VALUE"""),45810.6666666666)</f>
        <v>45810.6666666666</v>
      </c>
      <c r="F50" s="17">
        <f>IFERROR(__xludf.DUMMYFUNCTION("""COMPUTED_VALUE"""),8475451)</f>
        <v>8475451</v>
      </c>
      <c r="G50" s="16">
        <f>IFERROR(__xludf.DUMMYFUNCTION("""COMPUTED_VALUE"""),45810.6666666666)</f>
        <v>45810.6666666666</v>
      </c>
      <c r="H50" s="17">
        <f>IFERROR(__xludf.DUMMYFUNCTION("""COMPUTED_VALUE"""),18.21)</f>
        <v>18.21</v>
      </c>
      <c r="I50" s="16">
        <f>IFERROR(__xludf.DUMMYFUNCTION("""COMPUTED_VALUE"""),45810.6666666666)</f>
        <v>45810.6666666666</v>
      </c>
      <c r="J50" s="17">
        <f>IFERROR(__xludf.DUMMYFUNCTION("""COMPUTED_VALUE"""),18)</f>
        <v>18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IFERROR(__xludf.DUMMYFUNCTION("""COMPUTED_VALUE"""),45811.6666666666)</f>
        <v>45811.6666666666</v>
      </c>
      <c r="B51" s="17">
        <f>IFERROR(__xludf.DUMMYFUNCTION("""COMPUTED_VALUE"""),18.04)</f>
        <v>18.04</v>
      </c>
      <c r="C51" s="16">
        <f>IFERROR(__xludf.DUMMYFUNCTION("""COMPUTED_VALUE"""),45811.6666666666)</f>
        <v>45811.6666666666</v>
      </c>
      <c r="D51" s="17">
        <f>IFERROR(__xludf.DUMMYFUNCTION("""COMPUTED_VALUE"""),18.02)</f>
        <v>18.02</v>
      </c>
      <c r="E51" s="16">
        <f>IFERROR(__xludf.DUMMYFUNCTION("""COMPUTED_VALUE"""),45811.6666666666)</f>
        <v>45811.6666666666</v>
      </c>
      <c r="F51" s="17">
        <f>IFERROR(__xludf.DUMMYFUNCTION("""COMPUTED_VALUE"""),11219803)</f>
        <v>11219803</v>
      </c>
      <c r="G51" s="16">
        <f>IFERROR(__xludf.DUMMYFUNCTION("""COMPUTED_VALUE"""),45811.6666666666)</f>
        <v>45811.6666666666</v>
      </c>
      <c r="H51" s="17">
        <f>IFERROR(__xludf.DUMMYFUNCTION("""COMPUTED_VALUE"""),18.12)</f>
        <v>18.12</v>
      </c>
      <c r="I51" s="16">
        <f>IFERROR(__xludf.DUMMYFUNCTION("""COMPUTED_VALUE"""),45811.6666666666)</f>
        <v>45811.6666666666</v>
      </c>
      <c r="J51" s="17">
        <f>IFERROR(__xludf.DUMMYFUNCTION("""COMPUTED_VALUE"""),17.93)</f>
        <v>17.93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IFERROR(__xludf.DUMMYFUNCTION("""COMPUTED_VALUE"""),45812.6666666666)</f>
        <v>45812.6666666666</v>
      </c>
      <c r="B52" s="17">
        <f>IFERROR(__xludf.DUMMYFUNCTION("""COMPUTED_VALUE"""),17.85)</f>
        <v>17.85</v>
      </c>
      <c r="C52" s="16">
        <f>IFERROR(__xludf.DUMMYFUNCTION("""COMPUTED_VALUE"""),45812.6666666666)</f>
        <v>45812.6666666666</v>
      </c>
      <c r="D52" s="17">
        <f>IFERROR(__xludf.DUMMYFUNCTION("""COMPUTED_VALUE"""),18.04)</f>
        <v>18.04</v>
      </c>
      <c r="E52" s="16">
        <f>IFERROR(__xludf.DUMMYFUNCTION("""COMPUTED_VALUE"""),45812.6666666666)</f>
        <v>45812.6666666666</v>
      </c>
      <c r="F52" s="17">
        <f>IFERROR(__xludf.DUMMYFUNCTION("""COMPUTED_VALUE"""),7541704)</f>
        <v>7541704</v>
      </c>
      <c r="G52" s="16">
        <f>IFERROR(__xludf.DUMMYFUNCTION("""COMPUTED_VALUE"""),45812.6666666666)</f>
        <v>45812.6666666666</v>
      </c>
      <c r="H52" s="17">
        <f>IFERROR(__xludf.DUMMYFUNCTION("""COMPUTED_VALUE"""),18.1)</f>
        <v>18.1</v>
      </c>
      <c r="I52" s="16">
        <f>IFERROR(__xludf.DUMMYFUNCTION("""COMPUTED_VALUE"""),45812.6666666666)</f>
        <v>45812.6666666666</v>
      </c>
      <c r="J52" s="17">
        <f>IFERROR(__xludf.DUMMYFUNCTION("""COMPUTED_VALUE"""),17.82)</f>
        <v>17.82</v>
      </c>
      <c r="K52" s="3">
        <f t="shared" si="2"/>
        <v>0</v>
      </c>
      <c r="L52" s="3">
        <f t="shared" si="3"/>
        <v>17.85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IFERROR(__xludf.DUMMYFUNCTION("""COMPUTED_VALUE"""),45813.6666666666)</f>
        <v>45813.6666666666</v>
      </c>
      <c r="B53" s="17">
        <f>IFERROR(__xludf.DUMMYFUNCTION("""COMPUTED_VALUE"""),17.93)</f>
        <v>17.93</v>
      </c>
      <c r="C53" s="16">
        <f>IFERROR(__xludf.DUMMYFUNCTION("""COMPUTED_VALUE"""),45813.6666666666)</f>
        <v>45813.6666666666</v>
      </c>
      <c r="D53" s="17">
        <f>IFERROR(__xludf.DUMMYFUNCTION("""COMPUTED_VALUE"""),18)</f>
        <v>18</v>
      </c>
      <c r="E53" s="16">
        <f>IFERROR(__xludf.DUMMYFUNCTION("""COMPUTED_VALUE"""),45813.6666666666)</f>
        <v>45813.6666666666</v>
      </c>
      <c r="F53" s="17">
        <f>IFERROR(__xludf.DUMMYFUNCTION("""COMPUTED_VALUE"""),9591066)</f>
        <v>9591066</v>
      </c>
      <c r="G53" s="16">
        <f>IFERROR(__xludf.DUMMYFUNCTION("""COMPUTED_VALUE"""),45813.6666666666)</f>
        <v>45813.6666666666</v>
      </c>
      <c r="H53" s="17">
        <f>IFERROR(__xludf.DUMMYFUNCTION("""COMPUTED_VALUE"""),18)</f>
        <v>18</v>
      </c>
      <c r="I53" s="16">
        <f>IFERROR(__xludf.DUMMYFUNCTION("""COMPUTED_VALUE"""),45813.6666666666)</f>
        <v>45813.6666666666</v>
      </c>
      <c r="J53" s="17">
        <f>IFERROR(__xludf.DUMMYFUNCTION("""COMPUTED_VALUE"""),17.85)</f>
        <v>17.85</v>
      </c>
      <c r="K53" s="3">
        <f t="shared" si="2"/>
        <v>0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IFERROR(__xludf.DUMMYFUNCTION("""COMPUTED_VALUE"""),45814.6666666666)</f>
        <v>45814.6666666666</v>
      </c>
      <c r="B54" s="17">
        <f>IFERROR(__xludf.DUMMYFUNCTION("""COMPUTED_VALUE"""),18.2)</f>
        <v>18.2</v>
      </c>
      <c r="C54" s="16">
        <f>IFERROR(__xludf.DUMMYFUNCTION("""COMPUTED_VALUE"""),45814.6666666666)</f>
        <v>45814.6666666666</v>
      </c>
      <c r="D54" s="17">
        <f>IFERROR(__xludf.DUMMYFUNCTION("""COMPUTED_VALUE"""),18.19)</f>
        <v>18.19</v>
      </c>
      <c r="E54" s="16">
        <f>IFERROR(__xludf.DUMMYFUNCTION("""COMPUTED_VALUE"""),45814.6666666666)</f>
        <v>45814.6666666666</v>
      </c>
      <c r="F54" s="17">
        <f>IFERROR(__xludf.DUMMYFUNCTION("""COMPUTED_VALUE"""),6426289)</f>
        <v>6426289</v>
      </c>
      <c r="G54" s="16">
        <f>IFERROR(__xludf.DUMMYFUNCTION("""COMPUTED_VALUE"""),45814.6666666666)</f>
        <v>45814.6666666666</v>
      </c>
      <c r="H54" s="17">
        <f>IFERROR(__xludf.DUMMYFUNCTION("""COMPUTED_VALUE"""),18.26)</f>
        <v>18.26</v>
      </c>
      <c r="I54" s="16">
        <f>IFERROR(__xludf.DUMMYFUNCTION("""COMPUTED_VALUE"""),45814.6666666666)</f>
        <v>45814.6666666666</v>
      </c>
      <c r="J54" s="17">
        <f>IFERROR(__xludf.DUMMYFUNCTION("""COMPUTED_VALUE"""),18.15)</f>
        <v>18.15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IFERROR(__xludf.DUMMYFUNCTION("""COMPUTED_VALUE"""),45817.6666666666)</f>
        <v>45817.6666666666</v>
      </c>
      <c r="B55" s="17">
        <f>IFERROR(__xludf.DUMMYFUNCTION("""COMPUTED_VALUE"""),18.29)</f>
        <v>18.29</v>
      </c>
      <c r="C55" s="16">
        <f>IFERROR(__xludf.DUMMYFUNCTION("""COMPUTED_VALUE"""),45817.6666666666)</f>
        <v>45817.6666666666</v>
      </c>
      <c r="D55" s="17">
        <f>IFERROR(__xludf.DUMMYFUNCTION("""COMPUTED_VALUE"""),18.23)</f>
        <v>18.23</v>
      </c>
      <c r="E55" s="16">
        <f>IFERROR(__xludf.DUMMYFUNCTION("""COMPUTED_VALUE"""),45817.6666666666)</f>
        <v>45817.6666666666</v>
      </c>
      <c r="F55" s="17">
        <f>IFERROR(__xludf.DUMMYFUNCTION("""COMPUTED_VALUE"""),5386657)</f>
        <v>5386657</v>
      </c>
      <c r="G55" s="16">
        <f>IFERROR(__xludf.DUMMYFUNCTION("""COMPUTED_VALUE"""),45817.6666666666)</f>
        <v>45817.6666666666</v>
      </c>
      <c r="H55" s="17">
        <f>IFERROR(__xludf.DUMMYFUNCTION("""COMPUTED_VALUE"""),18.36)</f>
        <v>18.36</v>
      </c>
      <c r="I55" s="16">
        <f>IFERROR(__xludf.DUMMYFUNCTION("""COMPUTED_VALUE"""),45817.6666666666)</f>
        <v>45817.6666666666</v>
      </c>
      <c r="J55" s="17">
        <f>IFERROR(__xludf.DUMMYFUNCTION("""COMPUTED_VALUE"""),18.22)</f>
        <v>18.22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IFERROR(__xludf.DUMMYFUNCTION("""COMPUTED_VALUE"""),45818.6666666666)</f>
        <v>45818.6666666666</v>
      </c>
      <c r="B56" s="17">
        <f>IFERROR(__xludf.DUMMYFUNCTION("""COMPUTED_VALUE"""),18.51)</f>
        <v>18.51</v>
      </c>
      <c r="C56" s="16">
        <f>IFERROR(__xludf.DUMMYFUNCTION("""COMPUTED_VALUE"""),45818.6666666666)</f>
        <v>45818.6666666666</v>
      </c>
      <c r="D56" s="17">
        <f>IFERROR(__xludf.DUMMYFUNCTION("""COMPUTED_VALUE"""),18.57)</f>
        <v>18.57</v>
      </c>
      <c r="E56" s="16">
        <f>IFERROR(__xludf.DUMMYFUNCTION("""COMPUTED_VALUE"""),45818.6666666666)</f>
        <v>45818.6666666666</v>
      </c>
      <c r="F56" s="17">
        <f>IFERROR(__xludf.DUMMYFUNCTION("""COMPUTED_VALUE"""),9545898)</f>
        <v>9545898</v>
      </c>
      <c r="G56" s="16">
        <f>IFERROR(__xludf.DUMMYFUNCTION("""COMPUTED_VALUE"""),45818.6666666666)</f>
        <v>45818.6666666666</v>
      </c>
      <c r="H56" s="17">
        <f>IFERROR(__xludf.DUMMYFUNCTION("""COMPUTED_VALUE"""),18.67)</f>
        <v>18.67</v>
      </c>
      <c r="I56" s="16">
        <f>IFERROR(__xludf.DUMMYFUNCTION("""COMPUTED_VALUE"""),45818.6666666666)</f>
        <v>45818.6666666666</v>
      </c>
      <c r="J56" s="17">
        <f>IFERROR(__xludf.DUMMYFUNCTION("""COMPUTED_VALUE"""),18.45)</f>
        <v>18.45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IFERROR(__xludf.DUMMYFUNCTION("""COMPUTED_VALUE"""),45819.6666666666)</f>
        <v>45819.6666666666</v>
      </c>
      <c r="B57" s="17">
        <f>IFERROR(__xludf.DUMMYFUNCTION("""COMPUTED_VALUE"""),18.61)</f>
        <v>18.61</v>
      </c>
      <c r="C57" s="16">
        <f>IFERROR(__xludf.DUMMYFUNCTION("""COMPUTED_VALUE"""),45819.6666666666)</f>
        <v>45819.6666666666</v>
      </c>
      <c r="D57" s="17">
        <f>IFERROR(__xludf.DUMMYFUNCTION("""COMPUTED_VALUE"""),18.88)</f>
        <v>18.88</v>
      </c>
      <c r="E57" s="16">
        <f>IFERROR(__xludf.DUMMYFUNCTION("""COMPUTED_VALUE"""),45819.6666666666)</f>
        <v>45819.6666666666</v>
      </c>
      <c r="F57" s="17">
        <f>IFERROR(__xludf.DUMMYFUNCTION("""COMPUTED_VALUE"""),15531321)</f>
        <v>15531321</v>
      </c>
      <c r="G57" s="16">
        <f>IFERROR(__xludf.DUMMYFUNCTION("""COMPUTED_VALUE"""),45819.6666666666)</f>
        <v>45819.6666666666</v>
      </c>
      <c r="H57" s="17">
        <f>IFERROR(__xludf.DUMMYFUNCTION("""COMPUTED_VALUE"""),18.93)</f>
        <v>18.93</v>
      </c>
      <c r="I57" s="16">
        <f>IFERROR(__xludf.DUMMYFUNCTION("""COMPUTED_VALUE"""),45819.6666666666)</f>
        <v>45819.6666666666</v>
      </c>
      <c r="J57" s="17">
        <f>IFERROR(__xludf.DUMMYFUNCTION("""COMPUTED_VALUE"""),18.6)</f>
        <v>18.6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IFERROR(__xludf.DUMMYFUNCTION("""COMPUTED_VALUE"""),45820.6666666666)</f>
        <v>45820.6666666666</v>
      </c>
      <c r="B58" s="17">
        <f>IFERROR(__xludf.DUMMYFUNCTION("""COMPUTED_VALUE"""),18.56)</f>
        <v>18.56</v>
      </c>
      <c r="C58" s="16">
        <f>IFERROR(__xludf.DUMMYFUNCTION("""COMPUTED_VALUE"""),45820.6666666666)</f>
        <v>45820.6666666666</v>
      </c>
      <c r="D58" s="17">
        <f>IFERROR(__xludf.DUMMYFUNCTION("""COMPUTED_VALUE"""),18.48)</f>
        <v>18.48</v>
      </c>
      <c r="E58" s="16">
        <f>IFERROR(__xludf.DUMMYFUNCTION("""COMPUTED_VALUE"""),45820.6666666666)</f>
        <v>45820.6666666666</v>
      </c>
      <c r="F58" s="17">
        <f>IFERROR(__xludf.DUMMYFUNCTION("""COMPUTED_VALUE"""),11362622)</f>
        <v>11362622</v>
      </c>
      <c r="G58" s="16">
        <f>IFERROR(__xludf.DUMMYFUNCTION("""COMPUTED_VALUE"""),45820.6666666666)</f>
        <v>45820.6666666666</v>
      </c>
      <c r="H58" s="17">
        <f>IFERROR(__xludf.DUMMYFUNCTION("""COMPUTED_VALUE"""),18.63)</f>
        <v>18.63</v>
      </c>
      <c r="I58" s="16">
        <f>IFERROR(__xludf.DUMMYFUNCTION("""COMPUTED_VALUE"""),45820.6666666666)</f>
        <v>45820.6666666666</v>
      </c>
      <c r="J58" s="17">
        <f>IFERROR(__xludf.DUMMYFUNCTION("""COMPUTED_VALUE"""),18.39)</f>
        <v>18.39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IFERROR(__xludf.DUMMYFUNCTION("""COMPUTED_VALUE"""),45821.6666666666)</f>
        <v>45821.6666666666</v>
      </c>
      <c r="B59" s="17">
        <f>IFERROR(__xludf.DUMMYFUNCTION("""COMPUTED_VALUE"""),18.42)</f>
        <v>18.42</v>
      </c>
      <c r="C59" s="16">
        <f>IFERROR(__xludf.DUMMYFUNCTION("""COMPUTED_VALUE"""),45821.6666666666)</f>
        <v>45821.6666666666</v>
      </c>
      <c r="D59" s="17">
        <f>IFERROR(__xludf.DUMMYFUNCTION("""COMPUTED_VALUE"""),18.48)</f>
        <v>18.48</v>
      </c>
      <c r="E59" s="16">
        <f>IFERROR(__xludf.DUMMYFUNCTION("""COMPUTED_VALUE"""),45821.6666666666)</f>
        <v>45821.6666666666</v>
      </c>
      <c r="F59" s="17">
        <f>IFERROR(__xludf.DUMMYFUNCTION("""COMPUTED_VALUE"""),10471883)</f>
        <v>10471883</v>
      </c>
      <c r="G59" s="16">
        <f>IFERROR(__xludf.DUMMYFUNCTION("""COMPUTED_VALUE"""),45821.6666666666)</f>
        <v>45821.6666666666</v>
      </c>
      <c r="H59" s="17">
        <f>IFERROR(__xludf.DUMMYFUNCTION("""COMPUTED_VALUE"""),18.56)</f>
        <v>18.56</v>
      </c>
      <c r="I59" s="16">
        <f>IFERROR(__xludf.DUMMYFUNCTION("""COMPUTED_VALUE"""),45821.6666666666)</f>
        <v>45821.6666666666</v>
      </c>
      <c r="J59" s="17">
        <f>IFERROR(__xludf.DUMMYFUNCTION("""COMPUTED_VALUE"""),18.37)</f>
        <v>18.37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IFERROR(__xludf.DUMMYFUNCTION("""COMPUTED_VALUE"""),45824.6666666666)</f>
        <v>45824.6666666666</v>
      </c>
      <c r="B60" s="17">
        <f>IFERROR(__xludf.DUMMYFUNCTION("""COMPUTED_VALUE"""),18.75)</f>
        <v>18.75</v>
      </c>
      <c r="C60" s="16">
        <f>IFERROR(__xludf.DUMMYFUNCTION("""COMPUTED_VALUE"""),45824.6666666666)</f>
        <v>45824.6666666666</v>
      </c>
      <c r="D60" s="17">
        <f>IFERROR(__xludf.DUMMYFUNCTION("""COMPUTED_VALUE"""),18.73)</f>
        <v>18.73</v>
      </c>
      <c r="E60" s="16">
        <f>IFERROR(__xludf.DUMMYFUNCTION("""COMPUTED_VALUE"""),45824.6666666666)</f>
        <v>45824.6666666666</v>
      </c>
      <c r="F60" s="17">
        <f>IFERROR(__xludf.DUMMYFUNCTION("""COMPUTED_VALUE"""),9604106)</f>
        <v>9604106</v>
      </c>
      <c r="G60" s="16">
        <f>IFERROR(__xludf.DUMMYFUNCTION("""COMPUTED_VALUE"""),45824.6666666666)</f>
        <v>45824.6666666666</v>
      </c>
      <c r="H60" s="17">
        <f>IFERROR(__xludf.DUMMYFUNCTION("""COMPUTED_VALUE"""),18.82)</f>
        <v>18.82</v>
      </c>
      <c r="I60" s="16">
        <f>IFERROR(__xludf.DUMMYFUNCTION("""COMPUTED_VALUE"""),45824.6666666666)</f>
        <v>45824.6666666666</v>
      </c>
      <c r="J60" s="17">
        <f>IFERROR(__xludf.DUMMYFUNCTION("""COMPUTED_VALUE"""),18.7)</f>
        <v>18.7</v>
      </c>
      <c r="K60" s="3">
        <f t="shared" si="2"/>
        <v>18.75</v>
      </c>
      <c r="L60" s="3">
        <f t="shared" si="3"/>
        <v>0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IFERROR(__xludf.DUMMYFUNCTION("""COMPUTED_VALUE"""),45825.6666666666)</f>
        <v>45825.6666666666</v>
      </c>
      <c r="B61" s="17">
        <f>IFERROR(__xludf.DUMMYFUNCTION("""COMPUTED_VALUE"""),18.67)</f>
        <v>18.67</v>
      </c>
      <c r="C61" s="16">
        <f>IFERROR(__xludf.DUMMYFUNCTION("""COMPUTED_VALUE"""),45825.6666666666)</f>
        <v>45825.6666666666</v>
      </c>
      <c r="D61" s="17">
        <f>IFERROR(__xludf.DUMMYFUNCTION("""COMPUTED_VALUE"""),18.75)</f>
        <v>18.75</v>
      </c>
      <c r="E61" s="16">
        <f>IFERROR(__xludf.DUMMYFUNCTION("""COMPUTED_VALUE"""),45825.6666666666)</f>
        <v>45825.6666666666</v>
      </c>
      <c r="F61" s="17">
        <f>IFERROR(__xludf.DUMMYFUNCTION("""COMPUTED_VALUE"""),10129078)</f>
        <v>10129078</v>
      </c>
      <c r="G61" s="16">
        <f>IFERROR(__xludf.DUMMYFUNCTION("""COMPUTED_VALUE"""),45825.6666666666)</f>
        <v>45825.6666666666</v>
      </c>
      <c r="H61" s="17">
        <f>IFERROR(__xludf.DUMMYFUNCTION("""COMPUTED_VALUE"""),18.86)</f>
        <v>18.86</v>
      </c>
      <c r="I61" s="16">
        <f>IFERROR(__xludf.DUMMYFUNCTION("""COMPUTED_VALUE"""),45825.6666666666)</f>
        <v>45825.6666666666</v>
      </c>
      <c r="J61" s="17">
        <f>IFERROR(__xludf.DUMMYFUNCTION("""COMPUTED_VALUE"""),18.67)</f>
        <v>18.67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IFERROR(__xludf.DUMMYFUNCTION("""COMPUTED_VALUE"""),45826.6666666666)</f>
        <v>45826.6666666666</v>
      </c>
      <c r="B62" s="17">
        <f>IFERROR(__xludf.DUMMYFUNCTION("""COMPUTED_VALUE"""),18.43)</f>
        <v>18.43</v>
      </c>
      <c r="C62" s="16">
        <f>IFERROR(__xludf.DUMMYFUNCTION("""COMPUTED_VALUE"""),45826.6666666666)</f>
        <v>45826.6666666666</v>
      </c>
      <c r="D62" s="17">
        <f>IFERROR(__xludf.DUMMYFUNCTION("""COMPUTED_VALUE"""),18.65)</f>
        <v>18.65</v>
      </c>
      <c r="E62" s="16">
        <f>IFERROR(__xludf.DUMMYFUNCTION("""COMPUTED_VALUE"""),45826.6666666666)</f>
        <v>45826.6666666666</v>
      </c>
      <c r="F62" s="17">
        <f>IFERROR(__xludf.DUMMYFUNCTION("""COMPUTED_VALUE"""),10915923)</f>
        <v>10915923</v>
      </c>
      <c r="G62" s="16">
        <f>IFERROR(__xludf.DUMMYFUNCTION("""COMPUTED_VALUE"""),45826.6666666666)</f>
        <v>45826.6666666666</v>
      </c>
      <c r="H62" s="17">
        <f>IFERROR(__xludf.DUMMYFUNCTION("""COMPUTED_VALUE"""),18.66)</f>
        <v>18.66</v>
      </c>
      <c r="I62" s="16">
        <f>IFERROR(__xludf.DUMMYFUNCTION("""COMPUTED_VALUE"""),45826.6666666666)</f>
        <v>45826.6666666666</v>
      </c>
      <c r="J62" s="17">
        <f>IFERROR(__xludf.DUMMYFUNCTION("""COMPUTED_VALUE"""),18.43)</f>
        <v>18.43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IFERROR(__xludf.DUMMYFUNCTION("""COMPUTED_VALUE"""),45828.6666666666)</f>
        <v>45828.6666666666</v>
      </c>
      <c r="B63" s="17">
        <f>IFERROR(__xludf.DUMMYFUNCTION("""COMPUTED_VALUE"""),17.68)</f>
        <v>17.68</v>
      </c>
      <c r="C63" s="16">
        <f>IFERROR(__xludf.DUMMYFUNCTION("""COMPUTED_VALUE"""),45828.6666666666)</f>
        <v>45828.6666666666</v>
      </c>
      <c r="D63" s="17">
        <f>IFERROR(__xludf.DUMMYFUNCTION("""COMPUTED_VALUE"""),18.33)</f>
        <v>18.33</v>
      </c>
      <c r="E63" s="16">
        <f>IFERROR(__xludf.DUMMYFUNCTION("""COMPUTED_VALUE"""),45828.6666666666)</f>
        <v>45828.6666666666</v>
      </c>
      <c r="F63" s="17">
        <f>IFERROR(__xludf.DUMMYFUNCTION("""COMPUTED_VALUE"""),37327068)</f>
        <v>37327068</v>
      </c>
      <c r="G63" s="16">
        <f>IFERROR(__xludf.DUMMYFUNCTION("""COMPUTED_VALUE"""),45828.6666666666)</f>
        <v>45828.6666666666</v>
      </c>
      <c r="H63" s="17">
        <f>IFERROR(__xludf.DUMMYFUNCTION("""COMPUTED_VALUE"""),18.37)</f>
        <v>18.37</v>
      </c>
      <c r="I63" s="16">
        <f>IFERROR(__xludf.DUMMYFUNCTION("""COMPUTED_VALUE"""),45828.6666666666)</f>
        <v>45828.6666666666</v>
      </c>
      <c r="J63" s="17">
        <f>IFERROR(__xludf.DUMMYFUNCTION("""COMPUTED_VALUE"""),17.68)</f>
        <v>17.68</v>
      </c>
      <c r="K63" s="3">
        <f t="shared" si="2"/>
        <v>0</v>
      </c>
      <c r="L63" s="3">
        <f t="shared" si="3"/>
        <v>17.68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IFERROR(__xludf.DUMMYFUNCTION("""COMPUTED_VALUE"""),45831.6666666666)</f>
        <v>45831.6666666666</v>
      </c>
      <c r="B64" s="17">
        <f>IFERROR(__xludf.DUMMYFUNCTION("""COMPUTED_VALUE"""),18.1)</f>
        <v>18.1</v>
      </c>
      <c r="C64" s="16">
        <f>IFERROR(__xludf.DUMMYFUNCTION("""COMPUTED_VALUE"""),45831.6666666666)</f>
        <v>45831.6666666666</v>
      </c>
      <c r="D64" s="17">
        <f>IFERROR(__xludf.DUMMYFUNCTION("""COMPUTED_VALUE"""),17.86)</f>
        <v>17.86</v>
      </c>
      <c r="E64" s="16">
        <f>IFERROR(__xludf.DUMMYFUNCTION("""COMPUTED_VALUE"""),45831.6666666666)</f>
        <v>45831.6666666666</v>
      </c>
      <c r="F64" s="17">
        <f>IFERROR(__xludf.DUMMYFUNCTION("""COMPUTED_VALUE"""),15272755)</f>
        <v>15272755</v>
      </c>
      <c r="G64" s="16">
        <f>IFERROR(__xludf.DUMMYFUNCTION("""COMPUTED_VALUE"""),45831.6666666666)</f>
        <v>45831.6666666666</v>
      </c>
      <c r="H64" s="17">
        <f>IFERROR(__xludf.DUMMYFUNCTION("""COMPUTED_VALUE"""),18.1)</f>
        <v>18.1</v>
      </c>
      <c r="I64" s="16">
        <f>IFERROR(__xludf.DUMMYFUNCTION("""COMPUTED_VALUE"""),45831.6666666666)</f>
        <v>45831.6666666666</v>
      </c>
      <c r="J64" s="17">
        <f>IFERROR(__xludf.DUMMYFUNCTION("""COMPUTED_VALUE"""),17.83)</f>
        <v>17.83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IFERROR(__xludf.DUMMYFUNCTION("""COMPUTED_VALUE"""),45832.6666666666)</f>
        <v>45832.6666666666</v>
      </c>
      <c r="B65" s="17">
        <f>IFERROR(__xludf.DUMMYFUNCTION("""COMPUTED_VALUE"""),18.3)</f>
        <v>18.3</v>
      </c>
      <c r="C65" s="16">
        <f>IFERROR(__xludf.DUMMYFUNCTION("""COMPUTED_VALUE"""),45832.6666666666)</f>
        <v>45832.6666666666</v>
      </c>
      <c r="D65" s="17">
        <f>IFERROR(__xludf.DUMMYFUNCTION("""COMPUTED_VALUE"""),18.15)</f>
        <v>18.15</v>
      </c>
      <c r="E65" s="16">
        <f>IFERROR(__xludf.DUMMYFUNCTION("""COMPUTED_VALUE"""),45832.6666666666)</f>
        <v>45832.6666666666</v>
      </c>
      <c r="F65" s="17">
        <f>IFERROR(__xludf.DUMMYFUNCTION("""COMPUTED_VALUE"""),8763746)</f>
        <v>8763746</v>
      </c>
      <c r="G65" s="16">
        <f>IFERROR(__xludf.DUMMYFUNCTION("""COMPUTED_VALUE"""),45832.6666666666)</f>
        <v>45832.6666666666</v>
      </c>
      <c r="H65" s="17">
        <f>IFERROR(__xludf.DUMMYFUNCTION("""COMPUTED_VALUE"""),18.31)</f>
        <v>18.31</v>
      </c>
      <c r="I65" s="16">
        <f>IFERROR(__xludf.DUMMYFUNCTION("""COMPUTED_VALUE"""),45832.6666666666)</f>
        <v>45832.6666666666</v>
      </c>
      <c r="J65" s="17">
        <f>IFERROR(__xludf.DUMMYFUNCTION("""COMPUTED_VALUE"""),18.15)</f>
        <v>18.15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IFERROR(__xludf.DUMMYFUNCTION("""COMPUTED_VALUE"""),45833.6666666666)</f>
        <v>45833.6666666666</v>
      </c>
      <c r="B66" s="17">
        <f>IFERROR(__xludf.DUMMYFUNCTION("""COMPUTED_VALUE"""),18.51)</f>
        <v>18.51</v>
      </c>
      <c r="C66" s="16">
        <f>IFERROR(__xludf.DUMMYFUNCTION("""COMPUTED_VALUE"""),45833.6666666666)</f>
        <v>45833.6666666666</v>
      </c>
      <c r="D66" s="17">
        <f>IFERROR(__xludf.DUMMYFUNCTION("""COMPUTED_VALUE"""),18.57)</f>
        <v>18.57</v>
      </c>
      <c r="E66" s="16">
        <f>IFERROR(__xludf.DUMMYFUNCTION("""COMPUTED_VALUE"""),45833.6666666666)</f>
        <v>45833.6666666666</v>
      </c>
      <c r="F66" s="17">
        <f>IFERROR(__xludf.DUMMYFUNCTION("""COMPUTED_VALUE"""),10846475)</f>
        <v>10846475</v>
      </c>
      <c r="G66" s="16">
        <f>IFERROR(__xludf.DUMMYFUNCTION("""COMPUTED_VALUE"""),45833.6666666666)</f>
        <v>45833.6666666666</v>
      </c>
      <c r="H66" s="17">
        <f>IFERROR(__xludf.DUMMYFUNCTION("""COMPUTED_VALUE"""),18.64)</f>
        <v>18.64</v>
      </c>
      <c r="I66" s="16">
        <f>IFERROR(__xludf.DUMMYFUNCTION("""COMPUTED_VALUE"""),45833.6666666666)</f>
        <v>45833.6666666666</v>
      </c>
      <c r="J66" s="17">
        <f>IFERROR(__xludf.DUMMYFUNCTION("""COMPUTED_VALUE"""),18.49)</f>
        <v>18.49</v>
      </c>
      <c r="K66" s="3">
        <f t="shared" si="2"/>
        <v>0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IFERROR(__xludf.DUMMYFUNCTION("""COMPUTED_VALUE"""),45834.6666666666)</f>
        <v>45834.6666666666</v>
      </c>
      <c r="B67" s="17">
        <f>IFERROR(__xludf.DUMMYFUNCTION("""COMPUTED_VALUE"""),18.6)</f>
        <v>18.6</v>
      </c>
      <c r="C67" s="16">
        <f>IFERROR(__xludf.DUMMYFUNCTION("""COMPUTED_VALUE"""),45834.6666666666)</f>
        <v>45834.6666666666</v>
      </c>
      <c r="D67" s="17">
        <f>IFERROR(__xludf.DUMMYFUNCTION("""COMPUTED_VALUE"""),18.63)</f>
        <v>18.63</v>
      </c>
      <c r="E67" s="16">
        <f>IFERROR(__xludf.DUMMYFUNCTION("""COMPUTED_VALUE"""),45834.6666666666)</f>
        <v>45834.6666666666</v>
      </c>
      <c r="F67" s="17">
        <f>IFERROR(__xludf.DUMMYFUNCTION("""COMPUTED_VALUE"""),14327729)</f>
        <v>14327729</v>
      </c>
      <c r="G67" s="16">
        <f>IFERROR(__xludf.DUMMYFUNCTION("""COMPUTED_VALUE"""),45834.6666666666)</f>
        <v>45834.6666666666</v>
      </c>
      <c r="H67" s="17">
        <f>IFERROR(__xludf.DUMMYFUNCTION("""COMPUTED_VALUE"""),18.67)</f>
        <v>18.67</v>
      </c>
      <c r="I67" s="16">
        <f>IFERROR(__xludf.DUMMYFUNCTION("""COMPUTED_VALUE"""),45834.6666666666)</f>
        <v>45834.6666666666</v>
      </c>
      <c r="J67" s="17">
        <f>IFERROR(__xludf.DUMMYFUNCTION("""COMPUTED_VALUE"""),18.52)</f>
        <v>18.52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IFERROR(__xludf.DUMMYFUNCTION("""COMPUTED_VALUE"""),45835.6666666666)</f>
        <v>45835.6666666666</v>
      </c>
      <c r="B68" s="17">
        <f>IFERROR(__xludf.DUMMYFUNCTION("""COMPUTED_VALUE"""),18.52)</f>
        <v>18.52</v>
      </c>
      <c r="C68" s="16">
        <f>IFERROR(__xludf.DUMMYFUNCTION("""COMPUTED_VALUE"""),45835.6666666666)</f>
        <v>45835.6666666666</v>
      </c>
      <c r="D68" s="17">
        <f>IFERROR(__xludf.DUMMYFUNCTION("""COMPUTED_VALUE"""),18.64)</f>
        <v>18.64</v>
      </c>
      <c r="E68" s="16">
        <f>IFERROR(__xludf.DUMMYFUNCTION("""COMPUTED_VALUE"""),45835.6666666666)</f>
        <v>45835.6666666666</v>
      </c>
      <c r="F68" s="17">
        <f>IFERROR(__xludf.DUMMYFUNCTION("""COMPUTED_VALUE"""),13502088)</f>
        <v>13502088</v>
      </c>
      <c r="G68" s="16">
        <f>IFERROR(__xludf.DUMMYFUNCTION("""COMPUTED_VALUE"""),45835.6666666666)</f>
        <v>45835.6666666666</v>
      </c>
      <c r="H68" s="17">
        <f>IFERROR(__xludf.DUMMYFUNCTION("""COMPUTED_VALUE"""),18.66)</f>
        <v>18.66</v>
      </c>
      <c r="I68" s="16">
        <f>IFERROR(__xludf.DUMMYFUNCTION("""COMPUTED_VALUE"""),45835.6666666666)</f>
        <v>45835.6666666666</v>
      </c>
      <c r="J68" s="17">
        <f>IFERROR(__xludf.DUMMYFUNCTION("""COMPUTED_VALUE"""),18.41)</f>
        <v>18.41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IFERROR(__xludf.DUMMYFUNCTION("""COMPUTED_VALUE"""),45838.6666666666)</f>
        <v>45838.6666666666</v>
      </c>
      <c r="B69" s="17">
        <f>IFERROR(__xludf.DUMMYFUNCTION("""COMPUTED_VALUE"""),18.53)</f>
        <v>18.53</v>
      </c>
      <c r="C69" s="16">
        <f>IFERROR(__xludf.DUMMYFUNCTION("""COMPUTED_VALUE"""),45838.6666666666)</f>
        <v>45838.6666666666</v>
      </c>
      <c r="D69" s="17">
        <f>IFERROR(__xludf.DUMMYFUNCTION("""COMPUTED_VALUE"""),18.55)</f>
        <v>18.55</v>
      </c>
      <c r="E69" s="16">
        <f>IFERROR(__xludf.DUMMYFUNCTION("""COMPUTED_VALUE"""),45838.6666666666)</f>
        <v>45838.6666666666</v>
      </c>
      <c r="F69" s="17">
        <f>IFERROR(__xludf.DUMMYFUNCTION("""COMPUTED_VALUE"""),12743302)</f>
        <v>12743302</v>
      </c>
      <c r="G69" s="16">
        <f>IFERROR(__xludf.DUMMYFUNCTION("""COMPUTED_VALUE"""),45838.6666666666)</f>
        <v>45838.6666666666</v>
      </c>
      <c r="H69" s="17">
        <f>IFERROR(__xludf.DUMMYFUNCTION("""COMPUTED_VALUE"""),18.56)</f>
        <v>18.56</v>
      </c>
      <c r="I69" s="16">
        <f>IFERROR(__xludf.DUMMYFUNCTION("""COMPUTED_VALUE"""),45838.6666666666)</f>
        <v>45838.6666666666</v>
      </c>
      <c r="J69" s="17">
        <f>IFERROR(__xludf.DUMMYFUNCTION("""COMPUTED_VALUE"""),18.46)</f>
        <v>18.46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IFERROR(__xludf.DUMMYFUNCTION("""COMPUTED_VALUE"""),45839.6666666666)</f>
        <v>45839.6666666666</v>
      </c>
      <c r="B70" s="17">
        <f>IFERROR(__xludf.DUMMYFUNCTION("""COMPUTED_VALUE"""),18.9)</f>
        <v>18.9</v>
      </c>
      <c r="C70" s="16">
        <f>IFERROR(__xludf.DUMMYFUNCTION("""COMPUTED_VALUE"""),45839.6666666666)</f>
        <v>45839.6666666666</v>
      </c>
      <c r="D70" s="17">
        <f>IFERROR(__xludf.DUMMYFUNCTION("""COMPUTED_VALUE"""),18.71)</f>
        <v>18.71</v>
      </c>
      <c r="E70" s="16">
        <f>IFERROR(__xludf.DUMMYFUNCTION("""COMPUTED_VALUE"""),45839.6666666666)</f>
        <v>45839.6666666666</v>
      </c>
      <c r="F70" s="17">
        <f>IFERROR(__xludf.DUMMYFUNCTION("""COMPUTED_VALUE"""),15010108)</f>
        <v>15010108</v>
      </c>
      <c r="G70" s="16">
        <f>IFERROR(__xludf.DUMMYFUNCTION("""COMPUTED_VALUE"""),45839.6666666666)</f>
        <v>45839.6666666666</v>
      </c>
      <c r="H70" s="17">
        <f>IFERROR(__xludf.DUMMYFUNCTION("""COMPUTED_VALUE"""),18.98)</f>
        <v>18.98</v>
      </c>
      <c r="I70" s="16">
        <f>IFERROR(__xludf.DUMMYFUNCTION("""COMPUTED_VALUE"""),45839.6666666666)</f>
        <v>45839.6666666666</v>
      </c>
      <c r="J70" s="17">
        <f>IFERROR(__xludf.DUMMYFUNCTION("""COMPUTED_VALUE"""),18.56)</f>
        <v>18.56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IFERROR(__xludf.DUMMYFUNCTION("""COMPUTED_VALUE"""),45840.6666666666)</f>
        <v>45840.6666666666</v>
      </c>
      <c r="B71" s="17">
        <f>IFERROR(__xludf.DUMMYFUNCTION("""COMPUTED_VALUE"""),18.88)</f>
        <v>18.88</v>
      </c>
      <c r="C71" s="16">
        <f>IFERROR(__xludf.DUMMYFUNCTION("""COMPUTED_VALUE"""),45840.6666666666)</f>
        <v>45840.6666666666</v>
      </c>
      <c r="D71" s="17">
        <f>IFERROR(__xludf.DUMMYFUNCTION("""COMPUTED_VALUE"""),18.75)</f>
        <v>18.75</v>
      </c>
      <c r="E71" s="16">
        <f>IFERROR(__xludf.DUMMYFUNCTION("""COMPUTED_VALUE"""),45840.6666666666)</f>
        <v>45840.6666666666</v>
      </c>
      <c r="F71" s="17">
        <f>IFERROR(__xludf.DUMMYFUNCTION("""COMPUTED_VALUE"""),9428318)</f>
        <v>9428318</v>
      </c>
      <c r="G71" s="16">
        <f>IFERROR(__xludf.DUMMYFUNCTION("""COMPUTED_VALUE"""),45840.6666666666)</f>
        <v>45840.6666666666</v>
      </c>
      <c r="H71" s="17">
        <f>IFERROR(__xludf.DUMMYFUNCTION("""COMPUTED_VALUE"""),18.89)</f>
        <v>18.89</v>
      </c>
      <c r="I71" s="16">
        <f>IFERROR(__xludf.DUMMYFUNCTION("""COMPUTED_VALUE"""),45840.6666666666)</f>
        <v>45840.6666666666</v>
      </c>
      <c r="J71" s="17">
        <f>IFERROR(__xludf.DUMMYFUNCTION("""COMPUTED_VALUE"""),18.67)</f>
        <v>18.67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IFERROR(__xludf.DUMMYFUNCTION("""COMPUTED_VALUE"""),45841.5416666666)</f>
        <v>45841.5416666666</v>
      </c>
      <c r="B72" s="17">
        <f>IFERROR(__xludf.DUMMYFUNCTION("""COMPUTED_VALUE"""),18.96)</f>
        <v>18.96</v>
      </c>
      <c r="C72" s="16">
        <f>IFERROR(__xludf.DUMMYFUNCTION("""COMPUTED_VALUE"""),45841.5416666666)</f>
        <v>45841.5416666666</v>
      </c>
      <c r="D72" s="17">
        <f>IFERROR(__xludf.DUMMYFUNCTION("""COMPUTED_VALUE"""),18.9)</f>
        <v>18.9</v>
      </c>
      <c r="E72" s="16">
        <f>IFERROR(__xludf.DUMMYFUNCTION("""COMPUTED_VALUE"""),45841.5416666666)</f>
        <v>45841.5416666666</v>
      </c>
      <c r="F72" s="17">
        <f>IFERROR(__xludf.DUMMYFUNCTION("""COMPUTED_VALUE"""),4267315)</f>
        <v>4267315</v>
      </c>
      <c r="G72" s="16">
        <f>IFERROR(__xludf.DUMMYFUNCTION("""COMPUTED_VALUE"""),45841.5416666666)</f>
        <v>45841.5416666666</v>
      </c>
      <c r="H72" s="17">
        <f>IFERROR(__xludf.DUMMYFUNCTION("""COMPUTED_VALUE"""),18.98)</f>
        <v>18.98</v>
      </c>
      <c r="I72" s="16">
        <f>IFERROR(__xludf.DUMMYFUNCTION("""COMPUTED_VALUE"""),45841.5416666666)</f>
        <v>45841.5416666666</v>
      </c>
      <c r="J72" s="17">
        <f>IFERROR(__xludf.DUMMYFUNCTION("""COMPUTED_VALUE"""),18.86)</f>
        <v>18.86</v>
      </c>
      <c r="K72" s="3">
        <f t="shared" si="2"/>
        <v>18.96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IFERROR(__xludf.DUMMYFUNCTION("""COMPUTED_VALUE"""),45845.6666666666)</f>
        <v>45845.6666666666</v>
      </c>
      <c r="B73" s="17">
        <f>IFERROR(__xludf.DUMMYFUNCTION("""COMPUTED_VALUE"""),18.82)</f>
        <v>18.82</v>
      </c>
      <c r="C73" s="16">
        <f>IFERROR(__xludf.DUMMYFUNCTION("""COMPUTED_VALUE"""),45845.6666666666)</f>
        <v>45845.6666666666</v>
      </c>
      <c r="D73" s="17">
        <f>IFERROR(__xludf.DUMMYFUNCTION("""COMPUTED_VALUE"""),18.86)</f>
        <v>18.86</v>
      </c>
      <c r="E73" s="16">
        <f>IFERROR(__xludf.DUMMYFUNCTION("""COMPUTED_VALUE"""),45845.6666666666)</f>
        <v>45845.6666666666</v>
      </c>
      <c r="F73" s="17">
        <f>IFERROR(__xludf.DUMMYFUNCTION("""COMPUTED_VALUE"""),8790483)</f>
        <v>8790483</v>
      </c>
      <c r="G73" s="16">
        <f>IFERROR(__xludf.DUMMYFUNCTION("""COMPUTED_VALUE"""),45845.6666666666)</f>
        <v>45845.6666666666</v>
      </c>
      <c r="H73" s="17">
        <f>IFERROR(__xludf.DUMMYFUNCTION("""COMPUTED_VALUE"""),18.96)</f>
        <v>18.96</v>
      </c>
      <c r="I73" s="16">
        <f>IFERROR(__xludf.DUMMYFUNCTION("""COMPUTED_VALUE"""),45845.6666666666)</f>
        <v>45845.6666666666</v>
      </c>
      <c r="J73" s="17">
        <f>IFERROR(__xludf.DUMMYFUNCTION("""COMPUTED_VALUE"""),18.76)</f>
        <v>18.76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IFERROR(__xludf.DUMMYFUNCTION("""COMPUTED_VALUE"""),45846.6666666666)</f>
        <v>45846.6666666666</v>
      </c>
      <c r="B74" s="17">
        <f>IFERROR(__xludf.DUMMYFUNCTION("""COMPUTED_VALUE"""),18.89)</f>
        <v>18.89</v>
      </c>
      <c r="C74" s="16">
        <f>IFERROR(__xludf.DUMMYFUNCTION("""COMPUTED_VALUE"""),45846.6666666666)</f>
        <v>45846.6666666666</v>
      </c>
      <c r="D74" s="17">
        <f>IFERROR(__xludf.DUMMYFUNCTION("""COMPUTED_VALUE"""),18.89)</f>
        <v>18.89</v>
      </c>
      <c r="E74" s="16">
        <f>IFERROR(__xludf.DUMMYFUNCTION("""COMPUTED_VALUE"""),45846.6666666666)</f>
        <v>45846.6666666666</v>
      </c>
      <c r="F74" s="17">
        <f>IFERROR(__xludf.DUMMYFUNCTION("""COMPUTED_VALUE"""),10832422)</f>
        <v>10832422</v>
      </c>
      <c r="G74" s="16">
        <f>IFERROR(__xludf.DUMMYFUNCTION("""COMPUTED_VALUE"""),45846.6666666666)</f>
        <v>45846.6666666666</v>
      </c>
      <c r="H74" s="17">
        <f>IFERROR(__xludf.DUMMYFUNCTION("""COMPUTED_VALUE"""),19.06)</f>
        <v>19.06</v>
      </c>
      <c r="I74" s="16">
        <f>IFERROR(__xludf.DUMMYFUNCTION("""COMPUTED_VALUE"""),45846.6666666666)</f>
        <v>45846.6666666666</v>
      </c>
      <c r="J74" s="17">
        <f>IFERROR(__xludf.DUMMYFUNCTION("""COMPUTED_VALUE"""),18.82)</f>
        <v>18.82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IFERROR(__xludf.DUMMYFUNCTION("""COMPUTED_VALUE"""),45847.6666666666)</f>
        <v>45847.6666666666</v>
      </c>
      <c r="B75" s="17">
        <f>IFERROR(__xludf.DUMMYFUNCTION("""COMPUTED_VALUE"""),18.82)</f>
        <v>18.82</v>
      </c>
      <c r="C75" s="16">
        <f>IFERROR(__xludf.DUMMYFUNCTION("""COMPUTED_VALUE"""),45847.6666666666)</f>
        <v>45847.6666666666</v>
      </c>
      <c r="D75" s="17">
        <f>IFERROR(__xludf.DUMMYFUNCTION("""COMPUTED_VALUE"""),18.99)</f>
        <v>18.99</v>
      </c>
      <c r="E75" s="16">
        <f>IFERROR(__xludf.DUMMYFUNCTION("""COMPUTED_VALUE"""),45847.6666666666)</f>
        <v>45847.6666666666</v>
      </c>
      <c r="F75" s="17">
        <f>IFERROR(__xludf.DUMMYFUNCTION("""COMPUTED_VALUE"""),13092809)</f>
        <v>13092809</v>
      </c>
      <c r="G75" s="16">
        <f>IFERROR(__xludf.DUMMYFUNCTION("""COMPUTED_VALUE"""),45847.6666666666)</f>
        <v>45847.6666666666</v>
      </c>
      <c r="H75" s="17">
        <f>IFERROR(__xludf.DUMMYFUNCTION("""COMPUTED_VALUE"""),19)</f>
        <v>19</v>
      </c>
      <c r="I75" s="16">
        <f>IFERROR(__xludf.DUMMYFUNCTION("""COMPUTED_VALUE"""),45847.6666666666)</f>
        <v>45847.6666666666</v>
      </c>
      <c r="J75" s="17">
        <f>IFERROR(__xludf.DUMMYFUNCTION("""COMPUTED_VALUE"""),18.72)</f>
        <v>18.72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IFERROR(__xludf.DUMMYFUNCTION("""COMPUTED_VALUE"""),45848.6666666666)</f>
        <v>45848.6666666666</v>
      </c>
      <c r="B76" s="17">
        <f>IFERROR(__xludf.DUMMYFUNCTION("""COMPUTED_VALUE"""),18.1)</f>
        <v>18.1</v>
      </c>
      <c r="C76" s="16">
        <f>IFERROR(__xludf.DUMMYFUNCTION("""COMPUTED_VALUE"""),45848.6666666666)</f>
        <v>45848.6666666666</v>
      </c>
      <c r="D76" s="17">
        <f>IFERROR(__xludf.DUMMYFUNCTION("""COMPUTED_VALUE"""),18.36)</f>
        <v>18.36</v>
      </c>
      <c r="E76" s="16">
        <f>IFERROR(__xludf.DUMMYFUNCTION("""COMPUTED_VALUE"""),45848.6666666666)</f>
        <v>45848.6666666666</v>
      </c>
      <c r="F76" s="17">
        <f>IFERROR(__xludf.DUMMYFUNCTION("""COMPUTED_VALUE"""),27407642)</f>
        <v>27407642</v>
      </c>
      <c r="G76" s="16">
        <f>IFERROR(__xludf.DUMMYFUNCTION("""COMPUTED_VALUE"""),45848.6666666666)</f>
        <v>45848.6666666666</v>
      </c>
      <c r="H76" s="17">
        <f>IFERROR(__xludf.DUMMYFUNCTION("""COMPUTED_VALUE"""),18.42)</f>
        <v>18.42</v>
      </c>
      <c r="I76" s="16">
        <f>IFERROR(__xludf.DUMMYFUNCTION("""COMPUTED_VALUE"""),45848.6666666666)</f>
        <v>45848.6666666666</v>
      </c>
      <c r="J76" s="17">
        <f>IFERROR(__xludf.DUMMYFUNCTION("""COMPUTED_VALUE"""),18.06)</f>
        <v>18.06</v>
      </c>
      <c r="K76" s="3">
        <f t="shared" si="2"/>
        <v>0</v>
      </c>
      <c r="L76" s="3">
        <f t="shared" si="3"/>
        <v>0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IFERROR(__xludf.DUMMYFUNCTION("""COMPUTED_VALUE"""),45849.6666666666)</f>
        <v>45849.6666666666</v>
      </c>
      <c r="B77" s="17">
        <f>IFERROR(__xludf.DUMMYFUNCTION("""COMPUTED_VALUE"""),18.19)</f>
        <v>18.19</v>
      </c>
      <c r="C77" s="16">
        <f>IFERROR(__xludf.DUMMYFUNCTION("""COMPUTED_VALUE"""),45849.6666666666)</f>
        <v>45849.6666666666</v>
      </c>
      <c r="D77" s="17">
        <f>IFERROR(__xludf.DUMMYFUNCTION("""COMPUTED_VALUE"""),18.3)</f>
        <v>18.3</v>
      </c>
      <c r="E77" s="16">
        <f>IFERROR(__xludf.DUMMYFUNCTION("""COMPUTED_VALUE"""),45849.6666666666)</f>
        <v>45849.6666666666</v>
      </c>
      <c r="F77" s="17">
        <f>IFERROR(__xludf.DUMMYFUNCTION("""COMPUTED_VALUE"""),16461228)</f>
        <v>16461228</v>
      </c>
      <c r="G77" s="16">
        <f>IFERROR(__xludf.DUMMYFUNCTION("""COMPUTED_VALUE"""),45849.6666666666)</f>
        <v>45849.6666666666</v>
      </c>
      <c r="H77" s="17">
        <f>IFERROR(__xludf.DUMMYFUNCTION("""COMPUTED_VALUE"""),18.35)</f>
        <v>18.35</v>
      </c>
      <c r="I77" s="16">
        <f>IFERROR(__xludf.DUMMYFUNCTION("""COMPUTED_VALUE"""),45849.6666666666)</f>
        <v>45849.6666666666</v>
      </c>
      <c r="J77" s="17">
        <f>IFERROR(__xludf.DUMMYFUNCTION("""COMPUTED_VALUE"""),18.18)</f>
        <v>18.18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IFERROR(__xludf.DUMMYFUNCTION("""COMPUTED_VALUE"""),45852.6666666666)</f>
        <v>45852.6666666666</v>
      </c>
      <c r="B78" s="17">
        <f>IFERROR(__xludf.DUMMYFUNCTION("""COMPUTED_VALUE"""),18.01)</f>
        <v>18.01</v>
      </c>
      <c r="C78" s="16">
        <f>IFERROR(__xludf.DUMMYFUNCTION("""COMPUTED_VALUE"""),45852.6666666666)</f>
        <v>45852.6666666666</v>
      </c>
      <c r="D78" s="17">
        <f>IFERROR(__xludf.DUMMYFUNCTION("""COMPUTED_VALUE"""),18.01)</f>
        <v>18.01</v>
      </c>
      <c r="E78" s="16">
        <f>IFERROR(__xludf.DUMMYFUNCTION("""COMPUTED_VALUE"""),45852.6666666666)</f>
        <v>45852.6666666666</v>
      </c>
      <c r="F78" s="17">
        <f>IFERROR(__xludf.DUMMYFUNCTION("""COMPUTED_VALUE"""),14495423)</f>
        <v>14495423</v>
      </c>
      <c r="G78" s="16">
        <f>IFERROR(__xludf.DUMMYFUNCTION("""COMPUTED_VALUE"""),45852.6666666666)</f>
        <v>45852.6666666666</v>
      </c>
      <c r="H78" s="17">
        <f>IFERROR(__xludf.DUMMYFUNCTION("""COMPUTED_VALUE"""),18.12)</f>
        <v>18.12</v>
      </c>
      <c r="I78" s="16">
        <f>IFERROR(__xludf.DUMMYFUNCTION("""COMPUTED_VALUE"""),45852.6666666666)</f>
        <v>45852.6666666666</v>
      </c>
      <c r="J78" s="17">
        <f>IFERROR(__xludf.DUMMYFUNCTION("""COMPUTED_VALUE"""),17.9)</f>
        <v>17.9</v>
      </c>
      <c r="K78" s="3">
        <f t="shared" si="2"/>
        <v>0</v>
      </c>
      <c r="L78" s="3">
        <f t="shared" si="3"/>
        <v>18.01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IFERROR(__xludf.DUMMYFUNCTION("""COMPUTED_VALUE"""),45853.6666666666)</f>
        <v>45853.6666666666</v>
      </c>
      <c r="B79" s="17">
        <f>IFERROR(__xludf.DUMMYFUNCTION("""COMPUTED_VALUE"""),18.22)</f>
        <v>18.22</v>
      </c>
      <c r="C79" s="16">
        <f>IFERROR(__xludf.DUMMYFUNCTION("""COMPUTED_VALUE"""),45853.6666666666)</f>
        <v>45853.6666666666</v>
      </c>
      <c r="D79" s="17">
        <f>IFERROR(__xludf.DUMMYFUNCTION("""COMPUTED_VALUE"""),18.25)</f>
        <v>18.25</v>
      </c>
      <c r="E79" s="16">
        <f>IFERROR(__xludf.DUMMYFUNCTION("""COMPUTED_VALUE"""),45853.6666666666)</f>
        <v>45853.6666666666</v>
      </c>
      <c r="F79" s="17">
        <f>IFERROR(__xludf.DUMMYFUNCTION("""COMPUTED_VALUE"""),14013677)</f>
        <v>14013677</v>
      </c>
      <c r="G79" s="16">
        <f>IFERROR(__xludf.DUMMYFUNCTION("""COMPUTED_VALUE"""),45853.6666666666)</f>
        <v>45853.6666666666</v>
      </c>
      <c r="H79" s="17">
        <f>IFERROR(__xludf.DUMMYFUNCTION("""COMPUTED_VALUE"""),18.32)</f>
        <v>18.32</v>
      </c>
      <c r="I79" s="16">
        <f>IFERROR(__xludf.DUMMYFUNCTION("""COMPUTED_VALUE"""),45853.6666666666)</f>
        <v>45853.6666666666</v>
      </c>
      <c r="J79" s="17">
        <f>IFERROR(__xludf.DUMMYFUNCTION("""COMPUTED_VALUE"""),18.2)</f>
        <v>18.2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IFERROR(__xludf.DUMMYFUNCTION("""COMPUTED_VALUE"""),45854.6666666666)</f>
        <v>45854.6666666666</v>
      </c>
      <c r="B80" s="17">
        <f>IFERROR(__xludf.DUMMYFUNCTION("""COMPUTED_VALUE"""),18.5)</f>
        <v>18.5</v>
      </c>
      <c r="C80" s="16">
        <f>IFERROR(__xludf.DUMMYFUNCTION("""COMPUTED_VALUE"""),45854.6666666666)</f>
        <v>45854.6666666666</v>
      </c>
      <c r="D80" s="17">
        <f>IFERROR(__xludf.DUMMYFUNCTION("""COMPUTED_VALUE"""),18.47)</f>
        <v>18.47</v>
      </c>
      <c r="E80" s="16">
        <f>IFERROR(__xludf.DUMMYFUNCTION("""COMPUTED_VALUE"""),45854.6666666666)</f>
        <v>45854.6666666666</v>
      </c>
      <c r="F80" s="17">
        <f>IFERROR(__xludf.DUMMYFUNCTION("""COMPUTED_VALUE"""),15715456)</f>
        <v>15715456</v>
      </c>
      <c r="G80" s="16">
        <f>IFERROR(__xludf.DUMMYFUNCTION("""COMPUTED_VALUE"""),45854.6666666666)</f>
        <v>45854.6666666666</v>
      </c>
      <c r="H80" s="17">
        <f>IFERROR(__xludf.DUMMYFUNCTION("""COMPUTED_VALUE"""),18.51)</f>
        <v>18.51</v>
      </c>
      <c r="I80" s="16">
        <f>IFERROR(__xludf.DUMMYFUNCTION("""COMPUTED_VALUE"""),45854.6666666666)</f>
        <v>45854.6666666666</v>
      </c>
      <c r="J80" s="17">
        <f>IFERROR(__xludf.DUMMYFUNCTION("""COMPUTED_VALUE"""),18.34)</f>
        <v>18.34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IFERROR(__xludf.DUMMYFUNCTION("""COMPUTED_VALUE"""),45855.6666666666)</f>
        <v>45855.6666666666</v>
      </c>
      <c r="B81" s="17">
        <f>IFERROR(__xludf.DUMMYFUNCTION("""COMPUTED_VALUE"""),18.47)</f>
        <v>18.47</v>
      </c>
      <c r="C81" s="16">
        <f>IFERROR(__xludf.DUMMYFUNCTION("""COMPUTED_VALUE"""),45855.6666666666)</f>
        <v>45855.6666666666</v>
      </c>
      <c r="D81" s="17">
        <f>IFERROR(__xludf.DUMMYFUNCTION("""COMPUTED_VALUE"""),18.36)</f>
        <v>18.36</v>
      </c>
      <c r="E81" s="16">
        <f>IFERROR(__xludf.DUMMYFUNCTION("""COMPUTED_VALUE"""),45855.6666666666)</f>
        <v>45855.6666666666</v>
      </c>
      <c r="F81" s="17">
        <f>IFERROR(__xludf.DUMMYFUNCTION("""COMPUTED_VALUE"""),13528151)</f>
        <v>13528151</v>
      </c>
      <c r="G81" s="16">
        <f>IFERROR(__xludf.DUMMYFUNCTION("""COMPUTED_VALUE"""),45855.6666666666)</f>
        <v>45855.6666666666</v>
      </c>
      <c r="H81" s="17">
        <f>IFERROR(__xludf.DUMMYFUNCTION("""COMPUTED_VALUE"""),18.52)</f>
        <v>18.52</v>
      </c>
      <c r="I81" s="16">
        <f>IFERROR(__xludf.DUMMYFUNCTION("""COMPUTED_VALUE"""),45855.6666666666)</f>
        <v>45855.6666666666</v>
      </c>
      <c r="J81" s="17">
        <f>IFERROR(__xludf.DUMMYFUNCTION("""COMPUTED_VALUE"""),18.28)</f>
        <v>18.28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IFERROR(__xludf.DUMMYFUNCTION("""COMPUTED_VALUE"""),45856.6666666666)</f>
        <v>45856.6666666666</v>
      </c>
      <c r="B82" s="17">
        <f>IFERROR(__xludf.DUMMYFUNCTION("""COMPUTED_VALUE"""),18.21)</f>
        <v>18.21</v>
      </c>
      <c r="C82" s="16">
        <f>IFERROR(__xludf.DUMMYFUNCTION("""COMPUTED_VALUE"""),45856.6666666666)</f>
        <v>45856.6666666666</v>
      </c>
      <c r="D82" s="17">
        <f>IFERROR(__xludf.DUMMYFUNCTION("""COMPUTED_VALUE"""),18.35)</f>
        <v>18.35</v>
      </c>
      <c r="E82" s="16">
        <f>IFERROR(__xludf.DUMMYFUNCTION("""COMPUTED_VALUE"""),45856.6666666666)</f>
        <v>45856.6666666666</v>
      </c>
      <c r="F82" s="17">
        <f>IFERROR(__xludf.DUMMYFUNCTION("""COMPUTED_VALUE"""),9706758)</f>
        <v>9706758</v>
      </c>
      <c r="G82" s="16">
        <f>IFERROR(__xludf.DUMMYFUNCTION("""COMPUTED_VALUE"""),45856.6666666666)</f>
        <v>45856.6666666666</v>
      </c>
      <c r="H82" s="17">
        <f>IFERROR(__xludf.DUMMYFUNCTION("""COMPUTED_VALUE"""),18.38)</f>
        <v>18.38</v>
      </c>
      <c r="I82" s="16">
        <f>IFERROR(__xludf.DUMMYFUNCTION("""COMPUTED_VALUE"""),45856.6666666666)</f>
        <v>45856.6666666666</v>
      </c>
      <c r="J82" s="17">
        <f>IFERROR(__xludf.DUMMYFUNCTION("""COMPUTED_VALUE"""),18.14)</f>
        <v>18.14</v>
      </c>
      <c r="K82" s="3">
        <f t="shared" si="2"/>
        <v>0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IFERROR(__xludf.DUMMYFUNCTION("""COMPUTED_VALUE"""),45859.6666666666)</f>
        <v>45859.6666666666</v>
      </c>
      <c r="B83" s="17">
        <f>IFERROR(__xludf.DUMMYFUNCTION("""COMPUTED_VALUE"""),18.19)</f>
        <v>18.19</v>
      </c>
      <c r="C83" s="16">
        <f>IFERROR(__xludf.DUMMYFUNCTION("""COMPUTED_VALUE"""),45859.6666666666)</f>
        <v>45859.6666666666</v>
      </c>
      <c r="D83" s="17">
        <f>IFERROR(__xludf.DUMMYFUNCTION("""COMPUTED_VALUE"""),18.19)</f>
        <v>18.19</v>
      </c>
      <c r="E83" s="16">
        <f>IFERROR(__xludf.DUMMYFUNCTION("""COMPUTED_VALUE"""),45859.6666666666)</f>
        <v>45859.6666666666</v>
      </c>
      <c r="F83" s="17">
        <f>IFERROR(__xludf.DUMMYFUNCTION("""COMPUTED_VALUE"""),11469297)</f>
        <v>11469297</v>
      </c>
      <c r="G83" s="16">
        <f>IFERROR(__xludf.DUMMYFUNCTION("""COMPUTED_VALUE"""),45859.6666666666)</f>
        <v>45859.6666666666</v>
      </c>
      <c r="H83" s="17">
        <f>IFERROR(__xludf.DUMMYFUNCTION("""COMPUTED_VALUE"""),18.34)</f>
        <v>18.34</v>
      </c>
      <c r="I83" s="16">
        <f>IFERROR(__xludf.DUMMYFUNCTION("""COMPUTED_VALUE"""),45859.6666666666)</f>
        <v>45859.6666666666</v>
      </c>
      <c r="J83" s="17">
        <f>IFERROR(__xludf.DUMMYFUNCTION("""COMPUTED_VALUE"""),18.17)</f>
        <v>18.17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IFERROR(__xludf.DUMMYFUNCTION("""COMPUTED_VALUE"""),45860.6666666666)</f>
        <v>45860.6666666666</v>
      </c>
      <c r="B84" s="17">
        <f>IFERROR(__xludf.DUMMYFUNCTION("""COMPUTED_VALUE"""),18.26)</f>
        <v>18.26</v>
      </c>
      <c r="C84" s="16">
        <f>IFERROR(__xludf.DUMMYFUNCTION("""COMPUTED_VALUE"""),45860.6666666666)</f>
        <v>45860.6666666666</v>
      </c>
      <c r="D84" s="17">
        <f>IFERROR(__xludf.DUMMYFUNCTION("""COMPUTED_VALUE"""),18.12)</f>
        <v>18.12</v>
      </c>
      <c r="E84" s="16">
        <f>IFERROR(__xludf.DUMMYFUNCTION("""COMPUTED_VALUE"""),45860.6666666666)</f>
        <v>45860.6666666666</v>
      </c>
      <c r="F84" s="17">
        <f>IFERROR(__xludf.DUMMYFUNCTION("""COMPUTED_VALUE"""),18870493)</f>
        <v>18870493</v>
      </c>
      <c r="G84" s="16">
        <f>IFERROR(__xludf.DUMMYFUNCTION("""COMPUTED_VALUE"""),45860.6666666666)</f>
        <v>45860.6666666666</v>
      </c>
      <c r="H84" s="17">
        <f>IFERROR(__xludf.DUMMYFUNCTION("""COMPUTED_VALUE"""),18.3)</f>
        <v>18.3</v>
      </c>
      <c r="I84" s="16">
        <f>IFERROR(__xludf.DUMMYFUNCTION("""COMPUTED_VALUE"""),45860.6666666666)</f>
        <v>45860.6666666666</v>
      </c>
      <c r="J84" s="17">
        <f>IFERROR(__xludf.DUMMYFUNCTION("""COMPUTED_VALUE"""),18.1)</f>
        <v>18.1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IFERROR(__xludf.DUMMYFUNCTION("""COMPUTED_VALUE"""),45861.6666666666)</f>
        <v>45861.6666666666</v>
      </c>
      <c r="B85" s="17">
        <f>IFERROR(__xludf.DUMMYFUNCTION("""COMPUTED_VALUE"""),18.45)</f>
        <v>18.45</v>
      </c>
      <c r="C85" s="16">
        <f>IFERROR(__xludf.DUMMYFUNCTION("""COMPUTED_VALUE"""),45861.6666666666)</f>
        <v>45861.6666666666</v>
      </c>
      <c r="D85" s="17">
        <f>IFERROR(__xludf.DUMMYFUNCTION("""COMPUTED_VALUE"""),18.46)</f>
        <v>18.46</v>
      </c>
      <c r="E85" s="16">
        <f>IFERROR(__xludf.DUMMYFUNCTION("""COMPUTED_VALUE"""),45861.6666666666)</f>
        <v>45861.6666666666</v>
      </c>
      <c r="F85" s="17">
        <f>IFERROR(__xludf.DUMMYFUNCTION("""COMPUTED_VALUE"""),24739708)</f>
        <v>24739708</v>
      </c>
      <c r="G85" s="16">
        <f>IFERROR(__xludf.DUMMYFUNCTION("""COMPUTED_VALUE"""),45861.6666666666)</f>
        <v>45861.6666666666</v>
      </c>
      <c r="H85" s="17">
        <f>IFERROR(__xludf.DUMMYFUNCTION("""COMPUTED_VALUE"""),18.83)</f>
        <v>18.83</v>
      </c>
      <c r="I85" s="16">
        <f>IFERROR(__xludf.DUMMYFUNCTION("""COMPUTED_VALUE"""),45861.6666666666)</f>
        <v>45861.6666666666</v>
      </c>
      <c r="J85" s="17">
        <f>IFERROR(__xludf.DUMMYFUNCTION("""COMPUTED_VALUE"""),18.4)</f>
        <v>18.4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IFERROR(__xludf.DUMMYFUNCTION("""COMPUTED_VALUE"""),45862.6666666666)</f>
        <v>45862.6666666666</v>
      </c>
      <c r="B86" s="17">
        <f>IFERROR(__xludf.DUMMYFUNCTION("""COMPUTED_VALUE"""),17.68)</f>
        <v>17.68</v>
      </c>
      <c r="C86" s="16">
        <f>IFERROR(__xludf.DUMMYFUNCTION("""COMPUTED_VALUE"""),45862.6666666666)</f>
        <v>45862.6666666666</v>
      </c>
      <c r="D86" s="17">
        <f>IFERROR(__xludf.DUMMYFUNCTION("""COMPUTED_VALUE"""),17.88)</f>
        <v>17.88</v>
      </c>
      <c r="E86" s="16">
        <f>IFERROR(__xludf.DUMMYFUNCTION("""COMPUTED_VALUE"""),45862.6666666666)</f>
        <v>45862.6666666666</v>
      </c>
      <c r="F86" s="17">
        <f>IFERROR(__xludf.DUMMYFUNCTION("""COMPUTED_VALUE"""),14676110)</f>
        <v>14676110</v>
      </c>
      <c r="G86" s="16">
        <f>IFERROR(__xludf.DUMMYFUNCTION("""COMPUTED_VALUE"""),45862.6666666666)</f>
        <v>45862.6666666666</v>
      </c>
      <c r="H86" s="17">
        <f>IFERROR(__xludf.DUMMYFUNCTION("""COMPUTED_VALUE"""),17.88)</f>
        <v>17.88</v>
      </c>
      <c r="I86" s="16">
        <f>IFERROR(__xludf.DUMMYFUNCTION("""COMPUTED_VALUE"""),45862.6666666666)</f>
        <v>45862.6666666666</v>
      </c>
      <c r="J86" s="17">
        <f>IFERROR(__xludf.DUMMYFUNCTION("""COMPUTED_VALUE"""),17.59)</f>
        <v>17.59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IFERROR(__xludf.DUMMYFUNCTION("""COMPUTED_VALUE"""),45863.6666666666)</f>
        <v>45863.6666666666</v>
      </c>
      <c r="B87" s="17">
        <f>IFERROR(__xludf.DUMMYFUNCTION("""COMPUTED_VALUE"""),17.37)</f>
        <v>17.37</v>
      </c>
      <c r="C87" s="16">
        <f>IFERROR(__xludf.DUMMYFUNCTION("""COMPUTED_VALUE"""),45863.6666666666)</f>
        <v>45863.6666666666</v>
      </c>
      <c r="D87" s="17">
        <f>IFERROR(__xludf.DUMMYFUNCTION("""COMPUTED_VALUE"""),17.46)</f>
        <v>17.46</v>
      </c>
      <c r="E87" s="16">
        <f>IFERROR(__xludf.DUMMYFUNCTION("""COMPUTED_VALUE"""),45863.6666666666)</f>
        <v>45863.6666666666</v>
      </c>
      <c r="F87" s="17">
        <f>IFERROR(__xludf.DUMMYFUNCTION("""COMPUTED_VALUE"""),19088058)</f>
        <v>19088058</v>
      </c>
      <c r="G87" s="16">
        <f>IFERROR(__xludf.DUMMYFUNCTION("""COMPUTED_VALUE"""),45863.6666666666)</f>
        <v>45863.6666666666</v>
      </c>
      <c r="H87" s="17">
        <f>IFERROR(__xludf.DUMMYFUNCTION("""COMPUTED_VALUE"""),17.46)</f>
        <v>17.46</v>
      </c>
      <c r="I87" s="16">
        <f>IFERROR(__xludf.DUMMYFUNCTION("""COMPUTED_VALUE"""),45863.6666666666)</f>
        <v>45863.6666666666</v>
      </c>
      <c r="J87" s="17">
        <f>IFERROR(__xludf.DUMMYFUNCTION("""COMPUTED_VALUE"""),17.25)</f>
        <v>17.25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IFERROR(__xludf.DUMMYFUNCTION("""COMPUTED_VALUE"""),45866.6666666666)</f>
        <v>45866.6666666666</v>
      </c>
      <c r="B88" s="17">
        <f>IFERROR(__xludf.DUMMYFUNCTION("""COMPUTED_VALUE"""),17.16)</f>
        <v>17.16</v>
      </c>
      <c r="C88" s="16">
        <f>IFERROR(__xludf.DUMMYFUNCTION("""COMPUTED_VALUE"""),45866.6666666666)</f>
        <v>45866.6666666666</v>
      </c>
      <c r="D88" s="17">
        <f>IFERROR(__xludf.DUMMYFUNCTION("""COMPUTED_VALUE"""),17.32)</f>
        <v>17.32</v>
      </c>
      <c r="E88" s="16">
        <f>IFERROR(__xludf.DUMMYFUNCTION("""COMPUTED_VALUE"""),45866.6666666666)</f>
        <v>45866.6666666666</v>
      </c>
      <c r="F88" s="17">
        <f>IFERROR(__xludf.DUMMYFUNCTION("""COMPUTED_VALUE"""),21715441)</f>
        <v>21715441</v>
      </c>
      <c r="G88" s="16">
        <f>IFERROR(__xludf.DUMMYFUNCTION("""COMPUTED_VALUE"""),45866.6666666666)</f>
        <v>45866.6666666666</v>
      </c>
      <c r="H88" s="17">
        <f>IFERROR(__xludf.DUMMYFUNCTION("""COMPUTED_VALUE"""),17.34)</f>
        <v>17.34</v>
      </c>
      <c r="I88" s="16">
        <f>IFERROR(__xludf.DUMMYFUNCTION("""COMPUTED_VALUE"""),45866.6666666666)</f>
        <v>45866.6666666666</v>
      </c>
      <c r="J88" s="17">
        <f>IFERROR(__xludf.DUMMYFUNCTION("""COMPUTED_VALUE"""),17.06)</f>
        <v>17.06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IFERROR(__xludf.DUMMYFUNCTION("""COMPUTED_VALUE"""),45867.6666666666)</f>
        <v>45867.6666666666</v>
      </c>
      <c r="B89" s="17">
        <f>IFERROR(__xludf.DUMMYFUNCTION("""COMPUTED_VALUE"""),17.21)</f>
        <v>17.21</v>
      </c>
      <c r="C89" s="16">
        <f>IFERROR(__xludf.DUMMYFUNCTION("""COMPUTED_VALUE"""),45867.6666666666)</f>
        <v>45867.6666666666</v>
      </c>
      <c r="D89" s="17">
        <f>IFERROR(__xludf.DUMMYFUNCTION("""COMPUTED_VALUE"""),17.28)</f>
        <v>17.28</v>
      </c>
      <c r="E89" s="16">
        <f>IFERROR(__xludf.DUMMYFUNCTION("""COMPUTED_VALUE"""),45867.6666666666)</f>
        <v>45867.6666666666</v>
      </c>
      <c r="F89" s="17">
        <f>IFERROR(__xludf.DUMMYFUNCTION("""COMPUTED_VALUE"""),11563738)</f>
        <v>11563738</v>
      </c>
      <c r="G89" s="16">
        <f>IFERROR(__xludf.DUMMYFUNCTION("""COMPUTED_VALUE"""),45867.6666666666)</f>
        <v>45867.6666666666</v>
      </c>
      <c r="H89" s="17">
        <f>IFERROR(__xludf.DUMMYFUNCTION("""COMPUTED_VALUE"""),17.29)</f>
        <v>17.29</v>
      </c>
      <c r="I89" s="16">
        <f>IFERROR(__xludf.DUMMYFUNCTION("""COMPUTED_VALUE"""),45867.6666666666)</f>
        <v>45867.6666666666</v>
      </c>
      <c r="J89" s="17">
        <f>IFERROR(__xludf.DUMMYFUNCTION("""COMPUTED_VALUE"""),17.11)</f>
        <v>17.11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IFERROR(__xludf.DUMMYFUNCTION("""COMPUTED_VALUE"""),45868.6666666666)</f>
        <v>45868.6666666666</v>
      </c>
      <c r="B90" s="17">
        <f>IFERROR(__xludf.DUMMYFUNCTION("""COMPUTED_VALUE"""),16.95)</f>
        <v>16.95</v>
      </c>
      <c r="C90" s="16">
        <f>IFERROR(__xludf.DUMMYFUNCTION("""COMPUTED_VALUE"""),45868.6666666666)</f>
        <v>45868.6666666666</v>
      </c>
      <c r="D90" s="17">
        <f>IFERROR(__xludf.DUMMYFUNCTION("""COMPUTED_VALUE"""),17.12)</f>
        <v>17.12</v>
      </c>
      <c r="E90" s="16">
        <f>IFERROR(__xludf.DUMMYFUNCTION("""COMPUTED_VALUE"""),45868.6666666666)</f>
        <v>45868.6666666666</v>
      </c>
      <c r="F90" s="17">
        <f>IFERROR(__xludf.DUMMYFUNCTION("""COMPUTED_VALUE"""),13279144)</f>
        <v>13279144</v>
      </c>
      <c r="G90" s="16">
        <f>IFERROR(__xludf.DUMMYFUNCTION("""COMPUTED_VALUE"""),45868.6666666666)</f>
        <v>45868.6666666666</v>
      </c>
      <c r="H90" s="17">
        <f>IFERROR(__xludf.DUMMYFUNCTION("""COMPUTED_VALUE"""),17.13)</f>
        <v>17.13</v>
      </c>
      <c r="I90" s="16">
        <f>IFERROR(__xludf.DUMMYFUNCTION("""COMPUTED_VALUE"""),45868.6666666666)</f>
        <v>45868.6666666666</v>
      </c>
      <c r="J90" s="17">
        <f>IFERROR(__xludf.DUMMYFUNCTION("""COMPUTED_VALUE"""),16.89)</f>
        <v>16.89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IFERROR(__xludf.DUMMYFUNCTION("""COMPUTED_VALUE"""),45869.6666666666)</f>
        <v>45869.6666666666</v>
      </c>
      <c r="B91" s="17">
        <f>IFERROR(__xludf.DUMMYFUNCTION("""COMPUTED_VALUE"""),16.72)</f>
        <v>16.72</v>
      </c>
      <c r="C91" s="16">
        <f>IFERROR(__xludf.DUMMYFUNCTION("""COMPUTED_VALUE"""),45869.6666666666)</f>
        <v>45869.6666666666</v>
      </c>
      <c r="D91" s="17">
        <f>IFERROR(__xludf.DUMMYFUNCTION("""COMPUTED_VALUE"""),17.01)</f>
        <v>17.01</v>
      </c>
      <c r="E91" s="16">
        <f>IFERROR(__xludf.DUMMYFUNCTION("""COMPUTED_VALUE"""),45869.6666666666)</f>
        <v>45869.6666666666</v>
      </c>
      <c r="F91" s="17">
        <f>IFERROR(__xludf.DUMMYFUNCTION("""COMPUTED_VALUE"""),15926444)</f>
        <v>15926444</v>
      </c>
      <c r="G91" s="16">
        <f>IFERROR(__xludf.DUMMYFUNCTION("""COMPUTED_VALUE"""),45869.6666666666)</f>
        <v>45869.6666666666</v>
      </c>
      <c r="H91" s="17">
        <f>IFERROR(__xludf.DUMMYFUNCTION("""COMPUTED_VALUE"""),17.02)</f>
        <v>17.02</v>
      </c>
      <c r="I91" s="16">
        <f>IFERROR(__xludf.DUMMYFUNCTION("""COMPUTED_VALUE"""),45869.6666666666)</f>
        <v>45869.6666666666</v>
      </c>
      <c r="J91" s="17">
        <f>IFERROR(__xludf.DUMMYFUNCTION("""COMPUTED_VALUE"""),16.71)</f>
        <v>16.71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IFERROR(__xludf.DUMMYFUNCTION("""COMPUTED_VALUE"""),45870.6666666666)</f>
        <v>45870.6666666666</v>
      </c>
      <c r="B92" s="17">
        <f>IFERROR(__xludf.DUMMYFUNCTION("""COMPUTED_VALUE"""),16.41)</f>
        <v>16.41</v>
      </c>
      <c r="C92" s="16">
        <f>IFERROR(__xludf.DUMMYFUNCTION("""COMPUTED_VALUE"""),45870.6666666666)</f>
        <v>45870.6666666666</v>
      </c>
      <c r="D92" s="17">
        <f>IFERROR(__xludf.DUMMYFUNCTION("""COMPUTED_VALUE"""),16.65)</f>
        <v>16.65</v>
      </c>
      <c r="E92" s="16">
        <f>IFERROR(__xludf.DUMMYFUNCTION("""COMPUTED_VALUE"""),45870.6666666666)</f>
        <v>45870.6666666666</v>
      </c>
      <c r="F92" s="17">
        <f>IFERROR(__xludf.DUMMYFUNCTION("""COMPUTED_VALUE"""),20078427)</f>
        <v>20078427</v>
      </c>
      <c r="G92" s="16">
        <f>IFERROR(__xludf.DUMMYFUNCTION("""COMPUTED_VALUE"""),45870.6666666666)</f>
        <v>45870.6666666666</v>
      </c>
      <c r="H92" s="17">
        <f>IFERROR(__xludf.DUMMYFUNCTION("""COMPUTED_VALUE"""),16.65)</f>
        <v>16.65</v>
      </c>
      <c r="I92" s="16">
        <f>IFERROR(__xludf.DUMMYFUNCTION("""COMPUTED_VALUE"""),45870.6666666666)</f>
        <v>45870.6666666666</v>
      </c>
      <c r="J92" s="17">
        <f>IFERROR(__xludf.DUMMYFUNCTION("""COMPUTED_VALUE"""),16.37)</f>
        <v>16.37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IFERROR(__xludf.DUMMYFUNCTION("""COMPUTED_VALUE"""),45873.6666666666)</f>
        <v>45873.6666666666</v>
      </c>
      <c r="B93" s="17">
        <f>IFERROR(__xludf.DUMMYFUNCTION("""COMPUTED_VALUE"""),16.48)</f>
        <v>16.48</v>
      </c>
      <c r="C93" s="16">
        <f>IFERROR(__xludf.DUMMYFUNCTION("""COMPUTED_VALUE"""),45873.6666666666)</f>
        <v>45873.6666666666</v>
      </c>
      <c r="D93" s="17">
        <f>IFERROR(__xludf.DUMMYFUNCTION("""COMPUTED_VALUE"""),16.55)</f>
        <v>16.55</v>
      </c>
      <c r="E93" s="16">
        <f>IFERROR(__xludf.DUMMYFUNCTION("""COMPUTED_VALUE"""),45873.6666666666)</f>
        <v>45873.6666666666</v>
      </c>
      <c r="F93" s="17">
        <f>IFERROR(__xludf.DUMMYFUNCTION("""COMPUTED_VALUE"""),18306007)</f>
        <v>18306007</v>
      </c>
      <c r="G93" s="16">
        <f>IFERROR(__xludf.DUMMYFUNCTION("""COMPUTED_VALUE"""),45873.6666666666)</f>
        <v>45873.6666666666</v>
      </c>
      <c r="H93" s="17">
        <f>IFERROR(__xludf.DUMMYFUNCTION("""COMPUTED_VALUE"""),16.68)</f>
        <v>16.68</v>
      </c>
      <c r="I93" s="16">
        <f>IFERROR(__xludf.DUMMYFUNCTION("""COMPUTED_VALUE"""),45873.6666666666)</f>
        <v>45873.6666666666</v>
      </c>
      <c r="J93" s="17">
        <f>IFERROR(__xludf.DUMMYFUNCTION("""COMPUTED_VALUE"""),16.44)</f>
        <v>16.44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IFERROR(__xludf.DUMMYFUNCTION("""COMPUTED_VALUE"""),45874.6666666666)</f>
        <v>45874.6666666666</v>
      </c>
      <c r="B94" s="17">
        <f>IFERROR(__xludf.DUMMYFUNCTION("""COMPUTED_VALUE"""),16.2)</f>
        <v>16.2</v>
      </c>
      <c r="C94" s="16">
        <f>IFERROR(__xludf.DUMMYFUNCTION("""COMPUTED_VALUE"""),45874.6666666666)</f>
        <v>45874.6666666666</v>
      </c>
      <c r="D94" s="17">
        <f>IFERROR(__xludf.DUMMYFUNCTION("""COMPUTED_VALUE"""),16.47)</f>
        <v>16.47</v>
      </c>
      <c r="E94" s="16">
        <f>IFERROR(__xludf.DUMMYFUNCTION("""COMPUTED_VALUE"""),45874.6666666666)</f>
        <v>45874.6666666666</v>
      </c>
      <c r="F94" s="17">
        <f>IFERROR(__xludf.DUMMYFUNCTION("""COMPUTED_VALUE"""),22539895)</f>
        <v>22539895</v>
      </c>
      <c r="G94" s="16">
        <f>IFERROR(__xludf.DUMMYFUNCTION("""COMPUTED_VALUE"""),45874.6666666666)</f>
        <v>45874.6666666666</v>
      </c>
      <c r="H94" s="17">
        <f>IFERROR(__xludf.DUMMYFUNCTION("""COMPUTED_VALUE"""),16.49)</f>
        <v>16.49</v>
      </c>
      <c r="I94" s="16">
        <f>IFERROR(__xludf.DUMMYFUNCTION("""COMPUTED_VALUE"""),45874.6666666666)</f>
        <v>45874.6666666666</v>
      </c>
      <c r="J94" s="17">
        <f>IFERROR(__xludf.DUMMYFUNCTION("""COMPUTED_VALUE"""),16.19)</f>
        <v>16.19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IFERROR(__xludf.DUMMYFUNCTION("""COMPUTED_VALUE"""),45875.6666666666)</f>
        <v>45875.6666666666</v>
      </c>
      <c r="B95" s="17">
        <f>IFERROR(__xludf.DUMMYFUNCTION("""COMPUTED_VALUE"""),16.07)</f>
        <v>16.07</v>
      </c>
      <c r="C95" s="16">
        <f>IFERROR(__xludf.DUMMYFUNCTION("""COMPUTED_VALUE"""),45875.6666666666)</f>
        <v>45875.6666666666</v>
      </c>
      <c r="D95" s="17">
        <f>IFERROR(__xludf.DUMMYFUNCTION("""COMPUTED_VALUE"""),16.14)</f>
        <v>16.14</v>
      </c>
      <c r="E95" s="16">
        <f>IFERROR(__xludf.DUMMYFUNCTION("""COMPUTED_VALUE"""),45875.6666666666)</f>
        <v>45875.6666666666</v>
      </c>
      <c r="F95" s="17">
        <f>IFERROR(__xludf.DUMMYFUNCTION("""COMPUTED_VALUE"""),16992590)</f>
        <v>16992590</v>
      </c>
      <c r="G95" s="16">
        <f>IFERROR(__xludf.DUMMYFUNCTION("""COMPUTED_VALUE"""),45875.6666666666)</f>
        <v>45875.6666666666</v>
      </c>
      <c r="H95" s="17">
        <f>IFERROR(__xludf.DUMMYFUNCTION("""COMPUTED_VALUE"""),16.19)</f>
        <v>16.19</v>
      </c>
      <c r="I95" s="16">
        <f>IFERROR(__xludf.DUMMYFUNCTION("""COMPUTED_VALUE"""),45875.6666666666)</f>
        <v>45875.6666666666</v>
      </c>
      <c r="J95" s="17">
        <f>IFERROR(__xludf.DUMMYFUNCTION("""COMPUTED_VALUE"""),15.97)</f>
        <v>15.97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IFERROR(__xludf.DUMMYFUNCTION("""COMPUTED_VALUE"""),45876.6666666666)</f>
        <v>45876.6666666666</v>
      </c>
      <c r="B96" s="17">
        <f>IFERROR(__xludf.DUMMYFUNCTION("""COMPUTED_VALUE"""),16.02)</f>
        <v>16.02</v>
      </c>
      <c r="C96" s="16">
        <f>IFERROR(__xludf.DUMMYFUNCTION("""COMPUTED_VALUE"""),45876.6666666666)</f>
        <v>45876.6666666666</v>
      </c>
      <c r="D96" s="17">
        <f>IFERROR(__xludf.DUMMYFUNCTION("""COMPUTED_VALUE"""),16.17)</f>
        <v>16.17</v>
      </c>
      <c r="E96" s="16">
        <f>IFERROR(__xludf.DUMMYFUNCTION("""COMPUTED_VALUE"""),45876.6666666666)</f>
        <v>45876.6666666666</v>
      </c>
      <c r="F96" s="17">
        <f>IFERROR(__xludf.DUMMYFUNCTION("""COMPUTED_VALUE"""),19616576)</f>
        <v>19616576</v>
      </c>
      <c r="G96" s="16">
        <f>IFERROR(__xludf.DUMMYFUNCTION("""COMPUTED_VALUE"""),45876.6666666666)</f>
        <v>45876.6666666666</v>
      </c>
      <c r="H96" s="17">
        <f>IFERROR(__xludf.DUMMYFUNCTION("""COMPUTED_VALUE"""),16.33)</f>
        <v>16.33</v>
      </c>
      <c r="I96" s="16">
        <f>IFERROR(__xludf.DUMMYFUNCTION("""COMPUTED_VALUE"""),45876.6666666666)</f>
        <v>45876.6666666666</v>
      </c>
      <c r="J96" s="17">
        <f>IFERROR(__xludf.DUMMYFUNCTION("""COMPUTED_VALUE"""),15.98)</f>
        <v>15.98</v>
      </c>
      <c r="K96" s="3">
        <f t="shared" si="2"/>
        <v>0</v>
      </c>
      <c r="L96" s="3">
        <f t="shared" si="3"/>
        <v>0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IFERROR(__xludf.DUMMYFUNCTION("""COMPUTED_VALUE"""),45877.6666666666)</f>
        <v>45877.6666666666</v>
      </c>
      <c r="B97" s="17">
        <f>IFERROR(__xludf.DUMMYFUNCTION("""COMPUTED_VALUE"""),15.99)</f>
        <v>15.99</v>
      </c>
      <c r="C97" s="16">
        <f>IFERROR(__xludf.DUMMYFUNCTION("""COMPUTED_VALUE"""),45877.6666666666)</f>
        <v>45877.6666666666</v>
      </c>
      <c r="D97" s="17">
        <f>IFERROR(__xludf.DUMMYFUNCTION("""COMPUTED_VALUE"""),16.09)</f>
        <v>16.09</v>
      </c>
      <c r="E97" s="16">
        <f>IFERROR(__xludf.DUMMYFUNCTION("""COMPUTED_VALUE"""),45877.6666666666)</f>
        <v>45877.6666666666</v>
      </c>
      <c r="F97" s="17">
        <f>IFERROR(__xludf.DUMMYFUNCTION("""COMPUTED_VALUE"""),13909877)</f>
        <v>13909877</v>
      </c>
      <c r="G97" s="16">
        <f>IFERROR(__xludf.DUMMYFUNCTION("""COMPUTED_VALUE"""),45877.6666666666)</f>
        <v>45877.6666666666</v>
      </c>
      <c r="H97" s="17">
        <f>IFERROR(__xludf.DUMMYFUNCTION("""COMPUTED_VALUE"""),16.12)</f>
        <v>16.12</v>
      </c>
      <c r="I97" s="16">
        <f>IFERROR(__xludf.DUMMYFUNCTION("""COMPUTED_VALUE"""),45877.6666666666)</f>
        <v>45877.6666666666</v>
      </c>
      <c r="J97" s="17">
        <f>IFERROR(__xludf.DUMMYFUNCTION("""COMPUTED_VALUE"""),15.96)</f>
        <v>15.96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IFERROR(__xludf.DUMMYFUNCTION("""COMPUTED_VALUE"""),45880.6666666666)</f>
        <v>45880.6666666666</v>
      </c>
      <c r="B98" s="17">
        <f>IFERROR(__xludf.DUMMYFUNCTION("""COMPUTED_VALUE"""),15.98)</f>
        <v>15.98</v>
      </c>
      <c r="C98" s="16">
        <f>IFERROR(__xludf.DUMMYFUNCTION("""COMPUTED_VALUE"""),45880.6666666666)</f>
        <v>45880.6666666666</v>
      </c>
      <c r="D98" s="17">
        <f>IFERROR(__xludf.DUMMYFUNCTION("""COMPUTED_VALUE"""),15.99)</f>
        <v>15.99</v>
      </c>
      <c r="E98" s="16">
        <f>IFERROR(__xludf.DUMMYFUNCTION("""COMPUTED_VALUE"""),45880.6666666666)</f>
        <v>45880.6666666666</v>
      </c>
      <c r="F98" s="17">
        <f>IFERROR(__xludf.DUMMYFUNCTION("""COMPUTED_VALUE"""),20161776)</f>
        <v>20161776</v>
      </c>
      <c r="G98" s="16">
        <f>IFERROR(__xludf.DUMMYFUNCTION("""COMPUTED_VALUE"""),45880.6666666666)</f>
        <v>45880.6666666666</v>
      </c>
      <c r="H98" s="17">
        <f>IFERROR(__xludf.DUMMYFUNCTION("""COMPUTED_VALUE"""),16.17)</f>
        <v>16.17</v>
      </c>
      <c r="I98" s="16">
        <f>IFERROR(__xludf.DUMMYFUNCTION("""COMPUTED_VALUE"""),45880.6666666666)</f>
        <v>45880.6666666666</v>
      </c>
      <c r="J98" s="17">
        <f>IFERROR(__xludf.DUMMYFUNCTION("""COMPUTED_VALUE"""),15.92)</f>
        <v>15.92</v>
      </c>
      <c r="K98" s="3">
        <f t="shared" si="2"/>
        <v>0</v>
      </c>
      <c r="L98" s="3">
        <f t="shared" si="3"/>
        <v>15.98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IFERROR(__xludf.DUMMYFUNCTION("""COMPUTED_VALUE"""),45881.6666666666)</f>
        <v>45881.6666666666</v>
      </c>
      <c r="B99" s="17">
        <f>IFERROR(__xludf.DUMMYFUNCTION("""COMPUTED_VALUE"""),16.07)</f>
        <v>16.07</v>
      </c>
      <c r="C99" s="16">
        <f>IFERROR(__xludf.DUMMYFUNCTION("""COMPUTED_VALUE"""),45881.6666666666)</f>
        <v>45881.6666666666</v>
      </c>
      <c r="D99" s="17">
        <f>IFERROR(__xludf.DUMMYFUNCTION("""COMPUTED_VALUE"""),16.05)</f>
        <v>16.05</v>
      </c>
      <c r="E99" s="16">
        <f>IFERROR(__xludf.DUMMYFUNCTION("""COMPUTED_VALUE"""),45881.6666666666)</f>
        <v>45881.6666666666</v>
      </c>
      <c r="F99" s="17">
        <f>IFERROR(__xludf.DUMMYFUNCTION("""COMPUTED_VALUE"""),18403233)</f>
        <v>18403233</v>
      </c>
      <c r="G99" s="16">
        <f>IFERROR(__xludf.DUMMYFUNCTION("""COMPUTED_VALUE"""),45881.6666666666)</f>
        <v>45881.6666666666</v>
      </c>
      <c r="H99" s="17">
        <f>IFERROR(__xludf.DUMMYFUNCTION("""COMPUTED_VALUE"""),16.12)</f>
        <v>16.12</v>
      </c>
      <c r="I99" s="16">
        <f>IFERROR(__xludf.DUMMYFUNCTION("""COMPUTED_VALUE"""),45881.6666666666)</f>
        <v>45881.6666666666</v>
      </c>
      <c r="J99" s="17">
        <f>IFERROR(__xludf.DUMMYFUNCTION("""COMPUTED_VALUE"""),15.91)</f>
        <v>15.91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IFERROR(__xludf.DUMMYFUNCTION("""COMPUTED_VALUE"""),45882.6666666666)</f>
        <v>45882.6666666666</v>
      </c>
      <c r="B100" s="17">
        <f>IFERROR(__xludf.DUMMYFUNCTION("""COMPUTED_VALUE"""),16.38)</f>
        <v>16.38</v>
      </c>
      <c r="C100" s="16">
        <f>IFERROR(__xludf.DUMMYFUNCTION("""COMPUTED_VALUE"""),45882.6666666666)</f>
        <v>45882.6666666666</v>
      </c>
      <c r="D100" s="17">
        <f>IFERROR(__xludf.DUMMYFUNCTION("""COMPUTED_VALUE"""),16.14)</f>
        <v>16.14</v>
      </c>
      <c r="E100" s="16">
        <f>IFERROR(__xludf.DUMMYFUNCTION("""COMPUTED_VALUE"""),45882.6666666666)</f>
        <v>45882.6666666666</v>
      </c>
      <c r="F100" s="17">
        <f>IFERROR(__xludf.DUMMYFUNCTION("""COMPUTED_VALUE"""),27608682)</f>
        <v>27608682</v>
      </c>
      <c r="G100" s="16">
        <f>IFERROR(__xludf.DUMMYFUNCTION("""COMPUTED_VALUE"""),45882.6666666666)</f>
        <v>45882.6666666666</v>
      </c>
      <c r="H100" s="17">
        <f>IFERROR(__xludf.DUMMYFUNCTION("""COMPUTED_VALUE"""),16.42)</f>
        <v>16.42</v>
      </c>
      <c r="I100" s="16">
        <f>IFERROR(__xludf.DUMMYFUNCTION("""COMPUTED_VALUE"""),45882.6666666666)</f>
        <v>45882.6666666666</v>
      </c>
      <c r="J100" s="17">
        <f>IFERROR(__xludf.DUMMYFUNCTION("""COMPUTED_VALUE"""),16.08)</f>
        <v>16.08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IFERROR(__xludf.DUMMYFUNCTION("""COMPUTED_VALUE"""),45883.6666666666)</f>
        <v>45883.6666666666</v>
      </c>
      <c r="B101" s="17">
        <f>IFERROR(__xludf.DUMMYFUNCTION("""COMPUTED_VALUE"""),16.36)</f>
        <v>16.36</v>
      </c>
      <c r="C101" s="16">
        <f>IFERROR(__xludf.DUMMYFUNCTION("""COMPUTED_VALUE"""),45883.6666666666)</f>
        <v>45883.6666666666</v>
      </c>
      <c r="D101" s="17">
        <f>IFERROR(__xludf.DUMMYFUNCTION("""COMPUTED_VALUE"""),16.33)</f>
        <v>16.33</v>
      </c>
      <c r="E101" s="16">
        <f>IFERROR(__xludf.DUMMYFUNCTION("""COMPUTED_VALUE"""),45883.6666666666)</f>
        <v>45883.6666666666</v>
      </c>
      <c r="F101" s="17">
        <f>IFERROR(__xludf.DUMMYFUNCTION("""COMPUTED_VALUE"""),18675523)</f>
        <v>18675523</v>
      </c>
      <c r="G101" s="16">
        <f>IFERROR(__xludf.DUMMYFUNCTION("""COMPUTED_VALUE"""),45883.6666666666)</f>
        <v>45883.6666666666</v>
      </c>
      <c r="H101" s="17">
        <f>IFERROR(__xludf.DUMMYFUNCTION("""COMPUTED_VALUE"""),16.41)</f>
        <v>16.41</v>
      </c>
      <c r="I101" s="16">
        <f>IFERROR(__xludf.DUMMYFUNCTION("""COMPUTED_VALUE"""),45883.6666666666)</f>
        <v>45883.6666666666</v>
      </c>
      <c r="J101" s="17">
        <f>IFERROR(__xludf.DUMMYFUNCTION("""COMPUTED_VALUE"""),16.11)</f>
        <v>16.11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IFERROR(__xludf.DUMMYFUNCTION("""COMPUTED_VALUE"""),45884.6666666666)</f>
        <v>45884.6666666666</v>
      </c>
      <c r="B102" s="17">
        <f>IFERROR(__xludf.DUMMYFUNCTION("""COMPUTED_VALUE"""),16.56)</f>
        <v>16.56</v>
      </c>
      <c r="C102" s="16">
        <f>IFERROR(__xludf.DUMMYFUNCTION("""COMPUTED_VALUE"""),45884.6666666666)</f>
        <v>45884.6666666666</v>
      </c>
      <c r="D102" s="17">
        <f>IFERROR(__xludf.DUMMYFUNCTION("""COMPUTED_VALUE"""),16.4)</f>
        <v>16.4</v>
      </c>
      <c r="E102" s="16">
        <f>IFERROR(__xludf.DUMMYFUNCTION("""COMPUTED_VALUE"""),45884.6666666666)</f>
        <v>45884.6666666666</v>
      </c>
      <c r="F102" s="17">
        <f>IFERROR(__xludf.DUMMYFUNCTION("""COMPUTED_VALUE"""),9001135)</f>
        <v>9001135</v>
      </c>
      <c r="G102" s="16">
        <f>IFERROR(__xludf.DUMMYFUNCTION("""COMPUTED_VALUE"""),45884.6666666666)</f>
        <v>45884.6666666666</v>
      </c>
      <c r="H102" s="17">
        <f>IFERROR(__xludf.DUMMYFUNCTION("""COMPUTED_VALUE"""),16.66)</f>
        <v>16.66</v>
      </c>
      <c r="I102" s="16">
        <f>IFERROR(__xludf.DUMMYFUNCTION("""COMPUTED_VALUE"""),45884.6666666666)</f>
        <v>45884.6666666666</v>
      </c>
      <c r="J102" s="17">
        <f>IFERROR(__xludf.DUMMYFUNCTION("""COMPUTED_VALUE"""),16.4)</f>
        <v>16.4</v>
      </c>
      <c r="K102" s="3">
        <f t="shared" si="2"/>
        <v>0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IFERROR(__xludf.DUMMYFUNCTION("""COMPUTED_VALUE"""),45887.6666666666)</f>
        <v>45887.6666666666</v>
      </c>
      <c r="B103" s="17">
        <f>IFERROR(__xludf.DUMMYFUNCTION("""COMPUTED_VALUE"""),16.41)</f>
        <v>16.41</v>
      </c>
      <c r="C103" s="16">
        <f>IFERROR(__xludf.DUMMYFUNCTION("""COMPUTED_VALUE"""),45887.6666666666)</f>
        <v>45887.6666666666</v>
      </c>
      <c r="D103" s="17">
        <f>IFERROR(__xludf.DUMMYFUNCTION("""COMPUTED_VALUE"""),16.36)</f>
        <v>16.36</v>
      </c>
      <c r="E103" s="16">
        <f>IFERROR(__xludf.DUMMYFUNCTION("""COMPUTED_VALUE"""),45887.6666666666)</f>
        <v>45887.6666666666</v>
      </c>
      <c r="F103" s="17">
        <f>IFERROR(__xludf.DUMMYFUNCTION("""COMPUTED_VALUE"""),11116238)</f>
        <v>11116238</v>
      </c>
      <c r="G103" s="16">
        <f>IFERROR(__xludf.DUMMYFUNCTION("""COMPUTED_VALUE"""),45887.6666666666)</f>
        <v>45887.6666666666</v>
      </c>
      <c r="H103" s="17">
        <f>IFERROR(__xludf.DUMMYFUNCTION("""COMPUTED_VALUE"""),16.43)</f>
        <v>16.43</v>
      </c>
      <c r="I103" s="16">
        <f>IFERROR(__xludf.DUMMYFUNCTION("""COMPUTED_VALUE"""),45887.6666666666)</f>
        <v>45887.6666666666</v>
      </c>
      <c r="J103" s="17">
        <f>IFERROR(__xludf.DUMMYFUNCTION("""COMPUTED_VALUE"""),16.26)</f>
        <v>16.26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IFERROR(__xludf.DUMMYFUNCTION("""COMPUTED_VALUE"""),45888.6666666666)</f>
        <v>45888.6666666666</v>
      </c>
      <c r="B104" s="17">
        <f>IFERROR(__xludf.DUMMYFUNCTION("""COMPUTED_VALUE"""),16.6)</f>
        <v>16.6</v>
      </c>
      <c r="C104" s="16">
        <f>IFERROR(__xludf.DUMMYFUNCTION("""COMPUTED_VALUE"""),45888.6666666666)</f>
        <v>45888.6666666666</v>
      </c>
      <c r="D104" s="17">
        <f>IFERROR(__xludf.DUMMYFUNCTION("""COMPUTED_VALUE"""),16.48)</f>
        <v>16.48</v>
      </c>
      <c r="E104" s="16">
        <f>IFERROR(__xludf.DUMMYFUNCTION("""COMPUTED_VALUE"""),45888.6666666666)</f>
        <v>45888.6666666666</v>
      </c>
      <c r="F104" s="17">
        <f>IFERROR(__xludf.DUMMYFUNCTION("""COMPUTED_VALUE"""),18923314)</f>
        <v>18923314</v>
      </c>
      <c r="G104" s="16">
        <f>IFERROR(__xludf.DUMMYFUNCTION("""COMPUTED_VALUE"""),45888.6666666666)</f>
        <v>45888.6666666666</v>
      </c>
      <c r="H104" s="17">
        <f>IFERROR(__xludf.DUMMYFUNCTION("""COMPUTED_VALUE"""),16.68)</f>
        <v>16.68</v>
      </c>
      <c r="I104" s="16">
        <f>IFERROR(__xludf.DUMMYFUNCTION("""COMPUTED_VALUE"""),45888.6666666666)</f>
        <v>45888.6666666666</v>
      </c>
      <c r="J104" s="17">
        <f>IFERROR(__xludf.DUMMYFUNCTION("""COMPUTED_VALUE"""),16.46)</f>
        <v>16.46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IFERROR(__xludf.DUMMYFUNCTION("""COMPUTED_VALUE"""),45889.6666666666)</f>
        <v>45889.6666666666</v>
      </c>
      <c r="B105" s="17">
        <f>IFERROR(__xludf.DUMMYFUNCTION("""COMPUTED_VALUE"""),17.01)</f>
        <v>17.01</v>
      </c>
      <c r="C105" s="16">
        <f>IFERROR(__xludf.DUMMYFUNCTION("""COMPUTED_VALUE"""),45889.6666666666)</f>
        <v>45889.6666666666</v>
      </c>
      <c r="D105" s="17">
        <f>IFERROR(__xludf.DUMMYFUNCTION("""COMPUTED_VALUE"""),17.07)</f>
        <v>17.07</v>
      </c>
      <c r="E105" s="16">
        <f>IFERROR(__xludf.DUMMYFUNCTION("""COMPUTED_VALUE"""),45889.6666666666)</f>
        <v>45889.6666666666</v>
      </c>
      <c r="F105" s="17">
        <f>IFERROR(__xludf.DUMMYFUNCTION("""COMPUTED_VALUE"""),22949880)</f>
        <v>22949880</v>
      </c>
      <c r="G105" s="16">
        <f>IFERROR(__xludf.DUMMYFUNCTION("""COMPUTED_VALUE"""),45889.6666666666)</f>
        <v>45889.6666666666</v>
      </c>
      <c r="H105" s="17">
        <f>IFERROR(__xludf.DUMMYFUNCTION("""COMPUTED_VALUE"""),17.19)</f>
        <v>17.19</v>
      </c>
      <c r="I105" s="16">
        <f>IFERROR(__xludf.DUMMYFUNCTION("""COMPUTED_VALUE"""),45889.6666666666)</f>
        <v>45889.6666666666</v>
      </c>
      <c r="J105" s="17">
        <f>IFERROR(__xludf.DUMMYFUNCTION("""COMPUTED_VALUE"""),16.97)</f>
        <v>16.97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IFERROR(__xludf.DUMMYFUNCTION("""COMPUTED_VALUE"""),45890.6666666666)</f>
        <v>45890.6666666666</v>
      </c>
      <c r="B106" s="17">
        <f>IFERROR(__xludf.DUMMYFUNCTION("""COMPUTED_VALUE"""),17.05)</f>
        <v>17.05</v>
      </c>
      <c r="C106" s="16">
        <f>IFERROR(__xludf.DUMMYFUNCTION("""COMPUTED_VALUE"""),45890.6666666666)</f>
        <v>45890.6666666666</v>
      </c>
      <c r="D106" s="17">
        <f>IFERROR(__xludf.DUMMYFUNCTION("""COMPUTED_VALUE"""),16.91)</f>
        <v>16.91</v>
      </c>
      <c r="E106" s="16">
        <f>IFERROR(__xludf.DUMMYFUNCTION("""COMPUTED_VALUE"""),45890.6666666666)</f>
        <v>45890.6666666666</v>
      </c>
      <c r="F106" s="17">
        <f>IFERROR(__xludf.DUMMYFUNCTION("""COMPUTED_VALUE"""),19974125)</f>
        <v>19974125</v>
      </c>
      <c r="G106" s="16">
        <f>IFERROR(__xludf.DUMMYFUNCTION("""COMPUTED_VALUE"""),45890.6666666666)</f>
        <v>45890.6666666666</v>
      </c>
      <c r="H106" s="17">
        <f>IFERROR(__xludf.DUMMYFUNCTION("""COMPUTED_VALUE"""),17.06)</f>
        <v>17.06</v>
      </c>
      <c r="I106" s="16">
        <f>IFERROR(__xludf.DUMMYFUNCTION("""COMPUTED_VALUE"""),45890.6666666666)</f>
        <v>45890.6666666666</v>
      </c>
      <c r="J106" s="17">
        <f>IFERROR(__xludf.DUMMYFUNCTION("""COMPUTED_VALUE"""),16.89)</f>
        <v>16.89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IFERROR(__xludf.DUMMYFUNCTION("""COMPUTED_VALUE"""),45891.6666666666)</f>
        <v>45891.6666666666</v>
      </c>
      <c r="B107" s="17">
        <f>IFERROR(__xludf.DUMMYFUNCTION("""COMPUTED_VALUE"""),17.34)</f>
        <v>17.34</v>
      </c>
      <c r="C107" s="16">
        <f>IFERROR(__xludf.DUMMYFUNCTION("""COMPUTED_VALUE"""),45891.6666666666)</f>
        <v>45891.6666666666</v>
      </c>
      <c r="D107" s="17">
        <f>IFERROR(__xludf.DUMMYFUNCTION("""COMPUTED_VALUE"""),17)</f>
        <v>17</v>
      </c>
      <c r="E107" s="16">
        <f>IFERROR(__xludf.DUMMYFUNCTION("""COMPUTED_VALUE"""),45891.6666666666)</f>
        <v>45891.6666666666</v>
      </c>
      <c r="F107" s="17">
        <f>IFERROR(__xludf.DUMMYFUNCTION("""COMPUTED_VALUE"""),33953355)</f>
        <v>33953355</v>
      </c>
      <c r="G107" s="16">
        <f>IFERROR(__xludf.DUMMYFUNCTION("""COMPUTED_VALUE"""),45891.6666666666)</f>
        <v>45891.6666666666</v>
      </c>
      <c r="H107" s="17">
        <f>IFERROR(__xludf.DUMMYFUNCTION("""COMPUTED_VALUE"""),17.38)</f>
        <v>17.38</v>
      </c>
      <c r="I107" s="16">
        <f>IFERROR(__xludf.DUMMYFUNCTION("""COMPUTED_VALUE"""),45891.6666666666)</f>
        <v>45891.6666666666</v>
      </c>
      <c r="J107" s="17">
        <f>IFERROR(__xludf.DUMMYFUNCTION("""COMPUTED_VALUE"""),16.98)</f>
        <v>16.98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IFERROR(__xludf.DUMMYFUNCTION("""COMPUTED_VALUE"""),45894.6666666666)</f>
        <v>45894.6666666666</v>
      </c>
      <c r="B108" s="17">
        <f>IFERROR(__xludf.DUMMYFUNCTION("""COMPUTED_VALUE"""),17.33)</f>
        <v>17.33</v>
      </c>
      <c r="C108" s="16">
        <f>IFERROR(__xludf.DUMMYFUNCTION("""COMPUTED_VALUE"""),45894.6666666666)</f>
        <v>45894.6666666666</v>
      </c>
      <c r="D108" s="17">
        <f>IFERROR(__xludf.DUMMYFUNCTION("""COMPUTED_VALUE"""),17.43)</f>
        <v>17.43</v>
      </c>
      <c r="E108" s="16">
        <f>IFERROR(__xludf.DUMMYFUNCTION("""COMPUTED_VALUE"""),45894.6666666666)</f>
        <v>45894.6666666666</v>
      </c>
      <c r="F108" s="17">
        <f>IFERROR(__xludf.DUMMYFUNCTION("""COMPUTED_VALUE"""),17187396)</f>
        <v>17187396</v>
      </c>
      <c r="G108" s="16">
        <f>IFERROR(__xludf.DUMMYFUNCTION("""COMPUTED_VALUE"""),45894.6666666666)</f>
        <v>45894.6666666666</v>
      </c>
      <c r="H108" s="17">
        <f>IFERROR(__xludf.DUMMYFUNCTION("""COMPUTED_VALUE"""),17.45)</f>
        <v>17.45</v>
      </c>
      <c r="I108" s="16">
        <f>IFERROR(__xludf.DUMMYFUNCTION("""COMPUTED_VALUE"""),45894.6666666666)</f>
        <v>45894.6666666666</v>
      </c>
      <c r="J108" s="17">
        <f>IFERROR(__xludf.DUMMYFUNCTION("""COMPUTED_VALUE"""),17.3)</f>
        <v>17.3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IFERROR(__xludf.DUMMYFUNCTION("""COMPUTED_VALUE"""),45895.6666666666)</f>
        <v>45895.6666666666</v>
      </c>
      <c r="B109" s="17">
        <f>IFERROR(__xludf.DUMMYFUNCTION("""COMPUTED_VALUE"""),17.22)</f>
        <v>17.22</v>
      </c>
      <c r="C109" s="16">
        <f>IFERROR(__xludf.DUMMYFUNCTION("""COMPUTED_VALUE"""),45895.6666666666)</f>
        <v>45895.6666666666</v>
      </c>
      <c r="D109" s="17">
        <f>IFERROR(__xludf.DUMMYFUNCTION("""COMPUTED_VALUE"""),17.17)</f>
        <v>17.17</v>
      </c>
      <c r="E109" s="16">
        <f>IFERROR(__xludf.DUMMYFUNCTION("""COMPUTED_VALUE"""),45895.6666666666)</f>
        <v>45895.6666666666</v>
      </c>
      <c r="F109" s="17">
        <f>IFERROR(__xludf.DUMMYFUNCTION("""COMPUTED_VALUE"""),14770208)</f>
        <v>14770208</v>
      </c>
      <c r="G109" s="16">
        <f>IFERROR(__xludf.DUMMYFUNCTION("""COMPUTED_VALUE"""),45895.6666666666)</f>
        <v>45895.6666666666</v>
      </c>
      <c r="H109" s="17">
        <f>IFERROR(__xludf.DUMMYFUNCTION("""COMPUTED_VALUE"""),17.33)</f>
        <v>17.33</v>
      </c>
      <c r="I109" s="16">
        <f>IFERROR(__xludf.DUMMYFUNCTION("""COMPUTED_VALUE"""),45895.6666666666)</f>
        <v>45895.6666666666</v>
      </c>
      <c r="J109" s="17">
        <f>IFERROR(__xludf.DUMMYFUNCTION("""COMPUTED_VALUE"""),17.13)</f>
        <v>17.13</v>
      </c>
      <c r="K109" s="3">
        <f t="shared" si="2"/>
        <v>0</v>
      </c>
      <c r="L109" s="3">
        <f t="shared" si="3"/>
        <v>0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IFERROR(__xludf.DUMMYFUNCTION("""COMPUTED_VALUE"""),45896.6666666666)</f>
        <v>45896.6666666666</v>
      </c>
      <c r="B110" s="17">
        <f>IFERROR(__xludf.DUMMYFUNCTION("""COMPUTED_VALUE"""),17.36)</f>
        <v>17.36</v>
      </c>
      <c r="C110" s="16">
        <f>IFERROR(__xludf.DUMMYFUNCTION("""COMPUTED_VALUE"""),45896.6666666666)</f>
        <v>45896.6666666666</v>
      </c>
      <c r="D110" s="17">
        <f>IFERROR(__xludf.DUMMYFUNCTION("""COMPUTED_VALUE"""),17.23)</f>
        <v>17.23</v>
      </c>
      <c r="E110" s="16">
        <f>IFERROR(__xludf.DUMMYFUNCTION("""COMPUTED_VALUE"""),45896.6666666666)</f>
        <v>45896.6666666666</v>
      </c>
      <c r="F110" s="17">
        <f>IFERROR(__xludf.DUMMYFUNCTION("""COMPUTED_VALUE"""),10264959)</f>
        <v>10264959</v>
      </c>
      <c r="G110" s="16">
        <f>IFERROR(__xludf.DUMMYFUNCTION("""COMPUTED_VALUE"""),45896.6666666666)</f>
        <v>45896.6666666666</v>
      </c>
      <c r="H110" s="17">
        <f>IFERROR(__xludf.DUMMYFUNCTION("""COMPUTED_VALUE"""),17.39)</f>
        <v>17.39</v>
      </c>
      <c r="I110" s="16">
        <f>IFERROR(__xludf.DUMMYFUNCTION("""COMPUTED_VALUE"""),45896.6666666666)</f>
        <v>45896.6666666666</v>
      </c>
      <c r="J110" s="17">
        <f>IFERROR(__xludf.DUMMYFUNCTION("""COMPUTED_VALUE"""),17.16)</f>
        <v>17.16</v>
      </c>
      <c r="K110" s="3">
        <f t="shared" si="2"/>
        <v>17.36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IFERROR(__xludf.DUMMYFUNCTION("""COMPUTED_VALUE"""),45897.6666666666)</f>
        <v>45897.6666666666</v>
      </c>
      <c r="B111" s="17">
        <f>IFERROR(__xludf.DUMMYFUNCTION("""COMPUTED_VALUE"""),17)</f>
        <v>17</v>
      </c>
      <c r="C111" s="16">
        <f>IFERROR(__xludf.DUMMYFUNCTION("""COMPUTED_VALUE"""),45897.6666666666)</f>
        <v>45897.6666666666</v>
      </c>
      <c r="D111" s="17">
        <f>IFERROR(__xludf.DUMMYFUNCTION("""COMPUTED_VALUE"""),16.99)</f>
        <v>16.99</v>
      </c>
      <c r="E111" s="16">
        <f>IFERROR(__xludf.DUMMYFUNCTION("""COMPUTED_VALUE"""),45897.6666666666)</f>
        <v>45897.6666666666</v>
      </c>
      <c r="F111" s="17">
        <f>IFERROR(__xludf.DUMMYFUNCTION("""COMPUTED_VALUE"""),28336644)</f>
        <v>28336644</v>
      </c>
      <c r="G111" s="16">
        <f>IFERROR(__xludf.DUMMYFUNCTION("""COMPUTED_VALUE"""),45897.6666666666)</f>
        <v>45897.6666666666</v>
      </c>
      <c r="H111" s="17">
        <f>IFERROR(__xludf.DUMMYFUNCTION("""COMPUTED_VALUE"""),17.04)</f>
        <v>17.04</v>
      </c>
      <c r="I111" s="16">
        <f>IFERROR(__xludf.DUMMYFUNCTION("""COMPUTED_VALUE"""),45897.6666666666)</f>
        <v>45897.6666666666</v>
      </c>
      <c r="J111" s="17">
        <f>IFERROR(__xludf.DUMMYFUNCTION("""COMPUTED_VALUE"""),16.89)</f>
        <v>16.89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IFERROR(__xludf.DUMMYFUNCTION("""COMPUTED_VALUE"""),45898.6666666666)</f>
        <v>45898.6666666666</v>
      </c>
      <c r="B112" s="17">
        <f>IFERROR(__xludf.DUMMYFUNCTION("""COMPUTED_VALUE"""),16.82)</f>
        <v>16.82</v>
      </c>
      <c r="C112" s="16">
        <f>IFERROR(__xludf.DUMMYFUNCTION("""COMPUTED_VALUE"""),45898.6666666666)</f>
        <v>45898.6666666666</v>
      </c>
      <c r="D112" s="17">
        <f>IFERROR(__xludf.DUMMYFUNCTION("""COMPUTED_VALUE"""),16.73)</f>
        <v>16.73</v>
      </c>
      <c r="E112" s="16">
        <f>IFERROR(__xludf.DUMMYFUNCTION("""COMPUTED_VALUE"""),45898.6666666666)</f>
        <v>45898.6666666666</v>
      </c>
      <c r="F112" s="17">
        <f>IFERROR(__xludf.DUMMYFUNCTION("""COMPUTED_VALUE"""),17333226)</f>
        <v>17333226</v>
      </c>
      <c r="G112" s="16">
        <f>IFERROR(__xludf.DUMMYFUNCTION("""COMPUTED_VALUE"""),45898.6666666666)</f>
        <v>45898.6666666666</v>
      </c>
      <c r="H112" s="17">
        <f>IFERROR(__xludf.DUMMYFUNCTION("""COMPUTED_VALUE"""),16.89)</f>
        <v>16.89</v>
      </c>
      <c r="I112" s="16">
        <f>IFERROR(__xludf.DUMMYFUNCTION("""COMPUTED_VALUE"""),45898.6666666666)</f>
        <v>45898.6666666666</v>
      </c>
      <c r="J112" s="17">
        <f>IFERROR(__xludf.DUMMYFUNCTION("""COMPUTED_VALUE"""),16.65)</f>
        <v>16.65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IFERROR(__xludf.DUMMYFUNCTION("""COMPUTED_VALUE"""),45902.6666666666)</f>
        <v>45902.6666666666</v>
      </c>
      <c r="B113" s="17">
        <f>IFERROR(__xludf.DUMMYFUNCTION("""COMPUTED_VALUE"""),16.89)</f>
        <v>16.89</v>
      </c>
      <c r="C113" s="16">
        <f>IFERROR(__xludf.DUMMYFUNCTION("""COMPUTED_VALUE"""),45902.6666666666)</f>
        <v>45902.6666666666</v>
      </c>
      <c r="D113" s="17">
        <f>IFERROR(__xludf.DUMMYFUNCTION("""COMPUTED_VALUE"""),16.8)</f>
        <v>16.8</v>
      </c>
      <c r="E113" s="16">
        <f>IFERROR(__xludf.DUMMYFUNCTION("""COMPUTED_VALUE"""),45902.6666666666)</f>
        <v>45902.6666666666</v>
      </c>
      <c r="F113" s="17">
        <f>IFERROR(__xludf.DUMMYFUNCTION("""COMPUTED_VALUE"""),13503120)</f>
        <v>13503120</v>
      </c>
      <c r="G113" s="16">
        <f>IFERROR(__xludf.DUMMYFUNCTION("""COMPUTED_VALUE"""),45902.6666666666)</f>
        <v>45902.6666666666</v>
      </c>
      <c r="H113" s="17">
        <f>IFERROR(__xludf.DUMMYFUNCTION("""COMPUTED_VALUE"""),16.9)</f>
        <v>16.9</v>
      </c>
      <c r="I113" s="16">
        <f>IFERROR(__xludf.DUMMYFUNCTION("""COMPUTED_VALUE"""),45902.6666666666)</f>
        <v>45902.6666666666</v>
      </c>
      <c r="J113" s="17">
        <f>IFERROR(__xludf.DUMMYFUNCTION("""COMPUTED_VALUE"""),16.7)</f>
        <v>16.7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IFERROR(__xludf.DUMMYFUNCTION("""COMPUTED_VALUE"""),45903.6666666666)</f>
        <v>45903.6666666666</v>
      </c>
      <c r="B114" s="17">
        <f>IFERROR(__xludf.DUMMYFUNCTION("""COMPUTED_VALUE"""),16.64)</f>
        <v>16.64</v>
      </c>
      <c r="C114" s="16">
        <f>IFERROR(__xludf.DUMMYFUNCTION("""COMPUTED_VALUE"""),45903.6666666666)</f>
        <v>45903.6666666666</v>
      </c>
      <c r="D114" s="17">
        <f>IFERROR(__xludf.DUMMYFUNCTION("""COMPUTED_VALUE"""),16.8)</f>
        <v>16.8</v>
      </c>
      <c r="E114" s="16">
        <f>IFERROR(__xludf.DUMMYFUNCTION("""COMPUTED_VALUE"""),45903.6666666666)</f>
        <v>45903.6666666666</v>
      </c>
      <c r="F114" s="17">
        <f>IFERROR(__xludf.DUMMYFUNCTION("""COMPUTED_VALUE"""),19264038)</f>
        <v>19264038</v>
      </c>
      <c r="G114" s="16">
        <f>IFERROR(__xludf.DUMMYFUNCTION("""COMPUTED_VALUE"""),45903.6666666666)</f>
        <v>45903.6666666666</v>
      </c>
      <c r="H114" s="17">
        <f>IFERROR(__xludf.DUMMYFUNCTION("""COMPUTED_VALUE"""),16.85)</f>
        <v>16.85</v>
      </c>
      <c r="I114" s="16">
        <f>IFERROR(__xludf.DUMMYFUNCTION("""COMPUTED_VALUE"""),45903.6666666666)</f>
        <v>45903.6666666666</v>
      </c>
      <c r="J114" s="17">
        <f>IFERROR(__xludf.DUMMYFUNCTION("""COMPUTED_VALUE"""),16.5)</f>
        <v>16.5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IFERROR(__xludf.DUMMYFUNCTION("""COMPUTED_VALUE"""),45904.6666666666)</f>
        <v>45904.6666666666</v>
      </c>
      <c r="B115" s="17">
        <f>IFERROR(__xludf.DUMMYFUNCTION("""COMPUTED_VALUE"""),16.59)</f>
        <v>16.59</v>
      </c>
      <c r="C115" s="16">
        <f>IFERROR(__xludf.DUMMYFUNCTION("""COMPUTED_VALUE"""),45904.6666666666)</f>
        <v>45904.6666666666</v>
      </c>
      <c r="D115" s="17">
        <f>IFERROR(__xludf.DUMMYFUNCTION("""COMPUTED_VALUE"""),16.57)</f>
        <v>16.57</v>
      </c>
      <c r="E115" s="16">
        <f>IFERROR(__xludf.DUMMYFUNCTION("""COMPUTED_VALUE"""),45904.6666666666)</f>
        <v>45904.6666666666</v>
      </c>
      <c r="F115" s="17">
        <f>IFERROR(__xludf.DUMMYFUNCTION("""COMPUTED_VALUE"""),15167714)</f>
        <v>15167714</v>
      </c>
      <c r="G115" s="16">
        <f>IFERROR(__xludf.DUMMYFUNCTION("""COMPUTED_VALUE"""),45904.6666666666)</f>
        <v>45904.6666666666</v>
      </c>
      <c r="H115" s="17">
        <f>IFERROR(__xludf.DUMMYFUNCTION("""COMPUTED_VALUE"""),16.6)</f>
        <v>16.6</v>
      </c>
      <c r="I115" s="16">
        <f>IFERROR(__xludf.DUMMYFUNCTION("""COMPUTED_VALUE"""),45904.6666666666)</f>
        <v>45904.6666666666</v>
      </c>
      <c r="J115" s="17">
        <f>IFERROR(__xludf.DUMMYFUNCTION("""COMPUTED_VALUE"""),16.28)</f>
        <v>16.28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IFERROR(__xludf.DUMMYFUNCTION("""COMPUTED_VALUE"""),45905.6666666666)</f>
        <v>45905.6666666666</v>
      </c>
      <c r="B116" s="17">
        <f>IFERROR(__xludf.DUMMYFUNCTION("""COMPUTED_VALUE"""),16.38)</f>
        <v>16.38</v>
      </c>
      <c r="C116" s="16">
        <f>IFERROR(__xludf.DUMMYFUNCTION("""COMPUTED_VALUE"""),45905.6666666666)</f>
        <v>45905.6666666666</v>
      </c>
      <c r="D116" s="17">
        <f>IFERROR(__xludf.DUMMYFUNCTION("""COMPUTED_VALUE"""),16.49)</f>
        <v>16.49</v>
      </c>
      <c r="E116" s="16">
        <f>IFERROR(__xludf.DUMMYFUNCTION("""COMPUTED_VALUE"""),45905.6666666666)</f>
        <v>45905.6666666666</v>
      </c>
      <c r="F116" s="17">
        <f>IFERROR(__xludf.DUMMYFUNCTION("""COMPUTED_VALUE"""),23403965)</f>
        <v>23403965</v>
      </c>
      <c r="G116" s="16">
        <f>IFERROR(__xludf.DUMMYFUNCTION("""COMPUTED_VALUE"""),45905.6666666666)</f>
        <v>45905.6666666666</v>
      </c>
      <c r="H116" s="17">
        <f>IFERROR(__xludf.DUMMYFUNCTION("""COMPUTED_VALUE"""),16.64)</f>
        <v>16.64</v>
      </c>
      <c r="I116" s="16">
        <f>IFERROR(__xludf.DUMMYFUNCTION("""COMPUTED_VALUE"""),45905.6666666666)</f>
        <v>45905.6666666666</v>
      </c>
      <c r="J116" s="17">
        <f>IFERROR(__xludf.DUMMYFUNCTION("""COMPUTED_VALUE"""),16.32)</f>
        <v>16.32</v>
      </c>
      <c r="K116" s="3">
        <f t="shared" si="2"/>
        <v>0</v>
      </c>
      <c r="L116" s="3">
        <f t="shared" si="3"/>
        <v>16.38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IFERROR(__xludf.DUMMYFUNCTION("""COMPUTED_VALUE"""),45908.6666666666)</f>
        <v>45908.6666666666</v>
      </c>
      <c r="B117" s="17">
        <f>IFERROR(__xludf.DUMMYFUNCTION("""COMPUTED_VALUE"""),16.79)</f>
        <v>16.79</v>
      </c>
      <c r="C117" s="16">
        <f>IFERROR(__xludf.DUMMYFUNCTION("""COMPUTED_VALUE"""),45908.6666666666)</f>
        <v>45908.6666666666</v>
      </c>
      <c r="D117" s="17">
        <f>IFERROR(__xludf.DUMMYFUNCTION("""COMPUTED_VALUE"""),16.61)</f>
        <v>16.61</v>
      </c>
      <c r="E117" s="16">
        <f>IFERROR(__xludf.DUMMYFUNCTION("""COMPUTED_VALUE"""),45908.6666666666)</f>
        <v>45908.6666666666</v>
      </c>
      <c r="F117" s="17">
        <f>IFERROR(__xludf.DUMMYFUNCTION("""COMPUTED_VALUE"""),25548179)</f>
        <v>25548179</v>
      </c>
      <c r="G117" s="16">
        <f>IFERROR(__xludf.DUMMYFUNCTION("""COMPUTED_VALUE"""),45908.6666666666)</f>
        <v>45908.6666666666</v>
      </c>
      <c r="H117" s="17">
        <f>IFERROR(__xludf.DUMMYFUNCTION("""COMPUTED_VALUE"""),16.81)</f>
        <v>16.81</v>
      </c>
      <c r="I117" s="16">
        <f>IFERROR(__xludf.DUMMYFUNCTION("""COMPUTED_VALUE"""),45908.6666666666)</f>
        <v>45908.6666666666</v>
      </c>
      <c r="J117" s="17">
        <f>IFERROR(__xludf.DUMMYFUNCTION("""COMPUTED_VALUE"""),16.5)</f>
        <v>16.5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IFERROR(__xludf.DUMMYFUNCTION("""COMPUTED_VALUE"""),45909.6666666666)</f>
        <v>45909.6666666666</v>
      </c>
      <c r="B118" s="17">
        <f>IFERROR(__xludf.DUMMYFUNCTION("""COMPUTED_VALUE"""),17.01)</f>
        <v>17.01</v>
      </c>
      <c r="C118" s="16">
        <f>IFERROR(__xludf.DUMMYFUNCTION("""COMPUTED_VALUE"""),45909.6666666666)</f>
        <v>45909.6666666666</v>
      </c>
      <c r="D118" s="17">
        <f>IFERROR(__xludf.DUMMYFUNCTION("""COMPUTED_VALUE"""),16.99)</f>
        <v>16.99</v>
      </c>
      <c r="E118" s="16">
        <f>IFERROR(__xludf.DUMMYFUNCTION("""COMPUTED_VALUE"""),45909.6666666666)</f>
        <v>45909.6666666666</v>
      </c>
      <c r="F118" s="17">
        <f>IFERROR(__xludf.DUMMYFUNCTION("""COMPUTED_VALUE"""),14880286)</f>
        <v>14880286</v>
      </c>
      <c r="G118" s="16">
        <f>IFERROR(__xludf.DUMMYFUNCTION("""COMPUTED_VALUE"""),45909.6666666666)</f>
        <v>45909.6666666666</v>
      </c>
      <c r="H118" s="17">
        <f>IFERROR(__xludf.DUMMYFUNCTION("""COMPUTED_VALUE"""),17.14)</f>
        <v>17.14</v>
      </c>
      <c r="I118" s="16">
        <f>IFERROR(__xludf.DUMMYFUNCTION("""COMPUTED_VALUE"""),45909.6666666666)</f>
        <v>45909.6666666666</v>
      </c>
      <c r="J118" s="17">
        <f>IFERROR(__xludf.DUMMYFUNCTION("""COMPUTED_VALUE"""),16.93)</f>
        <v>16.93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IFERROR(__xludf.DUMMYFUNCTION("""COMPUTED_VALUE"""),45910.6666666666)</f>
        <v>45910.6666666666</v>
      </c>
      <c r="B119" s="17">
        <f>IFERROR(__xludf.DUMMYFUNCTION("""COMPUTED_VALUE"""),16.98)</f>
        <v>16.98</v>
      </c>
      <c r="C119" s="16">
        <f>IFERROR(__xludf.DUMMYFUNCTION("""COMPUTED_VALUE"""),45910.6666666666)</f>
        <v>45910.6666666666</v>
      </c>
      <c r="D119" s="17">
        <f>IFERROR(__xludf.DUMMYFUNCTION("""COMPUTED_VALUE"""),17.2)</f>
        <v>17.2</v>
      </c>
      <c r="E119" s="16">
        <f>IFERROR(__xludf.DUMMYFUNCTION("""COMPUTED_VALUE"""),45910.6666666666)</f>
        <v>45910.6666666666</v>
      </c>
      <c r="F119" s="17">
        <f>IFERROR(__xludf.DUMMYFUNCTION("""COMPUTED_VALUE"""),17813243)</f>
        <v>17813243</v>
      </c>
      <c r="G119" s="16">
        <f>IFERROR(__xludf.DUMMYFUNCTION("""COMPUTED_VALUE"""),45910.6666666666)</f>
        <v>45910.6666666666</v>
      </c>
      <c r="H119" s="17">
        <f>IFERROR(__xludf.DUMMYFUNCTION("""COMPUTED_VALUE"""),17.25)</f>
        <v>17.25</v>
      </c>
      <c r="I119" s="16">
        <f>IFERROR(__xludf.DUMMYFUNCTION("""COMPUTED_VALUE"""),45910.6666666666)</f>
        <v>45910.6666666666</v>
      </c>
      <c r="J119" s="17">
        <f>IFERROR(__xludf.DUMMYFUNCTION("""COMPUTED_VALUE"""),16.91)</f>
        <v>16.91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IFERROR(__xludf.DUMMYFUNCTION("""COMPUTED_VALUE"""),45911.6666666666)</f>
        <v>45911.6666666666</v>
      </c>
      <c r="B120" s="17">
        <f>IFERROR(__xludf.DUMMYFUNCTION("""COMPUTED_VALUE"""),17.07)</f>
        <v>17.07</v>
      </c>
      <c r="C120" s="16">
        <f>IFERROR(__xludf.DUMMYFUNCTION("""COMPUTED_VALUE"""),45911.6666666666)</f>
        <v>45911.6666666666</v>
      </c>
      <c r="D120" s="17">
        <f>IFERROR(__xludf.DUMMYFUNCTION("""COMPUTED_VALUE"""),16.89)</f>
        <v>16.89</v>
      </c>
      <c r="E120" s="16">
        <f>IFERROR(__xludf.DUMMYFUNCTION("""COMPUTED_VALUE"""),45911.6666666666)</f>
        <v>45911.6666666666</v>
      </c>
      <c r="F120" s="17">
        <f>IFERROR(__xludf.DUMMYFUNCTION("""COMPUTED_VALUE"""),30237614)</f>
        <v>30237614</v>
      </c>
      <c r="G120" s="16">
        <f>IFERROR(__xludf.DUMMYFUNCTION("""COMPUTED_VALUE"""),45911.6666666666)</f>
        <v>45911.6666666666</v>
      </c>
      <c r="H120" s="17">
        <f>IFERROR(__xludf.DUMMYFUNCTION("""COMPUTED_VALUE"""),17.14)</f>
        <v>17.14</v>
      </c>
      <c r="I120" s="16">
        <f>IFERROR(__xludf.DUMMYFUNCTION("""COMPUTED_VALUE"""),45911.6666666666)</f>
        <v>45911.6666666666</v>
      </c>
      <c r="J120" s="17">
        <f>IFERROR(__xludf.DUMMYFUNCTION("""COMPUTED_VALUE"""),16.56)</f>
        <v>16.56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IFERROR(__xludf.DUMMYFUNCTION("""COMPUTED_VALUE"""),45912.6666666666)</f>
        <v>45912.6666666666</v>
      </c>
      <c r="B121" s="17">
        <f>IFERROR(__xludf.DUMMYFUNCTION("""COMPUTED_VALUE"""),16.96)</f>
        <v>16.96</v>
      </c>
      <c r="C121" s="16">
        <f>IFERROR(__xludf.DUMMYFUNCTION("""COMPUTED_VALUE"""),45912.6666666666)</f>
        <v>45912.6666666666</v>
      </c>
      <c r="D121" s="17">
        <f>IFERROR(__xludf.DUMMYFUNCTION("""COMPUTED_VALUE"""),17.04)</f>
        <v>17.04</v>
      </c>
      <c r="E121" s="16">
        <f>IFERROR(__xludf.DUMMYFUNCTION("""COMPUTED_VALUE"""),45912.6666666666)</f>
        <v>45912.6666666666</v>
      </c>
      <c r="F121" s="17">
        <f>IFERROR(__xludf.DUMMYFUNCTION("""COMPUTED_VALUE"""),12967068)</f>
        <v>12967068</v>
      </c>
      <c r="G121" s="16">
        <f>IFERROR(__xludf.DUMMYFUNCTION("""COMPUTED_VALUE"""),45912.6666666666)</f>
        <v>45912.6666666666</v>
      </c>
      <c r="H121" s="17">
        <f>IFERROR(__xludf.DUMMYFUNCTION("""COMPUTED_VALUE"""),17.07)</f>
        <v>17.07</v>
      </c>
      <c r="I121" s="16">
        <f>IFERROR(__xludf.DUMMYFUNCTION("""COMPUTED_VALUE"""),45912.6666666666)</f>
        <v>45912.6666666666</v>
      </c>
      <c r="J121" s="17">
        <f>IFERROR(__xludf.DUMMYFUNCTION("""COMPUTED_VALUE"""),16.9)</f>
        <v>16.9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IFERROR(__xludf.DUMMYFUNCTION("""COMPUTED_VALUE"""),45915.6666666666)</f>
        <v>45915.6666666666</v>
      </c>
      <c r="B122" s="17">
        <f>IFERROR(__xludf.DUMMYFUNCTION("""COMPUTED_VALUE"""),16.92)</f>
        <v>16.92</v>
      </c>
      <c r="C122" s="16">
        <f>IFERROR(__xludf.DUMMYFUNCTION("""COMPUTED_VALUE"""),45915.6666666666)</f>
        <v>45915.6666666666</v>
      </c>
      <c r="D122" s="17">
        <f>IFERROR(__xludf.DUMMYFUNCTION("""COMPUTED_VALUE"""),16.99)</f>
        <v>16.99</v>
      </c>
      <c r="E122" s="16">
        <f>IFERROR(__xludf.DUMMYFUNCTION("""COMPUTED_VALUE"""),45915.6666666666)</f>
        <v>45915.6666666666</v>
      </c>
      <c r="F122" s="17">
        <f>IFERROR(__xludf.DUMMYFUNCTION("""COMPUTED_VALUE"""),18852771)</f>
        <v>18852771</v>
      </c>
      <c r="G122" s="16">
        <f>IFERROR(__xludf.DUMMYFUNCTION("""COMPUTED_VALUE"""),45915.6666666666)</f>
        <v>45915.6666666666</v>
      </c>
      <c r="H122" s="17">
        <f>IFERROR(__xludf.DUMMYFUNCTION("""COMPUTED_VALUE"""),17.1)</f>
        <v>17.1</v>
      </c>
      <c r="I122" s="16">
        <f>IFERROR(__xludf.DUMMYFUNCTION("""COMPUTED_VALUE"""),45915.6666666666)</f>
        <v>45915.6666666666</v>
      </c>
      <c r="J122" s="17">
        <f>IFERROR(__xludf.DUMMYFUNCTION("""COMPUTED_VALUE"""),16.84)</f>
        <v>16.84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IFERROR(__xludf.DUMMYFUNCTION("""COMPUTED_VALUE"""),45916.6666666666)</f>
        <v>45916.6666666666</v>
      </c>
      <c r="B123" s="17">
        <f>IFERROR(__xludf.DUMMYFUNCTION("""COMPUTED_VALUE"""),17.06)</f>
        <v>17.06</v>
      </c>
      <c r="C123" s="16">
        <f>IFERROR(__xludf.DUMMYFUNCTION("""COMPUTED_VALUE"""),45916.6666666666)</f>
        <v>45916.6666666666</v>
      </c>
      <c r="D123" s="17">
        <f>IFERROR(__xludf.DUMMYFUNCTION("""COMPUTED_VALUE"""),16.99)</f>
        <v>16.99</v>
      </c>
      <c r="E123" s="16">
        <f>IFERROR(__xludf.DUMMYFUNCTION("""COMPUTED_VALUE"""),45916.6666666666)</f>
        <v>45916.6666666666</v>
      </c>
      <c r="F123" s="17">
        <f>IFERROR(__xludf.DUMMYFUNCTION("""COMPUTED_VALUE"""),17749689)</f>
        <v>17749689</v>
      </c>
      <c r="G123" s="16">
        <f>IFERROR(__xludf.DUMMYFUNCTION("""COMPUTED_VALUE"""),45916.6666666666)</f>
        <v>45916.6666666666</v>
      </c>
      <c r="H123" s="17">
        <f>IFERROR(__xludf.DUMMYFUNCTION("""COMPUTED_VALUE"""),17.08)</f>
        <v>17.08</v>
      </c>
      <c r="I123" s="16">
        <f>IFERROR(__xludf.DUMMYFUNCTION("""COMPUTED_VALUE"""),45916.6666666666)</f>
        <v>45916.6666666666</v>
      </c>
      <c r="J123" s="17">
        <f>IFERROR(__xludf.DUMMYFUNCTION("""COMPUTED_VALUE"""),16.88)</f>
        <v>16.88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IFERROR(__xludf.DUMMYFUNCTION("""COMPUTED_VALUE"""),45917.6666666666)</f>
        <v>45917.6666666666</v>
      </c>
      <c r="B124" s="17">
        <f>IFERROR(__xludf.DUMMYFUNCTION("""COMPUTED_VALUE"""),17.68)</f>
        <v>17.68</v>
      </c>
      <c r="C124" s="16">
        <f>IFERROR(__xludf.DUMMYFUNCTION("""COMPUTED_VALUE"""),45917.6666666666)</f>
        <v>45917.6666666666</v>
      </c>
      <c r="D124" s="17">
        <f>IFERROR(__xludf.DUMMYFUNCTION("""COMPUTED_VALUE"""),17.2)</f>
        <v>17.2</v>
      </c>
      <c r="E124" s="16">
        <f>IFERROR(__xludf.DUMMYFUNCTION("""COMPUTED_VALUE"""),45917.6666666666)</f>
        <v>45917.6666666666</v>
      </c>
      <c r="F124" s="17">
        <f>IFERROR(__xludf.DUMMYFUNCTION("""COMPUTED_VALUE"""),32050779)</f>
        <v>32050779</v>
      </c>
      <c r="G124" s="16">
        <f>IFERROR(__xludf.DUMMYFUNCTION("""COMPUTED_VALUE"""),45917.6666666666)</f>
        <v>45917.6666666666</v>
      </c>
      <c r="H124" s="17">
        <f>IFERROR(__xludf.DUMMYFUNCTION("""COMPUTED_VALUE"""),17.78)</f>
        <v>17.78</v>
      </c>
      <c r="I124" s="16">
        <f>IFERROR(__xludf.DUMMYFUNCTION("""COMPUTED_VALUE"""),45917.6666666666)</f>
        <v>45917.6666666666</v>
      </c>
      <c r="J124" s="17">
        <f>IFERROR(__xludf.DUMMYFUNCTION("""COMPUTED_VALUE"""),17.2)</f>
        <v>17.2</v>
      </c>
      <c r="K124" s="3">
        <f t="shared" si="2"/>
        <v>17.68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IFERROR(__xludf.DUMMYFUNCTION("""COMPUTED_VALUE"""),45918.6666666666)</f>
        <v>45918.6666666666</v>
      </c>
      <c r="B125" s="17">
        <f>IFERROR(__xludf.DUMMYFUNCTION("""COMPUTED_VALUE"""),17.57)</f>
        <v>17.57</v>
      </c>
      <c r="C125" s="16">
        <f>IFERROR(__xludf.DUMMYFUNCTION("""COMPUTED_VALUE"""),45918.6666666666)</f>
        <v>45918.6666666666</v>
      </c>
      <c r="D125" s="17">
        <f>IFERROR(__xludf.DUMMYFUNCTION("""COMPUTED_VALUE"""),17.53)</f>
        <v>17.53</v>
      </c>
      <c r="E125" s="16">
        <f>IFERROR(__xludf.DUMMYFUNCTION("""COMPUTED_VALUE"""),45918.6666666666)</f>
        <v>45918.6666666666</v>
      </c>
      <c r="F125" s="17">
        <f>IFERROR(__xludf.DUMMYFUNCTION("""COMPUTED_VALUE"""),13245843)</f>
        <v>13245843</v>
      </c>
      <c r="G125" s="16">
        <f>IFERROR(__xludf.DUMMYFUNCTION("""COMPUTED_VALUE"""),45918.6666666666)</f>
        <v>45918.6666666666</v>
      </c>
      <c r="H125" s="17">
        <f>IFERROR(__xludf.DUMMYFUNCTION("""COMPUTED_VALUE"""),17.6)</f>
        <v>17.6</v>
      </c>
      <c r="I125" s="16">
        <f>IFERROR(__xludf.DUMMYFUNCTION("""COMPUTED_VALUE"""),45918.6666666666)</f>
        <v>45918.6666666666</v>
      </c>
      <c r="J125" s="17">
        <f>IFERROR(__xludf.DUMMYFUNCTION("""COMPUTED_VALUE"""),17.44)</f>
        <v>17.44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IFERROR(__xludf.DUMMYFUNCTION("""COMPUTED_VALUE"""),45919.6666666666)</f>
        <v>45919.6666666666</v>
      </c>
      <c r="B126" s="17">
        <f>IFERROR(__xludf.DUMMYFUNCTION("""COMPUTED_VALUE"""),16.97)</f>
        <v>16.97</v>
      </c>
      <c r="C126" s="16">
        <f>IFERROR(__xludf.DUMMYFUNCTION("""COMPUTED_VALUE"""),45919.6666666666)</f>
        <v>45919.6666666666</v>
      </c>
      <c r="D126" s="17">
        <f>IFERROR(__xludf.DUMMYFUNCTION("""COMPUTED_VALUE"""),17.55)</f>
        <v>17.55</v>
      </c>
      <c r="E126" s="16">
        <f>IFERROR(__xludf.DUMMYFUNCTION("""COMPUTED_VALUE"""),45919.6666666666)</f>
        <v>45919.6666666666</v>
      </c>
      <c r="F126" s="17">
        <f>IFERROR(__xludf.DUMMYFUNCTION("""COMPUTED_VALUE"""),54720207)</f>
        <v>54720207</v>
      </c>
      <c r="G126" s="16">
        <f>IFERROR(__xludf.DUMMYFUNCTION("""COMPUTED_VALUE"""),45919.6666666666)</f>
        <v>45919.6666666666</v>
      </c>
      <c r="H126" s="17">
        <f>IFERROR(__xludf.DUMMYFUNCTION("""COMPUTED_VALUE"""),17.61)</f>
        <v>17.61</v>
      </c>
      <c r="I126" s="16">
        <f>IFERROR(__xludf.DUMMYFUNCTION("""COMPUTED_VALUE"""),45919.6666666666)</f>
        <v>45919.6666666666</v>
      </c>
      <c r="J126" s="17">
        <f>IFERROR(__xludf.DUMMYFUNCTION("""COMPUTED_VALUE"""),16.24)</f>
        <v>16.24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IFERROR(__xludf.DUMMYFUNCTION("""COMPUTED_VALUE"""),45922.6666666666)</f>
        <v>45922.6666666666</v>
      </c>
      <c r="B127" s="17">
        <f>IFERROR(__xludf.DUMMYFUNCTION("""COMPUTED_VALUE"""),17.15)</f>
        <v>17.15</v>
      </c>
      <c r="C127" s="16">
        <f>IFERROR(__xludf.DUMMYFUNCTION("""COMPUTED_VALUE"""),45922.6666666666)</f>
        <v>45922.6666666666</v>
      </c>
      <c r="D127" s="17">
        <f>IFERROR(__xludf.DUMMYFUNCTION("""COMPUTED_VALUE"""),16.87)</f>
        <v>16.87</v>
      </c>
      <c r="E127" s="16">
        <f>IFERROR(__xludf.DUMMYFUNCTION("""COMPUTED_VALUE"""),45922.6666666666)</f>
        <v>45922.6666666666</v>
      </c>
      <c r="F127" s="17">
        <f>IFERROR(__xludf.DUMMYFUNCTION("""COMPUTED_VALUE"""),14994445)</f>
        <v>14994445</v>
      </c>
      <c r="G127" s="16">
        <f>IFERROR(__xludf.DUMMYFUNCTION("""COMPUTED_VALUE"""),45922.6666666666)</f>
        <v>45922.6666666666</v>
      </c>
      <c r="H127" s="17">
        <f>IFERROR(__xludf.DUMMYFUNCTION("""COMPUTED_VALUE"""),17.18)</f>
        <v>17.18</v>
      </c>
      <c r="I127" s="16">
        <f>IFERROR(__xludf.DUMMYFUNCTION("""COMPUTED_VALUE"""),45922.6666666666)</f>
        <v>45922.6666666666</v>
      </c>
      <c r="J127" s="17">
        <f>IFERROR(__xludf.DUMMYFUNCTION("""COMPUTED_VALUE"""),16.79)</f>
        <v>16.79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IFERROR(__xludf.DUMMYFUNCTION("""COMPUTED_VALUE"""),45923.6666666666)</f>
        <v>45923.6666666666</v>
      </c>
      <c r="B128" s="17">
        <f>IFERROR(__xludf.DUMMYFUNCTION("""COMPUTED_VALUE"""),16.88)</f>
        <v>16.88</v>
      </c>
      <c r="C128" s="16">
        <f>IFERROR(__xludf.DUMMYFUNCTION("""COMPUTED_VALUE"""),45923.6666666666)</f>
        <v>45923.6666666666</v>
      </c>
      <c r="D128" s="17">
        <f>IFERROR(__xludf.DUMMYFUNCTION("""COMPUTED_VALUE"""),17.11)</f>
        <v>17.11</v>
      </c>
      <c r="E128" s="16">
        <f>IFERROR(__xludf.DUMMYFUNCTION("""COMPUTED_VALUE"""),45923.6666666666)</f>
        <v>45923.6666666666</v>
      </c>
      <c r="F128" s="17">
        <f>IFERROR(__xludf.DUMMYFUNCTION("""COMPUTED_VALUE"""),11524522)</f>
        <v>11524522</v>
      </c>
      <c r="G128" s="16">
        <f>IFERROR(__xludf.DUMMYFUNCTION("""COMPUTED_VALUE"""),45923.6666666666)</f>
        <v>45923.6666666666</v>
      </c>
      <c r="H128" s="17">
        <f>IFERROR(__xludf.DUMMYFUNCTION("""COMPUTED_VALUE"""),17.14)</f>
        <v>17.14</v>
      </c>
      <c r="I128" s="16">
        <f>IFERROR(__xludf.DUMMYFUNCTION("""COMPUTED_VALUE"""),45923.6666666666)</f>
        <v>45923.6666666666</v>
      </c>
      <c r="J128" s="17">
        <f>IFERROR(__xludf.DUMMYFUNCTION("""COMPUTED_VALUE"""),16.88)</f>
        <v>16.88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IFERROR(__xludf.DUMMYFUNCTION("""COMPUTED_VALUE"""),45924.6666666666)</f>
        <v>45924.6666666666</v>
      </c>
      <c r="B129" s="17">
        <f>IFERROR(__xludf.DUMMYFUNCTION("""COMPUTED_VALUE"""),17.03)</f>
        <v>17.03</v>
      </c>
      <c r="C129" s="16">
        <f>IFERROR(__xludf.DUMMYFUNCTION("""COMPUTED_VALUE"""),45924.6666666666)</f>
        <v>45924.6666666666</v>
      </c>
      <c r="D129" s="17">
        <f>IFERROR(__xludf.DUMMYFUNCTION("""COMPUTED_VALUE"""),16.9)</f>
        <v>16.9</v>
      </c>
      <c r="E129" s="16">
        <f>IFERROR(__xludf.DUMMYFUNCTION("""COMPUTED_VALUE"""),45924.6666666666)</f>
        <v>45924.6666666666</v>
      </c>
      <c r="F129" s="17">
        <f>IFERROR(__xludf.DUMMYFUNCTION("""COMPUTED_VALUE"""),17049604)</f>
        <v>17049604</v>
      </c>
      <c r="G129" s="16">
        <f>IFERROR(__xludf.DUMMYFUNCTION("""COMPUTED_VALUE"""),45924.6666666666)</f>
        <v>45924.6666666666</v>
      </c>
      <c r="H129" s="17">
        <f>IFERROR(__xludf.DUMMYFUNCTION("""COMPUTED_VALUE"""),17.04)</f>
        <v>17.04</v>
      </c>
      <c r="I129" s="16">
        <f>IFERROR(__xludf.DUMMYFUNCTION("""COMPUTED_VALUE"""),45924.6666666666)</f>
        <v>45924.6666666666</v>
      </c>
      <c r="J129" s="17">
        <f>IFERROR(__xludf.DUMMYFUNCTION("""COMPUTED_VALUE"""),16.82)</f>
        <v>16.82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  <row r="130" customHeight="1" spans="1:10">
      <c r="A130" s="47">
        <f>IFERROR(__xludf.DUMMYFUNCTION("""COMPUTED_VALUE"""),45925.6666666666)</f>
        <v>45925.6666666666</v>
      </c>
      <c r="B130" s="48">
        <f>IFERROR(__xludf.DUMMYFUNCTION("""COMPUTED_VALUE"""),16.54)</f>
        <v>16.54</v>
      </c>
      <c r="C130" s="47">
        <f>IFERROR(__xludf.DUMMYFUNCTION("""COMPUTED_VALUE"""),45925.6666666666)</f>
        <v>45925.6666666666</v>
      </c>
      <c r="D130" s="48">
        <f>IFERROR(__xludf.DUMMYFUNCTION("""COMPUTED_VALUE"""),16.75)</f>
        <v>16.75</v>
      </c>
      <c r="E130" s="47">
        <f>IFERROR(__xludf.DUMMYFUNCTION("""COMPUTED_VALUE"""),45925.6666666666)</f>
        <v>45925.6666666666</v>
      </c>
      <c r="F130" s="48">
        <f>IFERROR(__xludf.DUMMYFUNCTION("""COMPUTED_VALUE"""),17831301)</f>
        <v>17831301</v>
      </c>
      <c r="G130" s="47">
        <f>IFERROR(__xludf.DUMMYFUNCTION("""COMPUTED_VALUE"""),45925.6666666666)</f>
        <v>45925.6666666666</v>
      </c>
      <c r="H130" s="48">
        <f>IFERROR(__xludf.DUMMYFUNCTION("""COMPUTED_VALUE"""),16.86)</f>
        <v>16.86</v>
      </c>
      <c r="I130" s="47">
        <f>IFERROR(__xludf.DUMMYFUNCTION("""COMPUTED_VALUE"""),45925.6666666666)</f>
        <v>45925.6666666666</v>
      </c>
      <c r="J130" s="48">
        <f>IFERROR(__xludf.DUMMYFUNCTION("""COMPUTED_VALUE"""),16.49)</f>
        <v>16.49</v>
      </c>
    </row>
    <row r="131" customHeight="1" spans="1:10">
      <c r="A131" s="47">
        <f>IFERROR(__xludf.DUMMYFUNCTION("""COMPUTED_VALUE"""),45926.6666666666)</f>
        <v>45926.6666666666</v>
      </c>
      <c r="B131" s="48">
        <f>IFERROR(__xludf.DUMMYFUNCTION("""COMPUTED_VALUE"""),16.52)</f>
        <v>16.52</v>
      </c>
      <c r="C131" s="47">
        <f>IFERROR(__xludf.DUMMYFUNCTION("""COMPUTED_VALUE"""),45926.6666666666)</f>
        <v>45926.6666666666</v>
      </c>
      <c r="D131" s="48">
        <f>IFERROR(__xludf.DUMMYFUNCTION("""COMPUTED_VALUE"""),16.45)</f>
        <v>16.45</v>
      </c>
      <c r="E131" s="47">
        <f>IFERROR(__xludf.DUMMYFUNCTION("""COMPUTED_VALUE"""),45926.6666666666)</f>
        <v>45926.6666666666</v>
      </c>
      <c r="F131" s="48">
        <f>IFERROR(__xludf.DUMMYFUNCTION("""COMPUTED_VALUE"""),19452651)</f>
        <v>19452651</v>
      </c>
      <c r="G131" s="47">
        <f>IFERROR(__xludf.DUMMYFUNCTION("""COMPUTED_VALUE"""),45926.6666666666)</f>
        <v>45926.6666666666</v>
      </c>
      <c r="H131" s="48">
        <f>IFERROR(__xludf.DUMMYFUNCTION("""COMPUTED_VALUE"""),16.6)</f>
        <v>16.6</v>
      </c>
      <c r="I131" s="47">
        <f>IFERROR(__xludf.DUMMYFUNCTION("""COMPUTED_VALUE"""),45926.6666666666)</f>
        <v>45926.6666666666</v>
      </c>
      <c r="J131" s="48">
        <f>IFERROR(__xludf.DUMMYFUNCTION("""COMPUTED_VALUE"""),16.36)</f>
        <v>16.36</v>
      </c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267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""price"")"),2535.6)</f>
        <v>2535.6</v>
      </c>
      <c r="I3" s="22" t="s">
        <v>269</v>
      </c>
      <c r="J3" s="23">
        <f>IFERROR(__xludf.DUMMYFUNCTION("GOOGLEFINANCE(L3, ""volume"")"),1037808)</f>
        <v>1037808</v>
      </c>
      <c r="K3" s="24" t="s">
        <v>270</v>
      </c>
      <c r="L3" s="25" t="str">
        <f>Mastersheet!B3</f>
        <v>ADANIENT</v>
      </c>
      <c r="M3" s="26">
        <f>IFERROR(__xludf.DUMMYFUNCTION("""COMPUTED_VALUE"""),45926.6458333333)</f>
        <v>45926.6458333333</v>
      </c>
      <c r="N3" s="27">
        <f>IFERROR(__xludf.DUMMYFUNCTION("""COMPUTED_VALUE"""),2543.7)</f>
        <v>2543.7</v>
      </c>
      <c r="O3" s="26">
        <f>IFERROR(__xludf.DUMMYFUNCTION("""COMPUTED_VALUE"""),45926.6458333333)</f>
        <v>45926.6458333333</v>
      </c>
      <c r="P3" s="27">
        <f>IFERROR(__xludf.DUMMYFUNCTION("""COMPUTED_VALUE"""),2572.8)</f>
        <v>2572.8</v>
      </c>
      <c r="Q3" s="16">
        <f>IFERROR(__xludf.DUMMYFUNCTION("""COMPUTED_VALUE"""),45926.6458333333)</f>
        <v>45926.6458333333</v>
      </c>
      <c r="R3" s="17">
        <f>IFERROR(__xludf.DUMMYFUNCTION("""COMPUTED_VALUE"""),2605)</f>
        <v>2605</v>
      </c>
      <c r="S3" s="16">
        <f>IFERROR(__xludf.DUMMYFUNCTION("""COMPUTED_VALUE"""),45926.6458333333)</f>
        <v>45926.6458333333</v>
      </c>
      <c r="T3" s="17">
        <f>IFERROR(__xludf.DUMMYFUNCTION("""COMPUTED_VALUE"""),2535)</f>
        <v>2535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IFERROR(__xludf.DUMMYFUNCTION("""COMPUTED_VALUE"""),2363.35)</f>
        <v>2363.35</v>
      </c>
      <c r="C5" s="14">
        <f>IFERROR(__xludf.DUMMYFUNCTION("""COMPUTED_VALUE"""),45743.6458333333)</f>
        <v>45743.6458333333</v>
      </c>
      <c r="D5" s="15">
        <f>IFERROR(__xludf.DUMMYFUNCTION("""COMPUTED_VALUE"""),2310)</f>
        <v>2310</v>
      </c>
      <c r="E5" s="14">
        <f>IFERROR(__xludf.DUMMYFUNCTION("""COMPUTED_VALUE"""),45743.6458333333)</f>
        <v>45743.6458333333</v>
      </c>
      <c r="F5" s="15">
        <f>IFERROR(__xludf.DUMMYFUNCTION("""COMPUTED_VALUE"""),1696042)</f>
        <v>1696042</v>
      </c>
      <c r="G5" s="14">
        <f>IFERROR(__xludf.DUMMYFUNCTION("""COMPUTED_VALUE"""),45743.6458333333)</f>
        <v>45743.6458333333</v>
      </c>
      <c r="H5" s="15">
        <f>IFERROR(__xludf.DUMMYFUNCTION("""COMPUTED_VALUE"""),2373.9)</f>
        <v>2373.9</v>
      </c>
      <c r="I5" s="30">
        <f>IFERROR(__xludf.DUMMYFUNCTION("""COMPUTED_VALUE"""),45743.6458333333)</f>
        <v>45743.6458333333</v>
      </c>
      <c r="J5" s="3">
        <f>IFERROR(__xludf.DUMMYFUNCTION("""COMPUTED_VALUE"""),2291.6)</f>
        <v>2291.6</v>
      </c>
      <c r="K5" s="5"/>
      <c r="L5" s="5"/>
      <c r="M5" s="3">
        <f t="array" ref="M5">INDEX(K11:K124,MATCH(SMALL(ABS(K11:K124-H3),1),ABS(K11:K124-H3),0))</f>
        <v>2555</v>
      </c>
      <c r="N5" s="3">
        <f t="array" ref="N5">INDEX(K11:K124,MATCH(SMALL(ABS(K11:K124-H3),2),ABS(K11:K124-H3),0))</f>
        <v>2613.1</v>
      </c>
      <c r="O5" s="3">
        <f t="array" ref="O5">INDEX(L11:L124,MATCH(SMALL(ABS(L11:L124-H3),1),ABS(L11:L124-H3),0))</f>
        <v>2558.7</v>
      </c>
      <c r="P5" s="3">
        <f t="array" ref="P5">INDEX(L11:L124,MATCH(SMALL(ABS(L11:L124-H3),2),ABS(L11:L124-H3),0))</f>
        <v>2470.9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2442.8</v>
      </c>
      <c r="T5" s="17">
        <f ca="1">IF(AND(H3&gt;=Mastersheet!I3*S5,H3&lt;=Mastersheet!J3*S5),1,0)</f>
        <v>0</v>
      </c>
      <c r="U5" s="36">
        <f>(N3+P3)/2</f>
        <v>2558.25</v>
      </c>
      <c r="V5" s="17">
        <f>(N3+P3+R3+T3)/4</f>
        <v>2564.125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IFERROR(__xludf.DUMMYFUNCTION("""COMPUTED_VALUE"""),2315.8)</f>
        <v>2315.8</v>
      </c>
      <c r="C6" s="16">
        <f>IFERROR(__xludf.DUMMYFUNCTION("""COMPUTED_VALUE"""),45744.6458333333)</f>
        <v>45744.6458333333</v>
      </c>
      <c r="D6" s="17">
        <f>IFERROR(__xludf.DUMMYFUNCTION("""COMPUTED_VALUE"""),2376)</f>
        <v>2376</v>
      </c>
      <c r="E6" s="16">
        <f>IFERROR(__xludf.DUMMYFUNCTION("""COMPUTED_VALUE"""),45744.6458333333)</f>
        <v>45744.6458333333</v>
      </c>
      <c r="F6" s="17">
        <f>IFERROR(__xludf.DUMMYFUNCTION("""COMPUTED_VALUE"""),1838836)</f>
        <v>1838836</v>
      </c>
      <c r="G6" s="16">
        <f>IFERROR(__xludf.DUMMYFUNCTION("""COMPUTED_VALUE"""),45744.6458333333)</f>
        <v>45744.6458333333</v>
      </c>
      <c r="H6" s="17">
        <f>IFERROR(__xludf.DUMMYFUNCTION("""COMPUTED_VALUE"""),2386.95)</f>
        <v>2386.95</v>
      </c>
      <c r="I6" s="16">
        <f>IFERROR(__xludf.DUMMYFUNCTION("""COMPUTED_VALUE"""),45744.6458333333)</f>
        <v>45744.6458333333</v>
      </c>
      <c r="J6" s="17">
        <f>IFERROR(__xludf.DUMMYFUNCTION("""COMPUTED_VALUE"""),2293.7)</f>
        <v>2293.7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IFERROR(__xludf.DUMMYFUNCTION("""COMPUTED_VALUE"""),2335.25)</f>
        <v>2335.25</v>
      </c>
      <c r="C7" s="16">
        <f>IFERROR(__xludf.DUMMYFUNCTION("""COMPUTED_VALUE"""),45748.6458333333)</f>
        <v>45748.6458333333</v>
      </c>
      <c r="D7" s="17">
        <f>IFERROR(__xludf.DUMMYFUNCTION("""COMPUTED_VALUE"""),2312)</f>
        <v>2312</v>
      </c>
      <c r="E7" s="16">
        <f>IFERROR(__xludf.DUMMYFUNCTION("""COMPUTED_VALUE"""),45748.6458333333)</f>
        <v>45748.6458333333</v>
      </c>
      <c r="F7" s="17">
        <f>IFERROR(__xludf.DUMMYFUNCTION("""COMPUTED_VALUE"""),501942)</f>
        <v>501942</v>
      </c>
      <c r="G7" s="16">
        <f>IFERROR(__xludf.DUMMYFUNCTION("""COMPUTED_VALUE"""),45748.6458333333)</f>
        <v>45748.6458333333</v>
      </c>
      <c r="H7" s="17">
        <f>IFERROR(__xludf.DUMMYFUNCTION("""COMPUTED_VALUE"""),2358.95)</f>
        <v>2358.95</v>
      </c>
      <c r="I7" s="16">
        <f>IFERROR(__xludf.DUMMYFUNCTION("""COMPUTED_VALUE"""),45748.6458333333)</f>
        <v>45748.6458333333</v>
      </c>
      <c r="J7" s="17">
        <f>IFERROR(__xludf.DUMMYFUNCTION("""COMPUTED_VALUE"""),2301)</f>
        <v>2301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IFERROR(__xludf.DUMMYFUNCTION("""COMPUTED_VALUE"""),2369.4)</f>
        <v>2369.4</v>
      </c>
      <c r="C8" s="16">
        <f>IFERROR(__xludf.DUMMYFUNCTION("""COMPUTED_VALUE"""),45749.6458333333)</f>
        <v>45749.6458333333</v>
      </c>
      <c r="D8" s="17">
        <f>IFERROR(__xludf.DUMMYFUNCTION("""COMPUTED_VALUE"""),2339.75)</f>
        <v>2339.75</v>
      </c>
      <c r="E8" s="16">
        <f>IFERROR(__xludf.DUMMYFUNCTION("""COMPUTED_VALUE"""),45749.6458333333)</f>
        <v>45749.6458333333</v>
      </c>
      <c r="F8" s="17">
        <f>IFERROR(__xludf.DUMMYFUNCTION("""COMPUTED_VALUE"""),573928)</f>
        <v>573928</v>
      </c>
      <c r="G8" s="16">
        <f>IFERROR(__xludf.DUMMYFUNCTION("""COMPUTED_VALUE"""),45749.6458333333)</f>
        <v>45749.6458333333</v>
      </c>
      <c r="H8" s="17">
        <f>IFERROR(__xludf.DUMMYFUNCTION("""COMPUTED_VALUE"""),2378.85)</f>
        <v>2378.85</v>
      </c>
      <c r="I8" s="16">
        <f>IFERROR(__xludf.DUMMYFUNCTION("""COMPUTED_VALUE"""),45749.6458333333)</f>
        <v>45749.6458333333</v>
      </c>
      <c r="J8" s="17">
        <f>IFERROR(__xludf.DUMMYFUNCTION("""COMPUTED_VALUE"""),2314.55)</f>
        <v>2314.55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IFERROR(__xludf.DUMMYFUNCTION("""COMPUTED_VALUE"""),2410.8)</f>
        <v>2410.8</v>
      </c>
      <c r="C9" s="16">
        <f>IFERROR(__xludf.DUMMYFUNCTION("""COMPUTED_VALUE"""),45750.6458333333)</f>
        <v>45750.6458333333</v>
      </c>
      <c r="D9" s="17">
        <f>IFERROR(__xludf.DUMMYFUNCTION("""COMPUTED_VALUE"""),2339.75)</f>
        <v>2339.75</v>
      </c>
      <c r="E9" s="16">
        <f>IFERROR(__xludf.DUMMYFUNCTION("""COMPUTED_VALUE"""),45750.6458333333)</f>
        <v>45750.6458333333</v>
      </c>
      <c r="F9" s="17">
        <f>IFERROR(__xludf.DUMMYFUNCTION("""COMPUTED_VALUE"""),1023200)</f>
        <v>1023200</v>
      </c>
      <c r="G9" s="16">
        <f>IFERROR(__xludf.DUMMYFUNCTION("""COMPUTED_VALUE"""),45750.6458333333)</f>
        <v>45750.6458333333</v>
      </c>
      <c r="H9" s="17">
        <f>IFERROR(__xludf.DUMMYFUNCTION("""COMPUTED_VALUE"""),2429.9)</f>
        <v>2429.9</v>
      </c>
      <c r="I9" s="16">
        <f>IFERROR(__xludf.DUMMYFUNCTION("""COMPUTED_VALUE"""),45750.6458333333)</f>
        <v>45750.6458333333</v>
      </c>
      <c r="J9" s="17">
        <f>IFERROR(__xludf.DUMMYFUNCTION("""COMPUTED_VALUE"""),2339.7)</f>
        <v>2339.7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IFERROR(__xludf.DUMMYFUNCTION("""COMPUTED_VALUE"""),2334.65)</f>
        <v>2334.65</v>
      </c>
      <c r="C10" s="16">
        <f>IFERROR(__xludf.DUMMYFUNCTION("""COMPUTED_VALUE"""),45751.6458333333)</f>
        <v>45751.6458333333</v>
      </c>
      <c r="D10" s="17">
        <f>IFERROR(__xludf.DUMMYFUNCTION("""COMPUTED_VALUE"""),2394.95)</f>
        <v>2394.95</v>
      </c>
      <c r="E10" s="16">
        <f>IFERROR(__xludf.DUMMYFUNCTION("""COMPUTED_VALUE"""),45751.6458333333)</f>
        <v>45751.6458333333</v>
      </c>
      <c r="F10" s="17">
        <f>IFERROR(__xludf.DUMMYFUNCTION("""COMPUTED_VALUE"""),1219733)</f>
        <v>1219733</v>
      </c>
      <c r="G10" s="16">
        <f>IFERROR(__xludf.DUMMYFUNCTION("""COMPUTED_VALUE"""),45751.6458333333)</f>
        <v>45751.6458333333</v>
      </c>
      <c r="H10" s="17">
        <f>IFERROR(__xludf.DUMMYFUNCTION("""COMPUTED_VALUE"""),2410.05)</f>
        <v>2410.05</v>
      </c>
      <c r="I10" s="16">
        <f>IFERROR(__xludf.DUMMYFUNCTION("""COMPUTED_VALUE"""),45751.6458333333)</f>
        <v>45751.6458333333</v>
      </c>
      <c r="J10" s="17">
        <f>IFERROR(__xludf.DUMMYFUNCTION("""COMPUTED_VALUE"""),2315.5)</f>
        <v>2315.5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IFERROR(__xludf.DUMMYFUNCTION("""COMPUTED_VALUE"""),2212.7)</f>
        <v>2212.7</v>
      </c>
      <c r="C11" s="16">
        <f>IFERROR(__xludf.DUMMYFUNCTION("""COMPUTED_VALUE"""),45754.6458333333)</f>
        <v>45754.6458333333</v>
      </c>
      <c r="D11" s="17">
        <f>IFERROR(__xludf.DUMMYFUNCTION("""COMPUTED_VALUE"""),2150.05)</f>
        <v>2150.05</v>
      </c>
      <c r="E11" s="16">
        <f>IFERROR(__xludf.DUMMYFUNCTION("""COMPUTED_VALUE"""),45754.6458333333)</f>
        <v>45754.6458333333</v>
      </c>
      <c r="F11" s="17">
        <f>IFERROR(__xludf.DUMMYFUNCTION("""COMPUTED_VALUE"""),1567177)</f>
        <v>1567177</v>
      </c>
      <c r="G11" s="16">
        <f>IFERROR(__xludf.DUMMYFUNCTION("""COMPUTED_VALUE"""),45754.6458333333)</f>
        <v>45754.6458333333</v>
      </c>
      <c r="H11" s="17">
        <f>IFERROR(__xludf.DUMMYFUNCTION("""COMPUTED_VALUE"""),2239)</f>
        <v>2239</v>
      </c>
      <c r="I11" s="16">
        <f>IFERROR(__xludf.DUMMYFUNCTION("""COMPUTED_VALUE"""),45754.6458333333)</f>
        <v>45754.6458333333</v>
      </c>
      <c r="J11" s="17">
        <f>IFERROR(__xludf.DUMMYFUNCTION("""COMPUTED_VALUE"""),2145)</f>
        <v>2145</v>
      </c>
      <c r="K11" s="3">
        <f t="shared" ref="K11:K125" si="2">IF(B11=MAX(B5:B17),B11,0)</f>
        <v>0</v>
      </c>
      <c r="L11" s="3">
        <f t="shared" ref="L11:L125" si="3">IF(B11=MIN(B5:B17),B11,0)</f>
        <v>2212.7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IFERROR(__xludf.DUMMYFUNCTION("""COMPUTED_VALUE"""),2285.7)</f>
        <v>2285.7</v>
      </c>
      <c r="C12" s="16">
        <f>IFERROR(__xludf.DUMMYFUNCTION("""COMPUTED_VALUE"""),45755.6458333333)</f>
        <v>45755.6458333333</v>
      </c>
      <c r="D12" s="17">
        <f>IFERROR(__xludf.DUMMYFUNCTION("""COMPUTED_VALUE"""),2270)</f>
        <v>2270</v>
      </c>
      <c r="E12" s="16">
        <f>IFERROR(__xludf.DUMMYFUNCTION("""COMPUTED_VALUE"""),45755.6458333333)</f>
        <v>45755.6458333333</v>
      </c>
      <c r="F12" s="17">
        <f>IFERROR(__xludf.DUMMYFUNCTION("""COMPUTED_VALUE"""),1224362)</f>
        <v>1224362</v>
      </c>
      <c r="G12" s="16">
        <f>IFERROR(__xludf.DUMMYFUNCTION("""COMPUTED_VALUE"""),45755.6458333333)</f>
        <v>45755.6458333333</v>
      </c>
      <c r="H12" s="17">
        <f>IFERROR(__xludf.DUMMYFUNCTION("""COMPUTED_VALUE"""),2301)</f>
        <v>2301</v>
      </c>
      <c r="I12" s="16">
        <f>IFERROR(__xludf.DUMMYFUNCTION("""COMPUTED_VALUE"""),45755.6458333333)</f>
        <v>45755.6458333333</v>
      </c>
      <c r="J12" s="17">
        <f>IFERROR(__xludf.DUMMYFUNCTION("""COMPUTED_VALUE"""),2225)</f>
        <v>2225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IFERROR(__xludf.DUMMYFUNCTION("""COMPUTED_VALUE"""),2236.9)</f>
        <v>2236.9</v>
      </c>
      <c r="C13" s="16">
        <f>IFERROR(__xludf.DUMMYFUNCTION("""COMPUTED_VALUE"""),45756.6458333333)</f>
        <v>45756.6458333333</v>
      </c>
      <c r="D13" s="17">
        <f>IFERROR(__xludf.DUMMYFUNCTION("""COMPUTED_VALUE"""),2265.7)</f>
        <v>2265.7</v>
      </c>
      <c r="E13" s="16">
        <f>IFERROR(__xludf.DUMMYFUNCTION("""COMPUTED_VALUE"""),45756.6458333333)</f>
        <v>45756.6458333333</v>
      </c>
      <c r="F13" s="17">
        <f>IFERROR(__xludf.DUMMYFUNCTION("""COMPUTED_VALUE"""),1001633)</f>
        <v>1001633</v>
      </c>
      <c r="G13" s="16">
        <f>IFERROR(__xludf.DUMMYFUNCTION("""COMPUTED_VALUE"""),45756.6458333333)</f>
        <v>45756.6458333333</v>
      </c>
      <c r="H13" s="17">
        <f>IFERROR(__xludf.DUMMYFUNCTION("""COMPUTED_VALUE"""),2279.55)</f>
        <v>2279.55</v>
      </c>
      <c r="I13" s="16">
        <f>IFERROR(__xludf.DUMMYFUNCTION("""COMPUTED_VALUE"""),45756.6458333333)</f>
        <v>45756.6458333333</v>
      </c>
      <c r="J13" s="17">
        <f>IFERROR(__xludf.DUMMYFUNCTION("""COMPUTED_VALUE"""),2215.2)</f>
        <v>2215.2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IFERROR(__xludf.DUMMYFUNCTION("""COMPUTED_VALUE"""),2321.4)</f>
        <v>2321.4</v>
      </c>
      <c r="C14" s="16">
        <f>IFERROR(__xludf.DUMMYFUNCTION("""COMPUTED_VALUE"""),45758.6458333333)</f>
        <v>45758.6458333333</v>
      </c>
      <c r="D14" s="17">
        <f>IFERROR(__xludf.DUMMYFUNCTION("""COMPUTED_VALUE"""),2303.05)</f>
        <v>2303.05</v>
      </c>
      <c r="E14" s="16">
        <f>IFERROR(__xludf.DUMMYFUNCTION("""COMPUTED_VALUE"""),45758.6458333333)</f>
        <v>45758.6458333333</v>
      </c>
      <c r="F14" s="17">
        <f>IFERROR(__xludf.DUMMYFUNCTION("""COMPUTED_VALUE"""),981463)</f>
        <v>981463</v>
      </c>
      <c r="G14" s="16">
        <f>IFERROR(__xludf.DUMMYFUNCTION("""COMPUTED_VALUE"""),45758.6458333333)</f>
        <v>45758.6458333333</v>
      </c>
      <c r="H14" s="17">
        <f>IFERROR(__xludf.DUMMYFUNCTION("""COMPUTED_VALUE"""),2343.5)</f>
        <v>2343.5</v>
      </c>
      <c r="I14" s="16">
        <f>IFERROR(__xludf.DUMMYFUNCTION("""COMPUTED_VALUE"""),45758.6458333333)</f>
        <v>45758.6458333333</v>
      </c>
      <c r="J14" s="17">
        <f>IFERROR(__xludf.DUMMYFUNCTION("""COMPUTED_VALUE"""),2281)</f>
        <v>2281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IFERROR(__xludf.DUMMYFUNCTION("""COMPUTED_VALUE"""),2418.2)</f>
        <v>2418.2</v>
      </c>
      <c r="C15" s="16">
        <f>IFERROR(__xludf.DUMMYFUNCTION("""COMPUTED_VALUE"""),45762.6458333333)</f>
        <v>45762.6458333333</v>
      </c>
      <c r="D15" s="17">
        <f>IFERROR(__xludf.DUMMYFUNCTION("""COMPUTED_VALUE"""),2375)</f>
        <v>2375</v>
      </c>
      <c r="E15" s="16">
        <f>IFERROR(__xludf.DUMMYFUNCTION("""COMPUTED_VALUE"""),45762.6458333333)</f>
        <v>45762.6458333333</v>
      </c>
      <c r="F15" s="17">
        <f>IFERROR(__xludf.DUMMYFUNCTION("""COMPUTED_VALUE"""),1145125)</f>
        <v>1145125</v>
      </c>
      <c r="G15" s="16">
        <f>IFERROR(__xludf.DUMMYFUNCTION("""COMPUTED_VALUE"""),45762.6458333333)</f>
        <v>45762.6458333333</v>
      </c>
      <c r="H15" s="17">
        <f>IFERROR(__xludf.DUMMYFUNCTION("""COMPUTED_VALUE"""),2440)</f>
        <v>2440</v>
      </c>
      <c r="I15" s="16">
        <f>IFERROR(__xludf.DUMMYFUNCTION("""COMPUTED_VALUE"""),45762.6458333333)</f>
        <v>45762.6458333333</v>
      </c>
      <c r="J15" s="17">
        <f>IFERROR(__xludf.DUMMYFUNCTION("""COMPUTED_VALUE"""),2359)</f>
        <v>2359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IFERROR(__xludf.DUMMYFUNCTION("""COMPUTED_VALUE"""),2415.6)</f>
        <v>2415.6</v>
      </c>
      <c r="C16" s="16">
        <f>IFERROR(__xludf.DUMMYFUNCTION("""COMPUTED_VALUE"""),45763.6458333333)</f>
        <v>45763.6458333333</v>
      </c>
      <c r="D16" s="17">
        <f>IFERROR(__xludf.DUMMYFUNCTION("""COMPUTED_VALUE"""),2400)</f>
        <v>2400</v>
      </c>
      <c r="E16" s="16">
        <f>IFERROR(__xludf.DUMMYFUNCTION("""COMPUTED_VALUE"""),45763.6458333333)</f>
        <v>45763.6458333333</v>
      </c>
      <c r="F16" s="17">
        <f>IFERROR(__xludf.DUMMYFUNCTION("""COMPUTED_VALUE"""),889949)</f>
        <v>889949</v>
      </c>
      <c r="G16" s="16">
        <f>IFERROR(__xludf.DUMMYFUNCTION("""COMPUTED_VALUE"""),45763.6458333333)</f>
        <v>45763.6458333333</v>
      </c>
      <c r="H16" s="17">
        <f>IFERROR(__xludf.DUMMYFUNCTION("""COMPUTED_VALUE"""),2428)</f>
        <v>2428</v>
      </c>
      <c r="I16" s="16">
        <f>IFERROR(__xludf.DUMMYFUNCTION("""COMPUTED_VALUE"""),45763.6458333333)</f>
        <v>45763.6458333333</v>
      </c>
      <c r="J16" s="17">
        <f>IFERROR(__xludf.DUMMYFUNCTION("""COMPUTED_VALUE"""),2382.9)</f>
        <v>2382.9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IFERROR(__xludf.DUMMYFUNCTION("""COMPUTED_VALUE"""),2418.1)</f>
        <v>2418.1</v>
      </c>
      <c r="C17" s="16">
        <f>IFERROR(__xludf.DUMMYFUNCTION("""COMPUTED_VALUE"""),45764.6458333333)</f>
        <v>45764.6458333333</v>
      </c>
      <c r="D17" s="17">
        <f>IFERROR(__xludf.DUMMYFUNCTION("""COMPUTED_VALUE"""),2418)</f>
        <v>2418</v>
      </c>
      <c r="E17" s="16">
        <f>IFERROR(__xludf.DUMMYFUNCTION("""COMPUTED_VALUE"""),45764.6458333333)</f>
        <v>45764.6458333333</v>
      </c>
      <c r="F17" s="17">
        <f>IFERROR(__xludf.DUMMYFUNCTION("""COMPUTED_VALUE"""),1054797)</f>
        <v>1054797</v>
      </c>
      <c r="G17" s="16">
        <f>IFERROR(__xludf.DUMMYFUNCTION("""COMPUTED_VALUE"""),45764.6458333333)</f>
        <v>45764.6458333333</v>
      </c>
      <c r="H17" s="17">
        <f>IFERROR(__xludf.DUMMYFUNCTION("""COMPUTED_VALUE"""),2448.6)</f>
        <v>2448.6</v>
      </c>
      <c r="I17" s="16">
        <f>IFERROR(__xludf.DUMMYFUNCTION("""COMPUTED_VALUE"""),45764.6458333333)</f>
        <v>45764.6458333333</v>
      </c>
      <c r="J17" s="17">
        <f>IFERROR(__xludf.DUMMYFUNCTION("""COMPUTED_VALUE"""),2392)</f>
        <v>2392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IFERROR(__xludf.DUMMYFUNCTION("""COMPUTED_VALUE"""),2442.7)</f>
        <v>2442.7</v>
      </c>
      <c r="C18" s="16">
        <f>IFERROR(__xludf.DUMMYFUNCTION("""COMPUTED_VALUE"""),45768.6458333333)</f>
        <v>45768.6458333333</v>
      </c>
      <c r="D18" s="17">
        <f>IFERROR(__xludf.DUMMYFUNCTION("""COMPUTED_VALUE"""),2426.1)</f>
        <v>2426.1</v>
      </c>
      <c r="E18" s="16">
        <f>IFERROR(__xludf.DUMMYFUNCTION("""COMPUTED_VALUE"""),45768.6458333333)</f>
        <v>45768.6458333333</v>
      </c>
      <c r="F18" s="17">
        <f>IFERROR(__xludf.DUMMYFUNCTION("""COMPUTED_VALUE"""),782559)</f>
        <v>782559</v>
      </c>
      <c r="G18" s="16">
        <f>IFERROR(__xludf.DUMMYFUNCTION("""COMPUTED_VALUE"""),45768.6458333333)</f>
        <v>45768.6458333333</v>
      </c>
      <c r="H18" s="17">
        <f>IFERROR(__xludf.DUMMYFUNCTION("""COMPUTED_VALUE"""),2464.9)</f>
        <v>2464.9</v>
      </c>
      <c r="I18" s="16">
        <f>IFERROR(__xludf.DUMMYFUNCTION("""COMPUTED_VALUE"""),45768.6458333333)</f>
        <v>45768.6458333333</v>
      </c>
      <c r="J18" s="17">
        <f>IFERROR(__xludf.DUMMYFUNCTION("""COMPUTED_VALUE"""),2395.5)</f>
        <v>2395.5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IFERROR(__xludf.DUMMYFUNCTION("""COMPUTED_VALUE"""),2445.5)</f>
        <v>2445.5</v>
      </c>
      <c r="C19" s="16">
        <f>IFERROR(__xludf.DUMMYFUNCTION("""COMPUTED_VALUE"""),45769.6458333333)</f>
        <v>45769.6458333333</v>
      </c>
      <c r="D19" s="17">
        <f>IFERROR(__xludf.DUMMYFUNCTION("""COMPUTED_VALUE"""),2458.9)</f>
        <v>2458.9</v>
      </c>
      <c r="E19" s="16">
        <f>IFERROR(__xludf.DUMMYFUNCTION("""COMPUTED_VALUE"""),45769.6458333333)</f>
        <v>45769.6458333333</v>
      </c>
      <c r="F19" s="17">
        <f>IFERROR(__xludf.DUMMYFUNCTION("""COMPUTED_VALUE"""),766567)</f>
        <v>766567</v>
      </c>
      <c r="G19" s="16">
        <f>IFERROR(__xludf.DUMMYFUNCTION("""COMPUTED_VALUE"""),45769.6458333333)</f>
        <v>45769.6458333333</v>
      </c>
      <c r="H19" s="17">
        <f>IFERROR(__xludf.DUMMYFUNCTION("""COMPUTED_VALUE"""),2483.4)</f>
        <v>2483.4</v>
      </c>
      <c r="I19" s="16">
        <f>IFERROR(__xludf.DUMMYFUNCTION("""COMPUTED_VALUE"""),45769.6458333333)</f>
        <v>45769.6458333333</v>
      </c>
      <c r="J19" s="17">
        <f>IFERROR(__xludf.DUMMYFUNCTION("""COMPUTED_VALUE"""),2441)</f>
        <v>2441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IFERROR(__xludf.DUMMYFUNCTION("""COMPUTED_VALUE"""),2453.6)</f>
        <v>2453.6</v>
      </c>
      <c r="C20" s="16">
        <f>IFERROR(__xludf.DUMMYFUNCTION("""COMPUTED_VALUE"""),45770.6458333333)</f>
        <v>45770.6458333333</v>
      </c>
      <c r="D20" s="17">
        <f>IFERROR(__xludf.DUMMYFUNCTION("""COMPUTED_VALUE"""),2460)</f>
        <v>2460</v>
      </c>
      <c r="E20" s="16">
        <f>IFERROR(__xludf.DUMMYFUNCTION("""COMPUTED_VALUE"""),45770.6458333333)</f>
        <v>45770.6458333333</v>
      </c>
      <c r="F20" s="17">
        <f>IFERROR(__xludf.DUMMYFUNCTION("""COMPUTED_VALUE"""),672262)</f>
        <v>672262</v>
      </c>
      <c r="G20" s="16">
        <f>IFERROR(__xludf.DUMMYFUNCTION("""COMPUTED_VALUE"""),45770.6458333333)</f>
        <v>45770.6458333333</v>
      </c>
      <c r="H20" s="17">
        <f>IFERROR(__xludf.DUMMYFUNCTION("""COMPUTED_VALUE"""),2473.8)</f>
        <v>2473.8</v>
      </c>
      <c r="I20" s="16">
        <f>IFERROR(__xludf.DUMMYFUNCTION("""COMPUTED_VALUE"""),45770.6458333333)</f>
        <v>45770.6458333333</v>
      </c>
      <c r="J20" s="17">
        <f>IFERROR(__xludf.DUMMYFUNCTION("""COMPUTED_VALUE"""),2421.2)</f>
        <v>2421.2</v>
      </c>
      <c r="K20" s="3">
        <f t="shared" si="2"/>
        <v>2453.6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IFERROR(__xludf.DUMMYFUNCTION("""COMPUTED_VALUE"""),2442.5)</f>
        <v>2442.5</v>
      </c>
      <c r="C21" s="16">
        <f>IFERROR(__xludf.DUMMYFUNCTION("""COMPUTED_VALUE"""),45771.6458333333)</f>
        <v>45771.6458333333</v>
      </c>
      <c r="D21" s="17">
        <f>IFERROR(__xludf.DUMMYFUNCTION("""COMPUTED_VALUE"""),2450)</f>
        <v>2450</v>
      </c>
      <c r="E21" s="16">
        <f>IFERROR(__xludf.DUMMYFUNCTION("""COMPUTED_VALUE"""),45771.6458333333)</f>
        <v>45771.6458333333</v>
      </c>
      <c r="F21" s="17">
        <f>IFERROR(__xludf.DUMMYFUNCTION("""COMPUTED_VALUE"""),596696)</f>
        <v>596696</v>
      </c>
      <c r="G21" s="16">
        <f>IFERROR(__xludf.DUMMYFUNCTION("""COMPUTED_VALUE"""),45771.6458333333)</f>
        <v>45771.6458333333</v>
      </c>
      <c r="H21" s="17">
        <f>IFERROR(__xludf.DUMMYFUNCTION("""COMPUTED_VALUE"""),2461.4)</f>
        <v>2461.4</v>
      </c>
      <c r="I21" s="16">
        <f>IFERROR(__xludf.DUMMYFUNCTION("""COMPUTED_VALUE"""),45771.6458333333)</f>
        <v>45771.6458333333</v>
      </c>
      <c r="J21" s="17">
        <f>IFERROR(__xludf.DUMMYFUNCTION("""COMPUTED_VALUE"""),2425.1)</f>
        <v>2425.1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IFERROR(__xludf.DUMMYFUNCTION("""COMPUTED_VALUE"""),2354.3)</f>
        <v>2354.3</v>
      </c>
      <c r="C22" s="16">
        <f>IFERROR(__xludf.DUMMYFUNCTION("""COMPUTED_VALUE"""),45772.6458333333)</f>
        <v>45772.6458333333</v>
      </c>
      <c r="D22" s="17">
        <f>IFERROR(__xludf.DUMMYFUNCTION("""COMPUTED_VALUE"""),2450.1)</f>
        <v>2450.1</v>
      </c>
      <c r="E22" s="16">
        <f>IFERROR(__xludf.DUMMYFUNCTION("""COMPUTED_VALUE"""),45772.6458333333)</f>
        <v>45772.6458333333</v>
      </c>
      <c r="F22" s="17">
        <f>IFERROR(__xludf.DUMMYFUNCTION("""COMPUTED_VALUE"""),1414809)</f>
        <v>1414809</v>
      </c>
      <c r="G22" s="16">
        <f>IFERROR(__xludf.DUMMYFUNCTION("""COMPUTED_VALUE"""),45772.6458333333)</f>
        <v>45772.6458333333</v>
      </c>
      <c r="H22" s="17">
        <f>IFERROR(__xludf.DUMMYFUNCTION("""COMPUTED_VALUE"""),2459.5)</f>
        <v>2459.5</v>
      </c>
      <c r="I22" s="16">
        <f>IFERROR(__xludf.DUMMYFUNCTION("""COMPUTED_VALUE"""),45772.6458333333)</f>
        <v>45772.6458333333</v>
      </c>
      <c r="J22" s="17">
        <f>IFERROR(__xludf.DUMMYFUNCTION("""COMPUTED_VALUE"""),2323.5)</f>
        <v>2323.5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IFERROR(__xludf.DUMMYFUNCTION("""COMPUTED_VALUE"""),2369.8)</f>
        <v>2369.8</v>
      </c>
      <c r="C23" s="16">
        <f>IFERROR(__xludf.DUMMYFUNCTION("""COMPUTED_VALUE"""),45775.6458333333)</f>
        <v>45775.6458333333</v>
      </c>
      <c r="D23" s="17">
        <f>IFERROR(__xludf.DUMMYFUNCTION("""COMPUTED_VALUE"""),2346)</f>
        <v>2346</v>
      </c>
      <c r="E23" s="16">
        <f>IFERROR(__xludf.DUMMYFUNCTION("""COMPUTED_VALUE"""),45775.6458333333)</f>
        <v>45775.6458333333</v>
      </c>
      <c r="F23" s="17">
        <f>IFERROR(__xludf.DUMMYFUNCTION("""COMPUTED_VALUE"""),681421)</f>
        <v>681421</v>
      </c>
      <c r="G23" s="16">
        <f>IFERROR(__xludf.DUMMYFUNCTION("""COMPUTED_VALUE"""),45775.6458333333)</f>
        <v>45775.6458333333</v>
      </c>
      <c r="H23" s="17">
        <f>IFERROR(__xludf.DUMMYFUNCTION("""COMPUTED_VALUE"""),2402)</f>
        <v>2402</v>
      </c>
      <c r="I23" s="16">
        <f>IFERROR(__xludf.DUMMYFUNCTION("""COMPUTED_VALUE"""),45775.6458333333)</f>
        <v>45775.6458333333</v>
      </c>
      <c r="J23" s="17">
        <f>IFERROR(__xludf.DUMMYFUNCTION("""COMPUTED_VALUE"""),2337.6)</f>
        <v>2337.6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IFERROR(__xludf.DUMMYFUNCTION("""COMPUTED_VALUE"""),2330.6)</f>
        <v>2330.6</v>
      </c>
      <c r="C24" s="16">
        <f>IFERROR(__xludf.DUMMYFUNCTION("""COMPUTED_VALUE"""),45776.6458333333)</f>
        <v>45776.6458333333</v>
      </c>
      <c r="D24" s="17">
        <f>IFERROR(__xludf.DUMMYFUNCTION("""COMPUTED_VALUE"""),2392)</f>
        <v>2392</v>
      </c>
      <c r="E24" s="16">
        <f>IFERROR(__xludf.DUMMYFUNCTION("""COMPUTED_VALUE"""),45776.6458333333)</f>
        <v>45776.6458333333</v>
      </c>
      <c r="F24" s="17">
        <f>IFERROR(__xludf.DUMMYFUNCTION("""COMPUTED_VALUE"""),670730)</f>
        <v>670730</v>
      </c>
      <c r="G24" s="16">
        <f>IFERROR(__xludf.DUMMYFUNCTION("""COMPUTED_VALUE"""),45776.6458333333)</f>
        <v>45776.6458333333</v>
      </c>
      <c r="H24" s="17">
        <f>IFERROR(__xludf.DUMMYFUNCTION("""COMPUTED_VALUE"""),2400)</f>
        <v>2400</v>
      </c>
      <c r="I24" s="16">
        <f>IFERROR(__xludf.DUMMYFUNCTION("""COMPUTED_VALUE"""),45776.6458333333)</f>
        <v>45776.6458333333</v>
      </c>
      <c r="J24" s="17">
        <f>IFERROR(__xludf.DUMMYFUNCTION("""COMPUTED_VALUE"""),2325.6)</f>
        <v>2325.6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IFERROR(__xludf.DUMMYFUNCTION("""COMPUTED_VALUE"""),2301.3)</f>
        <v>2301.3</v>
      </c>
      <c r="C25" s="16">
        <f>IFERROR(__xludf.DUMMYFUNCTION("""COMPUTED_VALUE"""),45777.6458333333)</f>
        <v>45777.6458333333</v>
      </c>
      <c r="D25" s="17">
        <f>IFERROR(__xludf.DUMMYFUNCTION("""COMPUTED_VALUE"""),2331.4)</f>
        <v>2331.4</v>
      </c>
      <c r="E25" s="16">
        <f>IFERROR(__xludf.DUMMYFUNCTION("""COMPUTED_VALUE"""),45777.6458333333)</f>
        <v>45777.6458333333</v>
      </c>
      <c r="F25" s="17">
        <f>IFERROR(__xludf.DUMMYFUNCTION("""COMPUTED_VALUE"""),837464)</f>
        <v>837464</v>
      </c>
      <c r="G25" s="16">
        <f>IFERROR(__xludf.DUMMYFUNCTION("""COMPUTED_VALUE"""),45777.6458333333)</f>
        <v>45777.6458333333</v>
      </c>
      <c r="H25" s="17">
        <f>IFERROR(__xludf.DUMMYFUNCTION("""COMPUTED_VALUE"""),2340)</f>
        <v>2340</v>
      </c>
      <c r="I25" s="16">
        <f>IFERROR(__xludf.DUMMYFUNCTION("""COMPUTED_VALUE"""),45777.6458333333)</f>
        <v>45777.6458333333</v>
      </c>
      <c r="J25" s="17">
        <f>IFERROR(__xludf.DUMMYFUNCTION("""COMPUTED_VALUE"""),2285)</f>
        <v>2285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IFERROR(__xludf.DUMMYFUNCTION("""COMPUTED_VALUE"""),2294.2)</f>
        <v>2294.2</v>
      </c>
      <c r="C26" s="16">
        <f>IFERROR(__xludf.DUMMYFUNCTION("""COMPUTED_VALUE"""),45779.6458333333)</f>
        <v>45779.6458333333</v>
      </c>
      <c r="D26" s="17">
        <f>IFERROR(__xludf.DUMMYFUNCTION("""COMPUTED_VALUE"""),2349.9)</f>
        <v>2349.9</v>
      </c>
      <c r="E26" s="16">
        <f>IFERROR(__xludf.DUMMYFUNCTION("""COMPUTED_VALUE"""),45779.6458333333)</f>
        <v>45779.6458333333</v>
      </c>
      <c r="F26" s="17">
        <f>IFERROR(__xludf.DUMMYFUNCTION("""COMPUTED_VALUE"""),1695797)</f>
        <v>1695797</v>
      </c>
      <c r="G26" s="16">
        <f>IFERROR(__xludf.DUMMYFUNCTION("""COMPUTED_VALUE"""),45779.6458333333)</f>
        <v>45779.6458333333</v>
      </c>
      <c r="H26" s="17">
        <f>IFERROR(__xludf.DUMMYFUNCTION("""COMPUTED_VALUE"""),2372.4)</f>
        <v>2372.4</v>
      </c>
      <c r="I26" s="16">
        <f>IFERROR(__xludf.DUMMYFUNCTION("""COMPUTED_VALUE"""),45779.6458333333)</f>
        <v>45779.6458333333</v>
      </c>
      <c r="J26" s="17">
        <f>IFERROR(__xludf.DUMMYFUNCTION("""COMPUTED_VALUE"""),2290)</f>
        <v>2290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IFERROR(__xludf.DUMMYFUNCTION("""COMPUTED_VALUE"""),2455.5)</f>
        <v>2455.5</v>
      </c>
      <c r="C27" s="16">
        <f>IFERROR(__xludf.DUMMYFUNCTION("""COMPUTED_VALUE"""),45782.6458333333)</f>
        <v>45782.6458333333</v>
      </c>
      <c r="D27" s="17">
        <f>IFERROR(__xludf.DUMMYFUNCTION("""COMPUTED_VALUE"""),2312.6)</f>
        <v>2312.6</v>
      </c>
      <c r="E27" s="16">
        <f>IFERROR(__xludf.DUMMYFUNCTION("""COMPUTED_VALUE"""),45782.6458333333)</f>
        <v>45782.6458333333</v>
      </c>
      <c r="F27" s="17">
        <f>IFERROR(__xludf.DUMMYFUNCTION("""COMPUTED_VALUE"""),4227194)</f>
        <v>4227194</v>
      </c>
      <c r="G27" s="16">
        <f>IFERROR(__xludf.DUMMYFUNCTION("""COMPUTED_VALUE"""),45782.6458333333)</f>
        <v>45782.6458333333</v>
      </c>
      <c r="H27" s="17">
        <f>IFERROR(__xludf.DUMMYFUNCTION("""COMPUTED_VALUE"""),2497)</f>
        <v>2497</v>
      </c>
      <c r="I27" s="16">
        <f>IFERROR(__xludf.DUMMYFUNCTION("""COMPUTED_VALUE"""),45782.6458333333)</f>
        <v>45782.6458333333</v>
      </c>
      <c r="J27" s="17">
        <f>IFERROR(__xludf.DUMMYFUNCTION("""COMPUTED_VALUE"""),2297.8)</f>
        <v>2297.8</v>
      </c>
      <c r="K27" s="3">
        <f t="shared" si="2"/>
        <v>2455.5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IFERROR(__xludf.DUMMYFUNCTION("""COMPUTED_VALUE"""),2354)</f>
        <v>2354</v>
      </c>
      <c r="C28" s="16">
        <f>IFERROR(__xludf.DUMMYFUNCTION("""COMPUTED_VALUE"""),45783.6458333333)</f>
        <v>45783.6458333333</v>
      </c>
      <c r="D28" s="17">
        <f>IFERROR(__xludf.DUMMYFUNCTION("""COMPUTED_VALUE"""),2454)</f>
        <v>2454</v>
      </c>
      <c r="E28" s="16">
        <f>IFERROR(__xludf.DUMMYFUNCTION("""COMPUTED_VALUE"""),45783.6458333333)</f>
        <v>45783.6458333333</v>
      </c>
      <c r="F28" s="17">
        <f>IFERROR(__xludf.DUMMYFUNCTION("""COMPUTED_VALUE"""),1524692)</f>
        <v>1524692</v>
      </c>
      <c r="G28" s="16">
        <f>IFERROR(__xludf.DUMMYFUNCTION("""COMPUTED_VALUE"""),45783.6458333333)</f>
        <v>45783.6458333333</v>
      </c>
      <c r="H28" s="17">
        <f>IFERROR(__xludf.DUMMYFUNCTION("""COMPUTED_VALUE"""),2463.2)</f>
        <v>2463.2</v>
      </c>
      <c r="I28" s="16">
        <f>IFERROR(__xludf.DUMMYFUNCTION("""COMPUTED_VALUE"""),45783.6458333333)</f>
        <v>45783.6458333333</v>
      </c>
      <c r="J28" s="17">
        <f>IFERROR(__xludf.DUMMYFUNCTION("""COMPUTED_VALUE"""),2343.5)</f>
        <v>2343.5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IFERROR(__xludf.DUMMYFUNCTION("""COMPUTED_VALUE"""),2353.1)</f>
        <v>2353.1</v>
      </c>
      <c r="C29" s="16">
        <f>IFERROR(__xludf.DUMMYFUNCTION("""COMPUTED_VALUE"""),45784.6458333333)</f>
        <v>45784.6458333333</v>
      </c>
      <c r="D29" s="17">
        <f>IFERROR(__xludf.DUMMYFUNCTION("""COMPUTED_VALUE"""),2315)</f>
        <v>2315</v>
      </c>
      <c r="E29" s="16">
        <f>IFERROR(__xludf.DUMMYFUNCTION("""COMPUTED_VALUE"""),45784.6458333333)</f>
        <v>45784.6458333333</v>
      </c>
      <c r="F29" s="17">
        <f>IFERROR(__xludf.DUMMYFUNCTION("""COMPUTED_VALUE"""),1012640)</f>
        <v>1012640</v>
      </c>
      <c r="G29" s="16">
        <f>IFERROR(__xludf.DUMMYFUNCTION("""COMPUTED_VALUE"""),45784.6458333333)</f>
        <v>45784.6458333333</v>
      </c>
      <c r="H29" s="17">
        <f>IFERROR(__xludf.DUMMYFUNCTION("""COMPUTED_VALUE"""),2379.5)</f>
        <v>2379.5</v>
      </c>
      <c r="I29" s="16">
        <f>IFERROR(__xludf.DUMMYFUNCTION("""COMPUTED_VALUE"""),45784.6458333333)</f>
        <v>45784.6458333333</v>
      </c>
      <c r="J29" s="17">
        <f>IFERROR(__xludf.DUMMYFUNCTION("""COMPUTED_VALUE"""),2315)</f>
        <v>2315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IFERROR(__xludf.DUMMYFUNCTION("""COMPUTED_VALUE"""),2285.3)</f>
        <v>2285.3</v>
      </c>
      <c r="C30" s="16">
        <f>IFERROR(__xludf.DUMMYFUNCTION("""COMPUTED_VALUE"""),45785.6458333333)</f>
        <v>45785.6458333333</v>
      </c>
      <c r="D30" s="17">
        <f>IFERROR(__xludf.DUMMYFUNCTION("""COMPUTED_VALUE"""),2362)</f>
        <v>2362</v>
      </c>
      <c r="E30" s="16">
        <f>IFERROR(__xludf.DUMMYFUNCTION("""COMPUTED_VALUE"""),45785.6458333333)</f>
        <v>45785.6458333333</v>
      </c>
      <c r="F30" s="17">
        <f>IFERROR(__xludf.DUMMYFUNCTION("""COMPUTED_VALUE"""),1380069)</f>
        <v>1380069</v>
      </c>
      <c r="G30" s="16">
        <f>IFERROR(__xludf.DUMMYFUNCTION("""COMPUTED_VALUE"""),45785.6458333333)</f>
        <v>45785.6458333333</v>
      </c>
      <c r="H30" s="17">
        <f>IFERROR(__xludf.DUMMYFUNCTION("""COMPUTED_VALUE"""),2367.8)</f>
        <v>2367.8</v>
      </c>
      <c r="I30" s="16">
        <f>IFERROR(__xludf.DUMMYFUNCTION("""COMPUTED_VALUE"""),45785.6458333333)</f>
        <v>45785.6458333333</v>
      </c>
      <c r="J30" s="17">
        <f>IFERROR(__xludf.DUMMYFUNCTION("""COMPUTED_VALUE"""),2260)</f>
        <v>2260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IFERROR(__xludf.DUMMYFUNCTION("""COMPUTED_VALUE"""),2251)</f>
        <v>2251</v>
      </c>
      <c r="C31" s="16">
        <f>IFERROR(__xludf.DUMMYFUNCTION("""COMPUTED_VALUE"""),45786.6458333333)</f>
        <v>45786.6458333333</v>
      </c>
      <c r="D31" s="17">
        <f>IFERROR(__xludf.DUMMYFUNCTION("""COMPUTED_VALUE"""),2240)</f>
        <v>2240</v>
      </c>
      <c r="E31" s="16">
        <f>IFERROR(__xludf.DUMMYFUNCTION("""COMPUTED_VALUE"""),45786.6458333333)</f>
        <v>45786.6458333333</v>
      </c>
      <c r="F31" s="17">
        <f>IFERROR(__xludf.DUMMYFUNCTION("""COMPUTED_VALUE"""),1006000)</f>
        <v>1006000</v>
      </c>
      <c r="G31" s="16">
        <f>IFERROR(__xludf.DUMMYFUNCTION("""COMPUTED_VALUE"""),45786.6458333333)</f>
        <v>45786.6458333333</v>
      </c>
      <c r="H31" s="17">
        <f>IFERROR(__xludf.DUMMYFUNCTION("""COMPUTED_VALUE"""),2273.1)</f>
        <v>2273.1</v>
      </c>
      <c r="I31" s="16">
        <f>IFERROR(__xludf.DUMMYFUNCTION("""COMPUTED_VALUE"""),45786.6458333333)</f>
        <v>45786.6458333333</v>
      </c>
      <c r="J31" s="17">
        <f>IFERROR(__xludf.DUMMYFUNCTION("""COMPUTED_VALUE"""),2233)</f>
        <v>2233</v>
      </c>
      <c r="K31" s="3">
        <f t="shared" si="2"/>
        <v>0</v>
      </c>
      <c r="L31" s="3">
        <f t="shared" si="3"/>
        <v>2251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IFERROR(__xludf.DUMMYFUNCTION("""COMPUTED_VALUE"""),2425.3)</f>
        <v>2425.3</v>
      </c>
      <c r="C32" s="16">
        <f>IFERROR(__xludf.DUMMYFUNCTION("""COMPUTED_VALUE"""),45789.6458333333)</f>
        <v>45789.6458333333</v>
      </c>
      <c r="D32" s="17">
        <f>IFERROR(__xludf.DUMMYFUNCTION("""COMPUTED_VALUE"""),2350)</f>
        <v>2350</v>
      </c>
      <c r="E32" s="16">
        <f>IFERROR(__xludf.DUMMYFUNCTION("""COMPUTED_VALUE"""),45789.6458333333)</f>
        <v>45789.6458333333</v>
      </c>
      <c r="F32" s="17">
        <f>IFERROR(__xludf.DUMMYFUNCTION("""COMPUTED_VALUE"""),2147039)</f>
        <v>2147039</v>
      </c>
      <c r="G32" s="16">
        <f>IFERROR(__xludf.DUMMYFUNCTION("""COMPUTED_VALUE"""),45789.6458333333)</f>
        <v>45789.6458333333</v>
      </c>
      <c r="H32" s="17">
        <f>IFERROR(__xludf.DUMMYFUNCTION("""COMPUTED_VALUE"""),2433.3)</f>
        <v>2433.3</v>
      </c>
      <c r="I32" s="16">
        <f>IFERROR(__xludf.DUMMYFUNCTION("""COMPUTED_VALUE"""),45789.6458333333)</f>
        <v>45789.6458333333</v>
      </c>
      <c r="J32" s="17">
        <f>IFERROR(__xludf.DUMMYFUNCTION("""COMPUTED_VALUE"""),2315)</f>
        <v>2315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IFERROR(__xludf.DUMMYFUNCTION("""COMPUTED_VALUE"""),2441.2)</f>
        <v>2441.2</v>
      </c>
      <c r="C33" s="16">
        <f>IFERROR(__xludf.DUMMYFUNCTION("""COMPUTED_VALUE"""),45790.6458333333)</f>
        <v>45790.6458333333</v>
      </c>
      <c r="D33" s="17">
        <f>IFERROR(__xludf.DUMMYFUNCTION("""COMPUTED_VALUE"""),2425)</f>
        <v>2425</v>
      </c>
      <c r="E33" s="16">
        <f>IFERROR(__xludf.DUMMYFUNCTION("""COMPUTED_VALUE"""),45790.6458333333)</f>
        <v>45790.6458333333</v>
      </c>
      <c r="F33" s="17">
        <f>IFERROR(__xludf.DUMMYFUNCTION("""COMPUTED_VALUE"""),1815179)</f>
        <v>1815179</v>
      </c>
      <c r="G33" s="16">
        <f>IFERROR(__xludf.DUMMYFUNCTION("""COMPUTED_VALUE"""),45790.6458333333)</f>
        <v>45790.6458333333</v>
      </c>
      <c r="H33" s="17">
        <f>IFERROR(__xludf.DUMMYFUNCTION("""COMPUTED_VALUE"""),2454.9)</f>
        <v>2454.9</v>
      </c>
      <c r="I33" s="16">
        <f>IFERROR(__xludf.DUMMYFUNCTION("""COMPUTED_VALUE"""),45790.6458333333)</f>
        <v>45790.6458333333</v>
      </c>
      <c r="J33" s="17">
        <f>IFERROR(__xludf.DUMMYFUNCTION("""COMPUTED_VALUE"""),2405)</f>
        <v>2405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IFERROR(__xludf.DUMMYFUNCTION("""COMPUTED_VALUE"""),2461.9)</f>
        <v>2461.9</v>
      </c>
      <c r="C34" s="16">
        <f>IFERROR(__xludf.DUMMYFUNCTION("""COMPUTED_VALUE"""),45791.6458333333)</f>
        <v>45791.6458333333</v>
      </c>
      <c r="D34" s="17">
        <f>IFERROR(__xludf.DUMMYFUNCTION("""COMPUTED_VALUE"""),2444.9)</f>
        <v>2444.9</v>
      </c>
      <c r="E34" s="16">
        <f>IFERROR(__xludf.DUMMYFUNCTION("""COMPUTED_VALUE"""),45791.6458333333)</f>
        <v>45791.6458333333</v>
      </c>
      <c r="F34" s="17">
        <f>IFERROR(__xludf.DUMMYFUNCTION("""COMPUTED_VALUE"""),774441)</f>
        <v>774441</v>
      </c>
      <c r="G34" s="16">
        <f>IFERROR(__xludf.DUMMYFUNCTION("""COMPUTED_VALUE"""),45791.6458333333)</f>
        <v>45791.6458333333</v>
      </c>
      <c r="H34" s="17">
        <f>IFERROR(__xludf.DUMMYFUNCTION("""COMPUTED_VALUE"""),2481.9)</f>
        <v>2481.9</v>
      </c>
      <c r="I34" s="16">
        <f>IFERROR(__xludf.DUMMYFUNCTION("""COMPUTED_VALUE"""),45791.6458333333)</f>
        <v>45791.6458333333</v>
      </c>
      <c r="J34" s="17">
        <f>IFERROR(__xludf.DUMMYFUNCTION("""COMPUTED_VALUE"""),2430.1)</f>
        <v>2430.1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IFERROR(__xludf.DUMMYFUNCTION("""COMPUTED_VALUE"""),2520)</f>
        <v>2520</v>
      </c>
      <c r="C35" s="16">
        <f>IFERROR(__xludf.DUMMYFUNCTION("""COMPUTED_VALUE"""),45792.6458333333)</f>
        <v>45792.6458333333</v>
      </c>
      <c r="D35" s="17">
        <f>IFERROR(__xludf.DUMMYFUNCTION("""COMPUTED_VALUE"""),2463.4)</f>
        <v>2463.4</v>
      </c>
      <c r="E35" s="16">
        <f>IFERROR(__xludf.DUMMYFUNCTION("""COMPUTED_VALUE"""),45792.6458333333)</f>
        <v>45792.6458333333</v>
      </c>
      <c r="F35" s="17">
        <f>IFERROR(__xludf.DUMMYFUNCTION("""COMPUTED_VALUE"""),1554801)</f>
        <v>1554801</v>
      </c>
      <c r="G35" s="16">
        <f>IFERROR(__xludf.DUMMYFUNCTION("""COMPUTED_VALUE"""),45792.6458333333)</f>
        <v>45792.6458333333</v>
      </c>
      <c r="H35" s="17">
        <f>IFERROR(__xludf.DUMMYFUNCTION("""COMPUTED_VALUE"""),2526.8)</f>
        <v>2526.8</v>
      </c>
      <c r="I35" s="16">
        <f>IFERROR(__xludf.DUMMYFUNCTION("""COMPUTED_VALUE"""),45792.6458333333)</f>
        <v>45792.6458333333</v>
      </c>
      <c r="J35" s="17">
        <f>IFERROR(__xludf.DUMMYFUNCTION("""COMPUTED_VALUE"""),2450.7)</f>
        <v>2450.7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IFERROR(__xludf.DUMMYFUNCTION("""COMPUTED_VALUE"""),2555)</f>
        <v>2555</v>
      </c>
      <c r="C36" s="16">
        <f>IFERROR(__xludf.DUMMYFUNCTION("""COMPUTED_VALUE"""),45793.6458333333)</f>
        <v>45793.6458333333</v>
      </c>
      <c r="D36" s="17">
        <f>IFERROR(__xludf.DUMMYFUNCTION("""COMPUTED_VALUE"""),2529)</f>
        <v>2529</v>
      </c>
      <c r="E36" s="16">
        <f>IFERROR(__xludf.DUMMYFUNCTION("""COMPUTED_VALUE"""),45793.6458333333)</f>
        <v>45793.6458333333</v>
      </c>
      <c r="F36" s="17">
        <f>IFERROR(__xludf.DUMMYFUNCTION("""COMPUTED_VALUE"""),1641135)</f>
        <v>1641135</v>
      </c>
      <c r="G36" s="16">
        <f>IFERROR(__xludf.DUMMYFUNCTION("""COMPUTED_VALUE"""),45793.6458333333)</f>
        <v>45793.6458333333</v>
      </c>
      <c r="H36" s="17">
        <f>IFERROR(__xludf.DUMMYFUNCTION("""COMPUTED_VALUE"""),2584.2)</f>
        <v>2584.2</v>
      </c>
      <c r="I36" s="16">
        <f>IFERROR(__xludf.DUMMYFUNCTION("""COMPUTED_VALUE"""),45793.6458333333)</f>
        <v>45793.6458333333</v>
      </c>
      <c r="J36" s="17">
        <f>IFERROR(__xludf.DUMMYFUNCTION("""COMPUTED_VALUE"""),2516.2)</f>
        <v>2516.2</v>
      </c>
      <c r="K36" s="3">
        <f t="shared" si="2"/>
        <v>2555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IFERROR(__xludf.DUMMYFUNCTION("""COMPUTED_VALUE"""),2540.6)</f>
        <v>2540.6</v>
      </c>
      <c r="C37" s="16">
        <f>IFERROR(__xludf.DUMMYFUNCTION("""COMPUTED_VALUE"""),45796.6458333333)</f>
        <v>45796.6458333333</v>
      </c>
      <c r="D37" s="17">
        <f>IFERROR(__xludf.DUMMYFUNCTION("""COMPUTED_VALUE"""),2571.3)</f>
        <v>2571.3</v>
      </c>
      <c r="E37" s="16">
        <f>IFERROR(__xludf.DUMMYFUNCTION("""COMPUTED_VALUE"""),45796.6458333333)</f>
        <v>45796.6458333333</v>
      </c>
      <c r="F37" s="17">
        <f>IFERROR(__xludf.DUMMYFUNCTION("""COMPUTED_VALUE"""),681000)</f>
        <v>681000</v>
      </c>
      <c r="G37" s="16">
        <f>IFERROR(__xludf.DUMMYFUNCTION("""COMPUTED_VALUE"""),45796.6458333333)</f>
        <v>45796.6458333333</v>
      </c>
      <c r="H37" s="17">
        <f>IFERROR(__xludf.DUMMYFUNCTION("""COMPUTED_VALUE"""),2578.8)</f>
        <v>2578.8</v>
      </c>
      <c r="I37" s="16">
        <f>IFERROR(__xludf.DUMMYFUNCTION("""COMPUTED_VALUE"""),45796.6458333333)</f>
        <v>45796.6458333333</v>
      </c>
      <c r="J37" s="17">
        <f>IFERROR(__xludf.DUMMYFUNCTION("""COMPUTED_VALUE"""),2536)</f>
        <v>2536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IFERROR(__xludf.DUMMYFUNCTION("""COMPUTED_VALUE"""),2501.6)</f>
        <v>2501.6</v>
      </c>
      <c r="C38" s="16">
        <f>IFERROR(__xludf.DUMMYFUNCTION("""COMPUTED_VALUE"""),45797.6458333333)</f>
        <v>45797.6458333333</v>
      </c>
      <c r="D38" s="17">
        <f>IFERROR(__xludf.DUMMYFUNCTION("""COMPUTED_VALUE"""),2545)</f>
        <v>2545</v>
      </c>
      <c r="E38" s="16">
        <f>IFERROR(__xludf.DUMMYFUNCTION("""COMPUTED_VALUE"""),45797.6458333333)</f>
        <v>45797.6458333333</v>
      </c>
      <c r="F38" s="17">
        <f>IFERROR(__xludf.DUMMYFUNCTION("""COMPUTED_VALUE"""),628023)</f>
        <v>628023</v>
      </c>
      <c r="G38" s="16">
        <f>IFERROR(__xludf.DUMMYFUNCTION("""COMPUTED_VALUE"""),45797.6458333333)</f>
        <v>45797.6458333333</v>
      </c>
      <c r="H38" s="17">
        <f>IFERROR(__xludf.DUMMYFUNCTION("""COMPUTED_VALUE"""),2564.8)</f>
        <v>2564.8</v>
      </c>
      <c r="I38" s="16">
        <f>IFERROR(__xludf.DUMMYFUNCTION("""COMPUTED_VALUE"""),45797.6458333333)</f>
        <v>45797.6458333333</v>
      </c>
      <c r="J38" s="17">
        <f>IFERROR(__xludf.DUMMYFUNCTION("""COMPUTED_VALUE"""),2492.5)</f>
        <v>2492.5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IFERROR(__xludf.DUMMYFUNCTION("""COMPUTED_VALUE"""),2500.4)</f>
        <v>2500.4</v>
      </c>
      <c r="C39" s="16">
        <f>IFERROR(__xludf.DUMMYFUNCTION("""COMPUTED_VALUE"""),45798.6458333333)</f>
        <v>45798.6458333333</v>
      </c>
      <c r="D39" s="17">
        <f>IFERROR(__xludf.DUMMYFUNCTION("""COMPUTED_VALUE"""),2509.7)</f>
        <v>2509.7</v>
      </c>
      <c r="E39" s="16">
        <f>IFERROR(__xludf.DUMMYFUNCTION("""COMPUTED_VALUE"""),45798.6458333333)</f>
        <v>45798.6458333333</v>
      </c>
      <c r="F39" s="17">
        <f>IFERROR(__xludf.DUMMYFUNCTION("""COMPUTED_VALUE"""),529234)</f>
        <v>529234</v>
      </c>
      <c r="G39" s="16">
        <f>IFERROR(__xludf.DUMMYFUNCTION("""COMPUTED_VALUE"""),45798.6458333333)</f>
        <v>45798.6458333333</v>
      </c>
      <c r="H39" s="17">
        <f>IFERROR(__xludf.DUMMYFUNCTION("""COMPUTED_VALUE"""),2524.5)</f>
        <v>2524.5</v>
      </c>
      <c r="I39" s="16">
        <f>IFERROR(__xludf.DUMMYFUNCTION("""COMPUTED_VALUE"""),45798.6458333333)</f>
        <v>45798.6458333333</v>
      </c>
      <c r="J39" s="17">
        <f>IFERROR(__xludf.DUMMYFUNCTION("""COMPUTED_VALUE"""),2483.7)</f>
        <v>2483.7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IFERROR(__xludf.DUMMYFUNCTION("""COMPUTED_VALUE"""),2487.6)</f>
        <v>2487.6</v>
      </c>
      <c r="C40" s="16">
        <f>IFERROR(__xludf.DUMMYFUNCTION("""COMPUTED_VALUE"""),45799.6458333333)</f>
        <v>45799.6458333333</v>
      </c>
      <c r="D40" s="17">
        <f>IFERROR(__xludf.DUMMYFUNCTION("""COMPUTED_VALUE"""),2500.4)</f>
        <v>2500.4</v>
      </c>
      <c r="E40" s="16">
        <f>IFERROR(__xludf.DUMMYFUNCTION("""COMPUTED_VALUE"""),45799.6458333333)</f>
        <v>45799.6458333333</v>
      </c>
      <c r="F40" s="17">
        <f>IFERROR(__xludf.DUMMYFUNCTION("""COMPUTED_VALUE"""),906909)</f>
        <v>906909</v>
      </c>
      <c r="G40" s="16">
        <f>IFERROR(__xludf.DUMMYFUNCTION("""COMPUTED_VALUE"""),45799.6458333333)</f>
        <v>45799.6458333333</v>
      </c>
      <c r="H40" s="17">
        <f>IFERROR(__xludf.DUMMYFUNCTION("""COMPUTED_VALUE"""),2521.9)</f>
        <v>2521.9</v>
      </c>
      <c r="I40" s="16">
        <f>IFERROR(__xludf.DUMMYFUNCTION("""COMPUTED_VALUE"""),45799.6458333333)</f>
        <v>45799.6458333333</v>
      </c>
      <c r="J40" s="17">
        <f>IFERROR(__xludf.DUMMYFUNCTION("""COMPUTED_VALUE"""),2465.3)</f>
        <v>2465.3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IFERROR(__xludf.DUMMYFUNCTION("""COMPUTED_VALUE"""),2540)</f>
        <v>2540</v>
      </c>
      <c r="C41" s="16">
        <f>IFERROR(__xludf.DUMMYFUNCTION("""COMPUTED_VALUE"""),45800.6458333333)</f>
        <v>45800.6458333333</v>
      </c>
      <c r="D41" s="17">
        <f>IFERROR(__xludf.DUMMYFUNCTION("""COMPUTED_VALUE"""),2499)</f>
        <v>2499</v>
      </c>
      <c r="E41" s="16">
        <f>IFERROR(__xludf.DUMMYFUNCTION("""COMPUTED_VALUE"""),45800.6458333333)</f>
        <v>45800.6458333333</v>
      </c>
      <c r="F41" s="17">
        <f>IFERROR(__xludf.DUMMYFUNCTION("""COMPUTED_VALUE"""),968415)</f>
        <v>968415</v>
      </c>
      <c r="G41" s="16">
        <f>IFERROR(__xludf.DUMMYFUNCTION("""COMPUTED_VALUE"""),45800.6458333333)</f>
        <v>45800.6458333333</v>
      </c>
      <c r="H41" s="17">
        <f>IFERROR(__xludf.DUMMYFUNCTION("""COMPUTED_VALUE"""),2548.1)</f>
        <v>2548.1</v>
      </c>
      <c r="I41" s="16">
        <f>IFERROR(__xludf.DUMMYFUNCTION("""COMPUTED_VALUE"""),45800.6458333333)</f>
        <v>45800.6458333333</v>
      </c>
      <c r="J41" s="17">
        <f>IFERROR(__xludf.DUMMYFUNCTION("""COMPUTED_VALUE"""),2490.5)</f>
        <v>2490.5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IFERROR(__xludf.DUMMYFUNCTION("""COMPUTED_VALUE"""),2547.7)</f>
        <v>2547.7</v>
      </c>
      <c r="C42" s="16">
        <f>IFERROR(__xludf.DUMMYFUNCTION("""COMPUTED_VALUE"""),45803.6458333333)</f>
        <v>45803.6458333333</v>
      </c>
      <c r="D42" s="17">
        <f>IFERROR(__xludf.DUMMYFUNCTION("""COMPUTED_VALUE"""),2549.1)</f>
        <v>2549.1</v>
      </c>
      <c r="E42" s="16">
        <f>IFERROR(__xludf.DUMMYFUNCTION("""COMPUTED_VALUE"""),45803.6458333333)</f>
        <v>45803.6458333333</v>
      </c>
      <c r="F42" s="17">
        <f>IFERROR(__xludf.DUMMYFUNCTION("""COMPUTED_VALUE"""),552912)</f>
        <v>552912</v>
      </c>
      <c r="G42" s="16">
        <f>IFERROR(__xludf.DUMMYFUNCTION("""COMPUTED_VALUE"""),45803.6458333333)</f>
        <v>45803.6458333333</v>
      </c>
      <c r="H42" s="17">
        <f>IFERROR(__xludf.DUMMYFUNCTION("""COMPUTED_VALUE"""),2568.9)</f>
        <v>2568.9</v>
      </c>
      <c r="I42" s="16">
        <f>IFERROR(__xludf.DUMMYFUNCTION("""COMPUTED_VALUE"""),45803.6458333333)</f>
        <v>45803.6458333333</v>
      </c>
      <c r="J42" s="17">
        <f>IFERROR(__xludf.DUMMYFUNCTION("""COMPUTED_VALUE"""),2541.3)</f>
        <v>2541.3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IFERROR(__xludf.DUMMYFUNCTION("""COMPUTED_VALUE"""),2540.3)</f>
        <v>2540.3</v>
      </c>
      <c r="C43" s="16">
        <f>IFERROR(__xludf.DUMMYFUNCTION("""COMPUTED_VALUE"""),45804.6458333333)</f>
        <v>45804.6458333333</v>
      </c>
      <c r="D43" s="17">
        <f>IFERROR(__xludf.DUMMYFUNCTION("""COMPUTED_VALUE"""),2545.9)</f>
        <v>2545.9</v>
      </c>
      <c r="E43" s="16">
        <f>IFERROR(__xludf.DUMMYFUNCTION("""COMPUTED_VALUE"""),45804.6458333333)</f>
        <v>45804.6458333333</v>
      </c>
      <c r="F43" s="17">
        <f>IFERROR(__xludf.DUMMYFUNCTION("""COMPUTED_VALUE"""),514936)</f>
        <v>514936</v>
      </c>
      <c r="G43" s="16">
        <f>IFERROR(__xludf.DUMMYFUNCTION("""COMPUTED_VALUE"""),45804.6458333333)</f>
        <v>45804.6458333333</v>
      </c>
      <c r="H43" s="17">
        <f>IFERROR(__xludf.DUMMYFUNCTION("""COMPUTED_VALUE"""),2569.1)</f>
        <v>2569.1</v>
      </c>
      <c r="I43" s="16">
        <f>IFERROR(__xludf.DUMMYFUNCTION("""COMPUTED_VALUE"""),45804.6458333333)</f>
        <v>45804.6458333333</v>
      </c>
      <c r="J43" s="17">
        <f>IFERROR(__xludf.DUMMYFUNCTION("""COMPUTED_VALUE"""),2526.1)</f>
        <v>2526.1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IFERROR(__xludf.DUMMYFUNCTION("""COMPUTED_VALUE"""),2515)</f>
        <v>2515</v>
      </c>
      <c r="C44" s="16">
        <f>IFERROR(__xludf.DUMMYFUNCTION("""COMPUTED_VALUE"""),45805.6458333333)</f>
        <v>45805.6458333333</v>
      </c>
      <c r="D44" s="17">
        <f>IFERROR(__xludf.DUMMYFUNCTION("""COMPUTED_VALUE"""),2559)</f>
        <v>2559</v>
      </c>
      <c r="E44" s="16">
        <f>IFERROR(__xludf.DUMMYFUNCTION("""COMPUTED_VALUE"""),45805.6458333333)</f>
        <v>45805.6458333333</v>
      </c>
      <c r="F44" s="17">
        <f>IFERROR(__xludf.DUMMYFUNCTION("""COMPUTED_VALUE"""),575989)</f>
        <v>575989</v>
      </c>
      <c r="G44" s="16">
        <f>IFERROR(__xludf.DUMMYFUNCTION("""COMPUTED_VALUE"""),45805.6458333333)</f>
        <v>45805.6458333333</v>
      </c>
      <c r="H44" s="17">
        <f>IFERROR(__xludf.DUMMYFUNCTION("""COMPUTED_VALUE"""),2559)</f>
        <v>2559</v>
      </c>
      <c r="I44" s="16">
        <f>IFERROR(__xludf.DUMMYFUNCTION("""COMPUTED_VALUE"""),45805.6458333333)</f>
        <v>45805.6458333333</v>
      </c>
      <c r="J44" s="17">
        <f>IFERROR(__xludf.DUMMYFUNCTION("""COMPUTED_VALUE"""),2510)</f>
        <v>2510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IFERROR(__xludf.DUMMYFUNCTION("""COMPUTED_VALUE"""),2540.8)</f>
        <v>2540.8</v>
      </c>
      <c r="C45" s="16">
        <f>IFERROR(__xludf.DUMMYFUNCTION("""COMPUTED_VALUE"""),45806.6458333333)</f>
        <v>45806.6458333333</v>
      </c>
      <c r="D45" s="17">
        <f>IFERROR(__xludf.DUMMYFUNCTION("""COMPUTED_VALUE"""),2536.7)</f>
        <v>2536.7</v>
      </c>
      <c r="E45" s="16">
        <f>IFERROR(__xludf.DUMMYFUNCTION("""COMPUTED_VALUE"""),45806.6458333333)</f>
        <v>45806.6458333333</v>
      </c>
      <c r="F45" s="17">
        <f>IFERROR(__xludf.DUMMYFUNCTION("""COMPUTED_VALUE"""),802317)</f>
        <v>802317</v>
      </c>
      <c r="G45" s="16">
        <f>IFERROR(__xludf.DUMMYFUNCTION("""COMPUTED_VALUE"""),45806.6458333333)</f>
        <v>45806.6458333333</v>
      </c>
      <c r="H45" s="17">
        <f>IFERROR(__xludf.DUMMYFUNCTION("""COMPUTED_VALUE"""),2559)</f>
        <v>2559</v>
      </c>
      <c r="I45" s="16">
        <f>IFERROR(__xludf.DUMMYFUNCTION("""COMPUTED_VALUE"""),45806.6458333333)</f>
        <v>45806.6458333333</v>
      </c>
      <c r="J45" s="17">
        <f>IFERROR(__xludf.DUMMYFUNCTION("""COMPUTED_VALUE"""),2511)</f>
        <v>2511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IFERROR(__xludf.DUMMYFUNCTION("""COMPUTED_VALUE"""),2519.9)</f>
        <v>2519.9</v>
      </c>
      <c r="C46" s="16">
        <f>IFERROR(__xludf.DUMMYFUNCTION("""COMPUTED_VALUE"""),45807.6458333333)</f>
        <v>45807.6458333333</v>
      </c>
      <c r="D46" s="17">
        <f>IFERROR(__xludf.DUMMYFUNCTION("""COMPUTED_VALUE"""),2550)</f>
        <v>2550</v>
      </c>
      <c r="E46" s="16">
        <f>IFERROR(__xludf.DUMMYFUNCTION("""COMPUTED_VALUE"""),45807.6458333333)</f>
        <v>45807.6458333333</v>
      </c>
      <c r="F46" s="17">
        <f>IFERROR(__xludf.DUMMYFUNCTION("""COMPUTED_VALUE"""),684592)</f>
        <v>684592</v>
      </c>
      <c r="G46" s="16">
        <f>IFERROR(__xludf.DUMMYFUNCTION("""COMPUTED_VALUE"""),45807.6458333333)</f>
        <v>45807.6458333333</v>
      </c>
      <c r="H46" s="17">
        <f>IFERROR(__xludf.DUMMYFUNCTION("""COMPUTED_VALUE"""),2564)</f>
        <v>2564</v>
      </c>
      <c r="I46" s="16">
        <f>IFERROR(__xludf.DUMMYFUNCTION("""COMPUTED_VALUE"""),45807.6458333333)</f>
        <v>45807.6458333333</v>
      </c>
      <c r="J46" s="17">
        <f>IFERROR(__xludf.DUMMYFUNCTION("""COMPUTED_VALUE"""),2513.8)</f>
        <v>2513.8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IFERROR(__xludf.DUMMYFUNCTION("""COMPUTED_VALUE"""),2518.8)</f>
        <v>2518.8</v>
      </c>
      <c r="C47" s="16">
        <f>IFERROR(__xludf.DUMMYFUNCTION("""COMPUTED_VALUE"""),45810.6458333333)</f>
        <v>45810.6458333333</v>
      </c>
      <c r="D47" s="17">
        <f>IFERROR(__xludf.DUMMYFUNCTION("""COMPUTED_VALUE"""),2527)</f>
        <v>2527</v>
      </c>
      <c r="E47" s="16">
        <f>IFERROR(__xludf.DUMMYFUNCTION("""COMPUTED_VALUE"""),45810.6458333333)</f>
        <v>45810.6458333333</v>
      </c>
      <c r="F47" s="17">
        <f>IFERROR(__xludf.DUMMYFUNCTION("""COMPUTED_VALUE"""),1008716)</f>
        <v>1008716</v>
      </c>
      <c r="G47" s="16">
        <f>IFERROR(__xludf.DUMMYFUNCTION("""COMPUTED_VALUE"""),45810.6458333333)</f>
        <v>45810.6458333333</v>
      </c>
      <c r="H47" s="17">
        <f>IFERROR(__xludf.DUMMYFUNCTION("""COMPUTED_VALUE"""),2564)</f>
        <v>2564</v>
      </c>
      <c r="I47" s="16">
        <f>IFERROR(__xludf.DUMMYFUNCTION("""COMPUTED_VALUE"""),45810.6458333333)</f>
        <v>45810.6458333333</v>
      </c>
      <c r="J47" s="17">
        <f>IFERROR(__xludf.DUMMYFUNCTION("""COMPUTED_VALUE"""),2514.9)</f>
        <v>2514.9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IFERROR(__xludf.DUMMYFUNCTION("""COMPUTED_VALUE"""),2470.9)</f>
        <v>2470.9</v>
      </c>
      <c r="C48" s="16">
        <f>IFERROR(__xludf.DUMMYFUNCTION("""COMPUTED_VALUE"""),45811.6458333333)</f>
        <v>45811.6458333333</v>
      </c>
      <c r="D48" s="17">
        <f>IFERROR(__xludf.DUMMYFUNCTION("""COMPUTED_VALUE"""),2511)</f>
        <v>2511</v>
      </c>
      <c r="E48" s="16">
        <f>IFERROR(__xludf.DUMMYFUNCTION("""COMPUTED_VALUE"""),45811.6458333333)</f>
        <v>45811.6458333333</v>
      </c>
      <c r="F48" s="17">
        <f>IFERROR(__xludf.DUMMYFUNCTION("""COMPUTED_VALUE"""),962708)</f>
        <v>962708</v>
      </c>
      <c r="G48" s="16">
        <f>IFERROR(__xludf.DUMMYFUNCTION("""COMPUTED_VALUE"""),45811.6458333333)</f>
        <v>45811.6458333333</v>
      </c>
      <c r="H48" s="17">
        <f>IFERROR(__xludf.DUMMYFUNCTION("""COMPUTED_VALUE"""),2512.5)</f>
        <v>2512.5</v>
      </c>
      <c r="I48" s="16">
        <f>IFERROR(__xludf.DUMMYFUNCTION("""COMPUTED_VALUE"""),45811.6458333333)</f>
        <v>45811.6458333333</v>
      </c>
      <c r="J48" s="17">
        <f>IFERROR(__xludf.DUMMYFUNCTION("""COMPUTED_VALUE"""),2452)</f>
        <v>2452</v>
      </c>
      <c r="K48" s="3">
        <f t="shared" si="2"/>
        <v>0</v>
      </c>
      <c r="L48" s="3">
        <f t="shared" si="3"/>
        <v>2470.9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IFERROR(__xludf.DUMMYFUNCTION("""COMPUTED_VALUE"""),2489.4)</f>
        <v>2489.4</v>
      </c>
      <c r="C49" s="16">
        <f>IFERROR(__xludf.DUMMYFUNCTION("""COMPUTED_VALUE"""),45812.6458333333)</f>
        <v>45812.6458333333</v>
      </c>
      <c r="D49" s="17">
        <f>IFERROR(__xludf.DUMMYFUNCTION("""COMPUTED_VALUE"""),2480)</f>
        <v>2480</v>
      </c>
      <c r="E49" s="16">
        <f>IFERROR(__xludf.DUMMYFUNCTION("""COMPUTED_VALUE"""),45812.6458333333)</f>
        <v>45812.6458333333</v>
      </c>
      <c r="F49" s="17">
        <f>IFERROR(__xludf.DUMMYFUNCTION("""COMPUTED_VALUE"""),552667)</f>
        <v>552667</v>
      </c>
      <c r="G49" s="16">
        <f>IFERROR(__xludf.DUMMYFUNCTION("""COMPUTED_VALUE"""),45812.6458333333)</f>
        <v>45812.6458333333</v>
      </c>
      <c r="H49" s="17">
        <f>IFERROR(__xludf.DUMMYFUNCTION("""COMPUTED_VALUE"""),2503)</f>
        <v>2503</v>
      </c>
      <c r="I49" s="16">
        <f>IFERROR(__xludf.DUMMYFUNCTION("""COMPUTED_VALUE"""),45812.6458333333)</f>
        <v>45812.6458333333</v>
      </c>
      <c r="J49" s="17">
        <f>IFERROR(__xludf.DUMMYFUNCTION("""COMPUTED_VALUE"""),2441.1)</f>
        <v>2441.1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IFERROR(__xludf.DUMMYFUNCTION("""COMPUTED_VALUE"""),2504.4)</f>
        <v>2504.4</v>
      </c>
      <c r="C50" s="16">
        <f>IFERROR(__xludf.DUMMYFUNCTION("""COMPUTED_VALUE"""),45813.6458333333)</f>
        <v>45813.6458333333</v>
      </c>
      <c r="D50" s="17">
        <f>IFERROR(__xludf.DUMMYFUNCTION("""COMPUTED_VALUE"""),2495)</f>
        <v>2495</v>
      </c>
      <c r="E50" s="16">
        <f>IFERROR(__xludf.DUMMYFUNCTION("""COMPUTED_VALUE"""),45813.6458333333)</f>
        <v>45813.6458333333</v>
      </c>
      <c r="F50" s="17">
        <f>IFERROR(__xludf.DUMMYFUNCTION("""COMPUTED_VALUE"""),673209)</f>
        <v>673209</v>
      </c>
      <c r="G50" s="16">
        <f>IFERROR(__xludf.DUMMYFUNCTION("""COMPUTED_VALUE"""),45813.6458333333)</f>
        <v>45813.6458333333</v>
      </c>
      <c r="H50" s="17">
        <f>IFERROR(__xludf.DUMMYFUNCTION("""COMPUTED_VALUE"""),2530.1)</f>
        <v>2530.1</v>
      </c>
      <c r="I50" s="16">
        <f>IFERROR(__xludf.DUMMYFUNCTION("""COMPUTED_VALUE"""),45813.6458333333)</f>
        <v>45813.6458333333</v>
      </c>
      <c r="J50" s="17">
        <f>IFERROR(__xludf.DUMMYFUNCTION("""COMPUTED_VALUE"""),2487.5)</f>
        <v>2487.5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IFERROR(__xludf.DUMMYFUNCTION("""COMPUTED_VALUE"""),2534.2)</f>
        <v>2534.2</v>
      </c>
      <c r="C51" s="16">
        <f>IFERROR(__xludf.DUMMYFUNCTION("""COMPUTED_VALUE"""),45814.6458333333)</f>
        <v>45814.6458333333</v>
      </c>
      <c r="D51" s="17">
        <f>IFERROR(__xludf.DUMMYFUNCTION("""COMPUTED_VALUE"""),2514.9)</f>
        <v>2514.9</v>
      </c>
      <c r="E51" s="16">
        <f>IFERROR(__xludf.DUMMYFUNCTION("""COMPUTED_VALUE"""),45814.6458333333)</f>
        <v>45814.6458333333</v>
      </c>
      <c r="F51" s="17">
        <f>IFERROR(__xludf.DUMMYFUNCTION("""COMPUTED_VALUE"""),640680)</f>
        <v>640680</v>
      </c>
      <c r="G51" s="16">
        <f>IFERROR(__xludf.DUMMYFUNCTION("""COMPUTED_VALUE"""),45814.6458333333)</f>
        <v>45814.6458333333</v>
      </c>
      <c r="H51" s="17">
        <f>IFERROR(__xludf.DUMMYFUNCTION("""COMPUTED_VALUE"""),2553.3)</f>
        <v>2553.3</v>
      </c>
      <c r="I51" s="16">
        <f>IFERROR(__xludf.DUMMYFUNCTION("""COMPUTED_VALUE"""),45814.6458333333)</f>
        <v>45814.6458333333</v>
      </c>
      <c r="J51" s="17">
        <f>IFERROR(__xludf.DUMMYFUNCTION("""COMPUTED_VALUE"""),2504)</f>
        <v>2504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IFERROR(__xludf.DUMMYFUNCTION("""COMPUTED_VALUE"""),2582.1)</f>
        <v>2582.1</v>
      </c>
      <c r="C52" s="16">
        <f>IFERROR(__xludf.DUMMYFUNCTION("""COMPUTED_VALUE"""),45817.6458333333)</f>
        <v>45817.6458333333</v>
      </c>
      <c r="D52" s="17">
        <f>IFERROR(__xludf.DUMMYFUNCTION("""COMPUTED_VALUE"""),2545)</f>
        <v>2545</v>
      </c>
      <c r="E52" s="16">
        <f>IFERROR(__xludf.DUMMYFUNCTION("""COMPUTED_VALUE"""),45817.6458333333)</f>
        <v>45817.6458333333</v>
      </c>
      <c r="F52" s="17">
        <f>IFERROR(__xludf.DUMMYFUNCTION("""COMPUTED_VALUE"""),1711167)</f>
        <v>1711167</v>
      </c>
      <c r="G52" s="16">
        <f>IFERROR(__xludf.DUMMYFUNCTION("""COMPUTED_VALUE"""),45817.6458333333)</f>
        <v>45817.6458333333</v>
      </c>
      <c r="H52" s="17">
        <f>IFERROR(__xludf.DUMMYFUNCTION("""COMPUTED_VALUE"""),2604.1)</f>
        <v>2604.1</v>
      </c>
      <c r="I52" s="16">
        <f>IFERROR(__xludf.DUMMYFUNCTION("""COMPUTED_VALUE"""),45817.6458333333)</f>
        <v>45817.6458333333</v>
      </c>
      <c r="J52" s="17">
        <f>IFERROR(__xludf.DUMMYFUNCTION("""COMPUTED_VALUE"""),2524.5)</f>
        <v>2524.5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IFERROR(__xludf.DUMMYFUNCTION("""COMPUTED_VALUE"""),2613.1)</f>
        <v>2613.1</v>
      </c>
      <c r="C53" s="16">
        <f>IFERROR(__xludf.DUMMYFUNCTION("""COMPUTED_VALUE"""),45818.6458333333)</f>
        <v>45818.6458333333</v>
      </c>
      <c r="D53" s="17">
        <f>IFERROR(__xludf.DUMMYFUNCTION("""COMPUTED_VALUE"""),2600)</f>
        <v>2600</v>
      </c>
      <c r="E53" s="16">
        <f>IFERROR(__xludf.DUMMYFUNCTION("""COMPUTED_VALUE"""),45818.6458333333)</f>
        <v>45818.6458333333</v>
      </c>
      <c r="F53" s="17">
        <f>IFERROR(__xludf.DUMMYFUNCTION("""COMPUTED_VALUE"""),2084054)</f>
        <v>2084054</v>
      </c>
      <c r="G53" s="16">
        <f>IFERROR(__xludf.DUMMYFUNCTION("""COMPUTED_VALUE"""),45818.6458333333)</f>
        <v>45818.6458333333</v>
      </c>
      <c r="H53" s="17">
        <f>IFERROR(__xludf.DUMMYFUNCTION("""COMPUTED_VALUE"""),2663.2)</f>
        <v>2663.2</v>
      </c>
      <c r="I53" s="16">
        <f>IFERROR(__xludf.DUMMYFUNCTION("""COMPUTED_VALUE"""),45818.6458333333)</f>
        <v>45818.6458333333</v>
      </c>
      <c r="J53" s="17">
        <f>IFERROR(__xludf.DUMMYFUNCTION("""COMPUTED_VALUE"""),2577.7)</f>
        <v>2577.7</v>
      </c>
      <c r="K53" s="3">
        <f t="shared" si="2"/>
        <v>2613.1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IFERROR(__xludf.DUMMYFUNCTION("""COMPUTED_VALUE"""),2581.2)</f>
        <v>2581.2</v>
      </c>
      <c r="C54" s="16">
        <f>IFERROR(__xludf.DUMMYFUNCTION("""COMPUTED_VALUE"""),45819.6458333333)</f>
        <v>45819.6458333333</v>
      </c>
      <c r="D54" s="17">
        <f>IFERROR(__xludf.DUMMYFUNCTION("""COMPUTED_VALUE"""),2630)</f>
        <v>2630</v>
      </c>
      <c r="E54" s="16">
        <f>IFERROR(__xludf.DUMMYFUNCTION("""COMPUTED_VALUE"""),45819.6458333333)</f>
        <v>45819.6458333333</v>
      </c>
      <c r="F54" s="17">
        <f>IFERROR(__xludf.DUMMYFUNCTION("""COMPUTED_VALUE"""),745432)</f>
        <v>745432</v>
      </c>
      <c r="G54" s="16">
        <f>IFERROR(__xludf.DUMMYFUNCTION("""COMPUTED_VALUE"""),45819.6458333333)</f>
        <v>45819.6458333333</v>
      </c>
      <c r="H54" s="17">
        <f>IFERROR(__xludf.DUMMYFUNCTION("""COMPUTED_VALUE"""),2630.9)</f>
        <v>2630.9</v>
      </c>
      <c r="I54" s="16">
        <f>IFERROR(__xludf.DUMMYFUNCTION("""COMPUTED_VALUE"""),45819.6458333333)</f>
        <v>45819.6458333333</v>
      </c>
      <c r="J54" s="17">
        <f>IFERROR(__xludf.DUMMYFUNCTION("""COMPUTED_VALUE"""),2563.1)</f>
        <v>2563.1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IFERROR(__xludf.DUMMYFUNCTION("""COMPUTED_VALUE"""),2543.7)</f>
        <v>2543.7</v>
      </c>
      <c r="C55" s="16">
        <f>IFERROR(__xludf.DUMMYFUNCTION("""COMPUTED_VALUE"""),45820.6458333333)</f>
        <v>45820.6458333333</v>
      </c>
      <c r="D55" s="17">
        <f>IFERROR(__xludf.DUMMYFUNCTION("""COMPUTED_VALUE"""),2591.5)</f>
        <v>2591.5</v>
      </c>
      <c r="E55" s="16">
        <f>IFERROR(__xludf.DUMMYFUNCTION("""COMPUTED_VALUE"""),45820.6458333333)</f>
        <v>45820.6458333333</v>
      </c>
      <c r="F55" s="17">
        <f>IFERROR(__xludf.DUMMYFUNCTION("""COMPUTED_VALUE"""),955097)</f>
        <v>955097</v>
      </c>
      <c r="G55" s="16">
        <f>IFERROR(__xludf.DUMMYFUNCTION("""COMPUTED_VALUE"""),45820.6458333333)</f>
        <v>45820.6458333333</v>
      </c>
      <c r="H55" s="17">
        <f>IFERROR(__xludf.DUMMYFUNCTION("""COMPUTED_VALUE"""),2601.8)</f>
        <v>2601.8</v>
      </c>
      <c r="I55" s="16">
        <f>IFERROR(__xludf.DUMMYFUNCTION("""COMPUTED_VALUE"""),45820.6458333333)</f>
        <v>45820.6458333333</v>
      </c>
      <c r="J55" s="17">
        <f>IFERROR(__xludf.DUMMYFUNCTION("""COMPUTED_VALUE"""),2530)</f>
        <v>2530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IFERROR(__xludf.DUMMYFUNCTION("""COMPUTED_VALUE"""),2507.9)</f>
        <v>2507.9</v>
      </c>
      <c r="C56" s="16">
        <f>IFERROR(__xludf.DUMMYFUNCTION("""COMPUTED_VALUE"""),45821.6458333333)</f>
        <v>45821.6458333333</v>
      </c>
      <c r="D56" s="17">
        <f>IFERROR(__xludf.DUMMYFUNCTION("""COMPUTED_VALUE"""),2498)</f>
        <v>2498</v>
      </c>
      <c r="E56" s="16">
        <f>IFERROR(__xludf.DUMMYFUNCTION("""COMPUTED_VALUE"""),45821.6458333333)</f>
        <v>45821.6458333333</v>
      </c>
      <c r="F56" s="17">
        <f>IFERROR(__xludf.DUMMYFUNCTION("""COMPUTED_VALUE"""),695869)</f>
        <v>695869</v>
      </c>
      <c r="G56" s="16">
        <f>IFERROR(__xludf.DUMMYFUNCTION("""COMPUTED_VALUE"""),45821.6458333333)</f>
        <v>45821.6458333333</v>
      </c>
      <c r="H56" s="17">
        <f>IFERROR(__xludf.DUMMYFUNCTION("""COMPUTED_VALUE"""),2516)</f>
        <v>2516</v>
      </c>
      <c r="I56" s="16">
        <f>IFERROR(__xludf.DUMMYFUNCTION("""COMPUTED_VALUE"""),45821.6458333333)</f>
        <v>45821.6458333333</v>
      </c>
      <c r="J56" s="17">
        <f>IFERROR(__xludf.DUMMYFUNCTION("""COMPUTED_VALUE"""),2460)</f>
        <v>2460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IFERROR(__xludf.DUMMYFUNCTION("""COMPUTED_VALUE"""),2544)</f>
        <v>2544</v>
      </c>
      <c r="C57" s="16">
        <f>IFERROR(__xludf.DUMMYFUNCTION("""COMPUTED_VALUE"""),45824.6458333333)</f>
        <v>45824.6458333333</v>
      </c>
      <c r="D57" s="17">
        <f>IFERROR(__xludf.DUMMYFUNCTION("""COMPUTED_VALUE"""),2500)</f>
        <v>2500</v>
      </c>
      <c r="E57" s="16">
        <f>IFERROR(__xludf.DUMMYFUNCTION("""COMPUTED_VALUE"""),45824.6458333333)</f>
        <v>45824.6458333333</v>
      </c>
      <c r="F57" s="17">
        <f>IFERROR(__xludf.DUMMYFUNCTION("""COMPUTED_VALUE"""),956459)</f>
        <v>956459</v>
      </c>
      <c r="G57" s="16">
        <f>IFERROR(__xludf.DUMMYFUNCTION("""COMPUTED_VALUE"""),45824.6458333333)</f>
        <v>45824.6458333333</v>
      </c>
      <c r="H57" s="17">
        <f>IFERROR(__xludf.DUMMYFUNCTION("""COMPUTED_VALUE"""),2563.3)</f>
        <v>2563.3</v>
      </c>
      <c r="I57" s="16">
        <f>IFERROR(__xludf.DUMMYFUNCTION("""COMPUTED_VALUE"""),45824.6458333333)</f>
        <v>45824.6458333333</v>
      </c>
      <c r="J57" s="17">
        <f>IFERROR(__xludf.DUMMYFUNCTION("""COMPUTED_VALUE"""),2462)</f>
        <v>2462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IFERROR(__xludf.DUMMYFUNCTION("""COMPUTED_VALUE"""),2488.5)</f>
        <v>2488.5</v>
      </c>
      <c r="C58" s="16">
        <f>IFERROR(__xludf.DUMMYFUNCTION("""COMPUTED_VALUE"""),45825.6458333333)</f>
        <v>45825.6458333333</v>
      </c>
      <c r="D58" s="17">
        <f>IFERROR(__xludf.DUMMYFUNCTION("""COMPUTED_VALUE"""),2535)</f>
        <v>2535</v>
      </c>
      <c r="E58" s="16">
        <f>IFERROR(__xludf.DUMMYFUNCTION("""COMPUTED_VALUE"""),45825.6458333333)</f>
        <v>45825.6458333333</v>
      </c>
      <c r="F58" s="17">
        <f>IFERROR(__xludf.DUMMYFUNCTION("""COMPUTED_VALUE"""),703343)</f>
        <v>703343</v>
      </c>
      <c r="G58" s="16">
        <f>IFERROR(__xludf.DUMMYFUNCTION("""COMPUTED_VALUE"""),45825.6458333333)</f>
        <v>45825.6458333333</v>
      </c>
      <c r="H58" s="17">
        <f>IFERROR(__xludf.DUMMYFUNCTION("""COMPUTED_VALUE"""),2539.6)</f>
        <v>2539.6</v>
      </c>
      <c r="I58" s="16">
        <f>IFERROR(__xludf.DUMMYFUNCTION("""COMPUTED_VALUE"""),45825.6458333333)</f>
        <v>45825.6458333333</v>
      </c>
      <c r="J58" s="17">
        <f>IFERROR(__xludf.DUMMYFUNCTION("""COMPUTED_VALUE"""),2479)</f>
        <v>2479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IFERROR(__xludf.DUMMYFUNCTION("""COMPUTED_VALUE"""),2459.1)</f>
        <v>2459.1</v>
      </c>
      <c r="C59" s="16">
        <f>IFERROR(__xludf.DUMMYFUNCTION("""COMPUTED_VALUE"""),45826.6458333333)</f>
        <v>45826.6458333333</v>
      </c>
      <c r="D59" s="17">
        <f>IFERROR(__xludf.DUMMYFUNCTION("""COMPUTED_VALUE"""),2491.9)</f>
        <v>2491.9</v>
      </c>
      <c r="E59" s="16">
        <f>IFERROR(__xludf.DUMMYFUNCTION("""COMPUTED_VALUE"""),45826.6458333333)</f>
        <v>45826.6458333333</v>
      </c>
      <c r="F59" s="17">
        <f>IFERROR(__xludf.DUMMYFUNCTION("""COMPUTED_VALUE"""),667044)</f>
        <v>667044</v>
      </c>
      <c r="G59" s="16">
        <f>IFERROR(__xludf.DUMMYFUNCTION("""COMPUTED_VALUE"""),45826.6458333333)</f>
        <v>45826.6458333333</v>
      </c>
      <c r="H59" s="17">
        <f>IFERROR(__xludf.DUMMYFUNCTION("""COMPUTED_VALUE"""),2495.9)</f>
        <v>2495.9</v>
      </c>
      <c r="I59" s="16">
        <f>IFERROR(__xludf.DUMMYFUNCTION("""COMPUTED_VALUE"""),45826.6458333333)</f>
        <v>45826.6458333333</v>
      </c>
      <c r="J59" s="17">
        <f>IFERROR(__xludf.DUMMYFUNCTION("""COMPUTED_VALUE"""),2445.4)</f>
        <v>2445.4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IFERROR(__xludf.DUMMYFUNCTION("""COMPUTED_VALUE"""),2420.6)</f>
        <v>2420.6</v>
      </c>
      <c r="C60" s="16">
        <f>IFERROR(__xludf.DUMMYFUNCTION("""COMPUTED_VALUE"""),45827.6458333333)</f>
        <v>45827.6458333333</v>
      </c>
      <c r="D60" s="17">
        <f>IFERROR(__xludf.DUMMYFUNCTION("""COMPUTED_VALUE"""),2466.3)</f>
        <v>2466.3</v>
      </c>
      <c r="E60" s="16">
        <f>IFERROR(__xludf.DUMMYFUNCTION("""COMPUTED_VALUE"""),45827.6458333333)</f>
        <v>45827.6458333333</v>
      </c>
      <c r="F60" s="17">
        <f>IFERROR(__xludf.DUMMYFUNCTION("""COMPUTED_VALUE"""),688209)</f>
        <v>688209</v>
      </c>
      <c r="G60" s="16">
        <f>IFERROR(__xludf.DUMMYFUNCTION("""COMPUTED_VALUE"""),45827.6458333333)</f>
        <v>45827.6458333333</v>
      </c>
      <c r="H60" s="17">
        <f>IFERROR(__xludf.DUMMYFUNCTION("""COMPUTED_VALUE"""),2468.9)</f>
        <v>2468.9</v>
      </c>
      <c r="I60" s="16">
        <f>IFERROR(__xludf.DUMMYFUNCTION("""COMPUTED_VALUE"""),45827.6458333333)</f>
        <v>45827.6458333333</v>
      </c>
      <c r="J60" s="17">
        <f>IFERROR(__xludf.DUMMYFUNCTION("""COMPUTED_VALUE"""),2405.1)</f>
        <v>2405.1</v>
      </c>
      <c r="K60" s="3">
        <f t="shared" si="2"/>
        <v>0</v>
      </c>
      <c r="L60" s="3">
        <f t="shared" si="3"/>
        <v>2420.6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IFERROR(__xludf.DUMMYFUNCTION("""COMPUTED_VALUE"""),2448.4)</f>
        <v>2448.4</v>
      </c>
      <c r="C61" s="16">
        <f>IFERROR(__xludf.DUMMYFUNCTION("""COMPUTED_VALUE"""),45828.6458333333)</f>
        <v>45828.6458333333</v>
      </c>
      <c r="D61" s="17">
        <f>IFERROR(__xludf.DUMMYFUNCTION("""COMPUTED_VALUE"""),2428)</f>
        <v>2428</v>
      </c>
      <c r="E61" s="16">
        <f>IFERROR(__xludf.DUMMYFUNCTION("""COMPUTED_VALUE"""),45828.6458333333)</f>
        <v>45828.6458333333</v>
      </c>
      <c r="F61" s="17">
        <f>IFERROR(__xludf.DUMMYFUNCTION("""COMPUTED_VALUE"""),3002549)</f>
        <v>3002549</v>
      </c>
      <c r="G61" s="16">
        <f>IFERROR(__xludf.DUMMYFUNCTION("""COMPUTED_VALUE"""),45828.6458333333)</f>
        <v>45828.6458333333</v>
      </c>
      <c r="H61" s="17">
        <f>IFERROR(__xludf.DUMMYFUNCTION("""COMPUTED_VALUE"""),2461.3)</f>
        <v>2461.3</v>
      </c>
      <c r="I61" s="16">
        <f>IFERROR(__xludf.DUMMYFUNCTION("""COMPUTED_VALUE"""),45828.6458333333)</f>
        <v>45828.6458333333</v>
      </c>
      <c r="J61" s="17">
        <f>IFERROR(__xludf.DUMMYFUNCTION("""COMPUTED_VALUE"""),2415)</f>
        <v>2415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IFERROR(__xludf.DUMMYFUNCTION("""COMPUTED_VALUE"""),2472)</f>
        <v>2472</v>
      </c>
      <c r="C62" s="16">
        <f>IFERROR(__xludf.DUMMYFUNCTION("""COMPUTED_VALUE"""),45831.6458333333)</f>
        <v>45831.6458333333</v>
      </c>
      <c r="D62" s="17">
        <f>IFERROR(__xludf.DUMMYFUNCTION("""COMPUTED_VALUE"""),2438)</f>
        <v>2438</v>
      </c>
      <c r="E62" s="16">
        <f>IFERROR(__xludf.DUMMYFUNCTION("""COMPUTED_VALUE"""),45831.6458333333)</f>
        <v>45831.6458333333</v>
      </c>
      <c r="F62" s="17">
        <f>IFERROR(__xludf.DUMMYFUNCTION("""COMPUTED_VALUE"""),790535)</f>
        <v>790535</v>
      </c>
      <c r="G62" s="16">
        <f>IFERROR(__xludf.DUMMYFUNCTION("""COMPUTED_VALUE"""),45831.6458333333)</f>
        <v>45831.6458333333</v>
      </c>
      <c r="H62" s="17">
        <f>IFERROR(__xludf.DUMMYFUNCTION("""COMPUTED_VALUE"""),2492.6)</f>
        <v>2492.6</v>
      </c>
      <c r="I62" s="16">
        <f>IFERROR(__xludf.DUMMYFUNCTION("""COMPUTED_VALUE"""),45831.6458333333)</f>
        <v>45831.6458333333</v>
      </c>
      <c r="J62" s="17">
        <f>IFERROR(__xludf.DUMMYFUNCTION("""COMPUTED_VALUE"""),2421)</f>
        <v>2421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IFERROR(__xludf.DUMMYFUNCTION("""COMPUTED_VALUE"""),2505.6)</f>
        <v>2505.6</v>
      </c>
      <c r="C63" s="16">
        <f>IFERROR(__xludf.DUMMYFUNCTION("""COMPUTED_VALUE"""),45832.6458333333)</f>
        <v>45832.6458333333</v>
      </c>
      <c r="D63" s="17">
        <f>IFERROR(__xludf.DUMMYFUNCTION("""COMPUTED_VALUE"""),2504)</f>
        <v>2504</v>
      </c>
      <c r="E63" s="16">
        <f>IFERROR(__xludf.DUMMYFUNCTION("""COMPUTED_VALUE"""),45832.6458333333)</f>
        <v>45832.6458333333</v>
      </c>
      <c r="F63" s="17">
        <f>IFERROR(__xludf.DUMMYFUNCTION("""COMPUTED_VALUE"""),996405)</f>
        <v>996405</v>
      </c>
      <c r="G63" s="16">
        <f>IFERROR(__xludf.DUMMYFUNCTION("""COMPUTED_VALUE"""),45832.6458333333)</f>
        <v>45832.6458333333</v>
      </c>
      <c r="H63" s="17">
        <f>IFERROR(__xludf.DUMMYFUNCTION("""COMPUTED_VALUE"""),2544.6)</f>
        <v>2544.6</v>
      </c>
      <c r="I63" s="16">
        <f>IFERROR(__xludf.DUMMYFUNCTION("""COMPUTED_VALUE"""),45832.6458333333)</f>
        <v>45832.6458333333</v>
      </c>
      <c r="J63" s="17">
        <f>IFERROR(__xludf.DUMMYFUNCTION("""COMPUTED_VALUE"""),2500.2)</f>
        <v>2500.2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IFERROR(__xludf.DUMMYFUNCTION("""COMPUTED_VALUE"""),2527.2)</f>
        <v>2527.2</v>
      </c>
      <c r="C64" s="16">
        <f>IFERROR(__xludf.DUMMYFUNCTION("""COMPUTED_VALUE"""),45833.6458333333)</f>
        <v>45833.6458333333</v>
      </c>
      <c r="D64" s="17">
        <f>IFERROR(__xludf.DUMMYFUNCTION("""COMPUTED_VALUE"""),2519.9)</f>
        <v>2519.9</v>
      </c>
      <c r="E64" s="16">
        <f>IFERROR(__xludf.DUMMYFUNCTION("""COMPUTED_VALUE"""),45833.6458333333)</f>
        <v>45833.6458333333</v>
      </c>
      <c r="F64" s="17">
        <f>IFERROR(__xludf.DUMMYFUNCTION("""COMPUTED_VALUE"""),921346)</f>
        <v>921346</v>
      </c>
      <c r="G64" s="16">
        <f>IFERROR(__xludf.DUMMYFUNCTION("""COMPUTED_VALUE"""),45833.6458333333)</f>
        <v>45833.6458333333</v>
      </c>
      <c r="H64" s="17">
        <f>IFERROR(__xludf.DUMMYFUNCTION("""COMPUTED_VALUE"""),2541.6)</f>
        <v>2541.6</v>
      </c>
      <c r="I64" s="16">
        <f>IFERROR(__xludf.DUMMYFUNCTION("""COMPUTED_VALUE"""),45833.6458333333)</f>
        <v>45833.6458333333</v>
      </c>
      <c r="J64" s="17">
        <f>IFERROR(__xludf.DUMMYFUNCTION("""COMPUTED_VALUE"""),2512.1)</f>
        <v>2512.1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IFERROR(__xludf.DUMMYFUNCTION("""COMPUTED_VALUE"""),2586.2)</f>
        <v>2586.2</v>
      </c>
      <c r="C65" s="16">
        <f>IFERROR(__xludf.DUMMYFUNCTION("""COMPUTED_VALUE"""),45834.6458333333)</f>
        <v>45834.6458333333</v>
      </c>
      <c r="D65" s="17">
        <f>IFERROR(__xludf.DUMMYFUNCTION("""COMPUTED_VALUE"""),2535)</f>
        <v>2535</v>
      </c>
      <c r="E65" s="16">
        <f>IFERROR(__xludf.DUMMYFUNCTION("""COMPUTED_VALUE"""),45834.6458333333)</f>
        <v>45834.6458333333</v>
      </c>
      <c r="F65" s="17">
        <f>IFERROR(__xludf.DUMMYFUNCTION("""COMPUTED_VALUE"""),1339627)</f>
        <v>1339627</v>
      </c>
      <c r="G65" s="16">
        <f>IFERROR(__xludf.DUMMYFUNCTION("""COMPUTED_VALUE"""),45834.6458333333)</f>
        <v>45834.6458333333</v>
      </c>
      <c r="H65" s="17">
        <f>IFERROR(__xludf.DUMMYFUNCTION("""COMPUTED_VALUE"""),2593.6)</f>
        <v>2593.6</v>
      </c>
      <c r="I65" s="16">
        <f>IFERROR(__xludf.DUMMYFUNCTION("""COMPUTED_VALUE"""),45834.6458333333)</f>
        <v>45834.6458333333</v>
      </c>
      <c r="J65" s="17">
        <f>IFERROR(__xludf.DUMMYFUNCTION("""COMPUTED_VALUE"""),2522.2)</f>
        <v>2522.2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IFERROR(__xludf.DUMMYFUNCTION("""COMPUTED_VALUE"""),2646.3)</f>
        <v>2646.3</v>
      </c>
      <c r="C66" s="16">
        <f>IFERROR(__xludf.DUMMYFUNCTION("""COMPUTED_VALUE"""),45835.6458333333)</f>
        <v>45835.6458333333</v>
      </c>
      <c r="D66" s="17">
        <f>IFERROR(__xludf.DUMMYFUNCTION("""COMPUTED_VALUE"""),2587.7)</f>
        <v>2587.7</v>
      </c>
      <c r="E66" s="16">
        <f>IFERROR(__xludf.DUMMYFUNCTION("""COMPUTED_VALUE"""),45835.6458333333)</f>
        <v>45835.6458333333</v>
      </c>
      <c r="F66" s="17">
        <f>IFERROR(__xludf.DUMMYFUNCTION("""COMPUTED_VALUE"""),4049316)</f>
        <v>4049316</v>
      </c>
      <c r="G66" s="16">
        <f>IFERROR(__xludf.DUMMYFUNCTION("""COMPUTED_VALUE"""),45835.6458333333)</f>
        <v>45835.6458333333</v>
      </c>
      <c r="H66" s="17">
        <f>IFERROR(__xludf.DUMMYFUNCTION("""COMPUTED_VALUE"""),2681.6)</f>
        <v>2681.6</v>
      </c>
      <c r="I66" s="16">
        <f>IFERROR(__xludf.DUMMYFUNCTION("""COMPUTED_VALUE"""),45835.6458333333)</f>
        <v>45835.6458333333</v>
      </c>
      <c r="J66" s="17">
        <f>IFERROR(__xludf.DUMMYFUNCTION("""COMPUTED_VALUE"""),2582)</f>
        <v>2582</v>
      </c>
      <c r="K66" s="3">
        <f t="shared" si="2"/>
        <v>2646.3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IFERROR(__xludf.DUMMYFUNCTION("""COMPUTED_VALUE"""),2619.4)</f>
        <v>2619.4</v>
      </c>
      <c r="C67" s="16">
        <f>IFERROR(__xludf.DUMMYFUNCTION("""COMPUTED_VALUE"""),45838.6458333333)</f>
        <v>45838.6458333333</v>
      </c>
      <c r="D67" s="17">
        <f>IFERROR(__xludf.DUMMYFUNCTION("""COMPUTED_VALUE"""),2650)</f>
        <v>2650</v>
      </c>
      <c r="E67" s="16">
        <f>IFERROR(__xludf.DUMMYFUNCTION("""COMPUTED_VALUE"""),45838.6458333333)</f>
        <v>45838.6458333333</v>
      </c>
      <c r="F67" s="17">
        <f>IFERROR(__xludf.DUMMYFUNCTION("""COMPUTED_VALUE"""),694815)</f>
        <v>694815</v>
      </c>
      <c r="G67" s="16">
        <f>IFERROR(__xludf.DUMMYFUNCTION("""COMPUTED_VALUE"""),45838.6458333333)</f>
        <v>45838.6458333333</v>
      </c>
      <c r="H67" s="17">
        <f>IFERROR(__xludf.DUMMYFUNCTION("""COMPUTED_VALUE"""),2653.9)</f>
        <v>2653.9</v>
      </c>
      <c r="I67" s="16">
        <f>IFERROR(__xludf.DUMMYFUNCTION("""COMPUTED_VALUE"""),45838.6458333333)</f>
        <v>45838.6458333333</v>
      </c>
      <c r="J67" s="17">
        <f>IFERROR(__xludf.DUMMYFUNCTION("""COMPUTED_VALUE"""),2605.9)</f>
        <v>2605.9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IFERROR(__xludf.DUMMYFUNCTION("""COMPUTED_VALUE"""),2621.8)</f>
        <v>2621.8</v>
      </c>
      <c r="C68" s="16">
        <f>IFERROR(__xludf.DUMMYFUNCTION("""COMPUTED_VALUE"""),45839.6458333333)</f>
        <v>45839.6458333333</v>
      </c>
      <c r="D68" s="17">
        <f>IFERROR(__xludf.DUMMYFUNCTION("""COMPUTED_VALUE"""),2624.9)</f>
        <v>2624.9</v>
      </c>
      <c r="E68" s="16">
        <f>IFERROR(__xludf.DUMMYFUNCTION("""COMPUTED_VALUE"""),45839.6458333333)</f>
        <v>45839.6458333333</v>
      </c>
      <c r="F68" s="17">
        <f>IFERROR(__xludf.DUMMYFUNCTION("""COMPUTED_VALUE"""),729197)</f>
        <v>729197</v>
      </c>
      <c r="G68" s="16">
        <f>IFERROR(__xludf.DUMMYFUNCTION("""COMPUTED_VALUE"""),45839.6458333333)</f>
        <v>45839.6458333333</v>
      </c>
      <c r="H68" s="17">
        <f>IFERROR(__xludf.DUMMYFUNCTION("""COMPUTED_VALUE"""),2645)</f>
        <v>2645</v>
      </c>
      <c r="I68" s="16">
        <f>IFERROR(__xludf.DUMMYFUNCTION("""COMPUTED_VALUE"""),45839.6458333333)</f>
        <v>45839.6458333333</v>
      </c>
      <c r="J68" s="17">
        <f>IFERROR(__xludf.DUMMYFUNCTION("""COMPUTED_VALUE"""),2603)</f>
        <v>2603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IFERROR(__xludf.DUMMYFUNCTION("""COMPUTED_VALUE"""),2630.2)</f>
        <v>2630.2</v>
      </c>
      <c r="C69" s="16">
        <f>IFERROR(__xludf.DUMMYFUNCTION("""COMPUTED_VALUE"""),45840.6458333333)</f>
        <v>45840.6458333333</v>
      </c>
      <c r="D69" s="17">
        <f>IFERROR(__xludf.DUMMYFUNCTION("""COMPUTED_VALUE"""),2634)</f>
        <v>2634</v>
      </c>
      <c r="E69" s="16">
        <f>IFERROR(__xludf.DUMMYFUNCTION("""COMPUTED_VALUE"""),45840.6458333333)</f>
        <v>45840.6458333333</v>
      </c>
      <c r="F69" s="17">
        <f>IFERROR(__xludf.DUMMYFUNCTION("""COMPUTED_VALUE"""),621409)</f>
        <v>621409</v>
      </c>
      <c r="G69" s="16">
        <f>IFERROR(__xludf.DUMMYFUNCTION("""COMPUTED_VALUE"""),45840.6458333333)</f>
        <v>45840.6458333333</v>
      </c>
      <c r="H69" s="17">
        <f>IFERROR(__xludf.DUMMYFUNCTION("""COMPUTED_VALUE"""),2646)</f>
        <v>2646</v>
      </c>
      <c r="I69" s="16">
        <f>IFERROR(__xludf.DUMMYFUNCTION("""COMPUTED_VALUE"""),45840.6458333333)</f>
        <v>45840.6458333333</v>
      </c>
      <c r="J69" s="17">
        <f>IFERROR(__xludf.DUMMYFUNCTION("""COMPUTED_VALUE"""),2613.6)</f>
        <v>2613.6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IFERROR(__xludf.DUMMYFUNCTION("""COMPUTED_VALUE"""),2611.2)</f>
        <v>2611.2</v>
      </c>
      <c r="C70" s="16">
        <f>IFERROR(__xludf.DUMMYFUNCTION("""COMPUTED_VALUE"""),45841.6458333333)</f>
        <v>45841.6458333333</v>
      </c>
      <c r="D70" s="17">
        <f>IFERROR(__xludf.DUMMYFUNCTION("""COMPUTED_VALUE"""),2634)</f>
        <v>2634</v>
      </c>
      <c r="E70" s="16">
        <f>IFERROR(__xludf.DUMMYFUNCTION("""COMPUTED_VALUE"""),45841.6458333333)</f>
        <v>45841.6458333333</v>
      </c>
      <c r="F70" s="17">
        <f>IFERROR(__xludf.DUMMYFUNCTION("""COMPUTED_VALUE"""),502724)</f>
        <v>502724</v>
      </c>
      <c r="G70" s="16">
        <f>IFERROR(__xludf.DUMMYFUNCTION("""COMPUTED_VALUE"""),45841.6458333333)</f>
        <v>45841.6458333333</v>
      </c>
      <c r="H70" s="17">
        <f>IFERROR(__xludf.DUMMYFUNCTION("""COMPUTED_VALUE"""),2644)</f>
        <v>2644</v>
      </c>
      <c r="I70" s="16">
        <f>IFERROR(__xludf.DUMMYFUNCTION("""COMPUTED_VALUE"""),45841.6458333333)</f>
        <v>45841.6458333333</v>
      </c>
      <c r="J70" s="17">
        <f>IFERROR(__xludf.DUMMYFUNCTION("""COMPUTED_VALUE"""),2605.1)</f>
        <v>2605.1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IFERROR(__xludf.DUMMYFUNCTION("""COMPUTED_VALUE"""),2599.1)</f>
        <v>2599.1</v>
      </c>
      <c r="C71" s="16">
        <f>IFERROR(__xludf.DUMMYFUNCTION("""COMPUTED_VALUE"""),45842.6458333333)</f>
        <v>45842.6458333333</v>
      </c>
      <c r="D71" s="17">
        <f>IFERROR(__xludf.DUMMYFUNCTION("""COMPUTED_VALUE"""),2617)</f>
        <v>2617</v>
      </c>
      <c r="E71" s="16">
        <f>IFERROR(__xludf.DUMMYFUNCTION("""COMPUTED_VALUE"""),45842.6458333333)</f>
        <v>45842.6458333333</v>
      </c>
      <c r="F71" s="17">
        <f>IFERROR(__xludf.DUMMYFUNCTION("""COMPUTED_VALUE"""),370305)</f>
        <v>370305</v>
      </c>
      <c r="G71" s="16">
        <f>IFERROR(__xludf.DUMMYFUNCTION("""COMPUTED_VALUE"""),45842.6458333333)</f>
        <v>45842.6458333333</v>
      </c>
      <c r="H71" s="17">
        <f>IFERROR(__xludf.DUMMYFUNCTION("""COMPUTED_VALUE"""),2617)</f>
        <v>2617</v>
      </c>
      <c r="I71" s="16">
        <f>IFERROR(__xludf.DUMMYFUNCTION("""COMPUTED_VALUE"""),45842.6458333333)</f>
        <v>45842.6458333333</v>
      </c>
      <c r="J71" s="17">
        <f>IFERROR(__xludf.DUMMYFUNCTION("""COMPUTED_VALUE"""),2582.2)</f>
        <v>2582.2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IFERROR(__xludf.DUMMYFUNCTION("""COMPUTED_VALUE"""),2576.1)</f>
        <v>2576.1</v>
      </c>
      <c r="C72" s="16">
        <f>IFERROR(__xludf.DUMMYFUNCTION("""COMPUTED_VALUE"""),45845.6458333333)</f>
        <v>45845.6458333333</v>
      </c>
      <c r="D72" s="17">
        <f>IFERROR(__xludf.DUMMYFUNCTION("""COMPUTED_VALUE"""),2602)</f>
        <v>2602</v>
      </c>
      <c r="E72" s="16">
        <f>IFERROR(__xludf.DUMMYFUNCTION("""COMPUTED_VALUE"""),45845.6458333333)</f>
        <v>45845.6458333333</v>
      </c>
      <c r="F72" s="17">
        <f>IFERROR(__xludf.DUMMYFUNCTION("""COMPUTED_VALUE"""),412159)</f>
        <v>412159</v>
      </c>
      <c r="G72" s="16">
        <f>IFERROR(__xludf.DUMMYFUNCTION("""COMPUTED_VALUE"""),45845.6458333333)</f>
        <v>45845.6458333333</v>
      </c>
      <c r="H72" s="17">
        <f>IFERROR(__xludf.DUMMYFUNCTION("""COMPUTED_VALUE"""),2605.4)</f>
        <v>2605.4</v>
      </c>
      <c r="I72" s="16">
        <f>IFERROR(__xludf.DUMMYFUNCTION("""COMPUTED_VALUE"""),45845.6458333333)</f>
        <v>45845.6458333333</v>
      </c>
      <c r="J72" s="17">
        <f>IFERROR(__xludf.DUMMYFUNCTION("""COMPUTED_VALUE"""),2572)</f>
        <v>2572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IFERROR(__xludf.DUMMYFUNCTION("""COMPUTED_VALUE"""),2591.3)</f>
        <v>2591.3</v>
      </c>
      <c r="C73" s="16">
        <f>IFERROR(__xludf.DUMMYFUNCTION("""COMPUTED_VALUE"""),45846.6458333333)</f>
        <v>45846.6458333333</v>
      </c>
      <c r="D73" s="17">
        <f>IFERROR(__xludf.DUMMYFUNCTION("""COMPUTED_VALUE"""),2586)</f>
        <v>2586</v>
      </c>
      <c r="E73" s="16">
        <f>IFERROR(__xludf.DUMMYFUNCTION("""COMPUTED_VALUE"""),45846.6458333333)</f>
        <v>45846.6458333333</v>
      </c>
      <c r="F73" s="17">
        <f>IFERROR(__xludf.DUMMYFUNCTION("""COMPUTED_VALUE"""),357701)</f>
        <v>357701</v>
      </c>
      <c r="G73" s="16">
        <f>IFERROR(__xludf.DUMMYFUNCTION("""COMPUTED_VALUE"""),45846.6458333333)</f>
        <v>45846.6458333333</v>
      </c>
      <c r="H73" s="17">
        <f>IFERROR(__xludf.DUMMYFUNCTION("""COMPUTED_VALUE"""),2600)</f>
        <v>2600</v>
      </c>
      <c r="I73" s="16">
        <f>IFERROR(__xludf.DUMMYFUNCTION("""COMPUTED_VALUE"""),45846.6458333333)</f>
        <v>45846.6458333333</v>
      </c>
      <c r="J73" s="17">
        <f>IFERROR(__xludf.DUMMYFUNCTION("""COMPUTED_VALUE"""),2573)</f>
        <v>2573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IFERROR(__xludf.DUMMYFUNCTION("""COMPUTED_VALUE"""),2583)</f>
        <v>2583</v>
      </c>
      <c r="C74" s="16">
        <f>IFERROR(__xludf.DUMMYFUNCTION("""COMPUTED_VALUE"""),45847.6458333333)</f>
        <v>45847.6458333333</v>
      </c>
      <c r="D74" s="17">
        <f>IFERROR(__xludf.DUMMYFUNCTION("""COMPUTED_VALUE"""),2599)</f>
        <v>2599</v>
      </c>
      <c r="E74" s="16">
        <f>IFERROR(__xludf.DUMMYFUNCTION("""COMPUTED_VALUE"""),45847.6458333333)</f>
        <v>45847.6458333333</v>
      </c>
      <c r="F74" s="17">
        <f>IFERROR(__xludf.DUMMYFUNCTION("""COMPUTED_VALUE"""),396880)</f>
        <v>396880</v>
      </c>
      <c r="G74" s="16">
        <f>IFERROR(__xludf.DUMMYFUNCTION("""COMPUTED_VALUE"""),45847.6458333333)</f>
        <v>45847.6458333333</v>
      </c>
      <c r="H74" s="17">
        <f>IFERROR(__xludf.DUMMYFUNCTION("""COMPUTED_VALUE"""),2609.9)</f>
        <v>2609.9</v>
      </c>
      <c r="I74" s="16">
        <f>IFERROR(__xludf.DUMMYFUNCTION("""COMPUTED_VALUE"""),45847.6458333333)</f>
        <v>45847.6458333333</v>
      </c>
      <c r="J74" s="17">
        <f>IFERROR(__xludf.DUMMYFUNCTION("""COMPUTED_VALUE"""),2570)</f>
        <v>2570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IFERROR(__xludf.DUMMYFUNCTION("""COMPUTED_VALUE"""),2581)</f>
        <v>2581</v>
      </c>
      <c r="C75" s="16">
        <f>IFERROR(__xludf.DUMMYFUNCTION("""COMPUTED_VALUE"""),45848.6458333333)</f>
        <v>45848.6458333333</v>
      </c>
      <c r="D75" s="17">
        <f>IFERROR(__xludf.DUMMYFUNCTION("""COMPUTED_VALUE"""),2591)</f>
        <v>2591</v>
      </c>
      <c r="E75" s="16">
        <f>IFERROR(__xludf.DUMMYFUNCTION("""COMPUTED_VALUE"""),45848.6458333333)</f>
        <v>45848.6458333333</v>
      </c>
      <c r="F75" s="17">
        <f>IFERROR(__xludf.DUMMYFUNCTION("""COMPUTED_VALUE"""),306565)</f>
        <v>306565</v>
      </c>
      <c r="G75" s="16">
        <f>IFERROR(__xludf.DUMMYFUNCTION("""COMPUTED_VALUE"""),45848.6458333333)</f>
        <v>45848.6458333333</v>
      </c>
      <c r="H75" s="17">
        <f>IFERROR(__xludf.DUMMYFUNCTION("""COMPUTED_VALUE"""),2604)</f>
        <v>2604</v>
      </c>
      <c r="I75" s="16">
        <f>IFERROR(__xludf.DUMMYFUNCTION("""COMPUTED_VALUE"""),45848.6458333333)</f>
        <v>45848.6458333333</v>
      </c>
      <c r="J75" s="17">
        <f>IFERROR(__xludf.DUMMYFUNCTION("""COMPUTED_VALUE"""),2575)</f>
        <v>2575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IFERROR(__xludf.DUMMYFUNCTION("""COMPUTED_VALUE"""),2558.7)</f>
        <v>2558.7</v>
      </c>
      <c r="C76" s="16">
        <f>IFERROR(__xludf.DUMMYFUNCTION("""COMPUTED_VALUE"""),45849.6458333333)</f>
        <v>45849.6458333333</v>
      </c>
      <c r="D76" s="17">
        <f>IFERROR(__xludf.DUMMYFUNCTION("""COMPUTED_VALUE"""),2575)</f>
        <v>2575</v>
      </c>
      <c r="E76" s="16">
        <f>IFERROR(__xludf.DUMMYFUNCTION("""COMPUTED_VALUE"""),45849.6458333333)</f>
        <v>45849.6458333333</v>
      </c>
      <c r="F76" s="17">
        <f>IFERROR(__xludf.DUMMYFUNCTION("""COMPUTED_VALUE"""),390645)</f>
        <v>390645</v>
      </c>
      <c r="G76" s="16">
        <f>IFERROR(__xludf.DUMMYFUNCTION("""COMPUTED_VALUE"""),45849.6458333333)</f>
        <v>45849.6458333333</v>
      </c>
      <c r="H76" s="17">
        <f>IFERROR(__xludf.DUMMYFUNCTION("""COMPUTED_VALUE"""),2591.9)</f>
        <v>2591.9</v>
      </c>
      <c r="I76" s="16">
        <f>IFERROR(__xludf.DUMMYFUNCTION("""COMPUTED_VALUE"""),45849.6458333333)</f>
        <v>45849.6458333333</v>
      </c>
      <c r="J76" s="17">
        <f>IFERROR(__xludf.DUMMYFUNCTION("""COMPUTED_VALUE"""),2551.9)</f>
        <v>2551.9</v>
      </c>
      <c r="K76" s="3">
        <f t="shared" si="2"/>
        <v>0</v>
      </c>
      <c r="L76" s="3">
        <f t="shared" si="3"/>
        <v>2558.7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IFERROR(__xludf.DUMMYFUNCTION("""COMPUTED_VALUE"""),2581.3)</f>
        <v>2581.3</v>
      </c>
      <c r="C77" s="16">
        <f>IFERROR(__xludf.DUMMYFUNCTION("""COMPUTED_VALUE"""),45852.6458333333)</f>
        <v>45852.6458333333</v>
      </c>
      <c r="D77" s="17">
        <f>IFERROR(__xludf.DUMMYFUNCTION("""COMPUTED_VALUE"""),2555)</f>
        <v>2555</v>
      </c>
      <c r="E77" s="16">
        <f>IFERROR(__xludf.DUMMYFUNCTION("""COMPUTED_VALUE"""),45852.6458333333)</f>
        <v>45852.6458333333</v>
      </c>
      <c r="F77" s="17">
        <f>IFERROR(__xludf.DUMMYFUNCTION("""COMPUTED_VALUE"""),536585)</f>
        <v>536585</v>
      </c>
      <c r="G77" s="16">
        <f>IFERROR(__xludf.DUMMYFUNCTION("""COMPUTED_VALUE"""),45852.6458333333)</f>
        <v>45852.6458333333</v>
      </c>
      <c r="H77" s="17">
        <f>IFERROR(__xludf.DUMMYFUNCTION("""COMPUTED_VALUE"""),2604.8)</f>
        <v>2604.8</v>
      </c>
      <c r="I77" s="16">
        <f>IFERROR(__xludf.DUMMYFUNCTION("""COMPUTED_VALUE"""),45852.6458333333)</f>
        <v>45852.6458333333</v>
      </c>
      <c r="J77" s="17">
        <f>IFERROR(__xludf.DUMMYFUNCTION("""COMPUTED_VALUE"""),2543.5)</f>
        <v>2543.5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IFERROR(__xludf.DUMMYFUNCTION("""COMPUTED_VALUE"""),2598.2)</f>
        <v>2598.2</v>
      </c>
      <c r="C78" s="16">
        <f>IFERROR(__xludf.DUMMYFUNCTION("""COMPUTED_VALUE"""),45853.6458333333)</f>
        <v>45853.6458333333</v>
      </c>
      <c r="D78" s="17">
        <f>IFERROR(__xludf.DUMMYFUNCTION("""COMPUTED_VALUE"""),2588)</f>
        <v>2588</v>
      </c>
      <c r="E78" s="16">
        <f>IFERROR(__xludf.DUMMYFUNCTION("""COMPUTED_VALUE"""),45853.6458333333)</f>
        <v>45853.6458333333</v>
      </c>
      <c r="F78" s="17">
        <f>IFERROR(__xludf.DUMMYFUNCTION("""COMPUTED_VALUE"""),379425)</f>
        <v>379425</v>
      </c>
      <c r="G78" s="16">
        <f>IFERROR(__xludf.DUMMYFUNCTION("""COMPUTED_VALUE"""),45853.6458333333)</f>
        <v>45853.6458333333</v>
      </c>
      <c r="H78" s="17">
        <f>IFERROR(__xludf.DUMMYFUNCTION("""COMPUTED_VALUE"""),2606.9)</f>
        <v>2606.9</v>
      </c>
      <c r="I78" s="16">
        <f>IFERROR(__xludf.DUMMYFUNCTION("""COMPUTED_VALUE"""),45853.6458333333)</f>
        <v>45853.6458333333</v>
      </c>
      <c r="J78" s="17">
        <f>IFERROR(__xludf.DUMMYFUNCTION("""COMPUTED_VALUE"""),2576)</f>
        <v>2576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IFERROR(__xludf.DUMMYFUNCTION("""COMPUTED_VALUE"""),2608.5)</f>
        <v>2608.5</v>
      </c>
      <c r="C79" s="16">
        <f>IFERROR(__xludf.DUMMYFUNCTION("""COMPUTED_VALUE"""),45854.6458333333)</f>
        <v>45854.6458333333</v>
      </c>
      <c r="D79" s="17">
        <f>IFERROR(__xludf.DUMMYFUNCTION("""COMPUTED_VALUE"""),2602.5)</f>
        <v>2602.5</v>
      </c>
      <c r="E79" s="16">
        <f>IFERROR(__xludf.DUMMYFUNCTION("""COMPUTED_VALUE"""),45854.6458333333)</f>
        <v>45854.6458333333</v>
      </c>
      <c r="F79" s="17">
        <f>IFERROR(__xludf.DUMMYFUNCTION("""COMPUTED_VALUE"""),686644)</f>
        <v>686644</v>
      </c>
      <c r="G79" s="16">
        <f>IFERROR(__xludf.DUMMYFUNCTION("""COMPUTED_VALUE"""),45854.6458333333)</f>
        <v>45854.6458333333</v>
      </c>
      <c r="H79" s="17">
        <f>IFERROR(__xludf.DUMMYFUNCTION("""COMPUTED_VALUE"""),2619.5)</f>
        <v>2619.5</v>
      </c>
      <c r="I79" s="16">
        <f>IFERROR(__xludf.DUMMYFUNCTION("""COMPUTED_VALUE"""),45854.6458333333)</f>
        <v>45854.6458333333</v>
      </c>
      <c r="J79" s="17">
        <f>IFERROR(__xludf.DUMMYFUNCTION("""COMPUTED_VALUE"""),2595.5)</f>
        <v>2595.5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IFERROR(__xludf.DUMMYFUNCTION("""COMPUTED_VALUE"""),2616.6)</f>
        <v>2616.6</v>
      </c>
      <c r="C80" s="16">
        <f>IFERROR(__xludf.DUMMYFUNCTION("""COMPUTED_VALUE"""),45855.6458333333)</f>
        <v>45855.6458333333</v>
      </c>
      <c r="D80" s="17">
        <f>IFERROR(__xludf.DUMMYFUNCTION("""COMPUTED_VALUE"""),2612)</f>
        <v>2612</v>
      </c>
      <c r="E80" s="16">
        <f>IFERROR(__xludf.DUMMYFUNCTION("""COMPUTED_VALUE"""),45855.6458333333)</f>
        <v>45855.6458333333</v>
      </c>
      <c r="F80" s="17">
        <f>IFERROR(__xludf.DUMMYFUNCTION("""COMPUTED_VALUE"""),785771)</f>
        <v>785771</v>
      </c>
      <c r="G80" s="16">
        <f>IFERROR(__xludf.DUMMYFUNCTION("""COMPUTED_VALUE"""),45855.6458333333)</f>
        <v>45855.6458333333</v>
      </c>
      <c r="H80" s="17">
        <f>IFERROR(__xludf.DUMMYFUNCTION("""COMPUTED_VALUE"""),2654.5)</f>
        <v>2654.5</v>
      </c>
      <c r="I80" s="16">
        <f>IFERROR(__xludf.DUMMYFUNCTION("""COMPUTED_VALUE"""),45855.6458333333)</f>
        <v>45855.6458333333</v>
      </c>
      <c r="J80" s="17">
        <f>IFERROR(__xludf.DUMMYFUNCTION("""COMPUTED_VALUE"""),2605.3)</f>
        <v>2605.3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IFERROR(__xludf.DUMMYFUNCTION("""COMPUTED_VALUE"""),2596.1)</f>
        <v>2596.1</v>
      </c>
      <c r="C81" s="16">
        <f>IFERROR(__xludf.DUMMYFUNCTION("""COMPUTED_VALUE"""),45856.6458333333)</f>
        <v>45856.6458333333</v>
      </c>
      <c r="D81" s="17">
        <f>IFERROR(__xludf.DUMMYFUNCTION("""COMPUTED_VALUE"""),2612)</f>
        <v>2612</v>
      </c>
      <c r="E81" s="16">
        <f>IFERROR(__xludf.DUMMYFUNCTION("""COMPUTED_VALUE"""),45856.6458333333)</f>
        <v>45856.6458333333</v>
      </c>
      <c r="F81" s="17">
        <f>IFERROR(__xludf.DUMMYFUNCTION("""COMPUTED_VALUE"""),479942)</f>
        <v>479942</v>
      </c>
      <c r="G81" s="16">
        <f>IFERROR(__xludf.DUMMYFUNCTION("""COMPUTED_VALUE"""),45856.6458333333)</f>
        <v>45856.6458333333</v>
      </c>
      <c r="H81" s="17">
        <f>IFERROR(__xludf.DUMMYFUNCTION("""COMPUTED_VALUE"""),2626.7)</f>
        <v>2626.7</v>
      </c>
      <c r="I81" s="16">
        <f>IFERROR(__xludf.DUMMYFUNCTION("""COMPUTED_VALUE"""),45856.6458333333)</f>
        <v>45856.6458333333</v>
      </c>
      <c r="J81" s="17">
        <f>IFERROR(__xludf.DUMMYFUNCTION("""COMPUTED_VALUE"""),2584.2)</f>
        <v>2584.2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IFERROR(__xludf.DUMMYFUNCTION("""COMPUTED_VALUE"""),2619.5)</f>
        <v>2619.5</v>
      </c>
      <c r="C82" s="16">
        <f>IFERROR(__xludf.DUMMYFUNCTION("""COMPUTED_VALUE"""),45859.6458333333)</f>
        <v>45859.6458333333</v>
      </c>
      <c r="D82" s="17">
        <f>IFERROR(__xludf.DUMMYFUNCTION("""COMPUTED_VALUE"""),2596.3)</f>
        <v>2596.3</v>
      </c>
      <c r="E82" s="16">
        <f>IFERROR(__xludf.DUMMYFUNCTION("""COMPUTED_VALUE"""),45859.6458333333)</f>
        <v>45859.6458333333</v>
      </c>
      <c r="F82" s="17">
        <f>IFERROR(__xludf.DUMMYFUNCTION("""COMPUTED_VALUE"""),369782)</f>
        <v>369782</v>
      </c>
      <c r="G82" s="16">
        <f>IFERROR(__xludf.DUMMYFUNCTION("""COMPUTED_VALUE"""),45859.6458333333)</f>
        <v>45859.6458333333</v>
      </c>
      <c r="H82" s="17">
        <f>IFERROR(__xludf.DUMMYFUNCTION("""COMPUTED_VALUE"""),2624.9)</f>
        <v>2624.9</v>
      </c>
      <c r="I82" s="16">
        <f>IFERROR(__xludf.DUMMYFUNCTION("""COMPUTED_VALUE"""),45859.6458333333)</f>
        <v>45859.6458333333</v>
      </c>
      <c r="J82" s="17">
        <f>IFERROR(__xludf.DUMMYFUNCTION("""COMPUTED_VALUE"""),2585)</f>
        <v>2585</v>
      </c>
      <c r="K82" s="3">
        <f t="shared" si="2"/>
        <v>2619.5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IFERROR(__xludf.DUMMYFUNCTION("""COMPUTED_VALUE"""),2587.8)</f>
        <v>2587.8</v>
      </c>
      <c r="C83" s="16">
        <f>IFERROR(__xludf.DUMMYFUNCTION("""COMPUTED_VALUE"""),45860.6458333333)</f>
        <v>45860.6458333333</v>
      </c>
      <c r="D83" s="17">
        <f>IFERROR(__xludf.DUMMYFUNCTION("""COMPUTED_VALUE"""),2626)</f>
        <v>2626</v>
      </c>
      <c r="E83" s="16">
        <f>IFERROR(__xludf.DUMMYFUNCTION("""COMPUTED_VALUE"""),45860.6458333333)</f>
        <v>45860.6458333333</v>
      </c>
      <c r="F83" s="17">
        <f>IFERROR(__xludf.DUMMYFUNCTION("""COMPUTED_VALUE"""),387055)</f>
        <v>387055</v>
      </c>
      <c r="G83" s="16">
        <f>IFERROR(__xludf.DUMMYFUNCTION("""COMPUTED_VALUE"""),45860.6458333333)</f>
        <v>45860.6458333333</v>
      </c>
      <c r="H83" s="17">
        <f>IFERROR(__xludf.DUMMYFUNCTION("""COMPUTED_VALUE"""),2630)</f>
        <v>2630</v>
      </c>
      <c r="I83" s="16">
        <f>IFERROR(__xludf.DUMMYFUNCTION("""COMPUTED_VALUE"""),45860.6458333333)</f>
        <v>45860.6458333333</v>
      </c>
      <c r="J83" s="17">
        <f>IFERROR(__xludf.DUMMYFUNCTION("""COMPUTED_VALUE"""),2581.6)</f>
        <v>2581.6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IFERROR(__xludf.DUMMYFUNCTION("""COMPUTED_VALUE"""),2614.5)</f>
        <v>2614.5</v>
      </c>
      <c r="C84" s="16">
        <f>IFERROR(__xludf.DUMMYFUNCTION("""COMPUTED_VALUE"""),45861.6458333333)</f>
        <v>45861.6458333333</v>
      </c>
      <c r="D84" s="17">
        <f>IFERROR(__xludf.DUMMYFUNCTION("""COMPUTED_VALUE"""),2600.7)</f>
        <v>2600.7</v>
      </c>
      <c r="E84" s="16">
        <f>IFERROR(__xludf.DUMMYFUNCTION("""COMPUTED_VALUE"""),45861.6458333333)</f>
        <v>45861.6458333333</v>
      </c>
      <c r="F84" s="17">
        <f>IFERROR(__xludf.DUMMYFUNCTION("""COMPUTED_VALUE"""),316424)</f>
        <v>316424</v>
      </c>
      <c r="G84" s="16">
        <f>IFERROR(__xludf.DUMMYFUNCTION("""COMPUTED_VALUE"""),45861.6458333333)</f>
        <v>45861.6458333333</v>
      </c>
      <c r="H84" s="17">
        <f>IFERROR(__xludf.DUMMYFUNCTION("""COMPUTED_VALUE"""),2625.9)</f>
        <v>2625.9</v>
      </c>
      <c r="I84" s="16">
        <f>IFERROR(__xludf.DUMMYFUNCTION("""COMPUTED_VALUE"""),45861.6458333333)</f>
        <v>45861.6458333333</v>
      </c>
      <c r="J84" s="17">
        <f>IFERROR(__xludf.DUMMYFUNCTION("""COMPUTED_VALUE"""),2593.5)</f>
        <v>2593.5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IFERROR(__xludf.DUMMYFUNCTION("""COMPUTED_VALUE"""),2608.4)</f>
        <v>2608.4</v>
      </c>
      <c r="C85" s="16">
        <f>IFERROR(__xludf.DUMMYFUNCTION("""COMPUTED_VALUE"""),45862.6458333333)</f>
        <v>45862.6458333333</v>
      </c>
      <c r="D85" s="17">
        <f>IFERROR(__xludf.DUMMYFUNCTION("""COMPUTED_VALUE"""),2615.4)</f>
        <v>2615.4</v>
      </c>
      <c r="E85" s="16">
        <f>IFERROR(__xludf.DUMMYFUNCTION("""COMPUTED_VALUE"""),45862.6458333333)</f>
        <v>45862.6458333333</v>
      </c>
      <c r="F85" s="17">
        <f>IFERROR(__xludf.DUMMYFUNCTION("""COMPUTED_VALUE"""),253782)</f>
        <v>253782</v>
      </c>
      <c r="G85" s="16">
        <f>IFERROR(__xludf.DUMMYFUNCTION("""COMPUTED_VALUE"""),45862.6458333333)</f>
        <v>45862.6458333333</v>
      </c>
      <c r="H85" s="17">
        <f>IFERROR(__xludf.DUMMYFUNCTION("""COMPUTED_VALUE"""),2624.2)</f>
        <v>2624.2</v>
      </c>
      <c r="I85" s="16">
        <f>IFERROR(__xludf.DUMMYFUNCTION("""COMPUTED_VALUE"""),45862.6458333333)</f>
        <v>45862.6458333333</v>
      </c>
      <c r="J85" s="17">
        <f>IFERROR(__xludf.DUMMYFUNCTION("""COMPUTED_VALUE"""),2595)</f>
        <v>2595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IFERROR(__xludf.DUMMYFUNCTION("""COMPUTED_VALUE"""),2550.1)</f>
        <v>2550.1</v>
      </c>
      <c r="C86" s="16">
        <f>IFERROR(__xludf.DUMMYFUNCTION("""COMPUTED_VALUE"""),45863.6458333333)</f>
        <v>45863.6458333333</v>
      </c>
      <c r="D86" s="17">
        <f>IFERROR(__xludf.DUMMYFUNCTION("""COMPUTED_VALUE"""),2605)</f>
        <v>2605</v>
      </c>
      <c r="E86" s="16">
        <f>IFERROR(__xludf.DUMMYFUNCTION("""COMPUTED_VALUE"""),45863.6458333333)</f>
        <v>45863.6458333333</v>
      </c>
      <c r="F86" s="17">
        <f>IFERROR(__xludf.DUMMYFUNCTION("""COMPUTED_VALUE"""),424612)</f>
        <v>424612</v>
      </c>
      <c r="G86" s="16">
        <f>IFERROR(__xludf.DUMMYFUNCTION("""COMPUTED_VALUE"""),45863.6458333333)</f>
        <v>45863.6458333333</v>
      </c>
      <c r="H86" s="17">
        <f>IFERROR(__xludf.DUMMYFUNCTION("""COMPUTED_VALUE"""),2617)</f>
        <v>2617</v>
      </c>
      <c r="I86" s="16">
        <f>IFERROR(__xludf.DUMMYFUNCTION("""COMPUTED_VALUE"""),45863.6458333333)</f>
        <v>45863.6458333333</v>
      </c>
      <c r="J86" s="17">
        <f>IFERROR(__xludf.DUMMYFUNCTION("""COMPUTED_VALUE"""),2544.1)</f>
        <v>2544.1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IFERROR(__xludf.DUMMYFUNCTION("""COMPUTED_VALUE"""),2522.3)</f>
        <v>2522.3</v>
      </c>
      <c r="C87" s="16">
        <f>IFERROR(__xludf.DUMMYFUNCTION("""COMPUTED_VALUE"""),45866.6458333333)</f>
        <v>45866.6458333333</v>
      </c>
      <c r="D87" s="17">
        <f>IFERROR(__xludf.DUMMYFUNCTION("""COMPUTED_VALUE"""),2549)</f>
        <v>2549</v>
      </c>
      <c r="E87" s="16">
        <f>IFERROR(__xludf.DUMMYFUNCTION("""COMPUTED_VALUE"""),45866.6458333333)</f>
        <v>45866.6458333333</v>
      </c>
      <c r="F87" s="17">
        <f>IFERROR(__xludf.DUMMYFUNCTION("""COMPUTED_VALUE"""),428409)</f>
        <v>428409</v>
      </c>
      <c r="G87" s="16">
        <f>IFERROR(__xludf.DUMMYFUNCTION("""COMPUTED_VALUE"""),45866.6458333333)</f>
        <v>45866.6458333333</v>
      </c>
      <c r="H87" s="17">
        <f>IFERROR(__xludf.DUMMYFUNCTION("""COMPUTED_VALUE"""),2585)</f>
        <v>2585</v>
      </c>
      <c r="I87" s="16">
        <f>IFERROR(__xludf.DUMMYFUNCTION("""COMPUTED_VALUE"""),45866.6458333333)</f>
        <v>45866.6458333333</v>
      </c>
      <c r="J87" s="17">
        <f>IFERROR(__xludf.DUMMYFUNCTION("""COMPUTED_VALUE"""),2512.6)</f>
        <v>2512.6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IFERROR(__xludf.DUMMYFUNCTION("""COMPUTED_VALUE"""),2547.9)</f>
        <v>2547.9</v>
      </c>
      <c r="C88" s="16">
        <f>IFERROR(__xludf.DUMMYFUNCTION("""COMPUTED_VALUE"""),45867.6458333333)</f>
        <v>45867.6458333333</v>
      </c>
      <c r="D88" s="17">
        <f>IFERROR(__xludf.DUMMYFUNCTION("""COMPUTED_VALUE"""),2529)</f>
        <v>2529</v>
      </c>
      <c r="E88" s="16">
        <f>IFERROR(__xludf.DUMMYFUNCTION("""COMPUTED_VALUE"""),45867.6458333333)</f>
        <v>45867.6458333333</v>
      </c>
      <c r="F88" s="17">
        <f>IFERROR(__xludf.DUMMYFUNCTION("""COMPUTED_VALUE"""),424781)</f>
        <v>424781</v>
      </c>
      <c r="G88" s="16">
        <f>IFERROR(__xludf.DUMMYFUNCTION("""COMPUTED_VALUE"""),45867.6458333333)</f>
        <v>45867.6458333333</v>
      </c>
      <c r="H88" s="17">
        <f>IFERROR(__xludf.DUMMYFUNCTION("""COMPUTED_VALUE"""),2557.4)</f>
        <v>2557.4</v>
      </c>
      <c r="I88" s="16">
        <f>IFERROR(__xludf.DUMMYFUNCTION("""COMPUTED_VALUE"""),45867.6458333333)</f>
        <v>45867.6458333333</v>
      </c>
      <c r="J88" s="17">
        <f>IFERROR(__xludf.DUMMYFUNCTION("""COMPUTED_VALUE"""),2507.5)</f>
        <v>2507.5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IFERROR(__xludf.DUMMYFUNCTION("""COMPUTED_VALUE"""),2532.9)</f>
        <v>2532.9</v>
      </c>
      <c r="C89" s="16">
        <f>IFERROR(__xludf.DUMMYFUNCTION("""COMPUTED_VALUE"""),45868.6458333333)</f>
        <v>45868.6458333333</v>
      </c>
      <c r="D89" s="17">
        <f>IFERROR(__xludf.DUMMYFUNCTION("""COMPUTED_VALUE"""),2547.9)</f>
        <v>2547.9</v>
      </c>
      <c r="E89" s="16">
        <f>IFERROR(__xludf.DUMMYFUNCTION("""COMPUTED_VALUE"""),45868.6458333333)</f>
        <v>45868.6458333333</v>
      </c>
      <c r="F89" s="17">
        <f>IFERROR(__xludf.DUMMYFUNCTION("""COMPUTED_VALUE"""),262063)</f>
        <v>262063</v>
      </c>
      <c r="G89" s="16">
        <f>IFERROR(__xludf.DUMMYFUNCTION("""COMPUTED_VALUE"""),45868.6458333333)</f>
        <v>45868.6458333333</v>
      </c>
      <c r="H89" s="17">
        <f>IFERROR(__xludf.DUMMYFUNCTION("""COMPUTED_VALUE"""),2552.6)</f>
        <v>2552.6</v>
      </c>
      <c r="I89" s="16">
        <f>IFERROR(__xludf.DUMMYFUNCTION("""COMPUTED_VALUE"""),45868.6458333333)</f>
        <v>45868.6458333333</v>
      </c>
      <c r="J89" s="17">
        <f>IFERROR(__xludf.DUMMYFUNCTION("""COMPUTED_VALUE"""),2525)</f>
        <v>2525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IFERROR(__xludf.DUMMYFUNCTION("""COMPUTED_VALUE"""),2430.7)</f>
        <v>2430.7</v>
      </c>
      <c r="C90" s="16">
        <f>IFERROR(__xludf.DUMMYFUNCTION("""COMPUTED_VALUE"""),45869.6458333333)</f>
        <v>45869.6458333333</v>
      </c>
      <c r="D90" s="17">
        <f>IFERROR(__xludf.DUMMYFUNCTION("""COMPUTED_VALUE"""),2509.9)</f>
        <v>2509.9</v>
      </c>
      <c r="E90" s="16">
        <f>IFERROR(__xludf.DUMMYFUNCTION("""COMPUTED_VALUE"""),45869.6458333333)</f>
        <v>45869.6458333333</v>
      </c>
      <c r="F90" s="17">
        <f>IFERROR(__xludf.DUMMYFUNCTION("""COMPUTED_VALUE"""),1457616)</f>
        <v>1457616</v>
      </c>
      <c r="G90" s="16">
        <f>IFERROR(__xludf.DUMMYFUNCTION("""COMPUTED_VALUE"""),45869.6458333333)</f>
        <v>45869.6458333333</v>
      </c>
      <c r="H90" s="17">
        <f>IFERROR(__xludf.DUMMYFUNCTION("""COMPUTED_VALUE"""),2520)</f>
        <v>2520</v>
      </c>
      <c r="I90" s="16">
        <f>IFERROR(__xludf.DUMMYFUNCTION("""COMPUTED_VALUE"""),45869.6458333333)</f>
        <v>45869.6458333333</v>
      </c>
      <c r="J90" s="17">
        <f>IFERROR(__xludf.DUMMYFUNCTION("""COMPUTED_VALUE"""),2422.6)</f>
        <v>2422.6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IFERROR(__xludf.DUMMYFUNCTION("""COMPUTED_VALUE"""),2350.9)</f>
        <v>2350.9</v>
      </c>
      <c r="C91" s="16">
        <f>IFERROR(__xludf.DUMMYFUNCTION("""COMPUTED_VALUE"""),45870.6458333333)</f>
        <v>45870.6458333333</v>
      </c>
      <c r="D91" s="17">
        <f>IFERROR(__xludf.DUMMYFUNCTION("""COMPUTED_VALUE"""),2425)</f>
        <v>2425</v>
      </c>
      <c r="E91" s="16">
        <f>IFERROR(__xludf.DUMMYFUNCTION("""COMPUTED_VALUE"""),45870.6458333333)</f>
        <v>45870.6458333333</v>
      </c>
      <c r="F91" s="17">
        <f>IFERROR(__xludf.DUMMYFUNCTION("""COMPUTED_VALUE"""),976341)</f>
        <v>976341</v>
      </c>
      <c r="G91" s="16">
        <f>IFERROR(__xludf.DUMMYFUNCTION("""COMPUTED_VALUE"""),45870.6458333333)</f>
        <v>45870.6458333333</v>
      </c>
      <c r="H91" s="17">
        <f>IFERROR(__xludf.DUMMYFUNCTION("""COMPUTED_VALUE"""),2444.9)</f>
        <v>2444.9</v>
      </c>
      <c r="I91" s="16">
        <f>IFERROR(__xludf.DUMMYFUNCTION("""COMPUTED_VALUE"""),45870.6458333333)</f>
        <v>45870.6458333333</v>
      </c>
      <c r="J91" s="17">
        <f>IFERROR(__xludf.DUMMYFUNCTION("""COMPUTED_VALUE"""),2333)</f>
        <v>2333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IFERROR(__xludf.DUMMYFUNCTION("""COMPUTED_VALUE"""),2363.6)</f>
        <v>2363.6</v>
      </c>
      <c r="C92" s="16">
        <f>IFERROR(__xludf.DUMMYFUNCTION("""COMPUTED_VALUE"""),45873.6458333333)</f>
        <v>45873.6458333333</v>
      </c>
      <c r="D92" s="17">
        <f>IFERROR(__xludf.DUMMYFUNCTION("""COMPUTED_VALUE"""),2360)</f>
        <v>2360</v>
      </c>
      <c r="E92" s="16">
        <f>IFERROR(__xludf.DUMMYFUNCTION("""COMPUTED_VALUE"""),45873.6458333333)</f>
        <v>45873.6458333333</v>
      </c>
      <c r="F92" s="17">
        <f>IFERROR(__xludf.DUMMYFUNCTION("""COMPUTED_VALUE"""),576426)</f>
        <v>576426</v>
      </c>
      <c r="G92" s="16">
        <f>IFERROR(__xludf.DUMMYFUNCTION("""COMPUTED_VALUE"""),45873.6458333333)</f>
        <v>45873.6458333333</v>
      </c>
      <c r="H92" s="17">
        <f>IFERROR(__xludf.DUMMYFUNCTION("""COMPUTED_VALUE"""),2374.7)</f>
        <v>2374.7</v>
      </c>
      <c r="I92" s="16">
        <f>IFERROR(__xludf.DUMMYFUNCTION("""COMPUTED_VALUE"""),45873.6458333333)</f>
        <v>45873.6458333333</v>
      </c>
      <c r="J92" s="17">
        <f>IFERROR(__xludf.DUMMYFUNCTION("""COMPUTED_VALUE"""),2338.2)</f>
        <v>2338.2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IFERROR(__xludf.DUMMYFUNCTION("""COMPUTED_VALUE"""),2328.2)</f>
        <v>2328.2</v>
      </c>
      <c r="C93" s="16">
        <f>IFERROR(__xludf.DUMMYFUNCTION("""COMPUTED_VALUE"""),45874.6458333333)</f>
        <v>45874.6458333333</v>
      </c>
      <c r="D93" s="17">
        <f>IFERROR(__xludf.DUMMYFUNCTION("""COMPUTED_VALUE"""),2370)</f>
        <v>2370</v>
      </c>
      <c r="E93" s="16">
        <f>IFERROR(__xludf.DUMMYFUNCTION("""COMPUTED_VALUE"""),45874.6458333333)</f>
        <v>45874.6458333333</v>
      </c>
      <c r="F93" s="17">
        <f>IFERROR(__xludf.DUMMYFUNCTION("""COMPUTED_VALUE"""),576742)</f>
        <v>576742</v>
      </c>
      <c r="G93" s="16">
        <f>IFERROR(__xludf.DUMMYFUNCTION("""COMPUTED_VALUE"""),45874.6458333333)</f>
        <v>45874.6458333333</v>
      </c>
      <c r="H93" s="17">
        <f>IFERROR(__xludf.DUMMYFUNCTION("""COMPUTED_VALUE"""),2370)</f>
        <v>2370</v>
      </c>
      <c r="I93" s="16">
        <f>IFERROR(__xludf.DUMMYFUNCTION("""COMPUTED_VALUE"""),45874.6458333333)</f>
        <v>45874.6458333333</v>
      </c>
      <c r="J93" s="17">
        <f>IFERROR(__xludf.DUMMYFUNCTION("""COMPUTED_VALUE"""),2316)</f>
        <v>2316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IFERROR(__xludf.DUMMYFUNCTION("""COMPUTED_VALUE"""),2300.3)</f>
        <v>2300.3</v>
      </c>
      <c r="C94" s="16">
        <f>IFERROR(__xludf.DUMMYFUNCTION("""COMPUTED_VALUE"""),45875.6458333333)</f>
        <v>45875.6458333333</v>
      </c>
      <c r="D94" s="17">
        <f>IFERROR(__xludf.DUMMYFUNCTION("""COMPUTED_VALUE"""),2333.9)</f>
        <v>2333.9</v>
      </c>
      <c r="E94" s="16">
        <f>IFERROR(__xludf.DUMMYFUNCTION("""COMPUTED_VALUE"""),45875.6458333333)</f>
        <v>45875.6458333333</v>
      </c>
      <c r="F94" s="17">
        <f>IFERROR(__xludf.DUMMYFUNCTION("""COMPUTED_VALUE"""),631582)</f>
        <v>631582</v>
      </c>
      <c r="G94" s="16">
        <f>IFERROR(__xludf.DUMMYFUNCTION("""COMPUTED_VALUE"""),45875.6458333333)</f>
        <v>45875.6458333333</v>
      </c>
      <c r="H94" s="17">
        <f>IFERROR(__xludf.DUMMYFUNCTION("""COMPUTED_VALUE"""),2347.9)</f>
        <v>2347.9</v>
      </c>
      <c r="I94" s="16">
        <f>IFERROR(__xludf.DUMMYFUNCTION("""COMPUTED_VALUE"""),45875.6458333333)</f>
        <v>45875.6458333333</v>
      </c>
      <c r="J94" s="17">
        <f>IFERROR(__xludf.DUMMYFUNCTION("""COMPUTED_VALUE"""),2296)</f>
        <v>2296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IFERROR(__xludf.DUMMYFUNCTION("""COMPUTED_VALUE"""),2249.8)</f>
        <v>2249.8</v>
      </c>
      <c r="C95" s="16">
        <f>IFERROR(__xludf.DUMMYFUNCTION("""COMPUTED_VALUE"""),45876.6458333333)</f>
        <v>45876.6458333333</v>
      </c>
      <c r="D95" s="17">
        <f>IFERROR(__xludf.DUMMYFUNCTION("""COMPUTED_VALUE"""),2290)</f>
        <v>2290</v>
      </c>
      <c r="E95" s="16">
        <f>IFERROR(__xludf.DUMMYFUNCTION("""COMPUTED_VALUE"""),45876.6458333333)</f>
        <v>45876.6458333333</v>
      </c>
      <c r="F95" s="17">
        <f>IFERROR(__xludf.DUMMYFUNCTION("""COMPUTED_VALUE"""),1529410)</f>
        <v>1529410</v>
      </c>
      <c r="G95" s="16">
        <f>IFERROR(__xludf.DUMMYFUNCTION("""COMPUTED_VALUE"""),45876.6458333333)</f>
        <v>45876.6458333333</v>
      </c>
      <c r="H95" s="17">
        <f>IFERROR(__xludf.DUMMYFUNCTION("""COMPUTED_VALUE"""),2295)</f>
        <v>2295</v>
      </c>
      <c r="I95" s="16">
        <f>IFERROR(__xludf.DUMMYFUNCTION("""COMPUTED_VALUE"""),45876.6458333333)</f>
        <v>45876.6458333333</v>
      </c>
      <c r="J95" s="17">
        <f>IFERROR(__xludf.DUMMYFUNCTION("""COMPUTED_VALUE"""),2202.8)</f>
        <v>2202.8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IFERROR(__xludf.DUMMYFUNCTION("""COMPUTED_VALUE"""),2178.1)</f>
        <v>2178.1</v>
      </c>
      <c r="C96" s="16">
        <f>IFERROR(__xludf.DUMMYFUNCTION("""COMPUTED_VALUE"""),45877.6458333333)</f>
        <v>45877.6458333333</v>
      </c>
      <c r="D96" s="17">
        <f>IFERROR(__xludf.DUMMYFUNCTION("""COMPUTED_VALUE"""),2247)</f>
        <v>2247</v>
      </c>
      <c r="E96" s="16">
        <f>IFERROR(__xludf.DUMMYFUNCTION("""COMPUTED_VALUE"""),45877.6458333333)</f>
        <v>45877.6458333333</v>
      </c>
      <c r="F96" s="17">
        <f>IFERROR(__xludf.DUMMYFUNCTION("""COMPUTED_VALUE"""),2552736)</f>
        <v>2552736</v>
      </c>
      <c r="G96" s="16">
        <f>IFERROR(__xludf.DUMMYFUNCTION("""COMPUTED_VALUE"""),45877.6458333333)</f>
        <v>45877.6458333333</v>
      </c>
      <c r="H96" s="17">
        <f>IFERROR(__xludf.DUMMYFUNCTION("""COMPUTED_VALUE"""),2260.9)</f>
        <v>2260.9</v>
      </c>
      <c r="I96" s="16">
        <f>IFERROR(__xludf.DUMMYFUNCTION("""COMPUTED_VALUE"""),45877.6458333333)</f>
        <v>45877.6458333333</v>
      </c>
      <c r="J96" s="17">
        <f>IFERROR(__xludf.DUMMYFUNCTION("""COMPUTED_VALUE"""),2164.8)</f>
        <v>2164.8</v>
      </c>
      <c r="K96" s="3">
        <f t="shared" si="2"/>
        <v>0</v>
      </c>
      <c r="L96" s="3">
        <f t="shared" si="3"/>
        <v>2178.1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IFERROR(__xludf.DUMMYFUNCTION("""COMPUTED_VALUE"""),2283.4)</f>
        <v>2283.4</v>
      </c>
      <c r="C97" s="16">
        <f>IFERROR(__xludf.DUMMYFUNCTION("""COMPUTED_VALUE"""),45880.6458333333)</f>
        <v>45880.6458333333</v>
      </c>
      <c r="D97" s="17">
        <f>IFERROR(__xludf.DUMMYFUNCTION("""COMPUTED_VALUE"""),2196)</f>
        <v>2196</v>
      </c>
      <c r="E97" s="16">
        <f>IFERROR(__xludf.DUMMYFUNCTION("""COMPUTED_VALUE"""),45880.6458333333)</f>
        <v>45880.6458333333</v>
      </c>
      <c r="F97" s="17">
        <f>IFERROR(__xludf.DUMMYFUNCTION("""COMPUTED_VALUE"""),2376286)</f>
        <v>2376286</v>
      </c>
      <c r="G97" s="16">
        <f>IFERROR(__xludf.DUMMYFUNCTION("""COMPUTED_VALUE"""),45880.6458333333)</f>
        <v>45880.6458333333</v>
      </c>
      <c r="H97" s="17">
        <f>IFERROR(__xludf.DUMMYFUNCTION("""COMPUTED_VALUE"""),2302)</f>
        <v>2302</v>
      </c>
      <c r="I97" s="16">
        <f>IFERROR(__xludf.DUMMYFUNCTION("""COMPUTED_VALUE"""),45880.6458333333)</f>
        <v>45880.6458333333</v>
      </c>
      <c r="J97" s="17">
        <f>IFERROR(__xludf.DUMMYFUNCTION("""COMPUTED_VALUE"""),2183)</f>
        <v>2183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IFERROR(__xludf.DUMMYFUNCTION("""COMPUTED_VALUE"""),2288.2)</f>
        <v>2288.2</v>
      </c>
      <c r="C98" s="16">
        <f>IFERROR(__xludf.DUMMYFUNCTION("""COMPUTED_VALUE"""),45881.6458333333)</f>
        <v>45881.6458333333</v>
      </c>
      <c r="D98" s="17">
        <f>IFERROR(__xludf.DUMMYFUNCTION("""COMPUTED_VALUE"""),2280.1)</f>
        <v>2280.1</v>
      </c>
      <c r="E98" s="16">
        <f>IFERROR(__xludf.DUMMYFUNCTION("""COMPUTED_VALUE"""),45881.6458333333)</f>
        <v>45881.6458333333</v>
      </c>
      <c r="F98" s="17">
        <f>IFERROR(__xludf.DUMMYFUNCTION("""COMPUTED_VALUE"""),1075526)</f>
        <v>1075526</v>
      </c>
      <c r="G98" s="16">
        <f>IFERROR(__xludf.DUMMYFUNCTION("""COMPUTED_VALUE"""),45881.6458333333)</f>
        <v>45881.6458333333</v>
      </c>
      <c r="H98" s="17">
        <f>IFERROR(__xludf.DUMMYFUNCTION("""COMPUTED_VALUE"""),2314.7)</f>
        <v>2314.7</v>
      </c>
      <c r="I98" s="16">
        <f>IFERROR(__xludf.DUMMYFUNCTION("""COMPUTED_VALUE"""),45881.6458333333)</f>
        <v>45881.6458333333</v>
      </c>
      <c r="J98" s="17">
        <f>IFERROR(__xludf.DUMMYFUNCTION("""COMPUTED_VALUE"""),2267)</f>
        <v>2267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IFERROR(__xludf.DUMMYFUNCTION("""COMPUTED_VALUE"""),2280.1)</f>
        <v>2280.1</v>
      </c>
      <c r="C99" s="16">
        <f>IFERROR(__xludf.DUMMYFUNCTION("""COMPUTED_VALUE"""),45882.6458333333)</f>
        <v>45882.6458333333</v>
      </c>
      <c r="D99" s="17">
        <f>IFERROR(__xludf.DUMMYFUNCTION("""COMPUTED_VALUE"""),2299)</f>
        <v>2299</v>
      </c>
      <c r="E99" s="16">
        <f>IFERROR(__xludf.DUMMYFUNCTION("""COMPUTED_VALUE"""),45882.6458333333)</f>
        <v>45882.6458333333</v>
      </c>
      <c r="F99" s="17">
        <f>IFERROR(__xludf.DUMMYFUNCTION("""COMPUTED_VALUE"""),833679)</f>
        <v>833679</v>
      </c>
      <c r="G99" s="16">
        <f>IFERROR(__xludf.DUMMYFUNCTION("""COMPUTED_VALUE"""),45882.6458333333)</f>
        <v>45882.6458333333</v>
      </c>
      <c r="H99" s="17">
        <f>IFERROR(__xludf.DUMMYFUNCTION("""COMPUTED_VALUE"""),2314.9)</f>
        <v>2314.9</v>
      </c>
      <c r="I99" s="16">
        <f>IFERROR(__xludf.DUMMYFUNCTION("""COMPUTED_VALUE"""),45882.6458333333)</f>
        <v>45882.6458333333</v>
      </c>
      <c r="J99" s="17">
        <f>IFERROR(__xludf.DUMMYFUNCTION("""COMPUTED_VALUE"""),2245.4)</f>
        <v>2245.4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IFERROR(__xludf.DUMMYFUNCTION("""COMPUTED_VALUE"""),2281.6)</f>
        <v>2281.6</v>
      </c>
      <c r="C100" s="16">
        <f>IFERROR(__xludf.DUMMYFUNCTION("""COMPUTED_VALUE"""),45883.6458333333)</f>
        <v>45883.6458333333</v>
      </c>
      <c r="D100" s="17">
        <f>IFERROR(__xludf.DUMMYFUNCTION("""COMPUTED_VALUE"""),2288)</f>
        <v>2288</v>
      </c>
      <c r="E100" s="16">
        <f>IFERROR(__xludf.DUMMYFUNCTION("""COMPUTED_VALUE"""),45883.6458333333)</f>
        <v>45883.6458333333</v>
      </c>
      <c r="F100" s="17">
        <f>IFERROR(__xludf.DUMMYFUNCTION("""COMPUTED_VALUE"""),998109)</f>
        <v>998109</v>
      </c>
      <c r="G100" s="16">
        <f>IFERROR(__xludf.DUMMYFUNCTION("""COMPUTED_VALUE"""),45883.6458333333)</f>
        <v>45883.6458333333</v>
      </c>
      <c r="H100" s="17">
        <f>IFERROR(__xludf.DUMMYFUNCTION("""COMPUTED_VALUE"""),2304)</f>
        <v>2304</v>
      </c>
      <c r="I100" s="16">
        <f>IFERROR(__xludf.DUMMYFUNCTION("""COMPUTED_VALUE"""),45883.6458333333)</f>
        <v>45883.6458333333</v>
      </c>
      <c r="J100" s="17">
        <f>IFERROR(__xludf.DUMMYFUNCTION("""COMPUTED_VALUE"""),2267.7)</f>
        <v>2267.7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IFERROR(__xludf.DUMMYFUNCTION("""COMPUTED_VALUE"""),2333.6)</f>
        <v>2333.6</v>
      </c>
      <c r="C101" s="16">
        <f>IFERROR(__xludf.DUMMYFUNCTION("""COMPUTED_VALUE"""),45887.6458333333)</f>
        <v>45887.6458333333</v>
      </c>
      <c r="D101" s="17">
        <f>IFERROR(__xludf.DUMMYFUNCTION("""COMPUTED_VALUE"""),2309.6)</f>
        <v>2309.6</v>
      </c>
      <c r="E101" s="16">
        <f>IFERROR(__xludf.DUMMYFUNCTION("""COMPUTED_VALUE"""),45887.6458333333)</f>
        <v>45887.6458333333</v>
      </c>
      <c r="F101" s="17">
        <f>IFERROR(__xludf.DUMMYFUNCTION("""COMPUTED_VALUE"""),988629)</f>
        <v>988629</v>
      </c>
      <c r="G101" s="16">
        <f>IFERROR(__xludf.DUMMYFUNCTION("""COMPUTED_VALUE"""),45887.6458333333)</f>
        <v>45887.6458333333</v>
      </c>
      <c r="H101" s="17">
        <f>IFERROR(__xludf.DUMMYFUNCTION("""COMPUTED_VALUE"""),2360)</f>
        <v>2360</v>
      </c>
      <c r="I101" s="16">
        <f>IFERROR(__xludf.DUMMYFUNCTION("""COMPUTED_VALUE"""),45887.6458333333)</f>
        <v>45887.6458333333</v>
      </c>
      <c r="J101" s="17">
        <f>IFERROR(__xludf.DUMMYFUNCTION("""COMPUTED_VALUE"""),2300)</f>
        <v>2300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IFERROR(__xludf.DUMMYFUNCTION("""COMPUTED_VALUE"""),2388.4)</f>
        <v>2388.4</v>
      </c>
      <c r="C102" s="16">
        <f>IFERROR(__xludf.DUMMYFUNCTION("""COMPUTED_VALUE"""),45888.6458333333)</f>
        <v>45888.6458333333</v>
      </c>
      <c r="D102" s="17">
        <f>IFERROR(__xludf.DUMMYFUNCTION("""COMPUTED_VALUE"""),2339.9)</f>
        <v>2339.9</v>
      </c>
      <c r="E102" s="16">
        <f>IFERROR(__xludf.DUMMYFUNCTION("""COMPUTED_VALUE"""),45888.6458333333)</f>
        <v>45888.6458333333</v>
      </c>
      <c r="F102" s="17">
        <f>IFERROR(__xludf.DUMMYFUNCTION("""COMPUTED_VALUE"""),1069432)</f>
        <v>1069432</v>
      </c>
      <c r="G102" s="16">
        <f>IFERROR(__xludf.DUMMYFUNCTION("""COMPUTED_VALUE"""),45888.6458333333)</f>
        <v>45888.6458333333</v>
      </c>
      <c r="H102" s="17">
        <f>IFERROR(__xludf.DUMMYFUNCTION("""COMPUTED_VALUE"""),2395.6)</f>
        <v>2395.6</v>
      </c>
      <c r="I102" s="16">
        <f>IFERROR(__xludf.DUMMYFUNCTION("""COMPUTED_VALUE"""),45888.6458333333)</f>
        <v>45888.6458333333</v>
      </c>
      <c r="J102" s="17">
        <f>IFERROR(__xludf.DUMMYFUNCTION("""COMPUTED_VALUE"""),2314.1)</f>
        <v>2314.1</v>
      </c>
      <c r="K102" s="3">
        <f t="shared" si="2"/>
        <v>2388.4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IFERROR(__xludf.DUMMYFUNCTION("""COMPUTED_VALUE"""),2387.1)</f>
        <v>2387.1</v>
      </c>
      <c r="C103" s="16">
        <f>IFERROR(__xludf.DUMMYFUNCTION("""COMPUTED_VALUE"""),45889.6458333333)</f>
        <v>45889.6458333333</v>
      </c>
      <c r="D103" s="17">
        <f>IFERROR(__xludf.DUMMYFUNCTION("""COMPUTED_VALUE"""),2380)</f>
        <v>2380</v>
      </c>
      <c r="E103" s="16">
        <f>IFERROR(__xludf.DUMMYFUNCTION("""COMPUTED_VALUE"""),45889.6458333333)</f>
        <v>45889.6458333333</v>
      </c>
      <c r="F103" s="17">
        <f>IFERROR(__xludf.DUMMYFUNCTION("""COMPUTED_VALUE"""),780025)</f>
        <v>780025</v>
      </c>
      <c r="G103" s="16">
        <f>IFERROR(__xludf.DUMMYFUNCTION("""COMPUTED_VALUE"""),45889.6458333333)</f>
        <v>45889.6458333333</v>
      </c>
      <c r="H103" s="17">
        <f>IFERROR(__xludf.DUMMYFUNCTION("""COMPUTED_VALUE"""),2406)</f>
        <v>2406</v>
      </c>
      <c r="I103" s="16">
        <f>IFERROR(__xludf.DUMMYFUNCTION("""COMPUTED_VALUE"""),45889.6458333333)</f>
        <v>45889.6458333333</v>
      </c>
      <c r="J103" s="17">
        <f>IFERROR(__xludf.DUMMYFUNCTION("""COMPUTED_VALUE"""),2372.1)</f>
        <v>2372.1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IFERROR(__xludf.DUMMYFUNCTION("""COMPUTED_VALUE"""),2377.2)</f>
        <v>2377.2</v>
      </c>
      <c r="C104" s="16">
        <f>IFERROR(__xludf.DUMMYFUNCTION("""COMPUTED_VALUE"""),45890.6458333333)</f>
        <v>45890.6458333333</v>
      </c>
      <c r="D104" s="17">
        <f>IFERROR(__xludf.DUMMYFUNCTION("""COMPUTED_VALUE"""),2387.1)</f>
        <v>2387.1</v>
      </c>
      <c r="E104" s="16">
        <f>IFERROR(__xludf.DUMMYFUNCTION("""COMPUTED_VALUE"""),45890.6458333333)</f>
        <v>45890.6458333333</v>
      </c>
      <c r="F104" s="17">
        <f>IFERROR(__xludf.DUMMYFUNCTION("""COMPUTED_VALUE"""),441867)</f>
        <v>441867</v>
      </c>
      <c r="G104" s="16">
        <f>IFERROR(__xludf.DUMMYFUNCTION("""COMPUTED_VALUE"""),45890.6458333333)</f>
        <v>45890.6458333333</v>
      </c>
      <c r="H104" s="17">
        <f>IFERROR(__xludf.DUMMYFUNCTION("""COMPUTED_VALUE"""),2397)</f>
        <v>2397</v>
      </c>
      <c r="I104" s="16">
        <f>IFERROR(__xludf.DUMMYFUNCTION("""COMPUTED_VALUE"""),45890.6458333333)</f>
        <v>45890.6458333333</v>
      </c>
      <c r="J104" s="17">
        <f>IFERROR(__xludf.DUMMYFUNCTION("""COMPUTED_VALUE"""),2371.4)</f>
        <v>2371.4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IFERROR(__xludf.DUMMYFUNCTION("""COMPUTED_VALUE"""),2324.9)</f>
        <v>2324.9</v>
      </c>
      <c r="C105" s="16">
        <f>IFERROR(__xludf.DUMMYFUNCTION("""COMPUTED_VALUE"""),45891.6458333333)</f>
        <v>45891.6458333333</v>
      </c>
      <c r="D105" s="17">
        <f>IFERROR(__xludf.DUMMYFUNCTION("""COMPUTED_VALUE"""),2369.9)</f>
        <v>2369.9</v>
      </c>
      <c r="E105" s="16">
        <f>IFERROR(__xludf.DUMMYFUNCTION("""COMPUTED_VALUE"""),45891.6458333333)</f>
        <v>45891.6458333333</v>
      </c>
      <c r="F105" s="17">
        <f>IFERROR(__xludf.DUMMYFUNCTION("""COMPUTED_VALUE"""),584211)</f>
        <v>584211</v>
      </c>
      <c r="G105" s="16">
        <f>IFERROR(__xludf.DUMMYFUNCTION("""COMPUTED_VALUE"""),45891.6458333333)</f>
        <v>45891.6458333333</v>
      </c>
      <c r="H105" s="17">
        <f>IFERROR(__xludf.DUMMYFUNCTION("""COMPUTED_VALUE"""),2376.3)</f>
        <v>2376.3</v>
      </c>
      <c r="I105" s="16">
        <f>IFERROR(__xludf.DUMMYFUNCTION("""COMPUTED_VALUE"""),45891.6458333333)</f>
        <v>45891.6458333333</v>
      </c>
      <c r="J105" s="17">
        <f>IFERROR(__xludf.DUMMYFUNCTION("""COMPUTED_VALUE"""),2321)</f>
        <v>2321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IFERROR(__xludf.DUMMYFUNCTION("""COMPUTED_VALUE"""),2302.9)</f>
        <v>2302.9</v>
      </c>
      <c r="C106" s="16">
        <f>IFERROR(__xludf.DUMMYFUNCTION("""COMPUTED_VALUE"""),45894.6458333333)</f>
        <v>45894.6458333333</v>
      </c>
      <c r="D106" s="17">
        <f>IFERROR(__xludf.DUMMYFUNCTION("""COMPUTED_VALUE"""),2335.7)</f>
        <v>2335.7</v>
      </c>
      <c r="E106" s="16">
        <f>IFERROR(__xludf.DUMMYFUNCTION("""COMPUTED_VALUE"""),45894.6458333333)</f>
        <v>45894.6458333333</v>
      </c>
      <c r="F106" s="17">
        <f>IFERROR(__xludf.DUMMYFUNCTION("""COMPUTED_VALUE"""),542455)</f>
        <v>542455</v>
      </c>
      <c r="G106" s="16">
        <f>IFERROR(__xludf.DUMMYFUNCTION("""COMPUTED_VALUE"""),45894.6458333333)</f>
        <v>45894.6458333333</v>
      </c>
      <c r="H106" s="17">
        <f>IFERROR(__xludf.DUMMYFUNCTION("""COMPUTED_VALUE"""),2348.4)</f>
        <v>2348.4</v>
      </c>
      <c r="I106" s="16">
        <f>IFERROR(__xludf.DUMMYFUNCTION("""COMPUTED_VALUE"""),45894.6458333333)</f>
        <v>45894.6458333333</v>
      </c>
      <c r="J106" s="17">
        <f>IFERROR(__xludf.DUMMYFUNCTION("""COMPUTED_VALUE"""),2300)</f>
        <v>2300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IFERROR(__xludf.DUMMYFUNCTION("""COMPUTED_VALUE"""),2272)</f>
        <v>2272</v>
      </c>
      <c r="C107" s="16">
        <f>IFERROR(__xludf.DUMMYFUNCTION("""COMPUTED_VALUE"""),45895.6458333333)</f>
        <v>45895.6458333333</v>
      </c>
      <c r="D107" s="17">
        <f>IFERROR(__xludf.DUMMYFUNCTION("""COMPUTED_VALUE"""),2304)</f>
        <v>2304</v>
      </c>
      <c r="E107" s="16">
        <f>IFERROR(__xludf.DUMMYFUNCTION("""COMPUTED_VALUE"""),45895.6458333333)</f>
        <v>45895.6458333333</v>
      </c>
      <c r="F107" s="17">
        <f>IFERROR(__xludf.DUMMYFUNCTION("""COMPUTED_VALUE"""),1071550)</f>
        <v>1071550</v>
      </c>
      <c r="G107" s="16">
        <f>IFERROR(__xludf.DUMMYFUNCTION("""COMPUTED_VALUE"""),45895.6458333333)</f>
        <v>45895.6458333333</v>
      </c>
      <c r="H107" s="17">
        <f>IFERROR(__xludf.DUMMYFUNCTION("""COMPUTED_VALUE"""),2309.3)</f>
        <v>2309.3</v>
      </c>
      <c r="I107" s="16">
        <f>IFERROR(__xludf.DUMMYFUNCTION("""COMPUTED_VALUE"""),45895.6458333333)</f>
        <v>45895.6458333333</v>
      </c>
      <c r="J107" s="17">
        <f>IFERROR(__xludf.DUMMYFUNCTION("""COMPUTED_VALUE"""),2249.4)</f>
        <v>2249.4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IFERROR(__xludf.DUMMYFUNCTION("""COMPUTED_VALUE"""),2275.2)</f>
        <v>2275.2</v>
      </c>
      <c r="C108" s="16">
        <f>IFERROR(__xludf.DUMMYFUNCTION("""COMPUTED_VALUE"""),45897.6458333333)</f>
        <v>45897.6458333333</v>
      </c>
      <c r="D108" s="17">
        <f>IFERROR(__xludf.DUMMYFUNCTION("""COMPUTED_VALUE"""),2271.9)</f>
        <v>2271.9</v>
      </c>
      <c r="E108" s="16">
        <f>IFERROR(__xludf.DUMMYFUNCTION("""COMPUTED_VALUE"""),45897.6458333333)</f>
        <v>45897.6458333333</v>
      </c>
      <c r="F108" s="17">
        <f>IFERROR(__xludf.DUMMYFUNCTION("""COMPUTED_VALUE"""),907868)</f>
        <v>907868</v>
      </c>
      <c r="G108" s="16">
        <f>IFERROR(__xludf.DUMMYFUNCTION("""COMPUTED_VALUE"""),45897.6458333333)</f>
        <v>45897.6458333333</v>
      </c>
      <c r="H108" s="17">
        <f>IFERROR(__xludf.DUMMYFUNCTION("""COMPUTED_VALUE"""),2327.9)</f>
        <v>2327.9</v>
      </c>
      <c r="I108" s="16">
        <f>IFERROR(__xludf.DUMMYFUNCTION("""COMPUTED_VALUE"""),45897.6458333333)</f>
        <v>45897.6458333333</v>
      </c>
      <c r="J108" s="17">
        <f>IFERROR(__xludf.DUMMYFUNCTION("""COMPUTED_VALUE"""),2255)</f>
        <v>2255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IFERROR(__xludf.DUMMYFUNCTION("""COMPUTED_VALUE"""),2244.7)</f>
        <v>2244.7</v>
      </c>
      <c r="C109" s="16">
        <f>IFERROR(__xludf.DUMMYFUNCTION("""COMPUTED_VALUE"""),45898.6458333333)</f>
        <v>45898.6458333333</v>
      </c>
      <c r="D109" s="17">
        <f>IFERROR(__xludf.DUMMYFUNCTION("""COMPUTED_VALUE"""),2283)</f>
        <v>2283</v>
      </c>
      <c r="E109" s="16">
        <f>IFERROR(__xludf.DUMMYFUNCTION("""COMPUTED_VALUE"""),45898.6458333333)</f>
        <v>45898.6458333333</v>
      </c>
      <c r="F109" s="17">
        <f>IFERROR(__xludf.DUMMYFUNCTION("""COMPUTED_VALUE"""),795699)</f>
        <v>795699</v>
      </c>
      <c r="G109" s="16">
        <f>IFERROR(__xludf.DUMMYFUNCTION("""COMPUTED_VALUE"""),45898.6458333333)</f>
        <v>45898.6458333333</v>
      </c>
      <c r="H109" s="17">
        <f>IFERROR(__xludf.DUMMYFUNCTION("""COMPUTED_VALUE"""),2289.7)</f>
        <v>2289.7</v>
      </c>
      <c r="I109" s="16">
        <f>IFERROR(__xludf.DUMMYFUNCTION("""COMPUTED_VALUE"""),45898.6458333333)</f>
        <v>45898.6458333333</v>
      </c>
      <c r="J109" s="17">
        <f>IFERROR(__xludf.DUMMYFUNCTION("""COMPUTED_VALUE"""),2240)</f>
        <v>2240</v>
      </c>
      <c r="K109" s="3">
        <f t="shared" si="2"/>
        <v>0</v>
      </c>
      <c r="L109" s="3">
        <f t="shared" si="3"/>
        <v>2244.7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IFERROR(__xludf.DUMMYFUNCTION("""COMPUTED_VALUE"""),2284.2)</f>
        <v>2284.2</v>
      </c>
      <c r="C110" s="16">
        <f>IFERROR(__xludf.DUMMYFUNCTION("""COMPUTED_VALUE"""),45901.6458333333)</f>
        <v>45901.6458333333</v>
      </c>
      <c r="D110" s="17">
        <f>IFERROR(__xludf.DUMMYFUNCTION("""COMPUTED_VALUE"""),2259)</f>
        <v>2259</v>
      </c>
      <c r="E110" s="16">
        <f>IFERROR(__xludf.DUMMYFUNCTION("""COMPUTED_VALUE"""),45901.6458333333)</f>
        <v>45901.6458333333</v>
      </c>
      <c r="F110" s="17">
        <f>IFERROR(__xludf.DUMMYFUNCTION("""COMPUTED_VALUE"""),425639)</f>
        <v>425639</v>
      </c>
      <c r="G110" s="16">
        <f>IFERROR(__xludf.DUMMYFUNCTION("""COMPUTED_VALUE"""),45901.6458333333)</f>
        <v>45901.6458333333</v>
      </c>
      <c r="H110" s="17">
        <f>IFERROR(__xludf.DUMMYFUNCTION("""COMPUTED_VALUE"""),2288)</f>
        <v>2288</v>
      </c>
      <c r="I110" s="16">
        <f>IFERROR(__xludf.DUMMYFUNCTION("""COMPUTED_VALUE"""),45901.6458333333)</f>
        <v>45901.6458333333</v>
      </c>
      <c r="J110" s="17">
        <f>IFERROR(__xludf.DUMMYFUNCTION("""COMPUTED_VALUE"""),2252.1)</f>
        <v>2252.1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IFERROR(__xludf.DUMMYFUNCTION("""COMPUTED_VALUE"""),2274.2)</f>
        <v>2274.2</v>
      </c>
      <c r="C111" s="16">
        <f>IFERROR(__xludf.DUMMYFUNCTION("""COMPUTED_VALUE"""),45902.6458333333)</f>
        <v>45902.6458333333</v>
      </c>
      <c r="D111" s="17">
        <f>IFERROR(__xludf.DUMMYFUNCTION("""COMPUTED_VALUE"""),2291)</f>
        <v>2291</v>
      </c>
      <c r="E111" s="16">
        <f>IFERROR(__xludf.DUMMYFUNCTION("""COMPUTED_VALUE"""),45902.6458333333)</f>
        <v>45902.6458333333</v>
      </c>
      <c r="F111" s="17">
        <f>IFERROR(__xludf.DUMMYFUNCTION("""COMPUTED_VALUE"""),481894)</f>
        <v>481894</v>
      </c>
      <c r="G111" s="16">
        <f>IFERROR(__xludf.DUMMYFUNCTION("""COMPUTED_VALUE"""),45902.6458333333)</f>
        <v>45902.6458333333</v>
      </c>
      <c r="H111" s="17">
        <f>IFERROR(__xludf.DUMMYFUNCTION("""COMPUTED_VALUE"""),2302)</f>
        <v>2302</v>
      </c>
      <c r="I111" s="16">
        <f>IFERROR(__xludf.DUMMYFUNCTION("""COMPUTED_VALUE"""),45902.6458333333)</f>
        <v>45902.6458333333</v>
      </c>
      <c r="J111" s="17">
        <f>IFERROR(__xludf.DUMMYFUNCTION("""COMPUTED_VALUE"""),2264)</f>
        <v>2264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IFERROR(__xludf.DUMMYFUNCTION("""COMPUTED_VALUE"""),2288.7)</f>
        <v>2288.7</v>
      </c>
      <c r="C112" s="16">
        <f>IFERROR(__xludf.DUMMYFUNCTION("""COMPUTED_VALUE"""),45903.6458333333)</f>
        <v>45903.6458333333</v>
      </c>
      <c r="D112" s="17">
        <f>IFERROR(__xludf.DUMMYFUNCTION("""COMPUTED_VALUE"""),2285)</f>
        <v>2285</v>
      </c>
      <c r="E112" s="16">
        <f>IFERROR(__xludf.DUMMYFUNCTION("""COMPUTED_VALUE"""),45903.6458333333)</f>
        <v>45903.6458333333</v>
      </c>
      <c r="F112" s="17">
        <f>IFERROR(__xludf.DUMMYFUNCTION("""COMPUTED_VALUE"""),443629)</f>
        <v>443629</v>
      </c>
      <c r="G112" s="16">
        <f>IFERROR(__xludf.DUMMYFUNCTION("""COMPUTED_VALUE"""),45903.6458333333)</f>
        <v>45903.6458333333</v>
      </c>
      <c r="H112" s="17">
        <f>IFERROR(__xludf.DUMMYFUNCTION("""COMPUTED_VALUE"""),2293)</f>
        <v>2293</v>
      </c>
      <c r="I112" s="16">
        <f>IFERROR(__xludf.DUMMYFUNCTION("""COMPUTED_VALUE"""),45903.6458333333)</f>
        <v>45903.6458333333</v>
      </c>
      <c r="J112" s="17">
        <f>IFERROR(__xludf.DUMMYFUNCTION("""COMPUTED_VALUE"""),2263.1)</f>
        <v>2263.1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IFERROR(__xludf.DUMMYFUNCTION("""COMPUTED_VALUE"""),2278.8)</f>
        <v>2278.8</v>
      </c>
      <c r="C113" s="16">
        <f>IFERROR(__xludf.DUMMYFUNCTION("""COMPUTED_VALUE"""),45904.6458333333)</f>
        <v>45904.6458333333</v>
      </c>
      <c r="D113" s="17">
        <f>IFERROR(__xludf.DUMMYFUNCTION("""COMPUTED_VALUE"""),2309.9)</f>
        <v>2309.9</v>
      </c>
      <c r="E113" s="16">
        <f>IFERROR(__xludf.DUMMYFUNCTION("""COMPUTED_VALUE"""),45904.6458333333)</f>
        <v>45904.6458333333</v>
      </c>
      <c r="F113" s="17">
        <f>IFERROR(__xludf.DUMMYFUNCTION("""COMPUTED_VALUE"""),392697)</f>
        <v>392697</v>
      </c>
      <c r="G113" s="16">
        <f>IFERROR(__xludf.DUMMYFUNCTION("""COMPUTED_VALUE"""),45904.6458333333)</f>
        <v>45904.6458333333</v>
      </c>
      <c r="H113" s="17">
        <f>IFERROR(__xludf.DUMMYFUNCTION("""COMPUTED_VALUE"""),2317.3)</f>
        <v>2317.3</v>
      </c>
      <c r="I113" s="16">
        <f>IFERROR(__xludf.DUMMYFUNCTION("""COMPUTED_VALUE"""),45904.6458333333)</f>
        <v>45904.6458333333</v>
      </c>
      <c r="J113" s="17">
        <f>IFERROR(__xludf.DUMMYFUNCTION("""COMPUTED_VALUE"""),2275)</f>
        <v>2275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IFERROR(__xludf.DUMMYFUNCTION("""COMPUTED_VALUE"""),2281.4)</f>
        <v>2281.4</v>
      </c>
      <c r="C114" s="16">
        <f>IFERROR(__xludf.DUMMYFUNCTION("""COMPUTED_VALUE"""),45905.6458333333)</f>
        <v>45905.6458333333</v>
      </c>
      <c r="D114" s="17">
        <f>IFERROR(__xludf.DUMMYFUNCTION("""COMPUTED_VALUE"""),2275)</f>
        <v>2275</v>
      </c>
      <c r="E114" s="16">
        <f>IFERROR(__xludf.DUMMYFUNCTION("""COMPUTED_VALUE"""),45905.6458333333)</f>
        <v>45905.6458333333</v>
      </c>
      <c r="F114" s="17">
        <f>IFERROR(__xludf.DUMMYFUNCTION("""COMPUTED_VALUE"""),443010)</f>
        <v>443010</v>
      </c>
      <c r="G114" s="16">
        <f>IFERROR(__xludf.DUMMYFUNCTION("""COMPUTED_VALUE"""),45905.6458333333)</f>
        <v>45905.6458333333</v>
      </c>
      <c r="H114" s="17">
        <f>IFERROR(__xludf.DUMMYFUNCTION("""COMPUTED_VALUE"""),2293.5)</f>
        <v>2293.5</v>
      </c>
      <c r="I114" s="16">
        <f>IFERROR(__xludf.DUMMYFUNCTION("""COMPUTED_VALUE"""),45905.6458333333)</f>
        <v>45905.6458333333</v>
      </c>
      <c r="J114" s="17">
        <f>IFERROR(__xludf.DUMMYFUNCTION("""COMPUTED_VALUE"""),2248)</f>
        <v>2248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IFERROR(__xludf.DUMMYFUNCTION("""COMPUTED_VALUE"""),2310.9)</f>
        <v>2310.9</v>
      </c>
      <c r="C115" s="16">
        <f>IFERROR(__xludf.DUMMYFUNCTION("""COMPUTED_VALUE"""),45908.6458333333)</f>
        <v>45908.6458333333</v>
      </c>
      <c r="D115" s="17">
        <f>IFERROR(__xludf.DUMMYFUNCTION("""COMPUTED_VALUE"""),2290)</f>
        <v>2290</v>
      </c>
      <c r="E115" s="16">
        <f>IFERROR(__xludf.DUMMYFUNCTION("""COMPUTED_VALUE"""),45908.6458333333)</f>
        <v>45908.6458333333</v>
      </c>
      <c r="F115" s="17">
        <f>IFERROR(__xludf.DUMMYFUNCTION("""COMPUTED_VALUE"""),542811)</f>
        <v>542811</v>
      </c>
      <c r="G115" s="16">
        <f>IFERROR(__xludf.DUMMYFUNCTION("""COMPUTED_VALUE"""),45908.6458333333)</f>
        <v>45908.6458333333</v>
      </c>
      <c r="H115" s="17">
        <f>IFERROR(__xludf.DUMMYFUNCTION("""COMPUTED_VALUE"""),2333.9)</f>
        <v>2333.9</v>
      </c>
      <c r="I115" s="16">
        <f>IFERROR(__xludf.DUMMYFUNCTION("""COMPUTED_VALUE"""),45908.6458333333)</f>
        <v>45908.6458333333</v>
      </c>
      <c r="J115" s="17">
        <f>IFERROR(__xludf.DUMMYFUNCTION("""COMPUTED_VALUE"""),2286)</f>
        <v>2286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IFERROR(__xludf.DUMMYFUNCTION("""COMPUTED_VALUE"""),2311.6)</f>
        <v>2311.6</v>
      </c>
      <c r="C116" s="16">
        <f>IFERROR(__xludf.DUMMYFUNCTION("""COMPUTED_VALUE"""),45909.6458333333)</f>
        <v>45909.6458333333</v>
      </c>
      <c r="D116" s="17">
        <f>IFERROR(__xludf.DUMMYFUNCTION("""COMPUTED_VALUE"""),2320)</f>
        <v>2320</v>
      </c>
      <c r="E116" s="16">
        <f>IFERROR(__xludf.DUMMYFUNCTION("""COMPUTED_VALUE"""),45909.6458333333)</f>
        <v>45909.6458333333</v>
      </c>
      <c r="F116" s="17">
        <f>IFERROR(__xludf.DUMMYFUNCTION("""COMPUTED_VALUE"""),369431)</f>
        <v>369431</v>
      </c>
      <c r="G116" s="16">
        <f>IFERROR(__xludf.DUMMYFUNCTION("""COMPUTED_VALUE"""),45909.6458333333)</f>
        <v>45909.6458333333</v>
      </c>
      <c r="H116" s="17">
        <f>IFERROR(__xludf.DUMMYFUNCTION("""COMPUTED_VALUE"""),2325)</f>
        <v>2325</v>
      </c>
      <c r="I116" s="16">
        <f>IFERROR(__xludf.DUMMYFUNCTION("""COMPUTED_VALUE"""),45909.6458333333)</f>
        <v>45909.6458333333</v>
      </c>
      <c r="J116" s="17">
        <f>IFERROR(__xludf.DUMMYFUNCTION("""COMPUTED_VALUE"""),2297)</f>
        <v>2297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IFERROR(__xludf.DUMMYFUNCTION("""COMPUTED_VALUE"""),2340.2)</f>
        <v>2340.2</v>
      </c>
      <c r="C117" s="16">
        <f>IFERROR(__xludf.DUMMYFUNCTION("""COMPUTED_VALUE"""),45910.6458333333)</f>
        <v>45910.6458333333</v>
      </c>
      <c r="D117" s="17">
        <f>IFERROR(__xludf.DUMMYFUNCTION("""COMPUTED_VALUE"""),2330)</f>
        <v>2330</v>
      </c>
      <c r="E117" s="16">
        <f>IFERROR(__xludf.DUMMYFUNCTION("""COMPUTED_VALUE"""),45910.6458333333)</f>
        <v>45910.6458333333</v>
      </c>
      <c r="F117" s="17">
        <f>IFERROR(__xludf.DUMMYFUNCTION("""COMPUTED_VALUE"""),390490)</f>
        <v>390490</v>
      </c>
      <c r="G117" s="16">
        <f>IFERROR(__xludf.DUMMYFUNCTION("""COMPUTED_VALUE"""),45910.6458333333)</f>
        <v>45910.6458333333</v>
      </c>
      <c r="H117" s="17">
        <f>IFERROR(__xludf.DUMMYFUNCTION("""COMPUTED_VALUE"""),2345.9)</f>
        <v>2345.9</v>
      </c>
      <c r="I117" s="16">
        <f>IFERROR(__xludf.DUMMYFUNCTION("""COMPUTED_VALUE"""),45910.6458333333)</f>
        <v>45910.6458333333</v>
      </c>
      <c r="J117" s="17">
        <f>IFERROR(__xludf.DUMMYFUNCTION("""COMPUTED_VALUE"""),2325.1)</f>
        <v>2325.1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IFERROR(__xludf.DUMMYFUNCTION("""COMPUTED_VALUE"""),2398.8)</f>
        <v>2398.8</v>
      </c>
      <c r="C118" s="16">
        <f>IFERROR(__xludf.DUMMYFUNCTION("""COMPUTED_VALUE"""),45911.6458333333)</f>
        <v>45911.6458333333</v>
      </c>
      <c r="D118" s="17">
        <f>IFERROR(__xludf.DUMMYFUNCTION("""COMPUTED_VALUE"""),2348)</f>
        <v>2348</v>
      </c>
      <c r="E118" s="16">
        <f>IFERROR(__xludf.DUMMYFUNCTION("""COMPUTED_VALUE"""),45911.6458333333)</f>
        <v>45911.6458333333</v>
      </c>
      <c r="F118" s="17">
        <f>IFERROR(__xludf.DUMMYFUNCTION("""COMPUTED_VALUE"""),2111888)</f>
        <v>2111888</v>
      </c>
      <c r="G118" s="16">
        <f>IFERROR(__xludf.DUMMYFUNCTION("""COMPUTED_VALUE"""),45911.6458333333)</f>
        <v>45911.6458333333</v>
      </c>
      <c r="H118" s="17">
        <f>IFERROR(__xludf.DUMMYFUNCTION("""COMPUTED_VALUE"""),2418.7)</f>
        <v>2418.7</v>
      </c>
      <c r="I118" s="16">
        <f>IFERROR(__xludf.DUMMYFUNCTION("""COMPUTED_VALUE"""),45911.6458333333)</f>
        <v>45911.6458333333</v>
      </c>
      <c r="J118" s="17">
        <f>IFERROR(__xludf.DUMMYFUNCTION("""COMPUTED_VALUE"""),2340.2)</f>
        <v>2340.2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IFERROR(__xludf.DUMMYFUNCTION("""COMPUTED_VALUE"""),2392)</f>
        <v>2392</v>
      </c>
      <c r="C119" s="16">
        <f>IFERROR(__xludf.DUMMYFUNCTION("""COMPUTED_VALUE"""),45912.6458333333)</f>
        <v>45912.6458333333</v>
      </c>
      <c r="D119" s="17">
        <f>IFERROR(__xludf.DUMMYFUNCTION("""COMPUTED_VALUE"""),2416.9)</f>
        <v>2416.9</v>
      </c>
      <c r="E119" s="16">
        <f>IFERROR(__xludf.DUMMYFUNCTION("""COMPUTED_VALUE"""),45912.6458333333)</f>
        <v>45912.6458333333</v>
      </c>
      <c r="F119" s="17">
        <f>IFERROR(__xludf.DUMMYFUNCTION("""COMPUTED_VALUE"""),533971)</f>
        <v>533971</v>
      </c>
      <c r="G119" s="16">
        <f>IFERROR(__xludf.DUMMYFUNCTION("""COMPUTED_VALUE"""),45912.6458333333)</f>
        <v>45912.6458333333</v>
      </c>
      <c r="H119" s="17">
        <f>IFERROR(__xludf.DUMMYFUNCTION("""COMPUTED_VALUE"""),2421.6)</f>
        <v>2421.6</v>
      </c>
      <c r="I119" s="16">
        <f>IFERROR(__xludf.DUMMYFUNCTION("""COMPUTED_VALUE"""),45912.6458333333)</f>
        <v>45912.6458333333</v>
      </c>
      <c r="J119" s="17">
        <f>IFERROR(__xludf.DUMMYFUNCTION("""COMPUTED_VALUE"""),2387.1)</f>
        <v>2387.1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IFERROR(__xludf.DUMMYFUNCTION("""COMPUTED_VALUE"""),2383.4)</f>
        <v>2383.4</v>
      </c>
      <c r="C120" s="16">
        <f>IFERROR(__xludf.DUMMYFUNCTION("""COMPUTED_VALUE"""),45915.6458333333)</f>
        <v>45915.6458333333</v>
      </c>
      <c r="D120" s="17">
        <f>IFERROR(__xludf.DUMMYFUNCTION("""COMPUTED_VALUE"""),2392)</f>
        <v>2392</v>
      </c>
      <c r="E120" s="16">
        <f>IFERROR(__xludf.DUMMYFUNCTION("""COMPUTED_VALUE"""),45915.6458333333)</f>
        <v>45915.6458333333</v>
      </c>
      <c r="F120" s="17">
        <f>IFERROR(__xludf.DUMMYFUNCTION("""COMPUTED_VALUE"""),298129)</f>
        <v>298129</v>
      </c>
      <c r="G120" s="16">
        <f>IFERROR(__xludf.DUMMYFUNCTION("""COMPUTED_VALUE"""),45915.6458333333)</f>
        <v>45915.6458333333</v>
      </c>
      <c r="H120" s="17">
        <f>IFERROR(__xludf.DUMMYFUNCTION("""COMPUTED_VALUE"""),2402.8)</f>
        <v>2402.8</v>
      </c>
      <c r="I120" s="16">
        <f>IFERROR(__xludf.DUMMYFUNCTION("""COMPUTED_VALUE"""),45915.6458333333)</f>
        <v>45915.6458333333</v>
      </c>
      <c r="J120" s="17">
        <f>IFERROR(__xludf.DUMMYFUNCTION("""COMPUTED_VALUE"""),2378.1)</f>
        <v>2378.1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IFERROR(__xludf.DUMMYFUNCTION("""COMPUTED_VALUE"""),2399.4)</f>
        <v>2399.4</v>
      </c>
      <c r="C121" s="16">
        <f>IFERROR(__xludf.DUMMYFUNCTION("""COMPUTED_VALUE"""),45916.6458333333)</f>
        <v>45916.6458333333</v>
      </c>
      <c r="D121" s="17">
        <f>IFERROR(__xludf.DUMMYFUNCTION("""COMPUTED_VALUE"""),2410)</f>
        <v>2410</v>
      </c>
      <c r="E121" s="16">
        <f>IFERROR(__xludf.DUMMYFUNCTION("""COMPUTED_VALUE"""),45916.6458333333)</f>
        <v>45916.6458333333</v>
      </c>
      <c r="F121" s="17">
        <f>IFERROR(__xludf.DUMMYFUNCTION("""COMPUTED_VALUE"""),752979)</f>
        <v>752979</v>
      </c>
      <c r="G121" s="16">
        <f>IFERROR(__xludf.DUMMYFUNCTION("""COMPUTED_VALUE"""),45916.6458333333)</f>
        <v>45916.6458333333</v>
      </c>
      <c r="H121" s="17">
        <f>IFERROR(__xludf.DUMMYFUNCTION("""COMPUTED_VALUE"""),2415.8)</f>
        <v>2415.8</v>
      </c>
      <c r="I121" s="16">
        <f>IFERROR(__xludf.DUMMYFUNCTION("""COMPUTED_VALUE"""),45916.6458333333)</f>
        <v>45916.6458333333</v>
      </c>
      <c r="J121" s="17">
        <f>IFERROR(__xludf.DUMMYFUNCTION("""COMPUTED_VALUE"""),2388)</f>
        <v>2388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IFERROR(__xludf.DUMMYFUNCTION("""COMPUTED_VALUE"""),2402)</f>
        <v>2402</v>
      </c>
      <c r="C122" s="16">
        <f>IFERROR(__xludf.DUMMYFUNCTION("""COMPUTED_VALUE"""),45917.6458333333)</f>
        <v>45917.6458333333</v>
      </c>
      <c r="D122" s="17">
        <f>IFERROR(__xludf.DUMMYFUNCTION("""COMPUTED_VALUE"""),2417)</f>
        <v>2417</v>
      </c>
      <c r="E122" s="16">
        <f>IFERROR(__xludf.DUMMYFUNCTION("""COMPUTED_VALUE"""),45917.6458333333)</f>
        <v>45917.6458333333</v>
      </c>
      <c r="F122" s="17">
        <f>IFERROR(__xludf.DUMMYFUNCTION("""COMPUTED_VALUE"""),514354)</f>
        <v>514354</v>
      </c>
      <c r="G122" s="16">
        <f>IFERROR(__xludf.DUMMYFUNCTION("""COMPUTED_VALUE"""),45917.6458333333)</f>
        <v>45917.6458333333</v>
      </c>
      <c r="H122" s="17">
        <f>IFERROR(__xludf.DUMMYFUNCTION("""COMPUTED_VALUE"""),2417)</f>
        <v>2417</v>
      </c>
      <c r="I122" s="16">
        <f>IFERROR(__xludf.DUMMYFUNCTION("""COMPUTED_VALUE"""),45917.6458333333)</f>
        <v>45917.6458333333</v>
      </c>
      <c r="J122" s="17">
        <f>IFERROR(__xludf.DUMMYFUNCTION("""COMPUTED_VALUE"""),2391)</f>
        <v>2391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IFERROR(__xludf.DUMMYFUNCTION("""COMPUTED_VALUE"""),2402)</f>
        <v>2402</v>
      </c>
      <c r="C123" s="16">
        <f>IFERROR(__xludf.DUMMYFUNCTION("""COMPUTED_VALUE"""),45918.6458333333)</f>
        <v>45918.6458333333</v>
      </c>
      <c r="D123" s="17">
        <f>IFERROR(__xludf.DUMMYFUNCTION("""COMPUTED_VALUE"""),2414.5)</f>
        <v>2414.5</v>
      </c>
      <c r="E123" s="16">
        <f>IFERROR(__xludf.DUMMYFUNCTION("""COMPUTED_VALUE"""),45918.6458333333)</f>
        <v>45918.6458333333</v>
      </c>
      <c r="F123" s="17">
        <f>IFERROR(__xludf.DUMMYFUNCTION("""COMPUTED_VALUE"""),703730)</f>
        <v>703730</v>
      </c>
      <c r="G123" s="16">
        <f>IFERROR(__xludf.DUMMYFUNCTION("""COMPUTED_VALUE"""),45918.6458333333)</f>
        <v>45918.6458333333</v>
      </c>
      <c r="H123" s="17">
        <f>IFERROR(__xludf.DUMMYFUNCTION("""COMPUTED_VALUE"""),2438)</f>
        <v>2438</v>
      </c>
      <c r="I123" s="16">
        <f>IFERROR(__xludf.DUMMYFUNCTION("""COMPUTED_VALUE"""),45918.6458333333)</f>
        <v>45918.6458333333</v>
      </c>
      <c r="J123" s="17">
        <f>IFERROR(__xludf.DUMMYFUNCTION("""COMPUTED_VALUE"""),2388.4)</f>
        <v>2388.4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IFERROR(__xludf.DUMMYFUNCTION("""COMPUTED_VALUE"""),2524)</f>
        <v>2524</v>
      </c>
      <c r="C124" s="16">
        <f>IFERROR(__xludf.DUMMYFUNCTION("""COMPUTED_VALUE"""),45919.6458333333)</f>
        <v>45919.6458333333</v>
      </c>
      <c r="D124" s="17">
        <f>IFERROR(__xludf.DUMMYFUNCTION("""COMPUTED_VALUE"""),2495)</f>
        <v>2495</v>
      </c>
      <c r="E124" s="16">
        <f>IFERROR(__xludf.DUMMYFUNCTION("""COMPUTED_VALUE"""),45919.6458333333)</f>
        <v>45919.6458333333</v>
      </c>
      <c r="F124" s="17">
        <f>IFERROR(__xludf.DUMMYFUNCTION("""COMPUTED_VALUE"""),7965135)</f>
        <v>7965135</v>
      </c>
      <c r="G124" s="16">
        <f>IFERROR(__xludf.DUMMYFUNCTION("""COMPUTED_VALUE"""),45919.6458333333)</f>
        <v>45919.6458333333</v>
      </c>
      <c r="H124" s="17">
        <f>IFERROR(__xludf.DUMMYFUNCTION("""COMPUTED_VALUE"""),2579)</f>
        <v>2579</v>
      </c>
      <c r="I124" s="16">
        <f>IFERROR(__xludf.DUMMYFUNCTION("""COMPUTED_VALUE"""),45919.6458333333)</f>
        <v>45919.6458333333</v>
      </c>
      <c r="J124" s="17">
        <f>IFERROR(__xludf.DUMMYFUNCTION("""COMPUTED_VALUE"""),2466.1)</f>
        <v>2466.1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IFERROR(__xludf.DUMMYFUNCTION("""COMPUTED_VALUE"""),2629.5)</f>
        <v>2629.5</v>
      </c>
      <c r="C125" s="16">
        <f>IFERROR(__xludf.DUMMYFUNCTION("""COMPUTED_VALUE"""),45922.6458333333)</f>
        <v>45922.6458333333</v>
      </c>
      <c r="D125" s="17">
        <f>IFERROR(__xludf.DUMMYFUNCTION("""COMPUTED_VALUE"""),2535)</f>
        <v>2535</v>
      </c>
      <c r="E125" s="16">
        <f>IFERROR(__xludf.DUMMYFUNCTION("""COMPUTED_VALUE"""),45922.6458333333)</f>
        <v>45922.6458333333</v>
      </c>
      <c r="F125" s="17">
        <f>IFERROR(__xludf.DUMMYFUNCTION("""COMPUTED_VALUE"""),7022985)</f>
        <v>7022985</v>
      </c>
      <c r="G125" s="16">
        <f>IFERROR(__xludf.DUMMYFUNCTION("""COMPUTED_VALUE"""),45922.6458333333)</f>
        <v>45922.6458333333</v>
      </c>
      <c r="H125" s="17">
        <f>IFERROR(__xludf.DUMMYFUNCTION("""COMPUTED_VALUE"""),2659)</f>
        <v>2659</v>
      </c>
      <c r="I125" s="16">
        <f>IFERROR(__xludf.DUMMYFUNCTION("""COMPUTED_VALUE"""),45922.6458333333)</f>
        <v>45922.6458333333</v>
      </c>
      <c r="J125" s="17">
        <f>IFERROR(__xludf.DUMMYFUNCTION("""COMPUTED_VALUE"""),2522.1)</f>
        <v>2522.1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IFERROR(__xludf.DUMMYFUNCTION("""COMPUTED_VALUE"""),2676.4)</f>
        <v>2676.4</v>
      </c>
      <c r="C126" s="16">
        <f>IFERROR(__xludf.DUMMYFUNCTION("""COMPUTED_VALUE"""),45923.6458333333)</f>
        <v>45923.6458333333</v>
      </c>
      <c r="D126" s="17">
        <f>IFERROR(__xludf.DUMMYFUNCTION("""COMPUTED_VALUE"""),2642.6)</f>
        <v>2642.6</v>
      </c>
      <c r="E126" s="16">
        <f>IFERROR(__xludf.DUMMYFUNCTION("""COMPUTED_VALUE"""),45923.6458333333)</f>
        <v>45923.6458333333</v>
      </c>
      <c r="F126" s="17">
        <f>IFERROR(__xludf.DUMMYFUNCTION("""COMPUTED_VALUE"""),5610022)</f>
        <v>5610022</v>
      </c>
      <c r="G126" s="16">
        <f>IFERROR(__xludf.DUMMYFUNCTION("""COMPUTED_VALUE"""),45923.6458333333)</f>
        <v>45923.6458333333</v>
      </c>
      <c r="H126" s="17">
        <f>IFERROR(__xludf.DUMMYFUNCTION("""COMPUTED_VALUE"""),2695)</f>
        <v>2695</v>
      </c>
      <c r="I126" s="16">
        <f>IFERROR(__xludf.DUMMYFUNCTION("""COMPUTED_VALUE"""),45923.6458333333)</f>
        <v>45923.6458333333</v>
      </c>
      <c r="J126" s="17">
        <f>IFERROR(__xludf.DUMMYFUNCTION("""COMPUTED_VALUE"""),2593)</f>
        <v>2593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IFERROR(__xludf.DUMMYFUNCTION("""COMPUTED_VALUE"""),2619.8)</f>
        <v>2619.8</v>
      </c>
      <c r="C127" s="16">
        <f>IFERROR(__xludf.DUMMYFUNCTION("""COMPUTED_VALUE"""),45924.6458333333)</f>
        <v>45924.6458333333</v>
      </c>
      <c r="D127" s="17">
        <f>IFERROR(__xludf.DUMMYFUNCTION("""COMPUTED_VALUE"""),2655)</f>
        <v>2655</v>
      </c>
      <c r="E127" s="16">
        <f>IFERROR(__xludf.DUMMYFUNCTION("""COMPUTED_VALUE"""),45924.6458333333)</f>
        <v>45924.6458333333</v>
      </c>
      <c r="F127" s="17">
        <f>IFERROR(__xludf.DUMMYFUNCTION("""COMPUTED_VALUE"""),1720785)</f>
        <v>1720785</v>
      </c>
      <c r="G127" s="16">
        <f>IFERROR(__xludf.DUMMYFUNCTION("""COMPUTED_VALUE"""),45924.6458333333)</f>
        <v>45924.6458333333</v>
      </c>
      <c r="H127" s="17">
        <f>IFERROR(__xludf.DUMMYFUNCTION("""COMPUTED_VALUE"""),2676)</f>
        <v>2676</v>
      </c>
      <c r="I127" s="16">
        <f>IFERROR(__xludf.DUMMYFUNCTION("""COMPUTED_VALUE"""),45924.6458333333)</f>
        <v>45924.6458333333</v>
      </c>
      <c r="J127" s="17">
        <f>IFERROR(__xludf.DUMMYFUNCTION("""COMPUTED_VALUE"""),2614.4)</f>
        <v>2614.4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IFERROR(__xludf.DUMMYFUNCTION("""COMPUTED_VALUE"""),2576.4)</f>
        <v>2576.4</v>
      </c>
      <c r="C128" s="16">
        <f>IFERROR(__xludf.DUMMYFUNCTION("""COMPUTED_VALUE"""),45925.6458333333)</f>
        <v>45925.6458333333</v>
      </c>
      <c r="D128" s="17">
        <f>IFERROR(__xludf.DUMMYFUNCTION("""COMPUTED_VALUE"""),2625)</f>
        <v>2625</v>
      </c>
      <c r="E128" s="16">
        <f>IFERROR(__xludf.DUMMYFUNCTION("""COMPUTED_VALUE"""),45925.6458333333)</f>
        <v>45925.6458333333</v>
      </c>
      <c r="F128" s="17">
        <f>IFERROR(__xludf.DUMMYFUNCTION("""COMPUTED_VALUE"""),1489682)</f>
        <v>1489682</v>
      </c>
      <c r="G128" s="16">
        <f>IFERROR(__xludf.DUMMYFUNCTION("""COMPUTED_VALUE"""),45925.6458333333)</f>
        <v>45925.6458333333</v>
      </c>
      <c r="H128" s="17">
        <f>IFERROR(__xludf.DUMMYFUNCTION("""COMPUTED_VALUE"""),2647.9)</f>
        <v>2647.9</v>
      </c>
      <c r="I128" s="16">
        <f>IFERROR(__xludf.DUMMYFUNCTION("""COMPUTED_VALUE"""),45925.6458333333)</f>
        <v>45925.6458333333</v>
      </c>
      <c r="J128" s="17">
        <f>IFERROR(__xludf.DUMMYFUNCTION("""COMPUTED_VALUE"""),2567)</f>
        <v>2567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IFERROR(__xludf.DUMMYFUNCTION("""COMPUTED_VALUE"""),2543.7)</f>
        <v>2543.7</v>
      </c>
      <c r="C129" s="16">
        <f>IFERROR(__xludf.DUMMYFUNCTION("""COMPUTED_VALUE"""),45926.6458333333)</f>
        <v>45926.6458333333</v>
      </c>
      <c r="D129" s="17">
        <f>IFERROR(__xludf.DUMMYFUNCTION("""COMPUTED_VALUE"""),2572.8)</f>
        <v>2572.8</v>
      </c>
      <c r="E129" s="16">
        <f>IFERROR(__xludf.DUMMYFUNCTION("""COMPUTED_VALUE"""),45926.6458333333)</f>
        <v>45926.6458333333</v>
      </c>
      <c r="F129" s="17">
        <f>IFERROR(__xludf.DUMMYFUNCTION("""COMPUTED_VALUE"""),1037808)</f>
        <v>1037808</v>
      </c>
      <c r="G129" s="16">
        <f>IFERROR(__xludf.DUMMYFUNCTION("""COMPUTED_VALUE"""),45926.6458333333)</f>
        <v>45926.6458333333</v>
      </c>
      <c r="H129" s="17">
        <f>IFERROR(__xludf.DUMMYFUNCTION("""COMPUTED_VALUE"""),2605)</f>
        <v>2605</v>
      </c>
      <c r="I129" s="16">
        <f>IFERROR(__xludf.DUMMYFUNCTION("""COMPUTED_VALUE"""),45926.6458333333)</f>
        <v>45926.6458333333</v>
      </c>
      <c r="J129" s="17">
        <f>IFERROR(__xludf.DUMMYFUNCTION("""COMPUTED_VALUE"""),2535)</f>
        <v>2535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267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""price"")"),2535.6)</f>
        <v>2535.6</v>
      </c>
      <c r="I3" s="22" t="s">
        <v>269</v>
      </c>
      <c r="J3" s="23">
        <f>IFERROR(__xludf.DUMMYFUNCTION("GOOGLEFINANCE(L3, ""volume"")"),1037808)</f>
        <v>1037808</v>
      </c>
      <c r="K3" s="24" t="s">
        <v>270</v>
      </c>
      <c r="L3" s="25" t="str">
        <f>Mastersheet!B3</f>
        <v>ADANIENT</v>
      </c>
      <c r="M3" s="26">
        <f>IFERROR(__xludf.DUMMYFUNCTION("""COMPUTED_VALUE"""),45926.6458333333)</f>
        <v>45926.6458333333</v>
      </c>
      <c r="N3" s="27">
        <f>IFERROR(__xludf.DUMMYFUNCTION("""COMPUTED_VALUE"""),2543.7)</f>
        <v>2543.7</v>
      </c>
      <c r="O3" s="26">
        <f>IFERROR(__xludf.DUMMYFUNCTION("""COMPUTED_VALUE"""),45926.6458333333)</f>
        <v>45926.6458333333</v>
      </c>
      <c r="P3" s="27">
        <f>IFERROR(__xludf.DUMMYFUNCTION("""COMPUTED_VALUE"""),2572.8)</f>
        <v>2572.8</v>
      </c>
      <c r="Q3" s="16">
        <f>IFERROR(__xludf.DUMMYFUNCTION("""COMPUTED_VALUE"""),45926.6458333333)</f>
        <v>45926.6458333333</v>
      </c>
      <c r="R3" s="17">
        <f>IFERROR(__xludf.DUMMYFUNCTION("""COMPUTED_VALUE"""),2605)</f>
        <v>2605</v>
      </c>
      <c r="S3" s="16">
        <f>IFERROR(__xludf.DUMMYFUNCTION("""COMPUTED_VALUE"""),45926.6458333333)</f>
        <v>45926.6458333333</v>
      </c>
      <c r="T3" s="17">
        <f>IFERROR(__xludf.DUMMYFUNCTION("""COMPUTED_VALUE"""),2535)</f>
        <v>2535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IFERROR(__xludf.DUMMYFUNCTION("""COMPUTED_VALUE"""),2363.35)</f>
        <v>2363.35</v>
      </c>
      <c r="C5" s="14">
        <f>IFERROR(__xludf.DUMMYFUNCTION("""COMPUTED_VALUE"""),45743.6458333333)</f>
        <v>45743.6458333333</v>
      </c>
      <c r="D5" s="15">
        <f>IFERROR(__xludf.DUMMYFUNCTION("""COMPUTED_VALUE"""),2310)</f>
        <v>2310</v>
      </c>
      <c r="E5" s="14">
        <f>IFERROR(__xludf.DUMMYFUNCTION("""COMPUTED_VALUE"""),45743.6458333333)</f>
        <v>45743.6458333333</v>
      </c>
      <c r="F5" s="15">
        <f>IFERROR(__xludf.DUMMYFUNCTION("""COMPUTED_VALUE"""),1696042)</f>
        <v>1696042</v>
      </c>
      <c r="G5" s="14">
        <f>IFERROR(__xludf.DUMMYFUNCTION("""COMPUTED_VALUE"""),45743.6458333333)</f>
        <v>45743.6458333333</v>
      </c>
      <c r="H5" s="15">
        <f>IFERROR(__xludf.DUMMYFUNCTION("""COMPUTED_VALUE"""),2373.9)</f>
        <v>2373.9</v>
      </c>
      <c r="I5" s="30">
        <f>IFERROR(__xludf.DUMMYFUNCTION("""COMPUTED_VALUE"""),45743.6458333333)</f>
        <v>45743.6458333333</v>
      </c>
      <c r="J5" s="3">
        <f>IFERROR(__xludf.DUMMYFUNCTION("""COMPUTED_VALUE"""),2291.6)</f>
        <v>2291.6</v>
      </c>
      <c r="K5" s="5"/>
      <c r="L5" s="5"/>
      <c r="M5" s="3">
        <f t="array" ref="M5">INDEX(K11:K124,MATCH(SMALL(ABS(K11:K124-H3),1),ABS(K11:K124-H3),0))</f>
        <v>2555</v>
      </c>
      <c r="N5" s="3">
        <f t="array" ref="N5">INDEX(K11:K124,MATCH(SMALL(ABS(K11:K124-H3),2),ABS(K11:K124-H3),0))</f>
        <v>2613.1</v>
      </c>
      <c r="O5" s="3">
        <f t="array" ref="O5">INDEX(L11:L124,MATCH(SMALL(ABS(L11:L124-H3),1),ABS(L11:L124-H3),0))</f>
        <v>2558.7</v>
      </c>
      <c r="P5" s="3">
        <f t="array" ref="P5">INDEX(L11:L124,MATCH(SMALL(ABS(L11:L124-H3),2),ABS(L11:L124-H3),0))</f>
        <v>2470.9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2442.8</v>
      </c>
      <c r="T5" s="17">
        <f ca="1">IF(AND(H3&gt;=Mastersheet!I3*S5,H3&lt;=Mastersheet!J3*S5),1,0)</f>
        <v>0</v>
      </c>
      <c r="U5" s="36">
        <f>(N3+P3)/2</f>
        <v>2558.25</v>
      </c>
      <c r="V5" s="17">
        <f>(N3+P3+R3+T3)/4</f>
        <v>2564.125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IFERROR(__xludf.DUMMYFUNCTION("""COMPUTED_VALUE"""),2315.8)</f>
        <v>2315.8</v>
      </c>
      <c r="C6" s="16">
        <f>IFERROR(__xludf.DUMMYFUNCTION("""COMPUTED_VALUE"""),45744.6458333333)</f>
        <v>45744.6458333333</v>
      </c>
      <c r="D6" s="17">
        <f>IFERROR(__xludf.DUMMYFUNCTION("""COMPUTED_VALUE"""),2376)</f>
        <v>2376</v>
      </c>
      <c r="E6" s="16">
        <f>IFERROR(__xludf.DUMMYFUNCTION("""COMPUTED_VALUE"""),45744.6458333333)</f>
        <v>45744.6458333333</v>
      </c>
      <c r="F6" s="17">
        <f>IFERROR(__xludf.DUMMYFUNCTION("""COMPUTED_VALUE"""),1838836)</f>
        <v>1838836</v>
      </c>
      <c r="G6" s="16">
        <f>IFERROR(__xludf.DUMMYFUNCTION("""COMPUTED_VALUE"""),45744.6458333333)</f>
        <v>45744.6458333333</v>
      </c>
      <c r="H6" s="17">
        <f>IFERROR(__xludf.DUMMYFUNCTION("""COMPUTED_VALUE"""),2386.95)</f>
        <v>2386.95</v>
      </c>
      <c r="I6" s="16">
        <f>IFERROR(__xludf.DUMMYFUNCTION("""COMPUTED_VALUE"""),45744.6458333333)</f>
        <v>45744.6458333333</v>
      </c>
      <c r="J6" s="17">
        <f>IFERROR(__xludf.DUMMYFUNCTION("""COMPUTED_VALUE"""),2293.7)</f>
        <v>2293.7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IFERROR(__xludf.DUMMYFUNCTION("""COMPUTED_VALUE"""),2335.25)</f>
        <v>2335.25</v>
      </c>
      <c r="C7" s="16">
        <f>IFERROR(__xludf.DUMMYFUNCTION("""COMPUTED_VALUE"""),45748.6458333333)</f>
        <v>45748.6458333333</v>
      </c>
      <c r="D7" s="17">
        <f>IFERROR(__xludf.DUMMYFUNCTION("""COMPUTED_VALUE"""),2312)</f>
        <v>2312</v>
      </c>
      <c r="E7" s="16">
        <f>IFERROR(__xludf.DUMMYFUNCTION("""COMPUTED_VALUE"""),45748.6458333333)</f>
        <v>45748.6458333333</v>
      </c>
      <c r="F7" s="17">
        <f>IFERROR(__xludf.DUMMYFUNCTION("""COMPUTED_VALUE"""),501942)</f>
        <v>501942</v>
      </c>
      <c r="G7" s="16">
        <f>IFERROR(__xludf.DUMMYFUNCTION("""COMPUTED_VALUE"""),45748.6458333333)</f>
        <v>45748.6458333333</v>
      </c>
      <c r="H7" s="17">
        <f>IFERROR(__xludf.DUMMYFUNCTION("""COMPUTED_VALUE"""),2358.95)</f>
        <v>2358.95</v>
      </c>
      <c r="I7" s="16">
        <f>IFERROR(__xludf.DUMMYFUNCTION("""COMPUTED_VALUE"""),45748.6458333333)</f>
        <v>45748.6458333333</v>
      </c>
      <c r="J7" s="17">
        <f>IFERROR(__xludf.DUMMYFUNCTION("""COMPUTED_VALUE"""),2301)</f>
        <v>2301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IFERROR(__xludf.DUMMYFUNCTION("""COMPUTED_VALUE"""),2369.4)</f>
        <v>2369.4</v>
      </c>
      <c r="C8" s="16">
        <f>IFERROR(__xludf.DUMMYFUNCTION("""COMPUTED_VALUE"""),45749.6458333333)</f>
        <v>45749.6458333333</v>
      </c>
      <c r="D8" s="17">
        <f>IFERROR(__xludf.DUMMYFUNCTION("""COMPUTED_VALUE"""),2339.75)</f>
        <v>2339.75</v>
      </c>
      <c r="E8" s="16">
        <f>IFERROR(__xludf.DUMMYFUNCTION("""COMPUTED_VALUE"""),45749.6458333333)</f>
        <v>45749.6458333333</v>
      </c>
      <c r="F8" s="17">
        <f>IFERROR(__xludf.DUMMYFUNCTION("""COMPUTED_VALUE"""),573928)</f>
        <v>573928</v>
      </c>
      <c r="G8" s="16">
        <f>IFERROR(__xludf.DUMMYFUNCTION("""COMPUTED_VALUE"""),45749.6458333333)</f>
        <v>45749.6458333333</v>
      </c>
      <c r="H8" s="17">
        <f>IFERROR(__xludf.DUMMYFUNCTION("""COMPUTED_VALUE"""),2378.85)</f>
        <v>2378.85</v>
      </c>
      <c r="I8" s="16">
        <f>IFERROR(__xludf.DUMMYFUNCTION("""COMPUTED_VALUE"""),45749.6458333333)</f>
        <v>45749.6458333333</v>
      </c>
      <c r="J8" s="17">
        <f>IFERROR(__xludf.DUMMYFUNCTION("""COMPUTED_VALUE"""),2314.55)</f>
        <v>2314.55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IFERROR(__xludf.DUMMYFUNCTION("""COMPUTED_VALUE"""),2410.8)</f>
        <v>2410.8</v>
      </c>
      <c r="C9" s="16">
        <f>IFERROR(__xludf.DUMMYFUNCTION("""COMPUTED_VALUE"""),45750.6458333333)</f>
        <v>45750.6458333333</v>
      </c>
      <c r="D9" s="17">
        <f>IFERROR(__xludf.DUMMYFUNCTION("""COMPUTED_VALUE"""),2339.75)</f>
        <v>2339.75</v>
      </c>
      <c r="E9" s="16">
        <f>IFERROR(__xludf.DUMMYFUNCTION("""COMPUTED_VALUE"""),45750.6458333333)</f>
        <v>45750.6458333333</v>
      </c>
      <c r="F9" s="17">
        <f>IFERROR(__xludf.DUMMYFUNCTION("""COMPUTED_VALUE"""),1023200)</f>
        <v>1023200</v>
      </c>
      <c r="G9" s="16">
        <f>IFERROR(__xludf.DUMMYFUNCTION("""COMPUTED_VALUE"""),45750.6458333333)</f>
        <v>45750.6458333333</v>
      </c>
      <c r="H9" s="17">
        <f>IFERROR(__xludf.DUMMYFUNCTION("""COMPUTED_VALUE"""),2429.9)</f>
        <v>2429.9</v>
      </c>
      <c r="I9" s="16">
        <f>IFERROR(__xludf.DUMMYFUNCTION("""COMPUTED_VALUE"""),45750.6458333333)</f>
        <v>45750.6458333333</v>
      </c>
      <c r="J9" s="17">
        <f>IFERROR(__xludf.DUMMYFUNCTION("""COMPUTED_VALUE"""),2339.7)</f>
        <v>2339.7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IFERROR(__xludf.DUMMYFUNCTION("""COMPUTED_VALUE"""),2334.65)</f>
        <v>2334.65</v>
      </c>
      <c r="C10" s="16">
        <f>IFERROR(__xludf.DUMMYFUNCTION("""COMPUTED_VALUE"""),45751.6458333333)</f>
        <v>45751.6458333333</v>
      </c>
      <c r="D10" s="17">
        <f>IFERROR(__xludf.DUMMYFUNCTION("""COMPUTED_VALUE"""),2394.95)</f>
        <v>2394.95</v>
      </c>
      <c r="E10" s="16">
        <f>IFERROR(__xludf.DUMMYFUNCTION("""COMPUTED_VALUE"""),45751.6458333333)</f>
        <v>45751.6458333333</v>
      </c>
      <c r="F10" s="17">
        <f>IFERROR(__xludf.DUMMYFUNCTION("""COMPUTED_VALUE"""),1219733)</f>
        <v>1219733</v>
      </c>
      <c r="G10" s="16">
        <f>IFERROR(__xludf.DUMMYFUNCTION("""COMPUTED_VALUE"""),45751.6458333333)</f>
        <v>45751.6458333333</v>
      </c>
      <c r="H10" s="17">
        <f>IFERROR(__xludf.DUMMYFUNCTION("""COMPUTED_VALUE"""),2410.05)</f>
        <v>2410.05</v>
      </c>
      <c r="I10" s="16">
        <f>IFERROR(__xludf.DUMMYFUNCTION("""COMPUTED_VALUE"""),45751.6458333333)</f>
        <v>45751.6458333333</v>
      </c>
      <c r="J10" s="17">
        <f>IFERROR(__xludf.DUMMYFUNCTION("""COMPUTED_VALUE"""),2315.5)</f>
        <v>2315.5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IFERROR(__xludf.DUMMYFUNCTION("""COMPUTED_VALUE"""),2212.7)</f>
        <v>2212.7</v>
      </c>
      <c r="C11" s="16">
        <f>IFERROR(__xludf.DUMMYFUNCTION("""COMPUTED_VALUE"""),45754.6458333333)</f>
        <v>45754.6458333333</v>
      </c>
      <c r="D11" s="17">
        <f>IFERROR(__xludf.DUMMYFUNCTION("""COMPUTED_VALUE"""),2150.05)</f>
        <v>2150.05</v>
      </c>
      <c r="E11" s="16">
        <f>IFERROR(__xludf.DUMMYFUNCTION("""COMPUTED_VALUE"""),45754.6458333333)</f>
        <v>45754.6458333333</v>
      </c>
      <c r="F11" s="17">
        <f>IFERROR(__xludf.DUMMYFUNCTION("""COMPUTED_VALUE"""),1567177)</f>
        <v>1567177</v>
      </c>
      <c r="G11" s="16">
        <f>IFERROR(__xludf.DUMMYFUNCTION("""COMPUTED_VALUE"""),45754.6458333333)</f>
        <v>45754.6458333333</v>
      </c>
      <c r="H11" s="17">
        <f>IFERROR(__xludf.DUMMYFUNCTION("""COMPUTED_VALUE"""),2239)</f>
        <v>2239</v>
      </c>
      <c r="I11" s="16">
        <f>IFERROR(__xludf.DUMMYFUNCTION("""COMPUTED_VALUE"""),45754.6458333333)</f>
        <v>45754.6458333333</v>
      </c>
      <c r="J11" s="17">
        <f>IFERROR(__xludf.DUMMYFUNCTION("""COMPUTED_VALUE"""),2145)</f>
        <v>2145</v>
      </c>
      <c r="K11" s="3">
        <f t="shared" ref="K11:K125" si="2">IF(B11=MAX(B5:B17),B11,0)</f>
        <v>0</v>
      </c>
      <c r="L11" s="3">
        <f t="shared" ref="L11:L125" si="3">IF(B11=MIN(B5:B17),B11,0)</f>
        <v>2212.7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IFERROR(__xludf.DUMMYFUNCTION("""COMPUTED_VALUE"""),2285.7)</f>
        <v>2285.7</v>
      </c>
      <c r="C12" s="16">
        <f>IFERROR(__xludf.DUMMYFUNCTION("""COMPUTED_VALUE"""),45755.6458333333)</f>
        <v>45755.6458333333</v>
      </c>
      <c r="D12" s="17">
        <f>IFERROR(__xludf.DUMMYFUNCTION("""COMPUTED_VALUE"""),2270)</f>
        <v>2270</v>
      </c>
      <c r="E12" s="16">
        <f>IFERROR(__xludf.DUMMYFUNCTION("""COMPUTED_VALUE"""),45755.6458333333)</f>
        <v>45755.6458333333</v>
      </c>
      <c r="F12" s="17">
        <f>IFERROR(__xludf.DUMMYFUNCTION("""COMPUTED_VALUE"""),1224362)</f>
        <v>1224362</v>
      </c>
      <c r="G12" s="16">
        <f>IFERROR(__xludf.DUMMYFUNCTION("""COMPUTED_VALUE"""),45755.6458333333)</f>
        <v>45755.6458333333</v>
      </c>
      <c r="H12" s="17">
        <f>IFERROR(__xludf.DUMMYFUNCTION("""COMPUTED_VALUE"""),2301)</f>
        <v>2301</v>
      </c>
      <c r="I12" s="16">
        <f>IFERROR(__xludf.DUMMYFUNCTION("""COMPUTED_VALUE"""),45755.6458333333)</f>
        <v>45755.6458333333</v>
      </c>
      <c r="J12" s="17">
        <f>IFERROR(__xludf.DUMMYFUNCTION("""COMPUTED_VALUE"""),2225)</f>
        <v>2225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IFERROR(__xludf.DUMMYFUNCTION("""COMPUTED_VALUE"""),2236.9)</f>
        <v>2236.9</v>
      </c>
      <c r="C13" s="16">
        <f>IFERROR(__xludf.DUMMYFUNCTION("""COMPUTED_VALUE"""),45756.6458333333)</f>
        <v>45756.6458333333</v>
      </c>
      <c r="D13" s="17">
        <f>IFERROR(__xludf.DUMMYFUNCTION("""COMPUTED_VALUE"""),2265.7)</f>
        <v>2265.7</v>
      </c>
      <c r="E13" s="16">
        <f>IFERROR(__xludf.DUMMYFUNCTION("""COMPUTED_VALUE"""),45756.6458333333)</f>
        <v>45756.6458333333</v>
      </c>
      <c r="F13" s="17">
        <f>IFERROR(__xludf.DUMMYFUNCTION("""COMPUTED_VALUE"""),1001633)</f>
        <v>1001633</v>
      </c>
      <c r="G13" s="16">
        <f>IFERROR(__xludf.DUMMYFUNCTION("""COMPUTED_VALUE"""),45756.6458333333)</f>
        <v>45756.6458333333</v>
      </c>
      <c r="H13" s="17">
        <f>IFERROR(__xludf.DUMMYFUNCTION("""COMPUTED_VALUE"""),2279.55)</f>
        <v>2279.55</v>
      </c>
      <c r="I13" s="16">
        <f>IFERROR(__xludf.DUMMYFUNCTION("""COMPUTED_VALUE"""),45756.6458333333)</f>
        <v>45756.6458333333</v>
      </c>
      <c r="J13" s="17">
        <f>IFERROR(__xludf.DUMMYFUNCTION("""COMPUTED_VALUE"""),2215.2)</f>
        <v>2215.2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IFERROR(__xludf.DUMMYFUNCTION("""COMPUTED_VALUE"""),2321.4)</f>
        <v>2321.4</v>
      </c>
      <c r="C14" s="16">
        <f>IFERROR(__xludf.DUMMYFUNCTION("""COMPUTED_VALUE"""),45758.6458333333)</f>
        <v>45758.6458333333</v>
      </c>
      <c r="D14" s="17">
        <f>IFERROR(__xludf.DUMMYFUNCTION("""COMPUTED_VALUE"""),2303.05)</f>
        <v>2303.05</v>
      </c>
      <c r="E14" s="16">
        <f>IFERROR(__xludf.DUMMYFUNCTION("""COMPUTED_VALUE"""),45758.6458333333)</f>
        <v>45758.6458333333</v>
      </c>
      <c r="F14" s="17">
        <f>IFERROR(__xludf.DUMMYFUNCTION("""COMPUTED_VALUE"""),981463)</f>
        <v>981463</v>
      </c>
      <c r="G14" s="16">
        <f>IFERROR(__xludf.DUMMYFUNCTION("""COMPUTED_VALUE"""),45758.6458333333)</f>
        <v>45758.6458333333</v>
      </c>
      <c r="H14" s="17">
        <f>IFERROR(__xludf.DUMMYFUNCTION("""COMPUTED_VALUE"""),2343.5)</f>
        <v>2343.5</v>
      </c>
      <c r="I14" s="16">
        <f>IFERROR(__xludf.DUMMYFUNCTION("""COMPUTED_VALUE"""),45758.6458333333)</f>
        <v>45758.6458333333</v>
      </c>
      <c r="J14" s="17">
        <f>IFERROR(__xludf.DUMMYFUNCTION("""COMPUTED_VALUE"""),2281)</f>
        <v>2281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IFERROR(__xludf.DUMMYFUNCTION("""COMPUTED_VALUE"""),2418.2)</f>
        <v>2418.2</v>
      </c>
      <c r="C15" s="16">
        <f>IFERROR(__xludf.DUMMYFUNCTION("""COMPUTED_VALUE"""),45762.6458333333)</f>
        <v>45762.6458333333</v>
      </c>
      <c r="D15" s="17">
        <f>IFERROR(__xludf.DUMMYFUNCTION("""COMPUTED_VALUE"""),2375)</f>
        <v>2375</v>
      </c>
      <c r="E15" s="16">
        <f>IFERROR(__xludf.DUMMYFUNCTION("""COMPUTED_VALUE"""),45762.6458333333)</f>
        <v>45762.6458333333</v>
      </c>
      <c r="F15" s="17">
        <f>IFERROR(__xludf.DUMMYFUNCTION("""COMPUTED_VALUE"""),1145125)</f>
        <v>1145125</v>
      </c>
      <c r="G15" s="16">
        <f>IFERROR(__xludf.DUMMYFUNCTION("""COMPUTED_VALUE"""),45762.6458333333)</f>
        <v>45762.6458333333</v>
      </c>
      <c r="H15" s="17">
        <f>IFERROR(__xludf.DUMMYFUNCTION("""COMPUTED_VALUE"""),2440)</f>
        <v>2440</v>
      </c>
      <c r="I15" s="16">
        <f>IFERROR(__xludf.DUMMYFUNCTION("""COMPUTED_VALUE"""),45762.6458333333)</f>
        <v>45762.6458333333</v>
      </c>
      <c r="J15" s="17">
        <f>IFERROR(__xludf.DUMMYFUNCTION("""COMPUTED_VALUE"""),2359)</f>
        <v>2359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IFERROR(__xludf.DUMMYFUNCTION("""COMPUTED_VALUE"""),2415.6)</f>
        <v>2415.6</v>
      </c>
      <c r="C16" s="16">
        <f>IFERROR(__xludf.DUMMYFUNCTION("""COMPUTED_VALUE"""),45763.6458333333)</f>
        <v>45763.6458333333</v>
      </c>
      <c r="D16" s="17">
        <f>IFERROR(__xludf.DUMMYFUNCTION("""COMPUTED_VALUE"""),2400)</f>
        <v>2400</v>
      </c>
      <c r="E16" s="16">
        <f>IFERROR(__xludf.DUMMYFUNCTION("""COMPUTED_VALUE"""),45763.6458333333)</f>
        <v>45763.6458333333</v>
      </c>
      <c r="F16" s="17">
        <f>IFERROR(__xludf.DUMMYFUNCTION("""COMPUTED_VALUE"""),889949)</f>
        <v>889949</v>
      </c>
      <c r="G16" s="16">
        <f>IFERROR(__xludf.DUMMYFUNCTION("""COMPUTED_VALUE"""),45763.6458333333)</f>
        <v>45763.6458333333</v>
      </c>
      <c r="H16" s="17">
        <f>IFERROR(__xludf.DUMMYFUNCTION("""COMPUTED_VALUE"""),2428)</f>
        <v>2428</v>
      </c>
      <c r="I16" s="16">
        <f>IFERROR(__xludf.DUMMYFUNCTION("""COMPUTED_VALUE"""),45763.6458333333)</f>
        <v>45763.6458333333</v>
      </c>
      <c r="J16" s="17">
        <f>IFERROR(__xludf.DUMMYFUNCTION("""COMPUTED_VALUE"""),2382.9)</f>
        <v>2382.9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IFERROR(__xludf.DUMMYFUNCTION("""COMPUTED_VALUE"""),2418.1)</f>
        <v>2418.1</v>
      </c>
      <c r="C17" s="16">
        <f>IFERROR(__xludf.DUMMYFUNCTION("""COMPUTED_VALUE"""),45764.6458333333)</f>
        <v>45764.6458333333</v>
      </c>
      <c r="D17" s="17">
        <f>IFERROR(__xludf.DUMMYFUNCTION("""COMPUTED_VALUE"""),2418)</f>
        <v>2418</v>
      </c>
      <c r="E17" s="16">
        <f>IFERROR(__xludf.DUMMYFUNCTION("""COMPUTED_VALUE"""),45764.6458333333)</f>
        <v>45764.6458333333</v>
      </c>
      <c r="F17" s="17">
        <f>IFERROR(__xludf.DUMMYFUNCTION("""COMPUTED_VALUE"""),1054797)</f>
        <v>1054797</v>
      </c>
      <c r="G17" s="16">
        <f>IFERROR(__xludf.DUMMYFUNCTION("""COMPUTED_VALUE"""),45764.6458333333)</f>
        <v>45764.6458333333</v>
      </c>
      <c r="H17" s="17">
        <f>IFERROR(__xludf.DUMMYFUNCTION("""COMPUTED_VALUE"""),2448.6)</f>
        <v>2448.6</v>
      </c>
      <c r="I17" s="16">
        <f>IFERROR(__xludf.DUMMYFUNCTION("""COMPUTED_VALUE"""),45764.6458333333)</f>
        <v>45764.6458333333</v>
      </c>
      <c r="J17" s="17">
        <f>IFERROR(__xludf.DUMMYFUNCTION("""COMPUTED_VALUE"""),2392)</f>
        <v>2392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IFERROR(__xludf.DUMMYFUNCTION("""COMPUTED_VALUE"""),2442.7)</f>
        <v>2442.7</v>
      </c>
      <c r="C18" s="16">
        <f>IFERROR(__xludf.DUMMYFUNCTION("""COMPUTED_VALUE"""),45768.6458333333)</f>
        <v>45768.6458333333</v>
      </c>
      <c r="D18" s="17">
        <f>IFERROR(__xludf.DUMMYFUNCTION("""COMPUTED_VALUE"""),2426.1)</f>
        <v>2426.1</v>
      </c>
      <c r="E18" s="16">
        <f>IFERROR(__xludf.DUMMYFUNCTION("""COMPUTED_VALUE"""),45768.6458333333)</f>
        <v>45768.6458333333</v>
      </c>
      <c r="F18" s="17">
        <f>IFERROR(__xludf.DUMMYFUNCTION("""COMPUTED_VALUE"""),782559)</f>
        <v>782559</v>
      </c>
      <c r="G18" s="16">
        <f>IFERROR(__xludf.DUMMYFUNCTION("""COMPUTED_VALUE"""),45768.6458333333)</f>
        <v>45768.6458333333</v>
      </c>
      <c r="H18" s="17">
        <f>IFERROR(__xludf.DUMMYFUNCTION("""COMPUTED_VALUE"""),2464.9)</f>
        <v>2464.9</v>
      </c>
      <c r="I18" s="16">
        <f>IFERROR(__xludf.DUMMYFUNCTION("""COMPUTED_VALUE"""),45768.6458333333)</f>
        <v>45768.6458333333</v>
      </c>
      <c r="J18" s="17">
        <f>IFERROR(__xludf.DUMMYFUNCTION("""COMPUTED_VALUE"""),2395.5)</f>
        <v>2395.5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IFERROR(__xludf.DUMMYFUNCTION("""COMPUTED_VALUE"""),2445.5)</f>
        <v>2445.5</v>
      </c>
      <c r="C19" s="16">
        <f>IFERROR(__xludf.DUMMYFUNCTION("""COMPUTED_VALUE"""),45769.6458333333)</f>
        <v>45769.6458333333</v>
      </c>
      <c r="D19" s="17">
        <f>IFERROR(__xludf.DUMMYFUNCTION("""COMPUTED_VALUE"""),2458.9)</f>
        <v>2458.9</v>
      </c>
      <c r="E19" s="16">
        <f>IFERROR(__xludf.DUMMYFUNCTION("""COMPUTED_VALUE"""),45769.6458333333)</f>
        <v>45769.6458333333</v>
      </c>
      <c r="F19" s="17">
        <f>IFERROR(__xludf.DUMMYFUNCTION("""COMPUTED_VALUE"""),766567)</f>
        <v>766567</v>
      </c>
      <c r="G19" s="16">
        <f>IFERROR(__xludf.DUMMYFUNCTION("""COMPUTED_VALUE"""),45769.6458333333)</f>
        <v>45769.6458333333</v>
      </c>
      <c r="H19" s="17">
        <f>IFERROR(__xludf.DUMMYFUNCTION("""COMPUTED_VALUE"""),2483.4)</f>
        <v>2483.4</v>
      </c>
      <c r="I19" s="16">
        <f>IFERROR(__xludf.DUMMYFUNCTION("""COMPUTED_VALUE"""),45769.6458333333)</f>
        <v>45769.6458333333</v>
      </c>
      <c r="J19" s="17">
        <f>IFERROR(__xludf.DUMMYFUNCTION("""COMPUTED_VALUE"""),2441)</f>
        <v>2441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IFERROR(__xludf.DUMMYFUNCTION("""COMPUTED_VALUE"""),2453.6)</f>
        <v>2453.6</v>
      </c>
      <c r="C20" s="16">
        <f>IFERROR(__xludf.DUMMYFUNCTION("""COMPUTED_VALUE"""),45770.6458333333)</f>
        <v>45770.6458333333</v>
      </c>
      <c r="D20" s="17">
        <f>IFERROR(__xludf.DUMMYFUNCTION("""COMPUTED_VALUE"""),2460)</f>
        <v>2460</v>
      </c>
      <c r="E20" s="16">
        <f>IFERROR(__xludf.DUMMYFUNCTION("""COMPUTED_VALUE"""),45770.6458333333)</f>
        <v>45770.6458333333</v>
      </c>
      <c r="F20" s="17">
        <f>IFERROR(__xludf.DUMMYFUNCTION("""COMPUTED_VALUE"""),672262)</f>
        <v>672262</v>
      </c>
      <c r="G20" s="16">
        <f>IFERROR(__xludf.DUMMYFUNCTION("""COMPUTED_VALUE"""),45770.6458333333)</f>
        <v>45770.6458333333</v>
      </c>
      <c r="H20" s="17">
        <f>IFERROR(__xludf.DUMMYFUNCTION("""COMPUTED_VALUE"""),2473.8)</f>
        <v>2473.8</v>
      </c>
      <c r="I20" s="16">
        <f>IFERROR(__xludf.DUMMYFUNCTION("""COMPUTED_VALUE"""),45770.6458333333)</f>
        <v>45770.6458333333</v>
      </c>
      <c r="J20" s="17">
        <f>IFERROR(__xludf.DUMMYFUNCTION("""COMPUTED_VALUE"""),2421.2)</f>
        <v>2421.2</v>
      </c>
      <c r="K20" s="3">
        <f t="shared" si="2"/>
        <v>2453.6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IFERROR(__xludf.DUMMYFUNCTION("""COMPUTED_VALUE"""),2442.5)</f>
        <v>2442.5</v>
      </c>
      <c r="C21" s="16">
        <f>IFERROR(__xludf.DUMMYFUNCTION("""COMPUTED_VALUE"""),45771.6458333333)</f>
        <v>45771.6458333333</v>
      </c>
      <c r="D21" s="17">
        <f>IFERROR(__xludf.DUMMYFUNCTION("""COMPUTED_VALUE"""),2450)</f>
        <v>2450</v>
      </c>
      <c r="E21" s="16">
        <f>IFERROR(__xludf.DUMMYFUNCTION("""COMPUTED_VALUE"""),45771.6458333333)</f>
        <v>45771.6458333333</v>
      </c>
      <c r="F21" s="17">
        <f>IFERROR(__xludf.DUMMYFUNCTION("""COMPUTED_VALUE"""),596696)</f>
        <v>596696</v>
      </c>
      <c r="G21" s="16">
        <f>IFERROR(__xludf.DUMMYFUNCTION("""COMPUTED_VALUE"""),45771.6458333333)</f>
        <v>45771.6458333333</v>
      </c>
      <c r="H21" s="17">
        <f>IFERROR(__xludf.DUMMYFUNCTION("""COMPUTED_VALUE"""),2461.4)</f>
        <v>2461.4</v>
      </c>
      <c r="I21" s="16">
        <f>IFERROR(__xludf.DUMMYFUNCTION("""COMPUTED_VALUE"""),45771.6458333333)</f>
        <v>45771.6458333333</v>
      </c>
      <c r="J21" s="17">
        <f>IFERROR(__xludf.DUMMYFUNCTION("""COMPUTED_VALUE"""),2425.1)</f>
        <v>2425.1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IFERROR(__xludf.DUMMYFUNCTION("""COMPUTED_VALUE"""),2354.3)</f>
        <v>2354.3</v>
      </c>
      <c r="C22" s="16">
        <f>IFERROR(__xludf.DUMMYFUNCTION("""COMPUTED_VALUE"""),45772.6458333333)</f>
        <v>45772.6458333333</v>
      </c>
      <c r="D22" s="17">
        <f>IFERROR(__xludf.DUMMYFUNCTION("""COMPUTED_VALUE"""),2450.1)</f>
        <v>2450.1</v>
      </c>
      <c r="E22" s="16">
        <f>IFERROR(__xludf.DUMMYFUNCTION("""COMPUTED_VALUE"""),45772.6458333333)</f>
        <v>45772.6458333333</v>
      </c>
      <c r="F22" s="17">
        <f>IFERROR(__xludf.DUMMYFUNCTION("""COMPUTED_VALUE"""),1414809)</f>
        <v>1414809</v>
      </c>
      <c r="G22" s="16">
        <f>IFERROR(__xludf.DUMMYFUNCTION("""COMPUTED_VALUE"""),45772.6458333333)</f>
        <v>45772.6458333333</v>
      </c>
      <c r="H22" s="17">
        <f>IFERROR(__xludf.DUMMYFUNCTION("""COMPUTED_VALUE"""),2459.5)</f>
        <v>2459.5</v>
      </c>
      <c r="I22" s="16">
        <f>IFERROR(__xludf.DUMMYFUNCTION("""COMPUTED_VALUE"""),45772.6458333333)</f>
        <v>45772.6458333333</v>
      </c>
      <c r="J22" s="17">
        <f>IFERROR(__xludf.DUMMYFUNCTION("""COMPUTED_VALUE"""),2323.5)</f>
        <v>2323.5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IFERROR(__xludf.DUMMYFUNCTION("""COMPUTED_VALUE"""),2369.8)</f>
        <v>2369.8</v>
      </c>
      <c r="C23" s="16">
        <f>IFERROR(__xludf.DUMMYFUNCTION("""COMPUTED_VALUE"""),45775.6458333333)</f>
        <v>45775.6458333333</v>
      </c>
      <c r="D23" s="17">
        <f>IFERROR(__xludf.DUMMYFUNCTION("""COMPUTED_VALUE"""),2346)</f>
        <v>2346</v>
      </c>
      <c r="E23" s="16">
        <f>IFERROR(__xludf.DUMMYFUNCTION("""COMPUTED_VALUE"""),45775.6458333333)</f>
        <v>45775.6458333333</v>
      </c>
      <c r="F23" s="17">
        <f>IFERROR(__xludf.DUMMYFUNCTION("""COMPUTED_VALUE"""),681421)</f>
        <v>681421</v>
      </c>
      <c r="G23" s="16">
        <f>IFERROR(__xludf.DUMMYFUNCTION("""COMPUTED_VALUE"""),45775.6458333333)</f>
        <v>45775.6458333333</v>
      </c>
      <c r="H23" s="17">
        <f>IFERROR(__xludf.DUMMYFUNCTION("""COMPUTED_VALUE"""),2402)</f>
        <v>2402</v>
      </c>
      <c r="I23" s="16">
        <f>IFERROR(__xludf.DUMMYFUNCTION("""COMPUTED_VALUE"""),45775.6458333333)</f>
        <v>45775.6458333333</v>
      </c>
      <c r="J23" s="17">
        <f>IFERROR(__xludf.DUMMYFUNCTION("""COMPUTED_VALUE"""),2337.6)</f>
        <v>2337.6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IFERROR(__xludf.DUMMYFUNCTION("""COMPUTED_VALUE"""),2330.6)</f>
        <v>2330.6</v>
      </c>
      <c r="C24" s="16">
        <f>IFERROR(__xludf.DUMMYFUNCTION("""COMPUTED_VALUE"""),45776.6458333333)</f>
        <v>45776.6458333333</v>
      </c>
      <c r="D24" s="17">
        <f>IFERROR(__xludf.DUMMYFUNCTION("""COMPUTED_VALUE"""),2392)</f>
        <v>2392</v>
      </c>
      <c r="E24" s="16">
        <f>IFERROR(__xludf.DUMMYFUNCTION("""COMPUTED_VALUE"""),45776.6458333333)</f>
        <v>45776.6458333333</v>
      </c>
      <c r="F24" s="17">
        <f>IFERROR(__xludf.DUMMYFUNCTION("""COMPUTED_VALUE"""),670730)</f>
        <v>670730</v>
      </c>
      <c r="G24" s="16">
        <f>IFERROR(__xludf.DUMMYFUNCTION("""COMPUTED_VALUE"""),45776.6458333333)</f>
        <v>45776.6458333333</v>
      </c>
      <c r="H24" s="17">
        <f>IFERROR(__xludf.DUMMYFUNCTION("""COMPUTED_VALUE"""),2400)</f>
        <v>2400</v>
      </c>
      <c r="I24" s="16">
        <f>IFERROR(__xludf.DUMMYFUNCTION("""COMPUTED_VALUE"""),45776.6458333333)</f>
        <v>45776.6458333333</v>
      </c>
      <c r="J24" s="17">
        <f>IFERROR(__xludf.DUMMYFUNCTION("""COMPUTED_VALUE"""),2325.6)</f>
        <v>2325.6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IFERROR(__xludf.DUMMYFUNCTION("""COMPUTED_VALUE"""),2301.3)</f>
        <v>2301.3</v>
      </c>
      <c r="C25" s="16">
        <f>IFERROR(__xludf.DUMMYFUNCTION("""COMPUTED_VALUE"""),45777.6458333333)</f>
        <v>45777.6458333333</v>
      </c>
      <c r="D25" s="17">
        <f>IFERROR(__xludf.DUMMYFUNCTION("""COMPUTED_VALUE"""),2331.4)</f>
        <v>2331.4</v>
      </c>
      <c r="E25" s="16">
        <f>IFERROR(__xludf.DUMMYFUNCTION("""COMPUTED_VALUE"""),45777.6458333333)</f>
        <v>45777.6458333333</v>
      </c>
      <c r="F25" s="17">
        <f>IFERROR(__xludf.DUMMYFUNCTION("""COMPUTED_VALUE"""),837464)</f>
        <v>837464</v>
      </c>
      <c r="G25" s="16">
        <f>IFERROR(__xludf.DUMMYFUNCTION("""COMPUTED_VALUE"""),45777.6458333333)</f>
        <v>45777.6458333333</v>
      </c>
      <c r="H25" s="17">
        <f>IFERROR(__xludf.DUMMYFUNCTION("""COMPUTED_VALUE"""),2340)</f>
        <v>2340</v>
      </c>
      <c r="I25" s="16">
        <f>IFERROR(__xludf.DUMMYFUNCTION("""COMPUTED_VALUE"""),45777.6458333333)</f>
        <v>45777.6458333333</v>
      </c>
      <c r="J25" s="17">
        <f>IFERROR(__xludf.DUMMYFUNCTION("""COMPUTED_VALUE"""),2285)</f>
        <v>2285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IFERROR(__xludf.DUMMYFUNCTION("""COMPUTED_VALUE"""),2294.2)</f>
        <v>2294.2</v>
      </c>
      <c r="C26" s="16">
        <f>IFERROR(__xludf.DUMMYFUNCTION("""COMPUTED_VALUE"""),45779.6458333333)</f>
        <v>45779.6458333333</v>
      </c>
      <c r="D26" s="17">
        <f>IFERROR(__xludf.DUMMYFUNCTION("""COMPUTED_VALUE"""),2349.9)</f>
        <v>2349.9</v>
      </c>
      <c r="E26" s="16">
        <f>IFERROR(__xludf.DUMMYFUNCTION("""COMPUTED_VALUE"""),45779.6458333333)</f>
        <v>45779.6458333333</v>
      </c>
      <c r="F26" s="17">
        <f>IFERROR(__xludf.DUMMYFUNCTION("""COMPUTED_VALUE"""),1695797)</f>
        <v>1695797</v>
      </c>
      <c r="G26" s="16">
        <f>IFERROR(__xludf.DUMMYFUNCTION("""COMPUTED_VALUE"""),45779.6458333333)</f>
        <v>45779.6458333333</v>
      </c>
      <c r="H26" s="17">
        <f>IFERROR(__xludf.DUMMYFUNCTION("""COMPUTED_VALUE"""),2372.4)</f>
        <v>2372.4</v>
      </c>
      <c r="I26" s="16">
        <f>IFERROR(__xludf.DUMMYFUNCTION("""COMPUTED_VALUE"""),45779.6458333333)</f>
        <v>45779.6458333333</v>
      </c>
      <c r="J26" s="17">
        <f>IFERROR(__xludf.DUMMYFUNCTION("""COMPUTED_VALUE"""),2290)</f>
        <v>2290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IFERROR(__xludf.DUMMYFUNCTION("""COMPUTED_VALUE"""),2455.5)</f>
        <v>2455.5</v>
      </c>
      <c r="C27" s="16">
        <f>IFERROR(__xludf.DUMMYFUNCTION("""COMPUTED_VALUE"""),45782.6458333333)</f>
        <v>45782.6458333333</v>
      </c>
      <c r="D27" s="17">
        <f>IFERROR(__xludf.DUMMYFUNCTION("""COMPUTED_VALUE"""),2312.6)</f>
        <v>2312.6</v>
      </c>
      <c r="E27" s="16">
        <f>IFERROR(__xludf.DUMMYFUNCTION("""COMPUTED_VALUE"""),45782.6458333333)</f>
        <v>45782.6458333333</v>
      </c>
      <c r="F27" s="17">
        <f>IFERROR(__xludf.DUMMYFUNCTION("""COMPUTED_VALUE"""),4227194)</f>
        <v>4227194</v>
      </c>
      <c r="G27" s="16">
        <f>IFERROR(__xludf.DUMMYFUNCTION("""COMPUTED_VALUE"""),45782.6458333333)</f>
        <v>45782.6458333333</v>
      </c>
      <c r="H27" s="17">
        <f>IFERROR(__xludf.DUMMYFUNCTION("""COMPUTED_VALUE"""),2497)</f>
        <v>2497</v>
      </c>
      <c r="I27" s="16">
        <f>IFERROR(__xludf.DUMMYFUNCTION("""COMPUTED_VALUE"""),45782.6458333333)</f>
        <v>45782.6458333333</v>
      </c>
      <c r="J27" s="17">
        <f>IFERROR(__xludf.DUMMYFUNCTION("""COMPUTED_VALUE"""),2297.8)</f>
        <v>2297.8</v>
      </c>
      <c r="K27" s="3">
        <f t="shared" si="2"/>
        <v>2455.5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IFERROR(__xludf.DUMMYFUNCTION("""COMPUTED_VALUE"""),2354)</f>
        <v>2354</v>
      </c>
      <c r="C28" s="16">
        <f>IFERROR(__xludf.DUMMYFUNCTION("""COMPUTED_VALUE"""),45783.6458333333)</f>
        <v>45783.6458333333</v>
      </c>
      <c r="D28" s="17">
        <f>IFERROR(__xludf.DUMMYFUNCTION("""COMPUTED_VALUE"""),2454)</f>
        <v>2454</v>
      </c>
      <c r="E28" s="16">
        <f>IFERROR(__xludf.DUMMYFUNCTION("""COMPUTED_VALUE"""),45783.6458333333)</f>
        <v>45783.6458333333</v>
      </c>
      <c r="F28" s="17">
        <f>IFERROR(__xludf.DUMMYFUNCTION("""COMPUTED_VALUE"""),1524692)</f>
        <v>1524692</v>
      </c>
      <c r="G28" s="16">
        <f>IFERROR(__xludf.DUMMYFUNCTION("""COMPUTED_VALUE"""),45783.6458333333)</f>
        <v>45783.6458333333</v>
      </c>
      <c r="H28" s="17">
        <f>IFERROR(__xludf.DUMMYFUNCTION("""COMPUTED_VALUE"""),2463.2)</f>
        <v>2463.2</v>
      </c>
      <c r="I28" s="16">
        <f>IFERROR(__xludf.DUMMYFUNCTION("""COMPUTED_VALUE"""),45783.6458333333)</f>
        <v>45783.6458333333</v>
      </c>
      <c r="J28" s="17">
        <f>IFERROR(__xludf.DUMMYFUNCTION("""COMPUTED_VALUE"""),2343.5)</f>
        <v>2343.5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IFERROR(__xludf.DUMMYFUNCTION("""COMPUTED_VALUE"""),2353.1)</f>
        <v>2353.1</v>
      </c>
      <c r="C29" s="16">
        <f>IFERROR(__xludf.DUMMYFUNCTION("""COMPUTED_VALUE"""),45784.6458333333)</f>
        <v>45784.6458333333</v>
      </c>
      <c r="D29" s="17">
        <f>IFERROR(__xludf.DUMMYFUNCTION("""COMPUTED_VALUE"""),2315)</f>
        <v>2315</v>
      </c>
      <c r="E29" s="16">
        <f>IFERROR(__xludf.DUMMYFUNCTION("""COMPUTED_VALUE"""),45784.6458333333)</f>
        <v>45784.6458333333</v>
      </c>
      <c r="F29" s="17">
        <f>IFERROR(__xludf.DUMMYFUNCTION("""COMPUTED_VALUE"""),1012640)</f>
        <v>1012640</v>
      </c>
      <c r="G29" s="16">
        <f>IFERROR(__xludf.DUMMYFUNCTION("""COMPUTED_VALUE"""),45784.6458333333)</f>
        <v>45784.6458333333</v>
      </c>
      <c r="H29" s="17">
        <f>IFERROR(__xludf.DUMMYFUNCTION("""COMPUTED_VALUE"""),2379.5)</f>
        <v>2379.5</v>
      </c>
      <c r="I29" s="16">
        <f>IFERROR(__xludf.DUMMYFUNCTION("""COMPUTED_VALUE"""),45784.6458333333)</f>
        <v>45784.6458333333</v>
      </c>
      <c r="J29" s="17">
        <f>IFERROR(__xludf.DUMMYFUNCTION("""COMPUTED_VALUE"""),2315)</f>
        <v>2315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IFERROR(__xludf.DUMMYFUNCTION("""COMPUTED_VALUE"""),2285.3)</f>
        <v>2285.3</v>
      </c>
      <c r="C30" s="16">
        <f>IFERROR(__xludf.DUMMYFUNCTION("""COMPUTED_VALUE"""),45785.6458333333)</f>
        <v>45785.6458333333</v>
      </c>
      <c r="D30" s="17">
        <f>IFERROR(__xludf.DUMMYFUNCTION("""COMPUTED_VALUE"""),2362)</f>
        <v>2362</v>
      </c>
      <c r="E30" s="16">
        <f>IFERROR(__xludf.DUMMYFUNCTION("""COMPUTED_VALUE"""),45785.6458333333)</f>
        <v>45785.6458333333</v>
      </c>
      <c r="F30" s="17">
        <f>IFERROR(__xludf.DUMMYFUNCTION("""COMPUTED_VALUE"""),1380069)</f>
        <v>1380069</v>
      </c>
      <c r="G30" s="16">
        <f>IFERROR(__xludf.DUMMYFUNCTION("""COMPUTED_VALUE"""),45785.6458333333)</f>
        <v>45785.6458333333</v>
      </c>
      <c r="H30" s="17">
        <f>IFERROR(__xludf.DUMMYFUNCTION("""COMPUTED_VALUE"""),2367.8)</f>
        <v>2367.8</v>
      </c>
      <c r="I30" s="16">
        <f>IFERROR(__xludf.DUMMYFUNCTION("""COMPUTED_VALUE"""),45785.6458333333)</f>
        <v>45785.6458333333</v>
      </c>
      <c r="J30" s="17">
        <f>IFERROR(__xludf.DUMMYFUNCTION("""COMPUTED_VALUE"""),2260)</f>
        <v>2260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IFERROR(__xludf.DUMMYFUNCTION("""COMPUTED_VALUE"""),2251)</f>
        <v>2251</v>
      </c>
      <c r="C31" s="16">
        <f>IFERROR(__xludf.DUMMYFUNCTION("""COMPUTED_VALUE"""),45786.6458333333)</f>
        <v>45786.6458333333</v>
      </c>
      <c r="D31" s="17">
        <f>IFERROR(__xludf.DUMMYFUNCTION("""COMPUTED_VALUE"""),2240)</f>
        <v>2240</v>
      </c>
      <c r="E31" s="16">
        <f>IFERROR(__xludf.DUMMYFUNCTION("""COMPUTED_VALUE"""),45786.6458333333)</f>
        <v>45786.6458333333</v>
      </c>
      <c r="F31" s="17">
        <f>IFERROR(__xludf.DUMMYFUNCTION("""COMPUTED_VALUE"""),1006000)</f>
        <v>1006000</v>
      </c>
      <c r="G31" s="16">
        <f>IFERROR(__xludf.DUMMYFUNCTION("""COMPUTED_VALUE"""),45786.6458333333)</f>
        <v>45786.6458333333</v>
      </c>
      <c r="H31" s="17">
        <f>IFERROR(__xludf.DUMMYFUNCTION("""COMPUTED_VALUE"""),2273.1)</f>
        <v>2273.1</v>
      </c>
      <c r="I31" s="16">
        <f>IFERROR(__xludf.DUMMYFUNCTION("""COMPUTED_VALUE"""),45786.6458333333)</f>
        <v>45786.6458333333</v>
      </c>
      <c r="J31" s="17">
        <f>IFERROR(__xludf.DUMMYFUNCTION("""COMPUTED_VALUE"""),2233)</f>
        <v>2233</v>
      </c>
      <c r="K31" s="3">
        <f t="shared" si="2"/>
        <v>0</v>
      </c>
      <c r="L31" s="3">
        <f t="shared" si="3"/>
        <v>2251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IFERROR(__xludf.DUMMYFUNCTION("""COMPUTED_VALUE"""),2425.3)</f>
        <v>2425.3</v>
      </c>
      <c r="C32" s="16">
        <f>IFERROR(__xludf.DUMMYFUNCTION("""COMPUTED_VALUE"""),45789.6458333333)</f>
        <v>45789.6458333333</v>
      </c>
      <c r="D32" s="17">
        <f>IFERROR(__xludf.DUMMYFUNCTION("""COMPUTED_VALUE"""),2350)</f>
        <v>2350</v>
      </c>
      <c r="E32" s="16">
        <f>IFERROR(__xludf.DUMMYFUNCTION("""COMPUTED_VALUE"""),45789.6458333333)</f>
        <v>45789.6458333333</v>
      </c>
      <c r="F32" s="17">
        <f>IFERROR(__xludf.DUMMYFUNCTION("""COMPUTED_VALUE"""),2147039)</f>
        <v>2147039</v>
      </c>
      <c r="G32" s="16">
        <f>IFERROR(__xludf.DUMMYFUNCTION("""COMPUTED_VALUE"""),45789.6458333333)</f>
        <v>45789.6458333333</v>
      </c>
      <c r="H32" s="17">
        <f>IFERROR(__xludf.DUMMYFUNCTION("""COMPUTED_VALUE"""),2433.3)</f>
        <v>2433.3</v>
      </c>
      <c r="I32" s="16">
        <f>IFERROR(__xludf.DUMMYFUNCTION("""COMPUTED_VALUE"""),45789.6458333333)</f>
        <v>45789.6458333333</v>
      </c>
      <c r="J32" s="17">
        <f>IFERROR(__xludf.DUMMYFUNCTION("""COMPUTED_VALUE"""),2315)</f>
        <v>2315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IFERROR(__xludf.DUMMYFUNCTION("""COMPUTED_VALUE"""),2441.2)</f>
        <v>2441.2</v>
      </c>
      <c r="C33" s="16">
        <f>IFERROR(__xludf.DUMMYFUNCTION("""COMPUTED_VALUE"""),45790.6458333333)</f>
        <v>45790.6458333333</v>
      </c>
      <c r="D33" s="17">
        <f>IFERROR(__xludf.DUMMYFUNCTION("""COMPUTED_VALUE"""),2425)</f>
        <v>2425</v>
      </c>
      <c r="E33" s="16">
        <f>IFERROR(__xludf.DUMMYFUNCTION("""COMPUTED_VALUE"""),45790.6458333333)</f>
        <v>45790.6458333333</v>
      </c>
      <c r="F33" s="17">
        <f>IFERROR(__xludf.DUMMYFUNCTION("""COMPUTED_VALUE"""),1815179)</f>
        <v>1815179</v>
      </c>
      <c r="G33" s="16">
        <f>IFERROR(__xludf.DUMMYFUNCTION("""COMPUTED_VALUE"""),45790.6458333333)</f>
        <v>45790.6458333333</v>
      </c>
      <c r="H33" s="17">
        <f>IFERROR(__xludf.DUMMYFUNCTION("""COMPUTED_VALUE"""),2454.9)</f>
        <v>2454.9</v>
      </c>
      <c r="I33" s="16">
        <f>IFERROR(__xludf.DUMMYFUNCTION("""COMPUTED_VALUE"""),45790.6458333333)</f>
        <v>45790.6458333333</v>
      </c>
      <c r="J33" s="17">
        <f>IFERROR(__xludf.DUMMYFUNCTION("""COMPUTED_VALUE"""),2405)</f>
        <v>2405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IFERROR(__xludf.DUMMYFUNCTION("""COMPUTED_VALUE"""),2461.9)</f>
        <v>2461.9</v>
      </c>
      <c r="C34" s="16">
        <f>IFERROR(__xludf.DUMMYFUNCTION("""COMPUTED_VALUE"""),45791.6458333333)</f>
        <v>45791.6458333333</v>
      </c>
      <c r="D34" s="17">
        <f>IFERROR(__xludf.DUMMYFUNCTION("""COMPUTED_VALUE"""),2444.9)</f>
        <v>2444.9</v>
      </c>
      <c r="E34" s="16">
        <f>IFERROR(__xludf.DUMMYFUNCTION("""COMPUTED_VALUE"""),45791.6458333333)</f>
        <v>45791.6458333333</v>
      </c>
      <c r="F34" s="17">
        <f>IFERROR(__xludf.DUMMYFUNCTION("""COMPUTED_VALUE"""),774441)</f>
        <v>774441</v>
      </c>
      <c r="G34" s="16">
        <f>IFERROR(__xludf.DUMMYFUNCTION("""COMPUTED_VALUE"""),45791.6458333333)</f>
        <v>45791.6458333333</v>
      </c>
      <c r="H34" s="17">
        <f>IFERROR(__xludf.DUMMYFUNCTION("""COMPUTED_VALUE"""),2481.9)</f>
        <v>2481.9</v>
      </c>
      <c r="I34" s="16">
        <f>IFERROR(__xludf.DUMMYFUNCTION("""COMPUTED_VALUE"""),45791.6458333333)</f>
        <v>45791.6458333333</v>
      </c>
      <c r="J34" s="17">
        <f>IFERROR(__xludf.DUMMYFUNCTION("""COMPUTED_VALUE"""),2430.1)</f>
        <v>2430.1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IFERROR(__xludf.DUMMYFUNCTION("""COMPUTED_VALUE"""),2520)</f>
        <v>2520</v>
      </c>
      <c r="C35" s="16">
        <f>IFERROR(__xludf.DUMMYFUNCTION("""COMPUTED_VALUE"""),45792.6458333333)</f>
        <v>45792.6458333333</v>
      </c>
      <c r="D35" s="17">
        <f>IFERROR(__xludf.DUMMYFUNCTION("""COMPUTED_VALUE"""),2463.4)</f>
        <v>2463.4</v>
      </c>
      <c r="E35" s="16">
        <f>IFERROR(__xludf.DUMMYFUNCTION("""COMPUTED_VALUE"""),45792.6458333333)</f>
        <v>45792.6458333333</v>
      </c>
      <c r="F35" s="17">
        <f>IFERROR(__xludf.DUMMYFUNCTION("""COMPUTED_VALUE"""),1554801)</f>
        <v>1554801</v>
      </c>
      <c r="G35" s="16">
        <f>IFERROR(__xludf.DUMMYFUNCTION("""COMPUTED_VALUE"""),45792.6458333333)</f>
        <v>45792.6458333333</v>
      </c>
      <c r="H35" s="17">
        <f>IFERROR(__xludf.DUMMYFUNCTION("""COMPUTED_VALUE"""),2526.8)</f>
        <v>2526.8</v>
      </c>
      <c r="I35" s="16">
        <f>IFERROR(__xludf.DUMMYFUNCTION("""COMPUTED_VALUE"""),45792.6458333333)</f>
        <v>45792.6458333333</v>
      </c>
      <c r="J35" s="17">
        <f>IFERROR(__xludf.DUMMYFUNCTION("""COMPUTED_VALUE"""),2450.7)</f>
        <v>2450.7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IFERROR(__xludf.DUMMYFUNCTION("""COMPUTED_VALUE"""),2555)</f>
        <v>2555</v>
      </c>
      <c r="C36" s="16">
        <f>IFERROR(__xludf.DUMMYFUNCTION("""COMPUTED_VALUE"""),45793.6458333333)</f>
        <v>45793.6458333333</v>
      </c>
      <c r="D36" s="17">
        <f>IFERROR(__xludf.DUMMYFUNCTION("""COMPUTED_VALUE"""),2529)</f>
        <v>2529</v>
      </c>
      <c r="E36" s="16">
        <f>IFERROR(__xludf.DUMMYFUNCTION("""COMPUTED_VALUE"""),45793.6458333333)</f>
        <v>45793.6458333333</v>
      </c>
      <c r="F36" s="17">
        <f>IFERROR(__xludf.DUMMYFUNCTION("""COMPUTED_VALUE"""),1641135)</f>
        <v>1641135</v>
      </c>
      <c r="G36" s="16">
        <f>IFERROR(__xludf.DUMMYFUNCTION("""COMPUTED_VALUE"""),45793.6458333333)</f>
        <v>45793.6458333333</v>
      </c>
      <c r="H36" s="17">
        <f>IFERROR(__xludf.DUMMYFUNCTION("""COMPUTED_VALUE"""),2584.2)</f>
        <v>2584.2</v>
      </c>
      <c r="I36" s="16">
        <f>IFERROR(__xludf.DUMMYFUNCTION("""COMPUTED_VALUE"""),45793.6458333333)</f>
        <v>45793.6458333333</v>
      </c>
      <c r="J36" s="17">
        <f>IFERROR(__xludf.DUMMYFUNCTION("""COMPUTED_VALUE"""),2516.2)</f>
        <v>2516.2</v>
      </c>
      <c r="K36" s="3">
        <f t="shared" si="2"/>
        <v>2555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IFERROR(__xludf.DUMMYFUNCTION("""COMPUTED_VALUE"""),2540.6)</f>
        <v>2540.6</v>
      </c>
      <c r="C37" s="16">
        <f>IFERROR(__xludf.DUMMYFUNCTION("""COMPUTED_VALUE"""),45796.6458333333)</f>
        <v>45796.6458333333</v>
      </c>
      <c r="D37" s="17">
        <f>IFERROR(__xludf.DUMMYFUNCTION("""COMPUTED_VALUE"""),2571.3)</f>
        <v>2571.3</v>
      </c>
      <c r="E37" s="16">
        <f>IFERROR(__xludf.DUMMYFUNCTION("""COMPUTED_VALUE"""),45796.6458333333)</f>
        <v>45796.6458333333</v>
      </c>
      <c r="F37" s="17">
        <f>IFERROR(__xludf.DUMMYFUNCTION("""COMPUTED_VALUE"""),681000)</f>
        <v>681000</v>
      </c>
      <c r="G37" s="16">
        <f>IFERROR(__xludf.DUMMYFUNCTION("""COMPUTED_VALUE"""),45796.6458333333)</f>
        <v>45796.6458333333</v>
      </c>
      <c r="H37" s="17">
        <f>IFERROR(__xludf.DUMMYFUNCTION("""COMPUTED_VALUE"""),2578.8)</f>
        <v>2578.8</v>
      </c>
      <c r="I37" s="16">
        <f>IFERROR(__xludf.DUMMYFUNCTION("""COMPUTED_VALUE"""),45796.6458333333)</f>
        <v>45796.6458333333</v>
      </c>
      <c r="J37" s="17">
        <f>IFERROR(__xludf.DUMMYFUNCTION("""COMPUTED_VALUE"""),2536)</f>
        <v>2536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IFERROR(__xludf.DUMMYFUNCTION("""COMPUTED_VALUE"""),2501.6)</f>
        <v>2501.6</v>
      </c>
      <c r="C38" s="16">
        <f>IFERROR(__xludf.DUMMYFUNCTION("""COMPUTED_VALUE"""),45797.6458333333)</f>
        <v>45797.6458333333</v>
      </c>
      <c r="D38" s="17">
        <f>IFERROR(__xludf.DUMMYFUNCTION("""COMPUTED_VALUE"""),2545)</f>
        <v>2545</v>
      </c>
      <c r="E38" s="16">
        <f>IFERROR(__xludf.DUMMYFUNCTION("""COMPUTED_VALUE"""),45797.6458333333)</f>
        <v>45797.6458333333</v>
      </c>
      <c r="F38" s="17">
        <f>IFERROR(__xludf.DUMMYFUNCTION("""COMPUTED_VALUE"""),628023)</f>
        <v>628023</v>
      </c>
      <c r="G38" s="16">
        <f>IFERROR(__xludf.DUMMYFUNCTION("""COMPUTED_VALUE"""),45797.6458333333)</f>
        <v>45797.6458333333</v>
      </c>
      <c r="H38" s="17">
        <f>IFERROR(__xludf.DUMMYFUNCTION("""COMPUTED_VALUE"""),2564.8)</f>
        <v>2564.8</v>
      </c>
      <c r="I38" s="16">
        <f>IFERROR(__xludf.DUMMYFUNCTION("""COMPUTED_VALUE"""),45797.6458333333)</f>
        <v>45797.6458333333</v>
      </c>
      <c r="J38" s="17">
        <f>IFERROR(__xludf.DUMMYFUNCTION("""COMPUTED_VALUE"""),2492.5)</f>
        <v>2492.5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IFERROR(__xludf.DUMMYFUNCTION("""COMPUTED_VALUE"""),2500.4)</f>
        <v>2500.4</v>
      </c>
      <c r="C39" s="16">
        <f>IFERROR(__xludf.DUMMYFUNCTION("""COMPUTED_VALUE"""),45798.6458333333)</f>
        <v>45798.6458333333</v>
      </c>
      <c r="D39" s="17">
        <f>IFERROR(__xludf.DUMMYFUNCTION("""COMPUTED_VALUE"""),2509.7)</f>
        <v>2509.7</v>
      </c>
      <c r="E39" s="16">
        <f>IFERROR(__xludf.DUMMYFUNCTION("""COMPUTED_VALUE"""),45798.6458333333)</f>
        <v>45798.6458333333</v>
      </c>
      <c r="F39" s="17">
        <f>IFERROR(__xludf.DUMMYFUNCTION("""COMPUTED_VALUE"""),529234)</f>
        <v>529234</v>
      </c>
      <c r="G39" s="16">
        <f>IFERROR(__xludf.DUMMYFUNCTION("""COMPUTED_VALUE"""),45798.6458333333)</f>
        <v>45798.6458333333</v>
      </c>
      <c r="H39" s="17">
        <f>IFERROR(__xludf.DUMMYFUNCTION("""COMPUTED_VALUE"""),2524.5)</f>
        <v>2524.5</v>
      </c>
      <c r="I39" s="16">
        <f>IFERROR(__xludf.DUMMYFUNCTION("""COMPUTED_VALUE"""),45798.6458333333)</f>
        <v>45798.6458333333</v>
      </c>
      <c r="J39" s="17">
        <f>IFERROR(__xludf.DUMMYFUNCTION("""COMPUTED_VALUE"""),2483.7)</f>
        <v>2483.7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IFERROR(__xludf.DUMMYFUNCTION("""COMPUTED_VALUE"""),2487.6)</f>
        <v>2487.6</v>
      </c>
      <c r="C40" s="16">
        <f>IFERROR(__xludf.DUMMYFUNCTION("""COMPUTED_VALUE"""),45799.6458333333)</f>
        <v>45799.6458333333</v>
      </c>
      <c r="D40" s="17">
        <f>IFERROR(__xludf.DUMMYFUNCTION("""COMPUTED_VALUE"""),2500.4)</f>
        <v>2500.4</v>
      </c>
      <c r="E40" s="16">
        <f>IFERROR(__xludf.DUMMYFUNCTION("""COMPUTED_VALUE"""),45799.6458333333)</f>
        <v>45799.6458333333</v>
      </c>
      <c r="F40" s="17">
        <f>IFERROR(__xludf.DUMMYFUNCTION("""COMPUTED_VALUE"""),906909)</f>
        <v>906909</v>
      </c>
      <c r="G40" s="16">
        <f>IFERROR(__xludf.DUMMYFUNCTION("""COMPUTED_VALUE"""),45799.6458333333)</f>
        <v>45799.6458333333</v>
      </c>
      <c r="H40" s="17">
        <f>IFERROR(__xludf.DUMMYFUNCTION("""COMPUTED_VALUE"""),2521.9)</f>
        <v>2521.9</v>
      </c>
      <c r="I40" s="16">
        <f>IFERROR(__xludf.DUMMYFUNCTION("""COMPUTED_VALUE"""),45799.6458333333)</f>
        <v>45799.6458333333</v>
      </c>
      <c r="J40" s="17">
        <f>IFERROR(__xludf.DUMMYFUNCTION("""COMPUTED_VALUE"""),2465.3)</f>
        <v>2465.3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IFERROR(__xludf.DUMMYFUNCTION("""COMPUTED_VALUE"""),2540)</f>
        <v>2540</v>
      </c>
      <c r="C41" s="16">
        <f>IFERROR(__xludf.DUMMYFUNCTION("""COMPUTED_VALUE"""),45800.6458333333)</f>
        <v>45800.6458333333</v>
      </c>
      <c r="D41" s="17">
        <f>IFERROR(__xludf.DUMMYFUNCTION("""COMPUTED_VALUE"""),2499)</f>
        <v>2499</v>
      </c>
      <c r="E41" s="16">
        <f>IFERROR(__xludf.DUMMYFUNCTION("""COMPUTED_VALUE"""),45800.6458333333)</f>
        <v>45800.6458333333</v>
      </c>
      <c r="F41" s="17">
        <f>IFERROR(__xludf.DUMMYFUNCTION("""COMPUTED_VALUE"""),968415)</f>
        <v>968415</v>
      </c>
      <c r="G41" s="16">
        <f>IFERROR(__xludf.DUMMYFUNCTION("""COMPUTED_VALUE"""),45800.6458333333)</f>
        <v>45800.6458333333</v>
      </c>
      <c r="H41" s="17">
        <f>IFERROR(__xludf.DUMMYFUNCTION("""COMPUTED_VALUE"""),2548.1)</f>
        <v>2548.1</v>
      </c>
      <c r="I41" s="16">
        <f>IFERROR(__xludf.DUMMYFUNCTION("""COMPUTED_VALUE"""),45800.6458333333)</f>
        <v>45800.6458333333</v>
      </c>
      <c r="J41" s="17">
        <f>IFERROR(__xludf.DUMMYFUNCTION("""COMPUTED_VALUE"""),2490.5)</f>
        <v>2490.5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IFERROR(__xludf.DUMMYFUNCTION("""COMPUTED_VALUE"""),2547.7)</f>
        <v>2547.7</v>
      </c>
      <c r="C42" s="16">
        <f>IFERROR(__xludf.DUMMYFUNCTION("""COMPUTED_VALUE"""),45803.6458333333)</f>
        <v>45803.6458333333</v>
      </c>
      <c r="D42" s="17">
        <f>IFERROR(__xludf.DUMMYFUNCTION("""COMPUTED_VALUE"""),2549.1)</f>
        <v>2549.1</v>
      </c>
      <c r="E42" s="16">
        <f>IFERROR(__xludf.DUMMYFUNCTION("""COMPUTED_VALUE"""),45803.6458333333)</f>
        <v>45803.6458333333</v>
      </c>
      <c r="F42" s="17">
        <f>IFERROR(__xludf.DUMMYFUNCTION("""COMPUTED_VALUE"""),552912)</f>
        <v>552912</v>
      </c>
      <c r="G42" s="16">
        <f>IFERROR(__xludf.DUMMYFUNCTION("""COMPUTED_VALUE"""),45803.6458333333)</f>
        <v>45803.6458333333</v>
      </c>
      <c r="H42" s="17">
        <f>IFERROR(__xludf.DUMMYFUNCTION("""COMPUTED_VALUE"""),2568.9)</f>
        <v>2568.9</v>
      </c>
      <c r="I42" s="16">
        <f>IFERROR(__xludf.DUMMYFUNCTION("""COMPUTED_VALUE"""),45803.6458333333)</f>
        <v>45803.6458333333</v>
      </c>
      <c r="J42" s="17">
        <f>IFERROR(__xludf.DUMMYFUNCTION("""COMPUTED_VALUE"""),2541.3)</f>
        <v>2541.3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IFERROR(__xludf.DUMMYFUNCTION("""COMPUTED_VALUE"""),2540.3)</f>
        <v>2540.3</v>
      </c>
      <c r="C43" s="16">
        <f>IFERROR(__xludf.DUMMYFUNCTION("""COMPUTED_VALUE"""),45804.6458333333)</f>
        <v>45804.6458333333</v>
      </c>
      <c r="D43" s="17">
        <f>IFERROR(__xludf.DUMMYFUNCTION("""COMPUTED_VALUE"""),2545.9)</f>
        <v>2545.9</v>
      </c>
      <c r="E43" s="16">
        <f>IFERROR(__xludf.DUMMYFUNCTION("""COMPUTED_VALUE"""),45804.6458333333)</f>
        <v>45804.6458333333</v>
      </c>
      <c r="F43" s="17">
        <f>IFERROR(__xludf.DUMMYFUNCTION("""COMPUTED_VALUE"""),514936)</f>
        <v>514936</v>
      </c>
      <c r="G43" s="16">
        <f>IFERROR(__xludf.DUMMYFUNCTION("""COMPUTED_VALUE"""),45804.6458333333)</f>
        <v>45804.6458333333</v>
      </c>
      <c r="H43" s="17">
        <f>IFERROR(__xludf.DUMMYFUNCTION("""COMPUTED_VALUE"""),2569.1)</f>
        <v>2569.1</v>
      </c>
      <c r="I43" s="16">
        <f>IFERROR(__xludf.DUMMYFUNCTION("""COMPUTED_VALUE"""),45804.6458333333)</f>
        <v>45804.6458333333</v>
      </c>
      <c r="J43" s="17">
        <f>IFERROR(__xludf.DUMMYFUNCTION("""COMPUTED_VALUE"""),2526.1)</f>
        <v>2526.1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IFERROR(__xludf.DUMMYFUNCTION("""COMPUTED_VALUE"""),2515)</f>
        <v>2515</v>
      </c>
      <c r="C44" s="16">
        <f>IFERROR(__xludf.DUMMYFUNCTION("""COMPUTED_VALUE"""),45805.6458333333)</f>
        <v>45805.6458333333</v>
      </c>
      <c r="D44" s="17">
        <f>IFERROR(__xludf.DUMMYFUNCTION("""COMPUTED_VALUE"""),2559)</f>
        <v>2559</v>
      </c>
      <c r="E44" s="16">
        <f>IFERROR(__xludf.DUMMYFUNCTION("""COMPUTED_VALUE"""),45805.6458333333)</f>
        <v>45805.6458333333</v>
      </c>
      <c r="F44" s="17">
        <f>IFERROR(__xludf.DUMMYFUNCTION("""COMPUTED_VALUE"""),575989)</f>
        <v>575989</v>
      </c>
      <c r="G44" s="16">
        <f>IFERROR(__xludf.DUMMYFUNCTION("""COMPUTED_VALUE"""),45805.6458333333)</f>
        <v>45805.6458333333</v>
      </c>
      <c r="H44" s="17">
        <f>IFERROR(__xludf.DUMMYFUNCTION("""COMPUTED_VALUE"""),2559)</f>
        <v>2559</v>
      </c>
      <c r="I44" s="16">
        <f>IFERROR(__xludf.DUMMYFUNCTION("""COMPUTED_VALUE"""),45805.6458333333)</f>
        <v>45805.6458333333</v>
      </c>
      <c r="J44" s="17">
        <f>IFERROR(__xludf.DUMMYFUNCTION("""COMPUTED_VALUE"""),2510)</f>
        <v>2510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IFERROR(__xludf.DUMMYFUNCTION("""COMPUTED_VALUE"""),2540.8)</f>
        <v>2540.8</v>
      </c>
      <c r="C45" s="16">
        <f>IFERROR(__xludf.DUMMYFUNCTION("""COMPUTED_VALUE"""),45806.6458333333)</f>
        <v>45806.6458333333</v>
      </c>
      <c r="D45" s="17">
        <f>IFERROR(__xludf.DUMMYFUNCTION("""COMPUTED_VALUE"""),2536.7)</f>
        <v>2536.7</v>
      </c>
      <c r="E45" s="16">
        <f>IFERROR(__xludf.DUMMYFUNCTION("""COMPUTED_VALUE"""),45806.6458333333)</f>
        <v>45806.6458333333</v>
      </c>
      <c r="F45" s="17">
        <f>IFERROR(__xludf.DUMMYFUNCTION("""COMPUTED_VALUE"""),802317)</f>
        <v>802317</v>
      </c>
      <c r="G45" s="16">
        <f>IFERROR(__xludf.DUMMYFUNCTION("""COMPUTED_VALUE"""),45806.6458333333)</f>
        <v>45806.6458333333</v>
      </c>
      <c r="H45" s="17">
        <f>IFERROR(__xludf.DUMMYFUNCTION("""COMPUTED_VALUE"""),2559)</f>
        <v>2559</v>
      </c>
      <c r="I45" s="16">
        <f>IFERROR(__xludf.DUMMYFUNCTION("""COMPUTED_VALUE"""),45806.6458333333)</f>
        <v>45806.6458333333</v>
      </c>
      <c r="J45" s="17">
        <f>IFERROR(__xludf.DUMMYFUNCTION("""COMPUTED_VALUE"""),2511)</f>
        <v>2511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IFERROR(__xludf.DUMMYFUNCTION("""COMPUTED_VALUE"""),2519.9)</f>
        <v>2519.9</v>
      </c>
      <c r="C46" s="16">
        <f>IFERROR(__xludf.DUMMYFUNCTION("""COMPUTED_VALUE"""),45807.6458333333)</f>
        <v>45807.6458333333</v>
      </c>
      <c r="D46" s="17">
        <f>IFERROR(__xludf.DUMMYFUNCTION("""COMPUTED_VALUE"""),2550)</f>
        <v>2550</v>
      </c>
      <c r="E46" s="16">
        <f>IFERROR(__xludf.DUMMYFUNCTION("""COMPUTED_VALUE"""),45807.6458333333)</f>
        <v>45807.6458333333</v>
      </c>
      <c r="F46" s="17">
        <f>IFERROR(__xludf.DUMMYFUNCTION("""COMPUTED_VALUE"""),684592)</f>
        <v>684592</v>
      </c>
      <c r="G46" s="16">
        <f>IFERROR(__xludf.DUMMYFUNCTION("""COMPUTED_VALUE"""),45807.6458333333)</f>
        <v>45807.6458333333</v>
      </c>
      <c r="H46" s="17">
        <f>IFERROR(__xludf.DUMMYFUNCTION("""COMPUTED_VALUE"""),2564)</f>
        <v>2564</v>
      </c>
      <c r="I46" s="16">
        <f>IFERROR(__xludf.DUMMYFUNCTION("""COMPUTED_VALUE"""),45807.6458333333)</f>
        <v>45807.6458333333</v>
      </c>
      <c r="J46" s="17">
        <f>IFERROR(__xludf.DUMMYFUNCTION("""COMPUTED_VALUE"""),2513.8)</f>
        <v>2513.8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IFERROR(__xludf.DUMMYFUNCTION("""COMPUTED_VALUE"""),2518.8)</f>
        <v>2518.8</v>
      </c>
      <c r="C47" s="16">
        <f>IFERROR(__xludf.DUMMYFUNCTION("""COMPUTED_VALUE"""),45810.6458333333)</f>
        <v>45810.6458333333</v>
      </c>
      <c r="D47" s="17">
        <f>IFERROR(__xludf.DUMMYFUNCTION("""COMPUTED_VALUE"""),2527)</f>
        <v>2527</v>
      </c>
      <c r="E47" s="16">
        <f>IFERROR(__xludf.DUMMYFUNCTION("""COMPUTED_VALUE"""),45810.6458333333)</f>
        <v>45810.6458333333</v>
      </c>
      <c r="F47" s="17">
        <f>IFERROR(__xludf.DUMMYFUNCTION("""COMPUTED_VALUE"""),1008716)</f>
        <v>1008716</v>
      </c>
      <c r="G47" s="16">
        <f>IFERROR(__xludf.DUMMYFUNCTION("""COMPUTED_VALUE"""),45810.6458333333)</f>
        <v>45810.6458333333</v>
      </c>
      <c r="H47" s="17">
        <f>IFERROR(__xludf.DUMMYFUNCTION("""COMPUTED_VALUE"""),2564)</f>
        <v>2564</v>
      </c>
      <c r="I47" s="16">
        <f>IFERROR(__xludf.DUMMYFUNCTION("""COMPUTED_VALUE"""),45810.6458333333)</f>
        <v>45810.6458333333</v>
      </c>
      <c r="J47" s="17">
        <f>IFERROR(__xludf.DUMMYFUNCTION("""COMPUTED_VALUE"""),2514.9)</f>
        <v>2514.9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IFERROR(__xludf.DUMMYFUNCTION("""COMPUTED_VALUE"""),2470.9)</f>
        <v>2470.9</v>
      </c>
      <c r="C48" s="16">
        <f>IFERROR(__xludf.DUMMYFUNCTION("""COMPUTED_VALUE"""),45811.6458333333)</f>
        <v>45811.6458333333</v>
      </c>
      <c r="D48" s="17">
        <f>IFERROR(__xludf.DUMMYFUNCTION("""COMPUTED_VALUE"""),2511)</f>
        <v>2511</v>
      </c>
      <c r="E48" s="16">
        <f>IFERROR(__xludf.DUMMYFUNCTION("""COMPUTED_VALUE"""),45811.6458333333)</f>
        <v>45811.6458333333</v>
      </c>
      <c r="F48" s="17">
        <f>IFERROR(__xludf.DUMMYFUNCTION("""COMPUTED_VALUE"""),962708)</f>
        <v>962708</v>
      </c>
      <c r="G48" s="16">
        <f>IFERROR(__xludf.DUMMYFUNCTION("""COMPUTED_VALUE"""),45811.6458333333)</f>
        <v>45811.6458333333</v>
      </c>
      <c r="H48" s="17">
        <f>IFERROR(__xludf.DUMMYFUNCTION("""COMPUTED_VALUE"""),2512.5)</f>
        <v>2512.5</v>
      </c>
      <c r="I48" s="16">
        <f>IFERROR(__xludf.DUMMYFUNCTION("""COMPUTED_VALUE"""),45811.6458333333)</f>
        <v>45811.6458333333</v>
      </c>
      <c r="J48" s="17">
        <f>IFERROR(__xludf.DUMMYFUNCTION("""COMPUTED_VALUE"""),2452)</f>
        <v>2452</v>
      </c>
      <c r="K48" s="3">
        <f t="shared" si="2"/>
        <v>0</v>
      </c>
      <c r="L48" s="3">
        <f t="shared" si="3"/>
        <v>2470.9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IFERROR(__xludf.DUMMYFUNCTION("""COMPUTED_VALUE"""),2489.4)</f>
        <v>2489.4</v>
      </c>
      <c r="C49" s="16">
        <f>IFERROR(__xludf.DUMMYFUNCTION("""COMPUTED_VALUE"""),45812.6458333333)</f>
        <v>45812.6458333333</v>
      </c>
      <c r="D49" s="17">
        <f>IFERROR(__xludf.DUMMYFUNCTION("""COMPUTED_VALUE"""),2480)</f>
        <v>2480</v>
      </c>
      <c r="E49" s="16">
        <f>IFERROR(__xludf.DUMMYFUNCTION("""COMPUTED_VALUE"""),45812.6458333333)</f>
        <v>45812.6458333333</v>
      </c>
      <c r="F49" s="17">
        <f>IFERROR(__xludf.DUMMYFUNCTION("""COMPUTED_VALUE"""),552667)</f>
        <v>552667</v>
      </c>
      <c r="G49" s="16">
        <f>IFERROR(__xludf.DUMMYFUNCTION("""COMPUTED_VALUE"""),45812.6458333333)</f>
        <v>45812.6458333333</v>
      </c>
      <c r="H49" s="17">
        <f>IFERROR(__xludf.DUMMYFUNCTION("""COMPUTED_VALUE"""),2503)</f>
        <v>2503</v>
      </c>
      <c r="I49" s="16">
        <f>IFERROR(__xludf.DUMMYFUNCTION("""COMPUTED_VALUE"""),45812.6458333333)</f>
        <v>45812.6458333333</v>
      </c>
      <c r="J49" s="17">
        <f>IFERROR(__xludf.DUMMYFUNCTION("""COMPUTED_VALUE"""),2441.1)</f>
        <v>2441.1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IFERROR(__xludf.DUMMYFUNCTION("""COMPUTED_VALUE"""),2504.4)</f>
        <v>2504.4</v>
      </c>
      <c r="C50" s="16">
        <f>IFERROR(__xludf.DUMMYFUNCTION("""COMPUTED_VALUE"""),45813.6458333333)</f>
        <v>45813.6458333333</v>
      </c>
      <c r="D50" s="17">
        <f>IFERROR(__xludf.DUMMYFUNCTION("""COMPUTED_VALUE"""),2495)</f>
        <v>2495</v>
      </c>
      <c r="E50" s="16">
        <f>IFERROR(__xludf.DUMMYFUNCTION("""COMPUTED_VALUE"""),45813.6458333333)</f>
        <v>45813.6458333333</v>
      </c>
      <c r="F50" s="17">
        <f>IFERROR(__xludf.DUMMYFUNCTION("""COMPUTED_VALUE"""),673209)</f>
        <v>673209</v>
      </c>
      <c r="G50" s="16">
        <f>IFERROR(__xludf.DUMMYFUNCTION("""COMPUTED_VALUE"""),45813.6458333333)</f>
        <v>45813.6458333333</v>
      </c>
      <c r="H50" s="17">
        <f>IFERROR(__xludf.DUMMYFUNCTION("""COMPUTED_VALUE"""),2530.1)</f>
        <v>2530.1</v>
      </c>
      <c r="I50" s="16">
        <f>IFERROR(__xludf.DUMMYFUNCTION("""COMPUTED_VALUE"""),45813.6458333333)</f>
        <v>45813.6458333333</v>
      </c>
      <c r="J50" s="17">
        <f>IFERROR(__xludf.DUMMYFUNCTION("""COMPUTED_VALUE"""),2487.5)</f>
        <v>2487.5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IFERROR(__xludf.DUMMYFUNCTION("""COMPUTED_VALUE"""),2534.2)</f>
        <v>2534.2</v>
      </c>
      <c r="C51" s="16">
        <f>IFERROR(__xludf.DUMMYFUNCTION("""COMPUTED_VALUE"""),45814.6458333333)</f>
        <v>45814.6458333333</v>
      </c>
      <c r="D51" s="17">
        <f>IFERROR(__xludf.DUMMYFUNCTION("""COMPUTED_VALUE"""),2514.9)</f>
        <v>2514.9</v>
      </c>
      <c r="E51" s="16">
        <f>IFERROR(__xludf.DUMMYFUNCTION("""COMPUTED_VALUE"""),45814.6458333333)</f>
        <v>45814.6458333333</v>
      </c>
      <c r="F51" s="17">
        <f>IFERROR(__xludf.DUMMYFUNCTION("""COMPUTED_VALUE"""),640680)</f>
        <v>640680</v>
      </c>
      <c r="G51" s="16">
        <f>IFERROR(__xludf.DUMMYFUNCTION("""COMPUTED_VALUE"""),45814.6458333333)</f>
        <v>45814.6458333333</v>
      </c>
      <c r="H51" s="17">
        <f>IFERROR(__xludf.DUMMYFUNCTION("""COMPUTED_VALUE"""),2553.3)</f>
        <v>2553.3</v>
      </c>
      <c r="I51" s="16">
        <f>IFERROR(__xludf.DUMMYFUNCTION("""COMPUTED_VALUE"""),45814.6458333333)</f>
        <v>45814.6458333333</v>
      </c>
      <c r="J51" s="17">
        <f>IFERROR(__xludf.DUMMYFUNCTION("""COMPUTED_VALUE"""),2504)</f>
        <v>2504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IFERROR(__xludf.DUMMYFUNCTION("""COMPUTED_VALUE"""),2582.1)</f>
        <v>2582.1</v>
      </c>
      <c r="C52" s="16">
        <f>IFERROR(__xludf.DUMMYFUNCTION("""COMPUTED_VALUE"""),45817.6458333333)</f>
        <v>45817.6458333333</v>
      </c>
      <c r="D52" s="17">
        <f>IFERROR(__xludf.DUMMYFUNCTION("""COMPUTED_VALUE"""),2545)</f>
        <v>2545</v>
      </c>
      <c r="E52" s="16">
        <f>IFERROR(__xludf.DUMMYFUNCTION("""COMPUTED_VALUE"""),45817.6458333333)</f>
        <v>45817.6458333333</v>
      </c>
      <c r="F52" s="17">
        <f>IFERROR(__xludf.DUMMYFUNCTION("""COMPUTED_VALUE"""),1711167)</f>
        <v>1711167</v>
      </c>
      <c r="G52" s="16">
        <f>IFERROR(__xludf.DUMMYFUNCTION("""COMPUTED_VALUE"""),45817.6458333333)</f>
        <v>45817.6458333333</v>
      </c>
      <c r="H52" s="17">
        <f>IFERROR(__xludf.DUMMYFUNCTION("""COMPUTED_VALUE"""),2604.1)</f>
        <v>2604.1</v>
      </c>
      <c r="I52" s="16">
        <f>IFERROR(__xludf.DUMMYFUNCTION("""COMPUTED_VALUE"""),45817.6458333333)</f>
        <v>45817.6458333333</v>
      </c>
      <c r="J52" s="17">
        <f>IFERROR(__xludf.DUMMYFUNCTION("""COMPUTED_VALUE"""),2524.5)</f>
        <v>2524.5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IFERROR(__xludf.DUMMYFUNCTION("""COMPUTED_VALUE"""),2613.1)</f>
        <v>2613.1</v>
      </c>
      <c r="C53" s="16">
        <f>IFERROR(__xludf.DUMMYFUNCTION("""COMPUTED_VALUE"""),45818.6458333333)</f>
        <v>45818.6458333333</v>
      </c>
      <c r="D53" s="17">
        <f>IFERROR(__xludf.DUMMYFUNCTION("""COMPUTED_VALUE"""),2600)</f>
        <v>2600</v>
      </c>
      <c r="E53" s="16">
        <f>IFERROR(__xludf.DUMMYFUNCTION("""COMPUTED_VALUE"""),45818.6458333333)</f>
        <v>45818.6458333333</v>
      </c>
      <c r="F53" s="17">
        <f>IFERROR(__xludf.DUMMYFUNCTION("""COMPUTED_VALUE"""),2084054)</f>
        <v>2084054</v>
      </c>
      <c r="G53" s="16">
        <f>IFERROR(__xludf.DUMMYFUNCTION("""COMPUTED_VALUE"""),45818.6458333333)</f>
        <v>45818.6458333333</v>
      </c>
      <c r="H53" s="17">
        <f>IFERROR(__xludf.DUMMYFUNCTION("""COMPUTED_VALUE"""),2663.2)</f>
        <v>2663.2</v>
      </c>
      <c r="I53" s="16">
        <f>IFERROR(__xludf.DUMMYFUNCTION("""COMPUTED_VALUE"""),45818.6458333333)</f>
        <v>45818.6458333333</v>
      </c>
      <c r="J53" s="17">
        <f>IFERROR(__xludf.DUMMYFUNCTION("""COMPUTED_VALUE"""),2577.7)</f>
        <v>2577.7</v>
      </c>
      <c r="K53" s="3">
        <f t="shared" si="2"/>
        <v>2613.1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IFERROR(__xludf.DUMMYFUNCTION("""COMPUTED_VALUE"""),2581.2)</f>
        <v>2581.2</v>
      </c>
      <c r="C54" s="16">
        <f>IFERROR(__xludf.DUMMYFUNCTION("""COMPUTED_VALUE"""),45819.6458333333)</f>
        <v>45819.6458333333</v>
      </c>
      <c r="D54" s="17">
        <f>IFERROR(__xludf.DUMMYFUNCTION("""COMPUTED_VALUE"""),2630)</f>
        <v>2630</v>
      </c>
      <c r="E54" s="16">
        <f>IFERROR(__xludf.DUMMYFUNCTION("""COMPUTED_VALUE"""),45819.6458333333)</f>
        <v>45819.6458333333</v>
      </c>
      <c r="F54" s="17">
        <f>IFERROR(__xludf.DUMMYFUNCTION("""COMPUTED_VALUE"""),745432)</f>
        <v>745432</v>
      </c>
      <c r="G54" s="16">
        <f>IFERROR(__xludf.DUMMYFUNCTION("""COMPUTED_VALUE"""),45819.6458333333)</f>
        <v>45819.6458333333</v>
      </c>
      <c r="H54" s="17">
        <f>IFERROR(__xludf.DUMMYFUNCTION("""COMPUTED_VALUE"""),2630.9)</f>
        <v>2630.9</v>
      </c>
      <c r="I54" s="16">
        <f>IFERROR(__xludf.DUMMYFUNCTION("""COMPUTED_VALUE"""),45819.6458333333)</f>
        <v>45819.6458333333</v>
      </c>
      <c r="J54" s="17">
        <f>IFERROR(__xludf.DUMMYFUNCTION("""COMPUTED_VALUE"""),2563.1)</f>
        <v>2563.1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IFERROR(__xludf.DUMMYFUNCTION("""COMPUTED_VALUE"""),2543.7)</f>
        <v>2543.7</v>
      </c>
      <c r="C55" s="16">
        <f>IFERROR(__xludf.DUMMYFUNCTION("""COMPUTED_VALUE"""),45820.6458333333)</f>
        <v>45820.6458333333</v>
      </c>
      <c r="D55" s="17">
        <f>IFERROR(__xludf.DUMMYFUNCTION("""COMPUTED_VALUE"""),2591.5)</f>
        <v>2591.5</v>
      </c>
      <c r="E55" s="16">
        <f>IFERROR(__xludf.DUMMYFUNCTION("""COMPUTED_VALUE"""),45820.6458333333)</f>
        <v>45820.6458333333</v>
      </c>
      <c r="F55" s="17">
        <f>IFERROR(__xludf.DUMMYFUNCTION("""COMPUTED_VALUE"""),955097)</f>
        <v>955097</v>
      </c>
      <c r="G55" s="16">
        <f>IFERROR(__xludf.DUMMYFUNCTION("""COMPUTED_VALUE"""),45820.6458333333)</f>
        <v>45820.6458333333</v>
      </c>
      <c r="H55" s="17">
        <f>IFERROR(__xludf.DUMMYFUNCTION("""COMPUTED_VALUE"""),2601.8)</f>
        <v>2601.8</v>
      </c>
      <c r="I55" s="16">
        <f>IFERROR(__xludf.DUMMYFUNCTION("""COMPUTED_VALUE"""),45820.6458333333)</f>
        <v>45820.6458333333</v>
      </c>
      <c r="J55" s="17">
        <f>IFERROR(__xludf.DUMMYFUNCTION("""COMPUTED_VALUE"""),2530)</f>
        <v>2530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IFERROR(__xludf.DUMMYFUNCTION("""COMPUTED_VALUE"""),2507.9)</f>
        <v>2507.9</v>
      </c>
      <c r="C56" s="16">
        <f>IFERROR(__xludf.DUMMYFUNCTION("""COMPUTED_VALUE"""),45821.6458333333)</f>
        <v>45821.6458333333</v>
      </c>
      <c r="D56" s="17">
        <f>IFERROR(__xludf.DUMMYFUNCTION("""COMPUTED_VALUE"""),2498)</f>
        <v>2498</v>
      </c>
      <c r="E56" s="16">
        <f>IFERROR(__xludf.DUMMYFUNCTION("""COMPUTED_VALUE"""),45821.6458333333)</f>
        <v>45821.6458333333</v>
      </c>
      <c r="F56" s="17">
        <f>IFERROR(__xludf.DUMMYFUNCTION("""COMPUTED_VALUE"""),695869)</f>
        <v>695869</v>
      </c>
      <c r="G56" s="16">
        <f>IFERROR(__xludf.DUMMYFUNCTION("""COMPUTED_VALUE"""),45821.6458333333)</f>
        <v>45821.6458333333</v>
      </c>
      <c r="H56" s="17">
        <f>IFERROR(__xludf.DUMMYFUNCTION("""COMPUTED_VALUE"""),2516)</f>
        <v>2516</v>
      </c>
      <c r="I56" s="16">
        <f>IFERROR(__xludf.DUMMYFUNCTION("""COMPUTED_VALUE"""),45821.6458333333)</f>
        <v>45821.6458333333</v>
      </c>
      <c r="J56" s="17">
        <f>IFERROR(__xludf.DUMMYFUNCTION("""COMPUTED_VALUE"""),2460)</f>
        <v>2460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IFERROR(__xludf.DUMMYFUNCTION("""COMPUTED_VALUE"""),2544)</f>
        <v>2544</v>
      </c>
      <c r="C57" s="16">
        <f>IFERROR(__xludf.DUMMYFUNCTION("""COMPUTED_VALUE"""),45824.6458333333)</f>
        <v>45824.6458333333</v>
      </c>
      <c r="D57" s="17">
        <f>IFERROR(__xludf.DUMMYFUNCTION("""COMPUTED_VALUE"""),2500)</f>
        <v>2500</v>
      </c>
      <c r="E57" s="16">
        <f>IFERROR(__xludf.DUMMYFUNCTION("""COMPUTED_VALUE"""),45824.6458333333)</f>
        <v>45824.6458333333</v>
      </c>
      <c r="F57" s="17">
        <f>IFERROR(__xludf.DUMMYFUNCTION("""COMPUTED_VALUE"""),956459)</f>
        <v>956459</v>
      </c>
      <c r="G57" s="16">
        <f>IFERROR(__xludf.DUMMYFUNCTION("""COMPUTED_VALUE"""),45824.6458333333)</f>
        <v>45824.6458333333</v>
      </c>
      <c r="H57" s="17">
        <f>IFERROR(__xludf.DUMMYFUNCTION("""COMPUTED_VALUE"""),2563.3)</f>
        <v>2563.3</v>
      </c>
      <c r="I57" s="16">
        <f>IFERROR(__xludf.DUMMYFUNCTION("""COMPUTED_VALUE"""),45824.6458333333)</f>
        <v>45824.6458333333</v>
      </c>
      <c r="J57" s="17">
        <f>IFERROR(__xludf.DUMMYFUNCTION("""COMPUTED_VALUE"""),2462)</f>
        <v>2462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IFERROR(__xludf.DUMMYFUNCTION("""COMPUTED_VALUE"""),2488.5)</f>
        <v>2488.5</v>
      </c>
      <c r="C58" s="16">
        <f>IFERROR(__xludf.DUMMYFUNCTION("""COMPUTED_VALUE"""),45825.6458333333)</f>
        <v>45825.6458333333</v>
      </c>
      <c r="D58" s="17">
        <f>IFERROR(__xludf.DUMMYFUNCTION("""COMPUTED_VALUE"""),2535)</f>
        <v>2535</v>
      </c>
      <c r="E58" s="16">
        <f>IFERROR(__xludf.DUMMYFUNCTION("""COMPUTED_VALUE"""),45825.6458333333)</f>
        <v>45825.6458333333</v>
      </c>
      <c r="F58" s="17">
        <f>IFERROR(__xludf.DUMMYFUNCTION("""COMPUTED_VALUE"""),703343)</f>
        <v>703343</v>
      </c>
      <c r="G58" s="16">
        <f>IFERROR(__xludf.DUMMYFUNCTION("""COMPUTED_VALUE"""),45825.6458333333)</f>
        <v>45825.6458333333</v>
      </c>
      <c r="H58" s="17">
        <f>IFERROR(__xludf.DUMMYFUNCTION("""COMPUTED_VALUE"""),2539.6)</f>
        <v>2539.6</v>
      </c>
      <c r="I58" s="16">
        <f>IFERROR(__xludf.DUMMYFUNCTION("""COMPUTED_VALUE"""),45825.6458333333)</f>
        <v>45825.6458333333</v>
      </c>
      <c r="J58" s="17">
        <f>IFERROR(__xludf.DUMMYFUNCTION("""COMPUTED_VALUE"""),2479)</f>
        <v>2479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IFERROR(__xludf.DUMMYFUNCTION("""COMPUTED_VALUE"""),2459.1)</f>
        <v>2459.1</v>
      </c>
      <c r="C59" s="16">
        <f>IFERROR(__xludf.DUMMYFUNCTION("""COMPUTED_VALUE"""),45826.6458333333)</f>
        <v>45826.6458333333</v>
      </c>
      <c r="D59" s="17">
        <f>IFERROR(__xludf.DUMMYFUNCTION("""COMPUTED_VALUE"""),2491.9)</f>
        <v>2491.9</v>
      </c>
      <c r="E59" s="16">
        <f>IFERROR(__xludf.DUMMYFUNCTION("""COMPUTED_VALUE"""),45826.6458333333)</f>
        <v>45826.6458333333</v>
      </c>
      <c r="F59" s="17">
        <f>IFERROR(__xludf.DUMMYFUNCTION("""COMPUTED_VALUE"""),667044)</f>
        <v>667044</v>
      </c>
      <c r="G59" s="16">
        <f>IFERROR(__xludf.DUMMYFUNCTION("""COMPUTED_VALUE"""),45826.6458333333)</f>
        <v>45826.6458333333</v>
      </c>
      <c r="H59" s="17">
        <f>IFERROR(__xludf.DUMMYFUNCTION("""COMPUTED_VALUE"""),2495.9)</f>
        <v>2495.9</v>
      </c>
      <c r="I59" s="16">
        <f>IFERROR(__xludf.DUMMYFUNCTION("""COMPUTED_VALUE"""),45826.6458333333)</f>
        <v>45826.6458333333</v>
      </c>
      <c r="J59" s="17">
        <f>IFERROR(__xludf.DUMMYFUNCTION("""COMPUTED_VALUE"""),2445.4)</f>
        <v>2445.4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IFERROR(__xludf.DUMMYFUNCTION("""COMPUTED_VALUE"""),2420.6)</f>
        <v>2420.6</v>
      </c>
      <c r="C60" s="16">
        <f>IFERROR(__xludf.DUMMYFUNCTION("""COMPUTED_VALUE"""),45827.6458333333)</f>
        <v>45827.6458333333</v>
      </c>
      <c r="D60" s="17">
        <f>IFERROR(__xludf.DUMMYFUNCTION("""COMPUTED_VALUE"""),2466.3)</f>
        <v>2466.3</v>
      </c>
      <c r="E60" s="16">
        <f>IFERROR(__xludf.DUMMYFUNCTION("""COMPUTED_VALUE"""),45827.6458333333)</f>
        <v>45827.6458333333</v>
      </c>
      <c r="F60" s="17">
        <f>IFERROR(__xludf.DUMMYFUNCTION("""COMPUTED_VALUE"""),688209)</f>
        <v>688209</v>
      </c>
      <c r="G60" s="16">
        <f>IFERROR(__xludf.DUMMYFUNCTION("""COMPUTED_VALUE"""),45827.6458333333)</f>
        <v>45827.6458333333</v>
      </c>
      <c r="H60" s="17">
        <f>IFERROR(__xludf.DUMMYFUNCTION("""COMPUTED_VALUE"""),2468.9)</f>
        <v>2468.9</v>
      </c>
      <c r="I60" s="16">
        <f>IFERROR(__xludf.DUMMYFUNCTION("""COMPUTED_VALUE"""),45827.6458333333)</f>
        <v>45827.6458333333</v>
      </c>
      <c r="J60" s="17">
        <f>IFERROR(__xludf.DUMMYFUNCTION("""COMPUTED_VALUE"""),2405.1)</f>
        <v>2405.1</v>
      </c>
      <c r="K60" s="3">
        <f t="shared" si="2"/>
        <v>0</v>
      </c>
      <c r="L60" s="3">
        <f t="shared" si="3"/>
        <v>2420.6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IFERROR(__xludf.DUMMYFUNCTION("""COMPUTED_VALUE"""),2448.4)</f>
        <v>2448.4</v>
      </c>
      <c r="C61" s="16">
        <f>IFERROR(__xludf.DUMMYFUNCTION("""COMPUTED_VALUE"""),45828.6458333333)</f>
        <v>45828.6458333333</v>
      </c>
      <c r="D61" s="17">
        <f>IFERROR(__xludf.DUMMYFUNCTION("""COMPUTED_VALUE"""),2428)</f>
        <v>2428</v>
      </c>
      <c r="E61" s="16">
        <f>IFERROR(__xludf.DUMMYFUNCTION("""COMPUTED_VALUE"""),45828.6458333333)</f>
        <v>45828.6458333333</v>
      </c>
      <c r="F61" s="17">
        <f>IFERROR(__xludf.DUMMYFUNCTION("""COMPUTED_VALUE"""),3002549)</f>
        <v>3002549</v>
      </c>
      <c r="G61" s="16">
        <f>IFERROR(__xludf.DUMMYFUNCTION("""COMPUTED_VALUE"""),45828.6458333333)</f>
        <v>45828.6458333333</v>
      </c>
      <c r="H61" s="17">
        <f>IFERROR(__xludf.DUMMYFUNCTION("""COMPUTED_VALUE"""),2461.3)</f>
        <v>2461.3</v>
      </c>
      <c r="I61" s="16">
        <f>IFERROR(__xludf.DUMMYFUNCTION("""COMPUTED_VALUE"""),45828.6458333333)</f>
        <v>45828.6458333333</v>
      </c>
      <c r="J61" s="17">
        <f>IFERROR(__xludf.DUMMYFUNCTION("""COMPUTED_VALUE"""),2415)</f>
        <v>2415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IFERROR(__xludf.DUMMYFUNCTION("""COMPUTED_VALUE"""),2472)</f>
        <v>2472</v>
      </c>
      <c r="C62" s="16">
        <f>IFERROR(__xludf.DUMMYFUNCTION("""COMPUTED_VALUE"""),45831.6458333333)</f>
        <v>45831.6458333333</v>
      </c>
      <c r="D62" s="17">
        <f>IFERROR(__xludf.DUMMYFUNCTION("""COMPUTED_VALUE"""),2438)</f>
        <v>2438</v>
      </c>
      <c r="E62" s="16">
        <f>IFERROR(__xludf.DUMMYFUNCTION("""COMPUTED_VALUE"""),45831.6458333333)</f>
        <v>45831.6458333333</v>
      </c>
      <c r="F62" s="17">
        <f>IFERROR(__xludf.DUMMYFUNCTION("""COMPUTED_VALUE"""),790535)</f>
        <v>790535</v>
      </c>
      <c r="G62" s="16">
        <f>IFERROR(__xludf.DUMMYFUNCTION("""COMPUTED_VALUE"""),45831.6458333333)</f>
        <v>45831.6458333333</v>
      </c>
      <c r="H62" s="17">
        <f>IFERROR(__xludf.DUMMYFUNCTION("""COMPUTED_VALUE"""),2492.6)</f>
        <v>2492.6</v>
      </c>
      <c r="I62" s="16">
        <f>IFERROR(__xludf.DUMMYFUNCTION("""COMPUTED_VALUE"""),45831.6458333333)</f>
        <v>45831.6458333333</v>
      </c>
      <c r="J62" s="17">
        <f>IFERROR(__xludf.DUMMYFUNCTION("""COMPUTED_VALUE"""),2421)</f>
        <v>2421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IFERROR(__xludf.DUMMYFUNCTION("""COMPUTED_VALUE"""),2505.6)</f>
        <v>2505.6</v>
      </c>
      <c r="C63" s="16">
        <f>IFERROR(__xludf.DUMMYFUNCTION("""COMPUTED_VALUE"""),45832.6458333333)</f>
        <v>45832.6458333333</v>
      </c>
      <c r="D63" s="17">
        <f>IFERROR(__xludf.DUMMYFUNCTION("""COMPUTED_VALUE"""),2504)</f>
        <v>2504</v>
      </c>
      <c r="E63" s="16">
        <f>IFERROR(__xludf.DUMMYFUNCTION("""COMPUTED_VALUE"""),45832.6458333333)</f>
        <v>45832.6458333333</v>
      </c>
      <c r="F63" s="17">
        <f>IFERROR(__xludf.DUMMYFUNCTION("""COMPUTED_VALUE"""),996405)</f>
        <v>996405</v>
      </c>
      <c r="G63" s="16">
        <f>IFERROR(__xludf.DUMMYFUNCTION("""COMPUTED_VALUE"""),45832.6458333333)</f>
        <v>45832.6458333333</v>
      </c>
      <c r="H63" s="17">
        <f>IFERROR(__xludf.DUMMYFUNCTION("""COMPUTED_VALUE"""),2544.6)</f>
        <v>2544.6</v>
      </c>
      <c r="I63" s="16">
        <f>IFERROR(__xludf.DUMMYFUNCTION("""COMPUTED_VALUE"""),45832.6458333333)</f>
        <v>45832.6458333333</v>
      </c>
      <c r="J63" s="17">
        <f>IFERROR(__xludf.DUMMYFUNCTION("""COMPUTED_VALUE"""),2500.2)</f>
        <v>2500.2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IFERROR(__xludf.DUMMYFUNCTION("""COMPUTED_VALUE"""),2527.2)</f>
        <v>2527.2</v>
      </c>
      <c r="C64" s="16">
        <f>IFERROR(__xludf.DUMMYFUNCTION("""COMPUTED_VALUE"""),45833.6458333333)</f>
        <v>45833.6458333333</v>
      </c>
      <c r="D64" s="17">
        <f>IFERROR(__xludf.DUMMYFUNCTION("""COMPUTED_VALUE"""),2519.9)</f>
        <v>2519.9</v>
      </c>
      <c r="E64" s="16">
        <f>IFERROR(__xludf.DUMMYFUNCTION("""COMPUTED_VALUE"""),45833.6458333333)</f>
        <v>45833.6458333333</v>
      </c>
      <c r="F64" s="17">
        <f>IFERROR(__xludf.DUMMYFUNCTION("""COMPUTED_VALUE"""),921346)</f>
        <v>921346</v>
      </c>
      <c r="G64" s="16">
        <f>IFERROR(__xludf.DUMMYFUNCTION("""COMPUTED_VALUE"""),45833.6458333333)</f>
        <v>45833.6458333333</v>
      </c>
      <c r="H64" s="17">
        <f>IFERROR(__xludf.DUMMYFUNCTION("""COMPUTED_VALUE"""),2541.6)</f>
        <v>2541.6</v>
      </c>
      <c r="I64" s="16">
        <f>IFERROR(__xludf.DUMMYFUNCTION("""COMPUTED_VALUE"""),45833.6458333333)</f>
        <v>45833.6458333333</v>
      </c>
      <c r="J64" s="17">
        <f>IFERROR(__xludf.DUMMYFUNCTION("""COMPUTED_VALUE"""),2512.1)</f>
        <v>2512.1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IFERROR(__xludf.DUMMYFUNCTION("""COMPUTED_VALUE"""),2586.2)</f>
        <v>2586.2</v>
      </c>
      <c r="C65" s="16">
        <f>IFERROR(__xludf.DUMMYFUNCTION("""COMPUTED_VALUE"""),45834.6458333333)</f>
        <v>45834.6458333333</v>
      </c>
      <c r="D65" s="17">
        <f>IFERROR(__xludf.DUMMYFUNCTION("""COMPUTED_VALUE"""),2535)</f>
        <v>2535</v>
      </c>
      <c r="E65" s="16">
        <f>IFERROR(__xludf.DUMMYFUNCTION("""COMPUTED_VALUE"""),45834.6458333333)</f>
        <v>45834.6458333333</v>
      </c>
      <c r="F65" s="17">
        <f>IFERROR(__xludf.DUMMYFUNCTION("""COMPUTED_VALUE"""),1339627)</f>
        <v>1339627</v>
      </c>
      <c r="G65" s="16">
        <f>IFERROR(__xludf.DUMMYFUNCTION("""COMPUTED_VALUE"""),45834.6458333333)</f>
        <v>45834.6458333333</v>
      </c>
      <c r="H65" s="17">
        <f>IFERROR(__xludf.DUMMYFUNCTION("""COMPUTED_VALUE"""),2593.6)</f>
        <v>2593.6</v>
      </c>
      <c r="I65" s="16">
        <f>IFERROR(__xludf.DUMMYFUNCTION("""COMPUTED_VALUE"""),45834.6458333333)</f>
        <v>45834.6458333333</v>
      </c>
      <c r="J65" s="17">
        <f>IFERROR(__xludf.DUMMYFUNCTION("""COMPUTED_VALUE"""),2522.2)</f>
        <v>2522.2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IFERROR(__xludf.DUMMYFUNCTION("""COMPUTED_VALUE"""),2646.3)</f>
        <v>2646.3</v>
      </c>
      <c r="C66" s="16">
        <f>IFERROR(__xludf.DUMMYFUNCTION("""COMPUTED_VALUE"""),45835.6458333333)</f>
        <v>45835.6458333333</v>
      </c>
      <c r="D66" s="17">
        <f>IFERROR(__xludf.DUMMYFUNCTION("""COMPUTED_VALUE"""),2587.7)</f>
        <v>2587.7</v>
      </c>
      <c r="E66" s="16">
        <f>IFERROR(__xludf.DUMMYFUNCTION("""COMPUTED_VALUE"""),45835.6458333333)</f>
        <v>45835.6458333333</v>
      </c>
      <c r="F66" s="17">
        <f>IFERROR(__xludf.DUMMYFUNCTION("""COMPUTED_VALUE"""),4049316)</f>
        <v>4049316</v>
      </c>
      <c r="G66" s="16">
        <f>IFERROR(__xludf.DUMMYFUNCTION("""COMPUTED_VALUE"""),45835.6458333333)</f>
        <v>45835.6458333333</v>
      </c>
      <c r="H66" s="17">
        <f>IFERROR(__xludf.DUMMYFUNCTION("""COMPUTED_VALUE"""),2681.6)</f>
        <v>2681.6</v>
      </c>
      <c r="I66" s="16">
        <f>IFERROR(__xludf.DUMMYFUNCTION("""COMPUTED_VALUE"""),45835.6458333333)</f>
        <v>45835.6458333333</v>
      </c>
      <c r="J66" s="17">
        <f>IFERROR(__xludf.DUMMYFUNCTION("""COMPUTED_VALUE"""),2582)</f>
        <v>2582</v>
      </c>
      <c r="K66" s="3">
        <f t="shared" si="2"/>
        <v>2646.3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IFERROR(__xludf.DUMMYFUNCTION("""COMPUTED_VALUE"""),2619.4)</f>
        <v>2619.4</v>
      </c>
      <c r="C67" s="16">
        <f>IFERROR(__xludf.DUMMYFUNCTION("""COMPUTED_VALUE"""),45838.6458333333)</f>
        <v>45838.6458333333</v>
      </c>
      <c r="D67" s="17">
        <f>IFERROR(__xludf.DUMMYFUNCTION("""COMPUTED_VALUE"""),2650)</f>
        <v>2650</v>
      </c>
      <c r="E67" s="16">
        <f>IFERROR(__xludf.DUMMYFUNCTION("""COMPUTED_VALUE"""),45838.6458333333)</f>
        <v>45838.6458333333</v>
      </c>
      <c r="F67" s="17">
        <f>IFERROR(__xludf.DUMMYFUNCTION("""COMPUTED_VALUE"""),694815)</f>
        <v>694815</v>
      </c>
      <c r="G67" s="16">
        <f>IFERROR(__xludf.DUMMYFUNCTION("""COMPUTED_VALUE"""),45838.6458333333)</f>
        <v>45838.6458333333</v>
      </c>
      <c r="H67" s="17">
        <f>IFERROR(__xludf.DUMMYFUNCTION("""COMPUTED_VALUE"""),2653.9)</f>
        <v>2653.9</v>
      </c>
      <c r="I67" s="16">
        <f>IFERROR(__xludf.DUMMYFUNCTION("""COMPUTED_VALUE"""),45838.6458333333)</f>
        <v>45838.6458333333</v>
      </c>
      <c r="J67" s="17">
        <f>IFERROR(__xludf.DUMMYFUNCTION("""COMPUTED_VALUE"""),2605.9)</f>
        <v>2605.9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IFERROR(__xludf.DUMMYFUNCTION("""COMPUTED_VALUE"""),2621.8)</f>
        <v>2621.8</v>
      </c>
      <c r="C68" s="16">
        <f>IFERROR(__xludf.DUMMYFUNCTION("""COMPUTED_VALUE"""),45839.6458333333)</f>
        <v>45839.6458333333</v>
      </c>
      <c r="D68" s="17">
        <f>IFERROR(__xludf.DUMMYFUNCTION("""COMPUTED_VALUE"""),2624.9)</f>
        <v>2624.9</v>
      </c>
      <c r="E68" s="16">
        <f>IFERROR(__xludf.DUMMYFUNCTION("""COMPUTED_VALUE"""),45839.6458333333)</f>
        <v>45839.6458333333</v>
      </c>
      <c r="F68" s="17">
        <f>IFERROR(__xludf.DUMMYFUNCTION("""COMPUTED_VALUE"""),729197)</f>
        <v>729197</v>
      </c>
      <c r="G68" s="16">
        <f>IFERROR(__xludf.DUMMYFUNCTION("""COMPUTED_VALUE"""),45839.6458333333)</f>
        <v>45839.6458333333</v>
      </c>
      <c r="H68" s="17">
        <f>IFERROR(__xludf.DUMMYFUNCTION("""COMPUTED_VALUE"""),2645)</f>
        <v>2645</v>
      </c>
      <c r="I68" s="16">
        <f>IFERROR(__xludf.DUMMYFUNCTION("""COMPUTED_VALUE"""),45839.6458333333)</f>
        <v>45839.6458333333</v>
      </c>
      <c r="J68" s="17">
        <f>IFERROR(__xludf.DUMMYFUNCTION("""COMPUTED_VALUE"""),2603)</f>
        <v>2603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IFERROR(__xludf.DUMMYFUNCTION("""COMPUTED_VALUE"""),2630.2)</f>
        <v>2630.2</v>
      </c>
      <c r="C69" s="16">
        <f>IFERROR(__xludf.DUMMYFUNCTION("""COMPUTED_VALUE"""),45840.6458333333)</f>
        <v>45840.6458333333</v>
      </c>
      <c r="D69" s="17">
        <f>IFERROR(__xludf.DUMMYFUNCTION("""COMPUTED_VALUE"""),2634)</f>
        <v>2634</v>
      </c>
      <c r="E69" s="16">
        <f>IFERROR(__xludf.DUMMYFUNCTION("""COMPUTED_VALUE"""),45840.6458333333)</f>
        <v>45840.6458333333</v>
      </c>
      <c r="F69" s="17">
        <f>IFERROR(__xludf.DUMMYFUNCTION("""COMPUTED_VALUE"""),621409)</f>
        <v>621409</v>
      </c>
      <c r="G69" s="16">
        <f>IFERROR(__xludf.DUMMYFUNCTION("""COMPUTED_VALUE"""),45840.6458333333)</f>
        <v>45840.6458333333</v>
      </c>
      <c r="H69" s="17">
        <f>IFERROR(__xludf.DUMMYFUNCTION("""COMPUTED_VALUE"""),2646)</f>
        <v>2646</v>
      </c>
      <c r="I69" s="16">
        <f>IFERROR(__xludf.DUMMYFUNCTION("""COMPUTED_VALUE"""),45840.6458333333)</f>
        <v>45840.6458333333</v>
      </c>
      <c r="J69" s="17">
        <f>IFERROR(__xludf.DUMMYFUNCTION("""COMPUTED_VALUE"""),2613.6)</f>
        <v>2613.6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IFERROR(__xludf.DUMMYFUNCTION("""COMPUTED_VALUE"""),2611.2)</f>
        <v>2611.2</v>
      </c>
      <c r="C70" s="16">
        <f>IFERROR(__xludf.DUMMYFUNCTION("""COMPUTED_VALUE"""),45841.6458333333)</f>
        <v>45841.6458333333</v>
      </c>
      <c r="D70" s="17">
        <f>IFERROR(__xludf.DUMMYFUNCTION("""COMPUTED_VALUE"""),2634)</f>
        <v>2634</v>
      </c>
      <c r="E70" s="16">
        <f>IFERROR(__xludf.DUMMYFUNCTION("""COMPUTED_VALUE"""),45841.6458333333)</f>
        <v>45841.6458333333</v>
      </c>
      <c r="F70" s="17">
        <f>IFERROR(__xludf.DUMMYFUNCTION("""COMPUTED_VALUE"""),502724)</f>
        <v>502724</v>
      </c>
      <c r="G70" s="16">
        <f>IFERROR(__xludf.DUMMYFUNCTION("""COMPUTED_VALUE"""),45841.6458333333)</f>
        <v>45841.6458333333</v>
      </c>
      <c r="H70" s="17">
        <f>IFERROR(__xludf.DUMMYFUNCTION("""COMPUTED_VALUE"""),2644)</f>
        <v>2644</v>
      </c>
      <c r="I70" s="16">
        <f>IFERROR(__xludf.DUMMYFUNCTION("""COMPUTED_VALUE"""),45841.6458333333)</f>
        <v>45841.6458333333</v>
      </c>
      <c r="J70" s="17">
        <f>IFERROR(__xludf.DUMMYFUNCTION("""COMPUTED_VALUE"""),2605.1)</f>
        <v>2605.1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IFERROR(__xludf.DUMMYFUNCTION("""COMPUTED_VALUE"""),2599.1)</f>
        <v>2599.1</v>
      </c>
      <c r="C71" s="16">
        <f>IFERROR(__xludf.DUMMYFUNCTION("""COMPUTED_VALUE"""),45842.6458333333)</f>
        <v>45842.6458333333</v>
      </c>
      <c r="D71" s="17">
        <f>IFERROR(__xludf.DUMMYFUNCTION("""COMPUTED_VALUE"""),2617)</f>
        <v>2617</v>
      </c>
      <c r="E71" s="16">
        <f>IFERROR(__xludf.DUMMYFUNCTION("""COMPUTED_VALUE"""),45842.6458333333)</f>
        <v>45842.6458333333</v>
      </c>
      <c r="F71" s="17">
        <f>IFERROR(__xludf.DUMMYFUNCTION("""COMPUTED_VALUE"""),370305)</f>
        <v>370305</v>
      </c>
      <c r="G71" s="16">
        <f>IFERROR(__xludf.DUMMYFUNCTION("""COMPUTED_VALUE"""),45842.6458333333)</f>
        <v>45842.6458333333</v>
      </c>
      <c r="H71" s="17">
        <f>IFERROR(__xludf.DUMMYFUNCTION("""COMPUTED_VALUE"""),2617)</f>
        <v>2617</v>
      </c>
      <c r="I71" s="16">
        <f>IFERROR(__xludf.DUMMYFUNCTION("""COMPUTED_VALUE"""),45842.6458333333)</f>
        <v>45842.6458333333</v>
      </c>
      <c r="J71" s="17">
        <f>IFERROR(__xludf.DUMMYFUNCTION("""COMPUTED_VALUE"""),2582.2)</f>
        <v>2582.2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IFERROR(__xludf.DUMMYFUNCTION("""COMPUTED_VALUE"""),2576.1)</f>
        <v>2576.1</v>
      </c>
      <c r="C72" s="16">
        <f>IFERROR(__xludf.DUMMYFUNCTION("""COMPUTED_VALUE"""),45845.6458333333)</f>
        <v>45845.6458333333</v>
      </c>
      <c r="D72" s="17">
        <f>IFERROR(__xludf.DUMMYFUNCTION("""COMPUTED_VALUE"""),2602)</f>
        <v>2602</v>
      </c>
      <c r="E72" s="16">
        <f>IFERROR(__xludf.DUMMYFUNCTION("""COMPUTED_VALUE"""),45845.6458333333)</f>
        <v>45845.6458333333</v>
      </c>
      <c r="F72" s="17">
        <f>IFERROR(__xludf.DUMMYFUNCTION("""COMPUTED_VALUE"""),412159)</f>
        <v>412159</v>
      </c>
      <c r="G72" s="16">
        <f>IFERROR(__xludf.DUMMYFUNCTION("""COMPUTED_VALUE"""),45845.6458333333)</f>
        <v>45845.6458333333</v>
      </c>
      <c r="H72" s="17">
        <f>IFERROR(__xludf.DUMMYFUNCTION("""COMPUTED_VALUE"""),2605.4)</f>
        <v>2605.4</v>
      </c>
      <c r="I72" s="16">
        <f>IFERROR(__xludf.DUMMYFUNCTION("""COMPUTED_VALUE"""),45845.6458333333)</f>
        <v>45845.6458333333</v>
      </c>
      <c r="J72" s="17">
        <f>IFERROR(__xludf.DUMMYFUNCTION("""COMPUTED_VALUE"""),2572)</f>
        <v>2572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IFERROR(__xludf.DUMMYFUNCTION("""COMPUTED_VALUE"""),2591.3)</f>
        <v>2591.3</v>
      </c>
      <c r="C73" s="16">
        <f>IFERROR(__xludf.DUMMYFUNCTION("""COMPUTED_VALUE"""),45846.6458333333)</f>
        <v>45846.6458333333</v>
      </c>
      <c r="D73" s="17">
        <f>IFERROR(__xludf.DUMMYFUNCTION("""COMPUTED_VALUE"""),2586)</f>
        <v>2586</v>
      </c>
      <c r="E73" s="16">
        <f>IFERROR(__xludf.DUMMYFUNCTION("""COMPUTED_VALUE"""),45846.6458333333)</f>
        <v>45846.6458333333</v>
      </c>
      <c r="F73" s="17">
        <f>IFERROR(__xludf.DUMMYFUNCTION("""COMPUTED_VALUE"""),357701)</f>
        <v>357701</v>
      </c>
      <c r="G73" s="16">
        <f>IFERROR(__xludf.DUMMYFUNCTION("""COMPUTED_VALUE"""),45846.6458333333)</f>
        <v>45846.6458333333</v>
      </c>
      <c r="H73" s="17">
        <f>IFERROR(__xludf.DUMMYFUNCTION("""COMPUTED_VALUE"""),2600)</f>
        <v>2600</v>
      </c>
      <c r="I73" s="16">
        <f>IFERROR(__xludf.DUMMYFUNCTION("""COMPUTED_VALUE"""),45846.6458333333)</f>
        <v>45846.6458333333</v>
      </c>
      <c r="J73" s="17">
        <f>IFERROR(__xludf.DUMMYFUNCTION("""COMPUTED_VALUE"""),2573)</f>
        <v>2573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IFERROR(__xludf.DUMMYFUNCTION("""COMPUTED_VALUE"""),2583)</f>
        <v>2583</v>
      </c>
      <c r="C74" s="16">
        <f>IFERROR(__xludf.DUMMYFUNCTION("""COMPUTED_VALUE"""),45847.6458333333)</f>
        <v>45847.6458333333</v>
      </c>
      <c r="D74" s="17">
        <f>IFERROR(__xludf.DUMMYFUNCTION("""COMPUTED_VALUE"""),2599)</f>
        <v>2599</v>
      </c>
      <c r="E74" s="16">
        <f>IFERROR(__xludf.DUMMYFUNCTION("""COMPUTED_VALUE"""),45847.6458333333)</f>
        <v>45847.6458333333</v>
      </c>
      <c r="F74" s="17">
        <f>IFERROR(__xludf.DUMMYFUNCTION("""COMPUTED_VALUE"""),396880)</f>
        <v>396880</v>
      </c>
      <c r="G74" s="16">
        <f>IFERROR(__xludf.DUMMYFUNCTION("""COMPUTED_VALUE"""),45847.6458333333)</f>
        <v>45847.6458333333</v>
      </c>
      <c r="H74" s="17">
        <f>IFERROR(__xludf.DUMMYFUNCTION("""COMPUTED_VALUE"""),2609.9)</f>
        <v>2609.9</v>
      </c>
      <c r="I74" s="16">
        <f>IFERROR(__xludf.DUMMYFUNCTION("""COMPUTED_VALUE"""),45847.6458333333)</f>
        <v>45847.6458333333</v>
      </c>
      <c r="J74" s="17">
        <f>IFERROR(__xludf.DUMMYFUNCTION("""COMPUTED_VALUE"""),2570)</f>
        <v>2570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IFERROR(__xludf.DUMMYFUNCTION("""COMPUTED_VALUE"""),2581)</f>
        <v>2581</v>
      </c>
      <c r="C75" s="16">
        <f>IFERROR(__xludf.DUMMYFUNCTION("""COMPUTED_VALUE"""),45848.6458333333)</f>
        <v>45848.6458333333</v>
      </c>
      <c r="D75" s="17">
        <f>IFERROR(__xludf.DUMMYFUNCTION("""COMPUTED_VALUE"""),2591)</f>
        <v>2591</v>
      </c>
      <c r="E75" s="16">
        <f>IFERROR(__xludf.DUMMYFUNCTION("""COMPUTED_VALUE"""),45848.6458333333)</f>
        <v>45848.6458333333</v>
      </c>
      <c r="F75" s="17">
        <f>IFERROR(__xludf.DUMMYFUNCTION("""COMPUTED_VALUE"""),306565)</f>
        <v>306565</v>
      </c>
      <c r="G75" s="16">
        <f>IFERROR(__xludf.DUMMYFUNCTION("""COMPUTED_VALUE"""),45848.6458333333)</f>
        <v>45848.6458333333</v>
      </c>
      <c r="H75" s="17">
        <f>IFERROR(__xludf.DUMMYFUNCTION("""COMPUTED_VALUE"""),2604)</f>
        <v>2604</v>
      </c>
      <c r="I75" s="16">
        <f>IFERROR(__xludf.DUMMYFUNCTION("""COMPUTED_VALUE"""),45848.6458333333)</f>
        <v>45848.6458333333</v>
      </c>
      <c r="J75" s="17">
        <f>IFERROR(__xludf.DUMMYFUNCTION("""COMPUTED_VALUE"""),2575)</f>
        <v>2575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IFERROR(__xludf.DUMMYFUNCTION("""COMPUTED_VALUE"""),2558.7)</f>
        <v>2558.7</v>
      </c>
      <c r="C76" s="16">
        <f>IFERROR(__xludf.DUMMYFUNCTION("""COMPUTED_VALUE"""),45849.6458333333)</f>
        <v>45849.6458333333</v>
      </c>
      <c r="D76" s="17">
        <f>IFERROR(__xludf.DUMMYFUNCTION("""COMPUTED_VALUE"""),2575)</f>
        <v>2575</v>
      </c>
      <c r="E76" s="16">
        <f>IFERROR(__xludf.DUMMYFUNCTION("""COMPUTED_VALUE"""),45849.6458333333)</f>
        <v>45849.6458333333</v>
      </c>
      <c r="F76" s="17">
        <f>IFERROR(__xludf.DUMMYFUNCTION("""COMPUTED_VALUE"""),390645)</f>
        <v>390645</v>
      </c>
      <c r="G76" s="16">
        <f>IFERROR(__xludf.DUMMYFUNCTION("""COMPUTED_VALUE"""),45849.6458333333)</f>
        <v>45849.6458333333</v>
      </c>
      <c r="H76" s="17">
        <f>IFERROR(__xludf.DUMMYFUNCTION("""COMPUTED_VALUE"""),2591.9)</f>
        <v>2591.9</v>
      </c>
      <c r="I76" s="16">
        <f>IFERROR(__xludf.DUMMYFUNCTION("""COMPUTED_VALUE"""),45849.6458333333)</f>
        <v>45849.6458333333</v>
      </c>
      <c r="J76" s="17">
        <f>IFERROR(__xludf.DUMMYFUNCTION("""COMPUTED_VALUE"""),2551.9)</f>
        <v>2551.9</v>
      </c>
      <c r="K76" s="3">
        <f t="shared" si="2"/>
        <v>0</v>
      </c>
      <c r="L76" s="3">
        <f t="shared" si="3"/>
        <v>2558.7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IFERROR(__xludf.DUMMYFUNCTION("""COMPUTED_VALUE"""),2581.3)</f>
        <v>2581.3</v>
      </c>
      <c r="C77" s="16">
        <f>IFERROR(__xludf.DUMMYFUNCTION("""COMPUTED_VALUE"""),45852.6458333333)</f>
        <v>45852.6458333333</v>
      </c>
      <c r="D77" s="17">
        <f>IFERROR(__xludf.DUMMYFUNCTION("""COMPUTED_VALUE"""),2555)</f>
        <v>2555</v>
      </c>
      <c r="E77" s="16">
        <f>IFERROR(__xludf.DUMMYFUNCTION("""COMPUTED_VALUE"""),45852.6458333333)</f>
        <v>45852.6458333333</v>
      </c>
      <c r="F77" s="17">
        <f>IFERROR(__xludf.DUMMYFUNCTION("""COMPUTED_VALUE"""),536585)</f>
        <v>536585</v>
      </c>
      <c r="G77" s="16">
        <f>IFERROR(__xludf.DUMMYFUNCTION("""COMPUTED_VALUE"""),45852.6458333333)</f>
        <v>45852.6458333333</v>
      </c>
      <c r="H77" s="17">
        <f>IFERROR(__xludf.DUMMYFUNCTION("""COMPUTED_VALUE"""),2604.8)</f>
        <v>2604.8</v>
      </c>
      <c r="I77" s="16">
        <f>IFERROR(__xludf.DUMMYFUNCTION("""COMPUTED_VALUE"""),45852.6458333333)</f>
        <v>45852.6458333333</v>
      </c>
      <c r="J77" s="17">
        <f>IFERROR(__xludf.DUMMYFUNCTION("""COMPUTED_VALUE"""),2543.5)</f>
        <v>2543.5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IFERROR(__xludf.DUMMYFUNCTION("""COMPUTED_VALUE"""),2598.2)</f>
        <v>2598.2</v>
      </c>
      <c r="C78" s="16">
        <f>IFERROR(__xludf.DUMMYFUNCTION("""COMPUTED_VALUE"""),45853.6458333333)</f>
        <v>45853.6458333333</v>
      </c>
      <c r="D78" s="17">
        <f>IFERROR(__xludf.DUMMYFUNCTION("""COMPUTED_VALUE"""),2588)</f>
        <v>2588</v>
      </c>
      <c r="E78" s="16">
        <f>IFERROR(__xludf.DUMMYFUNCTION("""COMPUTED_VALUE"""),45853.6458333333)</f>
        <v>45853.6458333333</v>
      </c>
      <c r="F78" s="17">
        <f>IFERROR(__xludf.DUMMYFUNCTION("""COMPUTED_VALUE"""),379425)</f>
        <v>379425</v>
      </c>
      <c r="G78" s="16">
        <f>IFERROR(__xludf.DUMMYFUNCTION("""COMPUTED_VALUE"""),45853.6458333333)</f>
        <v>45853.6458333333</v>
      </c>
      <c r="H78" s="17">
        <f>IFERROR(__xludf.DUMMYFUNCTION("""COMPUTED_VALUE"""),2606.9)</f>
        <v>2606.9</v>
      </c>
      <c r="I78" s="16">
        <f>IFERROR(__xludf.DUMMYFUNCTION("""COMPUTED_VALUE"""),45853.6458333333)</f>
        <v>45853.6458333333</v>
      </c>
      <c r="J78" s="17">
        <f>IFERROR(__xludf.DUMMYFUNCTION("""COMPUTED_VALUE"""),2576)</f>
        <v>2576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IFERROR(__xludf.DUMMYFUNCTION("""COMPUTED_VALUE"""),2608.5)</f>
        <v>2608.5</v>
      </c>
      <c r="C79" s="16">
        <f>IFERROR(__xludf.DUMMYFUNCTION("""COMPUTED_VALUE"""),45854.6458333333)</f>
        <v>45854.6458333333</v>
      </c>
      <c r="D79" s="17">
        <f>IFERROR(__xludf.DUMMYFUNCTION("""COMPUTED_VALUE"""),2602.5)</f>
        <v>2602.5</v>
      </c>
      <c r="E79" s="16">
        <f>IFERROR(__xludf.DUMMYFUNCTION("""COMPUTED_VALUE"""),45854.6458333333)</f>
        <v>45854.6458333333</v>
      </c>
      <c r="F79" s="17">
        <f>IFERROR(__xludf.DUMMYFUNCTION("""COMPUTED_VALUE"""),686644)</f>
        <v>686644</v>
      </c>
      <c r="G79" s="16">
        <f>IFERROR(__xludf.DUMMYFUNCTION("""COMPUTED_VALUE"""),45854.6458333333)</f>
        <v>45854.6458333333</v>
      </c>
      <c r="H79" s="17">
        <f>IFERROR(__xludf.DUMMYFUNCTION("""COMPUTED_VALUE"""),2619.5)</f>
        <v>2619.5</v>
      </c>
      <c r="I79" s="16">
        <f>IFERROR(__xludf.DUMMYFUNCTION("""COMPUTED_VALUE"""),45854.6458333333)</f>
        <v>45854.6458333333</v>
      </c>
      <c r="J79" s="17">
        <f>IFERROR(__xludf.DUMMYFUNCTION("""COMPUTED_VALUE"""),2595.5)</f>
        <v>2595.5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IFERROR(__xludf.DUMMYFUNCTION("""COMPUTED_VALUE"""),2616.6)</f>
        <v>2616.6</v>
      </c>
      <c r="C80" s="16">
        <f>IFERROR(__xludf.DUMMYFUNCTION("""COMPUTED_VALUE"""),45855.6458333333)</f>
        <v>45855.6458333333</v>
      </c>
      <c r="D80" s="17">
        <f>IFERROR(__xludf.DUMMYFUNCTION("""COMPUTED_VALUE"""),2612)</f>
        <v>2612</v>
      </c>
      <c r="E80" s="16">
        <f>IFERROR(__xludf.DUMMYFUNCTION("""COMPUTED_VALUE"""),45855.6458333333)</f>
        <v>45855.6458333333</v>
      </c>
      <c r="F80" s="17">
        <f>IFERROR(__xludf.DUMMYFUNCTION("""COMPUTED_VALUE"""),785771)</f>
        <v>785771</v>
      </c>
      <c r="G80" s="16">
        <f>IFERROR(__xludf.DUMMYFUNCTION("""COMPUTED_VALUE"""),45855.6458333333)</f>
        <v>45855.6458333333</v>
      </c>
      <c r="H80" s="17">
        <f>IFERROR(__xludf.DUMMYFUNCTION("""COMPUTED_VALUE"""),2654.5)</f>
        <v>2654.5</v>
      </c>
      <c r="I80" s="16">
        <f>IFERROR(__xludf.DUMMYFUNCTION("""COMPUTED_VALUE"""),45855.6458333333)</f>
        <v>45855.6458333333</v>
      </c>
      <c r="J80" s="17">
        <f>IFERROR(__xludf.DUMMYFUNCTION("""COMPUTED_VALUE"""),2605.3)</f>
        <v>2605.3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IFERROR(__xludf.DUMMYFUNCTION("""COMPUTED_VALUE"""),2596.1)</f>
        <v>2596.1</v>
      </c>
      <c r="C81" s="16">
        <f>IFERROR(__xludf.DUMMYFUNCTION("""COMPUTED_VALUE"""),45856.6458333333)</f>
        <v>45856.6458333333</v>
      </c>
      <c r="D81" s="17">
        <f>IFERROR(__xludf.DUMMYFUNCTION("""COMPUTED_VALUE"""),2612)</f>
        <v>2612</v>
      </c>
      <c r="E81" s="16">
        <f>IFERROR(__xludf.DUMMYFUNCTION("""COMPUTED_VALUE"""),45856.6458333333)</f>
        <v>45856.6458333333</v>
      </c>
      <c r="F81" s="17">
        <f>IFERROR(__xludf.DUMMYFUNCTION("""COMPUTED_VALUE"""),479942)</f>
        <v>479942</v>
      </c>
      <c r="G81" s="16">
        <f>IFERROR(__xludf.DUMMYFUNCTION("""COMPUTED_VALUE"""),45856.6458333333)</f>
        <v>45856.6458333333</v>
      </c>
      <c r="H81" s="17">
        <f>IFERROR(__xludf.DUMMYFUNCTION("""COMPUTED_VALUE"""),2626.7)</f>
        <v>2626.7</v>
      </c>
      <c r="I81" s="16">
        <f>IFERROR(__xludf.DUMMYFUNCTION("""COMPUTED_VALUE"""),45856.6458333333)</f>
        <v>45856.6458333333</v>
      </c>
      <c r="J81" s="17">
        <f>IFERROR(__xludf.DUMMYFUNCTION("""COMPUTED_VALUE"""),2584.2)</f>
        <v>2584.2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IFERROR(__xludf.DUMMYFUNCTION("""COMPUTED_VALUE"""),2619.5)</f>
        <v>2619.5</v>
      </c>
      <c r="C82" s="16">
        <f>IFERROR(__xludf.DUMMYFUNCTION("""COMPUTED_VALUE"""),45859.6458333333)</f>
        <v>45859.6458333333</v>
      </c>
      <c r="D82" s="17">
        <f>IFERROR(__xludf.DUMMYFUNCTION("""COMPUTED_VALUE"""),2596.3)</f>
        <v>2596.3</v>
      </c>
      <c r="E82" s="16">
        <f>IFERROR(__xludf.DUMMYFUNCTION("""COMPUTED_VALUE"""),45859.6458333333)</f>
        <v>45859.6458333333</v>
      </c>
      <c r="F82" s="17">
        <f>IFERROR(__xludf.DUMMYFUNCTION("""COMPUTED_VALUE"""),369782)</f>
        <v>369782</v>
      </c>
      <c r="G82" s="16">
        <f>IFERROR(__xludf.DUMMYFUNCTION("""COMPUTED_VALUE"""),45859.6458333333)</f>
        <v>45859.6458333333</v>
      </c>
      <c r="H82" s="17">
        <f>IFERROR(__xludf.DUMMYFUNCTION("""COMPUTED_VALUE"""),2624.9)</f>
        <v>2624.9</v>
      </c>
      <c r="I82" s="16">
        <f>IFERROR(__xludf.DUMMYFUNCTION("""COMPUTED_VALUE"""),45859.6458333333)</f>
        <v>45859.6458333333</v>
      </c>
      <c r="J82" s="17">
        <f>IFERROR(__xludf.DUMMYFUNCTION("""COMPUTED_VALUE"""),2585)</f>
        <v>2585</v>
      </c>
      <c r="K82" s="3">
        <f t="shared" si="2"/>
        <v>2619.5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IFERROR(__xludf.DUMMYFUNCTION("""COMPUTED_VALUE"""),2587.8)</f>
        <v>2587.8</v>
      </c>
      <c r="C83" s="16">
        <f>IFERROR(__xludf.DUMMYFUNCTION("""COMPUTED_VALUE"""),45860.6458333333)</f>
        <v>45860.6458333333</v>
      </c>
      <c r="D83" s="17">
        <f>IFERROR(__xludf.DUMMYFUNCTION("""COMPUTED_VALUE"""),2626)</f>
        <v>2626</v>
      </c>
      <c r="E83" s="16">
        <f>IFERROR(__xludf.DUMMYFUNCTION("""COMPUTED_VALUE"""),45860.6458333333)</f>
        <v>45860.6458333333</v>
      </c>
      <c r="F83" s="17">
        <f>IFERROR(__xludf.DUMMYFUNCTION("""COMPUTED_VALUE"""),387055)</f>
        <v>387055</v>
      </c>
      <c r="G83" s="16">
        <f>IFERROR(__xludf.DUMMYFUNCTION("""COMPUTED_VALUE"""),45860.6458333333)</f>
        <v>45860.6458333333</v>
      </c>
      <c r="H83" s="17">
        <f>IFERROR(__xludf.DUMMYFUNCTION("""COMPUTED_VALUE"""),2630)</f>
        <v>2630</v>
      </c>
      <c r="I83" s="16">
        <f>IFERROR(__xludf.DUMMYFUNCTION("""COMPUTED_VALUE"""),45860.6458333333)</f>
        <v>45860.6458333333</v>
      </c>
      <c r="J83" s="17">
        <f>IFERROR(__xludf.DUMMYFUNCTION("""COMPUTED_VALUE"""),2581.6)</f>
        <v>2581.6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IFERROR(__xludf.DUMMYFUNCTION("""COMPUTED_VALUE"""),2614.5)</f>
        <v>2614.5</v>
      </c>
      <c r="C84" s="16">
        <f>IFERROR(__xludf.DUMMYFUNCTION("""COMPUTED_VALUE"""),45861.6458333333)</f>
        <v>45861.6458333333</v>
      </c>
      <c r="D84" s="17">
        <f>IFERROR(__xludf.DUMMYFUNCTION("""COMPUTED_VALUE"""),2600.7)</f>
        <v>2600.7</v>
      </c>
      <c r="E84" s="16">
        <f>IFERROR(__xludf.DUMMYFUNCTION("""COMPUTED_VALUE"""),45861.6458333333)</f>
        <v>45861.6458333333</v>
      </c>
      <c r="F84" s="17">
        <f>IFERROR(__xludf.DUMMYFUNCTION("""COMPUTED_VALUE"""),316424)</f>
        <v>316424</v>
      </c>
      <c r="G84" s="16">
        <f>IFERROR(__xludf.DUMMYFUNCTION("""COMPUTED_VALUE"""),45861.6458333333)</f>
        <v>45861.6458333333</v>
      </c>
      <c r="H84" s="17">
        <f>IFERROR(__xludf.DUMMYFUNCTION("""COMPUTED_VALUE"""),2625.9)</f>
        <v>2625.9</v>
      </c>
      <c r="I84" s="16">
        <f>IFERROR(__xludf.DUMMYFUNCTION("""COMPUTED_VALUE"""),45861.6458333333)</f>
        <v>45861.6458333333</v>
      </c>
      <c r="J84" s="17">
        <f>IFERROR(__xludf.DUMMYFUNCTION("""COMPUTED_VALUE"""),2593.5)</f>
        <v>2593.5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IFERROR(__xludf.DUMMYFUNCTION("""COMPUTED_VALUE"""),2608.4)</f>
        <v>2608.4</v>
      </c>
      <c r="C85" s="16">
        <f>IFERROR(__xludf.DUMMYFUNCTION("""COMPUTED_VALUE"""),45862.6458333333)</f>
        <v>45862.6458333333</v>
      </c>
      <c r="D85" s="17">
        <f>IFERROR(__xludf.DUMMYFUNCTION("""COMPUTED_VALUE"""),2615.4)</f>
        <v>2615.4</v>
      </c>
      <c r="E85" s="16">
        <f>IFERROR(__xludf.DUMMYFUNCTION("""COMPUTED_VALUE"""),45862.6458333333)</f>
        <v>45862.6458333333</v>
      </c>
      <c r="F85" s="17">
        <f>IFERROR(__xludf.DUMMYFUNCTION("""COMPUTED_VALUE"""),253782)</f>
        <v>253782</v>
      </c>
      <c r="G85" s="16">
        <f>IFERROR(__xludf.DUMMYFUNCTION("""COMPUTED_VALUE"""),45862.6458333333)</f>
        <v>45862.6458333333</v>
      </c>
      <c r="H85" s="17">
        <f>IFERROR(__xludf.DUMMYFUNCTION("""COMPUTED_VALUE"""),2624.2)</f>
        <v>2624.2</v>
      </c>
      <c r="I85" s="16">
        <f>IFERROR(__xludf.DUMMYFUNCTION("""COMPUTED_VALUE"""),45862.6458333333)</f>
        <v>45862.6458333333</v>
      </c>
      <c r="J85" s="17">
        <f>IFERROR(__xludf.DUMMYFUNCTION("""COMPUTED_VALUE"""),2595)</f>
        <v>2595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IFERROR(__xludf.DUMMYFUNCTION("""COMPUTED_VALUE"""),2550.1)</f>
        <v>2550.1</v>
      </c>
      <c r="C86" s="16">
        <f>IFERROR(__xludf.DUMMYFUNCTION("""COMPUTED_VALUE"""),45863.6458333333)</f>
        <v>45863.6458333333</v>
      </c>
      <c r="D86" s="17">
        <f>IFERROR(__xludf.DUMMYFUNCTION("""COMPUTED_VALUE"""),2605)</f>
        <v>2605</v>
      </c>
      <c r="E86" s="16">
        <f>IFERROR(__xludf.DUMMYFUNCTION("""COMPUTED_VALUE"""),45863.6458333333)</f>
        <v>45863.6458333333</v>
      </c>
      <c r="F86" s="17">
        <f>IFERROR(__xludf.DUMMYFUNCTION("""COMPUTED_VALUE"""),424612)</f>
        <v>424612</v>
      </c>
      <c r="G86" s="16">
        <f>IFERROR(__xludf.DUMMYFUNCTION("""COMPUTED_VALUE"""),45863.6458333333)</f>
        <v>45863.6458333333</v>
      </c>
      <c r="H86" s="17">
        <f>IFERROR(__xludf.DUMMYFUNCTION("""COMPUTED_VALUE"""),2617)</f>
        <v>2617</v>
      </c>
      <c r="I86" s="16">
        <f>IFERROR(__xludf.DUMMYFUNCTION("""COMPUTED_VALUE"""),45863.6458333333)</f>
        <v>45863.6458333333</v>
      </c>
      <c r="J86" s="17">
        <f>IFERROR(__xludf.DUMMYFUNCTION("""COMPUTED_VALUE"""),2544.1)</f>
        <v>2544.1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IFERROR(__xludf.DUMMYFUNCTION("""COMPUTED_VALUE"""),2522.3)</f>
        <v>2522.3</v>
      </c>
      <c r="C87" s="16">
        <f>IFERROR(__xludf.DUMMYFUNCTION("""COMPUTED_VALUE"""),45866.6458333333)</f>
        <v>45866.6458333333</v>
      </c>
      <c r="D87" s="17">
        <f>IFERROR(__xludf.DUMMYFUNCTION("""COMPUTED_VALUE"""),2549)</f>
        <v>2549</v>
      </c>
      <c r="E87" s="16">
        <f>IFERROR(__xludf.DUMMYFUNCTION("""COMPUTED_VALUE"""),45866.6458333333)</f>
        <v>45866.6458333333</v>
      </c>
      <c r="F87" s="17">
        <f>IFERROR(__xludf.DUMMYFUNCTION("""COMPUTED_VALUE"""),428409)</f>
        <v>428409</v>
      </c>
      <c r="G87" s="16">
        <f>IFERROR(__xludf.DUMMYFUNCTION("""COMPUTED_VALUE"""),45866.6458333333)</f>
        <v>45866.6458333333</v>
      </c>
      <c r="H87" s="17">
        <f>IFERROR(__xludf.DUMMYFUNCTION("""COMPUTED_VALUE"""),2585)</f>
        <v>2585</v>
      </c>
      <c r="I87" s="16">
        <f>IFERROR(__xludf.DUMMYFUNCTION("""COMPUTED_VALUE"""),45866.6458333333)</f>
        <v>45866.6458333333</v>
      </c>
      <c r="J87" s="17">
        <f>IFERROR(__xludf.DUMMYFUNCTION("""COMPUTED_VALUE"""),2512.6)</f>
        <v>2512.6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IFERROR(__xludf.DUMMYFUNCTION("""COMPUTED_VALUE"""),2547.9)</f>
        <v>2547.9</v>
      </c>
      <c r="C88" s="16">
        <f>IFERROR(__xludf.DUMMYFUNCTION("""COMPUTED_VALUE"""),45867.6458333333)</f>
        <v>45867.6458333333</v>
      </c>
      <c r="D88" s="17">
        <f>IFERROR(__xludf.DUMMYFUNCTION("""COMPUTED_VALUE"""),2529)</f>
        <v>2529</v>
      </c>
      <c r="E88" s="16">
        <f>IFERROR(__xludf.DUMMYFUNCTION("""COMPUTED_VALUE"""),45867.6458333333)</f>
        <v>45867.6458333333</v>
      </c>
      <c r="F88" s="17">
        <f>IFERROR(__xludf.DUMMYFUNCTION("""COMPUTED_VALUE"""),424781)</f>
        <v>424781</v>
      </c>
      <c r="G88" s="16">
        <f>IFERROR(__xludf.DUMMYFUNCTION("""COMPUTED_VALUE"""),45867.6458333333)</f>
        <v>45867.6458333333</v>
      </c>
      <c r="H88" s="17">
        <f>IFERROR(__xludf.DUMMYFUNCTION("""COMPUTED_VALUE"""),2557.4)</f>
        <v>2557.4</v>
      </c>
      <c r="I88" s="16">
        <f>IFERROR(__xludf.DUMMYFUNCTION("""COMPUTED_VALUE"""),45867.6458333333)</f>
        <v>45867.6458333333</v>
      </c>
      <c r="J88" s="17">
        <f>IFERROR(__xludf.DUMMYFUNCTION("""COMPUTED_VALUE"""),2507.5)</f>
        <v>2507.5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IFERROR(__xludf.DUMMYFUNCTION("""COMPUTED_VALUE"""),2532.9)</f>
        <v>2532.9</v>
      </c>
      <c r="C89" s="16">
        <f>IFERROR(__xludf.DUMMYFUNCTION("""COMPUTED_VALUE"""),45868.6458333333)</f>
        <v>45868.6458333333</v>
      </c>
      <c r="D89" s="17">
        <f>IFERROR(__xludf.DUMMYFUNCTION("""COMPUTED_VALUE"""),2547.9)</f>
        <v>2547.9</v>
      </c>
      <c r="E89" s="16">
        <f>IFERROR(__xludf.DUMMYFUNCTION("""COMPUTED_VALUE"""),45868.6458333333)</f>
        <v>45868.6458333333</v>
      </c>
      <c r="F89" s="17">
        <f>IFERROR(__xludf.DUMMYFUNCTION("""COMPUTED_VALUE"""),262063)</f>
        <v>262063</v>
      </c>
      <c r="G89" s="16">
        <f>IFERROR(__xludf.DUMMYFUNCTION("""COMPUTED_VALUE"""),45868.6458333333)</f>
        <v>45868.6458333333</v>
      </c>
      <c r="H89" s="17">
        <f>IFERROR(__xludf.DUMMYFUNCTION("""COMPUTED_VALUE"""),2552.6)</f>
        <v>2552.6</v>
      </c>
      <c r="I89" s="16">
        <f>IFERROR(__xludf.DUMMYFUNCTION("""COMPUTED_VALUE"""),45868.6458333333)</f>
        <v>45868.6458333333</v>
      </c>
      <c r="J89" s="17">
        <f>IFERROR(__xludf.DUMMYFUNCTION("""COMPUTED_VALUE"""),2525)</f>
        <v>2525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IFERROR(__xludf.DUMMYFUNCTION("""COMPUTED_VALUE"""),2430.7)</f>
        <v>2430.7</v>
      </c>
      <c r="C90" s="16">
        <f>IFERROR(__xludf.DUMMYFUNCTION("""COMPUTED_VALUE"""),45869.6458333333)</f>
        <v>45869.6458333333</v>
      </c>
      <c r="D90" s="17">
        <f>IFERROR(__xludf.DUMMYFUNCTION("""COMPUTED_VALUE"""),2509.9)</f>
        <v>2509.9</v>
      </c>
      <c r="E90" s="16">
        <f>IFERROR(__xludf.DUMMYFUNCTION("""COMPUTED_VALUE"""),45869.6458333333)</f>
        <v>45869.6458333333</v>
      </c>
      <c r="F90" s="17">
        <f>IFERROR(__xludf.DUMMYFUNCTION("""COMPUTED_VALUE"""),1457616)</f>
        <v>1457616</v>
      </c>
      <c r="G90" s="16">
        <f>IFERROR(__xludf.DUMMYFUNCTION("""COMPUTED_VALUE"""),45869.6458333333)</f>
        <v>45869.6458333333</v>
      </c>
      <c r="H90" s="17">
        <f>IFERROR(__xludf.DUMMYFUNCTION("""COMPUTED_VALUE"""),2520)</f>
        <v>2520</v>
      </c>
      <c r="I90" s="16">
        <f>IFERROR(__xludf.DUMMYFUNCTION("""COMPUTED_VALUE"""),45869.6458333333)</f>
        <v>45869.6458333333</v>
      </c>
      <c r="J90" s="17">
        <f>IFERROR(__xludf.DUMMYFUNCTION("""COMPUTED_VALUE"""),2422.6)</f>
        <v>2422.6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IFERROR(__xludf.DUMMYFUNCTION("""COMPUTED_VALUE"""),2350.9)</f>
        <v>2350.9</v>
      </c>
      <c r="C91" s="16">
        <f>IFERROR(__xludf.DUMMYFUNCTION("""COMPUTED_VALUE"""),45870.6458333333)</f>
        <v>45870.6458333333</v>
      </c>
      <c r="D91" s="17">
        <f>IFERROR(__xludf.DUMMYFUNCTION("""COMPUTED_VALUE"""),2425)</f>
        <v>2425</v>
      </c>
      <c r="E91" s="16">
        <f>IFERROR(__xludf.DUMMYFUNCTION("""COMPUTED_VALUE"""),45870.6458333333)</f>
        <v>45870.6458333333</v>
      </c>
      <c r="F91" s="17">
        <f>IFERROR(__xludf.DUMMYFUNCTION("""COMPUTED_VALUE"""),976341)</f>
        <v>976341</v>
      </c>
      <c r="G91" s="16">
        <f>IFERROR(__xludf.DUMMYFUNCTION("""COMPUTED_VALUE"""),45870.6458333333)</f>
        <v>45870.6458333333</v>
      </c>
      <c r="H91" s="17">
        <f>IFERROR(__xludf.DUMMYFUNCTION("""COMPUTED_VALUE"""),2444.9)</f>
        <v>2444.9</v>
      </c>
      <c r="I91" s="16">
        <f>IFERROR(__xludf.DUMMYFUNCTION("""COMPUTED_VALUE"""),45870.6458333333)</f>
        <v>45870.6458333333</v>
      </c>
      <c r="J91" s="17">
        <f>IFERROR(__xludf.DUMMYFUNCTION("""COMPUTED_VALUE"""),2333)</f>
        <v>2333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IFERROR(__xludf.DUMMYFUNCTION("""COMPUTED_VALUE"""),2363.6)</f>
        <v>2363.6</v>
      </c>
      <c r="C92" s="16">
        <f>IFERROR(__xludf.DUMMYFUNCTION("""COMPUTED_VALUE"""),45873.6458333333)</f>
        <v>45873.6458333333</v>
      </c>
      <c r="D92" s="17">
        <f>IFERROR(__xludf.DUMMYFUNCTION("""COMPUTED_VALUE"""),2360)</f>
        <v>2360</v>
      </c>
      <c r="E92" s="16">
        <f>IFERROR(__xludf.DUMMYFUNCTION("""COMPUTED_VALUE"""),45873.6458333333)</f>
        <v>45873.6458333333</v>
      </c>
      <c r="F92" s="17">
        <f>IFERROR(__xludf.DUMMYFUNCTION("""COMPUTED_VALUE"""),576426)</f>
        <v>576426</v>
      </c>
      <c r="G92" s="16">
        <f>IFERROR(__xludf.DUMMYFUNCTION("""COMPUTED_VALUE"""),45873.6458333333)</f>
        <v>45873.6458333333</v>
      </c>
      <c r="H92" s="17">
        <f>IFERROR(__xludf.DUMMYFUNCTION("""COMPUTED_VALUE"""),2374.7)</f>
        <v>2374.7</v>
      </c>
      <c r="I92" s="16">
        <f>IFERROR(__xludf.DUMMYFUNCTION("""COMPUTED_VALUE"""),45873.6458333333)</f>
        <v>45873.6458333333</v>
      </c>
      <c r="J92" s="17">
        <f>IFERROR(__xludf.DUMMYFUNCTION("""COMPUTED_VALUE"""),2338.2)</f>
        <v>2338.2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IFERROR(__xludf.DUMMYFUNCTION("""COMPUTED_VALUE"""),2328.2)</f>
        <v>2328.2</v>
      </c>
      <c r="C93" s="16">
        <f>IFERROR(__xludf.DUMMYFUNCTION("""COMPUTED_VALUE"""),45874.6458333333)</f>
        <v>45874.6458333333</v>
      </c>
      <c r="D93" s="17">
        <f>IFERROR(__xludf.DUMMYFUNCTION("""COMPUTED_VALUE"""),2370)</f>
        <v>2370</v>
      </c>
      <c r="E93" s="16">
        <f>IFERROR(__xludf.DUMMYFUNCTION("""COMPUTED_VALUE"""),45874.6458333333)</f>
        <v>45874.6458333333</v>
      </c>
      <c r="F93" s="17">
        <f>IFERROR(__xludf.DUMMYFUNCTION("""COMPUTED_VALUE"""),576742)</f>
        <v>576742</v>
      </c>
      <c r="G93" s="16">
        <f>IFERROR(__xludf.DUMMYFUNCTION("""COMPUTED_VALUE"""),45874.6458333333)</f>
        <v>45874.6458333333</v>
      </c>
      <c r="H93" s="17">
        <f>IFERROR(__xludf.DUMMYFUNCTION("""COMPUTED_VALUE"""),2370)</f>
        <v>2370</v>
      </c>
      <c r="I93" s="16">
        <f>IFERROR(__xludf.DUMMYFUNCTION("""COMPUTED_VALUE"""),45874.6458333333)</f>
        <v>45874.6458333333</v>
      </c>
      <c r="J93" s="17">
        <f>IFERROR(__xludf.DUMMYFUNCTION("""COMPUTED_VALUE"""),2316)</f>
        <v>2316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IFERROR(__xludf.DUMMYFUNCTION("""COMPUTED_VALUE"""),2300.3)</f>
        <v>2300.3</v>
      </c>
      <c r="C94" s="16">
        <f>IFERROR(__xludf.DUMMYFUNCTION("""COMPUTED_VALUE"""),45875.6458333333)</f>
        <v>45875.6458333333</v>
      </c>
      <c r="D94" s="17">
        <f>IFERROR(__xludf.DUMMYFUNCTION("""COMPUTED_VALUE"""),2333.9)</f>
        <v>2333.9</v>
      </c>
      <c r="E94" s="16">
        <f>IFERROR(__xludf.DUMMYFUNCTION("""COMPUTED_VALUE"""),45875.6458333333)</f>
        <v>45875.6458333333</v>
      </c>
      <c r="F94" s="17">
        <f>IFERROR(__xludf.DUMMYFUNCTION("""COMPUTED_VALUE"""),631582)</f>
        <v>631582</v>
      </c>
      <c r="G94" s="16">
        <f>IFERROR(__xludf.DUMMYFUNCTION("""COMPUTED_VALUE"""),45875.6458333333)</f>
        <v>45875.6458333333</v>
      </c>
      <c r="H94" s="17">
        <f>IFERROR(__xludf.DUMMYFUNCTION("""COMPUTED_VALUE"""),2347.9)</f>
        <v>2347.9</v>
      </c>
      <c r="I94" s="16">
        <f>IFERROR(__xludf.DUMMYFUNCTION("""COMPUTED_VALUE"""),45875.6458333333)</f>
        <v>45875.6458333333</v>
      </c>
      <c r="J94" s="17">
        <f>IFERROR(__xludf.DUMMYFUNCTION("""COMPUTED_VALUE"""),2296)</f>
        <v>2296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IFERROR(__xludf.DUMMYFUNCTION("""COMPUTED_VALUE"""),2249.8)</f>
        <v>2249.8</v>
      </c>
      <c r="C95" s="16">
        <f>IFERROR(__xludf.DUMMYFUNCTION("""COMPUTED_VALUE"""),45876.6458333333)</f>
        <v>45876.6458333333</v>
      </c>
      <c r="D95" s="17">
        <f>IFERROR(__xludf.DUMMYFUNCTION("""COMPUTED_VALUE"""),2290)</f>
        <v>2290</v>
      </c>
      <c r="E95" s="16">
        <f>IFERROR(__xludf.DUMMYFUNCTION("""COMPUTED_VALUE"""),45876.6458333333)</f>
        <v>45876.6458333333</v>
      </c>
      <c r="F95" s="17">
        <f>IFERROR(__xludf.DUMMYFUNCTION("""COMPUTED_VALUE"""),1529410)</f>
        <v>1529410</v>
      </c>
      <c r="G95" s="16">
        <f>IFERROR(__xludf.DUMMYFUNCTION("""COMPUTED_VALUE"""),45876.6458333333)</f>
        <v>45876.6458333333</v>
      </c>
      <c r="H95" s="17">
        <f>IFERROR(__xludf.DUMMYFUNCTION("""COMPUTED_VALUE"""),2295)</f>
        <v>2295</v>
      </c>
      <c r="I95" s="16">
        <f>IFERROR(__xludf.DUMMYFUNCTION("""COMPUTED_VALUE"""),45876.6458333333)</f>
        <v>45876.6458333333</v>
      </c>
      <c r="J95" s="17">
        <f>IFERROR(__xludf.DUMMYFUNCTION("""COMPUTED_VALUE"""),2202.8)</f>
        <v>2202.8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IFERROR(__xludf.DUMMYFUNCTION("""COMPUTED_VALUE"""),2178.1)</f>
        <v>2178.1</v>
      </c>
      <c r="C96" s="16">
        <f>IFERROR(__xludf.DUMMYFUNCTION("""COMPUTED_VALUE"""),45877.6458333333)</f>
        <v>45877.6458333333</v>
      </c>
      <c r="D96" s="17">
        <f>IFERROR(__xludf.DUMMYFUNCTION("""COMPUTED_VALUE"""),2247)</f>
        <v>2247</v>
      </c>
      <c r="E96" s="16">
        <f>IFERROR(__xludf.DUMMYFUNCTION("""COMPUTED_VALUE"""),45877.6458333333)</f>
        <v>45877.6458333333</v>
      </c>
      <c r="F96" s="17">
        <f>IFERROR(__xludf.DUMMYFUNCTION("""COMPUTED_VALUE"""),2552736)</f>
        <v>2552736</v>
      </c>
      <c r="G96" s="16">
        <f>IFERROR(__xludf.DUMMYFUNCTION("""COMPUTED_VALUE"""),45877.6458333333)</f>
        <v>45877.6458333333</v>
      </c>
      <c r="H96" s="17">
        <f>IFERROR(__xludf.DUMMYFUNCTION("""COMPUTED_VALUE"""),2260.9)</f>
        <v>2260.9</v>
      </c>
      <c r="I96" s="16">
        <f>IFERROR(__xludf.DUMMYFUNCTION("""COMPUTED_VALUE"""),45877.6458333333)</f>
        <v>45877.6458333333</v>
      </c>
      <c r="J96" s="17">
        <f>IFERROR(__xludf.DUMMYFUNCTION("""COMPUTED_VALUE"""),2164.8)</f>
        <v>2164.8</v>
      </c>
      <c r="K96" s="3">
        <f t="shared" si="2"/>
        <v>0</v>
      </c>
      <c r="L96" s="3">
        <f t="shared" si="3"/>
        <v>2178.1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IFERROR(__xludf.DUMMYFUNCTION("""COMPUTED_VALUE"""),2283.4)</f>
        <v>2283.4</v>
      </c>
      <c r="C97" s="16">
        <f>IFERROR(__xludf.DUMMYFUNCTION("""COMPUTED_VALUE"""),45880.6458333333)</f>
        <v>45880.6458333333</v>
      </c>
      <c r="D97" s="17">
        <f>IFERROR(__xludf.DUMMYFUNCTION("""COMPUTED_VALUE"""),2196)</f>
        <v>2196</v>
      </c>
      <c r="E97" s="16">
        <f>IFERROR(__xludf.DUMMYFUNCTION("""COMPUTED_VALUE"""),45880.6458333333)</f>
        <v>45880.6458333333</v>
      </c>
      <c r="F97" s="17">
        <f>IFERROR(__xludf.DUMMYFUNCTION("""COMPUTED_VALUE"""),2376286)</f>
        <v>2376286</v>
      </c>
      <c r="G97" s="16">
        <f>IFERROR(__xludf.DUMMYFUNCTION("""COMPUTED_VALUE"""),45880.6458333333)</f>
        <v>45880.6458333333</v>
      </c>
      <c r="H97" s="17">
        <f>IFERROR(__xludf.DUMMYFUNCTION("""COMPUTED_VALUE"""),2302)</f>
        <v>2302</v>
      </c>
      <c r="I97" s="16">
        <f>IFERROR(__xludf.DUMMYFUNCTION("""COMPUTED_VALUE"""),45880.6458333333)</f>
        <v>45880.6458333333</v>
      </c>
      <c r="J97" s="17">
        <f>IFERROR(__xludf.DUMMYFUNCTION("""COMPUTED_VALUE"""),2183)</f>
        <v>2183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IFERROR(__xludf.DUMMYFUNCTION("""COMPUTED_VALUE"""),2288.2)</f>
        <v>2288.2</v>
      </c>
      <c r="C98" s="16">
        <f>IFERROR(__xludf.DUMMYFUNCTION("""COMPUTED_VALUE"""),45881.6458333333)</f>
        <v>45881.6458333333</v>
      </c>
      <c r="D98" s="17">
        <f>IFERROR(__xludf.DUMMYFUNCTION("""COMPUTED_VALUE"""),2280.1)</f>
        <v>2280.1</v>
      </c>
      <c r="E98" s="16">
        <f>IFERROR(__xludf.DUMMYFUNCTION("""COMPUTED_VALUE"""),45881.6458333333)</f>
        <v>45881.6458333333</v>
      </c>
      <c r="F98" s="17">
        <f>IFERROR(__xludf.DUMMYFUNCTION("""COMPUTED_VALUE"""),1075526)</f>
        <v>1075526</v>
      </c>
      <c r="G98" s="16">
        <f>IFERROR(__xludf.DUMMYFUNCTION("""COMPUTED_VALUE"""),45881.6458333333)</f>
        <v>45881.6458333333</v>
      </c>
      <c r="H98" s="17">
        <f>IFERROR(__xludf.DUMMYFUNCTION("""COMPUTED_VALUE"""),2314.7)</f>
        <v>2314.7</v>
      </c>
      <c r="I98" s="16">
        <f>IFERROR(__xludf.DUMMYFUNCTION("""COMPUTED_VALUE"""),45881.6458333333)</f>
        <v>45881.6458333333</v>
      </c>
      <c r="J98" s="17">
        <f>IFERROR(__xludf.DUMMYFUNCTION("""COMPUTED_VALUE"""),2267)</f>
        <v>2267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IFERROR(__xludf.DUMMYFUNCTION("""COMPUTED_VALUE"""),2280.1)</f>
        <v>2280.1</v>
      </c>
      <c r="C99" s="16">
        <f>IFERROR(__xludf.DUMMYFUNCTION("""COMPUTED_VALUE"""),45882.6458333333)</f>
        <v>45882.6458333333</v>
      </c>
      <c r="D99" s="17">
        <f>IFERROR(__xludf.DUMMYFUNCTION("""COMPUTED_VALUE"""),2299)</f>
        <v>2299</v>
      </c>
      <c r="E99" s="16">
        <f>IFERROR(__xludf.DUMMYFUNCTION("""COMPUTED_VALUE"""),45882.6458333333)</f>
        <v>45882.6458333333</v>
      </c>
      <c r="F99" s="17">
        <f>IFERROR(__xludf.DUMMYFUNCTION("""COMPUTED_VALUE"""),833679)</f>
        <v>833679</v>
      </c>
      <c r="G99" s="16">
        <f>IFERROR(__xludf.DUMMYFUNCTION("""COMPUTED_VALUE"""),45882.6458333333)</f>
        <v>45882.6458333333</v>
      </c>
      <c r="H99" s="17">
        <f>IFERROR(__xludf.DUMMYFUNCTION("""COMPUTED_VALUE"""),2314.9)</f>
        <v>2314.9</v>
      </c>
      <c r="I99" s="16">
        <f>IFERROR(__xludf.DUMMYFUNCTION("""COMPUTED_VALUE"""),45882.6458333333)</f>
        <v>45882.6458333333</v>
      </c>
      <c r="J99" s="17">
        <f>IFERROR(__xludf.DUMMYFUNCTION("""COMPUTED_VALUE"""),2245.4)</f>
        <v>2245.4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IFERROR(__xludf.DUMMYFUNCTION("""COMPUTED_VALUE"""),2281.6)</f>
        <v>2281.6</v>
      </c>
      <c r="C100" s="16">
        <f>IFERROR(__xludf.DUMMYFUNCTION("""COMPUTED_VALUE"""),45883.6458333333)</f>
        <v>45883.6458333333</v>
      </c>
      <c r="D100" s="17">
        <f>IFERROR(__xludf.DUMMYFUNCTION("""COMPUTED_VALUE"""),2288)</f>
        <v>2288</v>
      </c>
      <c r="E100" s="16">
        <f>IFERROR(__xludf.DUMMYFUNCTION("""COMPUTED_VALUE"""),45883.6458333333)</f>
        <v>45883.6458333333</v>
      </c>
      <c r="F100" s="17">
        <f>IFERROR(__xludf.DUMMYFUNCTION("""COMPUTED_VALUE"""),998109)</f>
        <v>998109</v>
      </c>
      <c r="G100" s="16">
        <f>IFERROR(__xludf.DUMMYFUNCTION("""COMPUTED_VALUE"""),45883.6458333333)</f>
        <v>45883.6458333333</v>
      </c>
      <c r="H100" s="17">
        <f>IFERROR(__xludf.DUMMYFUNCTION("""COMPUTED_VALUE"""),2304)</f>
        <v>2304</v>
      </c>
      <c r="I100" s="16">
        <f>IFERROR(__xludf.DUMMYFUNCTION("""COMPUTED_VALUE"""),45883.6458333333)</f>
        <v>45883.6458333333</v>
      </c>
      <c r="J100" s="17">
        <f>IFERROR(__xludf.DUMMYFUNCTION("""COMPUTED_VALUE"""),2267.7)</f>
        <v>2267.7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IFERROR(__xludf.DUMMYFUNCTION("""COMPUTED_VALUE"""),2333.6)</f>
        <v>2333.6</v>
      </c>
      <c r="C101" s="16">
        <f>IFERROR(__xludf.DUMMYFUNCTION("""COMPUTED_VALUE"""),45887.6458333333)</f>
        <v>45887.6458333333</v>
      </c>
      <c r="D101" s="17">
        <f>IFERROR(__xludf.DUMMYFUNCTION("""COMPUTED_VALUE"""),2309.6)</f>
        <v>2309.6</v>
      </c>
      <c r="E101" s="16">
        <f>IFERROR(__xludf.DUMMYFUNCTION("""COMPUTED_VALUE"""),45887.6458333333)</f>
        <v>45887.6458333333</v>
      </c>
      <c r="F101" s="17">
        <f>IFERROR(__xludf.DUMMYFUNCTION("""COMPUTED_VALUE"""),988629)</f>
        <v>988629</v>
      </c>
      <c r="G101" s="16">
        <f>IFERROR(__xludf.DUMMYFUNCTION("""COMPUTED_VALUE"""),45887.6458333333)</f>
        <v>45887.6458333333</v>
      </c>
      <c r="H101" s="17">
        <f>IFERROR(__xludf.DUMMYFUNCTION("""COMPUTED_VALUE"""),2360)</f>
        <v>2360</v>
      </c>
      <c r="I101" s="16">
        <f>IFERROR(__xludf.DUMMYFUNCTION("""COMPUTED_VALUE"""),45887.6458333333)</f>
        <v>45887.6458333333</v>
      </c>
      <c r="J101" s="17">
        <f>IFERROR(__xludf.DUMMYFUNCTION("""COMPUTED_VALUE"""),2300)</f>
        <v>2300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IFERROR(__xludf.DUMMYFUNCTION("""COMPUTED_VALUE"""),2388.4)</f>
        <v>2388.4</v>
      </c>
      <c r="C102" s="16">
        <f>IFERROR(__xludf.DUMMYFUNCTION("""COMPUTED_VALUE"""),45888.6458333333)</f>
        <v>45888.6458333333</v>
      </c>
      <c r="D102" s="17">
        <f>IFERROR(__xludf.DUMMYFUNCTION("""COMPUTED_VALUE"""),2339.9)</f>
        <v>2339.9</v>
      </c>
      <c r="E102" s="16">
        <f>IFERROR(__xludf.DUMMYFUNCTION("""COMPUTED_VALUE"""),45888.6458333333)</f>
        <v>45888.6458333333</v>
      </c>
      <c r="F102" s="17">
        <f>IFERROR(__xludf.DUMMYFUNCTION("""COMPUTED_VALUE"""),1069432)</f>
        <v>1069432</v>
      </c>
      <c r="G102" s="16">
        <f>IFERROR(__xludf.DUMMYFUNCTION("""COMPUTED_VALUE"""),45888.6458333333)</f>
        <v>45888.6458333333</v>
      </c>
      <c r="H102" s="17">
        <f>IFERROR(__xludf.DUMMYFUNCTION("""COMPUTED_VALUE"""),2395.6)</f>
        <v>2395.6</v>
      </c>
      <c r="I102" s="16">
        <f>IFERROR(__xludf.DUMMYFUNCTION("""COMPUTED_VALUE"""),45888.6458333333)</f>
        <v>45888.6458333333</v>
      </c>
      <c r="J102" s="17">
        <f>IFERROR(__xludf.DUMMYFUNCTION("""COMPUTED_VALUE"""),2314.1)</f>
        <v>2314.1</v>
      </c>
      <c r="K102" s="3">
        <f t="shared" si="2"/>
        <v>2388.4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IFERROR(__xludf.DUMMYFUNCTION("""COMPUTED_VALUE"""),2387.1)</f>
        <v>2387.1</v>
      </c>
      <c r="C103" s="16">
        <f>IFERROR(__xludf.DUMMYFUNCTION("""COMPUTED_VALUE"""),45889.6458333333)</f>
        <v>45889.6458333333</v>
      </c>
      <c r="D103" s="17">
        <f>IFERROR(__xludf.DUMMYFUNCTION("""COMPUTED_VALUE"""),2380)</f>
        <v>2380</v>
      </c>
      <c r="E103" s="16">
        <f>IFERROR(__xludf.DUMMYFUNCTION("""COMPUTED_VALUE"""),45889.6458333333)</f>
        <v>45889.6458333333</v>
      </c>
      <c r="F103" s="17">
        <f>IFERROR(__xludf.DUMMYFUNCTION("""COMPUTED_VALUE"""),780025)</f>
        <v>780025</v>
      </c>
      <c r="G103" s="16">
        <f>IFERROR(__xludf.DUMMYFUNCTION("""COMPUTED_VALUE"""),45889.6458333333)</f>
        <v>45889.6458333333</v>
      </c>
      <c r="H103" s="17">
        <f>IFERROR(__xludf.DUMMYFUNCTION("""COMPUTED_VALUE"""),2406)</f>
        <v>2406</v>
      </c>
      <c r="I103" s="16">
        <f>IFERROR(__xludf.DUMMYFUNCTION("""COMPUTED_VALUE"""),45889.6458333333)</f>
        <v>45889.6458333333</v>
      </c>
      <c r="J103" s="17">
        <f>IFERROR(__xludf.DUMMYFUNCTION("""COMPUTED_VALUE"""),2372.1)</f>
        <v>2372.1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IFERROR(__xludf.DUMMYFUNCTION("""COMPUTED_VALUE"""),2377.2)</f>
        <v>2377.2</v>
      </c>
      <c r="C104" s="16">
        <f>IFERROR(__xludf.DUMMYFUNCTION("""COMPUTED_VALUE"""),45890.6458333333)</f>
        <v>45890.6458333333</v>
      </c>
      <c r="D104" s="17">
        <f>IFERROR(__xludf.DUMMYFUNCTION("""COMPUTED_VALUE"""),2387.1)</f>
        <v>2387.1</v>
      </c>
      <c r="E104" s="16">
        <f>IFERROR(__xludf.DUMMYFUNCTION("""COMPUTED_VALUE"""),45890.6458333333)</f>
        <v>45890.6458333333</v>
      </c>
      <c r="F104" s="17">
        <f>IFERROR(__xludf.DUMMYFUNCTION("""COMPUTED_VALUE"""),441867)</f>
        <v>441867</v>
      </c>
      <c r="G104" s="16">
        <f>IFERROR(__xludf.DUMMYFUNCTION("""COMPUTED_VALUE"""),45890.6458333333)</f>
        <v>45890.6458333333</v>
      </c>
      <c r="H104" s="17">
        <f>IFERROR(__xludf.DUMMYFUNCTION("""COMPUTED_VALUE"""),2397)</f>
        <v>2397</v>
      </c>
      <c r="I104" s="16">
        <f>IFERROR(__xludf.DUMMYFUNCTION("""COMPUTED_VALUE"""),45890.6458333333)</f>
        <v>45890.6458333333</v>
      </c>
      <c r="J104" s="17">
        <f>IFERROR(__xludf.DUMMYFUNCTION("""COMPUTED_VALUE"""),2371.4)</f>
        <v>2371.4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IFERROR(__xludf.DUMMYFUNCTION("""COMPUTED_VALUE"""),2324.9)</f>
        <v>2324.9</v>
      </c>
      <c r="C105" s="16">
        <f>IFERROR(__xludf.DUMMYFUNCTION("""COMPUTED_VALUE"""),45891.6458333333)</f>
        <v>45891.6458333333</v>
      </c>
      <c r="D105" s="17">
        <f>IFERROR(__xludf.DUMMYFUNCTION("""COMPUTED_VALUE"""),2369.9)</f>
        <v>2369.9</v>
      </c>
      <c r="E105" s="16">
        <f>IFERROR(__xludf.DUMMYFUNCTION("""COMPUTED_VALUE"""),45891.6458333333)</f>
        <v>45891.6458333333</v>
      </c>
      <c r="F105" s="17">
        <f>IFERROR(__xludf.DUMMYFUNCTION("""COMPUTED_VALUE"""),584211)</f>
        <v>584211</v>
      </c>
      <c r="G105" s="16">
        <f>IFERROR(__xludf.DUMMYFUNCTION("""COMPUTED_VALUE"""),45891.6458333333)</f>
        <v>45891.6458333333</v>
      </c>
      <c r="H105" s="17">
        <f>IFERROR(__xludf.DUMMYFUNCTION("""COMPUTED_VALUE"""),2376.3)</f>
        <v>2376.3</v>
      </c>
      <c r="I105" s="16">
        <f>IFERROR(__xludf.DUMMYFUNCTION("""COMPUTED_VALUE"""),45891.6458333333)</f>
        <v>45891.6458333333</v>
      </c>
      <c r="J105" s="17">
        <f>IFERROR(__xludf.DUMMYFUNCTION("""COMPUTED_VALUE"""),2321)</f>
        <v>2321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IFERROR(__xludf.DUMMYFUNCTION("""COMPUTED_VALUE"""),2302.9)</f>
        <v>2302.9</v>
      </c>
      <c r="C106" s="16">
        <f>IFERROR(__xludf.DUMMYFUNCTION("""COMPUTED_VALUE"""),45894.6458333333)</f>
        <v>45894.6458333333</v>
      </c>
      <c r="D106" s="17">
        <f>IFERROR(__xludf.DUMMYFUNCTION("""COMPUTED_VALUE"""),2335.7)</f>
        <v>2335.7</v>
      </c>
      <c r="E106" s="16">
        <f>IFERROR(__xludf.DUMMYFUNCTION("""COMPUTED_VALUE"""),45894.6458333333)</f>
        <v>45894.6458333333</v>
      </c>
      <c r="F106" s="17">
        <f>IFERROR(__xludf.DUMMYFUNCTION("""COMPUTED_VALUE"""),542455)</f>
        <v>542455</v>
      </c>
      <c r="G106" s="16">
        <f>IFERROR(__xludf.DUMMYFUNCTION("""COMPUTED_VALUE"""),45894.6458333333)</f>
        <v>45894.6458333333</v>
      </c>
      <c r="H106" s="17">
        <f>IFERROR(__xludf.DUMMYFUNCTION("""COMPUTED_VALUE"""),2348.4)</f>
        <v>2348.4</v>
      </c>
      <c r="I106" s="16">
        <f>IFERROR(__xludf.DUMMYFUNCTION("""COMPUTED_VALUE"""),45894.6458333333)</f>
        <v>45894.6458333333</v>
      </c>
      <c r="J106" s="17">
        <f>IFERROR(__xludf.DUMMYFUNCTION("""COMPUTED_VALUE"""),2300)</f>
        <v>2300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IFERROR(__xludf.DUMMYFUNCTION("""COMPUTED_VALUE"""),2272)</f>
        <v>2272</v>
      </c>
      <c r="C107" s="16">
        <f>IFERROR(__xludf.DUMMYFUNCTION("""COMPUTED_VALUE"""),45895.6458333333)</f>
        <v>45895.6458333333</v>
      </c>
      <c r="D107" s="17">
        <f>IFERROR(__xludf.DUMMYFUNCTION("""COMPUTED_VALUE"""),2304)</f>
        <v>2304</v>
      </c>
      <c r="E107" s="16">
        <f>IFERROR(__xludf.DUMMYFUNCTION("""COMPUTED_VALUE"""),45895.6458333333)</f>
        <v>45895.6458333333</v>
      </c>
      <c r="F107" s="17">
        <f>IFERROR(__xludf.DUMMYFUNCTION("""COMPUTED_VALUE"""),1071550)</f>
        <v>1071550</v>
      </c>
      <c r="G107" s="16">
        <f>IFERROR(__xludf.DUMMYFUNCTION("""COMPUTED_VALUE"""),45895.6458333333)</f>
        <v>45895.6458333333</v>
      </c>
      <c r="H107" s="17">
        <f>IFERROR(__xludf.DUMMYFUNCTION("""COMPUTED_VALUE"""),2309.3)</f>
        <v>2309.3</v>
      </c>
      <c r="I107" s="16">
        <f>IFERROR(__xludf.DUMMYFUNCTION("""COMPUTED_VALUE"""),45895.6458333333)</f>
        <v>45895.6458333333</v>
      </c>
      <c r="J107" s="17">
        <f>IFERROR(__xludf.DUMMYFUNCTION("""COMPUTED_VALUE"""),2249.4)</f>
        <v>2249.4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IFERROR(__xludf.DUMMYFUNCTION("""COMPUTED_VALUE"""),2275.2)</f>
        <v>2275.2</v>
      </c>
      <c r="C108" s="16">
        <f>IFERROR(__xludf.DUMMYFUNCTION("""COMPUTED_VALUE"""),45897.6458333333)</f>
        <v>45897.6458333333</v>
      </c>
      <c r="D108" s="17">
        <f>IFERROR(__xludf.DUMMYFUNCTION("""COMPUTED_VALUE"""),2271.9)</f>
        <v>2271.9</v>
      </c>
      <c r="E108" s="16">
        <f>IFERROR(__xludf.DUMMYFUNCTION("""COMPUTED_VALUE"""),45897.6458333333)</f>
        <v>45897.6458333333</v>
      </c>
      <c r="F108" s="17">
        <f>IFERROR(__xludf.DUMMYFUNCTION("""COMPUTED_VALUE"""),907868)</f>
        <v>907868</v>
      </c>
      <c r="G108" s="16">
        <f>IFERROR(__xludf.DUMMYFUNCTION("""COMPUTED_VALUE"""),45897.6458333333)</f>
        <v>45897.6458333333</v>
      </c>
      <c r="H108" s="17">
        <f>IFERROR(__xludf.DUMMYFUNCTION("""COMPUTED_VALUE"""),2327.9)</f>
        <v>2327.9</v>
      </c>
      <c r="I108" s="16">
        <f>IFERROR(__xludf.DUMMYFUNCTION("""COMPUTED_VALUE"""),45897.6458333333)</f>
        <v>45897.6458333333</v>
      </c>
      <c r="J108" s="17">
        <f>IFERROR(__xludf.DUMMYFUNCTION("""COMPUTED_VALUE"""),2255)</f>
        <v>2255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IFERROR(__xludf.DUMMYFUNCTION("""COMPUTED_VALUE"""),2244.7)</f>
        <v>2244.7</v>
      </c>
      <c r="C109" s="16">
        <f>IFERROR(__xludf.DUMMYFUNCTION("""COMPUTED_VALUE"""),45898.6458333333)</f>
        <v>45898.6458333333</v>
      </c>
      <c r="D109" s="17">
        <f>IFERROR(__xludf.DUMMYFUNCTION("""COMPUTED_VALUE"""),2283)</f>
        <v>2283</v>
      </c>
      <c r="E109" s="16">
        <f>IFERROR(__xludf.DUMMYFUNCTION("""COMPUTED_VALUE"""),45898.6458333333)</f>
        <v>45898.6458333333</v>
      </c>
      <c r="F109" s="17">
        <f>IFERROR(__xludf.DUMMYFUNCTION("""COMPUTED_VALUE"""),795699)</f>
        <v>795699</v>
      </c>
      <c r="G109" s="16">
        <f>IFERROR(__xludf.DUMMYFUNCTION("""COMPUTED_VALUE"""),45898.6458333333)</f>
        <v>45898.6458333333</v>
      </c>
      <c r="H109" s="17">
        <f>IFERROR(__xludf.DUMMYFUNCTION("""COMPUTED_VALUE"""),2289.7)</f>
        <v>2289.7</v>
      </c>
      <c r="I109" s="16">
        <f>IFERROR(__xludf.DUMMYFUNCTION("""COMPUTED_VALUE"""),45898.6458333333)</f>
        <v>45898.6458333333</v>
      </c>
      <c r="J109" s="17">
        <f>IFERROR(__xludf.DUMMYFUNCTION("""COMPUTED_VALUE"""),2240)</f>
        <v>2240</v>
      </c>
      <c r="K109" s="3">
        <f t="shared" si="2"/>
        <v>0</v>
      </c>
      <c r="L109" s="3">
        <f t="shared" si="3"/>
        <v>2244.7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IFERROR(__xludf.DUMMYFUNCTION("""COMPUTED_VALUE"""),2284.2)</f>
        <v>2284.2</v>
      </c>
      <c r="C110" s="16">
        <f>IFERROR(__xludf.DUMMYFUNCTION("""COMPUTED_VALUE"""),45901.6458333333)</f>
        <v>45901.6458333333</v>
      </c>
      <c r="D110" s="17">
        <f>IFERROR(__xludf.DUMMYFUNCTION("""COMPUTED_VALUE"""),2259)</f>
        <v>2259</v>
      </c>
      <c r="E110" s="16">
        <f>IFERROR(__xludf.DUMMYFUNCTION("""COMPUTED_VALUE"""),45901.6458333333)</f>
        <v>45901.6458333333</v>
      </c>
      <c r="F110" s="17">
        <f>IFERROR(__xludf.DUMMYFUNCTION("""COMPUTED_VALUE"""),425639)</f>
        <v>425639</v>
      </c>
      <c r="G110" s="16">
        <f>IFERROR(__xludf.DUMMYFUNCTION("""COMPUTED_VALUE"""),45901.6458333333)</f>
        <v>45901.6458333333</v>
      </c>
      <c r="H110" s="17">
        <f>IFERROR(__xludf.DUMMYFUNCTION("""COMPUTED_VALUE"""),2288)</f>
        <v>2288</v>
      </c>
      <c r="I110" s="16">
        <f>IFERROR(__xludf.DUMMYFUNCTION("""COMPUTED_VALUE"""),45901.6458333333)</f>
        <v>45901.6458333333</v>
      </c>
      <c r="J110" s="17">
        <f>IFERROR(__xludf.DUMMYFUNCTION("""COMPUTED_VALUE"""),2252.1)</f>
        <v>2252.1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IFERROR(__xludf.DUMMYFUNCTION("""COMPUTED_VALUE"""),2274.2)</f>
        <v>2274.2</v>
      </c>
      <c r="C111" s="16">
        <f>IFERROR(__xludf.DUMMYFUNCTION("""COMPUTED_VALUE"""),45902.6458333333)</f>
        <v>45902.6458333333</v>
      </c>
      <c r="D111" s="17">
        <f>IFERROR(__xludf.DUMMYFUNCTION("""COMPUTED_VALUE"""),2291)</f>
        <v>2291</v>
      </c>
      <c r="E111" s="16">
        <f>IFERROR(__xludf.DUMMYFUNCTION("""COMPUTED_VALUE"""),45902.6458333333)</f>
        <v>45902.6458333333</v>
      </c>
      <c r="F111" s="17">
        <f>IFERROR(__xludf.DUMMYFUNCTION("""COMPUTED_VALUE"""),481894)</f>
        <v>481894</v>
      </c>
      <c r="G111" s="16">
        <f>IFERROR(__xludf.DUMMYFUNCTION("""COMPUTED_VALUE"""),45902.6458333333)</f>
        <v>45902.6458333333</v>
      </c>
      <c r="H111" s="17">
        <f>IFERROR(__xludf.DUMMYFUNCTION("""COMPUTED_VALUE"""),2302)</f>
        <v>2302</v>
      </c>
      <c r="I111" s="16">
        <f>IFERROR(__xludf.DUMMYFUNCTION("""COMPUTED_VALUE"""),45902.6458333333)</f>
        <v>45902.6458333333</v>
      </c>
      <c r="J111" s="17">
        <f>IFERROR(__xludf.DUMMYFUNCTION("""COMPUTED_VALUE"""),2264)</f>
        <v>2264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IFERROR(__xludf.DUMMYFUNCTION("""COMPUTED_VALUE"""),2288.7)</f>
        <v>2288.7</v>
      </c>
      <c r="C112" s="16">
        <f>IFERROR(__xludf.DUMMYFUNCTION("""COMPUTED_VALUE"""),45903.6458333333)</f>
        <v>45903.6458333333</v>
      </c>
      <c r="D112" s="17">
        <f>IFERROR(__xludf.DUMMYFUNCTION("""COMPUTED_VALUE"""),2285)</f>
        <v>2285</v>
      </c>
      <c r="E112" s="16">
        <f>IFERROR(__xludf.DUMMYFUNCTION("""COMPUTED_VALUE"""),45903.6458333333)</f>
        <v>45903.6458333333</v>
      </c>
      <c r="F112" s="17">
        <f>IFERROR(__xludf.DUMMYFUNCTION("""COMPUTED_VALUE"""),443629)</f>
        <v>443629</v>
      </c>
      <c r="G112" s="16">
        <f>IFERROR(__xludf.DUMMYFUNCTION("""COMPUTED_VALUE"""),45903.6458333333)</f>
        <v>45903.6458333333</v>
      </c>
      <c r="H112" s="17">
        <f>IFERROR(__xludf.DUMMYFUNCTION("""COMPUTED_VALUE"""),2293)</f>
        <v>2293</v>
      </c>
      <c r="I112" s="16">
        <f>IFERROR(__xludf.DUMMYFUNCTION("""COMPUTED_VALUE"""),45903.6458333333)</f>
        <v>45903.6458333333</v>
      </c>
      <c r="J112" s="17">
        <f>IFERROR(__xludf.DUMMYFUNCTION("""COMPUTED_VALUE"""),2263.1)</f>
        <v>2263.1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IFERROR(__xludf.DUMMYFUNCTION("""COMPUTED_VALUE"""),2278.8)</f>
        <v>2278.8</v>
      </c>
      <c r="C113" s="16">
        <f>IFERROR(__xludf.DUMMYFUNCTION("""COMPUTED_VALUE"""),45904.6458333333)</f>
        <v>45904.6458333333</v>
      </c>
      <c r="D113" s="17">
        <f>IFERROR(__xludf.DUMMYFUNCTION("""COMPUTED_VALUE"""),2309.9)</f>
        <v>2309.9</v>
      </c>
      <c r="E113" s="16">
        <f>IFERROR(__xludf.DUMMYFUNCTION("""COMPUTED_VALUE"""),45904.6458333333)</f>
        <v>45904.6458333333</v>
      </c>
      <c r="F113" s="17">
        <f>IFERROR(__xludf.DUMMYFUNCTION("""COMPUTED_VALUE"""),392697)</f>
        <v>392697</v>
      </c>
      <c r="G113" s="16">
        <f>IFERROR(__xludf.DUMMYFUNCTION("""COMPUTED_VALUE"""),45904.6458333333)</f>
        <v>45904.6458333333</v>
      </c>
      <c r="H113" s="17">
        <f>IFERROR(__xludf.DUMMYFUNCTION("""COMPUTED_VALUE"""),2317.3)</f>
        <v>2317.3</v>
      </c>
      <c r="I113" s="16">
        <f>IFERROR(__xludf.DUMMYFUNCTION("""COMPUTED_VALUE"""),45904.6458333333)</f>
        <v>45904.6458333333</v>
      </c>
      <c r="J113" s="17">
        <f>IFERROR(__xludf.DUMMYFUNCTION("""COMPUTED_VALUE"""),2275)</f>
        <v>2275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IFERROR(__xludf.DUMMYFUNCTION("""COMPUTED_VALUE"""),2281.4)</f>
        <v>2281.4</v>
      </c>
      <c r="C114" s="16">
        <f>IFERROR(__xludf.DUMMYFUNCTION("""COMPUTED_VALUE"""),45905.6458333333)</f>
        <v>45905.6458333333</v>
      </c>
      <c r="D114" s="17">
        <f>IFERROR(__xludf.DUMMYFUNCTION("""COMPUTED_VALUE"""),2275)</f>
        <v>2275</v>
      </c>
      <c r="E114" s="16">
        <f>IFERROR(__xludf.DUMMYFUNCTION("""COMPUTED_VALUE"""),45905.6458333333)</f>
        <v>45905.6458333333</v>
      </c>
      <c r="F114" s="17">
        <f>IFERROR(__xludf.DUMMYFUNCTION("""COMPUTED_VALUE"""),443010)</f>
        <v>443010</v>
      </c>
      <c r="G114" s="16">
        <f>IFERROR(__xludf.DUMMYFUNCTION("""COMPUTED_VALUE"""),45905.6458333333)</f>
        <v>45905.6458333333</v>
      </c>
      <c r="H114" s="17">
        <f>IFERROR(__xludf.DUMMYFUNCTION("""COMPUTED_VALUE"""),2293.5)</f>
        <v>2293.5</v>
      </c>
      <c r="I114" s="16">
        <f>IFERROR(__xludf.DUMMYFUNCTION("""COMPUTED_VALUE"""),45905.6458333333)</f>
        <v>45905.6458333333</v>
      </c>
      <c r="J114" s="17">
        <f>IFERROR(__xludf.DUMMYFUNCTION("""COMPUTED_VALUE"""),2248)</f>
        <v>2248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IFERROR(__xludf.DUMMYFUNCTION("""COMPUTED_VALUE"""),2310.9)</f>
        <v>2310.9</v>
      </c>
      <c r="C115" s="16">
        <f>IFERROR(__xludf.DUMMYFUNCTION("""COMPUTED_VALUE"""),45908.6458333333)</f>
        <v>45908.6458333333</v>
      </c>
      <c r="D115" s="17">
        <f>IFERROR(__xludf.DUMMYFUNCTION("""COMPUTED_VALUE"""),2290)</f>
        <v>2290</v>
      </c>
      <c r="E115" s="16">
        <f>IFERROR(__xludf.DUMMYFUNCTION("""COMPUTED_VALUE"""),45908.6458333333)</f>
        <v>45908.6458333333</v>
      </c>
      <c r="F115" s="17">
        <f>IFERROR(__xludf.DUMMYFUNCTION("""COMPUTED_VALUE"""),542811)</f>
        <v>542811</v>
      </c>
      <c r="G115" s="16">
        <f>IFERROR(__xludf.DUMMYFUNCTION("""COMPUTED_VALUE"""),45908.6458333333)</f>
        <v>45908.6458333333</v>
      </c>
      <c r="H115" s="17">
        <f>IFERROR(__xludf.DUMMYFUNCTION("""COMPUTED_VALUE"""),2333.9)</f>
        <v>2333.9</v>
      </c>
      <c r="I115" s="16">
        <f>IFERROR(__xludf.DUMMYFUNCTION("""COMPUTED_VALUE"""),45908.6458333333)</f>
        <v>45908.6458333333</v>
      </c>
      <c r="J115" s="17">
        <f>IFERROR(__xludf.DUMMYFUNCTION("""COMPUTED_VALUE"""),2286)</f>
        <v>2286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IFERROR(__xludf.DUMMYFUNCTION("""COMPUTED_VALUE"""),2311.6)</f>
        <v>2311.6</v>
      </c>
      <c r="C116" s="16">
        <f>IFERROR(__xludf.DUMMYFUNCTION("""COMPUTED_VALUE"""),45909.6458333333)</f>
        <v>45909.6458333333</v>
      </c>
      <c r="D116" s="17">
        <f>IFERROR(__xludf.DUMMYFUNCTION("""COMPUTED_VALUE"""),2320)</f>
        <v>2320</v>
      </c>
      <c r="E116" s="16">
        <f>IFERROR(__xludf.DUMMYFUNCTION("""COMPUTED_VALUE"""),45909.6458333333)</f>
        <v>45909.6458333333</v>
      </c>
      <c r="F116" s="17">
        <f>IFERROR(__xludf.DUMMYFUNCTION("""COMPUTED_VALUE"""),369431)</f>
        <v>369431</v>
      </c>
      <c r="G116" s="16">
        <f>IFERROR(__xludf.DUMMYFUNCTION("""COMPUTED_VALUE"""),45909.6458333333)</f>
        <v>45909.6458333333</v>
      </c>
      <c r="H116" s="17">
        <f>IFERROR(__xludf.DUMMYFUNCTION("""COMPUTED_VALUE"""),2325)</f>
        <v>2325</v>
      </c>
      <c r="I116" s="16">
        <f>IFERROR(__xludf.DUMMYFUNCTION("""COMPUTED_VALUE"""),45909.6458333333)</f>
        <v>45909.6458333333</v>
      </c>
      <c r="J116" s="17">
        <f>IFERROR(__xludf.DUMMYFUNCTION("""COMPUTED_VALUE"""),2297)</f>
        <v>2297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IFERROR(__xludf.DUMMYFUNCTION("""COMPUTED_VALUE"""),2340.2)</f>
        <v>2340.2</v>
      </c>
      <c r="C117" s="16">
        <f>IFERROR(__xludf.DUMMYFUNCTION("""COMPUTED_VALUE"""),45910.6458333333)</f>
        <v>45910.6458333333</v>
      </c>
      <c r="D117" s="17">
        <f>IFERROR(__xludf.DUMMYFUNCTION("""COMPUTED_VALUE"""),2330)</f>
        <v>2330</v>
      </c>
      <c r="E117" s="16">
        <f>IFERROR(__xludf.DUMMYFUNCTION("""COMPUTED_VALUE"""),45910.6458333333)</f>
        <v>45910.6458333333</v>
      </c>
      <c r="F117" s="17">
        <f>IFERROR(__xludf.DUMMYFUNCTION("""COMPUTED_VALUE"""),390490)</f>
        <v>390490</v>
      </c>
      <c r="G117" s="16">
        <f>IFERROR(__xludf.DUMMYFUNCTION("""COMPUTED_VALUE"""),45910.6458333333)</f>
        <v>45910.6458333333</v>
      </c>
      <c r="H117" s="17">
        <f>IFERROR(__xludf.DUMMYFUNCTION("""COMPUTED_VALUE"""),2345.9)</f>
        <v>2345.9</v>
      </c>
      <c r="I117" s="16">
        <f>IFERROR(__xludf.DUMMYFUNCTION("""COMPUTED_VALUE"""),45910.6458333333)</f>
        <v>45910.6458333333</v>
      </c>
      <c r="J117" s="17">
        <f>IFERROR(__xludf.DUMMYFUNCTION("""COMPUTED_VALUE"""),2325.1)</f>
        <v>2325.1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IFERROR(__xludf.DUMMYFUNCTION("""COMPUTED_VALUE"""),2398.8)</f>
        <v>2398.8</v>
      </c>
      <c r="C118" s="16">
        <f>IFERROR(__xludf.DUMMYFUNCTION("""COMPUTED_VALUE"""),45911.6458333333)</f>
        <v>45911.6458333333</v>
      </c>
      <c r="D118" s="17">
        <f>IFERROR(__xludf.DUMMYFUNCTION("""COMPUTED_VALUE"""),2348)</f>
        <v>2348</v>
      </c>
      <c r="E118" s="16">
        <f>IFERROR(__xludf.DUMMYFUNCTION("""COMPUTED_VALUE"""),45911.6458333333)</f>
        <v>45911.6458333333</v>
      </c>
      <c r="F118" s="17">
        <f>IFERROR(__xludf.DUMMYFUNCTION("""COMPUTED_VALUE"""),2111888)</f>
        <v>2111888</v>
      </c>
      <c r="G118" s="16">
        <f>IFERROR(__xludf.DUMMYFUNCTION("""COMPUTED_VALUE"""),45911.6458333333)</f>
        <v>45911.6458333333</v>
      </c>
      <c r="H118" s="17">
        <f>IFERROR(__xludf.DUMMYFUNCTION("""COMPUTED_VALUE"""),2418.7)</f>
        <v>2418.7</v>
      </c>
      <c r="I118" s="16">
        <f>IFERROR(__xludf.DUMMYFUNCTION("""COMPUTED_VALUE"""),45911.6458333333)</f>
        <v>45911.6458333333</v>
      </c>
      <c r="J118" s="17">
        <f>IFERROR(__xludf.DUMMYFUNCTION("""COMPUTED_VALUE"""),2340.2)</f>
        <v>2340.2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IFERROR(__xludf.DUMMYFUNCTION("""COMPUTED_VALUE"""),2392)</f>
        <v>2392</v>
      </c>
      <c r="C119" s="16">
        <f>IFERROR(__xludf.DUMMYFUNCTION("""COMPUTED_VALUE"""),45912.6458333333)</f>
        <v>45912.6458333333</v>
      </c>
      <c r="D119" s="17">
        <f>IFERROR(__xludf.DUMMYFUNCTION("""COMPUTED_VALUE"""),2416.9)</f>
        <v>2416.9</v>
      </c>
      <c r="E119" s="16">
        <f>IFERROR(__xludf.DUMMYFUNCTION("""COMPUTED_VALUE"""),45912.6458333333)</f>
        <v>45912.6458333333</v>
      </c>
      <c r="F119" s="17">
        <f>IFERROR(__xludf.DUMMYFUNCTION("""COMPUTED_VALUE"""),533971)</f>
        <v>533971</v>
      </c>
      <c r="G119" s="16">
        <f>IFERROR(__xludf.DUMMYFUNCTION("""COMPUTED_VALUE"""),45912.6458333333)</f>
        <v>45912.6458333333</v>
      </c>
      <c r="H119" s="17">
        <f>IFERROR(__xludf.DUMMYFUNCTION("""COMPUTED_VALUE"""),2421.6)</f>
        <v>2421.6</v>
      </c>
      <c r="I119" s="16">
        <f>IFERROR(__xludf.DUMMYFUNCTION("""COMPUTED_VALUE"""),45912.6458333333)</f>
        <v>45912.6458333333</v>
      </c>
      <c r="J119" s="17">
        <f>IFERROR(__xludf.DUMMYFUNCTION("""COMPUTED_VALUE"""),2387.1)</f>
        <v>2387.1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IFERROR(__xludf.DUMMYFUNCTION("""COMPUTED_VALUE"""),2383.4)</f>
        <v>2383.4</v>
      </c>
      <c r="C120" s="16">
        <f>IFERROR(__xludf.DUMMYFUNCTION("""COMPUTED_VALUE"""),45915.6458333333)</f>
        <v>45915.6458333333</v>
      </c>
      <c r="D120" s="17">
        <f>IFERROR(__xludf.DUMMYFUNCTION("""COMPUTED_VALUE"""),2392)</f>
        <v>2392</v>
      </c>
      <c r="E120" s="16">
        <f>IFERROR(__xludf.DUMMYFUNCTION("""COMPUTED_VALUE"""),45915.6458333333)</f>
        <v>45915.6458333333</v>
      </c>
      <c r="F120" s="17">
        <f>IFERROR(__xludf.DUMMYFUNCTION("""COMPUTED_VALUE"""),298129)</f>
        <v>298129</v>
      </c>
      <c r="G120" s="16">
        <f>IFERROR(__xludf.DUMMYFUNCTION("""COMPUTED_VALUE"""),45915.6458333333)</f>
        <v>45915.6458333333</v>
      </c>
      <c r="H120" s="17">
        <f>IFERROR(__xludf.DUMMYFUNCTION("""COMPUTED_VALUE"""),2402.8)</f>
        <v>2402.8</v>
      </c>
      <c r="I120" s="16">
        <f>IFERROR(__xludf.DUMMYFUNCTION("""COMPUTED_VALUE"""),45915.6458333333)</f>
        <v>45915.6458333333</v>
      </c>
      <c r="J120" s="17">
        <f>IFERROR(__xludf.DUMMYFUNCTION("""COMPUTED_VALUE"""),2378.1)</f>
        <v>2378.1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IFERROR(__xludf.DUMMYFUNCTION("""COMPUTED_VALUE"""),2399.4)</f>
        <v>2399.4</v>
      </c>
      <c r="C121" s="16">
        <f>IFERROR(__xludf.DUMMYFUNCTION("""COMPUTED_VALUE"""),45916.6458333333)</f>
        <v>45916.6458333333</v>
      </c>
      <c r="D121" s="17">
        <f>IFERROR(__xludf.DUMMYFUNCTION("""COMPUTED_VALUE"""),2410)</f>
        <v>2410</v>
      </c>
      <c r="E121" s="16">
        <f>IFERROR(__xludf.DUMMYFUNCTION("""COMPUTED_VALUE"""),45916.6458333333)</f>
        <v>45916.6458333333</v>
      </c>
      <c r="F121" s="17">
        <f>IFERROR(__xludf.DUMMYFUNCTION("""COMPUTED_VALUE"""),752979)</f>
        <v>752979</v>
      </c>
      <c r="G121" s="16">
        <f>IFERROR(__xludf.DUMMYFUNCTION("""COMPUTED_VALUE"""),45916.6458333333)</f>
        <v>45916.6458333333</v>
      </c>
      <c r="H121" s="17">
        <f>IFERROR(__xludf.DUMMYFUNCTION("""COMPUTED_VALUE"""),2415.8)</f>
        <v>2415.8</v>
      </c>
      <c r="I121" s="16">
        <f>IFERROR(__xludf.DUMMYFUNCTION("""COMPUTED_VALUE"""),45916.6458333333)</f>
        <v>45916.6458333333</v>
      </c>
      <c r="J121" s="17">
        <f>IFERROR(__xludf.DUMMYFUNCTION("""COMPUTED_VALUE"""),2388)</f>
        <v>2388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IFERROR(__xludf.DUMMYFUNCTION("""COMPUTED_VALUE"""),2402)</f>
        <v>2402</v>
      </c>
      <c r="C122" s="16">
        <f>IFERROR(__xludf.DUMMYFUNCTION("""COMPUTED_VALUE"""),45917.6458333333)</f>
        <v>45917.6458333333</v>
      </c>
      <c r="D122" s="17">
        <f>IFERROR(__xludf.DUMMYFUNCTION("""COMPUTED_VALUE"""),2417)</f>
        <v>2417</v>
      </c>
      <c r="E122" s="16">
        <f>IFERROR(__xludf.DUMMYFUNCTION("""COMPUTED_VALUE"""),45917.6458333333)</f>
        <v>45917.6458333333</v>
      </c>
      <c r="F122" s="17">
        <f>IFERROR(__xludf.DUMMYFUNCTION("""COMPUTED_VALUE"""),514354)</f>
        <v>514354</v>
      </c>
      <c r="G122" s="16">
        <f>IFERROR(__xludf.DUMMYFUNCTION("""COMPUTED_VALUE"""),45917.6458333333)</f>
        <v>45917.6458333333</v>
      </c>
      <c r="H122" s="17">
        <f>IFERROR(__xludf.DUMMYFUNCTION("""COMPUTED_VALUE"""),2417)</f>
        <v>2417</v>
      </c>
      <c r="I122" s="16">
        <f>IFERROR(__xludf.DUMMYFUNCTION("""COMPUTED_VALUE"""),45917.6458333333)</f>
        <v>45917.6458333333</v>
      </c>
      <c r="J122" s="17">
        <f>IFERROR(__xludf.DUMMYFUNCTION("""COMPUTED_VALUE"""),2391)</f>
        <v>2391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IFERROR(__xludf.DUMMYFUNCTION("""COMPUTED_VALUE"""),2402)</f>
        <v>2402</v>
      </c>
      <c r="C123" s="16">
        <f>IFERROR(__xludf.DUMMYFUNCTION("""COMPUTED_VALUE"""),45918.6458333333)</f>
        <v>45918.6458333333</v>
      </c>
      <c r="D123" s="17">
        <f>IFERROR(__xludf.DUMMYFUNCTION("""COMPUTED_VALUE"""),2414.5)</f>
        <v>2414.5</v>
      </c>
      <c r="E123" s="16">
        <f>IFERROR(__xludf.DUMMYFUNCTION("""COMPUTED_VALUE"""),45918.6458333333)</f>
        <v>45918.6458333333</v>
      </c>
      <c r="F123" s="17">
        <f>IFERROR(__xludf.DUMMYFUNCTION("""COMPUTED_VALUE"""),703730)</f>
        <v>703730</v>
      </c>
      <c r="G123" s="16">
        <f>IFERROR(__xludf.DUMMYFUNCTION("""COMPUTED_VALUE"""),45918.6458333333)</f>
        <v>45918.6458333333</v>
      </c>
      <c r="H123" s="17">
        <f>IFERROR(__xludf.DUMMYFUNCTION("""COMPUTED_VALUE"""),2438)</f>
        <v>2438</v>
      </c>
      <c r="I123" s="16">
        <f>IFERROR(__xludf.DUMMYFUNCTION("""COMPUTED_VALUE"""),45918.6458333333)</f>
        <v>45918.6458333333</v>
      </c>
      <c r="J123" s="17">
        <f>IFERROR(__xludf.DUMMYFUNCTION("""COMPUTED_VALUE"""),2388.4)</f>
        <v>2388.4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IFERROR(__xludf.DUMMYFUNCTION("""COMPUTED_VALUE"""),2524)</f>
        <v>2524</v>
      </c>
      <c r="C124" s="16">
        <f>IFERROR(__xludf.DUMMYFUNCTION("""COMPUTED_VALUE"""),45919.6458333333)</f>
        <v>45919.6458333333</v>
      </c>
      <c r="D124" s="17">
        <f>IFERROR(__xludf.DUMMYFUNCTION("""COMPUTED_VALUE"""),2495)</f>
        <v>2495</v>
      </c>
      <c r="E124" s="16">
        <f>IFERROR(__xludf.DUMMYFUNCTION("""COMPUTED_VALUE"""),45919.6458333333)</f>
        <v>45919.6458333333</v>
      </c>
      <c r="F124" s="17">
        <f>IFERROR(__xludf.DUMMYFUNCTION("""COMPUTED_VALUE"""),7965135)</f>
        <v>7965135</v>
      </c>
      <c r="G124" s="16">
        <f>IFERROR(__xludf.DUMMYFUNCTION("""COMPUTED_VALUE"""),45919.6458333333)</f>
        <v>45919.6458333333</v>
      </c>
      <c r="H124" s="17">
        <f>IFERROR(__xludf.DUMMYFUNCTION("""COMPUTED_VALUE"""),2579)</f>
        <v>2579</v>
      </c>
      <c r="I124" s="16">
        <f>IFERROR(__xludf.DUMMYFUNCTION("""COMPUTED_VALUE"""),45919.6458333333)</f>
        <v>45919.6458333333</v>
      </c>
      <c r="J124" s="17">
        <f>IFERROR(__xludf.DUMMYFUNCTION("""COMPUTED_VALUE"""),2466.1)</f>
        <v>2466.1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IFERROR(__xludf.DUMMYFUNCTION("""COMPUTED_VALUE"""),2629.5)</f>
        <v>2629.5</v>
      </c>
      <c r="C125" s="16">
        <f>IFERROR(__xludf.DUMMYFUNCTION("""COMPUTED_VALUE"""),45922.6458333333)</f>
        <v>45922.6458333333</v>
      </c>
      <c r="D125" s="17">
        <f>IFERROR(__xludf.DUMMYFUNCTION("""COMPUTED_VALUE"""),2535)</f>
        <v>2535</v>
      </c>
      <c r="E125" s="16">
        <f>IFERROR(__xludf.DUMMYFUNCTION("""COMPUTED_VALUE"""),45922.6458333333)</f>
        <v>45922.6458333333</v>
      </c>
      <c r="F125" s="17">
        <f>IFERROR(__xludf.DUMMYFUNCTION("""COMPUTED_VALUE"""),7022985)</f>
        <v>7022985</v>
      </c>
      <c r="G125" s="16">
        <f>IFERROR(__xludf.DUMMYFUNCTION("""COMPUTED_VALUE"""),45922.6458333333)</f>
        <v>45922.6458333333</v>
      </c>
      <c r="H125" s="17">
        <f>IFERROR(__xludf.DUMMYFUNCTION("""COMPUTED_VALUE"""),2659)</f>
        <v>2659</v>
      </c>
      <c r="I125" s="16">
        <f>IFERROR(__xludf.DUMMYFUNCTION("""COMPUTED_VALUE"""),45922.6458333333)</f>
        <v>45922.6458333333</v>
      </c>
      <c r="J125" s="17">
        <f>IFERROR(__xludf.DUMMYFUNCTION("""COMPUTED_VALUE"""),2522.1)</f>
        <v>2522.1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IFERROR(__xludf.DUMMYFUNCTION("""COMPUTED_VALUE"""),2676.4)</f>
        <v>2676.4</v>
      </c>
      <c r="C126" s="16">
        <f>IFERROR(__xludf.DUMMYFUNCTION("""COMPUTED_VALUE"""),45923.6458333333)</f>
        <v>45923.6458333333</v>
      </c>
      <c r="D126" s="17">
        <f>IFERROR(__xludf.DUMMYFUNCTION("""COMPUTED_VALUE"""),2642.6)</f>
        <v>2642.6</v>
      </c>
      <c r="E126" s="16">
        <f>IFERROR(__xludf.DUMMYFUNCTION("""COMPUTED_VALUE"""),45923.6458333333)</f>
        <v>45923.6458333333</v>
      </c>
      <c r="F126" s="17">
        <f>IFERROR(__xludf.DUMMYFUNCTION("""COMPUTED_VALUE"""),5610022)</f>
        <v>5610022</v>
      </c>
      <c r="G126" s="16">
        <f>IFERROR(__xludf.DUMMYFUNCTION("""COMPUTED_VALUE"""),45923.6458333333)</f>
        <v>45923.6458333333</v>
      </c>
      <c r="H126" s="17">
        <f>IFERROR(__xludf.DUMMYFUNCTION("""COMPUTED_VALUE"""),2695)</f>
        <v>2695</v>
      </c>
      <c r="I126" s="16">
        <f>IFERROR(__xludf.DUMMYFUNCTION("""COMPUTED_VALUE"""),45923.6458333333)</f>
        <v>45923.6458333333</v>
      </c>
      <c r="J126" s="17">
        <f>IFERROR(__xludf.DUMMYFUNCTION("""COMPUTED_VALUE"""),2593)</f>
        <v>2593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IFERROR(__xludf.DUMMYFUNCTION("""COMPUTED_VALUE"""),2619.8)</f>
        <v>2619.8</v>
      </c>
      <c r="C127" s="16">
        <f>IFERROR(__xludf.DUMMYFUNCTION("""COMPUTED_VALUE"""),45924.6458333333)</f>
        <v>45924.6458333333</v>
      </c>
      <c r="D127" s="17">
        <f>IFERROR(__xludf.DUMMYFUNCTION("""COMPUTED_VALUE"""),2655)</f>
        <v>2655</v>
      </c>
      <c r="E127" s="16">
        <f>IFERROR(__xludf.DUMMYFUNCTION("""COMPUTED_VALUE"""),45924.6458333333)</f>
        <v>45924.6458333333</v>
      </c>
      <c r="F127" s="17">
        <f>IFERROR(__xludf.DUMMYFUNCTION("""COMPUTED_VALUE"""),1720785)</f>
        <v>1720785</v>
      </c>
      <c r="G127" s="16">
        <f>IFERROR(__xludf.DUMMYFUNCTION("""COMPUTED_VALUE"""),45924.6458333333)</f>
        <v>45924.6458333333</v>
      </c>
      <c r="H127" s="17">
        <f>IFERROR(__xludf.DUMMYFUNCTION("""COMPUTED_VALUE"""),2676)</f>
        <v>2676</v>
      </c>
      <c r="I127" s="16">
        <f>IFERROR(__xludf.DUMMYFUNCTION("""COMPUTED_VALUE"""),45924.6458333333)</f>
        <v>45924.6458333333</v>
      </c>
      <c r="J127" s="17">
        <f>IFERROR(__xludf.DUMMYFUNCTION("""COMPUTED_VALUE"""),2614.4)</f>
        <v>2614.4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IFERROR(__xludf.DUMMYFUNCTION("""COMPUTED_VALUE"""),2576.4)</f>
        <v>2576.4</v>
      </c>
      <c r="C128" s="16">
        <f>IFERROR(__xludf.DUMMYFUNCTION("""COMPUTED_VALUE"""),45925.6458333333)</f>
        <v>45925.6458333333</v>
      </c>
      <c r="D128" s="17">
        <f>IFERROR(__xludf.DUMMYFUNCTION("""COMPUTED_VALUE"""),2625)</f>
        <v>2625</v>
      </c>
      <c r="E128" s="16">
        <f>IFERROR(__xludf.DUMMYFUNCTION("""COMPUTED_VALUE"""),45925.6458333333)</f>
        <v>45925.6458333333</v>
      </c>
      <c r="F128" s="17">
        <f>IFERROR(__xludf.DUMMYFUNCTION("""COMPUTED_VALUE"""),1489682)</f>
        <v>1489682</v>
      </c>
      <c r="G128" s="16">
        <f>IFERROR(__xludf.DUMMYFUNCTION("""COMPUTED_VALUE"""),45925.6458333333)</f>
        <v>45925.6458333333</v>
      </c>
      <c r="H128" s="17">
        <f>IFERROR(__xludf.DUMMYFUNCTION("""COMPUTED_VALUE"""),2647.9)</f>
        <v>2647.9</v>
      </c>
      <c r="I128" s="16">
        <f>IFERROR(__xludf.DUMMYFUNCTION("""COMPUTED_VALUE"""),45925.6458333333)</f>
        <v>45925.6458333333</v>
      </c>
      <c r="J128" s="17">
        <f>IFERROR(__xludf.DUMMYFUNCTION("""COMPUTED_VALUE"""),2567)</f>
        <v>2567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IFERROR(__xludf.DUMMYFUNCTION("""COMPUTED_VALUE"""),2543.7)</f>
        <v>2543.7</v>
      </c>
      <c r="C129" s="16">
        <f>IFERROR(__xludf.DUMMYFUNCTION("""COMPUTED_VALUE"""),45926.6458333333)</f>
        <v>45926.6458333333</v>
      </c>
      <c r="D129" s="17">
        <f>IFERROR(__xludf.DUMMYFUNCTION("""COMPUTED_VALUE"""),2572.8)</f>
        <v>2572.8</v>
      </c>
      <c r="E129" s="16">
        <f>IFERROR(__xludf.DUMMYFUNCTION("""COMPUTED_VALUE"""),45926.6458333333)</f>
        <v>45926.6458333333</v>
      </c>
      <c r="F129" s="17">
        <f>IFERROR(__xludf.DUMMYFUNCTION("""COMPUTED_VALUE"""),1037808)</f>
        <v>1037808</v>
      </c>
      <c r="G129" s="16">
        <f>IFERROR(__xludf.DUMMYFUNCTION("""COMPUTED_VALUE"""),45926.6458333333)</f>
        <v>45926.6458333333</v>
      </c>
      <c r="H129" s="17">
        <f>IFERROR(__xludf.DUMMYFUNCTION("""COMPUTED_VALUE"""),2605)</f>
        <v>2605</v>
      </c>
      <c r="I129" s="16">
        <f>IFERROR(__xludf.DUMMYFUNCTION("""COMPUTED_VALUE"""),45926.6458333333)</f>
        <v>45926.6458333333</v>
      </c>
      <c r="J129" s="17">
        <f>IFERROR(__xludf.DUMMYFUNCTION("""COMPUTED_VALUE"""),2535)</f>
        <v>2535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267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""price"")"),2535.6)</f>
        <v>2535.6</v>
      </c>
      <c r="I3" s="22" t="s">
        <v>269</v>
      </c>
      <c r="J3" s="23">
        <f>IFERROR(__xludf.DUMMYFUNCTION("GOOGLEFINANCE(L3, ""volume"")"),1037808)</f>
        <v>1037808</v>
      </c>
      <c r="K3" s="24" t="s">
        <v>270</v>
      </c>
      <c r="L3" s="25" t="str">
        <f>Mastersheet!B3</f>
        <v>ADANIENT</v>
      </c>
      <c r="M3" s="26">
        <f>IFERROR(__xludf.DUMMYFUNCTION("""COMPUTED_VALUE"""),45926.6458333333)</f>
        <v>45926.6458333333</v>
      </c>
      <c r="N3" s="27">
        <f>IFERROR(__xludf.DUMMYFUNCTION("""COMPUTED_VALUE"""),2543.7)</f>
        <v>2543.7</v>
      </c>
      <c r="O3" s="26">
        <f>IFERROR(__xludf.DUMMYFUNCTION("""COMPUTED_VALUE"""),45926.6458333333)</f>
        <v>45926.6458333333</v>
      </c>
      <c r="P3" s="27">
        <f>IFERROR(__xludf.DUMMYFUNCTION("""COMPUTED_VALUE"""),2572.8)</f>
        <v>2572.8</v>
      </c>
      <c r="Q3" s="16">
        <f>IFERROR(__xludf.DUMMYFUNCTION("""COMPUTED_VALUE"""),45926.6458333333)</f>
        <v>45926.6458333333</v>
      </c>
      <c r="R3" s="17">
        <f>IFERROR(__xludf.DUMMYFUNCTION("""COMPUTED_VALUE"""),2605)</f>
        <v>2605</v>
      </c>
      <c r="S3" s="16">
        <f>IFERROR(__xludf.DUMMYFUNCTION("""COMPUTED_VALUE"""),45926.6458333333)</f>
        <v>45926.6458333333</v>
      </c>
      <c r="T3" s="17">
        <f>IFERROR(__xludf.DUMMYFUNCTION("""COMPUTED_VALUE"""),2535)</f>
        <v>2535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IFERROR(__xludf.DUMMYFUNCTION("""COMPUTED_VALUE"""),2363.35)</f>
        <v>2363.35</v>
      </c>
      <c r="C5" s="14">
        <f>IFERROR(__xludf.DUMMYFUNCTION("""COMPUTED_VALUE"""),45743.6458333333)</f>
        <v>45743.6458333333</v>
      </c>
      <c r="D5" s="15">
        <f>IFERROR(__xludf.DUMMYFUNCTION("""COMPUTED_VALUE"""),2310)</f>
        <v>2310</v>
      </c>
      <c r="E5" s="14">
        <f>IFERROR(__xludf.DUMMYFUNCTION("""COMPUTED_VALUE"""),45743.6458333333)</f>
        <v>45743.6458333333</v>
      </c>
      <c r="F5" s="15">
        <f>IFERROR(__xludf.DUMMYFUNCTION("""COMPUTED_VALUE"""),1696042)</f>
        <v>1696042</v>
      </c>
      <c r="G5" s="14">
        <f>IFERROR(__xludf.DUMMYFUNCTION("""COMPUTED_VALUE"""),45743.6458333333)</f>
        <v>45743.6458333333</v>
      </c>
      <c r="H5" s="15">
        <f>IFERROR(__xludf.DUMMYFUNCTION("""COMPUTED_VALUE"""),2373.9)</f>
        <v>2373.9</v>
      </c>
      <c r="I5" s="30">
        <f>IFERROR(__xludf.DUMMYFUNCTION("""COMPUTED_VALUE"""),45743.6458333333)</f>
        <v>45743.6458333333</v>
      </c>
      <c r="J5" s="3">
        <f>IFERROR(__xludf.DUMMYFUNCTION("""COMPUTED_VALUE"""),2291.6)</f>
        <v>2291.6</v>
      </c>
      <c r="K5" s="5"/>
      <c r="L5" s="5"/>
      <c r="M5" s="3">
        <f t="array" ref="M5">INDEX(K11:K124,MATCH(SMALL(ABS(K11:K124-H3),1),ABS(K11:K124-H3),0))</f>
        <v>2555</v>
      </c>
      <c r="N5" s="3">
        <f t="array" ref="N5">INDEX(K11:K124,MATCH(SMALL(ABS(K11:K124-H3),2),ABS(K11:K124-H3),0))</f>
        <v>2613.1</v>
      </c>
      <c r="O5" s="3">
        <f t="array" ref="O5">INDEX(L11:L124,MATCH(SMALL(ABS(L11:L124-H3),1),ABS(L11:L124-H3),0))</f>
        <v>2558.7</v>
      </c>
      <c r="P5" s="3">
        <f t="array" ref="P5">INDEX(L11:L124,MATCH(SMALL(ABS(L11:L124-H3),2),ABS(L11:L124-H3),0))</f>
        <v>2470.9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2442.8</v>
      </c>
      <c r="T5" s="17">
        <f ca="1">IF(AND(H3&gt;=Mastersheet!I3*S5,H3&lt;=Mastersheet!J3*S5),1,0)</f>
        <v>0</v>
      </c>
      <c r="U5" s="36">
        <f>(N3+P3)/2</f>
        <v>2558.25</v>
      </c>
      <c r="V5" s="17">
        <f>(N3+P3+R3+T3)/4</f>
        <v>2564.125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IFERROR(__xludf.DUMMYFUNCTION("""COMPUTED_VALUE"""),2315.8)</f>
        <v>2315.8</v>
      </c>
      <c r="C6" s="16">
        <f>IFERROR(__xludf.DUMMYFUNCTION("""COMPUTED_VALUE"""),45744.6458333333)</f>
        <v>45744.6458333333</v>
      </c>
      <c r="D6" s="17">
        <f>IFERROR(__xludf.DUMMYFUNCTION("""COMPUTED_VALUE"""),2376)</f>
        <v>2376</v>
      </c>
      <c r="E6" s="16">
        <f>IFERROR(__xludf.DUMMYFUNCTION("""COMPUTED_VALUE"""),45744.6458333333)</f>
        <v>45744.6458333333</v>
      </c>
      <c r="F6" s="17">
        <f>IFERROR(__xludf.DUMMYFUNCTION("""COMPUTED_VALUE"""),1838836)</f>
        <v>1838836</v>
      </c>
      <c r="G6" s="16">
        <f>IFERROR(__xludf.DUMMYFUNCTION("""COMPUTED_VALUE"""),45744.6458333333)</f>
        <v>45744.6458333333</v>
      </c>
      <c r="H6" s="17">
        <f>IFERROR(__xludf.DUMMYFUNCTION("""COMPUTED_VALUE"""),2386.95)</f>
        <v>2386.95</v>
      </c>
      <c r="I6" s="16">
        <f>IFERROR(__xludf.DUMMYFUNCTION("""COMPUTED_VALUE"""),45744.6458333333)</f>
        <v>45744.6458333333</v>
      </c>
      <c r="J6" s="17">
        <f>IFERROR(__xludf.DUMMYFUNCTION("""COMPUTED_VALUE"""),2293.7)</f>
        <v>2293.7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IFERROR(__xludf.DUMMYFUNCTION("""COMPUTED_VALUE"""),2335.25)</f>
        <v>2335.25</v>
      </c>
      <c r="C7" s="16">
        <f>IFERROR(__xludf.DUMMYFUNCTION("""COMPUTED_VALUE"""),45748.6458333333)</f>
        <v>45748.6458333333</v>
      </c>
      <c r="D7" s="17">
        <f>IFERROR(__xludf.DUMMYFUNCTION("""COMPUTED_VALUE"""),2312)</f>
        <v>2312</v>
      </c>
      <c r="E7" s="16">
        <f>IFERROR(__xludf.DUMMYFUNCTION("""COMPUTED_VALUE"""),45748.6458333333)</f>
        <v>45748.6458333333</v>
      </c>
      <c r="F7" s="17">
        <f>IFERROR(__xludf.DUMMYFUNCTION("""COMPUTED_VALUE"""),501942)</f>
        <v>501942</v>
      </c>
      <c r="G7" s="16">
        <f>IFERROR(__xludf.DUMMYFUNCTION("""COMPUTED_VALUE"""),45748.6458333333)</f>
        <v>45748.6458333333</v>
      </c>
      <c r="H7" s="17">
        <f>IFERROR(__xludf.DUMMYFUNCTION("""COMPUTED_VALUE"""),2358.95)</f>
        <v>2358.95</v>
      </c>
      <c r="I7" s="16">
        <f>IFERROR(__xludf.DUMMYFUNCTION("""COMPUTED_VALUE"""),45748.6458333333)</f>
        <v>45748.6458333333</v>
      </c>
      <c r="J7" s="17">
        <f>IFERROR(__xludf.DUMMYFUNCTION("""COMPUTED_VALUE"""),2301)</f>
        <v>2301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IFERROR(__xludf.DUMMYFUNCTION("""COMPUTED_VALUE"""),2369.4)</f>
        <v>2369.4</v>
      </c>
      <c r="C8" s="16">
        <f>IFERROR(__xludf.DUMMYFUNCTION("""COMPUTED_VALUE"""),45749.6458333333)</f>
        <v>45749.6458333333</v>
      </c>
      <c r="D8" s="17">
        <f>IFERROR(__xludf.DUMMYFUNCTION("""COMPUTED_VALUE"""),2339.75)</f>
        <v>2339.75</v>
      </c>
      <c r="E8" s="16">
        <f>IFERROR(__xludf.DUMMYFUNCTION("""COMPUTED_VALUE"""),45749.6458333333)</f>
        <v>45749.6458333333</v>
      </c>
      <c r="F8" s="17">
        <f>IFERROR(__xludf.DUMMYFUNCTION("""COMPUTED_VALUE"""),573928)</f>
        <v>573928</v>
      </c>
      <c r="G8" s="16">
        <f>IFERROR(__xludf.DUMMYFUNCTION("""COMPUTED_VALUE"""),45749.6458333333)</f>
        <v>45749.6458333333</v>
      </c>
      <c r="H8" s="17">
        <f>IFERROR(__xludf.DUMMYFUNCTION("""COMPUTED_VALUE"""),2378.85)</f>
        <v>2378.85</v>
      </c>
      <c r="I8" s="16">
        <f>IFERROR(__xludf.DUMMYFUNCTION("""COMPUTED_VALUE"""),45749.6458333333)</f>
        <v>45749.6458333333</v>
      </c>
      <c r="J8" s="17">
        <f>IFERROR(__xludf.DUMMYFUNCTION("""COMPUTED_VALUE"""),2314.55)</f>
        <v>2314.55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IFERROR(__xludf.DUMMYFUNCTION("""COMPUTED_VALUE"""),2410.8)</f>
        <v>2410.8</v>
      </c>
      <c r="C9" s="16">
        <f>IFERROR(__xludf.DUMMYFUNCTION("""COMPUTED_VALUE"""),45750.6458333333)</f>
        <v>45750.6458333333</v>
      </c>
      <c r="D9" s="17">
        <f>IFERROR(__xludf.DUMMYFUNCTION("""COMPUTED_VALUE"""),2339.75)</f>
        <v>2339.75</v>
      </c>
      <c r="E9" s="16">
        <f>IFERROR(__xludf.DUMMYFUNCTION("""COMPUTED_VALUE"""),45750.6458333333)</f>
        <v>45750.6458333333</v>
      </c>
      <c r="F9" s="17">
        <f>IFERROR(__xludf.DUMMYFUNCTION("""COMPUTED_VALUE"""),1023200)</f>
        <v>1023200</v>
      </c>
      <c r="G9" s="16">
        <f>IFERROR(__xludf.DUMMYFUNCTION("""COMPUTED_VALUE"""),45750.6458333333)</f>
        <v>45750.6458333333</v>
      </c>
      <c r="H9" s="17">
        <f>IFERROR(__xludf.DUMMYFUNCTION("""COMPUTED_VALUE"""),2429.9)</f>
        <v>2429.9</v>
      </c>
      <c r="I9" s="16">
        <f>IFERROR(__xludf.DUMMYFUNCTION("""COMPUTED_VALUE"""),45750.6458333333)</f>
        <v>45750.6458333333</v>
      </c>
      <c r="J9" s="17">
        <f>IFERROR(__xludf.DUMMYFUNCTION("""COMPUTED_VALUE"""),2339.7)</f>
        <v>2339.7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IFERROR(__xludf.DUMMYFUNCTION("""COMPUTED_VALUE"""),2334.65)</f>
        <v>2334.65</v>
      </c>
      <c r="C10" s="16">
        <f>IFERROR(__xludf.DUMMYFUNCTION("""COMPUTED_VALUE"""),45751.6458333333)</f>
        <v>45751.6458333333</v>
      </c>
      <c r="D10" s="17">
        <f>IFERROR(__xludf.DUMMYFUNCTION("""COMPUTED_VALUE"""),2394.95)</f>
        <v>2394.95</v>
      </c>
      <c r="E10" s="16">
        <f>IFERROR(__xludf.DUMMYFUNCTION("""COMPUTED_VALUE"""),45751.6458333333)</f>
        <v>45751.6458333333</v>
      </c>
      <c r="F10" s="17">
        <f>IFERROR(__xludf.DUMMYFUNCTION("""COMPUTED_VALUE"""),1219733)</f>
        <v>1219733</v>
      </c>
      <c r="G10" s="16">
        <f>IFERROR(__xludf.DUMMYFUNCTION("""COMPUTED_VALUE"""),45751.6458333333)</f>
        <v>45751.6458333333</v>
      </c>
      <c r="H10" s="17">
        <f>IFERROR(__xludf.DUMMYFUNCTION("""COMPUTED_VALUE"""),2410.05)</f>
        <v>2410.05</v>
      </c>
      <c r="I10" s="16">
        <f>IFERROR(__xludf.DUMMYFUNCTION("""COMPUTED_VALUE"""),45751.6458333333)</f>
        <v>45751.6458333333</v>
      </c>
      <c r="J10" s="17">
        <f>IFERROR(__xludf.DUMMYFUNCTION("""COMPUTED_VALUE"""),2315.5)</f>
        <v>2315.5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IFERROR(__xludf.DUMMYFUNCTION("""COMPUTED_VALUE"""),2212.7)</f>
        <v>2212.7</v>
      </c>
      <c r="C11" s="16">
        <f>IFERROR(__xludf.DUMMYFUNCTION("""COMPUTED_VALUE"""),45754.6458333333)</f>
        <v>45754.6458333333</v>
      </c>
      <c r="D11" s="17">
        <f>IFERROR(__xludf.DUMMYFUNCTION("""COMPUTED_VALUE"""),2150.05)</f>
        <v>2150.05</v>
      </c>
      <c r="E11" s="16">
        <f>IFERROR(__xludf.DUMMYFUNCTION("""COMPUTED_VALUE"""),45754.6458333333)</f>
        <v>45754.6458333333</v>
      </c>
      <c r="F11" s="17">
        <f>IFERROR(__xludf.DUMMYFUNCTION("""COMPUTED_VALUE"""),1567177)</f>
        <v>1567177</v>
      </c>
      <c r="G11" s="16">
        <f>IFERROR(__xludf.DUMMYFUNCTION("""COMPUTED_VALUE"""),45754.6458333333)</f>
        <v>45754.6458333333</v>
      </c>
      <c r="H11" s="17">
        <f>IFERROR(__xludf.DUMMYFUNCTION("""COMPUTED_VALUE"""),2239)</f>
        <v>2239</v>
      </c>
      <c r="I11" s="16">
        <f>IFERROR(__xludf.DUMMYFUNCTION("""COMPUTED_VALUE"""),45754.6458333333)</f>
        <v>45754.6458333333</v>
      </c>
      <c r="J11" s="17">
        <f>IFERROR(__xludf.DUMMYFUNCTION("""COMPUTED_VALUE"""),2145)</f>
        <v>2145</v>
      </c>
      <c r="K11" s="3">
        <f t="shared" ref="K11:K125" si="2">IF(B11=MAX(B5:B17),B11,0)</f>
        <v>0</v>
      </c>
      <c r="L11" s="3">
        <f t="shared" ref="L11:L125" si="3">IF(B11=MIN(B5:B17),B11,0)</f>
        <v>2212.7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IFERROR(__xludf.DUMMYFUNCTION("""COMPUTED_VALUE"""),2285.7)</f>
        <v>2285.7</v>
      </c>
      <c r="C12" s="16">
        <f>IFERROR(__xludf.DUMMYFUNCTION("""COMPUTED_VALUE"""),45755.6458333333)</f>
        <v>45755.6458333333</v>
      </c>
      <c r="D12" s="17">
        <f>IFERROR(__xludf.DUMMYFUNCTION("""COMPUTED_VALUE"""),2270)</f>
        <v>2270</v>
      </c>
      <c r="E12" s="16">
        <f>IFERROR(__xludf.DUMMYFUNCTION("""COMPUTED_VALUE"""),45755.6458333333)</f>
        <v>45755.6458333333</v>
      </c>
      <c r="F12" s="17">
        <f>IFERROR(__xludf.DUMMYFUNCTION("""COMPUTED_VALUE"""),1224362)</f>
        <v>1224362</v>
      </c>
      <c r="G12" s="16">
        <f>IFERROR(__xludf.DUMMYFUNCTION("""COMPUTED_VALUE"""),45755.6458333333)</f>
        <v>45755.6458333333</v>
      </c>
      <c r="H12" s="17">
        <f>IFERROR(__xludf.DUMMYFUNCTION("""COMPUTED_VALUE"""),2301)</f>
        <v>2301</v>
      </c>
      <c r="I12" s="16">
        <f>IFERROR(__xludf.DUMMYFUNCTION("""COMPUTED_VALUE"""),45755.6458333333)</f>
        <v>45755.6458333333</v>
      </c>
      <c r="J12" s="17">
        <f>IFERROR(__xludf.DUMMYFUNCTION("""COMPUTED_VALUE"""),2225)</f>
        <v>2225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IFERROR(__xludf.DUMMYFUNCTION("""COMPUTED_VALUE"""),2236.9)</f>
        <v>2236.9</v>
      </c>
      <c r="C13" s="16">
        <f>IFERROR(__xludf.DUMMYFUNCTION("""COMPUTED_VALUE"""),45756.6458333333)</f>
        <v>45756.6458333333</v>
      </c>
      <c r="D13" s="17">
        <f>IFERROR(__xludf.DUMMYFUNCTION("""COMPUTED_VALUE"""),2265.7)</f>
        <v>2265.7</v>
      </c>
      <c r="E13" s="16">
        <f>IFERROR(__xludf.DUMMYFUNCTION("""COMPUTED_VALUE"""),45756.6458333333)</f>
        <v>45756.6458333333</v>
      </c>
      <c r="F13" s="17">
        <f>IFERROR(__xludf.DUMMYFUNCTION("""COMPUTED_VALUE"""),1001633)</f>
        <v>1001633</v>
      </c>
      <c r="G13" s="16">
        <f>IFERROR(__xludf.DUMMYFUNCTION("""COMPUTED_VALUE"""),45756.6458333333)</f>
        <v>45756.6458333333</v>
      </c>
      <c r="H13" s="17">
        <f>IFERROR(__xludf.DUMMYFUNCTION("""COMPUTED_VALUE"""),2279.55)</f>
        <v>2279.55</v>
      </c>
      <c r="I13" s="16">
        <f>IFERROR(__xludf.DUMMYFUNCTION("""COMPUTED_VALUE"""),45756.6458333333)</f>
        <v>45756.6458333333</v>
      </c>
      <c r="J13" s="17">
        <f>IFERROR(__xludf.DUMMYFUNCTION("""COMPUTED_VALUE"""),2215.2)</f>
        <v>2215.2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IFERROR(__xludf.DUMMYFUNCTION("""COMPUTED_VALUE"""),2321.4)</f>
        <v>2321.4</v>
      </c>
      <c r="C14" s="16">
        <f>IFERROR(__xludf.DUMMYFUNCTION("""COMPUTED_VALUE"""),45758.6458333333)</f>
        <v>45758.6458333333</v>
      </c>
      <c r="D14" s="17">
        <f>IFERROR(__xludf.DUMMYFUNCTION("""COMPUTED_VALUE"""),2303.05)</f>
        <v>2303.05</v>
      </c>
      <c r="E14" s="16">
        <f>IFERROR(__xludf.DUMMYFUNCTION("""COMPUTED_VALUE"""),45758.6458333333)</f>
        <v>45758.6458333333</v>
      </c>
      <c r="F14" s="17">
        <f>IFERROR(__xludf.DUMMYFUNCTION("""COMPUTED_VALUE"""),981463)</f>
        <v>981463</v>
      </c>
      <c r="G14" s="16">
        <f>IFERROR(__xludf.DUMMYFUNCTION("""COMPUTED_VALUE"""),45758.6458333333)</f>
        <v>45758.6458333333</v>
      </c>
      <c r="H14" s="17">
        <f>IFERROR(__xludf.DUMMYFUNCTION("""COMPUTED_VALUE"""),2343.5)</f>
        <v>2343.5</v>
      </c>
      <c r="I14" s="16">
        <f>IFERROR(__xludf.DUMMYFUNCTION("""COMPUTED_VALUE"""),45758.6458333333)</f>
        <v>45758.6458333333</v>
      </c>
      <c r="J14" s="17">
        <f>IFERROR(__xludf.DUMMYFUNCTION("""COMPUTED_VALUE"""),2281)</f>
        <v>2281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IFERROR(__xludf.DUMMYFUNCTION("""COMPUTED_VALUE"""),2418.2)</f>
        <v>2418.2</v>
      </c>
      <c r="C15" s="16">
        <f>IFERROR(__xludf.DUMMYFUNCTION("""COMPUTED_VALUE"""),45762.6458333333)</f>
        <v>45762.6458333333</v>
      </c>
      <c r="D15" s="17">
        <f>IFERROR(__xludf.DUMMYFUNCTION("""COMPUTED_VALUE"""),2375)</f>
        <v>2375</v>
      </c>
      <c r="E15" s="16">
        <f>IFERROR(__xludf.DUMMYFUNCTION("""COMPUTED_VALUE"""),45762.6458333333)</f>
        <v>45762.6458333333</v>
      </c>
      <c r="F15" s="17">
        <f>IFERROR(__xludf.DUMMYFUNCTION("""COMPUTED_VALUE"""),1145125)</f>
        <v>1145125</v>
      </c>
      <c r="G15" s="16">
        <f>IFERROR(__xludf.DUMMYFUNCTION("""COMPUTED_VALUE"""),45762.6458333333)</f>
        <v>45762.6458333333</v>
      </c>
      <c r="H15" s="17">
        <f>IFERROR(__xludf.DUMMYFUNCTION("""COMPUTED_VALUE"""),2440)</f>
        <v>2440</v>
      </c>
      <c r="I15" s="16">
        <f>IFERROR(__xludf.DUMMYFUNCTION("""COMPUTED_VALUE"""),45762.6458333333)</f>
        <v>45762.6458333333</v>
      </c>
      <c r="J15" s="17">
        <f>IFERROR(__xludf.DUMMYFUNCTION("""COMPUTED_VALUE"""),2359)</f>
        <v>2359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IFERROR(__xludf.DUMMYFUNCTION("""COMPUTED_VALUE"""),2415.6)</f>
        <v>2415.6</v>
      </c>
      <c r="C16" s="16">
        <f>IFERROR(__xludf.DUMMYFUNCTION("""COMPUTED_VALUE"""),45763.6458333333)</f>
        <v>45763.6458333333</v>
      </c>
      <c r="D16" s="17">
        <f>IFERROR(__xludf.DUMMYFUNCTION("""COMPUTED_VALUE"""),2400)</f>
        <v>2400</v>
      </c>
      <c r="E16" s="16">
        <f>IFERROR(__xludf.DUMMYFUNCTION("""COMPUTED_VALUE"""),45763.6458333333)</f>
        <v>45763.6458333333</v>
      </c>
      <c r="F16" s="17">
        <f>IFERROR(__xludf.DUMMYFUNCTION("""COMPUTED_VALUE"""),889949)</f>
        <v>889949</v>
      </c>
      <c r="G16" s="16">
        <f>IFERROR(__xludf.DUMMYFUNCTION("""COMPUTED_VALUE"""),45763.6458333333)</f>
        <v>45763.6458333333</v>
      </c>
      <c r="H16" s="17">
        <f>IFERROR(__xludf.DUMMYFUNCTION("""COMPUTED_VALUE"""),2428)</f>
        <v>2428</v>
      </c>
      <c r="I16" s="16">
        <f>IFERROR(__xludf.DUMMYFUNCTION("""COMPUTED_VALUE"""),45763.6458333333)</f>
        <v>45763.6458333333</v>
      </c>
      <c r="J16" s="17">
        <f>IFERROR(__xludf.DUMMYFUNCTION("""COMPUTED_VALUE"""),2382.9)</f>
        <v>2382.9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IFERROR(__xludf.DUMMYFUNCTION("""COMPUTED_VALUE"""),2418.1)</f>
        <v>2418.1</v>
      </c>
      <c r="C17" s="16">
        <f>IFERROR(__xludf.DUMMYFUNCTION("""COMPUTED_VALUE"""),45764.6458333333)</f>
        <v>45764.6458333333</v>
      </c>
      <c r="D17" s="17">
        <f>IFERROR(__xludf.DUMMYFUNCTION("""COMPUTED_VALUE"""),2418)</f>
        <v>2418</v>
      </c>
      <c r="E17" s="16">
        <f>IFERROR(__xludf.DUMMYFUNCTION("""COMPUTED_VALUE"""),45764.6458333333)</f>
        <v>45764.6458333333</v>
      </c>
      <c r="F17" s="17">
        <f>IFERROR(__xludf.DUMMYFUNCTION("""COMPUTED_VALUE"""),1054797)</f>
        <v>1054797</v>
      </c>
      <c r="G17" s="16">
        <f>IFERROR(__xludf.DUMMYFUNCTION("""COMPUTED_VALUE"""),45764.6458333333)</f>
        <v>45764.6458333333</v>
      </c>
      <c r="H17" s="17">
        <f>IFERROR(__xludf.DUMMYFUNCTION("""COMPUTED_VALUE"""),2448.6)</f>
        <v>2448.6</v>
      </c>
      <c r="I17" s="16">
        <f>IFERROR(__xludf.DUMMYFUNCTION("""COMPUTED_VALUE"""),45764.6458333333)</f>
        <v>45764.6458333333</v>
      </c>
      <c r="J17" s="17">
        <f>IFERROR(__xludf.DUMMYFUNCTION("""COMPUTED_VALUE"""),2392)</f>
        <v>2392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IFERROR(__xludf.DUMMYFUNCTION("""COMPUTED_VALUE"""),2442.7)</f>
        <v>2442.7</v>
      </c>
      <c r="C18" s="16">
        <f>IFERROR(__xludf.DUMMYFUNCTION("""COMPUTED_VALUE"""),45768.6458333333)</f>
        <v>45768.6458333333</v>
      </c>
      <c r="D18" s="17">
        <f>IFERROR(__xludf.DUMMYFUNCTION("""COMPUTED_VALUE"""),2426.1)</f>
        <v>2426.1</v>
      </c>
      <c r="E18" s="16">
        <f>IFERROR(__xludf.DUMMYFUNCTION("""COMPUTED_VALUE"""),45768.6458333333)</f>
        <v>45768.6458333333</v>
      </c>
      <c r="F18" s="17">
        <f>IFERROR(__xludf.DUMMYFUNCTION("""COMPUTED_VALUE"""),782559)</f>
        <v>782559</v>
      </c>
      <c r="G18" s="16">
        <f>IFERROR(__xludf.DUMMYFUNCTION("""COMPUTED_VALUE"""),45768.6458333333)</f>
        <v>45768.6458333333</v>
      </c>
      <c r="H18" s="17">
        <f>IFERROR(__xludf.DUMMYFUNCTION("""COMPUTED_VALUE"""),2464.9)</f>
        <v>2464.9</v>
      </c>
      <c r="I18" s="16">
        <f>IFERROR(__xludf.DUMMYFUNCTION("""COMPUTED_VALUE"""),45768.6458333333)</f>
        <v>45768.6458333333</v>
      </c>
      <c r="J18" s="17">
        <f>IFERROR(__xludf.DUMMYFUNCTION("""COMPUTED_VALUE"""),2395.5)</f>
        <v>2395.5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IFERROR(__xludf.DUMMYFUNCTION("""COMPUTED_VALUE"""),2445.5)</f>
        <v>2445.5</v>
      </c>
      <c r="C19" s="16">
        <f>IFERROR(__xludf.DUMMYFUNCTION("""COMPUTED_VALUE"""),45769.6458333333)</f>
        <v>45769.6458333333</v>
      </c>
      <c r="D19" s="17">
        <f>IFERROR(__xludf.DUMMYFUNCTION("""COMPUTED_VALUE"""),2458.9)</f>
        <v>2458.9</v>
      </c>
      <c r="E19" s="16">
        <f>IFERROR(__xludf.DUMMYFUNCTION("""COMPUTED_VALUE"""),45769.6458333333)</f>
        <v>45769.6458333333</v>
      </c>
      <c r="F19" s="17">
        <f>IFERROR(__xludf.DUMMYFUNCTION("""COMPUTED_VALUE"""),766567)</f>
        <v>766567</v>
      </c>
      <c r="G19" s="16">
        <f>IFERROR(__xludf.DUMMYFUNCTION("""COMPUTED_VALUE"""),45769.6458333333)</f>
        <v>45769.6458333333</v>
      </c>
      <c r="H19" s="17">
        <f>IFERROR(__xludf.DUMMYFUNCTION("""COMPUTED_VALUE"""),2483.4)</f>
        <v>2483.4</v>
      </c>
      <c r="I19" s="16">
        <f>IFERROR(__xludf.DUMMYFUNCTION("""COMPUTED_VALUE"""),45769.6458333333)</f>
        <v>45769.6458333333</v>
      </c>
      <c r="J19" s="17">
        <f>IFERROR(__xludf.DUMMYFUNCTION("""COMPUTED_VALUE"""),2441)</f>
        <v>2441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IFERROR(__xludf.DUMMYFUNCTION("""COMPUTED_VALUE"""),2453.6)</f>
        <v>2453.6</v>
      </c>
      <c r="C20" s="16">
        <f>IFERROR(__xludf.DUMMYFUNCTION("""COMPUTED_VALUE"""),45770.6458333333)</f>
        <v>45770.6458333333</v>
      </c>
      <c r="D20" s="17">
        <f>IFERROR(__xludf.DUMMYFUNCTION("""COMPUTED_VALUE"""),2460)</f>
        <v>2460</v>
      </c>
      <c r="E20" s="16">
        <f>IFERROR(__xludf.DUMMYFUNCTION("""COMPUTED_VALUE"""),45770.6458333333)</f>
        <v>45770.6458333333</v>
      </c>
      <c r="F20" s="17">
        <f>IFERROR(__xludf.DUMMYFUNCTION("""COMPUTED_VALUE"""),672262)</f>
        <v>672262</v>
      </c>
      <c r="G20" s="16">
        <f>IFERROR(__xludf.DUMMYFUNCTION("""COMPUTED_VALUE"""),45770.6458333333)</f>
        <v>45770.6458333333</v>
      </c>
      <c r="H20" s="17">
        <f>IFERROR(__xludf.DUMMYFUNCTION("""COMPUTED_VALUE"""),2473.8)</f>
        <v>2473.8</v>
      </c>
      <c r="I20" s="16">
        <f>IFERROR(__xludf.DUMMYFUNCTION("""COMPUTED_VALUE"""),45770.6458333333)</f>
        <v>45770.6458333333</v>
      </c>
      <c r="J20" s="17">
        <f>IFERROR(__xludf.DUMMYFUNCTION("""COMPUTED_VALUE"""),2421.2)</f>
        <v>2421.2</v>
      </c>
      <c r="K20" s="3">
        <f t="shared" si="2"/>
        <v>2453.6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IFERROR(__xludf.DUMMYFUNCTION("""COMPUTED_VALUE"""),2442.5)</f>
        <v>2442.5</v>
      </c>
      <c r="C21" s="16">
        <f>IFERROR(__xludf.DUMMYFUNCTION("""COMPUTED_VALUE"""),45771.6458333333)</f>
        <v>45771.6458333333</v>
      </c>
      <c r="D21" s="17">
        <f>IFERROR(__xludf.DUMMYFUNCTION("""COMPUTED_VALUE"""),2450)</f>
        <v>2450</v>
      </c>
      <c r="E21" s="16">
        <f>IFERROR(__xludf.DUMMYFUNCTION("""COMPUTED_VALUE"""),45771.6458333333)</f>
        <v>45771.6458333333</v>
      </c>
      <c r="F21" s="17">
        <f>IFERROR(__xludf.DUMMYFUNCTION("""COMPUTED_VALUE"""),596696)</f>
        <v>596696</v>
      </c>
      <c r="G21" s="16">
        <f>IFERROR(__xludf.DUMMYFUNCTION("""COMPUTED_VALUE"""),45771.6458333333)</f>
        <v>45771.6458333333</v>
      </c>
      <c r="H21" s="17">
        <f>IFERROR(__xludf.DUMMYFUNCTION("""COMPUTED_VALUE"""),2461.4)</f>
        <v>2461.4</v>
      </c>
      <c r="I21" s="16">
        <f>IFERROR(__xludf.DUMMYFUNCTION("""COMPUTED_VALUE"""),45771.6458333333)</f>
        <v>45771.6458333333</v>
      </c>
      <c r="J21" s="17">
        <f>IFERROR(__xludf.DUMMYFUNCTION("""COMPUTED_VALUE"""),2425.1)</f>
        <v>2425.1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IFERROR(__xludf.DUMMYFUNCTION("""COMPUTED_VALUE"""),2354.3)</f>
        <v>2354.3</v>
      </c>
      <c r="C22" s="16">
        <f>IFERROR(__xludf.DUMMYFUNCTION("""COMPUTED_VALUE"""),45772.6458333333)</f>
        <v>45772.6458333333</v>
      </c>
      <c r="D22" s="17">
        <f>IFERROR(__xludf.DUMMYFUNCTION("""COMPUTED_VALUE"""),2450.1)</f>
        <v>2450.1</v>
      </c>
      <c r="E22" s="16">
        <f>IFERROR(__xludf.DUMMYFUNCTION("""COMPUTED_VALUE"""),45772.6458333333)</f>
        <v>45772.6458333333</v>
      </c>
      <c r="F22" s="17">
        <f>IFERROR(__xludf.DUMMYFUNCTION("""COMPUTED_VALUE"""),1414809)</f>
        <v>1414809</v>
      </c>
      <c r="G22" s="16">
        <f>IFERROR(__xludf.DUMMYFUNCTION("""COMPUTED_VALUE"""),45772.6458333333)</f>
        <v>45772.6458333333</v>
      </c>
      <c r="H22" s="17">
        <f>IFERROR(__xludf.DUMMYFUNCTION("""COMPUTED_VALUE"""),2459.5)</f>
        <v>2459.5</v>
      </c>
      <c r="I22" s="16">
        <f>IFERROR(__xludf.DUMMYFUNCTION("""COMPUTED_VALUE"""),45772.6458333333)</f>
        <v>45772.6458333333</v>
      </c>
      <c r="J22" s="17">
        <f>IFERROR(__xludf.DUMMYFUNCTION("""COMPUTED_VALUE"""),2323.5)</f>
        <v>2323.5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IFERROR(__xludf.DUMMYFUNCTION("""COMPUTED_VALUE"""),2369.8)</f>
        <v>2369.8</v>
      </c>
      <c r="C23" s="16">
        <f>IFERROR(__xludf.DUMMYFUNCTION("""COMPUTED_VALUE"""),45775.6458333333)</f>
        <v>45775.6458333333</v>
      </c>
      <c r="D23" s="17">
        <f>IFERROR(__xludf.DUMMYFUNCTION("""COMPUTED_VALUE"""),2346)</f>
        <v>2346</v>
      </c>
      <c r="E23" s="16">
        <f>IFERROR(__xludf.DUMMYFUNCTION("""COMPUTED_VALUE"""),45775.6458333333)</f>
        <v>45775.6458333333</v>
      </c>
      <c r="F23" s="17">
        <f>IFERROR(__xludf.DUMMYFUNCTION("""COMPUTED_VALUE"""),681421)</f>
        <v>681421</v>
      </c>
      <c r="G23" s="16">
        <f>IFERROR(__xludf.DUMMYFUNCTION("""COMPUTED_VALUE"""),45775.6458333333)</f>
        <v>45775.6458333333</v>
      </c>
      <c r="H23" s="17">
        <f>IFERROR(__xludf.DUMMYFUNCTION("""COMPUTED_VALUE"""),2402)</f>
        <v>2402</v>
      </c>
      <c r="I23" s="16">
        <f>IFERROR(__xludf.DUMMYFUNCTION("""COMPUTED_VALUE"""),45775.6458333333)</f>
        <v>45775.6458333333</v>
      </c>
      <c r="J23" s="17">
        <f>IFERROR(__xludf.DUMMYFUNCTION("""COMPUTED_VALUE"""),2337.6)</f>
        <v>2337.6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IFERROR(__xludf.DUMMYFUNCTION("""COMPUTED_VALUE"""),2330.6)</f>
        <v>2330.6</v>
      </c>
      <c r="C24" s="16">
        <f>IFERROR(__xludf.DUMMYFUNCTION("""COMPUTED_VALUE"""),45776.6458333333)</f>
        <v>45776.6458333333</v>
      </c>
      <c r="D24" s="17">
        <f>IFERROR(__xludf.DUMMYFUNCTION("""COMPUTED_VALUE"""),2392)</f>
        <v>2392</v>
      </c>
      <c r="E24" s="16">
        <f>IFERROR(__xludf.DUMMYFUNCTION("""COMPUTED_VALUE"""),45776.6458333333)</f>
        <v>45776.6458333333</v>
      </c>
      <c r="F24" s="17">
        <f>IFERROR(__xludf.DUMMYFUNCTION("""COMPUTED_VALUE"""),670730)</f>
        <v>670730</v>
      </c>
      <c r="G24" s="16">
        <f>IFERROR(__xludf.DUMMYFUNCTION("""COMPUTED_VALUE"""),45776.6458333333)</f>
        <v>45776.6458333333</v>
      </c>
      <c r="H24" s="17">
        <f>IFERROR(__xludf.DUMMYFUNCTION("""COMPUTED_VALUE"""),2400)</f>
        <v>2400</v>
      </c>
      <c r="I24" s="16">
        <f>IFERROR(__xludf.DUMMYFUNCTION("""COMPUTED_VALUE"""),45776.6458333333)</f>
        <v>45776.6458333333</v>
      </c>
      <c r="J24" s="17">
        <f>IFERROR(__xludf.DUMMYFUNCTION("""COMPUTED_VALUE"""),2325.6)</f>
        <v>2325.6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IFERROR(__xludf.DUMMYFUNCTION("""COMPUTED_VALUE"""),2301.3)</f>
        <v>2301.3</v>
      </c>
      <c r="C25" s="16">
        <f>IFERROR(__xludf.DUMMYFUNCTION("""COMPUTED_VALUE"""),45777.6458333333)</f>
        <v>45777.6458333333</v>
      </c>
      <c r="D25" s="17">
        <f>IFERROR(__xludf.DUMMYFUNCTION("""COMPUTED_VALUE"""),2331.4)</f>
        <v>2331.4</v>
      </c>
      <c r="E25" s="16">
        <f>IFERROR(__xludf.DUMMYFUNCTION("""COMPUTED_VALUE"""),45777.6458333333)</f>
        <v>45777.6458333333</v>
      </c>
      <c r="F25" s="17">
        <f>IFERROR(__xludf.DUMMYFUNCTION("""COMPUTED_VALUE"""),837464)</f>
        <v>837464</v>
      </c>
      <c r="G25" s="16">
        <f>IFERROR(__xludf.DUMMYFUNCTION("""COMPUTED_VALUE"""),45777.6458333333)</f>
        <v>45777.6458333333</v>
      </c>
      <c r="H25" s="17">
        <f>IFERROR(__xludf.DUMMYFUNCTION("""COMPUTED_VALUE"""),2340)</f>
        <v>2340</v>
      </c>
      <c r="I25" s="16">
        <f>IFERROR(__xludf.DUMMYFUNCTION("""COMPUTED_VALUE"""),45777.6458333333)</f>
        <v>45777.6458333333</v>
      </c>
      <c r="J25" s="17">
        <f>IFERROR(__xludf.DUMMYFUNCTION("""COMPUTED_VALUE"""),2285)</f>
        <v>2285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IFERROR(__xludf.DUMMYFUNCTION("""COMPUTED_VALUE"""),2294.2)</f>
        <v>2294.2</v>
      </c>
      <c r="C26" s="16">
        <f>IFERROR(__xludf.DUMMYFUNCTION("""COMPUTED_VALUE"""),45779.6458333333)</f>
        <v>45779.6458333333</v>
      </c>
      <c r="D26" s="17">
        <f>IFERROR(__xludf.DUMMYFUNCTION("""COMPUTED_VALUE"""),2349.9)</f>
        <v>2349.9</v>
      </c>
      <c r="E26" s="16">
        <f>IFERROR(__xludf.DUMMYFUNCTION("""COMPUTED_VALUE"""),45779.6458333333)</f>
        <v>45779.6458333333</v>
      </c>
      <c r="F26" s="17">
        <f>IFERROR(__xludf.DUMMYFUNCTION("""COMPUTED_VALUE"""),1695797)</f>
        <v>1695797</v>
      </c>
      <c r="G26" s="16">
        <f>IFERROR(__xludf.DUMMYFUNCTION("""COMPUTED_VALUE"""),45779.6458333333)</f>
        <v>45779.6458333333</v>
      </c>
      <c r="H26" s="17">
        <f>IFERROR(__xludf.DUMMYFUNCTION("""COMPUTED_VALUE"""),2372.4)</f>
        <v>2372.4</v>
      </c>
      <c r="I26" s="16">
        <f>IFERROR(__xludf.DUMMYFUNCTION("""COMPUTED_VALUE"""),45779.6458333333)</f>
        <v>45779.6458333333</v>
      </c>
      <c r="J26" s="17">
        <f>IFERROR(__xludf.DUMMYFUNCTION("""COMPUTED_VALUE"""),2290)</f>
        <v>2290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IFERROR(__xludf.DUMMYFUNCTION("""COMPUTED_VALUE"""),2455.5)</f>
        <v>2455.5</v>
      </c>
      <c r="C27" s="16">
        <f>IFERROR(__xludf.DUMMYFUNCTION("""COMPUTED_VALUE"""),45782.6458333333)</f>
        <v>45782.6458333333</v>
      </c>
      <c r="D27" s="17">
        <f>IFERROR(__xludf.DUMMYFUNCTION("""COMPUTED_VALUE"""),2312.6)</f>
        <v>2312.6</v>
      </c>
      <c r="E27" s="16">
        <f>IFERROR(__xludf.DUMMYFUNCTION("""COMPUTED_VALUE"""),45782.6458333333)</f>
        <v>45782.6458333333</v>
      </c>
      <c r="F27" s="17">
        <f>IFERROR(__xludf.DUMMYFUNCTION("""COMPUTED_VALUE"""),4227194)</f>
        <v>4227194</v>
      </c>
      <c r="G27" s="16">
        <f>IFERROR(__xludf.DUMMYFUNCTION("""COMPUTED_VALUE"""),45782.6458333333)</f>
        <v>45782.6458333333</v>
      </c>
      <c r="H27" s="17">
        <f>IFERROR(__xludf.DUMMYFUNCTION("""COMPUTED_VALUE"""),2497)</f>
        <v>2497</v>
      </c>
      <c r="I27" s="16">
        <f>IFERROR(__xludf.DUMMYFUNCTION("""COMPUTED_VALUE"""),45782.6458333333)</f>
        <v>45782.6458333333</v>
      </c>
      <c r="J27" s="17">
        <f>IFERROR(__xludf.DUMMYFUNCTION("""COMPUTED_VALUE"""),2297.8)</f>
        <v>2297.8</v>
      </c>
      <c r="K27" s="3">
        <f t="shared" si="2"/>
        <v>2455.5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IFERROR(__xludf.DUMMYFUNCTION("""COMPUTED_VALUE"""),2354)</f>
        <v>2354</v>
      </c>
      <c r="C28" s="16">
        <f>IFERROR(__xludf.DUMMYFUNCTION("""COMPUTED_VALUE"""),45783.6458333333)</f>
        <v>45783.6458333333</v>
      </c>
      <c r="D28" s="17">
        <f>IFERROR(__xludf.DUMMYFUNCTION("""COMPUTED_VALUE"""),2454)</f>
        <v>2454</v>
      </c>
      <c r="E28" s="16">
        <f>IFERROR(__xludf.DUMMYFUNCTION("""COMPUTED_VALUE"""),45783.6458333333)</f>
        <v>45783.6458333333</v>
      </c>
      <c r="F28" s="17">
        <f>IFERROR(__xludf.DUMMYFUNCTION("""COMPUTED_VALUE"""),1524692)</f>
        <v>1524692</v>
      </c>
      <c r="G28" s="16">
        <f>IFERROR(__xludf.DUMMYFUNCTION("""COMPUTED_VALUE"""),45783.6458333333)</f>
        <v>45783.6458333333</v>
      </c>
      <c r="H28" s="17">
        <f>IFERROR(__xludf.DUMMYFUNCTION("""COMPUTED_VALUE"""),2463.2)</f>
        <v>2463.2</v>
      </c>
      <c r="I28" s="16">
        <f>IFERROR(__xludf.DUMMYFUNCTION("""COMPUTED_VALUE"""),45783.6458333333)</f>
        <v>45783.6458333333</v>
      </c>
      <c r="J28" s="17">
        <f>IFERROR(__xludf.DUMMYFUNCTION("""COMPUTED_VALUE"""),2343.5)</f>
        <v>2343.5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IFERROR(__xludf.DUMMYFUNCTION("""COMPUTED_VALUE"""),2353.1)</f>
        <v>2353.1</v>
      </c>
      <c r="C29" s="16">
        <f>IFERROR(__xludf.DUMMYFUNCTION("""COMPUTED_VALUE"""),45784.6458333333)</f>
        <v>45784.6458333333</v>
      </c>
      <c r="D29" s="17">
        <f>IFERROR(__xludf.DUMMYFUNCTION("""COMPUTED_VALUE"""),2315)</f>
        <v>2315</v>
      </c>
      <c r="E29" s="16">
        <f>IFERROR(__xludf.DUMMYFUNCTION("""COMPUTED_VALUE"""),45784.6458333333)</f>
        <v>45784.6458333333</v>
      </c>
      <c r="F29" s="17">
        <f>IFERROR(__xludf.DUMMYFUNCTION("""COMPUTED_VALUE"""),1012640)</f>
        <v>1012640</v>
      </c>
      <c r="G29" s="16">
        <f>IFERROR(__xludf.DUMMYFUNCTION("""COMPUTED_VALUE"""),45784.6458333333)</f>
        <v>45784.6458333333</v>
      </c>
      <c r="H29" s="17">
        <f>IFERROR(__xludf.DUMMYFUNCTION("""COMPUTED_VALUE"""),2379.5)</f>
        <v>2379.5</v>
      </c>
      <c r="I29" s="16">
        <f>IFERROR(__xludf.DUMMYFUNCTION("""COMPUTED_VALUE"""),45784.6458333333)</f>
        <v>45784.6458333333</v>
      </c>
      <c r="J29" s="17">
        <f>IFERROR(__xludf.DUMMYFUNCTION("""COMPUTED_VALUE"""),2315)</f>
        <v>2315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IFERROR(__xludf.DUMMYFUNCTION("""COMPUTED_VALUE"""),2285.3)</f>
        <v>2285.3</v>
      </c>
      <c r="C30" s="16">
        <f>IFERROR(__xludf.DUMMYFUNCTION("""COMPUTED_VALUE"""),45785.6458333333)</f>
        <v>45785.6458333333</v>
      </c>
      <c r="D30" s="17">
        <f>IFERROR(__xludf.DUMMYFUNCTION("""COMPUTED_VALUE"""),2362)</f>
        <v>2362</v>
      </c>
      <c r="E30" s="16">
        <f>IFERROR(__xludf.DUMMYFUNCTION("""COMPUTED_VALUE"""),45785.6458333333)</f>
        <v>45785.6458333333</v>
      </c>
      <c r="F30" s="17">
        <f>IFERROR(__xludf.DUMMYFUNCTION("""COMPUTED_VALUE"""),1380069)</f>
        <v>1380069</v>
      </c>
      <c r="G30" s="16">
        <f>IFERROR(__xludf.DUMMYFUNCTION("""COMPUTED_VALUE"""),45785.6458333333)</f>
        <v>45785.6458333333</v>
      </c>
      <c r="H30" s="17">
        <f>IFERROR(__xludf.DUMMYFUNCTION("""COMPUTED_VALUE"""),2367.8)</f>
        <v>2367.8</v>
      </c>
      <c r="I30" s="16">
        <f>IFERROR(__xludf.DUMMYFUNCTION("""COMPUTED_VALUE"""),45785.6458333333)</f>
        <v>45785.6458333333</v>
      </c>
      <c r="J30" s="17">
        <f>IFERROR(__xludf.DUMMYFUNCTION("""COMPUTED_VALUE"""),2260)</f>
        <v>2260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IFERROR(__xludf.DUMMYFUNCTION("""COMPUTED_VALUE"""),2251)</f>
        <v>2251</v>
      </c>
      <c r="C31" s="16">
        <f>IFERROR(__xludf.DUMMYFUNCTION("""COMPUTED_VALUE"""),45786.6458333333)</f>
        <v>45786.6458333333</v>
      </c>
      <c r="D31" s="17">
        <f>IFERROR(__xludf.DUMMYFUNCTION("""COMPUTED_VALUE"""),2240)</f>
        <v>2240</v>
      </c>
      <c r="E31" s="16">
        <f>IFERROR(__xludf.DUMMYFUNCTION("""COMPUTED_VALUE"""),45786.6458333333)</f>
        <v>45786.6458333333</v>
      </c>
      <c r="F31" s="17">
        <f>IFERROR(__xludf.DUMMYFUNCTION("""COMPUTED_VALUE"""),1006000)</f>
        <v>1006000</v>
      </c>
      <c r="G31" s="16">
        <f>IFERROR(__xludf.DUMMYFUNCTION("""COMPUTED_VALUE"""),45786.6458333333)</f>
        <v>45786.6458333333</v>
      </c>
      <c r="H31" s="17">
        <f>IFERROR(__xludf.DUMMYFUNCTION("""COMPUTED_VALUE"""),2273.1)</f>
        <v>2273.1</v>
      </c>
      <c r="I31" s="16">
        <f>IFERROR(__xludf.DUMMYFUNCTION("""COMPUTED_VALUE"""),45786.6458333333)</f>
        <v>45786.6458333333</v>
      </c>
      <c r="J31" s="17">
        <f>IFERROR(__xludf.DUMMYFUNCTION("""COMPUTED_VALUE"""),2233)</f>
        <v>2233</v>
      </c>
      <c r="K31" s="3">
        <f t="shared" si="2"/>
        <v>0</v>
      </c>
      <c r="L31" s="3">
        <f t="shared" si="3"/>
        <v>2251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IFERROR(__xludf.DUMMYFUNCTION("""COMPUTED_VALUE"""),2425.3)</f>
        <v>2425.3</v>
      </c>
      <c r="C32" s="16">
        <f>IFERROR(__xludf.DUMMYFUNCTION("""COMPUTED_VALUE"""),45789.6458333333)</f>
        <v>45789.6458333333</v>
      </c>
      <c r="D32" s="17">
        <f>IFERROR(__xludf.DUMMYFUNCTION("""COMPUTED_VALUE"""),2350)</f>
        <v>2350</v>
      </c>
      <c r="E32" s="16">
        <f>IFERROR(__xludf.DUMMYFUNCTION("""COMPUTED_VALUE"""),45789.6458333333)</f>
        <v>45789.6458333333</v>
      </c>
      <c r="F32" s="17">
        <f>IFERROR(__xludf.DUMMYFUNCTION("""COMPUTED_VALUE"""),2147039)</f>
        <v>2147039</v>
      </c>
      <c r="G32" s="16">
        <f>IFERROR(__xludf.DUMMYFUNCTION("""COMPUTED_VALUE"""),45789.6458333333)</f>
        <v>45789.6458333333</v>
      </c>
      <c r="H32" s="17">
        <f>IFERROR(__xludf.DUMMYFUNCTION("""COMPUTED_VALUE"""),2433.3)</f>
        <v>2433.3</v>
      </c>
      <c r="I32" s="16">
        <f>IFERROR(__xludf.DUMMYFUNCTION("""COMPUTED_VALUE"""),45789.6458333333)</f>
        <v>45789.6458333333</v>
      </c>
      <c r="J32" s="17">
        <f>IFERROR(__xludf.DUMMYFUNCTION("""COMPUTED_VALUE"""),2315)</f>
        <v>2315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IFERROR(__xludf.DUMMYFUNCTION("""COMPUTED_VALUE"""),2441.2)</f>
        <v>2441.2</v>
      </c>
      <c r="C33" s="16">
        <f>IFERROR(__xludf.DUMMYFUNCTION("""COMPUTED_VALUE"""),45790.6458333333)</f>
        <v>45790.6458333333</v>
      </c>
      <c r="D33" s="17">
        <f>IFERROR(__xludf.DUMMYFUNCTION("""COMPUTED_VALUE"""),2425)</f>
        <v>2425</v>
      </c>
      <c r="E33" s="16">
        <f>IFERROR(__xludf.DUMMYFUNCTION("""COMPUTED_VALUE"""),45790.6458333333)</f>
        <v>45790.6458333333</v>
      </c>
      <c r="F33" s="17">
        <f>IFERROR(__xludf.DUMMYFUNCTION("""COMPUTED_VALUE"""),1815179)</f>
        <v>1815179</v>
      </c>
      <c r="G33" s="16">
        <f>IFERROR(__xludf.DUMMYFUNCTION("""COMPUTED_VALUE"""),45790.6458333333)</f>
        <v>45790.6458333333</v>
      </c>
      <c r="H33" s="17">
        <f>IFERROR(__xludf.DUMMYFUNCTION("""COMPUTED_VALUE"""),2454.9)</f>
        <v>2454.9</v>
      </c>
      <c r="I33" s="16">
        <f>IFERROR(__xludf.DUMMYFUNCTION("""COMPUTED_VALUE"""),45790.6458333333)</f>
        <v>45790.6458333333</v>
      </c>
      <c r="J33" s="17">
        <f>IFERROR(__xludf.DUMMYFUNCTION("""COMPUTED_VALUE"""),2405)</f>
        <v>2405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IFERROR(__xludf.DUMMYFUNCTION("""COMPUTED_VALUE"""),2461.9)</f>
        <v>2461.9</v>
      </c>
      <c r="C34" s="16">
        <f>IFERROR(__xludf.DUMMYFUNCTION("""COMPUTED_VALUE"""),45791.6458333333)</f>
        <v>45791.6458333333</v>
      </c>
      <c r="D34" s="17">
        <f>IFERROR(__xludf.DUMMYFUNCTION("""COMPUTED_VALUE"""),2444.9)</f>
        <v>2444.9</v>
      </c>
      <c r="E34" s="16">
        <f>IFERROR(__xludf.DUMMYFUNCTION("""COMPUTED_VALUE"""),45791.6458333333)</f>
        <v>45791.6458333333</v>
      </c>
      <c r="F34" s="17">
        <f>IFERROR(__xludf.DUMMYFUNCTION("""COMPUTED_VALUE"""),774441)</f>
        <v>774441</v>
      </c>
      <c r="G34" s="16">
        <f>IFERROR(__xludf.DUMMYFUNCTION("""COMPUTED_VALUE"""),45791.6458333333)</f>
        <v>45791.6458333333</v>
      </c>
      <c r="H34" s="17">
        <f>IFERROR(__xludf.DUMMYFUNCTION("""COMPUTED_VALUE"""),2481.9)</f>
        <v>2481.9</v>
      </c>
      <c r="I34" s="16">
        <f>IFERROR(__xludf.DUMMYFUNCTION("""COMPUTED_VALUE"""),45791.6458333333)</f>
        <v>45791.6458333333</v>
      </c>
      <c r="J34" s="17">
        <f>IFERROR(__xludf.DUMMYFUNCTION("""COMPUTED_VALUE"""),2430.1)</f>
        <v>2430.1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IFERROR(__xludf.DUMMYFUNCTION("""COMPUTED_VALUE"""),2520)</f>
        <v>2520</v>
      </c>
      <c r="C35" s="16">
        <f>IFERROR(__xludf.DUMMYFUNCTION("""COMPUTED_VALUE"""),45792.6458333333)</f>
        <v>45792.6458333333</v>
      </c>
      <c r="D35" s="17">
        <f>IFERROR(__xludf.DUMMYFUNCTION("""COMPUTED_VALUE"""),2463.4)</f>
        <v>2463.4</v>
      </c>
      <c r="E35" s="16">
        <f>IFERROR(__xludf.DUMMYFUNCTION("""COMPUTED_VALUE"""),45792.6458333333)</f>
        <v>45792.6458333333</v>
      </c>
      <c r="F35" s="17">
        <f>IFERROR(__xludf.DUMMYFUNCTION("""COMPUTED_VALUE"""),1554801)</f>
        <v>1554801</v>
      </c>
      <c r="G35" s="16">
        <f>IFERROR(__xludf.DUMMYFUNCTION("""COMPUTED_VALUE"""),45792.6458333333)</f>
        <v>45792.6458333333</v>
      </c>
      <c r="H35" s="17">
        <f>IFERROR(__xludf.DUMMYFUNCTION("""COMPUTED_VALUE"""),2526.8)</f>
        <v>2526.8</v>
      </c>
      <c r="I35" s="16">
        <f>IFERROR(__xludf.DUMMYFUNCTION("""COMPUTED_VALUE"""),45792.6458333333)</f>
        <v>45792.6458333333</v>
      </c>
      <c r="J35" s="17">
        <f>IFERROR(__xludf.DUMMYFUNCTION("""COMPUTED_VALUE"""),2450.7)</f>
        <v>2450.7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IFERROR(__xludf.DUMMYFUNCTION("""COMPUTED_VALUE"""),2555)</f>
        <v>2555</v>
      </c>
      <c r="C36" s="16">
        <f>IFERROR(__xludf.DUMMYFUNCTION("""COMPUTED_VALUE"""),45793.6458333333)</f>
        <v>45793.6458333333</v>
      </c>
      <c r="D36" s="17">
        <f>IFERROR(__xludf.DUMMYFUNCTION("""COMPUTED_VALUE"""),2529)</f>
        <v>2529</v>
      </c>
      <c r="E36" s="16">
        <f>IFERROR(__xludf.DUMMYFUNCTION("""COMPUTED_VALUE"""),45793.6458333333)</f>
        <v>45793.6458333333</v>
      </c>
      <c r="F36" s="17">
        <f>IFERROR(__xludf.DUMMYFUNCTION("""COMPUTED_VALUE"""),1641135)</f>
        <v>1641135</v>
      </c>
      <c r="G36" s="16">
        <f>IFERROR(__xludf.DUMMYFUNCTION("""COMPUTED_VALUE"""),45793.6458333333)</f>
        <v>45793.6458333333</v>
      </c>
      <c r="H36" s="17">
        <f>IFERROR(__xludf.DUMMYFUNCTION("""COMPUTED_VALUE"""),2584.2)</f>
        <v>2584.2</v>
      </c>
      <c r="I36" s="16">
        <f>IFERROR(__xludf.DUMMYFUNCTION("""COMPUTED_VALUE"""),45793.6458333333)</f>
        <v>45793.6458333333</v>
      </c>
      <c r="J36" s="17">
        <f>IFERROR(__xludf.DUMMYFUNCTION("""COMPUTED_VALUE"""),2516.2)</f>
        <v>2516.2</v>
      </c>
      <c r="K36" s="3">
        <f t="shared" si="2"/>
        <v>2555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IFERROR(__xludf.DUMMYFUNCTION("""COMPUTED_VALUE"""),2540.6)</f>
        <v>2540.6</v>
      </c>
      <c r="C37" s="16">
        <f>IFERROR(__xludf.DUMMYFUNCTION("""COMPUTED_VALUE"""),45796.6458333333)</f>
        <v>45796.6458333333</v>
      </c>
      <c r="D37" s="17">
        <f>IFERROR(__xludf.DUMMYFUNCTION("""COMPUTED_VALUE"""),2571.3)</f>
        <v>2571.3</v>
      </c>
      <c r="E37" s="16">
        <f>IFERROR(__xludf.DUMMYFUNCTION("""COMPUTED_VALUE"""),45796.6458333333)</f>
        <v>45796.6458333333</v>
      </c>
      <c r="F37" s="17">
        <f>IFERROR(__xludf.DUMMYFUNCTION("""COMPUTED_VALUE"""),681000)</f>
        <v>681000</v>
      </c>
      <c r="G37" s="16">
        <f>IFERROR(__xludf.DUMMYFUNCTION("""COMPUTED_VALUE"""),45796.6458333333)</f>
        <v>45796.6458333333</v>
      </c>
      <c r="H37" s="17">
        <f>IFERROR(__xludf.DUMMYFUNCTION("""COMPUTED_VALUE"""),2578.8)</f>
        <v>2578.8</v>
      </c>
      <c r="I37" s="16">
        <f>IFERROR(__xludf.DUMMYFUNCTION("""COMPUTED_VALUE"""),45796.6458333333)</f>
        <v>45796.6458333333</v>
      </c>
      <c r="J37" s="17">
        <f>IFERROR(__xludf.DUMMYFUNCTION("""COMPUTED_VALUE"""),2536)</f>
        <v>2536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IFERROR(__xludf.DUMMYFUNCTION("""COMPUTED_VALUE"""),2501.6)</f>
        <v>2501.6</v>
      </c>
      <c r="C38" s="16">
        <f>IFERROR(__xludf.DUMMYFUNCTION("""COMPUTED_VALUE"""),45797.6458333333)</f>
        <v>45797.6458333333</v>
      </c>
      <c r="D38" s="17">
        <f>IFERROR(__xludf.DUMMYFUNCTION("""COMPUTED_VALUE"""),2545)</f>
        <v>2545</v>
      </c>
      <c r="E38" s="16">
        <f>IFERROR(__xludf.DUMMYFUNCTION("""COMPUTED_VALUE"""),45797.6458333333)</f>
        <v>45797.6458333333</v>
      </c>
      <c r="F38" s="17">
        <f>IFERROR(__xludf.DUMMYFUNCTION("""COMPUTED_VALUE"""),628023)</f>
        <v>628023</v>
      </c>
      <c r="G38" s="16">
        <f>IFERROR(__xludf.DUMMYFUNCTION("""COMPUTED_VALUE"""),45797.6458333333)</f>
        <v>45797.6458333333</v>
      </c>
      <c r="H38" s="17">
        <f>IFERROR(__xludf.DUMMYFUNCTION("""COMPUTED_VALUE"""),2564.8)</f>
        <v>2564.8</v>
      </c>
      <c r="I38" s="16">
        <f>IFERROR(__xludf.DUMMYFUNCTION("""COMPUTED_VALUE"""),45797.6458333333)</f>
        <v>45797.6458333333</v>
      </c>
      <c r="J38" s="17">
        <f>IFERROR(__xludf.DUMMYFUNCTION("""COMPUTED_VALUE"""),2492.5)</f>
        <v>2492.5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IFERROR(__xludf.DUMMYFUNCTION("""COMPUTED_VALUE"""),2500.4)</f>
        <v>2500.4</v>
      </c>
      <c r="C39" s="16">
        <f>IFERROR(__xludf.DUMMYFUNCTION("""COMPUTED_VALUE"""),45798.6458333333)</f>
        <v>45798.6458333333</v>
      </c>
      <c r="D39" s="17">
        <f>IFERROR(__xludf.DUMMYFUNCTION("""COMPUTED_VALUE"""),2509.7)</f>
        <v>2509.7</v>
      </c>
      <c r="E39" s="16">
        <f>IFERROR(__xludf.DUMMYFUNCTION("""COMPUTED_VALUE"""),45798.6458333333)</f>
        <v>45798.6458333333</v>
      </c>
      <c r="F39" s="17">
        <f>IFERROR(__xludf.DUMMYFUNCTION("""COMPUTED_VALUE"""),529234)</f>
        <v>529234</v>
      </c>
      <c r="G39" s="16">
        <f>IFERROR(__xludf.DUMMYFUNCTION("""COMPUTED_VALUE"""),45798.6458333333)</f>
        <v>45798.6458333333</v>
      </c>
      <c r="H39" s="17">
        <f>IFERROR(__xludf.DUMMYFUNCTION("""COMPUTED_VALUE"""),2524.5)</f>
        <v>2524.5</v>
      </c>
      <c r="I39" s="16">
        <f>IFERROR(__xludf.DUMMYFUNCTION("""COMPUTED_VALUE"""),45798.6458333333)</f>
        <v>45798.6458333333</v>
      </c>
      <c r="J39" s="17">
        <f>IFERROR(__xludf.DUMMYFUNCTION("""COMPUTED_VALUE"""),2483.7)</f>
        <v>2483.7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IFERROR(__xludf.DUMMYFUNCTION("""COMPUTED_VALUE"""),2487.6)</f>
        <v>2487.6</v>
      </c>
      <c r="C40" s="16">
        <f>IFERROR(__xludf.DUMMYFUNCTION("""COMPUTED_VALUE"""),45799.6458333333)</f>
        <v>45799.6458333333</v>
      </c>
      <c r="D40" s="17">
        <f>IFERROR(__xludf.DUMMYFUNCTION("""COMPUTED_VALUE"""),2500.4)</f>
        <v>2500.4</v>
      </c>
      <c r="E40" s="16">
        <f>IFERROR(__xludf.DUMMYFUNCTION("""COMPUTED_VALUE"""),45799.6458333333)</f>
        <v>45799.6458333333</v>
      </c>
      <c r="F40" s="17">
        <f>IFERROR(__xludf.DUMMYFUNCTION("""COMPUTED_VALUE"""),906909)</f>
        <v>906909</v>
      </c>
      <c r="G40" s="16">
        <f>IFERROR(__xludf.DUMMYFUNCTION("""COMPUTED_VALUE"""),45799.6458333333)</f>
        <v>45799.6458333333</v>
      </c>
      <c r="H40" s="17">
        <f>IFERROR(__xludf.DUMMYFUNCTION("""COMPUTED_VALUE"""),2521.9)</f>
        <v>2521.9</v>
      </c>
      <c r="I40" s="16">
        <f>IFERROR(__xludf.DUMMYFUNCTION("""COMPUTED_VALUE"""),45799.6458333333)</f>
        <v>45799.6458333333</v>
      </c>
      <c r="J40" s="17">
        <f>IFERROR(__xludf.DUMMYFUNCTION("""COMPUTED_VALUE"""),2465.3)</f>
        <v>2465.3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IFERROR(__xludf.DUMMYFUNCTION("""COMPUTED_VALUE"""),2540)</f>
        <v>2540</v>
      </c>
      <c r="C41" s="16">
        <f>IFERROR(__xludf.DUMMYFUNCTION("""COMPUTED_VALUE"""),45800.6458333333)</f>
        <v>45800.6458333333</v>
      </c>
      <c r="D41" s="17">
        <f>IFERROR(__xludf.DUMMYFUNCTION("""COMPUTED_VALUE"""),2499)</f>
        <v>2499</v>
      </c>
      <c r="E41" s="16">
        <f>IFERROR(__xludf.DUMMYFUNCTION("""COMPUTED_VALUE"""),45800.6458333333)</f>
        <v>45800.6458333333</v>
      </c>
      <c r="F41" s="17">
        <f>IFERROR(__xludf.DUMMYFUNCTION("""COMPUTED_VALUE"""),968415)</f>
        <v>968415</v>
      </c>
      <c r="G41" s="16">
        <f>IFERROR(__xludf.DUMMYFUNCTION("""COMPUTED_VALUE"""),45800.6458333333)</f>
        <v>45800.6458333333</v>
      </c>
      <c r="H41" s="17">
        <f>IFERROR(__xludf.DUMMYFUNCTION("""COMPUTED_VALUE"""),2548.1)</f>
        <v>2548.1</v>
      </c>
      <c r="I41" s="16">
        <f>IFERROR(__xludf.DUMMYFUNCTION("""COMPUTED_VALUE"""),45800.6458333333)</f>
        <v>45800.6458333333</v>
      </c>
      <c r="J41" s="17">
        <f>IFERROR(__xludf.DUMMYFUNCTION("""COMPUTED_VALUE"""),2490.5)</f>
        <v>2490.5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IFERROR(__xludf.DUMMYFUNCTION("""COMPUTED_VALUE"""),2547.7)</f>
        <v>2547.7</v>
      </c>
      <c r="C42" s="16">
        <f>IFERROR(__xludf.DUMMYFUNCTION("""COMPUTED_VALUE"""),45803.6458333333)</f>
        <v>45803.6458333333</v>
      </c>
      <c r="D42" s="17">
        <f>IFERROR(__xludf.DUMMYFUNCTION("""COMPUTED_VALUE"""),2549.1)</f>
        <v>2549.1</v>
      </c>
      <c r="E42" s="16">
        <f>IFERROR(__xludf.DUMMYFUNCTION("""COMPUTED_VALUE"""),45803.6458333333)</f>
        <v>45803.6458333333</v>
      </c>
      <c r="F42" s="17">
        <f>IFERROR(__xludf.DUMMYFUNCTION("""COMPUTED_VALUE"""),552912)</f>
        <v>552912</v>
      </c>
      <c r="G42" s="16">
        <f>IFERROR(__xludf.DUMMYFUNCTION("""COMPUTED_VALUE"""),45803.6458333333)</f>
        <v>45803.6458333333</v>
      </c>
      <c r="H42" s="17">
        <f>IFERROR(__xludf.DUMMYFUNCTION("""COMPUTED_VALUE"""),2568.9)</f>
        <v>2568.9</v>
      </c>
      <c r="I42" s="16">
        <f>IFERROR(__xludf.DUMMYFUNCTION("""COMPUTED_VALUE"""),45803.6458333333)</f>
        <v>45803.6458333333</v>
      </c>
      <c r="J42" s="17">
        <f>IFERROR(__xludf.DUMMYFUNCTION("""COMPUTED_VALUE"""),2541.3)</f>
        <v>2541.3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IFERROR(__xludf.DUMMYFUNCTION("""COMPUTED_VALUE"""),2540.3)</f>
        <v>2540.3</v>
      </c>
      <c r="C43" s="16">
        <f>IFERROR(__xludf.DUMMYFUNCTION("""COMPUTED_VALUE"""),45804.6458333333)</f>
        <v>45804.6458333333</v>
      </c>
      <c r="D43" s="17">
        <f>IFERROR(__xludf.DUMMYFUNCTION("""COMPUTED_VALUE"""),2545.9)</f>
        <v>2545.9</v>
      </c>
      <c r="E43" s="16">
        <f>IFERROR(__xludf.DUMMYFUNCTION("""COMPUTED_VALUE"""),45804.6458333333)</f>
        <v>45804.6458333333</v>
      </c>
      <c r="F43" s="17">
        <f>IFERROR(__xludf.DUMMYFUNCTION("""COMPUTED_VALUE"""),514936)</f>
        <v>514936</v>
      </c>
      <c r="G43" s="16">
        <f>IFERROR(__xludf.DUMMYFUNCTION("""COMPUTED_VALUE"""),45804.6458333333)</f>
        <v>45804.6458333333</v>
      </c>
      <c r="H43" s="17">
        <f>IFERROR(__xludf.DUMMYFUNCTION("""COMPUTED_VALUE"""),2569.1)</f>
        <v>2569.1</v>
      </c>
      <c r="I43" s="16">
        <f>IFERROR(__xludf.DUMMYFUNCTION("""COMPUTED_VALUE"""),45804.6458333333)</f>
        <v>45804.6458333333</v>
      </c>
      <c r="J43" s="17">
        <f>IFERROR(__xludf.DUMMYFUNCTION("""COMPUTED_VALUE"""),2526.1)</f>
        <v>2526.1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IFERROR(__xludf.DUMMYFUNCTION("""COMPUTED_VALUE"""),2515)</f>
        <v>2515</v>
      </c>
      <c r="C44" s="16">
        <f>IFERROR(__xludf.DUMMYFUNCTION("""COMPUTED_VALUE"""),45805.6458333333)</f>
        <v>45805.6458333333</v>
      </c>
      <c r="D44" s="17">
        <f>IFERROR(__xludf.DUMMYFUNCTION("""COMPUTED_VALUE"""),2559)</f>
        <v>2559</v>
      </c>
      <c r="E44" s="16">
        <f>IFERROR(__xludf.DUMMYFUNCTION("""COMPUTED_VALUE"""),45805.6458333333)</f>
        <v>45805.6458333333</v>
      </c>
      <c r="F44" s="17">
        <f>IFERROR(__xludf.DUMMYFUNCTION("""COMPUTED_VALUE"""),575989)</f>
        <v>575989</v>
      </c>
      <c r="G44" s="16">
        <f>IFERROR(__xludf.DUMMYFUNCTION("""COMPUTED_VALUE"""),45805.6458333333)</f>
        <v>45805.6458333333</v>
      </c>
      <c r="H44" s="17">
        <f>IFERROR(__xludf.DUMMYFUNCTION("""COMPUTED_VALUE"""),2559)</f>
        <v>2559</v>
      </c>
      <c r="I44" s="16">
        <f>IFERROR(__xludf.DUMMYFUNCTION("""COMPUTED_VALUE"""),45805.6458333333)</f>
        <v>45805.6458333333</v>
      </c>
      <c r="J44" s="17">
        <f>IFERROR(__xludf.DUMMYFUNCTION("""COMPUTED_VALUE"""),2510)</f>
        <v>2510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IFERROR(__xludf.DUMMYFUNCTION("""COMPUTED_VALUE"""),2540.8)</f>
        <v>2540.8</v>
      </c>
      <c r="C45" s="16">
        <f>IFERROR(__xludf.DUMMYFUNCTION("""COMPUTED_VALUE"""),45806.6458333333)</f>
        <v>45806.6458333333</v>
      </c>
      <c r="D45" s="17">
        <f>IFERROR(__xludf.DUMMYFUNCTION("""COMPUTED_VALUE"""),2536.7)</f>
        <v>2536.7</v>
      </c>
      <c r="E45" s="16">
        <f>IFERROR(__xludf.DUMMYFUNCTION("""COMPUTED_VALUE"""),45806.6458333333)</f>
        <v>45806.6458333333</v>
      </c>
      <c r="F45" s="17">
        <f>IFERROR(__xludf.DUMMYFUNCTION("""COMPUTED_VALUE"""),802317)</f>
        <v>802317</v>
      </c>
      <c r="G45" s="16">
        <f>IFERROR(__xludf.DUMMYFUNCTION("""COMPUTED_VALUE"""),45806.6458333333)</f>
        <v>45806.6458333333</v>
      </c>
      <c r="H45" s="17">
        <f>IFERROR(__xludf.DUMMYFUNCTION("""COMPUTED_VALUE"""),2559)</f>
        <v>2559</v>
      </c>
      <c r="I45" s="16">
        <f>IFERROR(__xludf.DUMMYFUNCTION("""COMPUTED_VALUE"""),45806.6458333333)</f>
        <v>45806.6458333333</v>
      </c>
      <c r="J45" s="17">
        <f>IFERROR(__xludf.DUMMYFUNCTION("""COMPUTED_VALUE"""),2511)</f>
        <v>2511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IFERROR(__xludf.DUMMYFUNCTION("""COMPUTED_VALUE"""),2519.9)</f>
        <v>2519.9</v>
      </c>
      <c r="C46" s="16">
        <f>IFERROR(__xludf.DUMMYFUNCTION("""COMPUTED_VALUE"""),45807.6458333333)</f>
        <v>45807.6458333333</v>
      </c>
      <c r="D46" s="17">
        <f>IFERROR(__xludf.DUMMYFUNCTION("""COMPUTED_VALUE"""),2550)</f>
        <v>2550</v>
      </c>
      <c r="E46" s="16">
        <f>IFERROR(__xludf.DUMMYFUNCTION("""COMPUTED_VALUE"""),45807.6458333333)</f>
        <v>45807.6458333333</v>
      </c>
      <c r="F46" s="17">
        <f>IFERROR(__xludf.DUMMYFUNCTION("""COMPUTED_VALUE"""),684592)</f>
        <v>684592</v>
      </c>
      <c r="G46" s="16">
        <f>IFERROR(__xludf.DUMMYFUNCTION("""COMPUTED_VALUE"""),45807.6458333333)</f>
        <v>45807.6458333333</v>
      </c>
      <c r="H46" s="17">
        <f>IFERROR(__xludf.DUMMYFUNCTION("""COMPUTED_VALUE"""),2564)</f>
        <v>2564</v>
      </c>
      <c r="I46" s="16">
        <f>IFERROR(__xludf.DUMMYFUNCTION("""COMPUTED_VALUE"""),45807.6458333333)</f>
        <v>45807.6458333333</v>
      </c>
      <c r="J46" s="17">
        <f>IFERROR(__xludf.DUMMYFUNCTION("""COMPUTED_VALUE"""),2513.8)</f>
        <v>2513.8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IFERROR(__xludf.DUMMYFUNCTION("""COMPUTED_VALUE"""),2518.8)</f>
        <v>2518.8</v>
      </c>
      <c r="C47" s="16">
        <f>IFERROR(__xludf.DUMMYFUNCTION("""COMPUTED_VALUE"""),45810.6458333333)</f>
        <v>45810.6458333333</v>
      </c>
      <c r="D47" s="17">
        <f>IFERROR(__xludf.DUMMYFUNCTION("""COMPUTED_VALUE"""),2527)</f>
        <v>2527</v>
      </c>
      <c r="E47" s="16">
        <f>IFERROR(__xludf.DUMMYFUNCTION("""COMPUTED_VALUE"""),45810.6458333333)</f>
        <v>45810.6458333333</v>
      </c>
      <c r="F47" s="17">
        <f>IFERROR(__xludf.DUMMYFUNCTION("""COMPUTED_VALUE"""),1008716)</f>
        <v>1008716</v>
      </c>
      <c r="G47" s="16">
        <f>IFERROR(__xludf.DUMMYFUNCTION("""COMPUTED_VALUE"""),45810.6458333333)</f>
        <v>45810.6458333333</v>
      </c>
      <c r="H47" s="17">
        <f>IFERROR(__xludf.DUMMYFUNCTION("""COMPUTED_VALUE"""),2564)</f>
        <v>2564</v>
      </c>
      <c r="I47" s="16">
        <f>IFERROR(__xludf.DUMMYFUNCTION("""COMPUTED_VALUE"""),45810.6458333333)</f>
        <v>45810.6458333333</v>
      </c>
      <c r="J47" s="17">
        <f>IFERROR(__xludf.DUMMYFUNCTION("""COMPUTED_VALUE"""),2514.9)</f>
        <v>2514.9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IFERROR(__xludf.DUMMYFUNCTION("""COMPUTED_VALUE"""),2470.9)</f>
        <v>2470.9</v>
      </c>
      <c r="C48" s="16">
        <f>IFERROR(__xludf.DUMMYFUNCTION("""COMPUTED_VALUE"""),45811.6458333333)</f>
        <v>45811.6458333333</v>
      </c>
      <c r="D48" s="17">
        <f>IFERROR(__xludf.DUMMYFUNCTION("""COMPUTED_VALUE"""),2511)</f>
        <v>2511</v>
      </c>
      <c r="E48" s="16">
        <f>IFERROR(__xludf.DUMMYFUNCTION("""COMPUTED_VALUE"""),45811.6458333333)</f>
        <v>45811.6458333333</v>
      </c>
      <c r="F48" s="17">
        <f>IFERROR(__xludf.DUMMYFUNCTION("""COMPUTED_VALUE"""),962708)</f>
        <v>962708</v>
      </c>
      <c r="G48" s="16">
        <f>IFERROR(__xludf.DUMMYFUNCTION("""COMPUTED_VALUE"""),45811.6458333333)</f>
        <v>45811.6458333333</v>
      </c>
      <c r="H48" s="17">
        <f>IFERROR(__xludf.DUMMYFUNCTION("""COMPUTED_VALUE"""),2512.5)</f>
        <v>2512.5</v>
      </c>
      <c r="I48" s="16">
        <f>IFERROR(__xludf.DUMMYFUNCTION("""COMPUTED_VALUE"""),45811.6458333333)</f>
        <v>45811.6458333333</v>
      </c>
      <c r="J48" s="17">
        <f>IFERROR(__xludf.DUMMYFUNCTION("""COMPUTED_VALUE"""),2452)</f>
        <v>2452</v>
      </c>
      <c r="K48" s="3">
        <f t="shared" si="2"/>
        <v>0</v>
      </c>
      <c r="L48" s="3">
        <f t="shared" si="3"/>
        <v>2470.9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IFERROR(__xludf.DUMMYFUNCTION("""COMPUTED_VALUE"""),2489.4)</f>
        <v>2489.4</v>
      </c>
      <c r="C49" s="16">
        <f>IFERROR(__xludf.DUMMYFUNCTION("""COMPUTED_VALUE"""),45812.6458333333)</f>
        <v>45812.6458333333</v>
      </c>
      <c r="D49" s="17">
        <f>IFERROR(__xludf.DUMMYFUNCTION("""COMPUTED_VALUE"""),2480)</f>
        <v>2480</v>
      </c>
      <c r="E49" s="16">
        <f>IFERROR(__xludf.DUMMYFUNCTION("""COMPUTED_VALUE"""),45812.6458333333)</f>
        <v>45812.6458333333</v>
      </c>
      <c r="F49" s="17">
        <f>IFERROR(__xludf.DUMMYFUNCTION("""COMPUTED_VALUE"""),552667)</f>
        <v>552667</v>
      </c>
      <c r="G49" s="16">
        <f>IFERROR(__xludf.DUMMYFUNCTION("""COMPUTED_VALUE"""),45812.6458333333)</f>
        <v>45812.6458333333</v>
      </c>
      <c r="H49" s="17">
        <f>IFERROR(__xludf.DUMMYFUNCTION("""COMPUTED_VALUE"""),2503)</f>
        <v>2503</v>
      </c>
      <c r="I49" s="16">
        <f>IFERROR(__xludf.DUMMYFUNCTION("""COMPUTED_VALUE"""),45812.6458333333)</f>
        <v>45812.6458333333</v>
      </c>
      <c r="J49" s="17">
        <f>IFERROR(__xludf.DUMMYFUNCTION("""COMPUTED_VALUE"""),2441.1)</f>
        <v>2441.1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IFERROR(__xludf.DUMMYFUNCTION("""COMPUTED_VALUE"""),2504.4)</f>
        <v>2504.4</v>
      </c>
      <c r="C50" s="16">
        <f>IFERROR(__xludf.DUMMYFUNCTION("""COMPUTED_VALUE"""),45813.6458333333)</f>
        <v>45813.6458333333</v>
      </c>
      <c r="D50" s="17">
        <f>IFERROR(__xludf.DUMMYFUNCTION("""COMPUTED_VALUE"""),2495)</f>
        <v>2495</v>
      </c>
      <c r="E50" s="16">
        <f>IFERROR(__xludf.DUMMYFUNCTION("""COMPUTED_VALUE"""),45813.6458333333)</f>
        <v>45813.6458333333</v>
      </c>
      <c r="F50" s="17">
        <f>IFERROR(__xludf.DUMMYFUNCTION("""COMPUTED_VALUE"""),673209)</f>
        <v>673209</v>
      </c>
      <c r="G50" s="16">
        <f>IFERROR(__xludf.DUMMYFUNCTION("""COMPUTED_VALUE"""),45813.6458333333)</f>
        <v>45813.6458333333</v>
      </c>
      <c r="H50" s="17">
        <f>IFERROR(__xludf.DUMMYFUNCTION("""COMPUTED_VALUE"""),2530.1)</f>
        <v>2530.1</v>
      </c>
      <c r="I50" s="16">
        <f>IFERROR(__xludf.DUMMYFUNCTION("""COMPUTED_VALUE"""),45813.6458333333)</f>
        <v>45813.6458333333</v>
      </c>
      <c r="J50" s="17">
        <f>IFERROR(__xludf.DUMMYFUNCTION("""COMPUTED_VALUE"""),2487.5)</f>
        <v>2487.5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IFERROR(__xludf.DUMMYFUNCTION("""COMPUTED_VALUE"""),2534.2)</f>
        <v>2534.2</v>
      </c>
      <c r="C51" s="16">
        <f>IFERROR(__xludf.DUMMYFUNCTION("""COMPUTED_VALUE"""),45814.6458333333)</f>
        <v>45814.6458333333</v>
      </c>
      <c r="D51" s="17">
        <f>IFERROR(__xludf.DUMMYFUNCTION("""COMPUTED_VALUE"""),2514.9)</f>
        <v>2514.9</v>
      </c>
      <c r="E51" s="16">
        <f>IFERROR(__xludf.DUMMYFUNCTION("""COMPUTED_VALUE"""),45814.6458333333)</f>
        <v>45814.6458333333</v>
      </c>
      <c r="F51" s="17">
        <f>IFERROR(__xludf.DUMMYFUNCTION("""COMPUTED_VALUE"""),640680)</f>
        <v>640680</v>
      </c>
      <c r="G51" s="16">
        <f>IFERROR(__xludf.DUMMYFUNCTION("""COMPUTED_VALUE"""),45814.6458333333)</f>
        <v>45814.6458333333</v>
      </c>
      <c r="H51" s="17">
        <f>IFERROR(__xludf.DUMMYFUNCTION("""COMPUTED_VALUE"""),2553.3)</f>
        <v>2553.3</v>
      </c>
      <c r="I51" s="16">
        <f>IFERROR(__xludf.DUMMYFUNCTION("""COMPUTED_VALUE"""),45814.6458333333)</f>
        <v>45814.6458333333</v>
      </c>
      <c r="J51" s="17">
        <f>IFERROR(__xludf.DUMMYFUNCTION("""COMPUTED_VALUE"""),2504)</f>
        <v>2504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IFERROR(__xludf.DUMMYFUNCTION("""COMPUTED_VALUE"""),2582.1)</f>
        <v>2582.1</v>
      </c>
      <c r="C52" s="16">
        <f>IFERROR(__xludf.DUMMYFUNCTION("""COMPUTED_VALUE"""),45817.6458333333)</f>
        <v>45817.6458333333</v>
      </c>
      <c r="D52" s="17">
        <f>IFERROR(__xludf.DUMMYFUNCTION("""COMPUTED_VALUE"""),2545)</f>
        <v>2545</v>
      </c>
      <c r="E52" s="16">
        <f>IFERROR(__xludf.DUMMYFUNCTION("""COMPUTED_VALUE"""),45817.6458333333)</f>
        <v>45817.6458333333</v>
      </c>
      <c r="F52" s="17">
        <f>IFERROR(__xludf.DUMMYFUNCTION("""COMPUTED_VALUE"""),1711167)</f>
        <v>1711167</v>
      </c>
      <c r="G52" s="16">
        <f>IFERROR(__xludf.DUMMYFUNCTION("""COMPUTED_VALUE"""),45817.6458333333)</f>
        <v>45817.6458333333</v>
      </c>
      <c r="H52" s="17">
        <f>IFERROR(__xludf.DUMMYFUNCTION("""COMPUTED_VALUE"""),2604.1)</f>
        <v>2604.1</v>
      </c>
      <c r="I52" s="16">
        <f>IFERROR(__xludf.DUMMYFUNCTION("""COMPUTED_VALUE"""),45817.6458333333)</f>
        <v>45817.6458333333</v>
      </c>
      <c r="J52" s="17">
        <f>IFERROR(__xludf.DUMMYFUNCTION("""COMPUTED_VALUE"""),2524.5)</f>
        <v>2524.5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IFERROR(__xludf.DUMMYFUNCTION("""COMPUTED_VALUE"""),2613.1)</f>
        <v>2613.1</v>
      </c>
      <c r="C53" s="16">
        <f>IFERROR(__xludf.DUMMYFUNCTION("""COMPUTED_VALUE"""),45818.6458333333)</f>
        <v>45818.6458333333</v>
      </c>
      <c r="D53" s="17">
        <f>IFERROR(__xludf.DUMMYFUNCTION("""COMPUTED_VALUE"""),2600)</f>
        <v>2600</v>
      </c>
      <c r="E53" s="16">
        <f>IFERROR(__xludf.DUMMYFUNCTION("""COMPUTED_VALUE"""),45818.6458333333)</f>
        <v>45818.6458333333</v>
      </c>
      <c r="F53" s="17">
        <f>IFERROR(__xludf.DUMMYFUNCTION("""COMPUTED_VALUE"""),2084054)</f>
        <v>2084054</v>
      </c>
      <c r="G53" s="16">
        <f>IFERROR(__xludf.DUMMYFUNCTION("""COMPUTED_VALUE"""),45818.6458333333)</f>
        <v>45818.6458333333</v>
      </c>
      <c r="H53" s="17">
        <f>IFERROR(__xludf.DUMMYFUNCTION("""COMPUTED_VALUE"""),2663.2)</f>
        <v>2663.2</v>
      </c>
      <c r="I53" s="16">
        <f>IFERROR(__xludf.DUMMYFUNCTION("""COMPUTED_VALUE"""),45818.6458333333)</f>
        <v>45818.6458333333</v>
      </c>
      <c r="J53" s="17">
        <f>IFERROR(__xludf.DUMMYFUNCTION("""COMPUTED_VALUE"""),2577.7)</f>
        <v>2577.7</v>
      </c>
      <c r="K53" s="3">
        <f t="shared" si="2"/>
        <v>2613.1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IFERROR(__xludf.DUMMYFUNCTION("""COMPUTED_VALUE"""),2581.2)</f>
        <v>2581.2</v>
      </c>
      <c r="C54" s="16">
        <f>IFERROR(__xludf.DUMMYFUNCTION("""COMPUTED_VALUE"""),45819.6458333333)</f>
        <v>45819.6458333333</v>
      </c>
      <c r="D54" s="17">
        <f>IFERROR(__xludf.DUMMYFUNCTION("""COMPUTED_VALUE"""),2630)</f>
        <v>2630</v>
      </c>
      <c r="E54" s="16">
        <f>IFERROR(__xludf.DUMMYFUNCTION("""COMPUTED_VALUE"""),45819.6458333333)</f>
        <v>45819.6458333333</v>
      </c>
      <c r="F54" s="17">
        <f>IFERROR(__xludf.DUMMYFUNCTION("""COMPUTED_VALUE"""),745432)</f>
        <v>745432</v>
      </c>
      <c r="G54" s="16">
        <f>IFERROR(__xludf.DUMMYFUNCTION("""COMPUTED_VALUE"""),45819.6458333333)</f>
        <v>45819.6458333333</v>
      </c>
      <c r="H54" s="17">
        <f>IFERROR(__xludf.DUMMYFUNCTION("""COMPUTED_VALUE"""),2630.9)</f>
        <v>2630.9</v>
      </c>
      <c r="I54" s="16">
        <f>IFERROR(__xludf.DUMMYFUNCTION("""COMPUTED_VALUE"""),45819.6458333333)</f>
        <v>45819.6458333333</v>
      </c>
      <c r="J54" s="17">
        <f>IFERROR(__xludf.DUMMYFUNCTION("""COMPUTED_VALUE"""),2563.1)</f>
        <v>2563.1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IFERROR(__xludf.DUMMYFUNCTION("""COMPUTED_VALUE"""),2543.7)</f>
        <v>2543.7</v>
      </c>
      <c r="C55" s="16">
        <f>IFERROR(__xludf.DUMMYFUNCTION("""COMPUTED_VALUE"""),45820.6458333333)</f>
        <v>45820.6458333333</v>
      </c>
      <c r="D55" s="17">
        <f>IFERROR(__xludf.DUMMYFUNCTION("""COMPUTED_VALUE"""),2591.5)</f>
        <v>2591.5</v>
      </c>
      <c r="E55" s="16">
        <f>IFERROR(__xludf.DUMMYFUNCTION("""COMPUTED_VALUE"""),45820.6458333333)</f>
        <v>45820.6458333333</v>
      </c>
      <c r="F55" s="17">
        <f>IFERROR(__xludf.DUMMYFUNCTION("""COMPUTED_VALUE"""),955097)</f>
        <v>955097</v>
      </c>
      <c r="G55" s="16">
        <f>IFERROR(__xludf.DUMMYFUNCTION("""COMPUTED_VALUE"""),45820.6458333333)</f>
        <v>45820.6458333333</v>
      </c>
      <c r="H55" s="17">
        <f>IFERROR(__xludf.DUMMYFUNCTION("""COMPUTED_VALUE"""),2601.8)</f>
        <v>2601.8</v>
      </c>
      <c r="I55" s="16">
        <f>IFERROR(__xludf.DUMMYFUNCTION("""COMPUTED_VALUE"""),45820.6458333333)</f>
        <v>45820.6458333333</v>
      </c>
      <c r="J55" s="17">
        <f>IFERROR(__xludf.DUMMYFUNCTION("""COMPUTED_VALUE"""),2530)</f>
        <v>2530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IFERROR(__xludf.DUMMYFUNCTION("""COMPUTED_VALUE"""),2507.9)</f>
        <v>2507.9</v>
      </c>
      <c r="C56" s="16">
        <f>IFERROR(__xludf.DUMMYFUNCTION("""COMPUTED_VALUE"""),45821.6458333333)</f>
        <v>45821.6458333333</v>
      </c>
      <c r="D56" s="17">
        <f>IFERROR(__xludf.DUMMYFUNCTION("""COMPUTED_VALUE"""),2498)</f>
        <v>2498</v>
      </c>
      <c r="E56" s="16">
        <f>IFERROR(__xludf.DUMMYFUNCTION("""COMPUTED_VALUE"""),45821.6458333333)</f>
        <v>45821.6458333333</v>
      </c>
      <c r="F56" s="17">
        <f>IFERROR(__xludf.DUMMYFUNCTION("""COMPUTED_VALUE"""),695869)</f>
        <v>695869</v>
      </c>
      <c r="G56" s="16">
        <f>IFERROR(__xludf.DUMMYFUNCTION("""COMPUTED_VALUE"""),45821.6458333333)</f>
        <v>45821.6458333333</v>
      </c>
      <c r="H56" s="17">
        <f>IFERROR(__xludf.DUMMYFUNCTION("""COMPUTED_VALUE"""),2516)</f>
        <v>2516</v>
      </c>
      <c r="I56" s="16">
        <f>IFERROR(__xludf.DUMMYFUNCTION("""COMPUTED_VALUE"""),45821.6458333333)</f>
        <v>45821.6458333333</v>
      </c>
      <c r="J56" s="17">
        <f>IFERROR(__xludf.DUMMYFUNCTION("""COMPUTED_VALUE"""),2460)</f>
        <v>2460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IFERROR(__xludf.DUMMYFUNCTION("""COMPUTED_VALUE"""),2544)</f>
        <v>2544</v>
      </c>
      <c r="C57" s="16">
        <f>IFERROR(__xludf.DUMMYFUNCTION("""COMPUTED_VALUE"""),45824.6458333333)</f>
        <v>45824.6458333333</v>
      </c>
      <c r="D57" s="17">
        <f>IFERROR(__xludf.DUMMYFUNCTION("""COMPUTED_VALUE"""),2500)</f>
        <v>2500</v>
      </c>
      <c r="E57" s="16">
        <f>IFERROR(__xludf.DUMMYFUNCTION("""COMPUTED_VALUE"""),45824.6458333333)</f>
        <v>45824.6458333333</v>
      </c>
      <c r="F57" s="17">
        <f>IFERROR(__xludf.DUMMYFUNCTION("""COMPUTED_VALUE"""),956459)</f>
        <v>956459</v>
      </c>
      <c r="G57" s="16">
        <f>IFERROR(__xludf.DUMMYFUNCTION("""COMPUTED_VALUE"""),45824.6458333333)</f>
        <v>45824.6458333333</v>
      </c>
      <c r="H57" s="17">
        <f>IFERROR(__xludf.DUMMYFUNCTION("""COMPUTED_VALUE"""),2563.3)</f>
        <v>2563.3</v>
      </c>
      <c r="I57" s="16">
        <f>IFERROR(__xludf.DUMMYFUNCTION("""COMPUTED_VALUE"""),45824.6458333333)</f>
        <v>45824.6458333333</v>
      </c>
      <c r="J57" s="17">
        <f>IFERROR(__xludf.DUMMYFUNCTION("""COMPUTED_VALUE"""),2462)</f>
        <v>2462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IFERROR(__xludf.DUMMYFUNCTION("""COMPUTED_VALUE"""),2488.5)</f>
        <v>2488.5</v>
      </c>
      <c r="C58" s="16">
        <f>IFERROR(__xludf.DUMMYFUNCTION("""COMPUTED_VALUE"""),45825.6458333333)</f>
        <v>45825.6458333333</v>
      </c>
      <c r="D58" s="17">
        <f>IFERROR(__xludf.DUMMYFUNCTION("""COMPUTED_VALUE"""),2535)</f>
        <v>2535</v>
      </c>
      <c r="E58" s="16">
        <f>IFERROR(__xludf.DUMMYFUNCTION("""COMPUTED_VALUE"""),45825.6458333333)</f>
        <v>45825.6458333333</v>
      </c>
      <c r="F58" s="17">
        <f>IFERROR(__xludf.DUMMYFUNCTION("""COMPUTED_VALUE"""),703343)</f>
        <v>703343</v>
      </c>
      <c r="G58" s="16">
        <f>IFERROR(__xludf.DUMMYFUNCTION("""COMPUTED_VALUE"""),45825.6458333333)</f>
        <v>45825.6458333333</v>
      </c>
      <c r="H58" s="17">
        <f>IFERROR(__xludf.DUMMYFUNCTION("""COMPUTED_VALUE"""),2539.6)</f>
        <v>2539.6</v>
      </c>
      <c r="I58" s="16">
        <f>IFERROR(__xludf.DUMMYFUNCTION("""COMPUTED_VALUE"""),45825.6458333333)</f>
        <v>45825.6458333333</v>
      </c>
      <c r="J58" s="17">
        <f>IFERROR(__xludf.DUMMYFUNCTION("""COMPUTED_VALUE"""),2479)</f>
        <v>2479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IFERROR(__xludf.DUMMYFUNCTION("""COMPUTED_VALUE"""),2459.1)</f>
        <v>2459.1</v>
      </c>
      <c r="C59" s="16">
        <f>IFERROR(__xludf.DUMMYFUNCTION("""COMPUTED_VALUE"""),45826.6458333333)</f>
        <v>45826.6458333333</v>
      </c>
      <c r="D59" s="17">
        <f>IFERROR(__xludf.DUMMYFUNCTION("""COMPUTED_VALUE"""),2491.9)</f>
        <v>2491.9</v>
      </c>
      <c r="E59" s="16">
        <f>IFERROR(__xludf.DUMMYFUNCTION("""COMPUTED_VALUE"""),45826.6458333333)</f>
        <v>45826.6458333333</v>
      </c>
      <c r="F59" s="17">
        <f>IFERROR(__xludf.DUMMYFUNCTION("""COMPUTED_VALUE"""),667044)</f>
        <v>667044</v>
      </c>
      <c r="G59" s="16">
        <f>IFERROR(__xludf.DUMMYFUNCTION("""COMPUTED_VALUE"""),45826.6458333333)</f>
        <v>45826.6458333333</v>
      </c>
      <c r="H59" s="17">
        <f>IFERROR(__xludf.DUMMYFUNCTION("""COMPUTED_VALUE"""),2495.9)</f>
        <v>2495.9</v>
      </c>
      <c r="I59" s="16">
        <f>IFERROR(__xludf.DUMMYFUNCTION("""COMPUTED_VALUE"""),45826.6458333333)</f>
        <v>45826.6458333333</v>
      </c>
      <c r="J59" s="17">
        <f>IFERROR(__xludf.DUMMYFUNCTION("""COMPUTED_VALUE"""),2445.4)</f>
        <v>2445.4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IFERROR(__xludf.DUMMYFUNCTION("""COMPUTED_VALUE"""),2420.6)</f>
        <v>2420.6</v>
      </c>
      <c r="C60" s="16">
        <f>IFERROR(__xludf.DUMMYFUNCTION("""COMPUTED_VALUE"""),45827.6458333333)</f>
        <v>45827.6458333333</v>
      </c>
      <c r="D60" s="17">
        <f>IFERROR(__xludf.DUMMYFUNCTION("""COMPUTED_VALUE"""),2466.3)</f>
        <v>2466.3</v>
      </c>
      <c r="E60" s="16">
        <f>IFERROR(__xludf.DUMMYFUNCTION("""COMPUTED_VALUE"""),45827.6458333333)</f>
        <v>45827.6458333333</v>
      </c>
      <c r="F60" s="17">
        <f>IFERROR(__xludf.DUMMYFUNCTION("""COMPUTED_VALUE"""),688209)</f>
        <v>688209</v>
      </c>
      <c r="G60" s="16">
        <f>IFERROR(__xludf.DUMMYFUNCTION("""COMPUTED_VALUE"""),45827.6458333333)</f>
        <v>45827.6458333333</v>
      </c>
      <c r="H60" s="17">
        <f>IFERROR(__xludf.DUMMYFUNCTION("""COMPUTED_VALUE"""),2468.9)</f>
        <v>2468.9</v>
      </c>
      <c r="I60" s="16">
        <f>IFERROR(__xludf.DUMMYFUNCTION("""COMPUTED_VALUE"""),45827.6458333333)</f>
        <v>45827.6458333333</v>
      </c>
      <c r="J60" s="17">
        <f>IFERROR(__xludf.DUMMYFUNCTION("""COMPUTED_VALUE"""),2405.1)</f>
        <v>2405.1</v>
      </c>
      <c r="K60" s="3">
        <f t="shared" si="2"/>
        <v>0</v>
      </c>
      <c r="L60" s="3">
        <f t="shared" si="3"/>
        <v>2420.6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IFERROR(__xludf.DUMMYFUNCTION("""COMPUTED_VALUE"""),2448.4)</f>
        <v>2448.4</v>
      </c>
      <c r="C61" s="16">
        <f>IFERROR(__xludf.DUMMYFUNCTION("""COMPUTED_VALUE"""),45828.6458333333)</f>
        <v>45828.6458333333</v>
      </c>
      <c r="D61" s="17">
        <f>IFERROR(__xludf.DUMMYFUNCTION("""COMPUTED_VALUE"""),2428)</f>
        <v>2428</v>
      </c>
      <c r="E61" s="16">
        <f>IFERROR(__xludf.DUMMYFUNCTION("""COMPUTED_VALUE"""),45828.6458333333)</f>
        <v>45828.6458333333</v>
      </c>
      <c r="F61" s="17">
        <f>IFERROR(__xludf.DUMMYFUNCTION("""COMPUTED_VALUE"""),3002549)</f>
        <v>3002549</v>
      </c>
      <c r="G61" s="16">
        <f>IFERROR(__xludf.DUMMYFUNCTION("""COMPUTED_VALUE"""),45828.6458333333)</f>
        <v>45828.6458333333</v>
      </c>
      <c r="H61" s="17">
        <f>IFERROR(__xludf.DUMMYFUNCTION("""COMPUTED_VALUE"""),2461.3)</f>
        <v>2461.3</v>
      </c>
      <c r="I61" s="16">
        <f>IFERROR(__xludf.DUMMYFUNCTION("""COMPUTED_VALUE"""),45828.6458333333)</f>
        <v>45828.6458333333</v>
      </c>
      <c r="J61" s="17">
        <f>IFERROR(__xludf.DUMMYFUNCTION("""COMPUTED_VALUE"""),2415)</f>
        <v>2415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IFERROR(__xludf.DUMMYFUNCTION("""COMPUTED_VALUE"""),2472)</f>
        <v>2472</v>
      </c>
      <c r="C62" s="16">
        <f>IFERROR(__xludf.DUMMYFUNCTION("""COMPUTED_VALUE"""),45831.6458333333)</f>
        <v>45831.6458333333</v>
      </c>
      <c r="D62" s="17">
        <f>IFERROR(__xludf.DUMMYFUNCTION("""COMPUTED_VALUE"""),2438)</f>
        <v>2438</v>
      </c>
      <c r="E62" s="16">
        <f>IFERROR(__xludf.DUMMYFUNCTION("""COMPUTED_VALUE"""),45831.6458333333)</f>
        <v>45831.6458333333</v>
      </c>
      <c r="F62" s="17">
        <f>IFERROR(__xludf.DUMMYFUNCTION("""COMPUTED_VALUE"""),790535)</f>
        <v>790535</v>
      </c>
      <c r="G62" s="16">
        <f>IFERROR(__xludf.DUMMYFUNCTION("""COMPUTED_VALUE"""),45831.6458333333)</f>
        <v>45831.6458333333</v>
      </c>
      <c r="H62" s="17">
        <f>IFERROR(__xludf.DUMMYFUNCTION("""COMPUTED_VALUE"""),2492.6)</f>
        <v>2492.6</v>
      </c>
      <c r="I62" s="16">
        <f>IFERROR(__xludf.DUMMYFUNCTION("""COMPUTED_VALUE"""),45831.6458333333)</f>
        <v>45831.6458333333</v>
      </c>
      <c r="J62" s="17">
        <f>IFERROR(__xludf.DUMMYFUNCTION("""COMPUTED_VALUE"""),2421)</f>
        <v>2421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IFERROR(__xludf.DUMMYFUNCTION("""COMPUTED_VALUE"""),2505.6)</f>
        <v>2505.6</v>
      </c>
      <c r="C63" s="16">
        <f>IFERROR(__xludf.DUMMYFUNCTION("""COMPUTED_VALUE"""),45832.6458333333)</f>
        <v>45832.6458333333</v>
      </c>
      <c r="D63" s="17">
        <f>IFERROR(__xludf.DUMMYFUNCTION("""COMPUTED_VALUE"""),2504)</f>
        <v>2504</v>
      </c>
      <c r="E63" s="16">
        <f>IFERROR(__xludf.DUMMYFUNCTION("""COMPUTED_VALUE"""),45832.6458333333)</f>
        <v>45832.6458333333</v>
      </c>
      <c r="F63" s="17">
        <f>IFERROR(__xludf.DUMMYFUNCTION("""COMPUTED_VALUE"""),996405)</f>
        <v>996405</v>
      </c>
      <c r="G63" s="16">
        <f>IFERROR(__xludf.DUMMYFUNCTION("""COMPUTED_VALUE"""),45832.6458333333)</f>
        <v>45832.6458333333</v>
      </c>
      <c r="H63" s="17">
        <f>IFERROR(__xludf.DUMMYFUNCTION("""COMPUTED_VALUE"""),2544.6)</f>
        <v>2544.6</v>
      </c>
      <c r="I63" s="16">
        <f>IFERROR(__xludf.DUMMYFUNCTION("""COMPUTED_VALUE"""),45832.6458333333)</f>
        <v>45832.6458333333</v>
      </c>
      <c r="J63" s="17">
        <f>IFERROR(__xludf.DUMMYFUNCTION("""COMPUTED_VALUE"""),2500.2)</f>
        <v>2500.2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IFERROR(__xludf.DUMMYFUNCTION("""COMPUTED_VALUE"""),2527.2)</f>
        <v>2527.2</v>
      </c>
      <c r="C64" s="16">
        <f>IFERROR(__xludf.DUMMYFUNCTION("""COMPUTED_VALUE"""),45833.6458333333)</f>
        <v>45833.6458333333</v>
      </c>
      <c r="D64" s="17">
        <f>IFERROR(__xludf.DUMMYFUNCTION("""COMPUTED_VALUE"""),2519.9)</f>
        <v>2519.9</v>
      </c>
      <c r="E64" s="16">
        <f>IFERROR(__xludf.DUMMYFUNCTION("""COMPUTED_VALUE"""),45833.6458333333)</f>
        <v>45833.6458333333</v>
      </c>
      <c r="F64" s="17">
        <f>IFERROR(__xludf.DUMMYFUNCTION("""COMPUTED_VALUE"""),921346)</f>
        <v>921346</v>
      </c>
      <c r="G64" s="16">
        <f>IFERROR(__xludf.DUMMYFUNCTION("""COMPUTED_VALUE"""),45833.6458333333)</f>
        <v>45833.6458333333</v>
      </c>
      <c r="H64" s="17">
        <f>IFERROR(__xludf.DUMMYFUNCTION("""COMPUTED_VALUE"""),2541.6)</f>
        <v>2541.6</v>
      </c>
      <c r="I64" s="16">
        <f>IFERROR(__xludf.DUMMYFUNCTION("""COMPUTED_VALUE"""),45833.6458333333)</f>
        <v>45833.6458333333</v>
      </c>
      <c r="J64" s="17">
        <f>IFERROR(__xludf.DUMMYFUNCTION("""COMPUTED_VALUE"""),2512.1)</f>
        <v>2512.1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IFERROR(__xludf.DUMMYFUNCTION("""COMPUTED_VALUE"""),2586.2)</f>
        <v>2586.2</v>
      </c>
      <c r="C65" s="16">
        <f>IFERROR(__xludf.DUMMYFUNCTION("""COMPUTED_VALUE"""),45834.6458333333)</f>
        <v>45834.6458333333</v>
      </c>
      <c r="D65" s="17">
        <f>IFERROR(__xludf.DUMMYFUNCTION("""COMPUTED_VALUE"""),2535)</f>
        <v>2535</v>
      </c>
      <c r="E65" s="16">
        <f>IFERROR(__xludf.DUMMYFUNCTION("""COMPUTED_VALUE"""),45834.6458333333)</f>
        <v>45834.6458333333</v>
      </c>
      <c r="F65" s="17">
        <f>IFERROR(__xludf.DUMMYFUNCTION("""COMPUTED_VALUE"""),1339627)</f>
        <v>1339627</v>
      </c>
      <c r="G65" s="16">
        <f>IFERROR(__xludf.DUMMYFUNCTION("""COMPUTED_VALUE"""),45834.6458333333)</f>
        <v>45834.6458333333</v>
      </c>
      <c r="H65" s="17">
        <f>IFERROR(__xludf.DUMMYFUNCTION("""COMPUTED_VALUE"""),2593.6)</f>
        <v>2593.6</v>
      </c>
      <c r="I65" s="16">
        <f>IFERROR(__xludf.DUMMYFUNCTION("""COMPUTED_VALUE"""),45834.6458333333)</f>
        <v>45834.6458333333</v>
      </c>
      <c r="J65" s="17">
        <f>IFERROR(__xludf.DUMMYFUNCTION("""COMPUTED_VALUE"""),2522.2)</f>
        <v>2522.2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IFERROR(__xludf.DUMMYFUNCTION("""COMPUTED_VALUE"""),2646.3)</f>
        <v>2646.3</v>
      </c>
      <c r="C66" s="16">
        <f>IFERROR(__xludf.DUMMYFUNCTION("""COMPUTED_VALUE"""),45835.6458333333)</f>
        <v>45835.6458333333</v>
      </c>
      <c r="D66" s="17">
        <f>IFERROR(__xludf.DUMMYFUNCTION("""COMPUTED_VALUE"""),2587.7)</f>
        <v>2587.7</v>
      </c>
      <c r="E66" s="16">
        <f>IFERROR(__xludf.DUMMYFUNCTION("""COMPUTED_VALUE"""),45835.6458333333)</f>
        <v>45835.6458333333</v>
      </c>
      <c r="F66" s="17">
        <f>IFERROR(__xludf.DUMMYFUNCTION("""COMPUTED_VALUE"""),4049316)</f>
        <v>4049316</v>
      </c>
      <c r="G66" s="16">
        <f>IFERROR(__xludf.DUMMYFUNCTION("""COMPUTED_VALUE"""),45835.6458333333)</f>
        <v>45835.6458333333</v>
      </c>
      <c r="H66" s="17">
        <f>IFERROR(__xludf.DUMMYFUNCTION("""COMPUTED_VALUE"""),2681.6)</f>
        <v>2681.6</v>
      </c>
      <c r="I66" s="16">
        <f>IFERROR(__xludf.DUMMYFUNCTION("""COMPUTED_VALUE"""),45835.6458333333)</f>
        <v>45835.6458333333</v>
      </c>
      <c r="J66" s="17">
        <f>IFERROR(__xludf.DUMMYFUNCTION("""COMPUTED_VALUE"""),2582)</f>
        <v>2582</v>
      </c>
      <c r="K66" s="3">
        <f t="shared" si="2"/>
        <v>2646.3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IFERROR(__xludf.DUMMYFUNCTION("""COMPUTED_VALUE"""),2619.4)</f>
        <v>2619.4</v>
      </c>
      <c r="C67" s="16">
        <f>IFERROR(__xludf.DUMMYFUNCTION("""COMPUTED_VALUE"""),45838.6458333333)</f>
        <v>45838.6458333333</v>
      </c>
      <c r="D67" s="17">
        <f>IFERROR(__xludf.DUMMYFUNCTION("""COMPUTED_VALUE"""),2650)</f>
        <v>2650</v>
      </c>
      <c r="E67" s="16">
        <f>IFERROR(__xludf.DUMMYFUNCTION("""COMPUTED_VALUE"""),45838.6458333333)</f>
        <v>45838.6458333333</v>
      </c>
      <c r="F67" s="17">
        <f>IFERROR(__xludf.DUMMYFUNCTION("""COMPUTED_VALUE"""),694815)</f>
        <v>694815</v>
      </c>
      <c r="G67" s="16">
        <f>IFERROR(__xludf.DUMMYFUNCTION("""COMPUTED_VALUE"""),45838.6458333333)</f>
        <v>45838.6458333333</v>
      </c>
      <c r="H67" s="17">
        <f>IFERROR(__xludf.DUMMYFUNCTION("""COMPUTED_VALUE"""),2653.9)</f>
        <v>2653.9</v>
      </c>
      <c r="I67" s="16">
        <f>IFERROR(__xludf.DUMMYFUNCTION("""COMPUTED_VALUE"""),45838.6458333333)</f>
        <v>45838.6458333333</v>
      </c>
      <c r="J67" s="17">
        <f>IFERROR(__xludf.DUMMYFUNCTION("""COMPUTED_VALUE"""),2605.9)</f>
        <v>2605.9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IFERROR(__xludf.DUMMYFUNCTION("""COMPUTED_VALUE"""),2621.8)</f>
        <v>2621.8</v>
      </c>
      <c r="C68" s="16">
        <f>IFERROR(__xludf.DUMMYFUNCTION("""COMPUTED_VALUE"""),45839.6458333333)</f>
        <v>45839.6458333333</v>
      </c>
      <c r="D68" s="17">
        <f>IFERROR(__xludf.DUMMYFUNCTION("""COMPUTED_VALUE"""),2624.9)</f>
        <v>2624.9</v>
      </c>
      <c r="E68" s="16">
        <f>IFERROR(__xludf.DUMMYFUNCTION("""COMPUTED_VALUE"""),45839.6458333333)</f>
        <v>45839.6458333333</v>
      </c>
      <c r="F68" s="17">
        <f>IFERROR(__xludf.DUMMYFUNCTION("""COMPUTED_VALUE"""),729197)</f>
        <v>729197</v>
      </c>
      <c r="G68" s="16">
        <f>IFERROR(__xludf.DUMMYFUNCTION("""COMPUTED_VALUE"""),45839.6458333333)</f>
        <v>45839.6458333333</v>
      </c>
      <c r="H68" s="17">
        <f>IFERROR(__xludf.DUMMYFUNCTION("""COMPUTED_VALUE"""),2645)</f>
        <v>2645</v>
      </c>
      <c r="I68" s="16">
        <f>IFERROR(__xludf.DUMMYFUNCTION("""COMPUTED_VALUE"""),45839.6458333333)</f>
        <v>45839.6458333333</v>
      </c>
      <c r="J68" s="17">
        <f>IFERROR(__xludf.DUMMYFUNCTION("""COMPUTED_VALUE"""),2603)</f>
        <v>2603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IFERROR(__xludf.DUMMYFUNCTION("""COMPUTED_VALUE"""),2630.2)</f>
        <v>2630.2</v>
      </c>
      <c r="C69" s="16">
        <f>IFERROR(__xludf.DUMMYFUNCTION("""COMPUTED_VALUE"""),45840.6458333333)</f>
        <v>45840.6458333333</v>
      </c>
      <c r="D69" s="17">
        <f>IFERROR(__xludf.DUMMYFUNCTION("""COMPUTED_VALUE"""),2634)</f>
        <v>2634</v>
      </c>
      <c r="E69" s="16">
        <f>IFERROR(__xludf.DUMMYFUNCTION("""COMPUTED_VALUE"""),45840.6458333333)</f>
        <v>45840.6458333333</v>
      </c>
      <c r="F69" s="17">
        <f>IFERROR(__xludf.DUMMYFUNCTION("""COMPUTED_VALUE"""),621409)</f>
        <v>621409</v>
      </c>
      <c r="G69" s="16">
        <f>IFERROR(__xludf.DUMMYFUNCTION("""COMPUTED_VALUE"""),45840.6458333333)</f>
        <v>45840.6458333333</v>
      </c>
      <c r="H69" s="17">
        <f>IFERROR(__xludf.DUMMYFUNCTION("""COMPUTED_VALUE"""),2646)</f>
        <v>2646</v>
      </c>
      <c r="I69" s="16">
        <f>IFERROR(__xludf.DUMMYFUNCTION("""COMPUTED_VALUE"""),45840.6458333333)</f>
        <v>45840.6458333333</v>
      </c>
      <c r="J69" s="17">
        <f>IFERROR(__xludf.DUMMYFUNCTION("""COMPUTED_VALUE"""),2613.6)</f>
        <v>2613.6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IFERROR(__xludf.DUMMYFUNCTION("""COMPUTED_VALUE"""),2611.2)</f>
        <v>2611.2</v>
      </c>
      <c r="C70" s="16">
        <f>IFERROR(__xludf.DUMMYFUNCTION("""COMPUTED_VALUE"""),45841.6458333333)</f>
        <v>45841.6458333333</v>
      </c>
      <c r="D70" s="17">
        <f>IFERROR(__xludf.DUMMYFUNCTION("""COMPUTED_VALUE"""),2634)</f>
        <v>2634</v>
      </c>
      <c r="E70" s="16">
        <f>IFERROR(__xludf.DUMMYFUNCTION("""COMPUTED_VALUE"""),45841.6458333333)</f>
        <v>45841.6458333333</v>
      </c>
      <c r="F70" s="17">
        <f>IFERROR(__xludf.DUMMYFUNCTION("""COMPUTED_VALUE"""),502724)</f>
        <v>502724</v>
      </c>
      <c r="G70" s="16">
        <f>IFERROR(__xludf.DUMMYFUNCTION("""COMPUTED_VALUE"""),45841.6458333333)</f>
        <v>45841.6458333333</v>
      </c>
      <c r="H70" s="17">
        <f>IFERROR(__xludf.DUMMYFUNCTION("""COMPUTED_VALUE"""),2644)</f>
        <v>2644</v>
      </c>
      <c r="I70" s="16">
        <f>IFERROR(__xludf.DUMMYFUNCTION("""COMPUTED_VALUE"""),45841.6458333333)</f>
        <v>45841.6458333333</v>
      </c>
      <c r="J70" s="17">
        <f>IFERROR(__xludf.DUMMYFUNCTION("""COMPUTED_VALUE"""),2605.1)</f>
        <v>2605.1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IFERROR(__xludf.DUMMYFUNCTION("""COMPUTED_VALUE"""),2599.1)</f>
        <v>2599.1</v>
      </c>
      <c r="C71" s="16">
        <f>IFERROR(__xludf.DUMMYFUNCTION("""COMPUTED_VALUE"""),45842.6458333333)</f>
        <v>45842.6458333333</v>
      </c>
      <c r="D71" s="17">
        <f>IFERROR(__xludf.DUMMYFUNCTION("""COMPUTED_VALUE"""),2617)</f>
        <v>2617</v>
      </c>
      <c r="E71" s="16">
        <f>IFERROR(__xludf.DUMMYFUNCTION("""COMPUTED_VALUE"""),45842.6458333333)</f>
        <v>45842.6458333333</v>
      </c>
      <c r="F71" s="17">
        <f>IFERROR(__xludf.DUMMYFUNCTION("""COMPUTED_VALUE"""),370305)</f>
        <v>370305</v>
      </c>
      <c r="G71" s="16">
        <f>IFERROR(__xludf.DUMMYFUNCTION("""COMPUTED_VALUE"""),45842.6458333333)</f>
        <v>45842.6458333333</v>
      </c>
      <c r="H71" s="17">
        <f>IFERROR(__xludf.DUMMYFUNCTION("""COMPUTED_VALUE"""),2617)</f>
        <v>2617</v>
      </c>
      <c r="I71" s="16">
        <f>IFERROR(__xludf.DUMMYFUNCTION("""COMPUTED_VALUE"""),45842.6458333333)</f>
        <v>45842.6458333333</v>
      </c>
      <c r="J71" s="17">
        <f>IFERROR(__xludf.DUMMYFUNCTION("""COMPUTED_VALUE"""),2582.2)</f>
        <v>2582.2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IFERROR(__xludf.DUMMYFUNCTION("""COMPUTED_VALUE"""),2576.1)</f>
        <v>2576.1</v>
      </c>
      <c r="C72" s="16">
        <f>IFERROR(__xludf.DUMMYFUNCTION("""COMPUTED_VALUE"""),45845.6458333333)</f>
        <v>45845.6458333333</v>
      </c>
      <c r="D72" s="17">
        <f>IFERROR(__xludf.DUMMYFUNCTION("""COMPUTED_VALUE"""),2602)</f>
        <v>2602</v>
      </c>
      <c r="E72" s="16">
        <f>IFERROR(__xludf.DUMMYFUNCTION("""COMPUTED_VALUE"""),45845.6458333333)</f>
        <v>45845.6458333333</v>
      </c>
      <c r="F72" s="17">
        <f>IFERROR(__xludf.DUMMYFUNCTION("""COMPUTED_VALUE"""),412159)</f>
        <v>412159</v>
      </c>
      <c r="G72" s="16">
        <f>IFERROR(__xludf.DUMMYFUNCTION("""COMPUTED_VALUE"""),45845.6458333333)</f>
        <v>45845.6458333333</v>
      </c>
      <c r="H72" s="17">
        <f>IFERROR(__xludf.DUMMYFUNCTION("""COMPUTED_VALUE"""),2605.4)</f>
        <v>2605.4</v>
      </c>
      <c r="I72" s="16">
        <f>IFERROR(__xludf.DUMMYFUNCTION("""COMPUTED_VALUE"""),45845.6458333333)</f>
        <v>45845.6458333333</v>
      </c>
      <c r="J72" s="17">
        <f>IFERROR(__xludf.DUMMYFUNCTION("""COMPUTED_VALUE"""),2572)</f>
        <v>2572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IFERROR(__xludf.DUMMYFUNCTION("""COMPUTED_VALUE"""),2591.3)</f>
        <v>2591.3</v>
      </c>
      <c r="C73" s="16">
        <f>IFERROR(__xludf.DUMMYFUNCTION("""COMPUTED_VALUE"""),45846.6458333333)</f>
        <v>45846.6458333333</v>
      </c>
      <c r="D73" s="17">
        <f>IFERROR(__xludf.DUMMYFUNCTION("""COMPUTED_VALUE"""),2586)</f>
        <v>2586</v>
      </c>
      <c r="E73" s="16">
        <f>IFERROR(__xludf.DUMMYFUNCTION("""COMPUTED_VALUE"""),45846.6458333333)</f>
        <v>45846.6458333333</v>
      </c>
      <c r="F73" s="17">
        <f>IFERROR(__xludf.DUMMYFUNCTION("""COMPUTED_VALUE"""),357701)</f>
        <v>357701</v>
      </c>
      <c r="G73" s="16">
        <f>IFERROR(__xludf.DUMMYFUNCTION("""COMPUTED_VALUE"""),45846.6458333333)</f>
        <v>45846.6458333333</v>
      </c>
      <c r="H73" s="17">
        <f>IFERROR(__xludf.DUMMYFUNCTION("""COMPUTED_VALUE"""),2600)</f>
        <v>2600</v>
      </c>
      <c r="I73" s="16">
        <f>IFERROR(__xludf.DUMMYFUNCTION("""COMPUTED_VALUE"""),45846.6458333333)</f>
        <v>45846.6458333333</v>
      </c>
      <c r="J73" s="17">
        <f>IFERROR(__xludf.DUMMYFUNCTION("""COMPUTED_VALUE"""),2573)</f>
        <v>2573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IFERROR(__xludf.DUMMYFUNCTION("""COMPUTED_VALUE"""),2583)</f>
        <v>2583</v>
      </c>
      <c r="C74" s="16">
        <f>IFERROR(__xludf.DUMMYFUNCTION("""COMPUTED_VALUE"""),45847.6458333333)</f>
        <v>45847.6458333333</v>
      </c>
      <c r="D74" s="17">
        <f>IFERROR(__xludf.DUMMYFUNCTION("""COMPUTED_VALUE"""),2599)</f>
        <v>2599</v>
      </c>
      <c r="E74" s="16">
        <f>IFERROR(__xludf.DUMMYFUNCTION("""COMPUTED_VALUE"""),45847.6458333333)</f>
        <v>45847.6458333333</v>
      </c>
      <c r="F74" s="17">
        <f>IFERROR(__xludf.DUMMYFUNCTION("""COMPUTED_VALUE"""),396880)</f>
        <v>396880</v>
      </c>
      <c r="G74" s="16">
        <f>IFERROR(__xludf.DUMMYFUNCTION("""COMPUTED_VALUE"""),45847.6458333333)</f>
        <v>45847.6458333333</v>
      </c>
      <c r="H74" s="17">
        <f>IFERROR(__xludf.DUMMYFUNCTION("""COMPUTED_VALUE"""),2609.9)</f>
        <v>2609.9</v>
      </c>
      <c r="I74" s="16">
        <f>IFERROR(__xludf.DUMMYFUNCTION("""COMPUTED_VALUE"""),45847.6458333333)</f>
        <v>45847.6458333333</v>
      </c>
      <c r="J74" s="17">
        <f>IFERROR(__xludf.DUMMYFUNCTION("""COMPUTED_VALUE"""),2570)</f>
        <v>2570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IFERROR(__xludf.DUMMYFUNCTION("""COMPUTED_VALUE"""),2581)</f>
        <v>2581</v>
      </c>
      <c r="C75" s="16">
        <f>IFERROR(__xludf.DUMMYFUNCTION("""COMPUTED_VALUE"""),45848.6458333333)</f>
        <v>45848.6458333333</v>
      </c>
      <c r="D75" s="17">
        <f>IFERROR(__xludf.DUMMYFUNCTION("""COMPUTED_VALUE"""),2591)</f>
        <v>2591</v>
      </c>
      <c r="E75" s="16">
        <f>IFERROR(__xludf.DUMMYFUNCTION("""COMPUTED_VALUE"""),45848.6458333333)</f>
        <v>45848.6458333333</v>
      </c>
      <c r="F75" s="17">
        <f>IFERROR(__xludf.DUMMYFUNCTION("""COMPUTED_VALUE"""),306565)</f>
        <v>306565</v>
      </c>
      <c r="G75" s="16">
        <f>IFERROR(__xludf.DUMMYFUNCTION("""COMPUTED_VALUE"""),45848.6458333333)</f>
        <v>45848.6458333333</v>
      </c>
      <c r="H75" s="17">
        <f>IFERROR(__xludf.DUMMYFUNCTION("""COMPUTED_VALUE"""),2604)</f>
        <v>2604</v>
      </c>
      <c r="I75" s="16">
        <f>IFERROR(__xludf.DUMMYFUNCTION("""COMPUTED_VALUE"""),45848.6458333333)</f>
        <v>45848.6458333333</v>
      </c>
      <c r="J75" s="17">
        <f>IFERROR(__xludf.DUMMYFUNCTION("""COMPUTED_VALUE"""),2575)</f>
        <v>2575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IFERROR(__xludf.DUMMYFUNCTION("""COMPUTED_VALUE"""),2558.7)</f>
        <v>2558.7</v>
      </c>
      <c r="C76" s="16">
        <f>IFERROR(__xludf.DUMMYFUNCTION("""COMPUTED_VALUE"""),45849.6458333333)</f>
        <v>45849.6458333333</v>
      </c>
      <c r="D76" s="17">
        <f>IFERROR(__xludf.DUMMYFUNCTION("""COMPUTED_VALUE"""),2575)</f>
        <v>2575</v>
      </c>
      <c r="E76" s="16">
        <f>IFERROR(__xludf.DUMMYFUNCTION("""COMPUTED_VALUE"""),45849.6458333333)</f>
        <v>45849.6458333333</v>
      </c>
      <c r="F76" s="17">
        <f>IFERROR(__xludf.DUMMYFUNCTION("""COMPUTED_VALUE"""),390645)</f>
        <v>390645</v>
      </c>
      <c r="G76" s="16">
        <f>IFERROR(__xludf.DUMMYFUNCTION("""COMPUTED_VALUE"""),45849.6458333333)</f>
        <v>45849.6458333333</v>
      </c>
      <c r="H76" s="17">
        <f>IFERROR(__xludf.DUMMYFUNCTION("""COMPUTED_VALUE"""),2591.9)</f>
        <v>2591.9</v>
      </c>
      <c r="I76" s="16">
        <f>IFERROR(__xludf.DUMMYFUNCTION("""COMPUTED_VALUE"""),45849.6458333333)</f>
        <v>45849.6458333333</v>
      </c>
      <c r="J76" s="17">
        <f>IFERROR(__xludf.DUMMYFUNCTION("""COMPUTED_VALUE"""),2551.9)</f>
        <v>2551.9</v>
      </c>
      <c r="K76" s="3">
        <f t="shared" si="2"/>
        <v>0</v>
      </c>
      <c r="L76" s="3">
        <f t="shared" si="3"/>
        <v>2558.7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IFERROR(__xludf.DUMMYFUNCTION("""COMPUTED_VALUE"""),2581.3)</f>
        <v>2581.3</v>
      </c>
      <c r="C77" s="16">
        <f>IFERROR(__xludf.DUMMYFUNCTION("""COMPUTED_VALUE"""),45852.6458333333)</f>
        <v>45852.6458333333</v>
      </c>
      <c r="D77" s="17">
        <f>IFERROR(__xludf.DUMMYFUNCTION("""COMPUTED_VALUE"""),2555)</f>
        <v>2555</v>
      </c>
      <c r="E77" s="16">
        <f>IFERROR(__xludf.DUMMYFUNCTION("""COMPUTED_VALUE"""),45852.6458333333)</f>
        <v>45852.6458333333</v>
      </c>
      <c r="F77" s="17">
        <f>IFERROR(__xludf.DUMMYFUNCTION("""COMPUTED_VALUE"""),536585)</f>
        <v>536585</v>
      </c>
      <c r="G77" s="16">
        <f>IFERROR(__xludf.DUMMYFUNCTION("""COMPUTED_VALUE"""),45852.6458333333)</f>
        <v>45852.6458333333</v>
      </c>
      <c r="H77" s="17">
        <f>IFERROR(__xludf.DUMMYFUNCTION("""COMPUTED_VALUE"""),2604.8)</f>
        <v>2604.8</v>
      </c>
      <c r="I77" s="16">
        <f>IFERROR(__xludf.DUMMYFUNCTION("""COMPUTED_VALUE"""),45852.6458333333)</f>
        <v>45852.6458333333</v>
      </c>
      <c r="J77" s="17">
        <f>IFERROR(__xludf.DUMMYFUNCTION("""COMPUTED_VALUE"""),2543.5)</f>
        <v>2543.5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IFERROR(__xludf.DUMMYFUNCTION("""COMPUTED_VALUE"""),2598.2)</f>
        <v>2598.2</v>
      </c>
      <c r="C78" s="16">
        <f>IFERROR(__xludf.DUMMYFUNCTION("""COMPUTED_VALUE"""),45853.6458333333)</f>
        <v>45853.6458333333</v>
      </c>
      <c r="D78" s="17">
        <f>IFERROR(__xludf.DUMMYFUNCTION("""COMPUTED_VALUE"""),2588)</f>
        <v>2588</v>
      </c>
      <c r="E78" s="16">
        <f>IFERROR(__xludf.DUMMYFUNCTION("""COMPUTED_VALUE"""),45853.6458333333)</f>
        <v>45853.6458333333</v>
      </c>
      <c r="F78" s="17">
        <f>IFERROR(__xludf.DUMMYFUNCTION("""COMPUTED_VALUE"""),379425)</f>
        <v>379425</v>
      </c>
      <c r="G78" s="16">
        <f>IFERROR(__xludf.DUMMYFUNCTION("""COMPUTED_VALUE"""),45853.6458333333)</f>
        <v>45853.6458333333</v>
      </c>
      <c r="H78" s="17">
        <f>IFERROR(__xludf.DUMMYFUNCTION("""COMPUTED_VALUE"""),2606.9)</f>
        <v>2606.9</v>
      </c>
      <c r="I78" s="16">
        <f>IFERROR(__xludf.DUMMYFUNCTION("""COMPUTED_VALUE"""),45853.6458333333)</f>
        <v>45853.6458333333</v>
      </c>
      <c r="J78" s="17">
        <f>IFERROR(__xludf.DUMMYFUNCTION("""COMPUTED_VALUE"""),2576)</f>
        <v>2576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IFERROR(__xludf.DUMMYFUNCTION("""COMPUTED_VALUE"""),2608.5)</f>
        <v>2608.5</v>
      </c>
      <c r="C79" s="16">
        <f>IFERROR(__xludf.DUMMYFUNCTION("""COMPUTED_VALUE"""),45854.6458333333)</f>
        <v>45854.6458333333</v>
      </c>
      <c r="D79" s="17">
        <f>IFERROR(__xludf.DUMMYFUNCTION("""COMPUTED_VALUE"""),2602.5)</f>
        <v>2602.5</v>
      </c>
      <c r="E79" s="16">
        <f>IFERROR(__xludf.DUMMYFUNCTION("""COMPUTED_VALUE"""),45854.6458333333)</f>
        <v>45854.6458333333</v>
      </c>
      <c r="F79" s="17">
        <f>IFERROR(__xludf.DUMMYFUNCTION("""COMPUTED_VALUE"""),686644)</f>
        <v>686644</v>
      </c>
      <c r="G79" s="16">
        <f>IFERROR(__xludf.DUMMYFUNCTION("""COMPUTED_VALUE"""),45854.6458333333)</f>
        <v>45854.6458333333</v>
      </c>
      <c r="H79" s="17">
        <f>IFERROR(__xludf.DUMMYFUNCTION("""COMPUTED_VALUE"""),2619.5)</f>
        <v>2619.5</v>
      </c>
      <c r="I79" s="16">
        <f>IFERROR(__xludf.DUMMYFUNCTION("""COMPUTED_VALUE"""),45854.6458333333)</f>
        <v>45854.6458333333</v>
      </c>
      <c r="J79" s="17">
        <f>IFERROR(__xludf.DUMMYFUNCTION("""COMPUTED_VALUE"""),2595.5)</f>
        <v>2595.5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IFERROR(__xludf.DUMMYFUNCTION("""COMPUTED_VALUE"""),2616.6)</f>
        <v>2616.6</v>
      </c>
      <c r="C80" s="16">
        <f>IFERROR(__xludf.DUMMYFUNCTION("""COMPUTED_VALUE"""),45855.6458333333)</f>
        <v>45855.6458333333</v>
      </c>
      <c r="D80" s="17">
        <f>IFERROR(__xludf.DUMMYFUNCTION("""COMPUTED_VALUE"""),2612)</f>
        <v>2612</v>
      </c>
      <c r="E80" s="16">
        <f>IFERROR(__xludf.DUMMYFUNCTION("""COMPUTED_VALUE"""),45855.6458333333)</f>
        <v>45855.6458333333</v>
      </c>
      <c r="F80" s="17">
        <f>IFERROR(__xludf.DUMMYFUNCTION("""COMPUTED_VALUE"""),785771)</f>
        <v>785771</v>
      </c>
      <c r="G80" s="16">
        <f>IFERROR(__xludf.DUMMYFUNCTION("""COMPUTED_VALUE"""),45855.6458333333)</f>
        <v>45855.6458333333</v>
      </c>
      <c r="H80" s="17">
        <f>IFERROR(__xludf.DUMMYFUNCTION("""COMPUTED_VALUE"""),2654.5)</f>
        <v>2654.5</v>
      </c>
      <c r="I80" s="16">
        <f>IFERROR(__xludf.DUMMYFUNCTION("""COMPUTED_VALUE"""),45855.6458333333)</f>
        <v>45855.6458333333</v>
      </c>
      <c r="J80" s="17">
        <f>IFERROR(__xludf.DUMMYFUNCTION("""COMPUTED_VALUE"""),2605.3)</f>
        <v>2605.3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IFERROR(__xludf.DUMMYFUNCTION("""COMPUTED_VALUE"""),2596.1)</f>
        <v>2596.1</v>
      </c>
      <c r="C81" s="16">
        <f>IFERROR(__xludf.DUMMYFUNCTION("""COMPUTED_VALUE"""),45856.6458333333)</f>
        <v>45856.6458333333</v>
      </c>
      <c r="D81" s="17">
        <f>IFERROR(__xludf.DUMMYFUNCTION("""COMPUTED_VALUE"""),2612)</f>
        <v>2612</v>
      </c>
      <c r="E81" s="16">
        <f>IFERROR(__xludf.DUMMYFUNCTION("""COMPUTED_VALUE"""),45856.6458333333)</f>
        <v>45856.6458333333</v>
      </c>
      <c r="F81" s="17">
        <f>IFERROR(__xludf.DUMMYFUNCTION("""COMPUTED_VALUE"""),479942)</f>
        <v>479942</v>
      </c>
      <c r="G81" s="16">
        <f>IFERROR(__xludf.DUMMYFUNCTION("""COMPUTED_VALUE"""),45856.6458333333)</f>
        <v>45856.6458333333</v>
      </c>
      <c r="H81" s="17">
        <f>IFERROR(__xludf.DUMMYFUNCTION("""COMPUTED_VALUE"""),2626.7)</f>
        <v>2626.7</v>
      </c>
      <c r="I81" s="16">
        <f>IFERROR(__xludf.DUMMYFUNCTION("""COMPUTED_VALUE"""),45856.6458333333)</f>
        <v>45856.6458333333</v>
      </c>
      <c r="J81" s="17">
        <f>IFERROR(__xludf.DUMMYFUNCTION("""COMPUTED_VALUE"""),2584.2)</f>
        <v>2584.2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IFERROR(__xludf.DUMMYFUNCTION("""COMPUTED_VALUE"""),2619.5)</f>
        <v>2619.5</v>
      </c>
      <c r="C82" s="16">
        <f>IFERROR(__xludf.DUMMYFUNCTION("""COMPUTED_VALUE"""),45859.6458333333)</f>
        <v>45859.6458333333</v>
      </c>
      <c r="D82" s="17">
        <f>IFERROR(__xludf.DUMMYFUNCTION("""COMPUTED_VALUE"""),2596.3)</f>
        <v>2596.3</v>
      </c>
      <c r="E82" s="16">
        <f>IFERROR(__xludf.DUMMYFUNCTION("""COMPUTED_VALUE"""),45859.6458333333)</f>
        <v>45859.6458333333</v>
      </c>
      <c r="F82" s="17">
        <f>IFERROR(__xludf.DUMMYFUNCTION("""COMPUTED_VALUE"""),369782)</f>
        <v>369782</v>
      </c>
      <c r="G82" s="16">
        <f>IFERROR(__xludf.DUMMYFUNCTION("""COMPUTED_VALUE"""),45859.6458333333)</f>
        <v>45859.6458333333</v>
      </c>
      <c r="H82" s="17">
        <f>IFERROR(__xludf.DUMMYFUNCTION("""COMPUTED_VALUE"""),2624.9)</f>
        <v>2624.9</v>
      </c>
      <c r="I82" s="16">
        <f>IFERROR(__xludf.DUMMYFUNCTION("""COMPUTED_VALUE"""),45859.6458333333)</f>
        <v>45859.6458333333</v>
      </c>
      <c r="J82" s="17">
        <f>IFERROR(__xludf.DUMMYFUNCTION("""COMPUTED_VALUE"""),2585)</f>
        <v>2585</v>
      </c>
      <c r="K82" s="3">
        <f t="shared" si="2"/>
        <v>2619.5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IFERROR(__xludf.DUMMYFUNCTION("""COMPUTED_VALUE"""),2587.8)</f>
        <v>2587.8</v>
      </c>
      <c r="C83" s="16">
        <f>IFERROR(__xludf.DUMMYFUNCTION("""COMPUTED_VALUE"""),45860.6458333333)</f>
        <v>45860.6458333333</v>
      </c>
      <c r="D83" s="17">
        <f>IFERROR(__xludf.DUMMYFUNCTION("""COMPUTED_VALUE"""),2626)</f>
        <v>2626</v>
      </c>
      <c r="E83" s="16">
        <f>IFERROR(__xludf.DUMMYFUNCTION("""COMPUTED_VALUE"""),45860.6458333333)</f>
        <v>45860.6458333333</v>
      </c>
      <c r="F83" s="17">
        <f>IFERROR(__xludf.DUMMYFUNCTION("""COMPUTED_VALUE"""),387055)</f>
        <v>387055</v>
      </c>
      <c r="G83" s="16">
        <f>IFERROR(__xludf.DUMMYFUNCTION("""COMPUTED_VALUE"""),45860.6458333333)</f>
        <v>45860.6458333333</v>
      </c>
      <c r="H83" s="17">
        <f>IFERROR(__xludf.DUMMYFUNCTION("""COMPUTED_VALUE"""),2630)</f>
        <v>2630</v>
      </c>
      <c r="I83" s="16">
        <f>IFERROR(__xludf.DUMMYFUNCTION("""COMPUTED_VALUE"""),45860.6458333333)</f>
        <v>45860.6458333333</v>
      </c>
      <c r="J83" s="17">
        <f>IFERROR(__xludf.DUMMYFUNCTION("""COMPUTED_VALUE"""),2581.6)</f>
        <v>2581.6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IFERROR(__xludf.DUMMYFUNCTION("""COMPUTED_VALUE"""),2614.5)</f>
        <v>2614.5</v>
      </c>
      <c r="C84" s="16">
        <f>IFERROR(__xludf.DUMMYFUNCTION("""COMPUTED_VALUE"""),45861.6458333333)</f>
        <v>45861.6458333333</v>
      </c>
      <c r="D84" s="17">
        <f>IFERROR(__xludf.DUMMYFUNCTION("""COMPUTED_VALUE"""),2600.7)</f>
        <v>2600.7</v>
      </c>
      <c r="E84" s="16">
        <f>IFERROR(__xludf.DUMMYFUNCTION("""COMPUTED_VALUE"""),45861.6458333333)</f>
        <v>45861.6458333333</v>
      </c>
      <c r="F84" s="17">
        <f>IFERROR(__xludf.DUMMYFUNCTION("""COMPUTED_VALUE"""),316424)</f>
        <v>316424</v>
      </c>
      <c r="G84" s="16">
        <f>IFERROR(__xludf.DUMMYFUNCTION("""COMPUTED_VALUE"""),45861.6458333333)</f>
        <v>45861.6458333333</v>
      </c>
      <c r="H84" s="17">
        <f>IFERROR(__xludf.DUMMYFUNCTION("""COMPUTED_VALUE"""),2625.9)</f>
        <v>2625.9</v>
      </c>
      <c r="I84" s="16">
        <f>IFERROR(__xludf.DUMMYFUNCTION("""COMPUTED_VALUE"""),45861.6458333333)</f>
        <v>45861.6458333333</v>
      </c>
      <c r="J84" s="17">
        <f>IFERROR(__xludf.DUMMYFUNCTION("""COMPUTED_VALUE"""),2593.5)</f>
        <v>2593.5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IFERROR(__xludf.DUMMYFUNCTION("""COMPUTED_VALUE"""),2608.4)</f>
        <v>2608.4</v>
      </c>
      <c r="C85" s="16">
        <f>IFERROR(__xludf.DUMMYFUNCTION("""COMPUTED_VALUE"""),45862.6458333333)</f>
        <v>45862.6458333333</v>
      </c>
      <c r="D85" s="17">
        <f>IFERROR(__xludf.DUMMYFUNCTION("""COMPUTED_VALUE"""),2615.4)</f>
        <v>2615.4</v>
      </c>
      <c r="E85" s="16">
        <f>IFERROR(__xludf.DUMMYFUNCTION("""COMPUTED_VALUE"""),45862.6458333333)</f>
        <v>45862.6458333333</v>
      </c>
      <c r="F85" s="17">
        <f>IFERROR(__xludf.DUMMYFUNCTION("""COMPUTED_VALUE"""),253782)</f>
        <v>253782</v>
      </c>
      <c r="G85" s="16">
        <f>IFERROR(__xludf.DUMMYFUNCTION("""COMPUTED_VALUE"""),45862.6458333333)</f>
        <v>45862.6458333333</v>
      </c>
      <c r="H85" s="17">
        <f>IFERROR(__xludf.DUMMYFUNCTION("""COMPUTED_VALUE"""),2624.2)</f>
        <v>2624.2</v>
      </c>
      <c r="I85" s="16">
        <f>IFERROR(__xludf.DUMMYFUNCTION("""COMPUTED_VALUE"""),45862.6458333333)</f>
        <v>45862.6458333333</v>
      </c>
      <c r="J85" s="17">
        <f>IFERROR(__xludf.DUMMYFUNCTION("""COMPUTED_VALUE"""),2595)</f>
        <v>2595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IFERROR(__xludf.DUMMYFUNCTION("""COMPUTED_VALUE"""),2550.1)</f>
        <v>2550.1</v>
      </c>
      <c r="C86" s="16">
        <f>IFERROR(__xludf.DUMMYFUNCTION("""COMPUTED_VALUE"""),45863.6458333333)</f>
        <v>45863.6458333333</v>
      </c>
      <c r="D86" s="17">
        <f>IFERROR(__xludf.DUMMYFUNCTION("""COMPUTED_VALUE"""),2605)</f>
        <v>2605</v>
      </c>
      <c r="E86" s="16">
        <f>IFERROR(__xludf.DUMMYFUNCTION("""COMPUTED_VALUE"""),45863.6458333333)</f>
        <v>45863.6458333333</v>
      </c>
      <c r="F86" s="17">
        <f>IFERROR(__xludf.DUMMYFUNCTION("""COMPUTED_VALUE"""),424612)</f>
        <v>424612</v>
      </c>
      <c r="G86" s="16">
        <f>IFERROR(__xludf.DUMMYFUNCTION("""COMPUTED_VALUE"""),45863.6458333333)</f>
        <v>45863.6458333333</v>
      </c>
      <c r="H86" s="17">
        <f>IFERROR(__xludf.DUMMYFUNCTION("""COMPUTED_VALUE"""),2617)</f>
        <v>2617</v>
      </c>
      <c r="I86" s="16">
        <f>IFERROR(__xludf.DUMMYFUNCTION("""COMPUTED_VALUE"""),45863.6458333333)</f>
        <v>45863.6458333333</v>
      </c>
      <c r="J86" s="17">
        <f>IFERROR(__xludf.DUMMYFUNCTION("""COMPUTED_VALUE"""),2544.1)</f>
        <v>2544.1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IFERROR(__xludf.DUMMYFUNCTION("""COMPUTED_VALUE"""),2522.3)</f>
        <v>2522.3</v>
      </c>
      <c r="C87" s="16">
        <f>IFERROR(__xludf.DUMMYFUNCTION("""COMPUTED_VALUE"""),45866.6458333333)</f>
        <v>45866.6458333333</v>
      </c>
      <c r="D87" s="17">
        <f>IFERROR(__xludf.DUMMYFUNCTION("""COMPUTED_VALUE"""),2549)</f>
        <v>2549</v>
      </c>
      <c r="E87" s="16">
        <f>IFERROR(__xludf.DUMMYFUNCTION("""COMPUTED_VALUE"""),45866.6458333333)</f>
        <v>45866.6458333333</v>
      </c>
      <c r="F87" s="17">
        <f>IFERROR(__xludf.DUMMYFUNCTION("""COMPUTED_VALUE"""),428409)</f>
        <v>428409</v>
      </c>
      <c r="G87" s="16">
        <f>IFERROR(__xludf.DUMMYFUNCTION("""COMPUTED_VALUE"""),45866.6458333333)</f>
        <v>45866.6458333333</v>
      </c>
      <c r="H87" s="17">
        <f>IFERROR(__xludf.DUMMYFUNCTION("""COMPUTED_VALUE"""),2585)</f>
        <v>2585</v>
      </c>
      <c r="I87" s="16">
        <f>IFERROR(__xludf.DUMMYFUNCTION("""COMPUTED_VALUE"""),45866.6458333333)</f>
        <v>45866.6458333333</v>
      </c>
      <c r="J87" s="17">
        <f>IFERROR(__xludf.DUMMYFUNCTION("""COMPUTED_VALUE"""),2512.6)</f>
        <v>2512.6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IFERROR(__xludf.DUMMYFUNCTION("""COMPUTED_VALUE"""),2547.9)</f>
        <v>2547.9</v>
      </c>
      <c r="C88" s="16">
        <f>IFERROR(__xludf.DUMMYFUNCTION("""COMPUTED_VALUE"""),45867.6458333333)</f>
        <v>45867.6458333333</v>
      </c>
      <c r="D88" s="17">
        <f>IFERROR(__xludf.DUMMYFUNCTION("""COMPUTED_VALUE"""),2529)</f>
        <v>2529</v>
      </c>
      <c r="E88" s="16">
        <f>IFERROR(__xludf.DUMMYFUNCTION("""COMPUTED_VALUE"""),45867.6458333333)</f>
        <v>45867.6458333333</v>
      </c>
      <c r="F88" s="17">
        <f>IFERROR(__xludf.DUMMYFUNCTION("""COMPUTED_VALUE"""),424781)</f>
        <v>424781</v>
      </c>
      <c r="G88" s="16">
        <f>IFERROR(__xludf.DUMMYFUNCTION("""COMPUTED_VALUE"""),45867.6458333333)</f>
        <v>45867.6458333333</v>
      </c>
      <c r="H88" s="17">
        <f>IFERROR(__xludf.DUMMYFUNCTION("""COMPUTED_VALUE"""),2557.4)</f>
        <v>2557.4</v>
      </c>
      <c r="I88" s="16">
        <f>IFERROR(__xludf.DUMMYFUNCTION("""COMPUTED_VALUE"""),45867.6458333333)</f>
        <v>45867.6458333333</v>
      </c>
      <c r="J88" s="17">
        <f>IFERROR(__xludf.DUMMYFUNCTION("""COMPUTED_VALUE"""),2507.5)</f>
        <v>2507.5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IFERROR(__xludf.DUMMYFUNCTION("""COMPUTED_VALUE"""),2532.9)</f>
        <v>2532.9</v>
      </c>
      <c r="C89" s="16">
        <f>IFERROR(__xludf.DUMMYFUNCTION("""COMPUTED_VALUE"""),45868.6458333333)</f>
        <v>45868.6458333333</v>
      </c>
      <c r="D89" s="17">
        <f>IFERROR(__xludf.DUMMYFUNCTION("""COMPUTED_VALUE"""),2547.9)</f>
        <v>2547.9</v>
      </c>
      <c r="E89" s="16">
        <f>IFERROR(__xludf.DUMMYFUNCTION("""COMPUTED_VALUE"""),45868.6458333333)</f>
        <v>45868.6458333333</v>
      </c>
      <c r="F89" s="17">
        <f>IFERROR(__xludf.DUMMYFUNCTION("""COMPUTED_VALUE"""),262063)</f>
        <v>262063</v>
      </c>
      <c r="G89" s="16">
        <f>IFERROR(__xludf.DUMMYFUNCTION("""COMPUTED_VALUE"""),45868.6458333333)</f>
        <v>45868.6458333333</v>
      </c>
      <c r="H89" s="17">
        <f>IFERROR(__xludf.DUMMYFUNCTION("""COMPUTED_VALUE"""),2552.6)</f>
        <v>2552.6</v>
      </c>
      <c r="I89" s="16">
        <f>IFERROR(__xludf.DUMMYFUNCTION("""COMPUTED_VALUE"""),45868.6458333333)</f>
        <v>45868.6458333333</v>
      </c>
      <c r="J89" s="17">
        <f>IFERROR(__xludf.DUMMYFUNCTION("""COMPUTED_VALUE"""),2525)</f>
        <v>2525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IFERROR(__xludf.DUMMYFUNCTION("""COMPUTED_VALUE"""),2430.7)</f>
        <v>2430.7</v>
      </c>
      <c r="C90" s="16">
        <f>IFERROR(__xludf.DUMMYFUNCTION("""COMPUTED_VALUE"""),45869.6458333333)</f>
        <v>45869.6458333333</v>
      </c>
      <c r="D90" s="17">
        <f>IFERROR(__xludf.DUMMYFUNCTION("""COMPUTED_VALUE"""),2509.9)</f>
        <v>2509.9</v>
      </c>
      <c r="E90" s="16">
        <f>IFERROR(__xludf.DUMMYFUNCTION("""COMPUTED_VALUE"""),45869.6458333333)</f>
        <v>45869.6458333333</v>
      </c>
      <c r="F90" s="17">
        <f>IFERROR(__xludf.DUMMYFUNCTION("""COMPUTED_VALUE"""),1457616)</f>
        <v>1457616</v>
      </c>
      <c r="G90" s="16">
        <f>IFERROR(__xludf.DUMMYFUNCTION("""COMPUTED_VALUE"""),45869.6458333333)</f>
        <v>45869.6458333333</v>
      </c>
      <c r="H90" s="17">
        <f>IFERROR(__xludf.DUMMYFUNCTION("""COMPUTED_VALUE"""),2520)</f>
        <v>2520</v>
      </c>
      <c r="I90" s="16">
        <f>IFERROR(__xludf.DUMMYFUNCTION("""COMPUTED_VALUE"""),45869.6458333333)</f>
        <v>45869.6458333333</v>
      </c>
      <c r="J90" s="17">
        <f>IFERROR(__xludf.DUMMYFUNCTION("""COMPUTED_VALUE"""),2422.6)</f>
        <v>2422.6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IFERROR(__xludf.DUMMYFUNCTION("""COMPUTED_VALUE"""),2350.9)</f>
        <v>2350.9</v>
      </c>
      <c r="C91" s="16">
        <f>IFERROR(__xludf.DUMMYFUNCTION("""COMPUTED_VALUE"""),45870.6458333333)</f>
        <v>45870.6458333333</v>
      </c>
      <c r="D91" s="17">
        <f>IFERROR(__xludf.DUMMYFUNCTION("""COMPUTED_VALUE"""),2425)</f>
        <v>2425</v>
      </c>
      <c r="E91" s="16">
        <f>IFERROR(__xludf.DUMMYFUNCTION("""COMPUTED_VALUE"""),45870.6458333333)</f>
        <v>45870.6458333333</v>
      </c>
      <c r="F91" s="17">
        <f>IFERROR(__xludf.DUMMYFUNCTION("""COMPUTED_VALUE"""),976341)</f>
        <v>976341</v>
      </c>
      <c r="G91" s="16">
        <f>IFERROR(__xludf.DUMMYFUNCTION("""COMPUTED_VALUE"""),45870.6458333333)</f>
        <v>45870.6458333333</v>
      </c>
      <c r="H91" s="17">
        <f>IFERROR(__xludf.DUMMYFUNCTION("""COMPUTED_VALUE"""),2444.9)</f>
        <v>2444.9</v>
      </c>
      <c r="I91" s="16">
        <f>IFERROR(__xludf.DUMMYFUNCTION("""COMPUTED_VALUE"""),45870.6458333333)</f>
        <v>45870.6458333333</v>
      </c>
      <c r="J91" s="17">
        <f>IFERROR(__xludf.DUMMYFUNCTION("""COMPUTED_VALUE"""),2333)</f>
        <v>2333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IFERROR(__xludf.DUMMYFUNCTION("""COMPUTED_VALUE"""),2363.6)</f>
        <v>2363.6</v>
      </c>
      <c r="C92" s="16">
        <f>IFERROR(__xludf.DUMMYFUNCTION("""COMPUTED_VALUE"""),45873.6458333333)</f>
        <v>45873.6458333333</v>
      </c>
      <c r="D92" s="17">
        <f>IFERROR(__xludf.DUMMYFUNCTION("""COMPUTED_VALUE"""),2360)</f>
        <v>2360</v>
      </c>
      <c r="E92" s="16">
        <f>IFERROR(__xludf.DUMMYFUNCTION("""COMPUTED_VALUE"""),45873.6458333333)</f>
        <v>45873.6458333333</v>
      </c>
      <c r="F92" s="17">
        <f>IFERROR(__xludf.DUMMYFUNCTION("""COMPUTED_VALUE"""),576426)</f>
        <v>576426</v>
      </c>
      <c r="G92" s="16">
        <f>IFERROR(__xludf.DUMMYFUNCTION("""COMPUTED_VALUE"""),45873.6458333333)</f>
        <v>45873.6458333333</v>
      </c>
      <c r="H92" s="17">
        <f>IFERROR(__xludf.DUMMYFUNCTION("""COMPUTED_VALUE"""),2374.7)</f>
        <v>2374.7</v>
      </c>
      <c r="I92" s="16">
        <f>IFERROR(__xludf.DUMMYFUNCTION("""COMPUTED_VALUE"""),45873.6458333333)</f>
        <v>45873.6458333333</v>
      </c>
      <c r="J92" s="17">
        <f>IFERROR(__xludf.DUMMYFUNCTION("""COMPUTED_VALUE"""),2338.2)</f>
        <v>2338.2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IFERROR(__xludf.DUMMYFUNCTION("""COMPUTED_VALUE"""),2328.2)</f>
        <v>2328.2</v>
      </c>
      <c r="C93" s="16">
        <f>IFERROR(__xludf.DUMMYFUNCTION("""COMPUTED_VALUE"""),45874.6458333333)</f>
        <v>45874.6458333333</v>
      </c>
      <c r="D93" s="17">
        <f>IFERROR(__xludf.DUMMYFUNCTION("""COMPUTED_VALUE"""),2370)</f>
        <v>2370</v>
      </c>
      <c r="E93" s="16">
        <f>IFERROR(__xludf.DUMMYFUNCTION("""COMPUTED_VALUE"""),45874.6458333333)</f>
        <v>45874.6458333333</v>
      </c>
      <c r="F93" s="17">
        <f>IFERROR(__xludf.DUMMYFUNCTION("""COMPUTED_VALUE"""),576742)</f>
        <v>576742</v>
      </c>
      <c r="G93" s="16">
        <f>IFERROR(__xludf.DUMMYFUNCTION("""COMPUTED_VALUE"""),45874.6458333333)</f>
        <v>45874.6458333333</v>
      </c>
      <c r="H93" s="17">
        <f>IFERROR(__xludf.DUMMYFUNCTION("""COMPUTED_VALUE"""),2370)</f>
        <v>2370</v>
      </c>
      <c r="I93" s="16">
        <f>IFERROR(__xludf.DUMMYFUNCTION("""COMPUTED_VALUE"""),45874.6458333333)</f>
        <v>45874.6458333333</v>
      </c>
      <c r="J93" s="17">
        <f>IFERROR(__xludf.DUMMYFUNCTION("""COMPUTED_VALUE"""),2316)</f>
        <v>2316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IFERROR(__xludf.DUMMYFUNCTION("""COMPUTED_VALUE"""),2300.3)</f>
        <v>2300.3</v>
      </c>
      <c r="C94" s="16">
        <f>IFERROR(__xludf.DUMMYFUNCTION("""COMPUTED_VALUE"""),45875.6458333333)</f>
        <v>45875.6458333333</v>
      </c>
      <c r="D94" s="17">
        <f>IFERROR(__xludf.DUMMYFUNCTION("""COMPUTED_VALUE"""),2333.9)</f>
        <v>2333.9</v>
      </c>
      <c r="E94" s="16">
        <f>IFERROR(__xludf.DUMMYFUNCTION("""COMPUTED_VALUE"""),45875.6458333333)</f>
        <v>45875.6458333333</v>
      </c>
      <c r="F94" s="17">
        <f>IFERROR(__xludf.DUMMYFUNCTION("""COMPUTED_VALUE"""),631582)</f>
        <v>631582</v>
      </c>
      <c r="G94" s="16">
        <f>IFERROR(__xludf.DUMMYFUNCTION("""COMPUTED_VALUE"""),45875.6458333333)</f>
        <v>45875.6458333333</v>
      </c>
      <c r="H94" s="17">
        <f>IFERROR(__xludf.DUMMYFUNCTION("""COMPUTED_VALUE"""),2347.9)</f>
        <v>2347.9</v>
      </c>
      <c r="I94" s="16">
        <f>IFERROR(__xludf.DUMMYFUNCTION("""COMPUTED_VALUE"""),45875.6458333333)</f>
        <v>45875.6458333333</v>
      </c>
      <c r="J94" s="17">
        <f>IFERROR(__xludf.DUMMYFUNCTION("""COMPUTED_VALUE"""),2296)</f>
        <v>2296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IFERROR(__xludf.DUMMYFUNCTION("""COMPUTED_VALUE"""),2249.8)</f>
        <v>2249.8</v>
      </c>
      <c r="C95" s="16">
        <f>IFERROR(__xludf.DUMMYFUNCTION("""COMPUTED_VALUE"""),45876.6458333333)</f>
        <v>45876.6458333333</v>
      </c>
      <c r="D95" s="17">
        <f>IFERROR(__xludf.DUMMYFUNCTION("""COMPUTED_VALUE"""),2290)</f>
        <v>2290</v>
      </c>
      <c r="E95" s="16">
        <f>IFERROR(__xludf.DUMMYFUNCTION("""COMPUTED_VALUE"""),45876.6458333333)</f>
        <v>45876.6458333333</v>
      </c>
      <c r="F95" s="17">
        <f>IFERROR(__xludf.DUMMYFUNCTION("""COMPUTED_VALUE"""),1529410)</f>
        <v>1529410</v>
      </c>
      <c r="G95" s="16">
        <f>IFERROR(__xludf.DUMMYFUNCTION("""COMPUTED_VALUE"""),45876.6458333333)</f>
        <v>45876.6458333333</v>
      </c>
      <c r="H95" s="17">
        <f>IFERROR(__xludf.DUMMYFUNCTION("""COMPUTED_VALUE"""),2295)</f>
        <v>2295</v>
      </c>
      <c r="I95" s="16">
        <f>IFERROR(__xludf.DUMMYFUNCTION("""COMPUTED_VALUE"""),45876.6458333333)</f>
        <v>45876.6458333333</v>
      </c>
      <c r="J95" s="17">
        <f>IFERROR(__xludf.DUMMYFUNCTION("""COMPUTED_VALUE"""),2202.8)</f>
        <v>2202.8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IFERROR(__xludf.DUMMYFUNCTION("""COMPUTED_VALUE"""),2178.1)</f>
        <v>2178.1</v>
      </c>
      <c r="C96" s="16">
        <f>IFERROR(__xludf.DUMMYFUNCTION("""COMPUTED_VALUE"""),45877.6458333333)</f>
        <v>45877.6458333333</v>
      </c>
      <c r="D96" s="17">
        <f>IFERROR(__xludf.DUMMYFUNCTION("""COMPUTED_VALUE"""),2247)</f>
        <v>2247</v>
      </c>
      <c r="E96" s="16">
        <f>IFERROR(__xludf.DUMMYFUNCTION("""COMPUTED_VALUE"""),45877.6458333333)</f>
        <v>45877.6458333333</v>
      </c>
      <c r="F96" s="17">
        <f>IFERROR(__xludf.DUMMYFUNCTION("""COMPUTED_VALUE"""),2552736)</f>
        <v>2552736</v>
      </c>
      <c r="G96" s="16">
        <f>IFERROR(__xludf.DUMMYFUNCTION("""COMPUTED_VALUE"""),45877.6458333333)</f>
        <v>45877.6458333333</v>
      </c>
      <c r="H96" s="17">
        <f>IFERROR(__xludf.DUMMYFUNCTION("""COMPUTED_VALUE"""),2260.9)</f>
        <v>2260.9</v>
      </c>
      <c r="I96" s="16">
        <f>IFERROR(__xludf.DUMMYFUNCTION("""COMPUTED_VALUE"""),45877.6458333333)</f>
        <v>45877.6458333333</v>
      </c>
      <c r="J96" s="17">
        <f>IFERROR(__xludf.DUMMYFUNCTION("""COMPUTED_VALUE"""),2164.8)</f>
        <v>2164.8</v>
      </c>
      <c r="K96" s="3">
        <f t="shared" si="2"/>
        <v>0</v>
      </c>
      <c r="L96" s="3">
        <f t="shared" si="3"/>
        <v>2178.1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IFERROR(__xludf.DUMMYFUNCTION("""COMPUTED_VALUE"""),2283.4)</f>
        <v>2283.4</v>
      </c>
      <c r="C97" s="16">
        <f>IFERROR(__xludf.DUMMYFUNCTION("""COMPUTED_VALUE"""),45880.6458333333)</f>
        <v>45880.6458333333</v>
      </c>
      <c r="D97" s="17">
        <f>IFERROR(__xludf.DUMMYFUNCTION("""COMPUTED_VALUE"""),2196)</f>
        <v>2196</v>
      </c>
      <c r="E97" s="16">
        <f>IFERROR(__xludf.DUMMYFUNCTION("""COMPUTED_VALUE"""),45880.6458333333)</f>
        <v>45880.6458333333</v>
      </c>
      <c r="F97" s="17">
        <f>IFERROR(__xludf.DUMMYFUNCTION("""COMPUTED_VALUE"""),2376286)</f>
        <v>2376286</v>
      </c>
      <c r="G97" s="16">
        <f>IFERROR(__xludf.DUMMYFUNCTION("""COMPUTED_VALUE"""),45880.6458333333)</f>
        <v>45880.6458333333</v>
      </c>
      <c r="H97" s="17">
        <f>IFERROR(__xludf.DUMMYFUNCTION("""COMPUTED_VALUE"""),2302)</f>
        <v>2302</v>
      </c>
      <c r="I97" s="16">
        <f>IFERROR(__xludf.DUMMYFUNCTION("""COMPUTED_VALUE"""),45880.6458333333)</f>
        <v>45880.6458333333</v>
      </c>
      <c r="J97" s="17">
        <f>IFERROR(__xludf.DUMMYFUNCTION("""COMPUTED_VALUE"""),2183)</f>
        <v>2183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IFERROR(__xludf.DUMMYFUNCTION("""COMPUTED_VALUE"""),2288.2)</f>
        <v>2288.2</v>
      </c>
      <c r="C98" s="16">
        <f>IFERROR(__xludf.DUMMYFUNCTION("""COMPUTED_VALUE"""),45881.6458333333)</f>
        <v>45881.6458333333</v>
      </c>
      <c r="D98" s="17">
        <f>IFERROR(__xludf.DUMMYFUNCTION("""COMPUTED_VALUE"""),2280.1)</f>
        <v>2280.1</v>
      </c>
      <c r="E98" s="16">
        <f>IFERROR(__xludf.DUMMYFUNCTION("""COMPUTED_VALUE"""),45881.6458333333)</f>
        <v>45881.6458333333</v>
      </c>
      <c r="F98" s="17">
        <f>IFERROR(__xludf.DUMMYFUNCTION("""COMPUTED_VALUE"""),1075526)</f>
        <v>1075526</v>
      </c>
      <c r="G98" s="16">
        <f>IFERROR(__xludf.DUMMYFUNCTION("""COMPUTED_VALUE"""),45881.6458333333)</f>
        <v>45881.6458333333</v>
      </c>
      <c r="H98" s="17">
        <f>IFERROR(__xludf.DUMMYFUNCTION("""COMPUTED_VALUE"""),2314.7)</f>
        <v>2314.7</v>
      </c>
      <c r="I98" s="16">
        <f>IFERROR(__xludf.DUMMYFUNCTION("""COMPUTED_VALUE"""),45881.6458333333)</f>
        <v>45881.6458333333</v>
      </c>
      <c r="J98" s="17">
        <f>IFERROR(__xludf.DUMMYFUNCTION("""COMPUTED_VALUE"""),2267)</f>
        <v>2267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IFERROR(__xludf.DUMMYFUNCTION("""COMPUTED_VALUE"""),2280.1)</f>
        <v>2280.1</v>
      </c>
      <c r="C99" s="16">
        <f>IFERROR(__xludf.DUMMYFUNCTION("""COMPUTED_VALUE"""),45882.6458333333)</f>
        <v>45882.6458333333</v>
      </c>
      <c r="D99" s="17">
        <f>IFERROR(__xludf.DUMMYFUNCTION("""COMPUTED_VALUE"""),2299)</f>
        <v>2299</v>
      </c>
      <c r="E99" s="16">
        <f>IFERROR(__xludf.DUMMYFUNCTION("""COMPUTED_VALUE"""),45882.6458333333)</f>
        <v>45882.6458333333</v>
      </c>
      <c r="F99" s="17">
        <f>IFERROR(__xludf.DUMMYFUNCTION("""COMPUTED_VALUE"""),833679)</f>
        <v>833679</v>
      </c>
      <c r="G99" s="16">
        <f>IFERROR(__xludf.DUMMYFUNCTION("""COMPUTED_VALUE"""),45882.6458333333)</f>
        <v>45882.6458333333</v>
      </c>
      <c r="H99" s="17">
        <f>IFERROR(__xludf.DUMMYFUNCTION("""COMPUTED_VALUE"""),2314.9)</f>
        <v>2314.9</v>
      </c>
      <c r="I99" s="16">
        <f>IFERROR(__xludf.DUMMYFUNCTION("""COMPUTED_VALUE"""),45882.6458333333)</f>
        <v>45882.6458333333</v>
      </c>
      <c r="J99" s="17">
        <f>IFERROR(__xludf.DUMMYFUNCTION("""COMPUTED_VALUE"""),2245.4)</f>
        <v>2245.4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IFERROR(__xludf.DUMMYFUNCTION("""COMPUTED_VALUE"""),2281.6)</f>
        <v>2281.6</v>
      </c>
      <c r="C100" s="16">
        <f>IFERROR(__xludf.DUMMYFUNCTION("""COMPUTED_VALUE"""),45883.6458333333)</f>
        <v>45883.6458333333</v>
      </c>
      <c r="D100" s="17">
        <f>IFERROR(__xludf.DUMMYFUNCTION("""COMPUTED_VALUE"""),2288)</f>
        <v>2288</v>
      </c>
      <c r="E100" s="16">
        <f>IFERROR(__xludf.DUMMYFUNCTION("""COMPUTED_VALUE"""),45883.6458333333)</f>
        <v>45883.6458333333</v>
      </c>
      <c r="F100" s="17">
        <f>IFERROR(__xludf.DUMMYFUNCTION("""COMPUTED_VALUE"""),998109)</f>
        <v>998109</v>
      </c>
      <c r="G100" s="16">
        <f>IFERROR(__xludf.DUMMYFUNCTION("""COMPUTED_VALUE"""),45883.6458333333)</f>
        <v>45883.6458333333</v>
      </c>
      <c r="H100" s="17">
        <f>IFERROR(__xludf.DUMMYFUNCTION("""COMPUTED_VALUE"""),2304)</f>
        <v>2304</v>
      </c>
      <c r="I100" s="16">
        <f>IFERROR(__xludf.DUMMYFUNCTION("""COMPUTED_VALUE"""),45883.6458333333)</f>
        <v>45883.6458333333</v>
      </c>
      <c r="J100" s="17">
        <f>IFERROR(__xludf.DUMMYFUNCTION("""COMPUTED_VALUE"""),2267.7)</f>
        <v>2267.7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IFERROR(__xludf.DUMMYFUNCTION("""COMPUTED_VALUE"""),2333.6)</f>
        <v>2333.6</v>
      </c>
      <c r="C101" s="16">
        <f>IFERROR(__xludf.DUMMYFUNCTION("""COMPUTED_VALUE"""),45887.6458333333)</f>
        <v>45887.6458333333</v>
      </c>
      <c r="D101" s="17">
        <f>IFERROR(__xludf.DUMMYFUNCTION("""COMPUTED_VALUE"""),2309.6)</f>
        <v>2309.6</v>
      </c>
      <c r="E101" s="16">
        <f>IFERROR(__xludf.DUMMYFUNCTION("""COMPUTED_VALUE"""),45887.6458333333)</f>
        <v>45887.6458333333</v>
      </c>
      <c r="F101" s="17">
        <f>IFERROR(__xludf.DUMMYFUNCTION("""COMPUTED_VALUE"""),988629)</f>
        <v>988629</v>
      </c>
      <c r="G101" s="16">
        <f>IFERROR(__xludf.DUMMYFUNCTION("""COMPUTED_VALUE"""),45887.6458333333)</f>
        <v>45887.6458333333</v>
      </c>
      <c r="H101" s="17">
        <f>IFERROR(__xludf.DUMMYFUNCTION("""COMPUTED_VALUE"""),2360)</f>
        <v>2360</v>
      </c>
      <c r="I101" s="16">
        <f>IFERROR(__xludf.DUMMYFUNCTION("""COMPUTED_VALUE"""),45887.6458333333)</f>
        <v>45887.6458333333</v>
      </c>
      <c r="J101" s="17">
        <f>IFERROR(__xludf.DUMMYFUNCTION("""COMPUTED_VALUE"""),2300)</f>
        <v>2300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IFERROR(__xludf.DUMMYFUNCTION("""COMPUTED_VALUE"""),2388.4)</f>
        <v>2388.4</v>
      </c>
      <c r="C102" s="16">
        <f>IFERROR(__xludf.DUMMYFUNCTION("""COMPUTED_VALUE"""),45888.6458333333)</f>
        <v>45888.6458333333</v>
      </c>
      <c r="D102" s="17">
        <f>IFERROR(__xludf.DUMMYFUNCTION("""COMPUTED_VALUE"""),2339.9)</f>
        <v>2339.9</v>
      </c>
      <c r="E102" s="16">
        <f>IFERROR(__xludf.DUMMYFUNCTION("""COMPUTED_VALUE"""),45888.6458333333)</f>
        <v>45888.6458333333</v>
      </c>
      <c r="F102" s="17">
        <f>IFERROR(__xludf.DUMMYFUNCTION("""COMPUTED_VALUE"""),1069432)</f>
        <v>1069432</v>
      </c>
      <c r="G102" s="16">
        <f>IFERROR(__xludf.DUMMYFUNCTION("""COMPUTED_VALUE"""),45888.6458333333)</f>
        <v>45888.6458333333</v>
      </c>
      <c r="H102" s="17">
        <f>IFERROR(__xludf.DUMMYFUNCTION("""COMPUTED_VALUE"""),2395.6)</f>
        <v>2395.6</v>
      </c>
      <c r="I102" s="16">
        <f>IFERROR(__xludf.DUMMYFUNCTION("""COMPUTED_VALUE"""),45888.6458333333)</f>
        <v>45888.6458333333</v>
      </c>
      <c r="J102" s="17">
        <f>IFERROR(__xludf.DUMMYFUNCTION("""COMPUTED_VALUE"""),2314.1)</f>
        <v>2314.1</v>
      </c>
      <c r="K102" s="3">
        <f t="shared" si="2"/>
        <v>2388.4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IFERROR(__xludf.DUMMYFUNCTION("""COMPUTED_VALUE"""),2387.1)</f>
        <v>2387.1</v>
      </c>
      <c r="C103" s="16">
        <f>IFERROR(__xludf.DUMMYFUNCTION("""COMPUTED_VALUE"""),45889.6458333333)</f>
        <v>45889.6458333333</v>
      </c>
      <c r="D103" s="17">
        <f>IFERROR(__xludf.DUMMYFUNCTION("""COMPUTED_VALUE"""),2380)</f>
        <v>2380</v>
      </c>
      <c r="E103" s="16">
        <f>IFERROR(__xludf.DUMMYFUNCTION("""COMPUTED_VALUE"""),45889.6458333333)</f>
        <v>45889.6458333333</v>
      </c>
      <c r="F103" s="17">
        <f>IFERROR(__xludf.DUMMYFUNCTION("""COMPUTED_VALUE"""),780025)</f>
        <v>780025</v>
      </c>
      <c r="G103" s="16">
        <f>IFERROR(__xludf.DUMMYFUNCTION("""COMPUTED_VALUE"""),45889.6458333333)</f>
        <v>45889.6458333333</v>
      </c>
      <c r="H103" s="17">
        <f>IFERROR(__xludf.DUMMYFUNCTION("""COMPUTED_VALUE"""),2406)</f>
        <v>2406</v>
      </c>
      <c r="I103" s="16">
        <f>IFERROR(__xludf.DUMMYFUNCTION("""COMPUTED_VALUE"""),45889.6458333333)</f>
        <v>45889.6458333333</v>
      </c>
      <c r="J103" s="17">
        <f>IFERROR(__xludf.DUMMYFUNCTION("""COMPUTED_VALUE"""),2372.1)</f>
        <v>2372.1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IFERROR(__xludf.DUMMYFUNCTION("""COMPUTED_VALUE"""),2377.2)</f>
        <v>2377.2</v>
      </c>
      <c r="C104" s="16">
        <f>IFERROR(__xludf.DUMMYFUNCTION("""COMPUTED_VALUE"""),45890.6458333333)</f>
        <v>45890.6458333333</v>
      </c>
      <c r="D104" s="17">
        <f>IFERROR(__xludf.DUMMYFUNCTION("""COMPUTED_VALUE"""),2387.1)</f>
        <v>2387.1</v>
      </c>
      <c r="E104" s="16">
        <f>IFERROR(__xludf.DUMMYFUNCTION("""COMPUTED_VALUE"""),45890.6458333333)</f>
        <v>45890.6458333333</v>
      </c>
      <c r="F104" s="17">
        <f>IFERROR(__xludf.DUMMYFUNCTION("""COMPUTED_VALUE"""),441867)</f>
        <v>441867</v>
      </c>
      <c r="G104" s="16">
        <f>IFERROR(__xludf.DUMMYFUNCTION("""COMPUTED_VALUE"""),45890.6458333333)</f>
        <v>45890.6458333333</v>
      </c>
      <c r="H104" s="17">
        <f>IFERROR(__xludf.DUMMYFUNCTION("""COMPUTED_VALUE"""),2397)</f>
        <v>2397</v>
      </c>
      <c r="I104" s="16">
        <f>IFERROR(__xludf.DUMMYFUNCTION("""COMPUTED_VALUE"""),45890.6458333333)</f>
        <v>45890.6458333333</v>
      </c>
      <c r="J104" s="17">
        <f>IFERROR(__xludf.DUMMYFUNCTION("""COMPUTED_VALUE"""),2371.4)</f>
        <v>2371.4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IFERROR(__xludf.DUMMYFUNCTION("""COMPUTED_VALUE"""),2324.9)</f>
        <v>2324.9</v>
      </c>
      <c r="C105" s="16">
        <f>IFERROR(__xludf.DUMMYFUNCTION("""COMPUTED_VALUE"""),45891.6458333333)</f>
        <v>45891.6458333333</v>
      </c>
      <c r="D105" s="17">
        <f>IFERROR(__xludf.DUMMYFUNCTION("""COMPUTED_VALUE"""),2369.9)</f>
        <v>2369.9</v>
      </c>
      <c r="E105" s="16">
        <f>IFERROR(__xludf.DUMMYFUNCTION("""COMPUTED_VALUE"""),45891.6458333333)</f>
        <v>45891.6458333333</v>
      </c>
      <c r="F105" s="17">
        <f>IFERROR(__xludf.DUMMYFUNCTION("""COMPUTED_VALUE"""),584211)</f>
        <v>584211</v>
      </c>
      <c r="G105" s="16">
        <f>IFERROR(__xludf.DUMMYFUNCTION("""COMPUTED_VALUE"""),45891.6458333333)</f>
        <v>45891.6458333333</v>
      </c>
      <c r="H105" s="17">
        <f>IFERROR(__xludf.DUMMYFUNCTION("""COMPUTED_VALUE"""),2376.3)</f>
        <v>2376.3</v>
      </c>
      <c r="I105" s="16">
        <f>IFERROR(__xludf.DUMMYFUNCTION("""COMPUTED_VALUE"""),45891.6458333333)</f>
        <v>45891.6458333333</v>
      </c>
      <c r="J105" s="17">
        <f>IFERROR(__xludf.DUMMYFUNCTION("""COMPUTED_VALUE"""),2321)</f>
        <v>2321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IFERROR(__xludf.DUMMYFUNCTION("""COMPUTED_VALUE"""),2302.9)</f>
        <v>2302.9</v>
      </c>
      <c r="C106" s="16">
        <f>IFERROR(__xludf.DUMMYFUNCTION("""COMPUTED_VALUE"""),45894.6458333333)</f>
        <v>45894.6458333333</v>
      </c>
      <c r="D106" s="17">
        <f>IFERROR(__xludf.DUMMYFUNCTION("""COMPUTED_VALUE"""),2335.7)</f>
        <v>2335.7</v>
      </c>
      <c r="E106" s="16">
        <f>IFERROR(__xludf.DUMMYFUNCTION("""COMPUTED_VALUE"""),45894.6458333333)</f>
        <v>45894.6458333333</v>
      </c>
      <c r="F106" s="17">
        <f>IFERROR(__xludf.DUMMYFUNCTION("""COMPUTED_VALUE"""),542455)</f>
        <v>542455</v>
      </c>
      <c r="G106" s="16">
        <f>IFERROR(__xludf.DUMMYFUNCTION("""COMPUTED_VALUE"""),45894.6458333333)</f>
        <v>45894.6458333333</v>
      </c>
      <c r="H106" s="17">
        <f>IFERROR(__xludf.DUMMYFUNCTION("""COMPUTED_VALUE"""),2348.4)</f>
        <v>2348.4</v>
      </c>
      <c r="I106" s="16">
        <f>IFERROR(__xludf.DUMMYFUNCTION("""COMPUTED_VALUE"""),45894.6458333333)</f>
        <v>45894.6458333333</v>
      </c>
      <c r="J106" s="17">
        <f>IFERROR(__xludf.DUMMYFUNCTION("""COMPUTED_VALUE"""),2300)</f>
        <v>2300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IFERROR(__xludf.DUMMYFUNCTION("""COMPUTED_VALUE"""),2272)</f>
        <v>2272</v>
      </c>
      <c r="C107" s="16">
        <f>IFERROR(__xludf.DUMMYFUNCTION("""COMPUTED_VALUE"""),45895.6458333333)</f>
        <v>45895.6458333333</v>
      </c>
      <c r="D107" s="17">
        <f>IFERROR(__xludf.DUMMYFUNCTION("""COMPUTED_VALUE"""),2304)</f>
        <v>2304</v>
      </c>
      <c r="E107" s="16">
        <f>IFERROR(__xludf.DUMMYFUNCTION("""COMPUTED_VALUE"""),45895.6458333333)</f>
        <v>45895.6458333333</v>
      </c>
      <c r="F107" s="17">
        <f>IFERROR(__xludf.DUMMYFUNCTION("""COMPUTED_VALUE"""),1071550)</f>
        <v>1071550</v>
      </c>
      <c r="G107" s="16">
        <f>IFERROR(__xludf.DUMMYFUNCTION("""COMPUTED_VALUE"""),45895.6458333333)</f>
        <v>45895.6458333333</v>
      </c>
      <c r="H107" s="17">
        <f>IFERROR(__xludf.DUMMYFUNCTION("""COMPUTED_VALUE"""),2309.3)</f>
        <v>2309.3</v>
      </c>
      <c r="I107" s="16">
        <f>IFERROR(__xludf.DUMMYFUNCTION("""COMPUTED_VALUE"""),45895.6458333333)</f>
        <v>45895.6458333333</v>
      </c>
      <c r="J107" s="17">
        <f>IFERROR(__xludf.DUMMYFUNCTION("""COMPUTED_VALUE"""),2249.4)</f>
        <v>2249.4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IFERROR(__xludf.DUMMYFUNCTION("""COMPUTED_VALUE"""),2275.2)</f>
        <v>2275.2</v>
      </c>
      <c r="C108" s="16">
        <f>IFERROR(__xludf.DUMMYFUNCTION("""COMPUTED_VALUE"""),45897.6458333333)</f>
        <v>45897.6458333333</v>
      </c>
      <c r="D108" s="17">
        <f>IFERROR(__xludf.DUMMYFUNCTION("""COMPUTED_VALUE"""),2271.9)</f>
        <v>2271.9</v>
      </c>
      <c r="E108" s="16">
        <f>IFERROR(__xludf.DUMMYFUNCTION("""COMPUTED_VALUE"""),45897.6458333333)</f>
        <v>45897.6458333333</v>
      </c>
      <c r="F108" s="17">
        <f>IFERROR(__xludf.DUMMYFUNCTION("""COMPUTED_VALUE"""),907868)</f>
        <v>907868</v>
      </c>
      <c r="G108" s="16">
        <f>IFERROR(__xludf.DUMMYFUNCTION("""COMPUTED_VALUE"""),45897.6458333333)</f>
        <v>45897.6458333333</v>
      </c>
      <c r="H108" s="17">
        <f>IFERROR(__xludf.DUMMYFUNCTION("""COMPUTED_VALUE"""),2327.9)</f>
        <v>2327.9</v>
      </c>
      <c r="I108" s="16">
        <f>IFERROR(__xludf.DUMMYFUNCTION("""COMPUTED_VALUE"""),45897.6458333333)</f>
        <v>45897.6458333333</v>
      </c>
      <c r="J108" s="17">
        <f>IFERROR(__xludf.DUMMYFUNCTION("""COMPUTED_VALUE"""),2255)</f>
        <v>2255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IFERROR(__xludf.DUMMYFUNCTION("""COMPUTED_VALUE"""),2244.7)</f>
        <v>2244.7</v>
      </c>
      <c r="C109" s="16">
        <f>IFERROR(__xludf.DUMMYFUNCTION("""COMPUTED_VALUE"""),45898.6458333333)</f>
        <v>45898.6458333333</v>
      </c>
      <c r="D109" s="17">
        <f>IFERROR(__xludf.DUMMYFUNCTION("""COMPUTED_VALUE"""),2283)</f>
        <v>2283</v>
      </c>
      <c r="E109" s="16">
        <f>IFERROR(__xludf.DUMMYFUNCTION("""COMPUTED_VALUE"""),45898.6458333333)</f>
        <v>45898.6458333333</v>
      </c>
      <c r="F109" s="17">
        <f>IFERROR(__xludf.DUMMYFUNCTION("""COMPUTED_VALUE"""),795699)</f>
        <v>795699</v>
      </c>
      <c r="G109" s="16">
        <f>IFERROR(__xludf.DUMMYFUNCTION("""COMPUTED_VALUE"""),45898.6458333333)</f>
        <v>45898.6458333333</v>
      </c>
      <c r="H109" s="17">
        <f>IFERROR(__xludf.DUMMYFUNCTION("""COMPUTED_VALUE"""),2289.7)</f>
        <v>2289.7</v>
      </c>
      <c r="I109" s="16">
        <f>IFERROR(__xludf.DUMMYFUNCTION("""COMPUTED_VALUE"""),45898.6458333333)</f>
        <v>45898.6458333333</v>
      </c>
      <c r="J109" s="17">
        <f>IFERROR(__xludf.DUMMYFUNCTION("""COMPUTED_VALUE"""),2240)</f>
        <v>2240</v>
      </c>
      <c r="K109" s="3">
        <f t="shared" si="2"/>
        <v>0</v>
      </c>
      <c r="L109" s="3">
        <f t="shared" si="3"/>
        <v>2244.7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IFERROR(__xludf.DUMMYFUNCTION("""COMPUTED_VALUE"""),2284.2)</f>
        <v>2284.2</v>
      </c>
      <c r="C110" s="16">
        <f>IFERROR(__xludf.DUMMYFUNCTION("""COMPUTED_VALUE"""),45901.6458333333)</f>
        <v>45901.6458333333</v>
      </c>
      <c r="D110" s="17">
        <f>IFERROR(__xludf.DUMMYFUNCTION("""COMPUTED_VALUE"""),2259)</f>
        <v>2259</v>
      </c>
      <c r="E110" s="16">
        <f>IFERROR(__xludf.DUMMYFUNCTION("""COMPUTED_VALUE"""),45901.6458333333)</f>
        <v>45901.6458333333</v>
      </c>
      <c r="F110" s="17">
        <f>IFERROR(__xludf.DUMMYFUNCTION("""COMPUTED_VALUE"""),425639)</f>
        <v>425639</v>
      </c>
      <c r="G110" s="16">
        <f>IFERROR(__xludf.DUMMYFUNCTION("""COMPUTED_VALUE"""),45901.6458333333)</f>
        <v>45901.6458333333</v>
      </c>
      <c r="H110" s="17">
        <f>IFERROR(__xludf.DUMMYFUNCTION("""COMPUTED_VALUE"""),2288)</f>
        <v>2288</v>
      </c>
      <c r="I110" s="16">
        <f>IFERROR(__xludf.DUMMYFUNCTION("""COMPUTED_VALUE"""),45901.6458333333)</f>
        <v>45901.6458333333</v>
      </c>
      <c r="J110" s="17">
        <f>IFERROR(__xludf.DUMMYFUNCTION("""COMPUTED_VALUE"""),2252.1)</f>
        <v>2252.1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IFERROR(__xludf.DUMMYFUNCTION("""COMPUTED_VALUE"""),2274.2)</f>
        <v>2274.2</v>
      </c>
      <c r="C111" s="16">
        <f>IFERROR(__xludf.DUMMYFUNCTION("""COMPUTED_VALUE"""),45902.6458333333)</f>
        <v>45902.6458333333</v>
      </c>
      <c r="D111" s="17">
        <f>IFERROR(__xludf.DUMMYFUNCTION("""COMPUTED_VALUE"""),2291)</f>
        <v>2291</v>
      </c>
      <c r="E111" s="16">
        <f>IFERROR(__xludf.DUMMYFUNCTION("""COMPUTED_VALUE"""),45902.6458333333)</f>
        <v>45902.6458333333</v>
      </c>
      <c r="F111" s="17">
        <f>IFERROR(__xludf.DUMMYFUNCTION("""COMPUTED_VALUE"""),481894)</f>
        <v>481894</v>
      </c>
      <c r="G111" s="16">
        <f>IFERROR(__xludf.DUMMYFUNCTION("""COMPUTED_VALUE"""),45902.6458333333)</f>
        <v>45902.6458333333</v>
      </c>
      <c r="H111" s="17">
        <f>IFERROR(__xludf.DUMMYFUNCTION("""COMPUTED_VALUE"""),2302)</f>
        <v>2302</v>
      </c>
      <c r="I111" s="16">
        <f>IFERROR(__xludf.DUMMYFUNCTION("""COMPUTED_VALUE"""),45902.6458333333)</f>
        <v>45902.6458333333</v>
      </c>
      <c r="J111" s="17">
        <f>IFERROR(__xludf.DUMMYFUNCTION("""COMPUTED_VALUE"""),2264)</f>
        <v>2264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IFERROR(__xludf.DUMMYFUNCTION("""COMPUTED_VALUE"""),2288.7)</f>
        <v>2288.7</v>
      </c>
      <c r="C112" s="16">
        <f>IFERROR(__xludf.DUMMYFUNCTION("""COMPUTED_VALUE"""),45903.6458333333)</f>
        <v>45903.6458333333</v>
      </c>
      <c r="D112" s="17">
        <f>IFERROR(__xludf.DUMMYFUNCTION("""COMPUTED_VALUE"""),2285)</f>
        <v>2285</v>
      </c>
      <c r="E112" s="16">
        <f>IFERROR(__xludf.DUMMYFUNCTION("""COMPUTED_VALUE"""),45903.6458333333)</f>
        <v>45903.6458333333</v>
      </c>
      <c r="F112" s="17">
        <f>IFERROR(__xludf.DUMMYFUNCTION("""COMPUTED_VALUE"""),443629)</f>
        <v>443629</v>
      </c>
      <c r="G112" s="16">
        <f>IFERROR(__xludf.DUMMYFUNCTION("""COMPUTED_VALUE"""),45903.6458333333)</f>
        <v>45903.6458333333</v>
      </c>
      <c r="H112" s="17">
        <f>IFERROR(__xludf.DUMMYFUNCTION("""COMPUTED_VALUE"""),2293)</f>
        <v>2293</v>
      </c>
      <c r="I112" s="16">
        <f>IFERROR(__xludf.DUMMYFUNCTION("""COMPUTED_VALUE"""),45903.6458333333)</f>
        <v>45903.6458333333</v>
      </c>
      <c r="J112" s="17">
        <f>IFERROR(__xludf.DUMMYFUNCTION("""COMPUTED_VALUE"""),2263.1)</f>
        <v>2263.1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IFERROR(__xludf.DUMMYFUNCTION("""COMPUTED_VALUE"""),2278.8)</f>
        <v>2278.8</v>
      </c>
      <c r="C113" s="16">
        <f>IFERROR(__xludf.DUMMYFUNCTION("""COMPUTED_VALUE"""),45904.6458333333)</f>
        <v>45904.6458333333</v>
      </c>
      <c r="D113" s="17">
        <f>IFERROR(__xludf.DUMMYFUNCTION("""COMPUTED_VALUE"""),2309.9)</f>
        <v>2309.9</v>
      </c>
      <c r="E113" s="16">
        <f>IFERROR(__xludf.DUMMYFUNCTION("""COMPUTED_VALUE"""),45904.6458333333)</f>
        <v>45904.6458333333</v>
      </c>
      <c r="F113" s="17">
        <f>IFERROR(__xludf.DUMMYFUNCTION("""COMPUTED_VALUE"""),392697)</f>
        <v>392697</v>
      </c>
      <c r="G113" s="16">
        <f>IFERROR(__xludf.DUMMYFUNCTION("""COMPUTED_VALUE"""),45904.6458333333)</f>
        <v>45904.6458333333</v>
      </c>
      <c r="H113" s="17">
        <f>IFERROR(__xludf.DUMMYFUNCTION("""COMPUTED_VALUE"""),2317.3)</f>
        <v>2317.3</v>
      </c>
      <c r="I113" s="16">
        <f>IFERROR(__xludf.DUMMYFUNCTION("""COMPUTED_VALUE"""),45904.6458333333)</f>
        <v>45904.6458333333</v>
      </c>
      <c r="J113" s="17">
        <f>IFERROR(__xludf.DUMMYFUNCTION("""COMPUTED_VALUE"""),2275)</f>
        <v>2275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IFERROR(__xludf.DUMMYFUNCTION("""COMPUTED_VALUE"""),2281.4)</f>
        <v>2281.4</v>
      </c>
      <c r="C114" s="16">
        <f>IFERROR(__xludf.DUMMYFUNCTION("""COMPUTED_VALUE"""),45905.6458333333)</f>
        <v>45905.6458333333</v>
      </c>
      <c r="D114" s="17">
        <f>IFERROR(__xludf.DUMMYFUNCTION("""COMPUTED_VALUE"""),2275)</f>
        <v>2275</v>
      </c>
      <c r="E114" s="16">
        <f>IFERROR(__xludf.DUMMYFUNCTION("""COMPUTED_VALUE"""),45905.6458333333)</f>
        <v>45905.6458333333</v>
      </c>
      <c r="F114" s="17">
        <f>IFERROR(__xludf.DUMMYFUNCTION("""COMPUTED_VALUE"""),443010)</f>
        <v>443010</v>
      </c>
      <c r="G114" s="16">
        <f>IFERROR(__xludf.DUMMYFUNCTION("""COMPUTED_VALUE"""),45905.6458333333)</f>
        <v>45905.6458333333</v>
      </c>
      <c r="H114" s="17">
        <f>IFERROR(__xludf.DUMMYFUNCTION("""COMPUTED_VALUE"""),2293.5)</f>
        <v>2293.5</v>
      </c>
      <c r="I114" s="16">
        <f>IFERROR(__xludf.DUMMYFUNCTION("""COMPUTED_VALUE"""),45905.6458333333)</f>
        <v>45905.6458333333</v>
      </c>
      <c r="J114" s="17">
        <f>IFERROR(__xludf.DUMMYFUNCTION("""COMPUTED_VALUE"""),2248)</f>
        <v>2248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IFERROR(__xludf.DUMMYFUNCTION("""COMPUTED_VALUE"""),2310.9)</f>
        <v>2310.9</v>
      </c>
      <c r="C115" s="16">
        <f>IFERROR(__xludf.DUMMYFUNCTION("""COMPUTED_VALUE"""),45908.6458333333)</f>
        <v>45908.6458333333</v>
      </c>
      <c r="D115" s="17">
        <f>IFERROR(__xludf.DUMMYFUNCTION("""COMPUTED_VALUE"""),2290)</f>
        <v>2290</v>
      </c>
      <c r="E115" s="16">
        <f>IFERROR(__xludf.DUMMYFUNCTION("""COMPUTED_VALUE"""),45908.6458333333)</f>
        <v>45908.6458333333</v>
      </c>
      <c r="F115" s="17">
        <f>IFERROR(__xludf.DUMMYFUNCTION("""COMPUTED_VALUE"""),542811)</f>
        <v>542811</v>
      </c>
      <c r="G115" s="16">
        <f>IFERROR(__xludf.DUMMYFUNCTION("""COMPUTED_VALUE"""),45908.6458333333)</f>
        <v>45908.6458333333</v>
      </c>
      <c r="H115" s="17">
        <f>IFERROR(__xludf.DUMMYFUNCTION("""COMPUTED_VALUE"""),2333.9)</f>
        <v>2333.9</v>
      </c>
      <c r="I115" s="16">
        <f>IFERROR(__xludf.DUMMYFUNCTION("""COMPUTED_VALUE"""),45908.6458333333)</f>
        <v>45908.6458333333</v>
      </c>
      <c r="J115" s="17">
        <f>IFERROR(__xludf.DUMMYFUNCTION("""COMPUTED_VALUE"""),2286)</f>
        <v>2286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IFERROR(__xludf.DUMMYFUNCTION("""COMPUTED_VALUE"""),2311.6)</f>
        <v>2311.6</v>
      </c>
      <c r="C116" s="16">
        <f>IFERROR(__xludf.DUMMYFUNCTION("""COMPUTED_VALUE"""),45909.6458333333)</f>
        <v>45909.6458333333</v>
      </c>
      <c r="D116" s="17">
        <f>IFERROR(__xludf.DUMMYFUNCTION("""COMPUTED_VALUE"""),2320)</f>
        <v>2320</v>
      </c>
      <c r="E116" s="16">
        <f>IFERROR(__xludf.DUMMYFUNCTION("""COMPUTED_VALUE"""),45909.6458333333)</f>
        <v>45909.6458333333</v>
      </c>
      <c r="F116" s="17">
        <f>IFERROR(__xludf.DUMMYFUNCTION("""COMPUTED_VALUE"""),369431)</f>
        <v>369431</v>
      </c>
      <c r="G116" s="16">
        <f>IFERROR(__xludf.DUMMYFUNCTION("""COMPUTED_VALUE"""),45909.6458333333)</f>
        <v>45909.6458333333</v>
      </c>
      <c r="H116" s="17">
        <f>IFERROR(__xludf.DUMMYFUNCTION("""COMPUTED_VALUE"""),2325)</f>
        <v>2325</v>
      </c>
      <c r="I116" s="16">
        <f>IFERROR(__xludf.DUMMYFUNCTION("""COMPUTED_VALUE"""),45909.6458333333)</f>
        <v>45909.6458333333</v>
      </c>
      <c r="J116" s="17">
        <f>IFERROR(__xludf.DUMMYFUNCTION("""COMPUTED_VALUE"""),2297)</f>
        <v>2297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IFERROR(__xludf.DUMMYFUNCTION("""COMPUTED_VALUE"""),2340.2)</f>
        <v>2340.2</v>
      </c>
      <c r="C117" s="16">
        <f>IFERROR(__xludf.DUMMYFUNCTION("""COMPUTED_VALUE"""),45910.6458333333)</f>
        <v>45910.6458333333</v>
      </c>
      <c r="D117" s="17">
        <f>IFERROR(__xludf.DUMMYFUNCTION("""COMPUTED_VALUE"""),2330)</f>
        <v>2330</v>
      </c>
      <c r="E117" s="16">
        <f>IFERROR(__xludf.DUMMYFUNCTION("""COMPUTED_VALUE"""),45910.6458333333)</f>
        <v>45910.6458333333</v>
      </c>
      <c r="F117" s="17">
        <f>IFERROR(__xludf.DUMMYFUNCTION("""COMPUTED_VALUE"""),390490)</f>
        <v>390490</v>
      </c>
      <c r="G117" s="16">
        <f>IFERROR(__xludf.DUMMYFUNCTION("""COMPUTED_VALUE"""),45910.6458333333)</f>
        <v>45910.6458333333</v>
      </c>
      <c r="H117" s="17">
        <f>IFERROR(__xludf.DUMMYFUNCTION("""COMPUTED_VALUE"""),2345.9)</f>
        <v>2345.9</v>
      </c>
      <c r="I117" s="16">
        <f>IFERROR(__xludf.DUMMYFUNCTION("""COMPUTED_VALUE"""),45910.6458333333)</f>
        <v>45910.6458333333</v>
      </c>
      <c r="J117" s="17">
        <f>IFERROR(__xludf.DUMMYFUNCTION("""COMPUTED_VALUE"""),2325.1)</f>
        <v>2325.1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IFERROR(__xludf.DUMMYFUNCTION("""COMPUTED_VALUE"""),2398.8)</f>
        <v>2398.8</v>
      </c>
      <c r="C118" s="16">
        <f>IFERROR(__xludf.DUMMYFUNCTION("""COMPUTED_VALUE"""),45911.6458333333)</f>
        <v>45911.6458333333</v>
      </c>
      <c r="D118" s="17">
        <f>IFERROR(__xludf.DUMMYFUNCTION("""COMPUTED_VALUE"""),2348)</f>
        <v>2348</v>
      </c>
      <c r="E118" s="16">
        <f>IFERROR(__xludf.DUMMYFUNCTION("""COMPUTED_VALUE"""),45911.6458333333)</f>
        <v>45911.6458333333</v>
      </c>
      <c r="F118" s="17">
        <f>IFERROR(__xludf.DUMMYFUNCTION("""COMPUTED_VALUE"""),2111888)</f>
        <v>2111888</v>
      </c>
      <c r="G118" s="16">
        <f>IFERROR(__xludf.DUMMYFUNCTION("""COMPUTED_VALUE"""),45911.6458333333)</f>
        <v>45911.6458333333</v>
      </c>
      <c r="H118" s="17">
        <f>IFERROR(__xludf.DUMMYFUNCTION("""COMPUTED_VALUE"""),2418.7)</f>
        <v>2418.7</v>
      </c>
      <c r="I118" s="16">
        <f>IFERROR(__xludf.DUMMYFUNCTION("""COMPUTED_VALUE"""),45911.6458333333)</f>
        <v>45911.6458333333</v>
      </c>
      <c r="J118" s="17">
        <f>IFERROR(__xludf.DUMMYFUNCTION("""COMPUTED_VALUE"""),2340.2)</f>
        <v>2340.2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IFERROR(__xludf.DUMMYFUNCTION("""COMPUTED_VALUE"""),2392)</f>
        <v>2392</v>
      </c>
      <c r="C119" s="16">
        <f>IFERROR(__xludf.DUMMYFUNCTION("""COMPUTED_VALUE"""),45912.6458333333)</f>
        <v>45912.6458333333</v>
      </c>
      <c r="D119" s="17">
        <f>IFERROR(__xludf.DUMMYFUNCTION("""COMPUTED_VALUE"""),2416.9)</f>
        <v>2416.9</v>
      </c>
      <c r="E119" s="16">
        <f>IFERROR(__xludf.DUMMYFUNCTION("""COMPUTED_VALUE"""),45912.6458333333)</f>
        <v>45912.6458333333</v>
      </c>
      <c r="F119" s="17">
        <f>IFERROR(__xludf.DUMMYFUNCTION("""COMPUTED_VALUE"""),533971)</f>
        <v>533971</v>
      </c>
      <c r="G119" s="16">
        <f>IFERROR(__xludf.DUMMYFUNCTION("""COMPUTED_VALUE"""),45912.6458333333)</f>
        <v>45912.6458333333</v>
      </c>
      <c r="H119" s="17">
        <f>IFERROR(__xludf.DUMMYFUNCTION("""COMPUTED_VALUE"""),2421.6)</f>
        <v>2421.6</v>
      </c>
      <c r="I119" s="16">
        <f>IFERROR(__xludf.DUMMYFUNCTION("""COMPUTED_VALUE"""),45912.6458333333)</f>
        <v>45912.6458333333</v>
      </c>
      <c r="J119" s="17">
        <f>IFERROR(__xludf.DUMMYFUNCTION("""COMPUTED_VALUE"""),2387.1)</f>
        <v>2387.1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IFERROR(__xludf.DUMMYFUNCTION("""COMPUTED_VALUE"""),2383.4)</f>
        <v>2383.4</v>
      </c>
      <c r="C120" s="16">
        <f>IFERROR(__xludf.DUMMYFUNCTION("""COMPUTED_VALUE"""),45915.6458333333)</f>
        <v>45915.6458333333</v>
      </c>
      <c r="D120" s="17">
        <f>IFERROR(__xludf.DUMMYFUNCTION("""COMPUTED_VALUE"""),2392)</f>
        <v>2392</v>
      </c>
      <c r="E120" s="16">
        <f>IFERROR(__xludf.DUMMYFUNCTION("""COMPUTED_VALUE"""),45915.6458333333)</f>
        <v>45915.6458333333</v>
      </c>
      <c r="F120" s="17">
        <f>IFERROR(__xludf.DUMMYFUNCTION("""COMPUTED_VALUE"""),298129)</f>
        <v>298129</v>
      </c>
      <c r="G120" s="16">
        <f>IFERROR(__xludf.DUMMYFUNCTION("""COMPUTED_VALUE"""),45915.6458333333)</f>
        <v>45915.6458333333</v>
      </c>
      <c r="H120" s="17">
        <f>IFERROR(__xludf.DUMMYFUNCTION("""COMPUTED_VALUE"""),2402.8)</f>
        <v>2402.8</v>
      </c>
      <c r="I120" s="16">
        <f>IFERROR(__xludf.DUMMYFUNCTION("""COMPUTED_VALUE"""),45915.6458333333)</f>
        <v>45915.6458333333</v>
      </c>
      <c r="J120" s="17">
        <f>IFERROR(__xludf.DUMMYFUNCTION("""COMPUTED_VALUE"""),2378.1)</f>
        <v>2378.1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IFERROR(__xludf.DUMMYFUNCTION("""COMPUTED_VALUE"""),2399.4)</f>
        <v>2399.4</v>
      </c>
      <c r="C121" s="16">
        <f>IFERROR(__xludf.DUMMYFUNCTION("""COMPUTED_VALUE"""),45916.6458333333)</f>
        <v>45916.6458333333</v>
      </c>
      <c r="D121" s="17">
        <f>IFERROR(__xludf.DUMMYFUNCTION("""COMPUTED_VALUE"""),2410)</f>
        <v>2410</v>
      </c>
      <c r="E121" s="16">
        <f>IFERROR(__xludf.DUMMYFUNCTION("""COMPUTED_VALUE"""),45916.6458333333)</f>
        <v>45916.6458333333</v>
      </c>
      <c r="F121" s="17">
        <f>IFERROR(__xludf.DUMMYFUNCTION("""COMPUTED_VALUE"""),752979)</f>
        <v>752979</v>
      </c>
      <c r="G121" s="16">
        <f>IFERROR(__xludf.DUMMYFUNCTION("""COMPUTED_VALUE"""),45916.6458333333)</f>
        <v>45916.6458333333</v>
      </c>
      <c r="H121" s="17">
        <f>IFERROR(__xludf.DUMMYFUNCTION("""COMPUTED_VALUE"""),2415.8)</f>
        <v>2415.8</v>
      </c>
      <c r="I121" s="16">
        <f>IFERROR(__xludf.DUMMYFUNCTION("""COMPUTED_VALUE"""),45916.6458333333)</f>
        <v>45916.6458333333</v>
      </c>
      <c r="J121" s="17">
        <f>IFERROR(__xludf.DUMMYFUNCTION("""COMPUTED_VALUE"""),2388)</f>
        <v>2388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IFERROR(__xludf.DUMMYFUNCTION("""COMPUTED_VALUE"""),2402)</f>
        <v>2402</v>
      </c>
      <c r="C122" s="16">
        <f>IFERROR(__xludf.DUMMYFUNCTION("""COMPUTED_VALUE"""),45917.6458333333)</f>
        <v>45917.6458333333</v>
      </c>
      <c r="D122" s="17">
        <f>IFERROR(__xludf.DUMMYFUNCTION("""COMPUTED_VALUE"""),2417)</f>
        <v>2417</v>
      </c>
      <c r="E122" s="16">
        <f>IFERROR(__xludf.DUMMYFUNCTION("""COMPUTED_VALUE"""),45917.6458333333)</f>
        <v>45917.6458333333</v>
      </c>
      <c r="F122" s="17">
        <f>IFERROR(__xludf.DUMMYFUNCTION("""COMPUTED_VALUE"""),514354)</f>
        <v>514354</v>
      </c>
      <c r="G122" s="16">
        <f>IFERROR(__xludf.DUMMYFUNCTION("""COMPUTED_VALUE"""),45917.6458333333)</f>
        <v>45917.6458333333</v>
      </c>
      <c r="H122" s="17">
        <f>IFERROR(__xludf.DUMMYFUNCTION("""COMPUTED_VALUE"""),2417)</f>
        <v>2417</v>
      </c>
      <c r="I122" s="16">
        <f>IFERROR(__xludf.DUMMYFUNCTION("""COMPUTED_VALUE"""),45917.6458333333)</f>
        <v>45917.6458333333</v>
      </c>
      <c r="J122" s="17">
        <f>IFERROR(__xludf.DUMMYFUNCTION("""COMPUTED_VALUE"""),2391)</f>
        <v>2391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IFERROR(__xludf.DUMMYFUNCTION("""COMPUTED_VALUE"""),2402)</f>
        <v>2402</v>
      </c>
      <c r="C123" s="16">
        <f>IFERROR(__xludf.DUMMYFUNCTION("""COMPUTED_VALUE"""),45918.6458333333)</f>
        <v>45918.6458333333</v>
      </c>
      <c r="D123" s="17">
        <f>IFERROR(__xludf.DUMMYFUNCTION("""COMPUTED_VALUE"""),2414.5)</f>
        <v>2414.5</v>
      </c>
      <c r="E123" s="16">
        <f>IFERROR(__xludf.DUMMYFUNCTION("""COMPUTED_VALUE"""),45918.6458333333)</f>
        <v>45918.6458333333</v>
      </c>
      <c r="F123" s="17">
        <f>IFERROR(__xludf.DUMMYFUNCTION("""COMPUTED_VALUE"""),703730)</f>
        <v>703730</v>
      </c>
      <c r="G123" s="16">
        <f>IFERROR(__xludf.DUMMYFUNCTION("""COMPUTED_VALUE"""),45918.6458333333)</f>
        <v>45918.6458333333</v>
      </c>
      <c r="H123" s="17">
        <f>IFERROR(__xludf.DUMMYFUNCTION("""COMPUTED_VALUE"""),2438)</f>
        <v>2438</v>
      </c>
      <c r="I123" s="16">
        <f>IFERROR(__xludf.DUMMYFUNCTION("""COMPUTED_VALUE"""),45918.6458333333)</f>
        <v>45918.6458333333</v>
      </c>
      <c r="J123" s="17">
        <f>IFERROR(__xludf.DUMMYFUNCTION("""COMPUTED_VALUE"""),2388.4)</f>
        <v>2388.4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IFERROR(__xludf.DUMMYFUNCTION("""COMPUTED_VALUE"""),2524)</f>
        <v>2524</v>
      </c>
      <c r="C124" s="16">
        <f>IFERROR(__xludf.DUMMYFUNCTION("""COMPUTED_VALUE"""),45919.6458333333)</f>
        <v>45919.6458333333</v>
      </c>
      <c r="D124" s="17">
        <f>IFERROR(__xludf.DUMMYFUNCTION("""COMPUTED_VALUE"""),2495)</f>
        <v>2495</v>
      </c>
      <c r="E124" s="16">
        <f>IFERROR(__xludf.DUMMYFUNCTION("""COMPUTED_VALUE"""),45919.6458333333)</f>
        <v>45919.6458333333</v>
      </c>
      <c r="F124" s="17">
        <f>IFERROR(__xludf.DUMMYFUNCTION("""COMPUTED_VALUE"""),7965135)</f>
        <v>7965135</v>
      </c>
      <c r="G124" s="16">
        <f>IFERROR(__xludf.DUMMYFUNCTION("""COMPUTED_VALUE"""),45919.6458333333)</f>
        <v>45919.6458333333</v>
      </c>
      <c r="H124" s="17">
        <f>IFERROR(__xludf.DUMMYFUNCTION("""COMPUTED_VALUE"""),2579)</f>
        <v>2579</v>
      </c>
      <c r="I124" s="16">
        <f>IFERROR(__xludf.DUMMYFUNCTION("""COMPUTED_VALUE"""),45919.6458333333)</f>
        <v>45919.6458333333</v>
      </c>
      <c r="J124" s="17">
        <f>IFERROR(__xludf.DUMMYFUNCTION("""COMPUTED_VALUE"""),2466.1)</f>
        <v>2466.1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IFERROR(__xludf.DUMMYFUNCTION("""COMPUTED_VALUE"""),2629.5)</f>
        <v>2629.5</v>
      </c>
      <c r="C125" s="16">
        <f>IFERROR(__xludf.DUMMYFUNCTION("""COMPUTED_VALUE"""),45922.6458333333)</f>
        <v>45922.6458333333</v>
      </c>
      <c r="D125" s="17">
        <f>IFERROR(__xludf.DUMMYFUNCTION("""COMPUTED_VALUE"""),2535)</f>
        <v>2535</v>
      </c>
      <c r="E125" s="16">
        <f>IFERROR(__xludf.DUMMYFUNCTION("""COMPUTED_VALUE"""),45922.6458333333)</f>
        <v>45922.6458333333</v>
      </c>
      <c r="F125" s="17">
        <f>IFERROR(__xludf.DUMMYFUNCTION("""COMPUTED_VALUE"""),7022985)</f>
        <v>7022985</v>
      </c>
      <c r="G125" s="16">
        <f>IFERROR(__xludf.DUMMYFUNCTION("""COMPUTED_VALUE"""),45922.6458333333)</f>
        <v>45922.6458333333</v>
      </c>
      <c r="H125" s="17">
        <f>IFERROR(__xludf.DUMMYFUNCTION("""COMPUTED_VALUE"""),2659)</f>
        <v>2659</v>
      </c>
      <c r="I125" s="16">
        <f>IFERROR(__xludf.DUMMYFUNCTION("""COMPUTED_VALUE"""),45922.6458333333)</f>
        <v>45922.6458333333</v>
      </c>
      <c r="J125" s="17">
        <f>IFERROR(__xludf.DUMMYFUNCTION("""COMPUTED_VALUE"""),2522.1)</f>
        <v>2522.1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IFERROR(__xludf.DUMMYFUNCTION("""COMPUTED_VALUE"""),2676.4)</f>
        <v>2676.4</v>
      </c>
      <c r="C126" s="16">
        <f>IFERROR(__xludf.DUMMYFUNCTION("""COMPUTED_VALUE"""),45923.6458333333)</f>
        <v>45923.6458333333</v>
      </c>
      <c r="D126" s="17">
        <f>IFERROR(__xludf.DUMMYFUNCTION("""COMPUTED_VALUE"""),2642.6)</f>
        <v>2642.6</v>
      </c>
      <c r="E126" s="16">
        <f>IFERROR(__xludf.DUMMYFUNCTION("""COMPUTED_VALUE"""),45923.6458333333)</f>
        <v>45923.6458333333</v>
      </c>
      <c r="F126" s="17">
        <f>IFERROR(__xludf.DUMMYFUNCTION("""COMPUTED_VALUE"""),5610022)</f>
        <v>5610022</v>
      </c>
      <c r="G126" s="16">
        <f>IFERROR(__xludf.DUMMYFUNCTION("""COMPUTED_VALUE"""),45923.6458333333)</f>
        <v>45923.6458333333</v>
      </c>
      <c r="H126" s="17">
        <f>IFERROR(__xludf.DUMMYFUNCTION("""COMPUTED_VALUE"""),2695)</f>
        <v>2695</v>
      </c>
      <c r="I126" s="16">
        <f>IFERROR(__xludf.DUMMYFUNCTION("""COMPUTED_VALUE"""),45923.6458333333)</f>
        <v>45923.6458333333</v>
      </c>
      <c r="J126" s="17">
        <f>IFERROR(__xludf.DUMMYFUNCTION("""COMPUTED_VALUE"""),2593)</f>
        <v>2593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IFERROR(__xludf.DUMMYFUNCTION("""COMPUTED_VALUE"""),2619.8)</f>
        <v>2619.8</v>
      </c>
      <c r="C127" s="16">
        <f>IFERROR(__xludf.DUMMYFUNCTION("""COMPUTED_VALUE"""),45924.6458333333)</f>
        <v>45924.6458333333</v>
      </c>
      <c r="D127" s="17">
        <f>IFERROR(__xludf.DUMMYFUNCTION("""COMPUTED_VALUE"""),2655)</f>
        <v>2655</v>
      </c>
      <c r="E127" s="16">
        <f>IFERROR(__xludf.DUMMYFUNCTION("""COMPUTED_VALUE"""),45924.6458333333)</f>
        <v>45924.6458333333</v>
      </c>
      <c r="F127" s="17">
        <f>IFERROR(__xludf.DUMMYFUNCTION("""COMPUTED_VALUE"""),1720785)</f>
        <v>1720785</v>
      </c>
      <c r="G127" s="16">
        <f>IFERROR(__xludf.DUMMYFUNCTION("""COMPUTED_VALUE"""),45924.6458333333)</f>
        <v>45924.6458333333</v>
      </c>
      <c r="H127" s="17">
        <f>IFERROR(__xludf.DUMMYFUNCTION("""COMPUTED_VALUE"""),2676)</f>
        <v>2676</v>
      </c>
      <c r="I127" s="16">
        <f>IFERROR(__xludf.DUMMYFUNCTION("""COMPUTED_VALUE"""),45924.6458333333)</f>
        <v>45924.6458333333</v>
      </c>
      <c r="J127" s="17">
        <f>IFERROR(__xludf.DUMMYFUNCTION("""COMPUTED_VALUE"""),2614.4)</f>
        <v>2614.4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IFERROR(__xludf.DUMMYFUNCTION("""COMPUTED_VALUE"""),2576.4)</f>
        <v>2576.4</v>
      </c>
      <c r="C128" s="16">
        <f>IFERROR(__xludf.DUMMYFUNCTION("""COMPUTED_VALUE"""),45925.6458333333)</f>
        <v>45925.6458333333</v>
      </c>
      <c r="D128" s="17">
        <f>IFERROR(__xludf.DUMMYFUNCTION("""COMPUTED_VALUE"""),2625)</f>
        <v>2625</v>
      </c>
      <c r="E128" s="16">
        <f>IFERROR(__xludf.DUMMYFUNCTION("""COMPUTED_VALUE"""),45925.6458333333)</f>
        <v>45925.6458333333</v>
      </c>
      <c r="F128" s="17">
        <f>IFERROR(__xludf.DUMMYFUNCTION("""COMPUTED_VALUE"""),1489682)</f>
        <v>1489682</v>
      </c>
      <c r="G128" s="16">
        <f>IFERROR(__xludf.DUMMYFUNCTION("""COMPUTED_VALUE"""),45925.6458333333)</f>
        <v>45925.6458333333</v>
      </c>
      <c r="H128" s="17">
        <f>IFERROR(__xludf.DUMMYFUNCTION("""COMPUTED_VALUE"""),2647.9)</f>
        <v>2647.9</v>
      </c>
      <c r="I128" s="16">
        <f>IFERROR(__xludf.DUMMYFUNCTION("""COMPUTED_VALUE"""),45925.6458333333)</f>
        <v>45925.6458333333</v>
      </c>
      <c r="J128" s="17">
        <f>IFERROR(__xludf.DUMMYFUNCTION("""COMPUTED_VALUE"""),2567)</f>
        <v>2567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IFERROR(__xludf.DUMMYFUNCTION("""COMPUTED_VALUE"""),2543.7)</f>
        <v>2543.7</v>
      </c>
      <c r="C129" s="16">
        <f>IFERROR(__xludf.DUMMYFUNCTION("""COMPUTED_VALUE"""),45926.6458333333)</f>
        <v>45926.6458333333</v>
      </c>
      <c r="D129" s="17">
        <f>IFERROR(__xludf.DUMMYFUNCTION("""COMPUTED_VALUE"""),2572.8)</f>
        <v>2572.8</v>
      </c>
      <c r="E129" s="16">
        <f>IFERROR(__xludf.DUMMYFUNCTION("""COMPUTED_VALUE"""),45926.6458333333)</f>
        <v>45926.6458333333</v>
      </c>
      <c r="F129" s="17">
        <f>IFERROR(__xludf.DUMMYFUNCTION("""COMPUTED_VALUE"""),1037808)</f>
        <v>1037808</v>
      </c>
      <c r="G129" s="16">
        <f>IFERROR(__xludf.DUMMYFUNCTION("""COMPUTED_VALUE"""),45926.6458333333)</f>
        <v>45926.6458333333</v>
      </c>
      <c r="H129" s="17">
        <f>IFERROR(__xludf.DUMMYFUNCTION("""COMPUTED_VALUE"""),2605)</f>
        <v>2605</v>
      </c>
      <c r="I129" s="16">
        <f>IFERROR(__xludf.DUMMYFUNCTION("""COMPUTED_VALUE"""),45926.6458333333)</f>
        <v>45926.6458333333</v>
      </c>
      <c r="J129" s="17">
        <f>IFERROR(__xludf.DUMMYFUNCTION("""COMPUTED_VALUE"""),2535)</f>
        <v>2535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267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""price"")"),2535.6)</f>
        <v>2535.6</v>
      </c>
      <c r="I3" s="22" t="s">
        <v>269</v>
      </c>
      <c r="J3" s="23">
        <f>IFERROR(__xludf.DUMMYFUNCTION("GOOGLEFINANCE(L3, ""volume"")"),1037808)</f>
        <v>1037808</v>
      </c>
      <c r="K3" s="24" t="s">
        <v>270</v>
      </c>
      <c r="L3" s="25" t="str">
        <f>Mastersheet!B3</f>
        <v>ADANIENT</v>
      </c>
      <c r="M3" s="26">
        <f>IFERROR(__xludf.DUMMYFUNCTION("""COMPUTED_VALUE"""),45926.6458333333)</f>
        <v>45926.6458333333</v>
      </c>
      <c r="N3" s="27">
        <f>IFERROR(__xludf.DUMMYFUNCTION("""COMPUTED_VALUE"""),2543.7)</f>
        <v>2543.7</v>
      </c>
      <c r="O3" s="26">
        <f>IFERROR(__xludf.DUMMYFUNCTION("""COMPUTED_VALUE"""),45926.6458333333)</f>
        <v>45926.6458333333</v>
      </c>
      <c r="P3" s="27">
        <f>IFERROR(__xludf.DUMMYFUNCTION("""COMPUTED_VALUE"""),2572.8)</f>
        <v>2572.8</v>
      </c>
      <c r="Q3" s="16">
        <f>IFERROR(__xludf.DUMMYFUNCTION("""COMPUTED_VALUE"""),45926.6458333333)</f>
        <v>45926.6458333333</v>
      </c>
      <c r="R3" s="17">
        <f>IFERROR(__xludf.DUMMYFUNCTION("""COMPUTED_VALUE"""),2605)</f>
        <v>2605</v>
      </c>
      <c r="S3" s="16">
        <f>IFERROR(__xludf.DUMMYFUNCTION("""COMPUTED_VALUE"""),45926.6458333333)</f>
        <v>45926.6458333333</v>
      </c>
      <c r="T3" s="17">
        <f>IFERROR(__xludf.DUMMYFUNCTION("""COMPUTED_VALUE"""),2535)</f>
        <v>2535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IFERROR(__xludf.DUMMYFUNCTION("""COMPUTED_VALUE"""),2363.35)</f>
        <v>2363.35</v>
      </c>
      <c r="C5" s="14">
        <f>IFERROR(__xludf.DUMMYFUNCTION("""COMPUTED_VALUE"""),45743.6458333333)</f>
        <v>45743.6458333333</v>
      </c>
      <c r="D5" s="15">
        <f>IFERROR(__xludf.DUMMYFUNCTION("""COMPUTED_VALUE"""),2310)</f>
        <v>2310</v>
      </c>
      <c r="E5" s="14">
        <f>IFERROR(__xludf.DUMMYFUNCTION("""COMPUTED_VALUE"""),45743.6458333333)</f>
        <v>45743.6458333333</v>
      </c>
      <c r="F5" s="15">
        <f>IFERROR(__xludf.DUMMYFUNCTION("""COMPUTED_VALUE"""),1696042)</f>
        <v>1696042</v>
      </c>
      <c r="G5" s="14">
        <f>IFERROR(__xludf.DUMMYFUNCTION("""COMPUTED_VALUE"""),45743.6458333333)</f>
        <v>45743.6458333333</v>
      </c>
      <c r="H5" s="15">
        <f>IFERROR(__xludf.DUMMYFUNCTION("""COMPUTED_VALUE"""),2373.9)</f>
        <v>2373.9</v>
      </c>
      <c r="I5" s="30">
        <f>IFERROR(__xludf.DUMMYFUNCTION("""COMPUTED_VALUE"""),45743.6458333333)</f>
        <v>45743.6458333333</v>
      </c>
      <c r="J5" s="3">
        <f>IFERROR(__xludf.DUMMYFUNCTION("""COMPUTED_VALUE"""),2291.6)</f>
        <v>2291.6</v>
      </c>
      <c r="K5" s="5"/>
      <c r="L5" s="5"/>
      <c r="M5" s="3">
        <f t="array" ref="M5">INDEX(K11:K124,MATCH(SMALL(ABS(K11:K124-H3),1),ABS(K11:K124-H3),0))</f>
        <v>2555</v>
      </c>
      <c r="N5" s="3">
        <f t="array" ref="N5">INDEX(K11:K124,MATCH(SMALL(ABS(K11:K124-H3),2),ABS(K11:K124-H3),0))</f>
        <v>2613.1</v>
      </c>
      <c r="O5" s="3">
        <f t="array" ref="O5">INDEX(L11:L124,MATCH(SMALL(ABS(L11:L124-H3),1),ABS(L11:L124-H3),0))</f>
        <v>2558.7</v>
      </c>
      <c r="P5" s="3">
        <f t="array" ref="P5">INDEX(L11:L124,MATCH(SMALL(ABS(L11:L124-H3),2),ABS(L11:L124-H3),0))</f>
        <v>2470.9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2442.8</v>
      </c>
      <c r="T5" s="17">
        <f ca="1">IF(AND(H3&gt;=Mastersheet!I3*S5,H3&lt;=Mastersheet!J3*S5),1,0)</f>
        <v>0</v>
      </c>
      <c r="U5" s="36">
        <f>(N3+P3)/2</f>
        <v>2558.25</v>
      </c>
      <c r="V5" s="17">
        <f>(N3+P3+R3+T3)/4</f>
        <v>2564.125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IFERROR(__xludf.DUMMYFUNCTION("""COMPUTED_VALUE"""),2315.8)</f>
        <v>2315.8</v>
      </c>
      <c r="C6" s="16">
        <f>IFERROR(__xludf.DUMMYFUNCTION("""COMPUTED_VALUE"""),45744.6458333333)</f>
        <v>45744.6458333333</v>
      </c>
      <c r="D6" s="17">
        <f>IFERROR(__xludf.DUMMYFUNCTION("""COMPUTED_VALUE"""),2376)</f>
        <v>2376</v>
      </c>
      <c r="E6" s="16">
        <f>IFERROR(__xludf.DUMMYFUNCTION("""COMPUTED_VALUE"""),45744.6458333333)</f>
        <v>45744.6458333333</v>
      </c>
      <c r="F6" s="17">
        <f>IFERROR(__xludf.DUMMYFUNCTION("""COMPUTED_VALUE"""),1838836)</f>
        <v>1838836</v>
      </c>
      <c r="G6" s="16">
        <f>IFERROR(__xludf.DUMMYFUNCTION("""COMPUTED_VALUE"""),45744.6458333333)</f>
        <v>45744.6458333333</v>
      </c>
      <c r="H6" s="17">
        <f>IFERROR(__xludf.DUMMYFUNCTION("""COMPUTED_VALUE"""),2386.95)</f>
        <v>2386.95</v>
      </c>
      <c r="I6" s="16">
        <f>IFERROR(__xludf.DUMMYFUNCTION("""COMPUTED_VALUE"""),45744.6458333333)</f>
        <v>45744.6458333333</v>
      </c>
      <c r="J6" s="17">
        <f>IFERROR(__xludf.DUMMYFUNCTION("""COMPUTED_VALUE"""),2293.7)</f>
        <v>2293.7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IFERROR(__xludf.DUMMYFUNCTION("""COMPUTED_VALUE"""),2335.25)</f>
        <v>2335.25</v>
      </c>
      <c r="C7" s="16">
        <f>IFERROR(__xludf.DUMMYFUNCTION("""COMPUTED_VALUE"""),45748.6458333333)</f>
        <v>45748.6458333333</v>
      </c>
      <c r="D7" s="17">
        <f>IFERROR(__xludf.DUMMYFUNCTION("""COMPUTED_VALUE"""),2312)</f>
        <v>2312</v>
      </c>
      <c r="E7" s="16">
        <f>IFERROR(__xludf.DUMMYFUNCTION("""COMPUTED_VALUE"""),45748.6458333333)</f>
        <v>45748.6458333333</v>
      </c>
      <c r="F7" s="17">
        <f>IFERROR(__xludf.DUMMYFUNCTION("""COMPUTED_VALUE"""),501942)</f>
        <v>501942</v>
      </c>
      <c r="G7" s="16">
        <f>IFERROR(__xludf.DUMMYFUNCTION("""COMPUTED_VALUE"""),45748.6458333333)</f>
        <v>45748.6458333333</v>
      </c>
      <c r="H7" s="17">
        <f>IFERROR(__xludf.DUMMYFUNCTION("""COMPUTED_VALUE"""),2358.95)</f>
        <v>2358.95</v>
      </c>
      <c r="I7" s="16">
        <f>IFERROR(__xludf.DUMMYFUNCTION("""COMPUTED_VALUE"""),45748.6458333333)</f>
        <v>45748.6458333333</v>
      </c>
      <c r="J7" s="17">
        <f>IFERROR(__xludf.DUMMYFUNCTION("""COMPUTED_VALUE"""),2301)</f>
        <v>2301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IFERROR(__xludf.DUMMYFUNCTION("""COMPUTED_VALUE"""),2369.4)</f>
        <v>2369.4</v>
      </c>
      <c r="C8" s="16">
        <f>IFERROR(__xludf.DUMMYFUNCTION("""COMPUTED_VALUE"""),45749.6458333333)</f>
        <v>45749.6458333333</v>
      </c>
      <c r="D8" s="17">
        <f>IFERROR(__xludf.DUMMYFUNCTION("""COMPUTED_VALUE"""),2339.75)</f>
        <v>2339.75</v>
      </c>
      <c r="E8" s="16">
        <f>IFERROR(__xludf.DUMMYFUNCTION("""COMPUTED_VALUE"""),45749.6458333333)</f>
        <v>45749.6458333333</v>
      </c>
      <c r="F8" s="17">
        <f>IFERROR(__xludf.DUMMYFUNCTION("""COMPUTED_VALUE"""),573928)</f>
        <v>573928</v>
      </c>
      <c r="G8" s="16">
        <f>IFERROR(__xludf.DUMMYFUNCTION("""COMPUTED_VALUE"""),45749.6458333333)</f>
        <v>45749.6458333333</v>
      </c>
      <c r="H8" s="17">
        <f>IFERROR(__xludf.DUMMYFUNCTION("""COMPUTED_VALUE"""),2378.85)</f>
        <v>2378.85</v>
      </c>
      <c r="I8" s="16">
        <f>IFERROR(__xludf.DUMMYFUNCTION("""COMPUTED_VALUE"""),45749.6458333333)</f>
        <v>45749.6458333333</v>
      </c>
      <c r="J8" s="17">
        <f>IFERROR(__xludf.DUMMYFUNCTION("""COMPUTED_VALUE"""),2314.55)</f>
        <v>2314.55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IFERROR(__xludf.DUMMYFUNCTION("""COMPUTED_VALUE"""),2410.8)</f>
        <v>2410.8</v>
      </c>
      <c r="C9" s="16">
        <f>IFERROR(__xludf.DUMMYFUNCTION("""COMPUTED_VALUE"""),45750.6458333333)</f>
        <v>45750.6458333333</v>
      </c>
      <c r="D9" s="17">
        <f>IFERROR(__xludf.DUMMYFUNCTION("""COMPUTED_VALUE"""),2339.75)</f>
        <v>2339.75</v>
      </c>
      <c r="E9" s="16">
        <f>IFERROR(__xludf.DUMMYFUNCTION("""COMPUTED_VALUE"""),45750.6458333333)</f>
        <v>45750.6458333333</v>
      </c>
      <c r="F9" s="17">
        <f>IFERROR(__xludf.DUMMYFUNCTION("""COMPUTED_VALUE"""),1023200)</f>
        <v>1023200</v>
      </c>
      <c r="G9" s="16">
        <f>IFERROR(__xludf.DUMMYFUNCTION("""COMPUTED_VALUE"""),45750.6458333333)</f>
        <v>45750.6458333333</v>
      </c>
      <c r="H9" s="17">
        <f>IFERROR(__xludf.DUMMYFUNCTION("""COMPUTED_VALUE"""),2429.9)</f>
        <v>2429.9</v>
      </c>
      <c r="I9" s="16">
        <f>IFERROR(__xludf.DUMMYFUNCTION("""COMPUTED_VALUE"""),45750.6458333333)</f>
        <v>45750.6458333333</v>
      </c>
      <c r="J9" s="17">
        <f>IFERROR(__xludf.DUMMYFUNCTION("""COMPUTED_VALUE"""),2339.7)</f>
        <v>2339.7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IFERROR(__xludf.DUMMYFUNCTION("""COMPUTED_VALUE"""),2334.65)</f>
        <v>2334.65</v>
      </c>
      <c r="C10" s="16">
        <f>IFERROR(__xludf.DUMMYFUNCTION("""COMPUTED_VALUE"""),45751.6458333333)</f>
        <v>45751.6458333333</v>
      </c>
      <c r="D10" s="17">
        <f>IFERROR(__xludf.DUMMYFUNCTION("""COMPUTED_VALUE"""),2394.95)</f>
        <v>2394.95</v>
      </c>
      <c r="E10" s="16">
        <f>IFERROR(__xludf.DUMMYFUNCTION("""COMPUTED_VALUE"""),45751.6458333333)</f>
        <v>45751.6458333333</v>
      </c>
      <c r="F10" s="17">
        <f>IFERROR(__xludf.DUMMYFUNCTION("""COMPUTED_VALUE"""),1219733)</f>
        <v>1219733</v>
      </c>
      <c r="G10" s="16">
        <f>IFERROR(__xludf.DUMMYFUNCTION("""COMPUTED_VALUE"""),45751.6458333333)</f>
        <v>45751.6458333333</v>
      </c>
      <c r="H10" s="17">
        <f>IFERROR(__xludf.DUMMYFUNCTION("""COMPUTED_VALUE"""),2410.05)</f>
        <v>2410.05</v>
      </c>
      <c r="I10" s="16">
        <f>IFERROR(__xludf.DUMMYFUNCTION("""COMPUTED_VALUE"""),45751.6458333333)</f>
        <v>45751.6458333333</v>
      </c>
      <c r="J10" s="17">
        <f>IFERROR(__xludf.DUMMYFUNCTION("""COMPUTED_VALUE"""),2315.5)</f>
        <v>2315.5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IFERROR(__xludf.DUMMYFUNCTION("""COMPUTED_VALUE"""),2212.7)</f>
        <v>2212.7</v>
      </c>
      <c r="C11" s="16">
        <f>IFERROR(__xludf.DUMMYFUNCTION("""COMPUTED_VALUE"""),45754.6458333333)</f>
        <v>45754.6458333333</v>
      </c>
      <c r="D11" s="17">
        <f>IFERROR(__xludf.DUMMYFUNCTION("""COMPUTED_VALUE"""),2150.05)</f>
        <v>2150.05</v>
      </c>
      <c r="E11" s="16">
        <f>IFERROR(__xludf.DUMMYFUNCTION("""COMPUTED_VALUE"""),45754.6458333333)</f>
        <v>45754.6458333333</v>
      </c>
      <c r="F11" s="17">
        <f>IFERROR(__xludf.DUMMYFUNCTION("""COMPUTED_VALUE"""),1567177)</f>
        <v>1567177</v>
      </c>
      <c r="G11" s="16">
        <f>IFERROR(__xludf.DUMMYFUNCTION("""COMPUTED_VALUE"""),45754.6458333333)</f>
        <v>45754.6458333333</v>
      </c>
      <c r="H11" s="17">
        <f>IFERROR(__xludf.DUMMYFUNCTION("""COMPUTED_VALUE"""),2239)</f>
        <v>2239</v>
      </c>
      <c r="I11" s="16">
        <f>IFERROR(__xludf.DUMMYFUNCTION("""COMPUTED_VALUE"""),45754.6458333333)</f>
        <v>45754.6458333333</v>
      </c>
      <c r="J11" s="17">
        <f>IFERROR(__xludf.DUMMYFUNCTION("""COMPUTED_VALUE"""),2145)</f>
        <v>2145</v>
      </c>
      <c r="K11" s="3">
        <f t="shared" ref="K11:K125" si="2">IF(B11=MAX(B5:B17),B11,0)</f>
        <v>0</v>
      </c>
      <c r="L11" s="3">
        <f t="shared" ref="L11:L125" si="3">IF(B11=MIN(B5:B17),B11,0)</f>
        <v>2212.7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IFERROR(__xludf.DUMMYFUNCTION("""COMPUTED_VALUE"""),2285.7)</f>
        <v>2285.7</v>
      </c>
      <c r="C12" s="16">
        <f>IFERROR(__xludf.DUMMYFUNCTION("""COMPUTED_VALUE"""),45755.6458333333)</f>
        <v>45755.6458333333</v>
      </c>
      <c r="D12" s="17">
        <f>IFERROR(__xludf.DUMMYFUNCTION("""COMPUTED_VALUE"""),2270)</f>
        <v>2270</v>
      </c>
      <c r="E12" s="16">
        <f>IFERROR(__xludf.DUMMYFUNCTION("""COMPUTED_VALUE"""),45755.6458333333)</f>
        <v>45755.6458333333</v>
      </c>
      <c r="F12" s="17">
        <f>IFERROR(__xludf.DUMMYFUNCTION("""COMPUTED_VALUE"""),1224362)</f>
        <v>1224362</v>
      </c>
      <c r="G12" s="16">
        <f>IFERROR(__xludf.DUMMYFUNCTION("""COMPUTED_VALUE"""),45755.6458333333)</f>
        <v>45755.6458333333</v>
      </c>
      <c r="H12" s="17">
        <f>IFERROR(__xludf.DUMMYFUNCTION("""COMPUTED_VALUE"""),2301)</f>
        <v>2301</v>
      </c>
      <c r="I12" s="16">
        <f>IFERROR(__xludf.DUMMYFUNCTION("""COMPUTED_VALUE"""),45755.6458333333)</f>
        <v>45755.6458333333</v>
      </c>
      <c r="J12" s="17">
        <f>IFERROR(__xludf.DUMMYFUNCTION("""COMPUTED_VALUE"""),2225)</f>
        <v>2225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IFERROR(__xludf.DUMMYFUNCTION("""COMPUTED_VALUE"""),2236.9)</f>
        <v>2236.9</v>
      </c>
      <c r="C13" s="16">
        <f>IFERROR(__xludf.DUMMYFUNCTION("""COMPUTED_VALUE"""),45756.6458333333)</f>
        <v>45756.6458333333</v>
      </c>
      <c r="D13" s="17">
        <f>IFERROR(__xludf.DUMMYFUNCTION("""COMPUTED_VALUE"""),2265.7)</f>
        <v>2265.7</v>
      </c>
      <c r="E13" s="16">
        <f>IFERROR(__xludf.DUMMYFUNCTION("""COMPUTED_VALUE"""),45756.6458333333)</f>
        <v>45756.6458333333</v>
      </c>
      <c r="F13" s="17">
        <f>IFERROR(__xludf.DUMMYFUNCTION("""COMPUTED_VALUE"""),1001633)</f>
        <v>1001633</v>
      </c>
      <c r="G13" s="16">
        <f>IFERROR(__xludf.DUMMYFUNCTION("""COMPUTED_VALUE"""),45756.6458333333)</f>
        <v>45756.6458333333</v>
      </c>
      <c r="H13" s="17">
        <f>IFERROR(__xludf.DUMMYFUNCTION("""COMPUTED_VALUE"""),2279.55)</f>
        <v>2279.55</v>
      </c>
      <c r="I13" s="16">
        <f>IFERROR(__xludf.DUMMYFUNCTION("""COMPUTED_VALUE"""),45756.6458333333)</f>
        <v>45756.6458333333</v>
      </c>
      <c r="J13" s="17">
        <f>IFERROR(__xludf.DUMMYFUNCTION("""COMPUTED_VALUE"""),2215.2)</f>
        <v>2215.2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IFERROR(__xludf.DUMMYFUNCTION("""COMPUTED_VALUE"""),2321.4)</f>
        <v>2321.4</v>
      </c>
      <c r="C14" s="16">
        <f>IFERROR(__xludf.DUMMYFUNCTION("""COMPUTED_VALUE"""),45758.6458333333)</f>
        <v>45758.6458333333</v>
      </c>
      <c r="D14" s="17">
        <f>IFERROR(__xludf.DUMMYFUNCTION("""COMPUTED_VALUE"""),2303.05)</f>
        <v>2303.05</v>
      </c>
      <c r="E14" s="16">
        <f>IFERROR(__xludf.DUMMYFUNCTION("""COMPUTED_VALUE"""),45758.6458333333)</f>
        <v>45758.6458333333</v>
      </c>
      <c r="F14" s="17">
        <f>IFERROR(__xludf.DUMMYFUNCTION("""COMPUTED_VALUE"""),981463)</f>
        <v>981463</v>
      </c>
      <c r="G14" s="16">
        <f>IFERROR(__xludf.DUMMYFUNCTION("""COMPUTED_VALUE"""),45758.6458333333)</f>
        <v>45758.6458333333</v>
      </c>
      <c r="H14" s="17">
        <f>IFERROR(__xludf.DUMMYFUNCTION("""COMPUTED_VALUE"""),2343.5)</f>
        <v>2343.5</v>
      </c>
      <c r="I14" s="16">
        <f>IFERROR(__xludf.DUMMYFUNCTION("""COMPUTED_VALUE"""),45758.6458333333)</f>
        <v>45758.6458333333</v>
      </c>
      <c r="J14" s="17">
        <f>IFERROR(__xludf.DUMMYFUNCTION("""COMPUTED_VALUE"""),2281)</f>
        <v>2281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IFERROR(__xludf.DUMMYFUNCTION("""COMPUTED_VALUE"""),2418.2)</f>
        <v>2418.2</v>
      </c>
      <c r="C15" s="16">
        <f>IFERROR(__xludf.DUMMYFUNCTION("""COMPUTED_VALUE"""),45762.6458333333)</f>
        <v>45762.6458333333</v>
      </c>
      <c r="D15" s="17">
        <f>IFERROR(__xludf.DUMMYFUNCTION("""COMPUTED_VALUE"""),2375)</f>
        <v>2375</v>
      </c>
      <c r="E15" s="16">
        <f>IFERROR(__xludf.DUMMYFUNCTION("""COMPUTED_VALUE"""),45762.6458333333)</f>
        <v>45762.6458333333</v>
      </c>
      <c r="F15" s="17">
        <f>IFERROR(__xludf.DUMMYFUNCTION("""COMPUTED_VALUE"""),1145125)</f>
        <v>1145125</v>
      </c>
      <c r="G15" s="16">
        <f>IFERROR(__xludf.DUMMYFUNCTION("""COMPUTED_VALUE"""),45762.6458333333)</f>
        <v>45762.6458333333</v>
      </c>
      <c r="H15" s="17">
        <f>IFERROR(__xludf.DUMMYFUNCTION("""COMPUTED_VALUE"""),2440)</f>
        <v>2440</v>
      </c>
      <c r="I15" s="16">
        <f>IFERROR(__xludf.DUMMYFUNCTION("""COMPUTED_VALUE"""),45762.6458333333)</f>
        <v>45762.6458333333</v>
      </c>
      <c r="J15" s="17">
        <f>IFERROR(__xludf.DUMMYFUNCTION("""COMPUTED_VALUE"""),2359)</f>
        <v>2359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IFERROR(__xludf.DUMMYFUNCTION("""COMPUTED_VALUE"""),2415.6)</f>
        <v>2415.6</v>
      </c>
      <c r="C16" s="16">
        <f>IFERROR(__xludf.DUMMYFUNCTION("""COMPUTED_VALUE"""),45763.6458333333)</f>
        <v>45763.6458333333</v>
      </c>
      <c r="D16" s="17">
        <f>IFERROR(__xludf.DUMMYFUNCTION("""COMPUTED_VALUE"""),2400)</f>
        <v>2400</v>
      </c>
      <c r="E16" s="16">
        <f>IFERROR(__xludf.DUMMYFUNCTION("""COMPUTED_VALUE"""),45763.6458333333)</f>
        <v>45763.6458333333</v>
      </c>
      <c r="F16" s="17">
        <f>IFERROR(__xludf.DUMMYFUNCTION("""COMPUTED_VALUE"""),889949)</f>
        <v>889949</v>
      </c>
      <c r="G16" s="16">
        <f>IFERROR(__xludf.DUMMYFUNCTION("""COMPUTED_VALUE"""),45763.6458333333)</f>
        <v>45763.6458333333</v>
      </c>
      <c r="H16" s="17">
        <f>IFERROR(__xludf.DUMMYFUNCTION("""COMPUTED_VALUE"""),2428)</f>
        <v>2428</v>
      </c>
      <c r="I16" s="16">
        <f>IFERROR(__xludf.DUMMYFUNCTION("""COMPUTED_VALUE"""),45763.6458333333)</f>
        <v>45763.6458333333</v>
      </c>
      <c r="J16" s="17">
        <f>IFERROR(__xludf.DUMMYFUNCTION("""COMPUTED_VALUE"""),2382.9)</f>
        <v>2382.9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IFERROR(__xludf.DUMMYFUNCTION("""COMPUTED_VALUE"""),2418.1)</f>
        <v>2418.1</v>
      </c>
      <c r="C17" s="16">
        <f>IFERROR(__xludf.DUMMYFUNCTION("""COMPUTED_VALUE"""),45764.6458333333)</f>
        <v>45764.6458333333</v>
      </c>
      <c r="D17" s="17">
        <f>IFERROR(__xludf.DUMMYFUNCTION("""COMPUTED_VALUE"""),2418)</f>
        <v>2418</v>
      </c>
      <c r="E17" s="16">
        <f>IFERROR(__xludf.DUMMYFUNCTION("""COMPUTED_VALUE"""),45764.6458333333)</f>
        <v>45764.6458333333</v>
      </c>
      <c r="F17" s="17">
        <f>IFERROR(__xludf.DUMMYFUNCTION("""COMPUTED_VALUE"""),1054797)</f>
        <v>1054797</v>
      </c>
      <c r="G17" s="16">
        <f>IFERROR(__xludf.DUMMYFUNCTION("""COMPUTED_VALUE"""),45764.6458333333)</f>
        <v>45764.6458333333</v>
      </c>
      <c r="H17" s="17">
        <f>IFERROR(__xludf.DUMMYFUNCTION("""COMPUTED_VALUE"""),2448.6)</f>
        <v>2448.6</v>
      </c>
      <c r="I17" s="16">
        <f>IFERROR(__xludf.DUMMYFUNCTION("""COMPUTED_VALUE"""),45764.6458333333)</f>
        <v>45764.6458333333</v>
      </c>
      <c r="J17" s="17">
        <f>IFERROR(__xludf.DUMMYFUNCTION("""COMPUTED_VALUE"""),2392)</f>
        <v>2392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IFERROR(__xludf.DUMMYFUNCTION("""COMPUTED_VALUE"""),2442.7)</f>
        <v>2442.7</v>
      </c>
      <c r="C18" s="16">
        <f>IFERROR(__xludf.DUMMYFUNCTION("""COMPUTED_VALUE"""),45768.6458333333)</f>
        <v>45768.6458333333</v>
      </c>
      <c r="D18" s="17">
        <f>IFERROR(__xludf.DUMMYFUNCTION("""COMPUTED_VALUE"""),2426.1)</f>
        <v>2426.1</v>
      </c>
      <c r="E18" s="16">
        <f>IFERROR(__xludf.DUMMYFUNCTION("""COMPUTED_VALUE"""),45768.6458333333)</f>
        <v>45768.6458333333</v>
      </c>
      <c r="F18" s="17">
        <f>IFERROR(__xludf.DUMMYFUNCTION("""COMPUTED_VALUE"""),782559)</f>
        <v>782559</v>
      </c>
      <c r="G18" s="16">
        <f>IFERROR(__xludf.DUMMYFUNCTION("""COMPUTED_VALUE"""),45768.6458333333)</f>
        <v>45768.6458333333</v>
      </c>
      <c r="H18" s="17">
        <f>IFERROR(__xludf.DUMMYFUNCTION("""COMPUTED_VALUE"""),2464.9)</f>
        <v>2464.9</v>
      </c>
      <c r="I18" s="16">
        <f>IFERROR(__xludf.DUMMYFUNCTION("""COMPUTED_VALUE"""),45768.6458333333)</f>
        <v>45768.6458333333</v>
      </c>
      <c r="J18" s="17">
        <f>IFERROR(__xludf.DUMMYFUNCTION("""COMPUTED_VALUE"""),2395.5)</f>
        <v>2395.5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IFERROR(__xludf.DUMMYFUNCTION("""COMPUTED_VALUE"""),2445.5)</f>
        <v>2445.5</v>
      </c>
      <c r="C19" s="16">
        <f>IFERROR(__xludf.DUMMYFUNCTION("""COMPUTED_VALUE"""),45769.6458333333)</f>
        <v>45769.6458333333</v>
      </c>
      <c r="D19" s="17">
        <f>IFERROR(__xludf.DUMMYFUNCTION("""COMPUTED_VALUE"""),2458.9)</f>
        <v>2458.9</v>
      </c>
      <c r="E19" s="16">
        <f>IFERROR(__xludf.DUMMYFUNCTION("""COMPUTED_VALUE"""),45769.6458333333)</f>
        <v>45769.6458333333</v>
      </c>
      <c r="F19" s="17">
        <f>IFERROR(__xludf.DUMMYFUNCTION("""COMPUTED_VALUE"""),766567)</f>
        <v>766567</v>
      </c>
      <c r="G19" s="16">
        <f>IFERROR(__xludf.DUMMYFUNCTION("""COMPUTED_VALUE"""),45769.6458333333)</f>
        <v>45769.6458333333</v>
      </c>
      <c r="H19" s="17">
        <f>IFERROR(__xludf.DUMMYFUNCTION("""COMPUTED_VALUE"""),2483.4)</f>
        <v>2483.4</v>
      </c>
      <c r="I19" s="16">
        <f>IFERROR(__xludf.DUMMYFUNCTION("""COMPUTED_VALUE"""),45769.6458333333)</f>
        <v>45769.6458333333</v>
      </c>
      <c r="J19" s="17">
        <f>IFERROR(__xludf.DUMMYFUNCTION("""COMPUTED_VALUE"""),2441)</f>
        <v>2441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IFERROR(__xludf.DUMMYFUNCTION("""COMPUTED_VALUE"""),2453.6)</f>
        <v>2453.6</v>
      </c>
      <c r="C20" s="16">
        <f>IFERROR(__xludf.DUMMYFUNCTION("""COMPUTED_VALUE"""),45770.6458333333)</f>
        <v>45770.6458333333</v>
      </c>
      <c r="D20" s="17">
        <f>IFERROR(__xludf.DUMMYFUNCTION("""COMPUTED_VALUE"""),2460)</f>
        <v>2460</v>
      </c>
      <c r="E20" s="16">
        <f>IFERROR(__xludf.DUMMYFUNCTION("""COMPUTED_VALUE"""),45770.6458333333)</f>
        <v>45770.6458333333</v>
      </c>
      <c r="F20" s="17">
        <f>IFERROR(__xludf.DUMMYFUNCTION("""COMPUTED_VALUE"""),672262)</f>
        <v>672262</v>
      </c>
      <c r="G20" s="16">
        <f>IFERROR(__xludf.DUMMYFUNCTION("""COMPUTED_VALUE"""),45770.6458333333)</f>
        <v>45770.6458333333</v>
      </c>
      <c r="H20" s="17">
        <f>IFERROR(__xludf.DUMMYFUNCTION("""COMPUTED_VALUE"""),2473.8)</f>
        <v>2473.8</v>
      </c>
      <c r="I20" s="16">
        <f>IFERROR(__xludf.DUMMYFUNCTION("""COMPUTED_VALUE"""),45770.6458333333)</f>
        <v>45770.6458333333</v>
      </c>
      <c r="J20" s="17">
        <f>IFERROR(__xludf.DUMMYFUNCTION("""COMPUTED_VALUE"""),2421.2)</f>
        <v>2421.2</v>
      </c>
      <c r="K20" s="3">
        <f t="shared" si="2"/>
        <v>2453.6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IFERROR(__xludf.DUMMYFUNCTION("""COMPUTED_VALUE"""),2442.5)</f>
        <v>2442.5</v>
      </c>
      <c r="C21" s="16">
        <f>IFERROR(__xludf.DUMMYFUNCTION("""COMPUTED_VALUE"""),45771.6458333333)</f>
        <v>45771.6458333333</v>
      </c>
      <c r="D21" s="17">
        <f>IFERROR(__xludf.DUMMYFUNCTION("""COMPUTED_VALUE"""),2450)</f>
        <v>2450</v>
      </c>
      <c r="E21" s="16">
        <f>IFERROR(__xludf.DUMMYFUNCTION("""COMPUTED_VALUE"""),45771.6458333333)</f>
        <v>45771.6458333333</v>
      </c>
      <c r="F21" s="17">
        <f>IFERROR(__xludf.DUMMYFUNCTION("""COMPUTED_VALUE"""),596696)</f>
        <v>596696</v>
      </c>
      <c r="G21" s="16">
        <f>IFERROR(__xludf.DUMMYFUNCTION("""COMPUTED_VALUE"""),45771.6458333333)</f>
        <v>45771.6458333333</v>
      </c>
      <c r="H21" s="17">
        <f>IFERROR(__xludf.DUMMYFUNCTION("""COMPUTED_VALUE"""),2461.4)</f>
        <v>2461.4</v>
      </c>
      <c r="I21" s="16">
        <f>IFERROR(__xludf.DUMMYFUNCTION("""COMPUTED_VALUE"""),45771.6458333333)</f>
        <v>45771.6458333333</v>
      </c>
      <c r="J21" s="17">
        <f>IFERROR(__xludf.DUMMYFUNCTION("""COMPUTED_VALUE"""),2425.1)</f>
        <v>2425.1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IFERROR(__xludf.DUMMYFUNCTION("""COMPUTED_VALUE"""),2354.3)</f>
        <v>2354.3</v>
      </c>
      <c r="C22" s="16">
        <f>IFERROR(__xludf.DUMMYFUNCTION("""COMPUTED_VALUE"""),45772.6458333333)</f>
        <v>45772.6458333333</v>
      </c>
      <c r="D22" s="17">
        <f>IFERROR(__xludf.DUMMYFUNCTION("""COMPUTED_VALUE"""),2450.1)</f>
        <v>2450.1</v>
      </c>
      <c r="E22" s="16">
        <f>IFERROR(__xludf.DUMMYFUNCTION("""COMPUTED_VALUE"""),45772.6458333333)</f>
        <v>45772.6458333333</v>
      </c>
      <c r="F22" s="17">
        <f>IFERROR(__xludf.DUMMYFUNCTION("""COMPUTED_VALUE"""),1414809)</f>
        <v>1414809</v>
      </c>
      <c r="G22" s="16">
        <f>IFERROR(__xludf.DUMMYFUNCTION("""COMPUTED_VALUE"""),45772.6458333333)</f>
        <v>45772.6458333333</v>
      </c>
      <c r="H22" s="17">
        <f>IFERROR(__xludf.DUMMYFUNCTION("""COMPUTED_VALUE"""),2459.5)</f>
        <v>2459.5</v>
      </c>
      <c r="I22" s="16">
        <f>IFERROR(__xludf.DUMMYFUNCTION("""COMPUTED_VALUE"""),45772.6458333333)</f>
        <v>45772.6458333333</v>
      </c>
      <c r="J22" s="17">
        <f>IFERROR(__xludf.DUMMYFUNCTION("""COMPUTED_VALUE"""),2323.5)</f>
        <v>2323.5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IFERROR(__xludf.DUMMYFUNCTION("""COMPUTED_VALUE"""),2369.8)</f>
        <v>2369.8</v>
      </c>
      <c r="C23" s="16">
        <f>IFERROR(__xludf.DUMMYFUNCTION("""COMPUTED_VALUE"""),45775.6458333333)</f>
        <v>45775.6458333333</v>
      </c>
      <c r="D23" s="17">
        <f>IFERROR(__xludf.DUMMYFUNCTION("""COMPUTED_VALUE"""),2346)</f>
        <v>2346</v>
      </c>
      <c r="E23" s="16">
        <f>IFERROR(__xludf.DUMMYFUNCTION("""COMPUTED_VALUE"""),45775.6458333333)</f>
        <v>45775.6458333333</v>
      </c>
      <c r="F23" s="17">
        <f>IFERROR(__xludf.DUMMYFUNCTION("""COMPUTED_VALUE"""),681421)</f>
        <v>681421</v>
      </c>
      <c r="G23" s="16">
        <f>IFERROR(__xludf.DUMMYFUNCTION("""COMPUTED_VALUE"""),45775.6458333333)</f>
        <v>45775.6458333333</v>
      </c>
      <c r="H23" s="17">
        <f>IFERROR(__xludf.DUMMYFUNCTION("""COMPUTED_VALUE"""),2402)</f>
        <v>2402</v>
      </c>
      <c r="I23" s="16">
        <f>IFERROR(__xludf.DUMMYFUNCTION("""COMPUTED_VALUE"""),45775.6458333333)</f>
        <v>45775.6458333333</v>
      </c>
      <c r="J23" s="17">
        <f>IFERROR(__xludf.DUMMYFUNCTION("""COMPUTED_VALUE"""),2337.6)</f>
        <v>2337.6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IFERROR(__xludf.DUMMYFUNCTION("""COMPUTED_VALUE"""),2330.6)</f>
        <v>2330.6</v>
      </c>
      <c r="C24" s="16">
        <f>IFERROR(__xludf.DUMMYFUNCTION("""COMPUTED_VALUE"""),45776.6458333333)</f>
        <v>45776.6458333333</v>
      </c>
      <c r="D24" s="17">
        <f>IFERROR(__xludf.DUMMYFUNCTION("""COMPUTED_VALUE"""),2392)</f>
        <v>2392</v>
      </c>
      <c r="E24" s="16">
        <f>IFERROR(__xludf.DUMMYFUNCTION("""COMPUTED_VALUE"""),45776.6458333333)</f>
        <v>45776.6458333333</v>
      </c>
      <c r="F24" s="17">
        <f>IFERROR(__xludf.DUMMYFUNCTION("""COMPUTED_VALUE"""),670730)</f>
        <v>670730</v>
      </c>
      <c r="G24" s="16">
        <f>IFERROR(__xludf.DUMMYFUNCTION("""COMPUTED_VALUE"""),45776.6458333333)</f>
        <v>45776.6458333333</v>
      </c>
      <c r="H24" s="17">
        <f>IFERROR(__xludf.DUMMYFUNCTION("""COMPUTED_VALUE"""),2400)</f>
        <v>2400</v>
      </c>
      <c r="I24" s="16">
        <f>IFERROR(__xludf.DUMMYFUNCTION("""COMPUTED_VALUE"""),45776.6458333333)</f>
        <v>45776.6458333333</v>
      </c>
      <c r="J24" s="17">
        <f>IFERROR(__xludf.DUMMYFUNCTION("""COMPUTED_VALUE"""),2325.6)</f>
        <v>2325.6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IFERROR(__xludf.DUMMYFUNCTION("""COMPUTED_VALUE"""),2301.3)</f>
        <v>2301.3</v>
      </c>
      <c r="C25" s="16">
        <f>IFERROR(__xludf.DUMMYFUNCTION("""COMPUTED_VALUE"""),45777.6458333333)</f>
        <v>45777.6458333333</v>
      </c>
      <c r="D25" s="17">
        <f>IFERROR(__xludf.DUMMYFUNCTION("""COMPUTED_VALUE"""),2331.4)</f>
        <v>2331.4</v>
      </c>
      <c r="E25" s="16">
        <f>IFERROR(__xludf.DUMMYFUNCTION("""COMPUTED_VALUE"""),45777.6458333333)</f>
        <v>45777.6458333333</v>
      </c>
      <c r="F25" s="17">
        <f>IFERROR(__xludf.DUMMYFUNCTION("""COMPUTED_VALUE"""),837464)</f>
        <v>837464</v>
      </c>
      <c r="G25" s="16">
        <f>IFERROR(__xludf.DUMMYFUNCTION("""COMPUTED_VALUE"""),45777.6458333333)</f>
        <v>45777.6458333333</v>
      </c>
      <c r="H25" s="17">
        <f>IFERROR(__xludf.DUMMYFUNCTION("""COMPUTED_VALUE"""),2340)</f>
        <v>2340</v>
      </c>
      <c r="I25" s="16">
        <f>IFERROR(__xludf.DUMMYFUNCTION("""COMPUTED_VALUE"""),45777.6458333333)</f>
        <v>45777.6458333333</v>
      </c>
      <c r="J25" s="17">
        <f>IFERROR(__xludf.DUMMYFUNCTION("""COMPUTED_VALUE"""),2285)</f>
        <v>2285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IFERROR(__xludf.DUMMYFUNCTION("""COMPUTED_VALUE"""),2294.2)</f>
        <v>2294.2</v>
      </c>
      <c r="C26" s="16">
        <f>IFERROR(__xludf.DUMMYFUNCTION("""COMPUTED_VALUE"""),45779.6458333333)</f>
        <v>45779.6458333333</v>
      </c>
      <c r="D26" s="17">
        <f>IFERROR(__xludf.DUMMYFUNCTION("""COMPUTED_VALUE"""),2349.9)</f>
        <v>2349.9</v>
      </c>
      <c r="E26" s="16">
        <f>IFERROR(__xludf.DUMMYFUNCTION("""COMPUTED_VALUE"""),45779.6458333333)</f>
        <v>45779.6458333333</v>
      </c>
      <c r="F26" s="17">
        <f>IFERROR(__xludf.DUMMYFUNCTION("""COMPUTED_VALUE"""),1695797)</f>
        <v>1695797</v>
      </c>
      <c r="G26" s="16">
        <f>IFERROR(__xludf.DUMMYFUNCTION("""COMPUTED_VALUE"""),45779.6458333333)</f>
        <v>45779.6458333333</v>
      </c>
      <c r="H26" s="17">
        <f>IFERROR(__xludf.DUMMYFUNCTION("""COMPUTED_VALUE"""),2372.4)</f>
        <v>2372.4</v>
      </c>
      <c r="I26" s="16">
        <f>IFERROR(__xludf.DUMMYFUNCTION("""COMPUTED_VALUE"""),45779.6458333333)</f>
        <v>45779.6458333333</v>
      </c>
      <c r="J26" s="17">
        <f>IFERROR(__xludf.DUMMYFUNCTION("""COMPUTED_VALUE"""),2290)</f>
        <v>2290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IFERROR(__xludf.DUMMYFUNCTION("""COMPUTED_VALUE"""),2455.5)</f>
        <v>2455.5</v>
      </c>
      <c r="C27" s="16">
        <f>IFERROR(__xludf.DUMMYFUNCTION("""COMPUTED_VALUE"""),45782.6458333333)</f>
        <v>45782.6458333333</v>
      </c>
      <c r="D27" s="17">
        <f>IFERROR(__xludf.DUMMYFUNCTION("""COMPUTED_VALUE"""),2312.6)</f>
        <v>2312.6</v>
      </c>
      <c r="E27" s="16">
        <f>IFERROR(__xludf.DUMMYFUNCTION("""COMPUTED_VALUE"""),45782.6458333333)</f>
        <v>45782.6458333333</v>
      </c>
      <c r="F27" s="17">
        <f>IFERROR(__xludf.DUMMYFUNCTION("""COMPUTED_VALUE"""),4227194)</f>
        <v>4227194</v>
      </c>
      <c r="G27" s="16">
        <f>IFERROR(__xludf.DUMMYFUNCTION("""COMPUTED_VALUE"""),45782.6458333333)</f>
        <v>45782.6458333333</v>
      </c>
      <c r="H27" s="17">
        <f>IFERROR(__xludf.DUMMYFUNCTION("""COMPUTED_VALUE"""),2497)</f>
        <v>2497</v>
      </c>
      <c r="I27" s="16">
        <f>IFERROR(__xludf.DUMMYFUNCTION("""COMPUTED_VALUE"""),45782.6458333333)</f>
        <v>45782.6458333333</v>
      </c>
      <c r="J27" s="17">
        <f>IFERROR(__xludf.DUMMYFUNCTION("""COMPUTED_VALUE"""),2297.8)</f>
        <v>2297.8</v>
      </c>
      <c r="K27" s="3">
        <f t="shared" si="2"/>
        <v>2455.5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IFERROR(__xludf.DUMMYFUNCTION("""COMPUTED_VALUE"""),2354)</f>
        <v>2354</v>
      </c>
      <c r="C28" s="16">
        <f>IFERROR(__xludf.DUMMYFUNCTION("""COMPUTED_VALUE"""),45783.6458333333)</f>
        <v>45783.6458333333</v>
      </c>
      <c r="D28" s="17">
        <f>IFERROR(__xludf.DUMMYFUNCTION("""COMPUTED_VALUE"""),2454)</f>
        <v>2454</v>
      </c>
      <c r="E28" s="16">
        <f>IFERROR(__xludf.DUMMYFUNCTION("""COMPUTED_VALUE"""),45783.6458333333)</f>
        <v>45783.6458333333</v>
      </c>
      <c r="F28" s="17">
        <f>IFERROR(__xludf.DUMMYFUNCTION("""COMPUTED_VALUE"""),1524692)</f>
        <v>1524692</v>
      </c>
      <c r="G28" s="16">
        <f>IFERROR(__xludf.DUMMYFUNCTION("""COMPUTED_VALUE"""),45783.6458333333)</f>
        <v>45783.6458333333</v>
      </c>
      <c r="H28" s="17">
        <f>IFERROR(__xludf.DUMMYFUNCTION("""COMPUTED_VALUE"""),2463.2)</f>
        <v>2463.2</v>
      </c>
      <c r="I28" s="16">
        <f>IFERROR(__xludf.DUMMYFUNCTION("""COMPUTED_VALUE"""),45783.6458333333)</f>
        <v>45783.6458333333</v>
      </c>
      <c r="J28" s="17">
        <f>IFERROR(__xludf.DUMMYFUNCTION("""COMPUTED_VALUE"""),2343.5)</f>
        <v>2343.5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IFERROR(__xludf.DUMMYFUNCTION("""COMPUTED_VALUE"""),2353.1)</f>
        <v>2353.1</v>
      </c>
      <c r="C29" s="16">
        <f>IFERROR(__xludf.DUMMYFUNCTION("""COMPUTED_VALUE"""),45784.6458333333)</f>
        <v>45784.6458333333</v>
      </c>
      <c r="D29" s="17">
        <f>IFERROR(__xludf.DUMMYFUNCTION("""COMPUTED_VALUE"""),2315)</f>
        <v>2315</v>
      </c>
      <c r="E29" s="16">
        <f>IFERROR(__xludf.DUMMYFUNCTION("""COMPUTED_VALUE"""),45784.6458333333)</f>
        <v>45784.6458333333</v>
      </c>
      <c r="F29" s="17">
        <f>IFERROR(__xludf.DUMMYFUNCTION("""COMPUTED_VALUE"""),1012640)</f>
        <v>1012640</v>
      </c>
      <c r="G29" s="16">
        <f>IFERROR(__xludf.DUMMYFUNCTION("""COMPUTED_VALUE"""),45784.6458333333)</f>
        <v>45784.6458333333</v>
      </c>
      <c r="H29" s="17">
        <f>IFERROR(__xludf.DUMMYFUNCTION("""COMPUTED_VALUE"""),2379.5)</f>
        <v>2379.5</v>
      </c>
      <c r="I29" s="16">
        <f>IFERROR(__xludf.DUMMYFUNCTION("""COMPUTED_VALUE"""),45784.6458333333)</f>
        <v>45784.6458333333</v>
      </c>
      <c r="J29" s="17">
        <f>IFERROR(__xludf.DUMMYFUNCTION("""COMPUTED_VALUE"""),2315)</f>
        <v>2315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IFERROR(__xludf.DUMMYFUNCTION("""COMPUTED_VALUE"""),2285.3)</f>
        <v>2285.3</v>
      </c>
      <c r="C30" s="16">
        <f>IFERROR(__xludf.DUMMYFUNCTION("""COMPUTED_VALUE"""),45785.6458333333)</f>
        <v>45785.6458333333</v>
      </c>
      <c r="D30" s="17">
        <f>IFERROR(__xludf.DUMMYFUNCTION("""COMPUTED_VALUE"""),2362)</f>
        <v>2362</v>
      </c>
      <c r="E30" s="16">
        <f>IFERROR(__xludf.DUMMYFUNCTION("""COMPUTED_VALUE"""),45785.6458333333)</f>
        <v>45785.6458333333</v>
      </c>
      <c r="F30" s="17">
        <f>IFERROR(__xludf.DUMMYFUNCTION("""COMPUTED_VALUE"""),1380069)</f>
        <v>1380069</v>
      </c>
      <c r="G30" s="16">
        <f>IFERROR(__xludf.DUMMYFUNCTION("""COMPUTED_VALUE"""),45785.6458333333)</f>
        <v>45785.6458333333</v>
      </c>
      <c r="H30" s="17">
        <f>IFERROR(__xludf.DUMMYFUNCTION("""COMPUTED_VALUE"""),2367.8)</f>
        <v>2367.8</v>
      </c>
      <c r="I30" s="16">
        <f>IFERROR(__xludf.DUMMYFUNCTION("""COMPUTED_VALUE"""),45785.6458333333)</f>
        <v>45785.6458333333</v>
      </c>
      <c r="J30" s="17">
        <f>IFERROR(__xludf.DUMMYFUNCTION("""COMPUTED_VALUE"""),2260)</f>
        <v>2260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IFERROR(__xludf.DUMMYFUNCTION("""COMPUTED_VALUE"""),2251)</f>
        <v>2251</v>
      </c>
      <c r="C31" s="16">
        <f>IFERROR(__xludf.DUMMYFUNCTION("""COMPUTED_VALUE"""),45786.6458333333)</f>
        <v>45786.6458333333</v>
      </c>
      <c r="D31" s="17">
        <f>IFERROR(__xludf.DUMMYFUNCTION("""COMPUTED_VALUE"""),2240)</f>
        <v>2240</v>
      </c>
      <c r="E31" s="16">
        <f>IFERROR(__xludf.DUMMYFUNCTION("""COMPUTED_VALUE"""),45786.6458333333)</f>
        <v>45786.6458333333</v>
      </c>
      <c r="F31" s="17">
        <f>IFERROR(__xludf.DUMMYFUNCTION("""COMPUTED_VALUE"""),1006000)</f>
        <v>1006000</v>
      </c>
      <c r="G31" s="16">
        <f>IFERROR(__xludf.DUMMYFUNCTION("""COMPUTED_VALUE"""),45786.6458333333)</f>
        <v>45786.6458333333</v>
      </c>
      <c r="H31" s="17">
        <f>IFERROR(__xludf.DUMMYFUNCTION("""COMPUTED_VALUE"""),2273.1)</f>
        <v>2273.1</v>
      </c>
      <c r="I31" s="16">
        <f>IFERROR(__xludf.DUMMYFUNCTION("""COMPUTED_VALUE"""),45786.6458333333)</f>
        <v>45786.6458333333</v>
      </c>
      <c r="J31" s="17">
        <f>IFERROR(__xludf.DUMMYFUNCTION("""COMPUTED_VALUE"""),2233)</f>
        <v>2233</v>
      </c>
      <c r="K31" s="3">
        <f t="shared" si="2"/>
        <v>0</v>
      </c>
      <c r="L31" s="3">
        <f t="shared" si="3"/>
        <v>2251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IFERROR(__xludf.DUMMYFUNCTION("""COMPUTED_VALUE"""),2425.3)</f>
        <v>2425.3</v>
      </c>
      <c r="C32" s="16">
        <f>IFERROR(__xludf.DUMMYFUNCTION("""COMPUTED_VALUE"""),45789.6458333333)</f>
        <v>45789.6458333333</v>
      </c>
      <c r="D32" s="17">
        <f>IFERROR(__xludf.DUMMYFUNCTION("""COMPUTED_VALUE"""),2350)</f>
        <v>2350</v>
      </c>
      <c r="E32" s="16">
        <f>IFERROR(__xludf.DUMMYFUNCTION("""COMPUTED_VALUE"""),45789.6458333333)</f>
        <v>45789.6458333333</v>
      </c>
      <c r="F32" s="17">
        <f>IFERROR(__xludf.DUMMYFUNCTION("""COMPUTED_VALUE"""),2147039)</f>
        <v>2147039</v>
      </c>
      <c r="G32" s="16">
        <f>IFERROR(__xludf.DUMMYFUNCTION("""COMPUTED_VALUE"""),45789.6458333333)</f>
        <v>45789.6458333333</v>
      </c>
      <c r="H32" s="17">
        <f>IFERROR(__xludf.DUMMYFUNCTION("""COMPUTED_VALUE"""),2433.3)</f>
        <v>2433.3</v>
      </c>
      <c r="I32" s="16">
        <f>IFERROR(__xludf.DUMMYFUNCTION("""COMPUTED_VALUE"""),45789.6458333333)</f>
        <v>45789.6458333333</v>
      </c>
      <c r="J32" s="17">
        <f>IFERROR(__xludf.DUMMYFUNCTION("""COMPUTED_VALUE"""),2315)</f>
        <v>2315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IFERROR(__xludf.DUMMYFUNCTION("""COMPUTED_VALUE"""),2441.2)</f>
        <v>2441.2</v>
      </c>
      <c r="C33" s="16">
        <f>IFERROR(__xludf.DUMMYFUNCTION("""COMPUTED_VALUE"""),45790.6458333333)</f>
        <v>45790.6458333333</v>
      </c>
      <c r="D33" s="17">
        <f>IFERROR(__xludf.DUMMYFUNCTION("""COMPUTED_VALUE"""),2425)</f>
        <v>2425</v>
      </c>
      <c r="E33" s="16">
        <f>IFERROR(__xludf.DUMMYFUNCTION("""COMPUTED_VALUE"""),45790.6458333333)</f>
        <v>45790.6458333333</v>
      </c>
      <c r="F33" s="17">
        <f>IFERROR(__xludf.DUMMYFUNCTION("""COMPUTED_VALUE"""),1815179)</f>
        <v>1815179</v>
      </c>
      <c r="G33" s="16">
        <f>IFERROR(__xludf.DUMMYFUNCTION("""COMPUTED_VALUE"""),45790.6458333333)</f>
        <v>45790.6458333333</v>
      </c>
      <c r="H33" s="17">
        <f>IFERROR(__xludf.DUMMYFUNCTION("""COMPUTED_VALUE"""),2454.9)</f>
        <v>2454.9</v>
      </c>
      <c r="I33" s="16">
        <f>IFERROR(__xludf.DUMMYFUNCTION("""COMPUTED_VALUE"""),45790.6458333333)</f>
        <v>45790.6458333333</v>
      </c>
      <c r="J33" s="17">
        <f>IFERROR(__xludf.DUMMYFUNCTION("""COMPUTED_VALUE"""),2405)</f>
        <v>2405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IFERROR(__xludf.DUMMYFUNCTION("""COMPUTED_VALUE"""),2461.9)</f>
        <v>2461.9</v>
      </c>
      <c r="C34" s="16">
        <f>IFERROR(__xludf.DUMMYFUNCTION("""COMPUTED_VALUE"""),45791.6458333333)</f>
        <v>45791.6458333333</v>
      </c>
      <c r="D34" s="17">
        <f>IFERROR(__xludf.DUMMYFUNCTION("""COMPUTED_VALUE"""),2444.9)</f>
        <v>2444.9</v>
      </c>
      <c r="E34" s="16">
        <f>IFERROR(__xludf.DUMMYFUNCTION("""COMPUTED_VALUE"""),45791.6458333333)</f>
        <v>45791.6458333333</v>
      </c>
      <c r="F34" s="17">
        <f>IFERROR(__xludf.DUMMYFUNCTION("""COMPUTED_VALUE"""),774441)</f>
        <v>774441</v>
      </c>
      <c r="G34" s="16">
        <f>IFERROR(__xludf.DUMMYFUNCTION("""COMPUTED_VALUE"""),45791.6458333333)</f>
        <v>45791.6458333333</v>
      </c>
      <c r="H34" s="17">
        <f>IFERROR(__xludf.DUMMYFUNCTION("""COMPUTED_VALUE"""),2481.9)</f>
        <v>2481.9</v>
      </c>
      <c r="I34" s="16">
        <f>IFERROR(__xludf.DUMMYFUNCTION("""COMPUTED_VALUE"""),45791.6458333333)</f>
        <v>45791.6458333333</v>
      </c>
      <c r="J34" s="17">
        <f>IFERROR(__xludf.DUMMYFUNCTION("""COMPUTED_VALUE"""),2430.1)</f>
        <v>2430.1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IFERROR(__xludf.DUMMYFUNCTION("""COMPUTED_VALUE"""),2520)</f>
        <v>2520</v>
      </c>
      <c r="C35" s="16">
        <f>IFERROR(__xludf.DUMMYFUNCTION("""COMPUTED_VALUE"""),45792.6458333333)</f>
        <v>45792.6458333333</v>
      </c>
      <c r="D35" s="17">
        <f>IFERROR(__xludf.DUMMYFUNCTION("""COMPUTED_VALUE"""),2463.4)</f>
        <v>2463.4</v>
      </c>
      <c r="E35" s="16">
        <f>IFERROR(__xludf.DUMMYFUNCTION("""COMPUTED_VALUE"""),45792.6458333333)</f>
        <v>45792.6458333333</v>
      </c>
      <c r="F35" s="17">
        <f>IFERROR(__xludf.DUMMYFUNCTION("""COMPUTED_VALUE"""),1554801)</f>
        <v>1554801</v>
      </c>
      <c r="G35" s="16">
        <f>IFERROR(__xludf.DUMMYFUNCTION("""COMPUTED_VALUE"""),45792.6458333333)</f>
        <v>45792.6458333333</v>
      </c>
      <c r="H35" s="17">
        <f>IFERROR(__xludf.DUMMYFUNCTION("""COMPUTED_VALUE"""),2526.8)</f>
        <v>2526.8</v>
      </c>
      <c r="I35" s="16">
        <f>IFERROR(__xludf.DUMMYFUNCTION("""COMPUTED_VALUE"""),45792.6458333333)</f>
        <v>45792.6458333333</v>
      </c>
      <c r="J35" s="17">
        <f>IFERROR(__xludf.DUMMYFUNCTION("""COMPUTED_VALUE"""),2450.7)</f>
        <v>2450.7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IFERROR(__xludf.DUMMYFUNCTION("""COMPUTED_VALUE"""),2555)</f>
        <v>2555</v>
      </c>
      <c r="C36" s="16">
        <f>IFERROR(__xludf.DUMMYFUNCTION("""COMPUTED_VALUE"""),45793.6458333333)</f>
        <v>45793.6458333333</v>
      </c>
      <c r="D36" s="17">
        <f>IFERROR(__xludf.DUMMYFUNCTION("""COMPUTED_VALUE"""),2529)</f>
        <v>2529</v>
      </c>
      <c r="E36" s="16">
        <f>IFERROR(__xludf.DUMMYFUNCTION("""COMPUTED_VALUE"""),45793.6458333333)</f>
        <v>45793.6458333333</v>
      </c>
      <c r="F36" s="17">
        <f>IFERROR(__xludf.DUMMYFUNCTION("""COMPUTED_VALUE"""),1641135)</f>
        <v>1641135</v>
      </c>
      <c r="G36" s="16">
        <f>IFERROR(__xludf.DUMMYFUNCTION("""COMPUTED_VALUE"""),45793.6458333333)</f>
        <v>45793.6458333333</v>
      </c>
      <c r="H36" s="17">
        <f>IFERROR(__xludf.DUMMYFUNCTION("""COMPUTED_VALUE"""),2584.2)</f>
        <v>2584.2</v>
      </c>
      <c r="I36" s="16">
        <f>IFERROR(__xludf.DUMMYFUNCTION("""COMPUTED_VALUE"""),45793.6458333333)</f>
        <v>45793.6458333333</v>
      </c>
      <c r="J36" s="17">
        <f>IFERROR(__xludf.DUMMYFUNCTION("""COMPUTED_VALUE"""),2516.2)</f>
        <v>2516.2</v>
      </c>
      <c r="K36" s="3">
        <f t="shared" si="2"/>
        <v>2555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IFERROR(__xludf.DUMMYFUNCTION("""COMPUTED_VALUE"""),2540.6)</f>
        <v>2540.6</v>
      </c>
      <c r="C37" s="16">
        <f>IFERROR(__xludf.DUMMYFUNCTION("""COMPUTED_VALUE"""),45796.6458333333)</f>
        <v>45796.6458333333</v>
      </c>
      <c r="D37" s="17">
        <f>IFERROR(__xludf.DUMMYFUNCTION("""COMPUTED_VALUE"""),2571.3)</f>
        <v>2571.3</v>
      </c>
      <c r="E37" s="16">
        <f>IFERROR(__xludf.DUMMYFUNCTION("""COMPUTED_VALUE"""),45796.6458333333)</f>
        <v>45796.6458333333</v>
      </c>
      <c r="F37" s="17">
        <f>IFERROR(__xludf.DUMMYFUNCTION("""COMPUTED_VALUE"""),681000)</f>
        <v>681000</v>
      </c>
      <c r="G37" s="16">
        <f>IFERROR(__xludf.DUMMYFUNCTION("""COMPUTED_VALUE"""),45796.6458333333)</f>
        <v>45796.6458333333</v>
      </c>
      <c r="H37" s="17">
        <f>IFERROR(__xludf.DUMMYFUNCTION("""COMPUTED_VALUE"""),2578.8)</f>
        <v>2578.8</v>
      </c>
      <c r="I37" s="16">
        <f>IFERROR(__xludf.DUMMYFUNCTION("""COMPUTED_VALUE"""),45796.6458333333)</f>
        <v>45796.6458333333</v>
      </c>
      <c r="J37" s="17">
        <f>IFERROR(__xludf.DUMMYFUNCTION("""COMPUTED_VALUE"""),2536)</f>
        <v>2536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IFERROR(__xludf.DUMMYFUNCTION("""COMPUTED_VALUE"""),2501.6)</f>
        <v>2501.6</v>
      </c>
      <c r="C38" s="16">
        <f>IFERROR(__xludf.DUMMYFUNCTION("""COMPUTED_VALUE"""),45797.6458333333)</f>
        <v>45797.6458333333</v>
      </c>
      <c r="D38" s="17">
        <f>IFERROR(__xludf.DUMMYFUNCTION("""COMPUTED_VALUE"""),2545)</f>
        <v>2545</v>
      </c>
      <c r="E38" s="16">
        <f>IFERROR(__xludf.DUMMYFUNCTION("""COMPUTED_VALUE"""),45797.6458333333)</f>
        <v>45797.6458333333</v>
      </c>
      <c r="F38" s="17">
        <f>IFERROR(__xludf.DUMMYFUNCTION("""COMPUTED_VALUE"""),628023)</f>
        <v>628023</v>
      </c>
      <c r="G38" s="16">
        <f>IFERROR(__xludf.DUMMYFUNCTION("""COMPUTED_VALUE"""),45797.6458333333)</f>
        <v>45797.6458333333</v>
      </c>
      <c r="H38" s="17">
        <f>IFERROR(__xludf.DUMMYFUNCTION("""COMPUTED_VALUE"""),2564.8)</f>
        <v>2564.8</v>
      </c>
      <c r="I38" s="16">
        <f>IFERROR(__xludf.DUMMYFUNCTION("""COMPUTED_VALUE"""),45797.6458333333)</f>
        <v>45797.6458333333</v>
      </c>
      <c r="J38" s="17">
        <f>IFERROR(__xludf.DUMMYFUNCTION("""COMPUTED_VALUE"""),2492.5)</f>
        <v>2492.5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IFERROR(__xludf.DUMMYFUNCTION("""COMPUTED_VALUE"""),2500.4)</f>
        <v>2500.4</v>
      </c>
      <c r="C39" s="16">
        <f>IFERROR(__xludf.DUMMYFUNCTION("""COMPUTED_VALUE"""),45798.6458333333)</f>
        <v>45798.6458333333</v>
      </c>
      <c r="D39" s="17">
        <f>IFERROR(__xludf.DUMMYFUNCTION("""COMPUTED_VALUE"""),2509.7)</f>
        <v>2509.7</v>
      </c>
      <c r="E39" s="16">
        <f>IFERROR(__xludf.DUMMYFUNCTION("""COMPUTED_VALUE"""),45798.6458333333)</f>
        <v>45798.6458333333</v>
      </c>
      <c r="F39" s="17">
        <f>IFERROR(__xludf.DUMMYFUNCTION("""COMPUTED_VALUE"""),529234)</f>
        <v>529234</v>
      </c>
      <c r="G39" s="16">
        <f>IFERROR(__xludf.DUMMYFUNCTION("""COMPUTED_VALUE"""),45798.6458333333)</f>
        <v>45798.6458333333</v>
      </c>
      <c r="H39" s="17">
        <f>IFERROR(__xludf.DUMMYFUNCTION("""COMPUTED_VALUE"""),2524.5)</f>
        <v>2524.5</v>
      </c>
      <c r="I39" s="16">
        <f>IFERROR(__xludf.DUMMYFUNCTION("""COMPUTED_VALUE"""),45798.6458333333)</f>
        <v>45798.6458333333</v>
      </c>
      <c r="J39" s="17">
        <f>IFERROR(__xludf.DUMMYFUNCTION("""COMPUTED_VALUE"""),2483.7)</f>
        <v>2483.7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IFERROR(__xludf.DUMMYFUNCTION("""COMPUTED_VALUE"""),2487.6)</f>
        <v>2487.6</v>
      </c>
      <c r="C40" s="16">
        <f>IFERROR(__xludf.DUMMYFUNCTION("""COMPUTED_VALUE"""),45799.6458333333)</f>
        <v>45799.6458333333</v>
      </c>
      <c r="D40" s="17">
        <f>IFERROR(__xludf.DUMMYFUNCTION("""COMPUTED_VALUE"""),2500.4)</f>
        <v>2500.4</v>
      </c>
      <c r="E40" s="16">
        <f>IFERROR(__xludf.DUMMYFUNCTION("""COMPUTED_VALUE"""),45799.6458333333)</f>
        <v>45799.6458333333</v>
      </c>
      <c r="F40" s="17">
        <f>IFERROR(__xludf.DUMMYFUNCTION("""COMPUTED_VALUE"""),906909)</f>
        <v>906909</v>
      </c>
      <c r="G40" s="16">
        <f>IFERROR(__xludf.DUMMYFUNCTION("""COMPUTED_VALUE"""),45799.6458333333)</f>
        <v>45799.6458333333</v>
      </c>
      <c r="H40" s="17">
        <f>IFERROR(__xludf.DUMMYFUNCTION("""COMPUTED_VALUE"""),2521.9)</f>
        <v>2521.9</v>
      </c>
      <c r="I40" s="16">
        <f>IFERROR(__xludf.DUMMYFUNCTION("""COMPUTED_VALUE"""),45799.6458333333)</f>
        <v>45799.6458333333</v>
      </c>
      <c r="J40" s="17">
        <f>IFERROR(__xludf.DUMMYFUNCTION("""COMPUTED_VALUE"""),2465.3)</f>
        <v>2465.3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IFERROR(__xludf.DUMMYFUNCTION("""COMPUTED_VALUE"""),2540)</f>
        <v>2540</v>
      </c>
      <c r="C41" s="16">
        <f>IFERROR(__xludf.DUMMYFUNCTION("""COMPUTED_VALUE"""),45800.6458333333)</f>
        <v>45800.6458333333</v>
      </c>
      <c r="D41" s="17">
        <f>IFERROR(__xludf.DUMMYFUNCTION("""COMPUTED_VALUE"""),2499)</f>
        <v>2499</v>
      </c>
      <c r="E41" s="16">
        <f>IFERROR(__xludf.DUMMYFUNCTION("""COMPUTED_VALUE"""),45800.6458333333)</f>
        <v>45800.6458333333</v>
      </c>
      <c r="F41" s="17">
        <f>IFERROR(__xludf.DUMMYFUNCTION("""COMPUTED_VALUE"""),968415)</f>
        <v>968415</v>
      </c>
      <c r="G41" s="16">
        <f>IFERROR(__xludf.DUMMYFUNCTION("""COMPUTED_VALUE"""),45800.6458333333)</f>
        <v>45800.6458333333</v>
      </c>
      <c r="H41" s="17">
        <f>IFERROR(__xludf.DUMMYFUNCTION("""COMPUTED_VALUE"""),2548.1)</f>
        <v>2548.1</v>
      </c>
      <c r="I41" s="16">
        <f>IFERROR(__xludf.DUMMYFUNCTION("""COMPUTED_VALUE"""),45800.6458333333)</f>
        <v>45800.6458333333</v>
      </c>
      <c r="J41" s="17">
        <f>IFERROR(__xludf.DUMMYFUNCTION("""COMPUTED_VALUE"""),2490.5)</f>
        <v>2490.5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IFERROR(__xludf.DUMMYFUNCTION("""COMPUTED_VALUE"""),2547.7)</f>
        <v>2547.7</v>
      </c>
      <c r="C42" s="16">
        <f>IFERROR(__xludf.DUMMYFUNCTION("""COMPUTED_VALUE"""),45803.6458333333)</f>
        <v>45803.6458333333</v>
      </c>
      <c r="D42" s="17">
        <f>IFERROR(__xludf.DUMMYFUNCTION("""COMPUTED_VALUE"""),2549.1)</f>
        <v>2549.1</v>
      </c>
      <c r="E42" s="16">
        <f>IFERROR(__xludf.DUMMYFUNCTION("""COMPUTED_VALUE"""),45803.6458333333)</f>
        <v>45803.6458333333</v>
      </c>
      <c r="F42" s="17">
        <f>IFERROR(__xludf.DUMMYFUNCTION("""COMPUTED_VALUE"""),552912)</f>
        <v>552912</v>
      </c>
      <c r="G42" s="16">
        <f>IFERROR(__xludf.DUMMYFUNCTION("""COMPUTED_VALUE"""),45803.6458333333)</f>
        <v>45803.6458333333</v>
      </c>
      <c r="H42" s="17">
        <f>IFERROR(__xludf.DUMMYFUNCTION("""COMPUTED_VALUE"""),2568.9)</f>
        <v>2568.9</v>
      </c>
      <c r="I42" s="16">
        <f>IFERROR(__xludf.DUMMYFUNCTION("""COMPUTED_VALUE"""),45803.6458333333)</f>
        <v>45803.6458333333</v>
      </c>
      <c r="J42" s="17">
        <f>IFERROR(__xludf.DUMMYFUNCTION("""COMPUTED_VALUE"""),2541.3)</f>
        <v>2541.3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IFERROR(__xludf.DUMMYFUNCTION("""COMPUTED_VALUE"""),2540.3)</f>
        <v>2540.3</v>
      </c>
      <c r="C43" s="16">
        <f>IFERROR(__xludf.DUMMYFUNCTION("""COMPUTED_VALUE"""),45804.6458333333)</f>
        <v>45804.6458333333</v>
      </c>
      <c r="D43" s="17">
        <f>IFERROR(__xludf.DUMMYFUNCTION("""COMPUTED_VALUE"""),2545.9)</f>
        <v>2545.9</v>
      </c>
      <c r="E43" s="16">
        <f>IFERROR(__xludf.DUMMYFUNCTION("""COMPUTED_VALUE"""),45804.6458333333)</f>
        <v>45804.6458333333</v>
      </c>
      <c r="F43" s="17">
        <f>IFERROR(__xludf.DUMMYFUNCTION("""COMPUTED_VALUE"""),514936)</f>
        <v>514936</v>
      </c>
      <c r="G43" s="16">
        <f>IFERROR(__xludf.DUMMYFUNCTION("""COMPUTED_VALUE"""),45804.6458333333)</f>
        <v>45804.6458333333</v>
      </c>
      <c r="H43" s="17">
        <f>IFERROR(__xludf.DUMMYFUNCTION("""COMPUTED_VALUE"""),2569.1)</f>
        <v>2569.1</v>
      </c>
      <c r="I43" s="16">
        <f>IFERROR(__xludf.DUMMYFUNCTION("""COMPUTED_VALUE"""),45804.6458333333)</f>
        <v>45804.6458333333</v>
      </c>
      <c r="J43" s="17">
        <f>IFERROR(__xludf.DUMMYFUNCTION("""COMPUTED_VALUE"""),2526.1)</f>
        <v>2526.1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IFERROR(__xludf.DUMMYFUNCTION("""COMPUTED_VALUE"""),2515)</f>
        <v>2515</v>
      </c>
      <c r="C44" s="16">
        <f>IFERROR(__xludf.DUMMYFUNCTION("""COMPUTED_VALUE"""),45805.6458333333)</f>
        <v>45805.6458333333</v>
      </c>
      <c r="D44" s="17">
        <f>IFERROR(__xludf.DUMMYFUNCTION("""COMPUTED_VALUE"""),2559)</f>
        <v>2559</v>
      </c>
      <c r="E44" s="16">
        <f>IFERROR(__xludf.DUMMYFUNCTION("""COMPUTED_VALUE"""),45805.6458333333)</f>
        <v>45805.6458333333</v>
      </c>
      <c r="F44" s="17">
        <f>IFERROR(__xludf.DUMMYFUNCTION("""COMPUTED_VALUE"""),575989)</f>
        <v>575989</v>
      </c>
      <c r="G44" s="16">
        <f>IFERROR(__xludf.DUMMYFUNCTION("""COMPUTED_VALUE"""),45805.6458333333)</f>
        <v>45805.6458333333</v>
      </c>
      <c r="H44" s="17">
        <f>IFERROR(__xludf.DUMMYFUNCTION("""COMPUTED_VALUE"""),2559)</f>
        <v>2559</v>
      </c>
      <c r="I44" s="16">
        <f>IFERROR(__xludf.DUMMYFUNCTION("""COMPUTED_VALUE"""),45805.6458333333)</f>
        <v>45805.6458333333</v>
      </c>
      <c r="J44" s="17">
        <f>IFERROR(__xludf.DUMMYFUNCTION("""COMPUTED_VALUE"""),2510)</f>
        <v>2510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IFERROR(__xludf.DUMMYFUNCTION("""COMPUTED_VALUE"""),2540.8)</f>
        <v>2540.8</v>
      </c>
      <c r="C45" s="16">
        <f>IFERROR(__xludf.DUMMYFUNCTION("""COMPUTED_VALUE"""),45806.6458333333)</f>
        <v>45806.6458333333</v>
      </c>
      <c r="D45" s="17">
        <f>IFERROR(__xludf.DUMMYFUNCTION("""COMPUTED_VALUE"""),2536.7)</f>
        <v>2536.7</v>
      </c>
      <c r="E45" s="16">
        <f>IFERROR(__xludf.DUMMYFUNCTION("""COMPUTED_VALUE"""),45806.6458333333)</f>
        <v>45806.6458333333</v>
      </c>
      <c r="F45" s="17">
        <f>IFERROR(__xludf.DUMMYFUNCTION("""COMPUTED_VALUE"""),802317)</f>
        <v>802317</v>
      </c>
      <c r="G45" s="16">
        <f>IFERROR(__xludf.DUMMYFUNCTION("""COMPUTED_VALUE"""),45806.6458333333)</f>
        <v>45806.6458333333</v>
      </c>
      <c r="H45" s="17">
        <f>IFERROR(__xludf.DUMMYFUNCTION("""COMPUTED_VALUE"""),2559)</f>
        <v>2559</v>
      </c>
      <c r="I45" s="16">
        <f>IFERROR(__xludf.DUMMYFUNCTION("""COMPUTED_VALUE"""),45806.6458333333)</f>
        <v>45806.6458333333</v>
      </c>
      <c r="J45" s="17">
        <f>IFERROR(__xludf.DUMMYFUNCTION("""COMPUTED_VALUE"""),2511)</f>
        <v>2511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IFERROR(__xludf.DUMMYFUNCTION("""COMPUTED_VALUE"""),2519.9)</f>
        <v>2519.9</v>
      </c>
      <c r="C46" s="16">
        <f>IFERROR(__xludf.DUMMYFUNCTION("""COMPUTED_VALUE"""),45807.6458333333)</f>
        <v>45807.6458333333</v>
      </c>
      <c r="D46" s="17">
        <f>IFERROR(__xludf.DUMMYFUNCTION("""COMPUTED_VALUE"""),2550)</f>
        <v>2550</v>
      </c>
      <c r="E46" s="16">
        <f>IFERROR(__xludf.DUMMYFUNCTION("""COMPUTED_VALUE"""),45807.6458333333)</f>
        <v>45807.6458333333</v>
      </c>
      <c r="F46" s="17">
        <f>IFERROR(__xludf.DUMMYFUNCTION("""COMPUTED_VALUE"""),684592)</f>
        <v>684592</v>
      </c>
      <c r="G46" s="16">
        <f>IFERROR(__xludf.DUMMYFUNCTION("""COMPUTED_VALUE"""),45807.6458333333)</f>
        <v>45807.6458333333</v>
      </c>
      <c r="H46" s="17">
        <f>IFERROR(__xludf.DUMMYFUNCTION("""COMPUTED_VALUE"""),2564)</f>
        <v>2564</v>
      </c>
      <c r="I46" s="16">
        <f>IFERROR(__xludf.DUMMYFUNCTION("""COMPUTED_VALUE"""),45807.6458333333)</f>
        <v>45807.6458333333</v>
      </c>
      <c r="J46" s="17">
        <f>IFERROR(__xludf.DUMMYFUNCTION("""COMPUTED_VALUE"""),2513.8)</f>
        <v>2513.8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IFERROR(__xludf.DUMMYFUNCTION("""COMPUTED_VALUE"""),2518.8)</f>
        <v>2518.8</v>
      </c>
      <c r="C47" s="16">
        <f>IFERROR(__xludf.DUMMYFUNCTION("""COMPUTED_VALUE"""),45810.6458333333)</f>
        <v>45810.6458333333</v>
      </c>
      <c r="D47" s="17">
        <f>IFERROR(__xludf.DUMMYFUNCTION("""COMPUTED_VALUE"""),2527)</f>
        <v>2527</v>
      </c>
      <c r="E47" s="16">
        <f>IFERROR(__xludf.DUMMYFUNCTION("""COMPUTED_VALUE"""),45810.6458333333)</f>
        <v>45810.6458333333</v>
      </c>
      <c r="F47" s="17">
        <f>IFERROR(__xludf.DUMMYFUNCTION("""COMPUTED_VALUE"""),1008716)</f>
        <v>1008716</v>
      </c>
      <c r="G47" s="16">
        <f>IFERROR(__xludf.DUMMYFUNCTION("""COMPUTED_VALUE"""),45810.6458333333)</f>
        <v>45810.6458333333</v>
      </c>
      <c r="H47" s="17">
        <f>IFERROR(__xludf.DUMMYFUNCTION("""COMPUTED_VALUE"""),2564)</f>
        <v>2564</v>
      </c>
      <c r="I47" s="16">
        <f>IFERROR(__xludf.DUMMYFUNCTION("""COMPUTED_VALUE"""),45810.6458333333)</f>
        <v>45810.6458333333</v>
      </c>
      <c r="J47" s="17">
        <f>IFERROR(__xludf.DUMMYFUNCTION("""COMPUTED_VALUE"""),2514.9)</f>
        <v>2514.9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IFERROR(__xludf.DUMMYFUNCTION("""COMPUTED_VALUE"""),2470.9)</f>
        <v>2470.9</v>
      </c>
      <c r="C48" s="16">
        <f>IFERROR(__xludf.DUMMYFUNCTION("""COMPUTED_VALUE"""),45811.6458333333)</f>
        <v>45811.6458333333</v>
      </c>
      <c r="D48" s="17">
        <f>IFERROR(__xludf.DUMMYFUNCTION("""COMPUTED_VALUE"""),2511)</f>
        <v>2511</v>
      </c>
      <c r="E48" s="16">
        <f>IFERROR(__xludf.DUMMYFUNCTION("""COMPUTED_VALUE"""),45811.6458333333)</f>
        <v>45811.6458333333</v>
      </c>
      <c r="F48" s="17">
        <f>IFERROR(__xludf.DUMMYFUNCTION("""COMPUTED_VALUE"""),962708)</f>
        <v>962708</v>
      </c>
      <c r="G48" s="16">
        <f>IFERROR(__xludf.DUMMYFUNCTION("""COMPUTED_VALUE"""),45811.6458333333)</f>
        <v>45811.6458333333</v>
      </c>
      <c r="H48" s="17">
        <f>IFERROR(__xludf.DUMMYFUNCTION("""COMPUTED_VALUE"""),2512.5)</f>
        <v>2512.5</v>
      </c>
      <c r="I48" s="16">
        <f>IFERROR(__xludf.DUMMYFUNCTION("""COMPUTED_VALUE"""),45811.6458333333)</f>
        <v>45811.6458333333</v>
      </c>
      <c r="J48" s="17">
        <f>IFERROR(__xludf.DUMMYFUNCTION("""COMPUTED_VALUE"""),2452)</f>
        <v>2452</v>
      </c>
      <c r="K48" s="3">
        <f t="shared" si="2"/>
        <v>0</v>
      </c>
      <c r="L48" s="3">
        <f t="shared" si="3"/>
        <v>2470.9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IFERROR(__xludf.DUMMYFUNCTION("""COMPUTED_VALUE"""),2489.4)</f>
        <v>2489.4</v>
      </c>
      <c r="C49" s="16">
        <f>IFERROR(__xludf.DUMMYFUNCTION("""COMPUTED_VALUE"""),45812.6458333333)</f>
        <v>45812.6458333333</v>
      </c>
      <c r="D49" s="17">
        <f>IFERROR(__xludf.DUMMYFUNCTION("""COMPUTED_VALUE"""),2480)</f>
        <v>2480</v>
      </c>
      <c r="E49" s="16">
        <f>IFERROR(__xludf.DUMMYFUNCTION("""COMPUTED_VALUE"""),45812.6458333333)</f>
        <v>45812.6458333333</v>
      </c>
      <c r="F49" s="17">
        <f>IFERROR(__xludf.DUMMYFUNCTION("""COMPUTED_VALUE"""),552667)</f>
        <v>552667</v>
      </c>
      <c r="G49" s="16">
        <f>IFERROR(__xludf.DUMMYFUNCTION("""COMPUTED_VALUE"""),45812.6458333333)</f>
        <v>45812.6458333333</v>
      </c>
      <c r="H49" s="17">
        <f>IFERROR(__xludf.DUMMYFUNCTION("""COMPUTED_VALUE"""),2503)</f>
        <v>2503</v>
      </c>
      <c r="I49" s="16">
        <f>IFERROR(__xludf.DUMMYFUNCTION("""COMPUTED_VALUE"""),45812.6458333333)</f>
        <v>45812.6458333333</v>
      </c>
      <c r="J49" s="17">
        <f>IFERROR(__xludf.DUMMYFUNCTION("""COMPUTED_VALUE"""),2441.1)</f>
        <v>2441.1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IFERROR(__xludf.DUMMYFUNCTION("""COMPUTED_VALUE"""),2504.4)</f>
        <v>2504.4</v>
      </c>
      <c r="C50" s="16">
        <f>IFERROR(__xludf.DUMMYFUNCTION("""COMPUTED_VALUE"""),45813.6458333333)</f>
        <v>45813.6458333333</v>
      </c>
      <c r="D50" s="17">
        <f>IFERROR(__xludf.DUMMYFUNCTION("""COMPUTED_VALUE"""),2495)</f>
        <v>2495</v>
      </c>
      <c r="E50" s="16">
        <f>IFERROR(__xludf.DUMMYFUNCTION("""COMPUTED_VALUE"""),45813.6458333333)</f>
        <v>45813.6458333333</v>
      </c>
      <c r="F50" s="17">
        <f>IFERROR(__xludf.DUMMYFUNCTION("""COMPUTED_VALUE"""),673209)</f>
        <v>673209</v>
      </c>
      <c r="G50" s="16">
        <f>IFERROR(__xludf.DUMMYFUNCTION("""COMPUTED_VALUE"""),45813.6458333333)</f>
        <v>45813.6458333333</v>
      </c>
      <c r="H50" s="17">
        <f>IFERROR(__xludf.DUMMYFUNCTION("""COMPUTED_VALUE"""),2530.1)</f>
        <v>2530.1</v>
      </c>
      <c r="I50" s="16">
        <f>IFERROR(__xludf.DUMMYFUNCTION("""COMPUTED_VALUE"""),45813.6458333333)</f>
        <v>45813.6458333333</v>
      </c>
      <c r="J50" s="17">
        <f>IFERROR(__xludf.DUMMYFUNCTION("""COMPUTED_VALUE"""),2487.5)</f>
        <v>2487.5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IFERROR(__xludf.DUMMYFUNCTION("""COMPUTED_VALUE"""),2534.2)</f>
        <v>2534.2</v>
      </c>
      <c r="C51" s="16">
        <f>IFERROR(__xludf.DUMMYFUNCTION("""COMPUTED_VALUE"""),45814.6458333333)</f>
        <v>45814.6458333333</v>
      </c>
      <c r="D51" s="17">
        <f>IFERROR(__xludf.DUMMYFUNCTION("""COMPUTED_VALUE"""),2514.9)</f>
        <v>2514.9</v>
      </c>
      <c r="E51" s="16">
        <f>IFERROR(__xludf.DUMMYFUNCTION("""COMPUTED_VALUE"""),45814.6458333333)</f>
        <v>45814.6458333333</v>
      </c>
      <c r="F51" s="17">
        <f>IFERROR(__xludf.DUMMYFUNCTION("""COMPUTED_VALUE"""),640680)</f>
        <v>640680</v>
      </c>
      <c r="G51" s="16">
        <f>IFERROR(__xludf.DUMMYFUNCTION("""COMPUTED_VALUE"""),45814.6458333333)</f>
        <v>45814.6458333333</v>
      </c>
      <c r="H51" s="17">
        <f>IFERROR(__xludf.DUMMYFUNCTION("""COMPUTED_VALUE"""),2553.3)</f>
        <v>2553.3</v>
      </c>
      <c r="I51" s="16">
        <f>IFERROR(__xludf.DUMMYFUNCTION("""COMPUTED_VALUE"""),45814.6458333333)</f>
        <v>45814.6458333333</v>
      </c>
      <c r="J51" s="17">
        <f>IFERROR(__xludf.DUMMYFUNCTION("""COMPUTED_VALUE"""),2504)</f>
        <v>2504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IFERROR(__xludf.DUMMYFUNCTION("""COMPUTED_VALUE"""),2582.1)</f>
        <v>2582.1</v>
      </c>
      <c r="C52" s="16">
        <f>IFERROR(__xludf.DUMMYFUNCTION("""COMPUTED_VALUE"""),45817.6458333333)</f>
        <v>45817.6458333333</v>
      </c>
      <c r="D52" s="17">
        <f>IFERROR(__xludf.DUMMYFUNCTION("""COMPUTED_VALUE"""),2545)</f>
        <v>2545</v>
      </c>
      <c r="E52" s="16">
        <f>IFERROR(__xludf.DUMMYFUNCTION("""COMPUTED_VALUE"""),45817.6458333333)</f>
        <v>45817.6458333333</v>
      </c>
      <c r="F52" s="17">
        <f>IFERROR(__xludf.DUMMYFUNCTION("""COMPUTED_VALUE"""),1711167)</f>
        <v>1711167</v>
      </c>
      <c r="G52" s="16">
        <f>IFERROR(__xludf.DUMMYFUNCTION("""COMPUTED_VALUE"""),45817.6458333333)</f>
        <v>45817.6458333333</v>
      </c>
      <c r="H52" s="17">
        <f>IFERROR(__xludf.DUMMYFUNCTION("""COMPUTED_VALUE"""),2604.1)</f>
        <v>2604.1</v>
      </c>
      <c r="I52" s="16">
        <f>IFERROR(__xludf.DUMMYFUNCTION("""COMPUTED_VALUE"""),45817.6458333333)</f>
        <v>45817.6458333333</v>
      </c>
      <c r="J52" s="17">
        <f>IFERROR(__xludf.DUMMYFUNCTION("""COMPUTED_VALUE"""),2524.5)</f>
        <v>2524.5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IFERROR(__xludf.DUMMYFUNCTION("""COMPUTED_VALUE"""),2613.1)</f>
        <v>2613.1</v>
      </c>
      <c r="C53" s="16">
        <f>IFERROR(__xludf.DUMMYFUNCTION("""COMPUTED_VALUE"""),45818.6458333333)</f>
        <v>45818.6458333333</v>
      </c>
      <c r="D53" s="17">
        <f>IFERROR(__xludf.DUMMYFUNCTION("""COMPUTED_VALUE"""),2600)</f>
        <v>2600</v>
      </c>
      <c r="E53" s="16">
        <f>IFERROR(__xludf.DUMMYFUNCTION("""COMPUTED_VALUE"""),45818.6458333333)</f>
        <v>45818.6458333333</v>
      </c>
      <c r="F53" s="17">
        <f>IFERROR(__xludf.DUMMYFUNCTION("""COMPUTED_VALUE"""),2084054)</f>
        <v>2084054</v>
      </c>
      <c r="G53" s="16">
        <f>IFERROR(__xludf.DUMMYFUNCTION("""COMPUTED_VALUE"""),45818.6458333333)</f>
        <v>45818.6458333333</v>
      </c>
      <c r="H53" s="17">
        <f>IFERROR(__xludf.DUMMYFUNCTION("""COMPUTED_VALUE"""),2663.2)</f>
        <v>2663.2</v>
      </c>
      <c r="I53" s="16">
        <f>IFERROR(__xludf.DUMMYFUNCTION("""COMPUTED_VALUE"""),45818.6458333333)</f>
        <v>45818.6458333333</v>
      </c>
      <c r="J53" s="17">
        <f>IFERROR(__xludf.DUMMYFUNCTION("""COMPUTED_VALUE"""),2577.7)</f>
        <v>2577.7</v>
      </c>
      <c r="K53" s="3">
        <f t="shared" si="2"/>
        <v>2613.1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IFERROR(__xludf.DUMMYFUNCTION("""COMPUTED_VALUE"""),2581.2)</f>
        <v>2581.2</v>
      </c>
      <c r="C54" s="16">
        <f>IFERROR(__xludf.DUMMYFUNCTION("""COMPUTED_VALUE"""),45819.6458333333)</f>
        <v>45819.6458333333</v>
      </c>
      <c r="D54" s="17">
        <f>IFERROR(__xludf.DUMMYFUNCTION("""COMPUTED_VALUE"""),2630)</f>
        <v>2630</v>
      </c>
      <c r="E54" s="16">
        <f>IFERROR(__xludf.DUMMYFUNCTION("""COMPUTED_VALUE"""),45819.6458333333)</f>
        <v>45819.6458333333</v>
      </c>
      <c r="F54" s="17">
        <f>IFERROR(__xludf.DUMMYFUNCTION("""COMPUTED_VALUE"""),745432)</f>
        <v>745432</v>
      </c>
      <c r="G54" s="16">
        <f>IFERROR(__xludf.DUMMYFUNCTION("""COMPUTED_VALUE"""),45819.6458333333)</f>
        <v>45819.6458333333</v>
      </c>
      <c r="H54" s="17">
        <f>IFERROR(__xludf.DUMMYFUNCTION("""COMPUTED_VALUE"""),2630.9)</f>
        <v>2630.9</v>
      </c>
      <c r="I54" s="16">
        <f>IFERROR(__xludf.DUMMYFUNCTION("""COMPUTED_VALUE"""),45819.6458333333)</f>
        <v>45819.6458333333</v>
      </c>
      <c r="J54" s="17">
        <f>IFERROR(__xludf.DUMMYFUNCTION("""COMPUTED_VALUE"""),2563.1)</f>
        <v>2563.1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IFERROR(__xludf.DUMMYFUNCTION("""COMPUTED_VALUE"""),2543.7)</f>
        <v>2543.7</v>
      </c>
      <c r="C55" s="16">
        <f>IFERROR(__xludf.DUMMYFUNCTION("""COMPUTED_VALUE"""),45820.6458333333)</f>
        <v>45820.6458333333</v>
      </c>
      <c r="D55" s="17">
        <f>IFERROR(__xludf.DUMMYFUNCTION("""COMPUTED_VALUE"""),2591.5)</f>
        <v>2591.5</v>
      </c>
      <c r="E55" s="16">
        <f>IFERROR(__xludf.DUMMYFUNCTION("""COMPUTED_VALUE"""),45820.6458333333)</f>
        <v>45820.6458333333</v>
      </c>
      <c r="F55" s="17">
        <f>IFERROR(__xludf.DUMMYFUNCTION("""COMPUTED_VALUE"""),955097)</f>
        <v>955097</v>
      </c>
      <c r="G55" s="16">
        <f>IFERROR(__xludf.DUMMYFUNCTION("""COMPUTED_VALUE"""),45820.6458333333)</f>
        <v>45820.6458333333</v>
      </c>
      <c r="H55" s="17">
        <f>IFERROR(__xludf.DUMMYFUNCTION("""COMPUTED_VALUE"""),2601.8)</f>
        <v>2601.8</v>
      </c>
      <c r="I55" s="16">
        <f>IFERROR(__xludf.DUMMYFUNCTION("""COMPUTED_VALUE"""),45820.6458333333)</f>
        <v>45820.6458333333</v>
      </c>
      <c r="J55" s="17">
        <f>IFERROR(__xludf.DUMMYFUNCTION("""COMPUTED_VALUE"""),2530)</f>
        <v>2530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IFERROR(__xludf.DUMMYFUNCTION("""COMPUTED_VALUE"""),2507.9)</f>
        <v>2507.9</v>
      </c>
      <c r="C56" s="16">
        <f>IFERROR(__xludf.DUMMYFUNCTION("""COMPUTED_VALUE"""),45821.6458333333)</f>
        <v>45821.6458333333</v>
      </c>
      <c r="D56" s="17">
        <f>IFERROR(__xludf.DUMMYFUNCTION("""COMPUTED_VALUE"""),2498)</f>
        <v>2498</v>
      </c>
      <c r="E56" s="16">
        <f>IFERROR(__xludf.DUMMYFUNCTION("""COMPUTED_VALUE"""),45821.6458333333)</f>
        <v>45821.6458333333</v>
      </c>
      <c r="F56" s="17">
        <f>IFERROR(__xludf.DUMMYFUNCTION("""COMPUTED_VALUE"""),695869)</f>
        <v>695869</v>
      </c>
      <c r="G56" s="16">
        <f>IFERROR(__xludf.DUMMYFUNCTION("""COMPUTED_VALUE"""),45821.6458333333)</f>
        <v>45821.6458333333</v>
      </c>
      <c r="H56" s="17">
        <f>IFERROR(__xludf.DUMMYFUNCTION("""COMPUTED_VALUE"""),2516)</f>
        <v>2516</v>
      </c>
      <c r="I56" s="16">
        <f>IFERROR(__xludf.DUMMYFUNCTION("""COMPUTED_VALUE"""),45821.6458333333)</f>
        <v>45821.6458333333</v>
      </c>
      <c r="J56" s="17">
        <f>IFERROR(__xludf.DUMMYFUNCTION("""COMPUTED_VALUE"""),2460)</f>
        <v>2460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IFERROR(__xludf.DUMMYFUNCTION("""COMPUTED_VALUE"""),2544)</f>
        <v>2544</v>
      </c>
      <c r="C57" s="16">
        <f>IFERROR(__xludf.DUMMYFUNCTION("""COMPUTED_VALUE"""),45824.6458333333)</f>
        <v>45824.6458333333</v>
      </c>
      <c r="D57" s="17">
        <f>IFERROR(__xludf.DUMMYFUNCTION("""COMPUTED_VALUE"""),2500)</f>
        <v>2500</v>
      </c>
      <c r="E57" s="16">
        <f>IFERROR(__xludf.DUMMYFUNCTION("""COMPUTED_VALUE"""),45824.6458333333)</f>
        <v>45824.6458333333</v>
      </c>
      <c r="F57" s="17">
        <f>IFERROR(__xludf.DUMMYFUNCTION("""COMPUTED_VALUE"""),956459)</f>
        <v>956459</v>
      </c>
      <c r="G57" s="16">
        <f>IFERROR(__xludf.DUMMYFUNCTION("""COMPUTED_VALUE"""),45824.6458333333)</f>
        <v>45824.6458333333</v>
      </c>
      <c r="H57" s="17">
        <f>IFERROR(__xludf.DUMMYFUNCTION("""COMPUTED_VALUE"""),2563.3)</f>
        <v>2563.3</v>
      </c>
      <c r="I57" s="16">
        <f>IFERROR(__xludf.DUMMYFUNCTION("""COMPUTED_VALUE"""),45824.6458333333)</f>
        <v>45824.6458333333</v>
      </c>
      <c r="J57" s="17">
        <f>IFERROR(__xludf.DUMMYFUNCTION("""COMPUTED_VALUE"""),2462)</f>
        <v>2462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IFERROR(__xludf.DUMMYFUNCTION("""COMPUTED_VALUE"""),2488.5)</f>
        <v>2488.5</v>
      </c>
      <c r="C58" s="16">
        <f>IFERROR(__xludf.DUMMYFUNCTION("""COMPUTED_VALUE"""),45825.6458333333)</f>
        <v>45825.6458333333</v>
      </c>
      <c r="D58" s="17">
        <f>IFERROR(__xludf.DUMMYFUNCTION("""COMPUTED_VALUE"""),2535)</f>
        <v>2535</v>
      </c>
      <c r="E58" s="16">
        <f>IFERROR(__xludf.DUMMYFUNCTION("""COMPUTED_VALUE"""),45825.6458333333)</f>
        <v>45825.6458333333</v>
      </c>
      <c r="F58" s="17">
        <f>IFERROR(__xludf.DUMMYFUNCTION("""COMPUTED_VALUE"""),703343)</f>
        <v>703343</v>
      </c>
      <c r="G58" s="16">
        <f>IFERROR(__xludf.DUMMYFUNCTION("""COMPUTED_VALUE"""),45825.6458333333)</f>
        <v>45825.6458333333</v>
      </c>
      <c r="H58" s="17">
        <f>IFERROR(__xludf.DUMMYFUNCTION("""COMPUTED_VALUE"""),2539.6)</f>
        <v>2539.6</v>
      </c>
      <c r="I58" s="16">
        <f>IFERROR(__xludf.DUMMYFUNCTION("""COMPUTED_VALUE"""),45825.6458333333)</f>
        <v>45825.6458333333</v>
      </c>
      <c r="J58" s="17">
        <f>IFERROR(__xludf.DUMMYFUNCTION("""COMPUTED_VALUE"""),2479)</f>
        <v>2479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IFERROR(__xludf.DUMMYFUNCTION("""COMPUTED_VALUE"""),2459.1)</f>
        <v>2459.1</v>
      </c>
      <c r="C59" s="16">
        <f>IFERROR(__xludf.DUMMYFUNCTION("""COMPUTED_VALUE"""),45826.6458333333)</f>
        <v>45826.6458333333</v>
      </c>
      <c r="D59" s="17">
        <f>IFERROR(__xludf.DUMMYFUNCTION("""COMPUTED_VALUE"""),2491.9)</f>
        <v>2491.9</v>
      </c>
      <c r="E59" s="16">
        <f>IFERROR(__xludf.DUMMYFUNCTION("""COMPUTED_VALUE"""),45826.6458333333)</f>
        <v>45826.6458333333</v>
      </c>
      <c r="F59" s="17">
        <f>IFERROR(__xludf.DUMMYFUNCTION("""COMPUTED_VALUE"""),667044)</f>
        <v>667044</v>
      </c>
      <c r="G59" s="16">
        <f>IFERROR(__xludf.DUMMYFUNCTION("""COMPUTED_VALUE"""),45826.6458333333)</f>
        <v>45826.6458333333</v>
      </c>
      <c r="H59" s="17">
        <f>IFERROR(__xludf.DUMMYFUNCTION("""COMPUTED_VALUE"""),2495.9)</f>
        <v>2495.9</v>
      </c>
      <c r="I59" s="16">
        <f>IFERROR(__xludf.DUMMYFUNCTION("""COMPUTED_VALUE"""),45826.6458333333)</f>
        <v>45826.6458333333</v>
      </c>
      <c r="J59" s="17">
        <f>IFERROR(__xludf.DUMMYFUNCTION("""COMPUTED_VALUE"""),2445.4)</f>
        <v>2445.4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IFERROR(__xludf.DUMMYFUNCTION("""COMPUTED_VALUE"""),2420.6)</f>
        <v>2420.6</v>
      </c>
      <c r="C60" s="16">
        <f>IFERROR(__xludf.DUMMYFUNCTION("""COMPUTED_VALUE"""),45827.6458333333)</f>
        <v>45827.6458333333</v>
      </c>
      <c r="D60" s="17">
        <f>IFERROR(__xludf.DUMMYFUNCTION("""COMPUTED_VALUE"""),2466.3)</f>
        <v>2466.3</v>
      </c>
      <c r="E60" s="16">
        <f>IFERROR(__xludf.DUMMYFUNCTION("""COMPUTED_VALUE"""),45827.6458333333)</f>
        <v>45827.6458333333</v>
      </c>
      <c r="F60" s="17">
        <f>IFERROR(__xludf.DUMMYFUNCTION("""COMPUTED_VALUE"""),688209)</f>
        <v>688209</v>
      </c>
      <c r="G60" s="16">
        <f>IFERROR(__xludf.DUMMYFUNCTION("""COMPUTED_VALUE"""),45827.6458333333)</f>
        <v>45827.6458333333</v>
      </c>
      <c r="H60" s="17">
        <f>IFERROR(__xludf.DUMMYFUNCTION("""COMPUTED_VALUE"""),2468.9)</f>
        <v>2468.9</v>
      </c>
      <c r="I60" s="16">
        <f>IFERROR(__xludf.DUMMYFUNCTION("""COMPUTED_VALUE"""),45827.6458333333)</f>
        <v>45827.6458333333</v>
      </c>
      <c r="J60" s="17">
        <f>IFERROR(__xludf.DUMMYFUNCTION("""COMPUTED_VALUE"""),2405.1)</f>
        <v>2405.1</v>
      </c>
      <c r="K60" s="3">
        <f t="shared" si="2"/>
        <v>0</v>
      </c>
      <c r="L60" s="3">
        <f t="shared" si="3"/>
        <v>2420.6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IFERROR(__xludf.DUMMYFUNCTION("""COMPUTED_VALUE"""),2448.4)</f>
        <v>2448.4</v>
      </c>
      <c r="C61" s="16">
        <f>IFERROR(__xludf.DUMMYFUNCTION("""COMPUTED_VALUE"""),45828.6458333333)</f>
        <v>45828.6458333333</v>
      </c>
      <c r="D61" s="17">
        <f>IFERROR(__xludf.DUMMYFUNCTION("""COMPUTED_VALUE"""),2428)</f>
        <v>2428</v>
      </c>
      <c r="E61" s="16">
        <f>IFERROR(__xludf.DUMMYFUNCTION("""COMPUTED_VALUE"""),45828.6458333333)</f>
        <v>45828.6458333333</v>
      </c>
      <c r="F61" s="17">
        <f>IFERROR(__xludf.DUMMYFUNCTION("""COMPUTED_VALUE"""),3002549)</f>
        <v>3002549</v>
      </c>
      <c r="G61" s="16">
        <f>IFERROR(__xludf.DUMMYFUNCTION("""COMPUTED_VALUE"""),45828.6458333333)</f>
        <v>45828.6458333333</v>
      </c>
      <c r="H61" s="17">
        <f>IFERROR(__xludf.DUMMYFUNCTION("""COMPUTED_VALUE"""),2461.3)</f>
        <v>2461.3</v>
      </c>
      <c r="I61" s="16">
        <f>IFERROR(__xludf.DUMMYFUNCTION("""COMPUTED_VALUE"""),45828.6458333333)</f>
        <v>45828.6458333333</v>
      </c>
      <c r="J61" s="17">
        <f>IFERROR(__xludf.DUMMYFUNCTION("""COMPUTED_VALUE"""),2415)</f>
        <v>2415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IFERROR(__xludf.DUMMYFUNCTION("""COMPUTED_VALUE"""),2472)</f>
        <v>2472</v>
      </c>
      <c r="C62" s="16">
        <f>IFERROR(__xludf.DUMMYFUNCTION("""COMPUTED_VALUE"""),45831.6458333333)</f>
        <v>45831.6458333333</v>
      </c>
      <c r="D62" s="17">
        <f>IFERROR(__xludf.DUMMYFUNCTION("""COMPUTED_VALUE"""),2438)</f>
        <v>2438</v>
      </c>
      <c r="E62" s="16">
        <f>IFERROR(__xludf.DUMMYFUNCTION("""COMPUTED_VALUE"""),45831.6458333333)</f>
        <v>45831.6458333333</v>
      </c>
      <c r="F62" s="17">
        <f>IFERROR(__xludf.DUMMYFUNCTION("""COMPUTED_VALUE"""),790535)</f>
        <v>790535</v>
      </c>
      <c r="G62" s="16">
        <f>IFERROR(__xludf.DUMMYFUNCTION("""COMPUTED_VALUE"""),45831.6458333333)</f>
        <v>45831.6458333333</v>
      </c>
      <c r="H62" s="17">
        <f>IFERROR(__xludf.DUMMYFUNCTION("""COMPUTED_VALUE"""),2492.6)</f>
        <v>2492.6</v>
      </c>
      <c r="I62" s="16">
        <f>IFERROR(__xludf.DUMMYFUNCTION("""COMPUTED_VALUE"""),45831.6458333333)</f>
        <v>45831.6458333333</v>
      </c>
      <c r="J62" s="17">
        <f>IFERROR(__xludf.DUMMYFUNCTION("""COMPUTED_VALUE"""),2421)</f>
        <v>2421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IFERROR(__xludf.DUMMYFUNCTION("""COMPUTED_VALUE"""),2505.6)</f>
        <v>2505.6</v>
      </c>
      <c r="C63" s="16">
        <f>IFERROR(__xludf.DUMMYFUNCTION("""COMPUTED_VALUE"""),45832.6458333333)</f>
        <v>45832.6458333333</v>
      </c>
      <c r="D63" s="17">
        <f>IFERROR(__xludf.DUMMYFUNCTION("""COMPUTED_VALUE"""),2504)</f>
        <v>2504</v>
      </c>
      <c r="E63" s="16">
        <f>IFERROR(__xludf.DUMMYFUNCTION("""COMPUTED_VALUE"""),45832.6458333333)</f>
        <v>45832.6458333333</v>
      </c>
      <c r="F63" s="17">
        <f>IFERROR(__xludf.DUMMYFUNCTION("""COMPUTED_VALUE"""),996405)</f>
        <v>996405</v>
      </c>
      <c r="G63" s="16">
        <f>IFERROR(__xludf.DUMMYFUNCTION("""COMPUTED_VALUE"""),45832.6458333333)</f>
        <v>45832.6458333333</v>
      </c>
      <c r="H63" s="17">
        <f>IFERROR(__xludf.DUMMYFUNCTION("""COMPUTED_VALUE"""),2544.6)</f>
        <v>2544.6</v>
      </c>
      <c r="I63" s="16">
        <f>IFERROR(__xludf.DUMMYFUNCTION("""COMPUTED_VALUE"""),45832.6458333333)</f>
        <v>45832.6458333333</v>
      </c>
      <c r="J63" s="17">
        <f>IFERROR(__xludf.DUMMYFUNCTION("""COMPUTED_VALUE"""),2500.2)</f>
        <v>2500.2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IFERROR(__xludf.DUMMYFUNCTION("""COMPUTED_VALUE"""),2527.2)</f>
        <v>2527.2</v>
      </c>
      <c r="C64" s="16">
        <f>IFERROR(__xludf.DUMMYFUNCTION("""COMPUTED_VALUE"""),45833.6458333333)</f>
        <v>45833.6458333333</v>
      </c>
      <c r="D64" s="17">
        <f>IFERROR(__xludf.DUMMYFUNCTION("""COMPUTED_VALUE"""),2519.9)</f>
        <v>2519.9</v>
      </c>
      <c r="E64" s="16">
        <f>IFERROR(__xludf.DUMMYFUNCTION("""COMPUTED_VALUE"""),45833.6458333333)</f>
        <v>45833.6458333333</v>
      </c>
      <c r="F64" s="17">
        <f>IFERROR(__xludf.DUMMYFUNCTION("""COMPUTED_VALUE"""),921346)</f>
        <v>921346</v>
      </c>
      <c r="G64" s="16">
        <f>IFERROR(__xludf.DUMMYFUNCTION("""COMPUTED_VALUE"""),45833.6458333333)</f>
        <v>45833.6458333333</v>
      </c>
      <c r="H64" s="17">
        <f>IFERROR(__xludf.DUMMYFUNCTION("""COMPUTED_VALUE"""),2541.6)</f>
        <v>2541.6</v>
      </c>
      <c r="I64" s="16">
        <f>IFERROR(__xludf.DUMMYFUNCTION("""COMPUTED_VALUE"""),45833.6458333333)</f>
        <v>45833.6458333333</v>
      </c>
      <c r="J64" s="17">
        <f>IFERROR(__xludf.DUMMYFUNCTION("""COMPUTED_VALUE"""),2512.1)</f>
        <v>2512.1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IFERROR(__xludf.DUMMYFUNCTION("""COMPUTED_VALUE"""),2586.2)</f>
        <v>2586.2</v>
      </c>
      <c r="C65" s="16">
        <f>IFERROR(__xludf.DUMMYFUNCTION("""COMPUTED_VALUE"""),45834.6458333333)</f>
        <v>45834.6458333333</v>
      </c>
      <c r="D65" s="17">
        <f>IFERROR(__xludf.DUMMYFUNCTION("""COMPUTED_VALUE"""),2535)</f>
        <v>2535</v>
      </c>
      <c r="E65" s="16">
        <f>IFERROR(__xludf.DUMMYFUNCTION("""COMPUTED_VALUE"""),45834.6458333333)</f>
        <v>45834.6458333333</v>
      </c>
      <c r="F65" s="17">
        <f>IFERROR(__xludf.DUMMYFUNCTION("""COMPUTED_VALUE"""),1339627)</f>
        <v>1339627</v>
      </c>
      <c r="G65" s="16">
        <f>IFERROR(__xludf.DUMMYFUNCTION("""COMPUTED_VALUE"""),45834.6458333333)</f>
        <v>45834.6458333333</v>
      </c>
      <c r="H65" s="17">
        <f>IFERROR(__xludf.DUMMYFUNCTION("""COMPUTED_VALUE"""),2593.6)</f>
        <v>2593.6</v>
      </c>
      <c r="I65" s="16">
        <f>IFERROR(__xludf.DUMMYFUNCTION("""COMPUTED_VALUE"""),45834.6458333333)</f>
        <v>45834.6458333333</v>
      </c>
      <c r="J65" s="17">
        <f>IFERROR(__xludf.DUMMYFUNCTION("""COMPUTED_VALUE"""),2522.2)</f>
        <v>2522.2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IFERROR(__xludf.DUMMYFUNCTION("""COMPUTED_VALUE"""),2646.3)</f>
        <v>2646.3</v>
      </c>
      <c r="C66" s="16">
        <f>IFERROR(__xludf.DUMMYFUNCTION("""COMPUTED_VALUE"""),45835.6458333333)</f>
        <v>45835.6458333333</v>
      </c>
      <c r="D66" s="17">
        <f>IFERROR(__xludf.DUMMYFUNCTION("""COMPUTED_VALUE"""),2587.7)</f>
        <v>2587.7</v>
      </c>
      <c r="E66" s="16">
        <f>IFERROR(__xludf.DUMMYFUNCTION("""COMPUTED_VALUE"""),45835.6458333333)</f>
        <v>45835.6458333333</v>
      </c>
      <c r="F66" s="17">
        <f>IFERROR(__xludf.DUMMYFUNCTION("""COMPUTED_VALUE"""),4049316)</f>
        <v>4049316</v>
      </c>
      <c r="G66" s="16">
        <f>IFERROR(__xludf.DUMMYFUNCTION("""COMPUTED_VALUE"""),45835.6458333333)</f>
        <v>45835.6458333333</v>
      </c>
      <c r="H66" s="17">
        <f>IFERROR(__xludf.DUMMYFUNCTION("""COMPUTED_VALUE"""),2681.6)</f>
        <v>2681.6</v>
      </c>
      <c r="I66" s="16">
        <f>IFERROR(__xludf.DUMMYFUNCTION("""COMPUTED_VALUE"""),45835.6458333333)</f>
        <v>45835.6458333333</v>
      </c>
      <c r="J66" s="17">
        <f>IFERROR(__xludf.DUMMYFUNCTION("""COMPUTED_VALUE"""),2582)</f>
        <v>2582</v>
      </c>
      <c r="K66" s="3">
        <f t="shared" si="2"/>
        <v>2646.3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IFERROR(__xludf.DUMMYFUNCTION("""COMPUTED_VALUE"""),2619.4)</f>
        <v>2619.4</v>
      </c>
      <c r="C67" s="16">
        <f>IFERROR(__xludf.DUMMYFUNCTION("""COMPUTED_VALUE"""),45838.6458333333)</f>
        <v>45838.6458333333</v>
      </c>
      <c r="D67" s="17">
        <f>IFERROR(__xludf.DUMMYFUNCTION("""COMPUTED_VALUE"""),2650)</f>
        <v>2650</v>
      </c>
      <c r="E67" s="16">
        <f>IFERROR(__xludf.DUMMYFUNCTION("""COMPUTED_VALUE"""),45838.6458333333)</f>
        <v>45838.6458333333</v>
      </c>
      <c r="F67" s="17">
        <f>IFERROR(__xludf.DUMMYFUNCTION("""COMPUTED_VALUE"""),694815)</f>
        <v>694815</v>
      </c>
      <c r="G67" s="16">
        <f>IFERROR(__xludf.DUMMYFUNCTION("""COMPUTED_VALUE"""),45838.6458333333)</f>
        <v>45838.6458333333</v>
      </c>
      <c r="H67" s="17">
        <f>IFERROR(__xludf.DUMMYFUNCTION("""COMPUTED_VALUE"""),2653.9)</f>
        <v>2653.9</v>
      </c>
      <c r="I67" s="16">
        <f>IFERROR(__xludf.DUMMYFUNCTION("""COMPUTED_VALUE"""),45838.6458333333)</f>
        <v>45838.6458333333</v>
      </c>
      <c r="J67" s="17">
        <f>IFERROR(__xludf.DUMMYFUNCTION("""COMPUTED_VALUE"""),2605.9)</f>
        <v>2605.9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IFERROR(__xludf.DUMMYFUNCTION("""COMPUTED_VALUE"""),2621.8)</f>
        <v>2621.8</v>
      </c>
      <c r="C68" s="16">
        <f>IFERROR(__xludf.DUMMYFUNCTION("""COMPUTED_VALUE"""),45839.6458333333)</f>
        <v>45839.6458333333</v>
      </c>
      <c r="D68" s="17">
        <f>IFERROR(__xludf.DUMMYFUNCTION("""COMPUTED_VALUE"""),2624.9)</f>
        <v>2624.9</v>
      </c>
      <c r="E68" s="16">
        <f>IFERROR(__xludf.DUMMYFUNCTION("""COMPUTED_VALUE"""),45839.6458333333)</f>
        <v>45839.6458333333</v>
      </c>
      <c r="F68" s="17">
        <f>IFERROR(__xludf.DUMMYFUNCTION("""COMPUTED_VALUE"""),729197)</f>
        <v>729197</v>
      </c>
      <c r="G68" s="16">
        <f>IFERROR(__xludf.DUMMYFUNCTION("""COMPUTED_VALUE"""),45839.6458333333)</f>
        <v>45839.6458333333</v>
      </c>
      <c r="H68" s="17">
        <f>IFERROR(__xludf.DUMMYFUNCTION("""COMPUTED_VALUE"""),2645)</f>
        <v>2645</v>
      </c>
      <c r="I68" s="16">
        <f>IFERROR(__xludf.DUMMYFUNCTION("""COMPUTED_VALUE"""),45839.6458333333)</f>
        <v>45839.6458333333</v>
      </c>
      <c r="J68" s="17">
        <f>IFERROR(__xludf.DUMMYFUNCTION("""COMPUTED_VALUE"""),2603)</f>
        <v>2603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IFERROR(__xludf.DUMMYFUNCTION("""COMPUTED_VALUE"""),2630.2)</f>
        <v>2630.2</v>
      </c>
      <c r="C69" s="16">
        <f>IFERROR(__xludf.DUMMYFUNCTION("""COMPUTED_VALUE"""),45840.6458333333)</f>
        <v>45840.6458333333</v>
      </c>
      <c r="D69" s="17">
        <f>IFERROR(__xludf.DUMMYFUNCTION("""COMPUTED_VALUE"""),2634)</f>
        <v>2634</v>
      </c>
      <c r="E69" s="16">
        <f>IFERROR(__xludf.DUMMYFUNCTION("""COMPUTED_VALUE"""),45840.6458333333)</f>
        <v>45840.6458333333</v>
      </c>
      <c r="F69" s="17">
        <f>IFERROR(__xludf.DUMMYFUNCTION("""COMPUTED_VALUE"""),621409)</f>
        <v>621409</v>
      </c>
      <c r="G69" s="16">
        <f>IFERROR(__xludf.DUMMYFUNCTION("""COMPUTED_VALUE"""),45840.6458333333)</f>
        <v>45840.6458333333</v>
      </c>
      <c r="H69" s="17">
        <f>IFERROR(__xludf.DUMMYFUNCTION("""COMPUTED_VALUE"""),2646)</f>
        <v>2646</v>
      </c>
      <c r="I69" s="16">
        <f>IFERROR(__xludf.DUMMYFUNCTION("""COMPUTED_VALUE"""),45840.6458333333)</f>
        <v>45840.6458333333</v>
      </c>
      <c r="J69" s="17">
        <f>IFERROR(__xludf.DUMMYFUNCTION("""COMPUTED_VALUE"""),2613.6)</f>
        <v>2613.6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IFERROR(__xludf.DUMMYFUNCTION("""COMPUTED_VALUE"""),2611.2)</f>
        <v>2611.2</v>
      </c>
      <c r="C70" s="16">
        <f>IFERROR(__xludf.DUMMYFUNCTION("""COMPUTED_VALUE"""),45841.6458333333)</f>
        <v>45841.6458333333</v>
      </c>
      <c r="D70" s="17">
        <f>IFERROR(__xludf.DUMMYFUNCTION("""COMPUTED_VALUE"""),2634)</f>
        <v>2634</v>
      </c>
      <c r="E70" s="16">
        <f>IFERROR(__xludf.DUMMYFUNCTION("""COMPUTED_VALUE"""),45841.6458333333)</f>
        <v>45841.6458333333</v>
      </c>
      <c r="F70" s="17">
        <f>IFERROR(__xludf.DUMMYFUNCTION("""COMPUTED_VALUE"""),502724)</f>
        <v>502724</v>
      </c>
      <c r="G70" s="16">
        <f>IFERROR(__xludf.DUMMYFUNCTION("""COMPUTED_VALUE"""),45841.6458333333)</f>
        <v>45841.6458333333</v>
      </c>
      <c r="H70" s="17">
        <f>IFERROR(__xludf.DUMMYFUNCTION("""COMPUTED_VALUE"""),2644)</f>
        <v>2644</v>
      </c>
      <c r="I70" s="16">
        <f>IFERROR(__xludf.DUMMYFUNCTION("""COMPUTED_VALUE"""),45841.6458333333)</f>
        <v>45841.6458333333</v>
      </c>
      <c r="J70" s="17">
        <f>IFERROR(__xludf.DUMMYFUNCTION("""COMPUTED_VALUE"""),2605.1)</f>
        <v>2605.1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IFERROR(__xludf.DUMMYFUNCTION("""COMPUTED_VALUE"""),2599.1)</f>
        <v>2599.1</v>
      </c>
      <c r="C71" s="16">
        <f>IFERROR(__xludf.DUMMYFUNCTION("""COMPUTED_VALUE"""),45842.6458333333)</f>
        <v>45842.6458333333</v>
      </c>
      <c r="D71" s="17">
        <f>IFERROR(__xludf.DUMMYFUNCTION("""COMPUTED_VALUE"""),2617)</f>
        <v>2617</v>
      </c>
      <c r="E71" s="16">
        <f>IFERROR(__xludf.DUMMYFUNCTION("""COMPUTED_VALUE"""),45842.6458333333)</f>
        <v>45842.6458333333</v>
      </c>
      <c r="F71" s="17">
        <f>IFERROR(__xludf.DUMMYFUNCTION("""COMPUTED_VALUE"""),370305)</f>
        <v>370305</v>
      </c>
      <c r="G71" s="16">
        <f>IFERROR(__xludf.DUMMYFUNCTION("""COMPUTED_VALUE"""),45842.6458333333)</f>
        <v>45842.6458333333</v>
      </c>
      <c r="H71" s="17">
        <f>IFERROR(__xludf.DUMMYFUNCTION("""COMPUTED_VALUE"""),2617)</f>
        <v>2617</v>
      </c>
      <c r="I71" s="16">
        <f>IFERROR(__xludf.DUMMYFUNCTION("""COMPUTED_VALUE"""),45842.6458333333)</f>
        <v>45842.6458333333</v>
      </c>
      <c r="J71" s="17">
        <f>IFERROR(__xludf.DUMMYFUNCTION("""COMPUTED_VALUE"""),2582.2)</f>
        <v>2582.2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IFERROR(__xludf.DUMMYFUNCTION("""COMPUTED_VALUE"""),2576.1)</f>
        <v>2576.1</v>
      </c>
      <c r="C72" s="16">
        <f>IFERROR(__xludf.DUMMYFUNCTION("""COMPUTED_VALUE"""),45845.6458333333)</f>
        <v>45845.6458333333</v>
      </c>
      <c r="D72" s="17">
        <f>IFERROR(__xludf.DUMMYFUNCTION("""COMPUTED_VALUE"""),2602)</f>
        <v>2602</v>
      </c>
      <c r="E72" s="16">
        <f>IFERROR(__xludf.DUMMYFUNCTION("""COMPUTED_VALUE"""),45845.6458333333)</f>
        <v>45845.6458333333</v>
      </c>
      <c r="F72" s="17">
        <f>IFERROR(__xludf.DUMMYFUNCTION("""COMPUTED_VALUE"""),412159)</f>
        <v>412159</v>
      </c>
      <c r="G72" s="16">
        <f>IFERROR(__xludf.DUMMYFUNCTION("""COMPUTED_VALUE"""),45845.6458333333)</f>
        <v>45845.6458333333</v>
      </c>
      <c r="H72" s="17">
        <f>IFERROR(__xludf.DUMMYFUNCTION("""COMPUTED_VALUE"""),2605.4)</f>
        <v>2605.4</v>
      </c>
      <c r="I72" s="16">
        <f>IFERROR(__xludf.DUMMYFUNCTION("""COMPUTED_VALUE"""),45845.6458333333)</f>
        <v>45845.6458333333</v>
      </c>
      <c r="J72" s="17">
        <f>IFERROR(__xludf.DUMMYFUNCTION("""COMPUTED_VALUE"""),2572)</f>
        <v>2572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IFERROR(__xludf.DUMMYFUNCTION("""COMPUTED_VALUE"""),2591.3)</f>
        <v>2591.3</v>
      </c>
      <c r="C73" s="16">
        <f>IFERROR(__xludf.DUMMYFUNCTION("""COMPUTED_VALUE"""),45846.6458333333)</f>
        <v>45846.6458333333</v>
      </c>
      <c r="D73" s="17">
        <f>IFERROR(__xludf.DUMMYFUNCTION("""COMPUTED_VALUE"""),2586)</f>
        <v>2586</v>
      </c>
      <c r="E73" s="16">
        <f>IFERROR(__xludf.DUMMYFUNCTION("""COMPUTED_VALUE"""),45846.6458333333)</f>
        <v>45846.6458333333</v>
      </c>
      <c r="F73" s="17">
        <f>IFERROR(__xludf.DUMMYFUNCTION("""COMPUTED_VALUE"""),357701)</f>
        <v>357701</v>
      </c>
      <c r="G73" s="16">
        <f>IFERROR(__xludf.DUMMYFUNCTION("""COMPUTED_VALUE"""),45846.6458333333)</f>
        <v>45846.6458333333</v>
      </c>
      <c r="H73" s="17">
        <f>IFERROR(__xludf.DUMMYFUNCTION("""COMPUTED_VALUE"""),2600)</f>
        <v>2600</v>
      </c>
      <c r="I73" s="16">
        <f>IFERROR(__xludf.DUMMYFUNCTION("""COMPUTED_VALUE"""),45846.6458333333)</f>
        <v>45846.6458333333</v>
      </c>
      <c r="J73" s="17">
        <f>IFERROR(__xludf.DUMMYFUNCTION("""COMPUTED_VALUE"""),2573)</f>
        <v>2573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IFERROR(__xludf.DUMMYFUNCTION("""COMPUTED_VALUE"""),2583)</f>
        <v>2583</v>
      </c>
      <c r="C74" s="16">
        <f>IFERROR(__xludf.DUMMYFUNCTION("""COMPUTED_VALUE"""),45847.6458333333)</f>
        <v>45847.6458333333</v>
      </c>
      <c r="D74" s="17">
        <f>IFERROR(__xludf.DUMMYFUNCTION("""COMPUTED_VALUE"""),2599)</f>
        <v>2599</v>
      </c>
      <c r="E74" s="16">
        <f>IFERROR(__xludf.DUMMYFUNCTION("""COMPUTED_VALUE"""),45847.6458333333)</f>
        <v>45847.6458333333</v>
      </c>
      <c r="F74" s="17">
        <f>IFERROR(__xludf.DUMMYFUNCTION("""COMPUTED_VALUE"""),396880)</f>
        <v>396880</v>
      </c>
      <c r="G74" s="16">
        <f>IFERROR(__xludf.DUMMYFUNCTION("""COMPUTED_VALUE"""),45847.6458333333)</f>
        <v>45847.6458333333</v>
      </c>
      <c r="H74" s="17">
        <f>IFERROR(__xludf.DUMMYFUNCTION("""COMPUTED_VALUE"""),2609.9)</f>
        <v>2609.9</v>
      </c>
      <c r="I74" s="16">
        <f>IFERROR(__xludf.DUMMYFUNCTION("""COMPUTED_VALUE"""),45847.6458333333)</f>
        <v>45847.6458333333</v>
      </c>
      <c r="J74" s="17">
        <f>IFERROR(__xludf.DUMMYFUNCTION("""COMPUTED_VALUE"""),2570)</f>
        <v>2570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IFERROR(__xludf.DUMMYFUNCTION("""COMPUTED_VALUE"""),2581)</f>
        <v>2581</v>
      </c>
      <c r="C75" s="16">
        <f>IFERROR(__xludf.DUMMYFUNCTION("""COMPUTED_VALUE"""),45848.6458333333)</f>
        <v>45848.6458333333</v>
      </c>
      <c r="D75" s="17">
        <f>IFERROR(__xludf.DUMMYFUNCTION("""COMPUTED_VALUE"""),2591)</f>
        <v>2591</v>
      </c>
      <c r="E75" s="16">
        <f>IFERROR(__xludf.DUMMYFUNCTION("""COMPUTED_VALUE"""),45848.6458333333)</f>
        <v>45848.6458333333</v>
      </c>
      <c r="F75" s="17">
        <f>IFERROR(__xludf.DUMMYFUNCTION("""COMPUTED_VALUE"""),306565)</f>
        <v>306565</v>
      </c>
      <c r="G75" s="16">
        <f>IFERROR(__xludf.DUMMYFUNCTION("""COMPUTED_VALUE"""),45848.6458333333)</f>
        <v>45848.6458333333</v>
      </c>
      <c r="H75" s="17">
        <f>IFERROR(__xludf.DUMMYFUNCTION("""COMPUTED_VALUE"""),2604)</f>
        <v>2604</v>
      </c>
      <c r="I75" s="16">
        <f>IFERROR(__xludf.DUMMYFUNCTION("""COMPUTED_VALUE"""),45848.6458333333)</f>
        <v>45848.6458333333</v>
      </c>
      <c r="J75" s="17">
        <f>IFERROR(__xludf.DUMMYFUNCTION("""COMPUTED_VALUE"""),2575)</f>
        <v>2575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IFERROR(__xludf.DUMMYFUNCTION("""COMPUTED_VALUE"""),2558.7)</f>
        <v>2558.7</v>
      </c>
      <c r="C76" s="16">
        <f>IFERROR(__xludf.DUMMYFUNCTION("""COMPUTED_VALUE"""),45849.6458333333)</f>
        <v>45849.6458333333</v>
      </c>
      <c r="D76" s="17">
        <f>IFERROR(__xludf.DUMMYFUNCTION("""COMPUTED_VALUE"""),2575)</f>
        <v>2575</v>
      </c>
      <c r="E76" s="16">
        <f>IFERROR(__xludf.DUMMYFUNCTION("""COMPUTED_VALUE"""),45849.6458333333)</f>
        <v>45849.6458333333</v>
      </c>
      <c r="F76" s="17">
        <f>IFERROR(__xludf.DUMMYFUNCTION("""COMPUTED_VALUE"""),390645)</f>
        <v>390645</v>
      </c>
      <c r="G76" s="16">
        <f>IFERROR(__xludf.DUMMYFUNCTION("""COMPUTED_VALUE"""),45849.6458333333)</f>
        <v>45849.6458333333</v>
      </c>
      <c r="H76" s="17">
        <f>IFERROR(__xludf.DUMMYFUNCTION("""COMPUTED_VALUE"""),2591.9)</f>
        <v>2591.9</v>
      </c>
      <c r="I76" s="16">
        <f>IFERROR(__xludf.DUMMYFUNCTION("""COMPUTED_VALUE"""),45849.6458333333)</f>
        <v>45849.6458333333</v>
      </c>
      <c r="J76" s="17">
        <f>IFERROR(__xludf.DUMMYFUNCTION("""COMPUTED_VALUE"""),2551.9)</f>
        <v>2551.9</v>
      </c>
      <c r="K76" s="3">
        <f t="shared" si="2"/>
        <v>0</v>
      </c>
      <c r="L76" s="3">
        <f t="shared" si="3"/>
        <v>2558.7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IFERROR(__xludf.DUMMYFUNCTION("""COMPUTED_VALUE"""),2581.3)</f>
        <v>2581.3</v>
      </c>
      <c r="C77" s="16">
        <f>IFERROR(__xludf.DUMMYFUNCTION("""COMPUTED_VALUE"""),45852.6458333333)</f>
        <v>45852.6458333333</v>
      </c>
      <c r="D77" s="17">
        <f>IFERROR(__xludf.DUMMYFUNCTION("""COMPUTED_VALUE"""),2555)</f>
        <v>2555</v>
      </c>
      <c r="E77" s="16">
        <f>IFERROR(__xludf.DUMMYFUNCTION("""COMPUTED_VALUE"""),45852.6458333333)</f>
        <v>45852.6458333333</v>
      </c>
      <c r="F77" s="17">
        <f>IFERROR(__xludf.DUMMYFUNCTION("""COMPUTED_VALUE"""),536585)</f>
        <v>536585</v>
      </c>
      <c r="G77" s="16">
        <f>IFERROR(__xludf.DUMMYFUNCTION("""COMPUTED_VALUE"""),45852.6458333333)</f>
        <v>45852.6458333333</v>
      </c>
      <c r="H77" s="17">
        <f>IFERROR(__xludf.DUMMYFUNCTION("""COMPUTED_VALUE"""),2604.8)</f>
        <v>2604.8</v>
      </c>
      <c r="I77" s="16">
        <f>IFERROR(__xludf.DUMMYFUNCTION("""COMPUTED_VALUE"""),45852.6458333333)</f>
        <v>45852.6458333333</v>
      </c>
      <c r="J77" s="17">
        <f>IFERROR(__xludf.DUMMYFUNCTION("""COMPUTED_VALUE"""),2543.5)</f>
        <v>2543.5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IFERROR(__xludf.DUMMYFUNCTION("""COMPUTED_VALUE"""),2598.2)</f>
        <v>2598.2</v>
      </c>
      <c r="C78" s="16">
        <f>IFERROR(__xludf.DUMMYFUNCTION("""COMPUTED_VALUE"""),45853.6458333333)</f>
        <v>45853.6458333333</v>
      </c>
      <c r="D78" s="17">
        <f>IFERROR(__xludf.DUMMYFUNCTION("""COMPUTED_VALUE"""),2588)</f>
        <v>2588</v>
      </c>
      <c r="E78" s="16">
        <f>IFERROR(__xludf.DUMMYFUNCTION("""COMPUTED_VALUE"""),45853.6458333333)</f>
        <v>45853.6458333333</v>
      </c>
      <c r="F78" s="17">
        <f>IFERROR(__xludf.DUMMYFUNCTION("""COMPUTED_VALUE"""),379425)</f>
        <v>379425</v>
      </c>
      <c r="G78" s="16">
        <f>IFERROR(__xludf.DUMMYFUNCTION("""COMPUTED_VALUE"""),45853.6458333333)</f>
        <v>45853.6458333333</v>
      </c>
      <c r="H78" s="17">
        <f>IFERROR(__xludf.DUMMYFUNCTION("""COMPUTED_VALUE"""),2606.9)</f>
        <v>2606.9</v>
      </c>
      <c r="I78" s="16">
        <f>IFERROR(__xludf.DUMMYFUNCTION("""COMPUTED_VALUE"""),45853.6458333333)</f>
        <v>45853.6458333333</v>
      </c>
      <c r="J78" s="17">
        <f>IFERROR(__xludf.DUMMYFUNCTION("""COMPUTED_VALUE"""),2576)</f>
        <v>2576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IFERROR(__xludf.DUMMYFUNCTION("""COMPUTED_VALUE"""),2608.5)</f>
        <v>2608.5</v>
      </c>
      <c r="C79" s="16">
        <f>IFERROR(__xludf.DUMMYFUNCTION("""COMPUTED_VALUE"""),45854.6458333333)</f>
        <v>45854.6458333333</v>
      </c>
      <c r="D79" s="17">
        <f>IFERROR(__xludf.DUMMYFUNCTION("""COMPUTED_VALUE"""),2602.5)</f>
        <v>2602.5</v>
      </c>
      <c r="E79" s="16">
        <f>IFERROR(__xludf.DUMMYFUNCTION("""COMPUTED_VALUE"""),45854.6458333333)</f>
        <v>45854.6458333333</v>
      </c>
      <c r="F79" s="17">
        <f>IFERROR(__xludf.DUMMYFUNCTION("""COMPUTED_VALUE"""),686644)</f>
        <v>686644</v>
      </c>
      <c r="G79" s="16">
        <f>IFERROR(__xludf.DUMMYFUNCTION("""COMPUTED_VALUE"""),45854.6458333333)</f>
        <v>45854.6458333333</v>
      </c>
      <c r="H79" s="17">
        <f>IFERROR(__xludf.DUMMYFUNCTION("""COMPUTED_VALUE"""),2619.5)</f>
        <v>2619.5</v>
      </c>
      <c r="I79" s="16">
        <f>IFERROR(__xludf.DUMMYFUNCTION("""COMPUTED_VALUE"""),45854.6458333333)</f>
        <v>45854.6458333333</v>
      </c>
      <c r="J79" s="17">
        <f>IFERROR(__xludf.DUMMYFUNCTION("""COMPUTED_VALUE"""),2595.5)</f>
        <v>2595.5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IFERROR(__xludf.DUMMYFUNCTION("""COMPUTED_VALUE"""),2616.6)</f>
        <v>2616.6</v>
      </c>
      <c r="C80" s="16">
        <f>IFERROR(__xludf.DUMMYFUNCTION("""COMPUTED_VALUE"""),45855.6458333333)</f>
        <v>45855.6458333333</v>
      </c>
      <c r="D80" s="17">
        <f>IFERROR(__xludf.DUMMYFUNCTION("""COMPUTED_VALUE"""),2612)</f>
        <v>2612</v>
      </c>
      <c r="E80" s="16">
        <f>IFERROR(__xludf.DUMMYFUNCTION("""COMPUTED_VALUE"""),45855.6458333333)</f>
        <v>45855.6458333333</v>
      </c>
      <c r="F80" s="17">
        <f>IFERROR(__xludf.DUMMYFUNCTION("""COMPUTED_VALUE"""),785771)</f>
        <v>785771</v>
      </c>
      <c r="G80" s="16">
        <f>IFERROR(__xludf.DUMMYFUNCTION("""COMPUTED_VALUE"""),45855.6458333333)</f>
        <v>45855.6458333333</v>
      </c>
      <c r="H80" s="17">
        <f>IFERROR(__xludf.DUMMYFUNCTION("""COMPUTED_VALUE"""),2654.5)</f>
        <v>2654.5</v>
      </c>
      <c r="I80" s="16">
        <f>IFERROR(__xludf.DUMMYFUNCTION("""COMPUTED_VALUE"""),45855.6458333333)</f>
        <v>45855.6458333333</v>
      </c>
      <c r="J80" s="17">
        <f>IFERROR(__xludf.DUMMYFUNCTION("""COMPUTED_VALUE"""),2605.3)</f>
        <v>2605.3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IFERROR(__xludf.DUMMYFUNCTION("""COMPUTED_VALUE"""),2596.1)</f>
        <v>2596.1</v>
      </c>
      <c r="C81" s="16">
        <f>IFERROR(__xludf.DUMMYFUNCTION("""COMPUTED_VALUE"""),45856.6458333333)</f>
        <v>45856.6458333333</v>
      </c>
      <c r="D81" s="17">
        <f>IFERROR(__xludf.DUMMYFUNCTION("""COMPUTED_VALUE"""),2612)</f>
        <v>2612</v>
      </c>
      <c r="E81" s="16">
        <f>IFERROR(__xludf.DUMMYFUNCTION("""COMPUTED_VALUE"""),45856.6458333333)</f>
        <v>45856.6458333333</v>
      </c>
      <c r="F81" s="17">
        <f>IFERROR(__xludf.DUMMYFUNCTION("""COMPUTED_VALUE"""),479942)</f>
        <v>479942</v>
      </c>
      <c r="G81" s="16">
        <f>IFERROR(__xludf.DUMMYFUNCTION("""COMPUTED_VALUE"""),45856.6458333333)</f>
        <v>45856.6458333333</v>
      </c>
      <c r="H81" s="17">
        <f>IFERROR(__xludf.DUMMYFUNCTION("""COMPUTED_VALUE"""),2626.7)</f>
        <v>2626.7</v>
      </c>
      <c r="I81" s="16">
        <f>IFERROR(__xludf.DUMMYFUNCTION("""COMPUTED_VALUE"""),45856.6458333333)</f>
        <v>45856.6458333333</v>
      </c>
      <c r="J81" s="17">
        <f>IFERROR(__xludf.DUMMYFUNCTION("""COMPUTED_VALUE"""),2584.2)</f>
        <v>2584.2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IFERROR(__xludf.DUMMYFUNCTION("""COMPUTED_VALUE"""),2619.5)</f>
        <v>2619.5</v>
      </c>
      <c r="C82" s="16">
        <f>IFERROR(__xludf.DUMMYFUNCTION("""COMPUTED_VALUE"""),45859.6458333333)</f>
        <v>45859.6458333333</v>
      </c>
      <c r="D82" s="17">
        <f>IFERROR(__xludf.DUMMYFUNCTION("""COMPUTED_VALUE"""),2596.3)</f>
        <v>2596.3</v>
      </c>
      <c r="E82" s="16">
        <f>IFERROR(__xludf.DUMMYFUNCTION("""COMPUTED_VALUE"""),45859.6458333333)</f>
        <v>45859.6458333333</v>
      </c>
      <c r="F82" s="17">
        <f>IFERROR(__xludf.DUMMYFUNCTION("""COMPUTED_VALUE"""),369782)</f>
        <v>369782</v>
      </c>
      <c r="G82" s="16">
        <f>IFERROR(__xludf.DUMMYFUNCTION("""COMPUTED_VALUE"""),45859.6458333333)</f>
        <v>45859.6458333333</v>
      </c>
      <c r="H82" s="17">
        <f>IFERROR(__xludf.DUMMYFUNCTION("""COMPUTED_VALUE"""),2624.9)</f>
        <v>2624.9</v>
      </c>
      <c r="I82" s="16">
        <f>IFERROR(__xludf.DUMMYFUNCTION("""COMPUTED_VALUE"""),45859.6458333333)</f>
        <v>45859.6458333333</v>
      </c>
      <c r="J82" s="17">
        <f>IFERROR(__xludf.DUMMYFUNCTION("""COMPUTED_VALUE"""),2585)</f>
        <v>2585</v>
      </c>
      <c r="K82" s="3">
        <f t="shared" si="2"/>
        <v>2619.5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IFERROR(__xludf.DUMMYFUNCTION("""COMPUTED_VALUE"""),2587.8)</f>
        <v>2587.8</v>
      </c>
      <c r="C83" s="16">
        <f>IFERROR(__xludf.DUMMYFUNCTION("""COMPUTED_VALUE"""),45860.6458333333)</f>
        <v>45860.6458333333</v>
      </c>
      <c r="D83" s="17">
        <f>IFERROR(__xludf.DUMMYFUNCTION("""COMPUTED_VALUE"""),2626)</f>
        <v>2626</v>
      </c>
      <c r="E83" s="16">
        <f>IFERROR(__xludf.DUMMYFUNCTION("""COMPUTED_VALUE"""),45860.6458333333)</f>
        <v>45860.6458333333</v>
      </c>
      <c r="F83" s="17">
        <f>IFERROR(__xludf.DUMMYFUNCTION("""COMPUTED_VALUE"""),387055)</f>
        <v>387055</v>
      </c>
      <c r="G83" s="16">
        <f>IFERROR(__xludf.DUMMYFUNCTION("""COMPUTED_VALUE"""),45860.6458333333)</f>
        <v>45860.6458333333</v>
      </c>
      <c r="H83" s="17">
        <f>IFERROR(__xludf.DUMMYFUNCTION("""COMPUTED_VALUE"""),2630)</f>
        <v>2630</v>
      </c>
      <c r="I83" s="16">
        <f>IFERROR(__xludf.DUMMYFUNCTION("""COMPUTED_VALUE"""),45860.6458333333)</f>
        <v>45860.6458333333</v>
      </c>
      <c r="J83" s="17">
        <f>IFERROR(__xludf.DUMMYFUNCTION("""COMPUTED_VALUE"""),2581.6)</f>
        <v>2581.6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IFERROR(__xludf.DUMMYFUNCTION("""COMPUTED_VALUE"""),2614.5)</f>
        <v>2614.5</v>
      </c>
      <c r="C84" s="16">
        <f>IFERROR(__xludf.DUMMYFUNCTION("""COMPUTED_VALUE"""),45861.6458333333)</f>
        <v>45861.6458333333</v>
      </c>
      <c r="D84" s="17">
        <f>IFERROR(__xludf.DUMMYFUNCTION("""COMPUTED_VALUE"""),2600.7)</f>
        <v>2600.7</v>
      </c>
      <c r="E84" s="16">
        <f>IFERROR(__xludf.DUMMYFUNCTION("""COMPUTED_VALUE"""),45861.6458333333)</f>
        <v>45861.6458333333</v>
      </c>
      <c r="F84" s="17">
        <f>IFERROR(__xludf.DUMMYFUNCTION("""COMPUTED_VALUE"""),316424)</f>
        <v>316424</v>
      </c>
      <c r="G84" s="16">
        <f>IFERROR(__xludf.DUMMYFUNCTION("""COMPUTED_VALUE"""),45861.6458333333)</f>
        <v>45861.6458333333</v>
      </c>
      <c r="H84" s="17">
        <f>IFERROR(__xludf.DUMMYFUNCTION("""COMPUTED_VALUE"""),2625.9)</f>
        <v>2625.9</v>
      </c>
      <c r="I84" s="16">
        <f>IFERROR(__xludf.DUMMYFUNCTION("""COMPUTED_VALUE"""),45861.6458333333)</f>
        <v>45861.6458333333</v>
      </c>
      <c r="J84" s="17">
        <f>IFERROR(__xludf.DUMMYFUNCTION("""COMPUTED_VALUE"""),2593.5)</f>
        <v>2593.5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IFERROR(__xludf.DUMMYFUNCTION("""COMPUTED_VALUE"""),2608.4)</f>
        <v>2608.4</v>
      </c>
      <c r="C85" s="16">
        <f>IFERROR(__xludf.DUMMYFUNCTION("""COMPUTED_VALUE"""),45862.6458333333)</f>
        <v>45862.6458333333</v>
      </c>
      <c r="D85" s="17">
        <f>IFERROR(__xludf.DUMMYFUNCTION("""COMPUTED_VALUE"""),2615.4)</f>
        <v>2615.4</v>
      </c>
      <c r="E85" s="16">
        <f>IFERROR(__xludf.DUMMYFUNCTION("""COMPUTED_VALUE"""),45862.6458333333)</f>
        <v>45862.6458333333</v>
      </c>
      <c r="F85" s="17">
        <f>IFERROR(__xludf.DUMMYFUNCTION("""COMPUTED_VALUE"""),253782)</f>
        <v>253782</v>
      </c>
      <c r="G85" s="16">
        <f>IFERROR(__xludf.DUMMYFUNCTION("""COMPUTED_VALUE"""),45862.6458333333)</f>
        <v>45862.6458333333</v>
      </c>
      <c r="H85" s="17">
        <f>IFERROR(__xludf.DUMMYFUNCTION("""COMPUTED_VALUE"""),2624.2)</f>
        <v>2624.2</v>
      </c>
      <c r="I85" s="16">
        <f>IFERROR(__xludf.DUMMYFUNCTION("""COMPUTED_VALUE"""),45862.6458333333)</f>
        <v>45862.6458333333</v>
      </c>
      <c r="J85" s="17">
        <f>IFERROR(__xludf.DUMMYFUNCTION("""COMPUTED_VALUE"""),2595)</f>
        <v>2595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IFERROR(__xludf.DUMMYFUNCTION("""COMPUTED_VALUE"""),2550.1)</f>
        <v>2550.1</v>
      </c>
      <c r="C86" s="16">
        <f>IFERROR(__xludf.DUMMYFUNCTION("""COMPUTED_VALUE"""),45863.6458333333)</f>
        <v>45863.6458333333</v>
      </c>
      <c r="D86" s="17">
        <f>IFERROR(__xludf.DUMMYFUNCTION("""COMPUTED_VALUE"""),2605)</f>
        <v>2605</v>
      </c>
      <c r="E86" s="16">
        <f>IFERROR(__xludf.DUMMYFUNCTION("""COMPUTED_VALUE"""),45863.6458333333)</f>
        <v>45863.6458333333</v>
      </c>
      <c r="F86" s="17">
        <f>IFERROR(__xludf.DUMMYFUNCTION("""COMPUTED_VALUE"""),424612)</f>
        <v>424612</v>
      </c>
      <c r="G86" s="16">
        <f>IFERROR(__xludf.DUMMYFUNCTION("""COMPUTED_VALUE"""),45863.6458333333)</f>
        <v>45863.6458333333</v>
      </c>
      <c r="H86" s="17">
        <f>IFERROR(__xludf.DUMMYFUNCTION("""COMPUTED_VALUE"""),2617)</f>
        <v>2617</v>
      </c>
      <c r="I86" s="16">
        <f>IFERROR(__xludf.DUMMYFUNCTION("""COMPUTED_VALUE"""),45863.6458333333)</f>
        <v>45863.6458333333</v>
      </c>
      <c r="J86" s="17">
        <f>IFERROR(__xludf.DUMMYFUNCTION("""COMPUTED_VALUE"""),2544.1)</f>
        <v>2544.1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IFERROR(__xludf.DUMMYFUNCTION("""COMPUTED_VALUE"""),2522.3)</f>
        <v>2522.3</v>
      </c>
      <c r="C87" s="16">
        <f>IFERROR(__xludf.DUMMYFUNCTION("""COMPUTED_VALUE"""),45866.6458333333)</f>
        <v>45866.6458333333</v>
      </c>
      <c r="D87" s="17">
        <f>IFERROR(__xludf.DUMMYFUNCTION("""COMPUTED_VALUE"""),2549)</f>
        <v>2549</v>
      </c>
      <c r="E87" s="16">
        <f>IFERROR(__xludf.DUMMYFUNCTION("""COMPUTED_VALUE"""),45866.6458333333)</f>
        <v>45866.6458333333</v>
      </c>
      <c r="F87" s="17">
        <f>IFERROR(__xludf.DUMMYFUNCTION("""COMPUTED_VALUE"""),428409)</f>
        <v>428409</v>
      </c>
      <c r="G87" s="16">
        <f>IFERROR(__xludf.DUMMYFUNCTION("""COMPUTED_VALUE"""),45866.6458333333)</f>
        <v>45866.6458333333</v>
      </c>
      <c r="H87" s="17">
        <f>IFERROR(__xludf.DUMMYFUNCTION("""COMPUTED_VALUE"""),2585)</f>
        <v>2585</v>
      </c>
      <c r="I87" s="16">
        <f>IFERROR(__xludf.DUMMYFUNCTION("""COMPUTED_VALUE"""),45866.6458333333)</f>
        <v>45866.6458333333</v>
      </c>
      <c r="J87" s="17">
        <f>IFERROR(__xludf.DUMMYFUNCTION("""COMPUTED_VALUE"""),2512.6)</f>
        <v>2512.6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IFERROR(__xludf.DUMMYFUNCTION("""COMPUTED_VALUE"""),2547.9)</f>
        <v>2547.9</v>
      </c>
      <c r="C88" s="16">
        <f>IFERROR(__xludf.DUMMYFUNCTION("""COMPUTED_VALUE"""),45867.6458333333)</f>
        <v>45867.6458333333</v>
      </c>
      <c r="D88" s="17">
        <f>IFERROR(__xludf.DUMMYFUNCTION("""COMPUTED_VALUE"""),2529)</f>
        <v>2529</v>
      </c>
      <c r="E88" s="16">
        <f>IFERROR(__xludf.DUMMYFUNCTION("""COMPUTED_VALUE"""),45867.6458333333)</f>
        <v>45867.6458333333</v>
      </c>
      <c r="F88" s="17">
        <f>IFERROR(__xludf.DUMMYFUNCTION("""COMPUTED_VALUE"""),424781)</f>
        <v>424781</v>
      </c>
      <c r="G88" s="16">
        <f>IFERROR(__xludf.DUMMYFUNCTION("""COMPUTED_VALUE"""),45867.6458333333)</f>
        <v>45867.6458333333</v>
      </c>
      <c r="H88" s="17">
        <f>IFERROR(__xludf.DUMMYFUNCTION("""COMPUTED_VALUE"""),2557.4)</f>
        <v>2557.4</v>
      </c>
      <c r="I88" s="16">
        <f>IFERROR(__xludf.DUMMYFUNCTION("""COMPUTED_VALUE"""),45867.6458333333)</f>
        <v>45867.6458333333</v>
      </c>
      <c r="J88" s="17">
        <f>IFERROR(__xludf.DUMMYFUNCTION("""COMPUTED_VALUE"""),2507.5)</f>
        <v>2507.5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IFERROR(__xludf.DUMMYFUNCTION("""COMPUTED_VALUE"""),2532.9)</f>
        <v>2532.9</v>
      </c>
      <c r="C89" s="16">
        <f>IFERROR(__xludf.DUMMYFUNCTION("""COMPUTED_VALUE"""),45868.6458333333)</f>
        <v>45868.6458333333</v>
      </c>
      <c r="D89" s="17">
        <f>IFERROR(__xludf.DUMMYFUNCTION("""COMPUTED_VALUE"""),2547.9)</f>
        <v>2547.9</v>
      </c>
      <c r="E89" s="16">
        <f>IFERROR(__xludf.DUMMYFUNCTION("""COMPUTED_VALUE"""),45868.6458333333)</f>
        <v>45868.6458333333</v>
      </c>
      <c r="F89" s="17">
        <f>IFERROR(__xludf.DUMMYFUNCTION("""COMPUTED_VALUE"""),262063)</f>
        <v>262063</v>
      </c>
      <c r="G89" s="16">
        <f>IFERROR(__xludf.DUMMYFUNCTION("""COMPUTED_VALUE"""),45868.6458333333)</f>
        <v>45868.6458333333</v>
      </c>
      <c r="H89" s="17">
        <f>IFERROR(__xludf.DUMMYFUNCTION("""COMPUTED_VALUE"""),2552.6)</f>
        <v>2552.6</v>
      </c>
      <c r="I89" s="16">
        <f>IFERROR(__xludf.DUMMYFUNCTION("""COMPUTED_VALUE"""),45868.6458333333)</f>
        <v>45868.6458333333</v>
      </c>
      <c r="J89" s="17">
        <f>IFERROR(__xludf.DUMMYFUNCTION("""COMPUTED_VALUE"""),2525)</f>
        <v>2525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IFERROR(__xludf.DUMMYFUNCTION("""COMPUTED_VALUE"""),2430.7)</f>
        <v>2430.7</v>
      </c>
      <c r="C90" s="16">
        <f>IFERROR(__xludf.DUMMYFUNCTION("""COMPUTED_VALUE"""),45869.6458333333)</f>
        <v>45869.6458333333</v>
      </c>
      <c r="D90" s="17">
        <f>IFERROR(__xludf.DUMMYFUNCTION("""COMPUTED_VALUE"""),2509.9)</f>
        <v>2509.9</v>
      </c>
      <c r="E90" s="16">
        <f>IFERROR(__xludf.DUMMYFUNCTION("""COMPUTED_VALUE"""),45869.6458333333)</f>
        <v>45869.6458333333</v>
      </c>
      <c r="F90" s="17">
        <f>IFERROR(__xludf.DUMMYFUNCTION("""COMPUTED_VALUE"""),1457616)</f>
        <v>1457616</v>
      </c>
      <c r="G90" s="16">
        <f>IFERROR(__xludf.DUMMYFUNCTION("""COMPUTED_VALUE"""),45869.6458333333)</f>
        <v>45869.6458333333</v>
      </c>
      <c r="H90" s="17">
        <f>IFERROR(__xludf.DUMMYFUNCTION("""COMPUTED_VALUE"""),2520)</f>
        <v>2520</v>
      </c>
      <c r="I90" s="16">
        <f>IFERROR(__xludf.DUMMYFUNCTION("""COMPUTED_VALUE"""),45869.6458333333)</f>
        <v>45869.6458333333</v>
      </c>
      <c r="J90" s="17">
        <f>IFERROR(__xludf.DUMMYFUNCTION("""COMPUTED_VALUE"""),2422.6)</f>
        <v>2422.6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IFERROR(__xludf.DUMMYFUNCTION("""COMPUTED_VALUE"""),2350.9)</f>
        <v>2350.9</v>
      </c>
      <c r="C91" s="16">
        <f>IFERROR(__xludf.DUMMYFUNCTION("""COMPUTED_VALUE"""),45870.6458333333)</f>
        <v>45870.6458333333</v>
      </c>
      <c r="D91" s="17">
        <f>IFERROR(__xludf.DUMMYFUNCTION("""COMPUTED_VALUE"""),2425)</f>
        <v>2425</v>
      </c>
      <c r="E91" s="16">
        <f>IFERROR(__xludf.DUMMYFUNCTION("""COMPUTED_VALUE"""),45870.6458333333)</f>
        <v>45870.6458333333</v>
      </c>
      <c r="F91" s="17">
        <f>IFERROR(__xludf.DUMMYFUNCTION("""COMPUTED_VALUE"""),976341)</f>
        <v>976341</v>
      </c>
      <c r="G91" s="16">
        <f>IFERROR(__xludf.DUMMYFUNCTION("""COMPUTED_VALUE"""),45870.6458333333)</f>
        <v>45870.6458333333</v>
      </c>
      <c r="H91" s="17">
        <f>IFERROR(__xludf.DUMMYFUNCTION("""COMPUTED_VALUE"""),2444.9)</f>
        <v>2444.9</v>
      </c>
      <c r="I91" s="16">
        <f>IFERROR(__xludf.DUMMYFUNCTION("""COMPUTED_VALUE"""),45870.6458333333)</f>
        <v>45870.6458333333</v>
      </c>
      <c r="J91" s="17">
        <f>IFERROR(__xludf.DUMMYFUNCTION("""COMPUTED_VALUE"""),2333)</f>
        <v>2333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IFERROR(__xludf.DUMMYFUNCTION("""COMPUTED_VALUE"""),2363.6)</f>
        <v>2363.6</v>
      </c>
      <c r="C92" s="16">
        <f>IFERROR(__xludf.DUMMYFUNCTION("""COMPUTED_VALUE"""),45873.6458333333)</f>
        <v>45873.6458333333</v>
      </c>
      <c r="D92" s="17">
        <f>IFERROR(__xludf.DUMMYFUNCTION("""COMPUTED_VALUE"""),2360)</f>
        <v>2360</v>
      </c>
      <c r="E92" s="16">
        <f>IFERROR(__xludf.DUMMYFUNCTION("""COMPUTED_VALUE"""),45873.6458333333)</f>
        <v>45873.6458333333</v>
      </c>
      <c r="F92" s="17">
        <f>IFERROR(__xludf.DUMMYFUNCTION("""COMPUTED_VALUE"""),576426)</f>
        <v>576426</v>
      </c>
      <c r="G92" s="16">
        <f>IFERROR(__xludf.DUMMYFUNCTION("""COMPUTED_VALUE"""),45873.6458333333)</f>
        <v>45873.6458333333</v>
      </c>
      <c r="H92" s="17">
        <f>IFERROR(__xludf.DUMMYFUNCTION("""COMPUTED_VALUE"""),2374.7)</f>
        <v>2374.7</v>
      </c>
      <c r="I92" s="16">
        <f>IFERROR(__xludf.DUMMYFUNCTION("""COMPUTED_VALUE"""),45873.6458333333)</f>
        <v>45873.6458333333</v>
      </c>
      <c r="J92" s="17">
        <f>IFERROR(__xludf.DUMMYFUNCTION("""COMPUTED_VALUE"""),2338.2)</f>
        <v>2338.2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IFERROR(__xludf.DUMMYFUNCTION("""COMPUTED_VALUE"""),2328.2)</f>
        <v>2328.2</v>
      </c>
      <c r="C93" s="16">
        <f>IFERROR(__xludf.DUMMYFUNCTION("""COMPUTED_VALUE"""),45874.6458333333)</f>
        <v>45874.6458333333</v>
      </c>
      <c r="D93" s="17">
        <f>IFERROR(__xludf.DUMMYFUNCTION("""COMPUTED_VALUE"""),2370)</f>
        <v>2370</v>
      </c>
      <c r="E93" s="16">
        <f>IFERROR(__xludf.DUMMYFUNCTION("""COMPUTED_VALUE"""),45874.6458333333)</f>
        <v>45874.6458333333</v>
      </c>
      <c r="F93" s="17">
        <f>IFERROR(__xludf.DUMMYFUNCTION("""COMPUTED_VALUE"""),576742)</f>
        <v>576742</v>
      </c>
      <c r="G93" s="16">
        <f>IFERROR(__xludf.DUMMYFUNCTION("""COMPUTED_VALUE"""),45874.6458333333)</f>
        <v>45874.6458333333</v>
      </c>
      <c r="H93" s="17">
        <f>IFERROR(__xludf.DUMMYFUNCTION("""COMPUTED_VALUE"""),2370)</f>
        <v>2370</v>
      </c>
      <c r="I93" s="16">
        <f>IFERROR(__xludf.DUMMYFUNCTION("""COMPUTED_VALUE"""),45874.6458333333)</f>
        <v>45874.6458333333</v>
      </c>
      <c r="J93" s="17">
        <f>IFERROR(__xludf.DUMMYFUNCTION("""COMPUTED_VALUE"""),2316)</f>
        <v>2316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IFERROR(__xludf.DUMMYFUNCTION("""COMPUTED_VALUE"""),2300.3)</f>
        <v>2300.3</v>
      </c>
      <c r="C94" s="16">
        <f>IFERROR(__xludf.DUMMYFUNCTION("""COMPUTED_VALUE"""),45875.6458333333)</f>
        <v>45875.6458333333</v>
      </c>
      <c r="D94" s="17">
        <f>IFERROR(__xludf.DUMMYFUNCTION("""COMPUTED_VALUE"""),2333.9)</f>
        <v>2333.9</v>
      </c>
      <c r="E94" s="16">
        <f>IFERROR(__xludf.DUMMYFUNCTION("""COMPUTED_VALUE"""),45875.6458333333)</f>
        <v>45875.6458333333</v>
      </c>
      <c r="F94" s="17">
        <f>IFERROR(__xludf.DUMMYFUNCTION("""COMPUTED_VALUE"""),631582)</f>
        <v>631582</v>
      </c>
      <c r="G94" s="16">
        <f>IFERROR(__xludf.DUMMYFUNCTION("""COMPUTED_VALUE"""),45875.6458333333)</f>
        <v>45875.6458333333</v>
      </c>
      <c r="H94" s="17">
        <f>IFERROR(__xludf.DUMMYFUNCTION("""COMPUTED_VALUE"""),2347.9)</f>
        <v>2347.9</v>
      </c>
      <c r="I94" s="16">
        <f>IFERROR(__xludf.DUMMYFUNCTION("""COMPUTED_VALUE"""),45875.6458333333)</f>
        <v>45875.6458333333</v>
      </c>
      <c r="J94" s="17">
        <f>IFERROR(__xludf.DUMMYFUNCTION("""COMPUTED_VALUE"""),2296)</f>
        <v>2296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IFERROR(__xludf.DUMMYFUNCTION("""COMPUTED_VALUE"""),2249.8)</f>
        <v>2249.8</v>
      </c>
      <c r="C95" s="16">
        <f>IFERROR(__xludf.DUMMYFUNCTION("""COMPUTED_VALUE"""),45876.6458333333)</f>
        <v>45876.6458333333</v>
      </c>
      <c r="D95" s="17">
        <f>IFERROR(__xludf.DUMMYFUNCTION("""COMPUTED_VALUE"""),2290)</f>
        <v>2290</v>
      </c>
      <c r="E95" s="16">
        <f>IFERROR(__xludf.DUMMYFUNCTION("""COMPUTED_VALUE"""),45876.6458333333)</f>
        <v>45876.6458333333</v>
      </c>
      <c r="F95" s="17">
        <f>IFERROR(__xludf.DUMMYFUNCTION("""COMPUTED_VALUE"""),1529410)</f>
        <v>1529410</v>
      </c>
      <c r="G95" s="16">
        <f>IFERROR(__xludf.DUMMYFUNCTION("""COMPUTED_VALUE"""),45876.6458333333)</f>
        <v>45876.6458333333</v>
      </c>
      <c r="H95" s="17">
        <f>IFERROR(__xludf.DUMMYFUNCTION("""COMPUTED_VALUE"""),2295)</f>
        <v>2295</v>
      </c>
      <c r="I95" s="16">
        <f>IFERROR(__xludf.DUMMYFUNCTION("""COMPUTED_VALUE"""),45876.6458333333)</f>
        <v>45876.6458333333</v>
      </c>
      <c r="J95" s="17">
        <f>IFERROR(__xludf.DUMMYFUNCTION("""COMPUTED_VALUE"""),2202.8)</f>
        <v>2202.8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IFERROR(__xludf.DUMMYFUNCTION("""COMPUTED_VALUE"""),2178.1)</f>
        <v>2178.1</v>
      </c>
      <c r="C96" s="16">
        <f>IFERROR(__xludf.DUMMYFUNCTION("""COMPUTED_VALUE"""),45877.6458333333)</f>
        <v>45877.6458333333</v>
      </c>
      <c r="D96" s="17">
        <f>IFERROR(__xludf.DUMMYFUNCTION("""COMPUTED_VALUE"""),2247)</f>
        <v>2247</v>
      </c>
      <c r="E96" s="16">
        <f>IFERROR(__xludf.DUMMYFUNCTION("""COMPUTED_VALUE"""),45877.6458333333)</f>
        <v>45877.6458333333</v>
      </c>
      <c r="F96" s="17">
        <f>IFERROR(__xludf.DUMMYFUNCTION("""COMPUTED_VALUE"""),2552736)</f>
        <v>2552736</v>
      </c>
      <c r="G96" s="16">
        <f>IFERROR(__xludf.DUMMYFUNCTION("""COMPUTED_VALUE"""),45877.6458333333)</f>
        <v>45877.6458333333</v>
      </c>
      <c r="H96" s="17">
        <f>IFERROR(__xludf.DUMMYFUNCTION("""COMPUTED_VALUE"""),2260.9)</f>
        <v>2260.9</v>
      </c>
      <c r="I96" s="16">
        <f>IFERROR(__xludf.DUMMYFUNCTION("""COMPUTED_VALUE"""),45877.6458333333)</f>
        <v>45877.6458333333</v>
      </c>
      <c r="J96" s="17">
        <f>IFERROR(__xludf.DUMMYFUNCTION("""COMPUTED_VALUE"""),2164.8)</f>
        <v>2164.8</v>
      </c>
      <c r="K96" s="3">
        <f t="shared" si="2"/>
        <v>0</v>
      </c>
      <c r="L96" s="3">
        <f t="shared" si="3"/>
        <v>2178.1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IFERROR(__xludf.DUMMYFUNCTION("""COMPUTED_VALUE"""),2283.4)</f>
        <v>2283.4</v>
      </c>
      <c r="C97" s="16">
        <f>IFERROR(__xludf.DUMMYFUNCTION("""COMPUTED_VALUE"""),45880.6458333333)</f>
        <v>45880.6458333333</v>
      </c>
      <c r="D97" s="17">
        <f>IFERROR(__xludf.DUMMYFUNCTION("""COMPUTED_VALUE"""),2196)</f>
        <v>2196</v>
      </c>
      <c r="E97" s="16">
        <f>IFERROR(__xludf.DUMMYFUNCTION("""COMPUTED_VALUE"""),45880.6458333333)</f>
        <v>45880.6458333333</v>
      </c>
      <c r="F97" s="17">
        <f>IFERROR(__xludf.DUMMYFUNCTION("""COMPUTED_VALUE"""),2376286)</f>
        <v>2376286</v>
      </c>
      <c r="G97" s="16">
        <f>IFERROR(__xludf.DUMMYFUNCTION("""COMPUTED_VALUE"""),45880.6458333333)</f>
        <v>45880.6458333333</v>
      </c>
      <c r="H97" s="17">
        <f>IFERROR(__xludf.DUMMYFUNCTION("""COMPUTED_VALUE"""),2302)</f>
        <v>2302</v>
      </c>
      <c r="I97" s="16">
        <f>IFERROR(__xludf.DUMMYFUNCTION("""COMPUTED_VALUE"""),45880.6458333333)</f>
        <v>45880.6458333333</v>
      </c>
      <c r="J97" s="17">
        <f>IFERROR(__xludf.DUMMYFUNCTION("""COMPUTED_VALUE"""),2183)</f>
        <v>2183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IFERROR(__xludf.DUMMYFUNCTION("""COMPUTED_VALUE"""),2288.2)</f>
        <v>2288.2</v>
      </c>
      <c r="C98" s="16">
        <f>IFERROR(__xludf.DUMMYFUNCTION("""COMPUTED_VALUE"""),45881.6458333333)</f>
        <v>45881.6458333333</v>
      </c>
      <c r="D98" s="17">
        <f>IFERROR(__xludf.DUMMYFUNCTION("""COMPUTED_VALUE"""),2280.1)</f>
        <v>2280.1</v>
      </c>
      <c r="E98" s="16">
        <f>IFERROR(__xludf.DUMMYFUNCTION("""COMPUTED_VALUE"""),45881.6458333333)</f>
        <v>45881.6458333333</v>
      </c>
      <c r="F98" s="17">
        <f>IFERROR(__xludf.DUMMYFUNCTION("""COMPUTED_VALUE"""),1075526)</f>
        <v>1075526</v>
      </c>
      <c r="G98" s="16">
        <f>IFERROR(__xludf.DUMMYFUNCTION("""COMPUTED_VALUE"""),45881.6458333333)</f>
        <v>45881.6458333333</v>
      </c>
      <c r="H98" s="17">
        <f>IFERROR(__xludf.DUMMYFUNCTION("""COMPUTED_VALUE"""),2314.7)</f>
        <v>2314.7</v>
      </c>
      <c r="I98" s="16">
        <f>IFERROR(__xludf.DUMMYFUNCTION("""COMPUTED_VALUE"""),45881.6458333333)</f>
        <v>45881.6458333333</v>
      </c>
      <c r="J98" s="17">
        <f>IFERROR(__xludf.DUMMYFUNCTION("""COMPUTED_VALUE"""),2267)</f>
        <v>2267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IFERROR(__xludf.DUMMYFUNCTION("""COMPUTED_VALUE"""),2280.1)</f>
        <v>2280.1</v>
      </c>
      <c r="C99" s="16">
        <f>IFERROR(__xludf.DUMMYFUNCTION("""COMPUTED_VALUE"""),45882.6458333333)</f>
        <v>45882.6458333333</v>
      </c>
      <c r="D99" s="17">
        <f>IFERROR(__xludf.DUMMYFUNCTION("""COMPUTED_VALUE"""),2299)</f>
        <v>2299</v>
      </c>
      <c r="E99" s="16">
        <f>IFERROR(__xludf.DUMMYFUNCTION("""COMPUTED_VALUE"""),45882.6458333333)</f>
        <v>45882.6458333333</v>
      </c>
      <c r="F99" s="17">
        <f>IFERROR(__xludf.DUMMYFUNCTION("""COMPUTED_VALUE"""),833679)</f>
        <v>833679</v>
      </c>
      <c r="G99" s="16">
        <f>IFERROR(__xludf.DUMMYFUNCTION("""COMPUTED_VALUE"""),45882.6458333333)</f>
        <v>45882.6458333333</v>
      </c>
      <c r="H99" s="17">
        <f>IFERROR(__xludf.DUMMYFUNCTION("""COMPUTED_VALUE"""),2314.9)</f>
        <v>2314.9</v>
      </c>
      <c r="I99" s="16">
        <f>IFERROR(__xludf.DUMMYFUNCTION("""COMPUTED_VALUE"""),45882.6458333333)</f>
        <v>45882.6458333333</v>
      </c>
      <c r="J99" s="17">
        <f>IFERROR(__xludf.DUMMYFUNCTION("""COMPUTED_VALUE"""),2245.4)</f>
        <v>2245.4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IFERROR(__xludf.DUMMYFUNCTION("""COMPUTED_VALUE"""),2281.6)</f>
        <v>2281.6</v>
      </c>
      <c r="C100" s="16">
        <f>IFERROR(__xludf.DUMMYFUNCTION("""COMPUTED_VALUE"""),45883.6458333333)</f>
        <v>45883.6458333333</v>
      </c>
      <c r="D100" s="17">
        <f>IFERROR(__xludf.DUMMYFUNCTION("""COMPUTED_VALUE"""),2288)</f>
        <v>2288</v>
      </c>
      <c r="E100" s="16">
        <f>IFERROR(__xludf.DUMMYFUNCTION("""COMPUTED_VALUE"""),45883.6458333333)</f>
        <v>45883.6458333333</v>
      </c>
      <c r="F100" s="17">
        <f>IFERROR(__xludf.DUMMYFUNCTION("""COMPUTED_VALUE"""),998109)</f>
        <v>998109</v>
      </c>
      <c r="G100" s="16">
        <f>IFERROR(__xludf.DUMMYFUNCTION("""COMPUTED_VALUE"""),45883.6458333333)</f>
        <v>45883.6458333333</v>
      </c>
      <c r="H100" s="17">
        <f>IFERROR(__xludf.DUMMYFUNCTION("""COMPUTED_VALUE"""),2304)</f>
        <v>2304</v>
      </c>
      <c r="I100" s="16">
        <f>IFERROR(__xludf.DUMMYFUNCTION("""COMPUTED_VALUE"""),45883.6458333333)</f>
        <v>45883.6458333333</v>
      </c>
      <c r="J100" s="17">
        <f>IFERROR(__xludf.DUMMYFUNCTION("""COMPUTED_VALUE"""),2267.7)</f>
        <v>2267.7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IFERROR(__xludf.DUMMYFUNCTION("""COMPUTED_VALUE"""),2333.6)</f>
        <v>2333.6</v>
      </c>
      <c r="C101" s="16">
        <f>IFERROR(__xludf.DUMMYFUNCTION("""COMPUTED_VALUE"""),45887.6458333333)</f>
        <v>45887.6458333333</v>
      </c>
      <c r="D101" s="17">
        <f>IFERROR(__xludf.DUMMYFUNCTION("""COMPUTED_VALUE"""),2309.6)</f>
        <v>2309.6</v>
      </c>
      <c r="E101" s="16">
        <f>IFERROR(__xludf.DUMMYFUNCTION("""COMPUTED_VALUE"""),45887.6458333333)</f>
        <v>45887.6458333333</v>
      </c>
      <c r="F101" s="17">
        <f>IFERROR(__xludf.DUMMYFUNCTION("""COMPUTED_VALUE"""),988629)</f>
        <v>988629</v>
      </c>
      <c r="G101" s="16">
        <f>IFERROR(__xludf.DUMMYFUNCTION("""COMPUTED_VALUE"""),45887.6458333333)</f>
        <v>45887.6458333333</v>
      </c>
      <c r="H101" s="17">
        <f>IFERROR(__xludf.DUMMYFUNCTION("""COMPUTED_VALUE"""),2360)</f>
        <v>2360</v>
      </c>
      <c r="I101" s="16">
        <f>IFERROR(__xludf.DUMMYFUNCTION("""COMPUTED_VALUE"""),45887.6458333333)</f>
        <v>45887.6458333333</v>
      </c>
      <c r="J101" s="17">
        <f>IFERROR(__xludf.DUMMYFUNCTION("""COMPUTED_VALUE"""),2300)</f>
        <v>2300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IFERROR(__xludf.DUMMYFUNCTION("""COMPUTED_VALUE"""),2388.4)</f>
        <v>2388.4</v>
      </c>
      <c r="C102" s="16">
        <f>IFERROR(__xludf.DUMMYFUNCTION("""COMPUTED_VALUE"""),45888.6458333333)</f>
        <v>45888.6458333333</v>
      </c>
      <c r="D102" s="17">
        <f>IFERROR(__xludf.DUMMYFUNCTION("""COMPUTED_VALUE"""),2339.9)</f>
        <v>2339.9</v>
      </c>
      <c r="E102" s="16">
        <f>IFERROR(__xludf.DUMMYFUNCTION("""COMPUTED_VALUE"""),45888.6458333333)</f>
        <v>45888.6458333333</v>
      </c>
      <c r="F102" s="17">
        <f>IFERROR(__xludf.DUMMYFUNCTION("""COMPUTED_VALUE"""),1069432)</f>
        <v>1069432</v>
      </c>
      <c r="G102" s="16">
        <f>IFERROR(__xludf.DUMMYFUNCTION("""COMPUTED_VALUE"""),45888.6458333333)</f>
        <v>45888.6458333333</v>
      </c>
      <c r="H102" s="17">
        <f>IFERROR(__xludf.DUMMYFUNCTION("""COMPUTED_VALUE"""),2395.6)</f>
        <v>2395.6</v>
      </c>
      <c r="I102" s="16">
        <f>IFERROR(__xludf.DUMMYFUNCTION("""COMPUTED_VALUE"""),45888.6458333333)</f>
        <v>45888.6458333333</v>
      </c>
      <c r="J102" s="17">
        <f>IFERROR(__xludf.DUMMYFUNCTION("""COMPUTED_VALUE"""),2314.1)</f>
        <v>2314.1</v>
      </c>
      <c r="K102" s="3">
        <f t="shared" si="2"/>
        <v>2388.4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IFERROR(__xludf.DUMMYFUNCTION("""COMPUTED_VALUE"""),2387.1)</f>
        <v>2387.1</v>
      </c>
      <c r="C103" s="16">
        <f>IFERROR(__xludf.DUMMYFUNCTION("""COMPUTED_VALUE"""),45889.6458333333)</f>
        <v>45889.6458333333</v>
      </c>
      <c r="D103" s="17">
        <f>IFERROR(__xludf.DUMMYFUNCTION("""COMPUTED_VALUE"""),2380)</f>
        <v>2380</v>
      </c>
      <c r="E103" s="16">
        <f>IFERROR(__xludf.DUMMYFUNCTION("""COMPUTED_VALUE"""),45889.6458333333)</f>
        <v>45889.6458333333</v>
      </c>
      <c r="F103" s="17">
        <f>IFERROR(__xludf.DUMMYFUNCTION("""COMPUTED_VALUE"""),780025)</f>
        <v>780025</v>
      </c>
      <c r="G103" s="16">
        <f>IFERROR(__xludf.DUMMYFUNCTION("""COMPUTED_VALUE"""),45889.6458333333)</f>
        <v>45889.6458333333</v>
      </c>
      <c r="H103" s="17">
        <f>IFERROR(__xludf.DUMMYFUNCTION("""COMPUTED_VALUE"""),2406)</f>
        <v>2406</v>
      </c>
      <c r="I103" s="16">
        <f>IFERROR(__xludf.DUMMYFUNCTION("""COMPUTED_VALUE"""),45889.6458333333)</f>
        <v>45889.6458333333</v>
      </c>
      <c r="J103" s="17">
        <f>IFERROR(__xludf.DUMMYFUNCTION("""COMPUTED_VALUE"""),2372.1)</f>
        <v>2372.1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IFERROR(__xludf.DUMMYFUNCTION("""COMPUTED_VALUE"""),2377.2)</f>
        <v>2377.2</v>
      </c>
      <c r="C104" s="16">
        <f>IFERROR(__xludf.DUMMYFUNCTION("""COMPUTED_VALUE"""),45890.6458333333)</f>
        <v>45890.6458333333</v>
      </c>
      <c r="D104" s="17">
        <f>IFERROR(__xludf.DUMMYFUNCTION("""COMPUTED_VALUE"""),2387.1)</f>
        <v>2387.1</v>
      </c>
      <c r="E104" s="16">
        <f>IFERROR(__xludf.DUMMYFUNCTION("""COMPUTED_VALUE"""),45890.6458333333)</f>
        <v>45890.6458333333</v>
      </c>
      <c r="F104" s="17">
        <f>IFERROR(__xludf.DUMMYFUNCTION("""COMPUTED_VALUE"""),441867)</f>
        <v>441867</v>
      </c>
      <c r="G104" s="16">
        <f>IFERROR(__xludf.DUMMYFUNCTION("""COMPUTED_VALUE"""),45890.6458333333)</f>
        <v>45890.6458333333</v>
      </c>
      <c r="H104" s="17">
        <f>IFERROR(__xludf.DUMMYFUNCTION("""COMPUTED_VALUE"""),2397)</f>
        <v>2397</v>
      </c>
      <c r="I104" s="16">
        <f>IFERROR(__xludf.DUMMYFUNCTION("""COMPUTED_VALUE"""),45890.6458333333)</f>
        <v>45890.6458333333</v>
      </c>
      <c r="J104" s="17">
        <f>IFERROR(__xludf.DUMMYFUNCTION("""COMPUTED_VALUE"""),2371.4)</f>
        <v>2371.4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IFERROR(__xludf.DUMMYFUNCTION("""COMPUTED_VALUE"""),2324.9)</f>
        <v>2324.9</v>
      </c>
      <c r="C105" s="16">
        <f>IFERROR(__xludf.DUMMYFUNCTION("""COMPUTED_VALUE"""),45891.6458333333)</f>
        <v>45891.6458333333</v>
      </c>
      <c r="D105" s="17">
        <f>IFERROR(__xludf.DUMMYFUNCTION("""COMPUTED_VALUE"""),2369.9)</f>
        <v>2369.9</v>
      </c>
      <c r="E105" s="16">
        <f>IFERROR(__xludf.DUMMYFUNCTION("""COMPUTED_VALUE"""),45891.6458333333)</f>
        <v>45891.6458333333</v>
      </c>
      <c r="F105" s="17">
        <f>IFERROR(__xludf.DUMMYFUNCTION("""COMPUTED_VALUE"""),584211)</f>
        <v>584211</v>
      </c>
      <c r="G105" s="16">
        <f>IFERROR(__xludf.DUMMYFUNCTION("""COMPUTED_VALUE"""),45891.6458333333)</f>
        <v>45891.6458333333</v>
      </c>
      <c r="H105" s="17">
        <f>IFERROR(__xludf.DUMMYFUNCTION("""COMPUTED_VALUE"""),2376.3)</f>
        <v>2376.3</v>
      </c>
      <c r="I105" s="16">
        <f>IFERROR(__xludf.DUMMYFUNCTION("""COMPUTED_VALUE"""),45891.6458333333)</f>
        <v>45891.6458333333</v>
      </c>
      <c r="J105" s="17">
        <f>IFERROR(__xludf.DUMMYFUNCTION("""COMPUTED_VALUE"""),2321)</f>
        <v>2321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IFERROR(__xludf.DUMMYFUNCTION("""COMPUTED_VALUE"""),2302.9)</f>
        <v>2302.9</v>
      </c>
      <c r="C106" s="16">
        <f>IFERROR(__xludf.DUMMYFUNCTION("""COMPUTED_VALUE"""),45894.6458333333)</f>
        <v>45894.6458333333</v>
      </c>
      <c r="D106" s="17">
        <f>IFERROR(__xludf.DUMMYFUNCTION("""COMPUTED_VALUE"""),2335.7)</f>
        <v>2335.7</v>
      </c>
      <c r="E106" s="16">
        <f>IFERROR(__xludf.DUMMYFUNCTION("""COMPUTED_VALUE"""),45894.6458333333)</f>
        <v>45894.6458333333</v>
      </c>
      <c r="F106" s="17">
        <f>IFERROR(__xludf.DUMMYFUNCTION("""COMPUTED_VALUE"""),542455)</f>
        <v>542455</v>
      </c>
      <c r="G106" s="16">
        <f>IFERROR(__xludf.DUMMYFUNCTION("""COMPUTED_VALUE"""),45894.6458333333)</f>
        <v>45894.6458333333</v>
      </c>
      <c r="H106" s="17">
        <f>IFERROR(__xludf.DUMMYFUNCTION("""COMPUTED_VALUE"""),2348.4)</f>
        <v>2348.4</v>
      </c>
      <c r="I106" s="16">
        <f>IFERROR(__xludf.DUMMYFUNCTION("""COMPUTED_VALUE"""),45894.6458333333)</f>
        <v>45894.6458333333</v>
      </c>
      <c r="J106" s="17">
        <f>IFERROR(__xludf.DUMMYFUNCTION("""COMPUTED_VALUE"""),2300)</f>
        <v>2300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IFERROR(__xludf.DUMMYFUNCTION("""COMPUTED_VALUE"""),2272)</f>
        <v>2272</v>
      </c>
      <c r="C107" s="16">
        <f>IFERROR(__xludf.DUMMYFUNCTION("""COMPUTED_VALUE"""),45895.6458333333)</f>
        <v>45895.6458333333</v>
      </c>
      <c r="D107" s="17">
        <f>IFERROR(__xludf.DUMMYFUNCTION("""COMPUTED_VALUE"""),2304)</f>
        <v>2304</v>
      </c>
      <c r="E107" s="16">
        <f>IFERROR(__xludf.DUMMYFUNCTION("""COMPUTED_VALUE"""),45895.6458333333)</f>
        <v>45895.6458333333</v>
      </c>
      <c r="F107" s="17">
        <f>IFERROR(__xludf.DUMMYFUNCTION("""COMPUTED_VALUE"""),1071550)</f>
        <v>1071550</v>
      </c>
      <c r="G107" s="16">
        <f>IFERROR(__xludf.DUMMYFUNCTION("""COMPUTED_VALUE"""),45895.6458333333)</f>
        <v>45895.6458333333</v>
      </c>
      <c r="H107" s="17">
        <f>IFERROR(__xludf.DUMMYFUNCTION("""COMPUTED_VALUE"""),2309.3)</f>
        <v>2309.3</v>
      </c>
      <c r="I107" s="16">
        <f>IFERROR(__xludf.DUMMYFUNCTION("""COMPUTED_VALUE"""),45895.6458333333)</f>
        <v>45895.6458333333</v>
      </c>
      <c r="J107" s="17">
        <f>IFERROR(__xludf.DUMMYFUNCTION("""COMPUTED_VALUE"""),2249.4)</f>
        <v>2249.4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IFERROR(__xludf.DUMMYFUNCTION("""COMPUTED_VALUE"""),2275.2)</f>
        <v>2275.2</v>
      </c>
      <c r="C108" s="16">
        <f>IFERROR(__xludf.DUMMYFUNCTION("""COMPUTED_VALUE"""),45897.6458333333)</f>
        <v>45897.6458333333</v>
      </c>
      <c r="D108" s="17">
        <f>IFERROR(__xludf.DUMMYFUNCTION("""COMPUTED_VALUE"""),2271.9)</f>
        <v>2271.9</v>
      </c>
      <c r="E108" s="16">
        <f>IFERROR(__xludf.DUMMYFUNCTION("""COMPUTED_VALUE"""),45897.6458333333)</f>
        <v>45897.6458333333</v>
      </c>
      <c r="F108" s="17">
        <f>IFERROR(__xludf.DUMMYFUNCTION("""COMPUTED_VALUE"""),907868)</f>
        <v>907868</v>
      </c>
      <c r="G108" s="16">
        <f>IFERROR(__xludf.DUMMYFUNCTION("""COMPUTED_VALUE"""),45897.6458333333)</f>
        <v>45897.6458333333</v>
      </c>
      <c r="H108" s="17">
        <f>IFERROR(__xludf.DUMMYFUNCTION("""COMPUTED_VALUE"""),2327.9)</f>
        <v>2327.9</v>
      </c>
      <c r="I108" s="16">
        <f>IFERROR(__xludf.DUMMYFUNCTION("""COMPUTED_VALUE"""),45897.6458333333)</f>
        <v>45897.6458333333</v>
      </c>
      <c r="J108" s="17">
        <f>IFERROR(__xludf.DUMMYFUNCTION("""COMPUTED_VALUE"""),2255)</f>
        <v>2255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IFERROR(__xludf.DUMMYFUNCTION("""COMPUTED_VALUE"""),2244.7)</f>
        <v>2244.7</v>
      </c>
      <c r="C109" s="16">
        <f>IFERROR(__xludf.DUMMYFUNCTION("""COMPUTED_VALUE"""),45898.6458333333)</f>
        <v>45898.6458333333</v>
      </c>
      <c r="D109" s="17">
        <f>IFERROR(__xludf.DUMMYFUNCTION("""COMPUTED_VALUE"""),2283)</f>
        <v>2283</v>
      </c>
      <c r="E109" s="16">
        <f>IFERROR(__xludf.DUMMYFUNCTION("""COMPUTED_VALUE"""),45898.6458333333)</f>
        <v>45898.6458333333</v>
      </c>
      <c r="F109" s="17">
        <f>IFERROR(__xludf.DUMMYFUNCTION("""COMPUTED_VALUE"""),795699)</f>
        <v>795699</v>
      </c>
      <c r="G109" s="16">
        <f>IFERROR(__xludf.DUMMYFUNCTION("""COMPUTED_VALUE"""),45898.6458333333)</f>
        <v>45898.6458333333</v>
      </c>
      <c r="H109" s="17">
        <f>IFERROR(__xludf.DUMMYFUNCTION("""COMPUTED_VALUE"""),2289.7)</f>
        <v>2289.7</v>
      </c>
      <c r="I109" s="16">
        <f>IFERROR(__xludf.DUMMYFUNCTION("""COMPUTED_VALUE"""),45898.6458333333)</f>
        <v>45898.6458333333</v>
      </c>
      <c r="J109" s="17">
        <f>IFERROR(__xludf.DUMMYFUNCTION("""COMPUTED_VALUE"""),2240)</f>
        <v>2240</v>
      </c>
      <c r="K109" s="3">
        <f t="shared" si="2"/>
        <v>0</v>
      </c>
      <c r="L109" s="3">
        <f t="shared" si="3"/>
        <v>2244.7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IFERROR(__xludf.DUMMYFUNCTION("""COMPUTED_VALUE"""),2284.2)</f>
        <v>2284.2</v>
      </c>
      <c r="C110" s="16">
        <f>IFERROR(__xludf.DUMMYFUNCTION("""COMPUTED_VALUE"""),45901.6458333333)</f>
        <v>45901.6458333333</v>
      </c>
      <c r="D110" s="17">
        <f>IFERROR(__xludf.DUMMYFUNCTION("""COMPUTED_VALUE"""),2259)</f>
        <v>2259</v>
      </c>
      <c r="E110" s="16">
        <f>IFERROR(__xludf.DUMMYFUNCTION("""COMPUTED_VALUE"""),45901.6458333333)</f>
        <v>45901.6458333333</v>
      </c>
      <c r="F110" s="17">
        <f>IFERROR(__xludf.DUMMYFUNCTION("""COMPUTED_VALUE"""),425639)</f>
        <v>425639</v>
      </c>
      <c r="G110" s="16">
        <f>IFERROR(__xludf.DUMMYFUNCTION("""COMPUTED_VALUE"""),45901.6458333333)</f>
        <v>45901.6458333333</v>
      </c>
      <c r="H110" s="17">
        <f>IFERROR(__xludf.DUMMYFUNCTION("""COMPUTED_VALUE"""),2288)</f>
        <v>2288</v>
      </c>
      <c r="I110" s="16">
        <f>IFERROR(__xludf.DUMMYFUNCTION("""COMPUTED_VALUE"""),45901.6458333333)</f>
        <v>45901.6458333333</v>
      </c>
      <c r="J110" s="17">
        <f>IFERROR(__xludf.DUMMYFUNCTION("""COMPUTED_VALUE"""),2252.1)</f>
        <v>2252.1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IFERROR(__xludf.DUMMYFUNCTION("""COMPUTED_VALUE"""),2274.2)</f>
        <v>2274.2</v>
      </c>
      <c r="C111" s="16">
        <f>IFERROR(__xludf.DUMMYFUNCTION("""COMPUTED_VALUE"""),45902.6458333333)</f>
        <v>45902.6458333333</v>
      </c>
      <c r="D111" s="17">
        <f>IFERROR(__xludf.DUMMYFUNCTION("""COMPUTED_VALUE"""),2291)</f>
        <v>2291</v>
      </c>
      <c r="E111" s="16">
        <f>IFERROR(__xludf.DUMMYFUNCTION("""COMPUTED_VALUE"""),45902.6458333333)</f>
        <v>45902.6458333333</v>
      </c>
      <c r="F111" s="17">
        <f>IFERROR(__xludf.DUMMYFUNCTION("""COMPUTED_VALUE"""),481894)</f>
        <v>481894</v>
      </c>
      <c r="G111" s="16">
        <f>IFERROR(__xludf.DUMMYFUNCTION("""COMPUTED_VALUE"""),45902.6458333333)</f>
        <v>45902.6458333333</v>
      </c>
      <c r="H111" s="17">
        <f>IFERROR(__xludf.DUMMYFUNCTION("""COMPUTED_VALUE"""),2302)</f>
        <v>2302</v>
      </c>
      <c r="I111" s="16">
        <f>IFERROR(__xludf.DUMMYFUNCTION("""COMPUTED_VALUE"""),45902.6458333333)</f>
        <v>45902.6458333333</v>
      </c>
      <c r="J111" s="17">
        <f>IFERROR(__xludf.DUMMYFUNCTION("""COMPUTED_VALUE"""),2264)</f>
        <v>2264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IFERROR(__xludf.DUMMYFUNCTION("""COMPUTED_VALUE"""),2288.7)</f>
        <v>2288.7</v>
      </c>
      <c r="C112" s="16">
        <f>IFERROR(__xludf.DUMMYFUNCTION("""COMPUTED_VALUE"""),45903.6458333333)</f>
        <v>45903.6458333333</v>
      </c>
      <c r="D112" s="17">
        <f>IFERROR(__xludf.DUMMYFUNCTION("""COMPUTED_VALUE"""),2285)</f>
        <v>2285</v>
      </c>
      <c r="E112" s="16">
        <f>IFERROR(__xludf.DUMMYFUNCTION("""COMPUTED_VALUE"""),45903.6458333333)</f>
        <v>45903.6458333333</v>
      </c>
      <c r="F112" s="17">
        <f>IFERROR(__xludf.DUMMYFUNCTION("""COMPUTED_VALUE"""),443629)</f>
        <v>443629</v>
      </c>
      <c r="G112" s="16">
        <f>IFERROR(__xludf.DUMMYFUNCTION("""COMPUTED_VALUE"""),45903.6458333333)</f>
        <v>45903.6458333333</v>
      </c>
      <c r="H112" s="17">
        <f>IFERROR(__xludf.DUMMYFUNCTION("""COMPUTED_VALUE"""),2293)</f>
        <v>2293</v>
      </c>
      <c r="I112" s="16">
        <f>IFERROR(__xludf.DUMMYFUNCTION("""COMPUTED_VALUE"""),45903.6458333333)</f>
        <v>45903.6458333333</v>
      </c>
      <c r="J112" s="17">
        <f>IFERROR(__xludf.DUMMYFUNCTION("""COMPUTED_VALUE"""),2263.1)</f>
        <v>2263.1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IFERROR(__xludf.DUMMYFUNCTION("""COMPUTED_VALUE"""),2278.8)</f>
        <v>2278.8</v>
      </c>
      <c r="C113" s="16">
        <f>IFERROR(__xludf.DUMMYFUNCTION("""COMPUTED_VALUE"""),45904.6458333333)</f>
        <v>45904.6458333333</v>
      </c>
      <c r="D113" s="17">
        <f>IFERROR(__xludf.DUMMYFUNCTION("""COMPUTED_VALUE"""),2309.9)</f>
        <v>2309.9</v>
      </c>
      <c r="E113" s="16">
        <f>IFERROR(__xludf.DUMMYFUNCTION("""COMPUTED_VALUE"""),45904.6458333333)</f>
        <v>45904.6458333333</v>
      </c>
      <c r="F113" s="17">
        <f>IFERROR(__xludf.DUMMYFUNCTION("""COMPUTED_VALUE"""),392697)</f>
        <v>392697</v>
      </c>
      <c r="G113" s="16">
        <f>IFERROR(__xludf.DUMMYFUNCTION("""COMPUTED_VALUE"""),45904.6458333333)</f>
        <v>45904.6458333333</v>
      </c>
      <c r="H113" s="17">
        <f>IFERROR(__xludf.DUMMYFUNCTION("""COMPUTED_VALUE"""),2317.3)</f>
        <v>2317.3</v>
      </c>
      <c r="I113" s="16">
        <f>IFERROR(__xludf.DUMMYFUNCTION("""COMPUTED_VALUE"""),45904.6458333333)</f>
        <v>45904.6458333333</v>
      </c>
      <c r="J113" s="17">
        <f>IFERROR(__xludf.DUMMYFUNCTION("""COMPUTED_VALUE"""),2275)</f>
        <v>2275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IFERROR(__xludf.DUMMYFUNCTION("""COMPUTED_VALUE"""),2281.4)</f>
        <v>2281.4</v>
      </c>
      <c r="C114" s="16">
        <f>IFERROR(__xludf.DUMMYFUNCTION("""COMPUTED_VALUE"""),45905.6458333333)</f>
        <v>45905.6458333333</v>
      </c>
      <c r="D114" s="17">
        <f>IFERROR(__xludf.DUMMYFUNCTION("""COMPUTED_VALUE"""),2275)</f>
        <v>2275</v>
      </c>
      <c r="E114" s="16">
        <f>IFERROR(__xludf.DUMMYFUNCTION("""COMPUTED_VALUE"""),45905.6458333333)</f>
        <v>45905.6458333333</v>
      </c>
      <c r="F114" s="17">
        <f>IFERROR(__xludf.DUMMYFUNCTION("""COMPUTED_VALUE"""),443010)</f>
        <v>443010</v>
      </c>
      <c r="G114" s="16">
        <f>IFERROR(__xludf.DUMMYFUNCTION("""COMPUTED_VALUE"""),45905.6458333333)</f>
        <v>45905.6458333333</v>
      </c>
      <c r="H114" s="17">
        <f>IFERROR(__xludf.DUMMYFUNCTION("""COMPUTED_VALUE"""),2293.5)</f>
        <v>2293.5</v>
      </c>
      <c r="I114" s="16">
        <f>IFERROR(__xludf.DUMMYFUNCTION("""COMPUTED_VALUE"""),45905.6458333333)</f>
        <v>45905.6458333333</v>
      </c>
      <c r="J114" s="17">
        <f>IFERROR(__xludf.DUMMYFUNCTION("""COMPUTED_VALUE"""),2248)</f>
        <v>2248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IFERROR(__xludf.DUMMYFUNCTION("""COMPUTED_VALUE"""),2310.9)</f>
        <v>2310.9</v>
      </c>
      <c r="C115" s="16">
        <f>IFERROR(__xludf.DUMMYFUNCTION("""COMPUTED_VALUE"""),45908.6458333333)</f>
        <v>45908.6458333333</v>
      </c>
      <c r="D115" s="17">
        <f>IFERROR(__xludf.DUMMYFUNCTION("""COMPUTED_VALUE"""),2290)</f>
        <v>2290</v>
      </c>
      <c r="E115" s="16">
        <f>IFERROR(__xludf.DUMMYFUNCTION("""COMPUTED_VALUE"""),45908.6458333333)</f>
        <v>45908.6458333333</v>
      </c>
      <c r="F115" s="17">
        <f>IFERROR(__xludf.DUMMYFUNCTION("""COMPUTED_VALUE"""),542811)</f>
        <v>542811</v>
      </c>
      <c r="G115" s="16">
        <f>IFERROR(__xludf.DUMMYFUNCTION("""COMPUTED_VALUE"""),45908.6458333333)</f>
        <v>45908.6458333333</v>
      </c>
      <c r="H115" s="17">
        <f>IFERROR(__xludf.DUMMYFUNCTION("""COMPUTED_VALUE"""),2333.9)</f>
        <v>2333.9</v>
      </c>
      <c r="I115" s="16">
        <f>IFERROR(__xludf.DUMMYFUNCTION("""COMPUTED_VALUE"""),45908.6458333333)</f>
        <v>45908.6458333333</v>
      </c>
      <c r="J115" s="17">
        <f>IFERROR(__xludf.DUMMYFUNCTION("""COMPUTED_VALUE"""),2286)</f>
        <v>2286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IFERROR(__xludf.DUMMYFUNCTION("""COMPUTED_VALUE"""),2311.6)</f>
        <v>2311.6</v>
      </c>
      <c r="C116" s="16">
        <f>IFERROR(__xludf.DUMMYFUNCTION("""COMPUTED_VALUE"""),45909.6458333333)</f>
        <v>45909.6458333333</v>
      </c>
      <c r="D116" s="17">
        <f>IFERROR(__xludf.DUMMYFUNCTION("""COMPUTED_VALUE"""),2320)</f>
        <v>2320</v>
      </c>
      <c r="E116" s="16">
        <f>IFERROR(__xludf.DUMMYFUNCTION("""COMPUTED_VALUE"""),45909.6458333333)</f>
        <v>45909.6458333333</v>
      </c>
      <c r="F116" s="17">
        <f>IFERROR(__xludf.DUMMYFUNCTION("""COMPUTED_VALUE"""),369431)</f>
        <v>369431</v>
      </c>
      <c r="G116" s="16">
        <f>IFERROR(__xludf.DUMMYFUNCTION("""COMPUTED_VALUE"""),45909.6458333333)</f>
        <v>45909.6458333333</v>
      </c>
      <c r="H116" s="17">
        <f>IFERROR(__xludf.DUMMYFUNCTION("""COMPUTED_VALUE"""),2325)</f>
        <v>2325</v>
      </c>
      <c r="I116" s="16">
        <f>IFERROR(__xludf.DUMMYFUNCTION("""COMPUTED_VALUE"""),45909.6458333333)</f>
        <v>45909.6458333333</v>
      </c>
      <c r="J116" s="17">
        <f>IFERROR(__xludf.DUMMYFUNCTION("""COMPUTED_VALUE"""),2297)</f>
        <v>2297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IFERROR(__xludf.DUMMYFUNCTION("""COMPUTED_VALUE"""),2340.2)</f>
        <v>2340.2</v>
      </c>
      <c r="C117" s="16">
        <f>IFERROR(__xludf.DUMMYFUNCTION("""COMPUTED_VALUE"""),45910.6458333333)</f>
        <v>45910.6458333333</v>
      </c>
      <c r="D117" s="17">
        <f>IFERROR(__xludf.DUMMYFUNCTION("""COMPUTED_VALUE"""),2330)</f>
        <v>2330</v>
      </c>
      <c r="E117" s="16">
        <f>IFERROR(__xludf.DUMMYFUNCTION("""COMPUTED_VALUE"""),45910.6458333333)</f>
        <v>45910.6458333333</v>
      </c>
      <c r="F117" s="17">
        <f>IFERROR(__xludf.DUMMYFUNCTION("""COMPUTED_VALUE"""),390490)</f>
        <v>390490</v>
      </c>
      <c r="G117" s="16">
        <f>IFERROR(__xludf.DUMMYFUNCTION("""COMPUTED_VALUE"""),45910.6458333333)</f>
        <v>45910.6458333333</v>
      </c>
      <c r="H117" s="17">
        <f>IFERROR(__xludf.DUMMYFUNCTION("""COMPUTED_VALUE"""),2345.9)</f>
        <v>2345.9</v>
      </c>
      <c r="I117" s="16">
        <f>IFERROR(__xludf.DUMMYFUNCTION("""COMPUTED_VALUE"""),45910.6458333333)</f>
        <v>45910.6458333333</v>
      </c>
      <c r="J117" s="17">
        <f>IFERROR(__xludf.DUMMYFUNCTION("""COMPUTED_VALUE"""),2325.1)</f>
        <v>2325.1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IFERROR(__xludf.DUMMYFUNCTION("""COMPUTED_VALUE"""),2398.8)</f>
        <v>2398.8</v>
      </c>
      <c r="C118" s="16">
        <f>IFERROR(__xludf.DUMMYFUNCTION("""COMPUTED_VALUE"""),45911.6458333333)</f>
        <v>45911.6458333333</v>
      </c>
      <c r="D118" s="17">
        <f>IFERROR(__xludf.DUMMYFUNCTION("""COMPUTED_VALUE"""),2348)</f>
        <v>2348</v>
      </c>
      <c r="E118" s="16">
        <f>IFERROR(__xludf.DUMMYFUNCTION("""COMPUTED_VALUE"""),45911.6458333333)</f>
        <v>45911.6458333333</v>
      </c>
      <c r="F118" s="17">
        <f>IFERROR(__xludf.DUMMYFUNCTION("""COMPUTED_VALUE"""),2111888)</f>
        <v>2111888</v>
      </c>
      <c r="G118" s="16">
        <f>IFERROR(__xludf.DUMMYFUNCTION("""COMPUTED_VALUE"""),45911.6458333333)</f>
        <v>45911.6458333333</v>
      </c>
      <c r="H118" s="17">
        <f>IFERROR(__xludf.DUMMYFUNCTION("""COMPUTED_VALUE"""),2418.7)</f>
        <v>2418.7</v>
      </c>
      <c r="I118" s="16">
        <f>IFERROR(__xludf.DUMMYFUNCTION("""COMPUTED_VALUE"""),45911.6458333333)</f>
        <v>45911.6458333333</v>
      </c>
      <c r="J118" s="17">
        <f>IFERROR(__xludf.DUMMYFUNCTION("""COMPUTED_VALUE"""),2340.2)</f>
        <v>2340.2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IFERROR(__xludf.DUMMYFUNCTION("""COMPUTED_VALUE"""),2392)</f>
        <v>2392</v>
      </c>
      <c r="C119" s="16">
        <f>IFERROR(__xludf.DUMMYFUNCTION("""COMPUTED_VALUE"""),45912.6458333333)</f>
        <v>45912.6458333333</v>
      </c>
      <c r="D119" s="17">
        <f>IFERROR(__xludf.DUMMYFUNCTION("""COMPUTED_VALUE"""),2416.9)</f>
        <v>2416.9</v>
      </c>
      <c r="E119" s="16">
        <f>IFERROR(__xludf.DUMMYFUNCTION("""COMPUTED_VALUE"""),45912.6458333333)</f>
        <v>45912.6458333333</v>
      </c>
      <c r="F119" s="17">
        <f>IFERROR(__xludf.DUMMYFUNCTION("""COMPUTED_VALUE"""),533971)</f>
        <v>533971</v>
      </c>
      <c r="G119" s="16">
        <f>IFERROR(__xludf.DUMMYFUNCTION("""COMPUTED_VALUE"""),45912.6458333333)</f>
        <v>45912.6458333333</v>
      </c>
      <c r="H119" s="17">
        <f>IFERROR(__xludf.DUMMYFUNCTION("""COMPUTED_VALUE"""),2421.6)</f>
        <v>2421.6</v>
      </c>
      <c r="I119" s="16">
        <f>IFERROR(__xludf.DUMMYFUNCTION("""COMPUTED_VALUE"""),45912.6458333333)</f>
        <v>45912.6458333333</v>
      </c>
      <c r="J119" s="17">
        <f>IFERROR(__xludf.DUMMYFUNCTION("""COMPUTED_VALUE"""),2387.1)</f>
        <v>2387.1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IFERROR(__xludf.DUMMYFUNCTION("""COMPUTED_VALUE"""),2383.4)</f>
        <v>2383.4</v>
      </c>
      <c r="C120" s="16">
        <f>IFERROR(__xludf.DUMMYFUNCTION("""COMPUTED_VALUE"""),45915.6458333333)</f>
        <v>45915.6458333333</v>
      </c>
      <c r="D120" s="17">
        <f>IFERROR(__xludf.DUMMYFUNCTION("""COMPUTED_VALUE"""),2392)</f>
        <v>2392</v>
      </c>
      <c r="E120" s="16">
        <f>IFERROR(__xludf.DUMMYFUNCTION("""COMPUTED_VALUE"""),45915.6458333333)</f>
        <v>45915.6458333333</v>
      </c>
      <c r="F120" s="17">
        <f>IFERROR(__xludf.DUMMYFUNCTION("""COMPUTED_VALUE"""),298129)</f>
        <v>298129</v>
      </c>
      <c r="G120" s="16">
        <f>IFERROR(__xludf.DUMMYFUNCTION("""COMPUTED_VALUE"""),45915.6458333333)</f>
        <v>45915.6458333333</v>
      </c>
      <c r="H120" s="17">
        <f>IFERROR(__xludf.DUMMYFUNCTION("""COMPUTED_VALUE"""),2402.8)</f>
        <v>2402.8</v>
      </c>
      <c r="I120" s="16">
        <f>IFERROR(__xludf.DUMMYFUNCTION("""COMPUTED_VALUE"""),45915.6458333333)</f>
        <v>45915.6458333333</v>
      </c>
      <c r="J120" s="17">
        <f>IFERROR(__xludf.DUMMYFUNCTION("""COMPUTED_VALUE"""),2378.1)</f>
        <v>2378.1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IFERROR(__xludf.DUMMYFUNCTION("""COMPUTED_VALUE"""),2399.4)</f>
        <v>2399.4</v>
      </c>
      <c r="C121" s="16">
        <f>IFERROR(__xludf.DUMMYFUNCTION("""COMPUTED_VALUE"""),45916.6458333333)</f>
        <v>45916.6458333333</v>
      </c>
      <c r="D121" s="17">
        <f>IFERROR(__xludf.DUMMYFUNCTION("""COMPUTED_VALUE"""),2410)</f>
        <v>2410</v>
      </c>
      <c r="E121" s="16">
        <f>IFERROR(__xludf.DUMMYFUNCTION("""COMPUTED_VALUE"""),45916.6458333333)</f>
        <v>45916.6458333333</v>
      </c>
      <c r="F121" s="17">
        <f>IFERROR(__xludf.DUMMYFUNCTION("""COMPUTED_VALUE"""),752979)</f>
        <v>752979</v>
      </c>
      <c r="G121" s="16">
        <f>IFERROR(__xludf.DUMMYFUNCTION("""COMPUTED_VALUE"""),45916.6458333333)</f>
        <v>45916.6458333333</v>
      </c>
      <c r="H121" s="17">
        <f>IFERROR(__xludf.DUMMYFUNCTION("""COMPUTED_VALUE"""),2415.8)</f>
        <v>2415.8</v>
      </c>
      <c r="I121" s="16">
        <f>IFERROR(__xludf.DUMMYFUNCTION("""COMPUTED_VALUE"""),45916.6458333333)</f>
        <v>45916.6458333333</v>
      </c>
      <c r="J121" s="17">
        <f>IFERROR(__xludf.DUMMYFUNCTION("""COMPUTED_VALUE"""),2388)</f>
        <v>2388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IFERROR(__xludf.DUMMYFUNCTION("""COMPUTED_VALUE"""),2402)</f>
        <v>2402</v>
      </c>
      <c r="C122" s="16">
        <f>IFERROR(__xludf.DUMMYFUNCTION("""COMPUTED_VALUE"""),45917.6458333333)</f>
        <v>45917.6458333333</v>
      </c>
      <c r="D122" s="17">
        <f>IFERROR(__xludf.DUMMYFUNCTION("""COMPUTED_VALUE"""),2417)</f>
        <v>2417</v>
      </c>
      <c r="E122" s="16">
        <f>IFERROR(__xludf.DUMMYFUNCTION("""COMPUTED_VALUE"""),45917.6458333333)</f>
        <v>45917.6458333333</v>
      </c>
      <c r="F122" s="17">
        <f>IFERROR(__xludf.DUMMYFUNCTION("""COMPUTED_VALUE"""),514354)</f>
        <v>514354</v>
      </c>
      <c r="G122" s="16">
        <f>IFERROR(__xludf.DUMMYFUNCTION("""COMPUTED_VALUE"""),45917.6458333333)</f>
        <v>45917.6458333333</v>
      </c>
      <c r="H122" s="17">
        <f>IFERROR(__xludf.DUMMYFUNCTION("""COMPUTED_VALUE"""),2417)</f>
        <v>2417</v>
      </c>
      <c r="I122" s="16">
        <f>IFERROR(__xludf.DUMMYFUNCTION("""COMPUTED_VALUE"""),45917.6458333333)</f>
        <v>45917.6458333333</v>
      </c>
      <c r="J122" s="17">
        <f>IFERROR(__xludf.DUMMYFUNCTION("""COMPUTED_VALUE"""),2391)</f>
        <v>2391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IFERROR(__xludf.DUMMYFUNCTION("""COMPUTED_VALUE"""),2402)</f>
        <v>2402</v>
      </c>
      <c r="C123" s="16">
        <f>IFERROR(__xludf.DUMMYFUNCTION("""COMPUTED_VALUE"""),45918.6458333333)</f>
        <v>45918.6458333333</v>
      </c>
      <c r="D123" s="17">
        <f>IFERROR(__xludf.DUMMYFUNCTION("""COMPUTED_VALUE"""),2414.5)</f>
        <v>2414.5</v>
      </c>
      <c r="E123" s="16">
        <f>IFERROR(__xludf.DUMMYFUNCTION("""COMPUTED_VALUE"""),45918.6458333333)</f>
        <v>45918.6458333333</v>
      </c>
      <c r="F123" s="17">
        <f>IFERROR(__xludf.DUMMYFUNCTION("""COMPUTED_VALUE"""),703730)</f>
        <v>703730</v>
      </c>
      <c r="G123" s="16">
        <f>IFERROR(__xludf.DUMMYFUNCTION("""COMPUTED_VALUE"""),45918.6458333333)</f>
        <v>45918.6458333333</v>
      </c>
      <c r="H123" s="17">
        <f>IFERROR(__xludf.DUMMYFUNCTION("""COMPUTED_VALUE"""),2438)</f>
        <v>2438</v>
      </c>
      <c r="I123" s="16">
        <f>IFERROR(__xludf.DUMMYFUNCTION("""COMPUTED_VALUE"""),45918.6458333333)</f>
        <v>45918.6458333333</v>
      </c>
      <c r="J123" s="17">
        <f>IFERROR(__xludf.DUMMYFUNCTION("""COMPUTED_VALUE"""),2388.4)</f>
        <v>2388.4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IFERROR(__xludf.DUMMYFUNCTION("""COMPUTED_VALUE"""),2524)</f>
        <v>2524</v>
      </c>
      <c r="C124" s="16">
        <f>IFERROR(__xludf.DUMMYFUNCTION("""COMPUTED_VALUE"""),45919.6458333333)</f>
        <v>45919.6458333333</v>
      </c>
      <c r="D124" s="17">
        <f>IFERROR(__xludf.DUMMYFUNCTION("""COMPUTED_VALUE"""),2495)</f>
        <v>2495</v>
      </c>
      <c r="E124" s="16">
        <f>IFERROR(__xludf.DUMMYFUNCTION("""COMPUTED_VALUE"""),45919.6458333333)</f>
        <v>45919.6458333333</v>
      </c>
      <c r="F124" s="17">
        <f>IFERROR(__xludf.DUMMYFUNCTION("""COMPUTED_VALUE"""),7965135)</f>
        <v>7965135</v>
      </c>
      <c r="G124" s="16">
        <f>IFERROR(__xludf.DUMMYFUNCTION("""COMPUTED_VALUE"""),45919.6458333333)</f>
        <v>45919.6458333333</v>
      </c>
      <c r="H124" s="17">
        <f>IFERROR(__xludf.DUMMYFUNCTION("""COMPUTED_VALUE"""),2579)</f>
        <v>2579</v>
      </c>
      <c r="I124" s="16">
        <f>IFERROR(__xludf.DUMMYFUNCTION("""COMPUTED_VALUE"""),45919.6458333333)</f>
        <v>45919.6458333333</v>
      </c>
      <c r="J124" s="17">
        <f>IFERROR(__xludf.DUMMYFUNCTION("""COMPUTED_VALUE"""),2466.1)</f>
        <v>2466.1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IFERROR(__xludf.DUMMYFUNCTION("""COMPUTED_VALUE"""),2629.5)</f>
        <v>2629.5</v>
      </c>
      <c r="C125" s="16">
        <f>IFERROR(__xludf.DUMMYFUNCTION("""COMPUTED_VALUE"""),45922.6458333333)</f>
        <v>45922.6458333333</v>
      </c>
      <c r="D125" s="17">
        <f>IFERROR(__xludf.DUMMYFUNCTION("""COMPUTED_VALUE"""),2535)</f>
        <v>2535</v>
      </c>
      <c r="E125" s="16">
        <f>IFERROR(__xludf.DUMMYFUNCTION("""COMPUTED_VALUE"""),45922.6458333333)</f>
        <v>45922.6458333333</v>
      </c>
      <c r="F125" s="17">
        <f>IFERROR(__xludf.DUMMYFUNCTION("""COMPUTED_VALUE"""),7022985)</f>
        <v>7022985</v>
      </c>
      <c r="G125" s="16">
        <f>IFERROR(__xludf.DUMMYFUNCTION("""COMPUTED_VALUE"""),45922.6458333333)</f>
        <v>45922.6458333333</v>
      </c>
      <c r="H125" s="17">
        <f>IFERROR(__xludf.DUMMYFUNCTION("""COMPUTED_VALUE"""),2659)</f>
        <v>2659</v>
      </c>
      <c r="I125" s="16">
        <f>IFERROR(__xludf.DUMMYFUNCTION("""COMPUTED_VALUE"""),45922.6458333333)</f>
        <v>45922.6458333333</v>
      </c>
      <c r="J125" s="17">
        <f>IFERROR(__xludf.DUMMYFUNCTION("""COMPUTED_VALUE"""),2522.1)</f>
        <v>2522.1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IFERROR(__xludf.DUMMYFUNCTION("""COMPUTED_VALUE"""),2676.4)</f>
        <v>2676.4</v>
      </c>
      <c r="C126" s="16">
        <f>IFERROR(__xludf.DUMMYFUNCTION("""COMPUTED_VALUE"""),45923.6458333333)</f>
        <v>45923.6458333333</v>
      </c>
      <c r="D126" s="17">
        <f>IFERROR(__xludf.DUMMYFUNCTION("""COMPUTED_VALUE"""),2642.6)</f>
        <v>2642.6</v>
      </c>
      <c r="E126" s="16">
        <f>IFERROR(__xludf.DUMMYFUNCTION("""COMPUTED_VALUE"""),45923.6458333333)</f>
        <v>45923.6458333333</v>
      </c>
      <c r="F126" s="17">
        <f>IFERROR(__xludf.DUMMYFUNCTION("""COMPUTED_VALUE"""),5610022)</f>
        <v>5610022</v>
      </c>
      <c r="G126" s="16">
        <f>IFERROR(__xludf.DUMMYFUNCTION("""COMPUTED_VALUE"""),45923.6458333333)</f>
        <v>45923.6458333333</v>
      </c>
      <c r="H126" s="17">
        <f>IFERROR(__xludf.DUMMYFUNCTION("""COMPUTED_VALUE"""),2695)</f>
        <v>2695</v>
      </c>
      <c r="I126" s="16">
        <f>IFERROR(__xludf.DUMMYFUNCTION("""COMPUTED_VALUE"""),45923.6458333333)</f>
        <v>45923.6458333333</v>
      </c>
      <c r="J126" s="17">
        <f>IFERROR(__xludf.DUMMYFUNCTION("""COMPUTED_VALUE"""),2593)</f>
        <v>2593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IFERROR(__xludf.DUMMYFUNCTION("""COMPUTED_VALUE"""),2619.8)</f>
        <v>2619.8</v>
      </c>
      <c r="C127" s="16">
        <f>IFERROR(__xludf.DUMMYFUNCTION("""COMPUTED_VALUE"""),45924.6458333333)</f>
        <v>45924.6458333333</v>
      </c>
      <c r="D127" s="17">
        <f>IFERROR(__xludf.DUMMYFUNCTION("""COMPUTED_VALUE"""),2655)</f>
        <v>2655</v>
      </c>
      <c r="E127" s="16">
        <f>IFERROR(__xludf.DUMMYFUNCTION("""COMPUTED_VALUE"""),45924.6458333333)</f>
        <v>45924.6458333333</v>
      </c>
      <c r="F127" s="17">
        <f>IFERROR(__xludf.DUMMYFUNCTION("""COMPUTED_VALUE"""),1720785)</f>
        <v>1720785</v>
      </c>
      <c r="G127" s="16">
        <f>IFERROR(__xludf.DUMMYFUNCTION("""COMPUTED_VALUE"""),45924.6458333333)</f>
        <v>45924.6458333333</v>
      </c>
      <c r="H127" s="17">
        <f>IFERROR(__xludf.DUMMYFUNCTION("""COMPUTED_VALUE"""),2676)</f>
        <v>2676</v>
      </c>
      <c r="I127" s="16">
        <f>IFERROR(__xludf.DUMMYFUNCTION("""COMPUTED_VALUE"""),45924.6458333333)</f>
        <v>45924.6458333333</v>
      </c>
      <c r="J127" s="17">
        <f>IFERROR(__xludf.DUMMYFUNCTION("""COMPUTED_VALUE"""),2614.4)</f>
        <v>2614.4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IFERROR(__xludf.DUMMYFUNCTION("""COMPUTED_VALUE"""),2576.4)</f>
        <v>2576.4</v>
      </c>
      <c r="C128" s="16">
        <f>IFERROR(__xludf.DUMMYFUNCTION("""COMPUTED_VALUE"""),45925.6458333333)</f>
        <v>45925.6458333333</v>
      </c>
      <c r="D128" s="17">
        <f>IFERROR(__xludf.DUMMYFUNCTION("""COMPUTED_VALUE"""),2625)</f>
        <v>2625</v>
      </c>
      <c r="E128" s="16">
        <f>IFERROR(__xludf.DUMMYFUNCTION("""COMPUTED_VALUE"""),45925.6458333333)</f>
        <v>45925.6458333333</v>
      </c>
      <c r="F128" s="17">
        <f>IFERROR(__xludf.DUMMYFUNCTION("""COMPUTED_VALUE"""),1489682)</f>
        <v>1489682</v>
      </c>
      <c r="G128" s="16">
        <f>IFERROR(__xludf.DUMMYFUNCTION("""COMPUTED_VALUE"""),45925.6458333333)</f>
        <v>45925.6458333333</v>
      </c>
      <c r="H128" s="17">
        <f>IFERROR(__xludf.DUMMYFUNCTION("""COMPUTED_VALUE"""),2647.9)</f>
        <v>2647.9</v>
      </c>
      <c r="I128" s="16">
        <f>IFERROR(__xludf.DUMMYFUNCTION("""COMPUTED_VALUE"""),45925.6458333333)</f>
        <v>45925.6458333333</v>
      </c>
      <c r="J128" s="17">
        <f>IFERROR(__xludf.DUMMYFUNCTION("""COMPUTED_VALUE"""),2567)</f>
        <v>2567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IFERROR(__xludf.DUMMYFUNCTION("""COMPUTED_VALUE"""),2543.7)</f>
        <v>2543.7</v>
      </c>
      <c r="C129" s="16">
        <f>IFERROR(__xludf.DUMMYFUNCTION("""COMPUTED_VALUE"""),45926.6458333333)</f>
        <v>45926.6458333333</v>
      </c>
      <c r="D129" s="17">
        <f>IFERROR(__xludf.DUMMYFUNCTION("""COMPUTED_VALUE"""),2572.8)</f>
        <v>2572.8</v>
      </c>
      <c r="E129" s="16">
        <f>IFERROR(__xludf.DUMMYFUNCTION("""COMPUTED_VALUE"""),45926.6458333333)</f>
        <v>45926.6458333333</v>
      </c>
      <c r="F129" s="17">
        <f>IFERROR(__xludf.DUMMYFUNCTION("""COMPUTED_VALUE"""),1037808)</f>
        <v>1037808</v>
      </c>
      <c r="G129" s="16">
        <f>IFERROR(__xludf.DUMMYFUNCTION("""COMPUTED_VALUE"""),45926.6458333333)</f>
        <v>45926.6458333333</v>
      </c>
      <c r="H129" s="17">
        <f>IFERROR(__xludf.DUMMYFUNCTION("""COMPUTED_VALUE"""),2605)</f>
        <v>2605</v>
      </c>
      <c r="I129" s="16">
        <f>IFERROR(__xludf.DUMMYFUNCTION("""COMPUTED_VALUE"""),45926.6458333333)</f>
        <v>45926.6458333333</v>
      </c>
      <c r="J129" s="17">
        <f>IFERROR(__xludf.DUMMYFUNCTION("""COMPUTED_VALUE"""),2535)</f>
        <v>2535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267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""price"")"),2535.6)</f>
        <v>2535.6</v>
      </c>
      <c r="I3" s="22" t="s">
        <v>269</v>
      </c>
      <c r="J3" s="23">
        <f>IFERROR(__xludf.DUMMYFUNCTION("GOOGLEFINANCE(L3, ""volume"")"),1037808)</f>
        <v>1037808</v>
      </c>
      <c r="K3" s="24" t="s">
        <v>270</v>
      </c>
      <c r="L3" s="25" t="str">
        <f>Mastersheet!B3</f>
        <v>ADANIENT</v>
      </c>
      <c r="M3" s="26">
        <f>IFERROR(__xludf.DUMMYFUNCTION("""COMPUTED_VALUE"""),45926.6458333333)</f>
        <v>45926.6458333333</v>
      </c>
      <c r="N3" s="27">
        <f>IFERROR(__xludf.DUMMYFUNCTION("""COMPUTED_VALUE"""),2543.7)</f>
        <v>2543.7</v>
      </c>
      <c r="O3" s="26">
        <f>IFERROR(__xludf.DUMMYFUNCTION("""COMPUTED_VALUE"""),45926.6458333333)</f>
        <v>45926.6458333333</v>
      </c>
      <c r="P3" s="27">
        <f>IFERROR(__xludf.DUMMYFUNCTION("""COMPUTED_VALUE"""),2572.8)</f>
        <v>2572.8</v>
      </c>
      <c r="Q3" s="16">
        <f>IFERROR(__xludf.DUMMYFUNCTION("""COMPUTED_VALUE"""),45926.6458333333)</f>
        <v>45926.6458333333</v>
      </c>
      <c r="R3" s="17">
        <f>IFERROR(__xludf.DUMMYFUNCTION("""COMPUTED_VALUE"""),2605)</f>
        <v>2605</v>
      </c>
      <c r="S3" s="16">
        <f>IFERROR(__xludf.DUMMYFUNCTION("""COMPUTED_VALUE"""),45926.6458333333)</f>
        <v>45926.6458333333</v>
      </c>
      <c r="T3" s="17">
        <f>IFERROR(__xludf.DUMMYFUNCTION("""COMPUTED_VALUE"""),2535)</f>
        <v>2535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IFERROR(__xludf.DUMMYFUNCTION("""COMPUTED_VALUE"""),2363.35)</f>
        <v>2363.35</v>
      </c>
      <c r="C5" s="14">
        <f>IFERROR(__xludf.DUMMYFUNCTION("""COMPUTED_VALUE"""),45743.6458333333)</f>
        <v>45743.6458333333</v>
      </c>
      <c r="D5" s="15">
        <f>IFERROR(__xludf.DUMMYFUNCTION("""COMPUTED_VALUE"""),2310)</f>
        <v>2310</v>
      </c>
      <c r="E5" s="14">
        <f>IFERROR(__xludf.DUMMYFUNCTION("""COMPUTED_VALUE"""),45743.6458333333)</f>
        <v>45743.6458333333</v>
      </c>
      <c r="F5" s="15">
        <f>IFERROR(__xludf.DUMMYFUNCTION("""COMPUTED_VALUE"""),1696042)</f>
        <v>1696042</v>
      </c>
      <c r="G5" s="14">
        <f>IFERROR(__xludf.DUMMYFUNCTION("""COMPUTED_VALUE"""),45743.6458333333)</f>
        <v>45743.6458333333</v>
      </c>
      <c r="H5" s="15">
        <f>IFERROR(__xludf.DUMMYFUNCTION("""COMPUTED_VALUE"""),2373.9)</f>
        <v>2373.9</v>
      </c>
      <c r="I5" s="30">
        <f>IFERROR(__xludf.DUMMYFUNCTION("""COMPUTED_VALUE"""),45743.6458333333)</f>
        <v>45743.6458333333</v>
      </c>
      <c r="J5" s="3">
        <f>IFERROR(__xludf.DUMMYFUNCTION("""COMPUTED_VALUE"""),2291.6)</f>
        <v>2291.6</v>
      </c>
      <c r="K5" s="5"/>
      <c r="L5" s="5"/>
      <c r="M5" s="3">
        <f t="array" ref="M5">INDEX(K11:K124,MATCH(SMALL(ABS(K11:K124-H3),1),ABS(K11:K124-H3),0))</f>
        <v>2555</v>
      </c>
      <c r="N5" s="3">
        <f t="array" ref="N5">INDEX(K11:K124,MATCH(SMALL(ABS(K11:K124-H3),2),ABS(K11:K124-H3),0))</f>
        <v>2613.1</v>
      </c>
      <c r="O5" s="3">
        <f t="array" ref="O5">INDEX(L11:L124,MATCH(SMALL(ABS(L11:L124-H3),1),ABS(L11:L124-H3),0))</f>
        <v>2558.7</v>
      </c>
      <c r="P5" s="3">
        <f t="array" ref="P5">INDEX(L11:L124,MATCH(SMALL(ABS(L11:L124-H3),2),ABS(L11:L124-H3),0))</f>
        <v>2470.9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2442.8</v>
      </c>
      <c r="T5" s="17">
        <f ca="1">IF(AND(H3&gt;=Mastersheet!I3*S5,H3&lt;=Mastersheet!J3*S5),1,0)</f>
        <v>0</v>
      </c>
      <c r="U5" s="36">
        <f>(N3+P3)/2</f>
        <v>2558.25</v>
      </c>
      <c r="V5" s="17">
        <f>(N3+P3+R3+T3)/4</f>
        <v>2564.125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IFERROR(__xludf.DUMMYFUNCTION("""COMPUTED_VALUE"""),2315.8)</f>
        <v>2315.8</v>
      </c>
      <c r="C6" s="16">
        <f>IFERROR(__xludf.DUMMYFUNCTION("""COMPUTED_VALUE"""),45744.6458333333)</f>
        <v>45744.6458333333</v>
      </c>
      <c r="D6" s="17">
        <f>IFERROR(__xludf.DUMMYFUNCTION("""COMPUTED_VALUE"""),2376)</f>
        <v>2376</v>
      </c>
      <c r="E6" s="16">
        <f>IFERROR(__xludf.DUMMYFUNCTION("""COMPUTED_VALUE"""),45744.6458333333)</f>
        <v>45744.6458333333</v>
      </c>
      <c r="F6" s="17">
        <f>IFERROR(__xludf.DUMMYFUNCTION("""COMPUTED_VALUE"""),1838836)</f>
        <v>1838836</v>
      </c>
      <c r="G6" s="16">
        <f>IFERROR(__xludf.DUMMYFUNCTION("""COMPUTED_VALUE"""),45744.6458333333)</f>
        <v>45744.6458333333</v>
      </c>
      <c r="H6" s="17">
        <f>IFERROR(__xludf.DUMMYFUNCTION("""COMPUTED_VALUE"""),2386.95)</f>
        <v>2386.95</v>
      </c>
      <c r="I6" s="16">
        <f>IFERROR(__xludf.DUMMYFUNCTION("""COMPUTED_VALUE"""),45744.6458333333)</f>
        <v>45744.6458333333</v>
      </c>
      <c r="J6" s="17">
        <f>IFERROR(__xludf.DUMMYFUNCTION("""COMPUTED_VALUE"""),2293.7)</f>
        <v>2293.7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IFERROR(__xludf.DUMMYFUNCTION("""COMPUTED_VALUE"""),2335.25)</f>
        <v>2335.25</v>
      </c>
      <c r="C7" s="16">
        <f>IFERROR(__xludf.DUMMYFUNCTION("""COMPUTED_VALUE"""),45748.6458333333)</f>
        <v>45748.6458333333</v>
      </c>
      <c r="D7" s="17">
        <f>IFERROR(__xludf.DUMMYFUNCTION("""COMPUTED_VALUE"""),2312)</f>
        <v>2312</v>
      </c>
      <c r="E7" s="16">
        <f>IFERROR(__xludf.DUMMYFUNCTION("""COMPUTED_VALUE"""),45748.6458333333)</f>
        <v>45748.6458333333</v>
      </c>
      <c r="F7" s="17">
        <f>IFERROR(__xludf.DUMMYFUNCTION("""COMPUTED_VALUE"""),501942)</f>
        <v>501942</v>
      </c>
      <c r="G7" s="16">
        <f>IFERROR(__xludf.DUMMYFUNCTION("""COMPUTED_VALUE"""),45748.6458333333)</f>
        <v>45748.6458333333</v>
      </c>
      <c r="H7" s="17">
        <f>IFERROR(__xludf.DUMMYFUNCTION("""COMPUTED_VALUE"""),2358.95)</f>
        <v>2358.95</v>
      </c>
      <c r="I7" s="16">
        <f>IFERROR(__xludf.DUMMYFUNCTION("""COMPUTED_VALUE"""),45748.6458333333)</f>
        <v>45748.6458333333</v>
      </c>
      <c r="J7" s="17">
        <f>IFERROR(__xludf.DUMMYFUNCTION("""COMPUTED_VALUE"""),2301)</f>
        <v>2301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IFERROR(__xludf.DUMMYFUNCTION("""COMPUTED_VALUE"""),2369.4)</f>
        <v>2369.4</v>
      </c>
      <c r="C8" s="16">
        <f>IFERROR(__xludf.DUMMYFUNCTION("""COMPUTED_VALUE"""),45749.6458333333)</f>
        <v>45749.6458333333</v>
      </c>
      <c r="D8" s="17">
        <f>IFERROR(__xludf.DUMMYFUNCTION("""COMPUTED_VALUE"""),2339.75)</f>
        <v>2339.75</v>
      </c>
      <c r="E8" s="16">
        <f>IFERROR(__xludf.DUMMYFUNCTION("""COMPUTED_VALUE"""),45749.6458333333)</f>
        <v>45749.6458333333</v>
      </c>
      <c r="F8" s="17">
        <f>IFERROR(__xludf.DUMMYFUNCTION("""COMPUTED_VALUE"""),573928)</f>
        <v>573928</v>
      </c>
      <c r="G8" s="16">
        <f>IFERROR(__xludf.DUMMYFUNCTION("""COMPUTED_VALUE"""),45749.6458333333)</f>
        <v>45749.6458333333</v>
      </c>
      <c r="H8" s="17">
        <f>IFERROR(__xludf.DUMMYFUNCTION("""COMPUTED_VALUE"""),2378.85)</f>
        <v>2378.85</v>
      </c>
      <c r="I8" s="16">
        <f>IFERROR(__xludf.DUMMYFUNCTION("""COMPUTED_VALUE"""),45749.6458333333)</f>
        <v>45749.6458333333</v>
      </c>
      <c r="J8" s="17">
        <f>IFERROR(__xludf.DUMMYFUNCTION("""COMPUTED_VALUE"""),2314.55)</f>
        <v>2314.55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IFERROR(__xludf.DUMMYFUNCTION("""COMPUTED_VALUE"""),2410.8)</f>
        <v>2410.8</v>
      </c>
      <c r="C9" s="16">
        <f>IFERROR(__xludf.DUMMYFUNCTION("""COMPUTED_VALUE"""),45750.6458333333)</f>
        <v>45750.6458333333</v>
      </c>
      <c r="D9" s="17">
        <f>IFERROR(__xludf.DUMMYFUNCTION("""COMPUTED_VALUE"""),2339.75)</f>
        <v>2339.75</v>
      </c>
      <c r="E9" s="16">
        <f>IFERROR(__xludf.DUMMYFUNCTION("""COMPUTED_VALUE"""),45750.6458333333)</f>
        <v>45750.6458333333</v>
      </c>
      <c r="F9" s="17">
        <f>IFERROR(__xludf.DUMMYFUNCTION("""COMPUTED_VALUE"""),1023200)</f>
        <v>1023200</v>
      </c>
      <c r="G9" s="16">
        <f>IFERROR(__xludf.DUMMYFUNCTION("""COMPUTED_VALUE"""),45750.6458333333)</f>
        <v>45750.6458333333</v>
      </c>
      <c r="H9" s="17">
        <f>IFERROR(__xludf.DUMMYFUNCTION("""COMPUTED_VALUE"""),2429.9)</f>
        <v>2429.9</v>
      </c>
      <c r="I9" s="16">
        <f>IFERROR(__xludf.DUMMYFUNCTION("""COMPUTED_VALUE"""),45750.6458333333)</f>
        <v>45750.6458333333</v>
      </c>
      <c r="J9" s="17">
        <f>IFERROR(__xludf.DUMMYFUNCTION("""COMPUTED_VALUE"""),2339.7)</f>
        <v>2339.7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IFERROR(__xludf.DUMMYFUNCTION("""COMPUTED_VALUE"""),2334.65)</f>
        <v>2334.65</v>
      </c>
      <c r="C10" s="16">
        <f>IFERROR(__xludf.DUMMYFUNCTION("""COMPUTED_VALUE"""),45751.6458333333)</f>
        <v>45751.6458333333</v>
      </c>
      <c r="D10" s="17">
        <f>IFERROR(__xludf.DUMMYFUNCTION("""COMPUTED_VALUE"""),2394.95)</f>
        <v>2394.95</v>
      </c>
      <c r="E10" s="16">
        <f>IFERROR(__xludf.DUMMYFUNCTION("""COMPUTED_VALUE"""),45751.6458333333)</f>
        <v>45751.6458333333</v>
      </c>
      <c r="F10" s="17">
        <f>IFERROR(__xludf.DUMMYFUNCTION("""COMPUTED_VALUE"""),1219733)</f>
        <v>1219733</v>
      </c>
      <c r="G10" s="16">
        <f>IFERROR(__xludf.DUMMYFUNCTION("""COMPUTED_VALUE"""),45751.6458333333)</f>
        <v>45751.6458333333</v>
      </c>
      <c r="H10" s="17">
        <f>IFERROR(__xludf.DUMMYFUNCTION("""COMPUTED_VALUE"""),2410.05)</f>
        <v>2410.05</v>
      </c>
      <c r="I10" s="16">
        <f>IFERROR(__xludf.DUMMYFUNCTION("""COMPUTED_VALUE"""),45751.6458333333)</f>
        <v>45751.6458333333</v>
      </c>
      <c r="J10" s="17">
        <f>IFERROR(__xludf.DUMMYFUNCTION("""COMPUTED_VALUE"""),2315.5)</f>
        <v>2315.5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IFERROR(__xludf.DUMMYFUNCTION("""COMPUTED_VALUE"""),2212.7)</f>
        <v>2212.7</v>
      </c>
      <c r="C11" s="16">
        <f>IFERROR(__xludf.DUMMYFUNCTION("""COMPUTED_VALUE"""),45754.6458333333)</f>
        <v>45754.6458333333</v>
      </c>
      <c r="D11" s="17">
        <f>IFERROR(__xludf.DUMMYFUNCTION("""COMPUTED_VALUE"""),2150.05)</f>
        <v>2150.05</v>
      </c>
      <c r="E11" s="16">
        <f>IFERROR(__xludf.DUMMYFUNCTION("""COMPUTED_VALUE"""),45754.6458333333)</f>
        <v>45754.6458333333</v>
      </c>
      <c r="F11" s="17">
        <f>IFERROR(__xludf.DUMMYFUNCTION("""COMPUTED_VALUE"""),1567177)</f>
        <v>1567177</v>
      </c>
      <c r="G11" s="16">
        <f>IFERROR(__xludf.DUMMYFUNCTION("""COMPUTED_VALUE"""),45754.6458333333)</f>
        <v>45754.6458333333</v>
      </c>
      <c r="H11" s="17">
        <f>IFERROR(__xludf.DUMMYFUNCTION("""COMPUTED_VALUE"""),2239)</f>
        <v>2239</v>
      </c>
      <c r="I11" s="16">
        <f>IFERROR(__xludf.DUMMYFUNCTION("""COMPUTED_VALUE"""),45754.6458333333)</f>
        <v>45754.6458333333</v>
      </c>
      <c r="J11" s="17">
        <f>IFERROR(__xludf.DUMMYFUNCTION("""COMPUTED_VALUE"""),2145)</f>
        <v>2145</v>
      </c>
      <c r="K11" s="3">
        <f t="shared" ref="K11:K125" si="2">IF(B11=MAX(B5:B17),B11,0)</f>
        <v>0</v>
      </c>
      <c r="L11" s="3">
        <f t="shared" ref="L11:L125" si="3">IF(B11=MIN(B5:B17),B11,0)</f>
        <v>2212.7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IFERROR(__xludf.DUMMYFUNCTION("""COMPUTED_VALUE"""),2285.7)</f>
        <v>2285.7</v>
      </c>
      <c r="C12" s="16">
        <f>IFERROR(__xludf.DUMMYFUNCTION("""COMPUTED_VALUE"""),45755.6458333333)</f>
        <v>45755.6458333333</v>
      </c>
      <c r="D12" s="17">
        <f>IFERROR(__xludf.DUMMYFUNCTION("""COMPUTED_VALUE"""),2270)</f>
        <v>2270</v>
      </c>
      <c r="E12" s="16">
        <f>IFERROR(__xludf.DUMMYFUNCTION("""COMPUTED_VALUE"""),45755.6458333333)</f>
        <v>45755.6458333333</v>
      </c>
      <c r="F12" s="17">
        <f>IFERROR(__xludf.DUMMYFUNCTION("""COMPUTED_VALUE"""),1224362)</f>
        <v>1224362</v>
      </c>
      <c r="G12" s="16">
        <f>IFERROR(__xludf.DUMMYFUNCTION("""COMPUTED_VALUE"""),45755.6458333333)</f>
        <v>45755.6458333333</v>
      </c>
      <c r="H12" s="17">
        <f>IFERROR(__xludf.DUMMYFUNCTION("""COMPUTED_VALUE"""),2301)</f>
        <v>2301</v>
      </c>
      <c r="I12" s="16">
        <f>IFERROR(__xludf.DUMMYFUNCTION("""COMPUTED_VALUE"""),45755.6458333333)</f>
        <v>45755.6458333333</v>
      </c>
      <c r="J12" s="17">
        <f>IFERROR(__xludf.DUMMYFUNCTION("""COMPUTED_VALUE"""),2225)</f>
        <v>2225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IFERROR(__xludf.DUMMYFUNCTION("""COMPUTED_VALUE"""),2236.9)</f>
        <v>2236.9</v>
      </c>
      <c r="C13" s="16">
        <f>IFERROR(__xludf.DUMMYFUNCTION("""COMPUTED_VALUE"""),45756.6458333333)</f>
        <v>45756.6458333333</v>
      </c>
      <c r="D13" s="17">
        <f>IFERROR(__xludf.DUMMYFUNCTION("""COMPUTED_VALUE"""),2265.7)</f>
        <v>2265.7</v>
      </c>
      <c r="E13" s="16">
        <f>IFERROR(__xludf.DUMMYFUNCTION("""COMPUTED_VALUE"""),45756.6458333333)</f>
        <v>45756.6458333333</v>
      </c>
      <c r="F13" s="17">
        <f>IFERROR(__xludf.DUMMYFUNCTION("""COMPUTED_VALUE"""),1001633)</f>
        <v>1001633</v>
      </c>
      <c r="G13" s="16">
        <f>IFERROR(__xludf.DUMMYFUNCTION("""COMPUTED_VALUE"""),45756.6458333333)</f>
        <v>45756.6458333333</v>
      </c>
      <c r="H13" s="17">
        <f>IFERROR(__xludf.DUMMYFUNCTION("""COMPUTED_VALUE"""),2279.55)</f>
        <v>2279.55</v>
      </c>
      <c r="I13" s="16">
        <f>IFERROR(__xludf.DUMMYFUNCTION("""COMPUTED_VALUE"""),45756.6458333333)</f>
        <v>45756.6458333333</v>
      </c>
      <c r="J13" s="17">
        <f>IFERROR(__xludf.DUMMYFUNCTION("""COMPUTED_VALUE"""),2215.2)</f>
        <v>2215.2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IFERROR(__xludf.DUMMYFUNCTION("""COMPUTED_VALUE"""),2321.4)</f>
        <v>2321.4</v>
      </c>
      <c r="C14" s="16">
        <f>IFERROR(__xludf.DUMMYFUNCTION("""COMPUTED_VALUE"""),45758.6458333333)</f>
        <v>45758.6458333333</v>
      </c>
      <c r="D14" s="17">
        <f>IFERROR(__xludf.DUMMYFUNCTION("""COMPUTED_VALUE"""),2303.05)</f>
        <v>2303.05</v>
      </c>
      <c r="E14" s="16">
        <f>IFERROR(__xludf.DUMMYFUNCTION("""COMPUTED_VALUE"""),45758.6458333333)</f>
        <v>45758.6458333333</v>
      </c>
      <c r="F14" s="17">
        <f>IFERROR(__xludf.DUMMYFUNCTION("""COMPUTED_VALUE"""),981463)</f>
        <v>981463</v>
      </c>
      <c r="G14" s="16">
        <f>IFERROR(__xludf.DUMMYFUNCTION("""COMPUTED_VALUE"""),45758.6458333333)</f>
        <v>45758.6458333333</v>
      </c>
      <c r="H14" s="17">
        <f>IFERROR(__xludf.DUMMYFUNCTION("""COMPUTED_VALUE"""),2343.5)</f>
        <v>2343.5</v>
      </c>
      <c r="I14" s="16">
        <f>IFERROR(__xludf.DUMMYFUNCTION("""COMPUTED_VALUE"""),45758.6458333333)</f>
        <v>45758.6458333333</v>
      </c>
      <c r="J14" s="17">
        <f>IFERROR(__xludf.DUMMYFUNCTION("""COMPUTED_VALUE"""),2281)</f>
        <v>2281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IFERROR(__xludf.DUMMYFUNCTION("""COMPUTED_VALUE"""),2418.2)</f>
        <v>2418.2</v>
      </c>
      <c r="C15" s="16">
        <f>IFERROR(__xludf.DUMMYFUNCTION("""COMPUTED_VALUE"""),45762.6458333333)</f>
        <v>45762.6458333333</v>
      </c>
      <c r="D15" s="17">
        <f>IFERROR(__xludf.DUMMYFUNCTION("""COMPUTED_VALUE"""),2375)</f>
        <v>2375</v>
      </c>
      <c r="E15" s="16">
        <f>IFERROR(__xludf.DUMMYFUNCTION("""COMPUTED_VALUE"""),45762.6458333333)</f>
        <v>45762.6458333333</v>
      </c>
      <c r="F15" s="17">
        <f>IFERROR(__xludf.DUMMYFUNCTION("""COMPUTED_VALUE"""),1145125)</f>
        <v>1145125</v>
      </c>
      <c r="G15" s="16">
        <f>IFERROR(__xludf.DUMMYFUNCTION("""COMPUTED_VALUE"""),45762.6458333333)</f>
        <v>45762.6458333333</v>
      </c>
      <c r="H15" s="17">
        <f>IFERROR(__xludf.DUMMYFUNCTION("""COMPUTED_VALUE"""),2440)</f>
        <v>2440</v>
      </c>
      <c r="I15" s="16">
        <f>IFERROR(__xludf.DUMMYFUNCTION("""COMPUTED_VALUE"""),45762.6458333333)</f>
        <v>45762.6458333333</v>
      </c>
      <c r="J15" s="17">
        <f>IFERROR(__xludf.DUMMYFUNCTION("""COMPUTED_VALUE"""),2359)</f>
        <v>2359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IFERROR(__xludf.DUMMYFUNCTION("""COMPUTED_VALUE"""),2415.6)</f>
        <v>2415.6</v>
      </c>
      <c r="C16" s="16">
        <f>IFERROR(__xludf.DUMMYFUNCTION("""COMPUTED_VALUE"""),45763.6458333333)</f>
        <v>45763.6458333333</v>
      </c>
      <c r="D16" s="17">
        <f>IFERROR(__xludf.DUMMYFUNCTION("""COMPUTED_VALUE"""),2400)</f>
        <v>2400</v>
      </c>
      <c r="E16" s="16">
        <f>IFERROR(__xludf.DUMMYFUNCTION("""COMPUTED_VALUE"""),45763.6458333333)</f>
        <v>45763.6458333333</v>
      </c>
      <c r="F16" s="17">
        <f>IFERROR(__xludf.DUMMYFUNCTION("""COMPUTED_VALUE"""),889949)</f>
        <v>889949</v>
      </c>
      <c r="G16" s="16">
        <f>IFERROR(__xludf.DUMMYFUNCTION("""COMPUTED_VALUE"""),45763.6458333333)</f>
        <v>45763.6458333333</v>
      </c>
      <c r="H16" s="17">
        <f>IFERROR(__xludf.DUMMYFUNCTION("""COMPUTED_VALUE"""),2428)</f>
        <v>2428</v>
      </c>
      <c r="I16" s="16">
        <f>IFERROR(__xludf.DUMMYFUNCTION("""COMPUTED_VALUE"""),45763.6458333333)</f>
        <v>45763.6458333333</v>
      </c>
      <c r="J16" s="17">
        <f>IFERROR(__xludf.DUMMYFUNCTION("""COMPUTED_VALUE"""),2382.9)</f>
        <v>2382.9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IFERROR(__xludf.DUMMYFUNCTION("""COMPUTED_VALUE"""),2418.1)</f>
        <v>2418.1</v>
      </c>
      <c r="C17" s="16">
        <f>IFERROR(__xludf.DUMMYFUNCTION("""COMPUTED_VALUE"""),45764.6458333333)</f>
        <v>45764.6458333333</v>
      </c>
      <c r="D17" s="17">
        <f>IFERROR(__xludf.DUMMYFUNCTION("""COMPUTED_VALUE"""),2418)</f>
        <v>2418</v>
      </c>
      <c r="E17" s="16">
        <f>IFERROR(__xludf.DUMMYFUNCTION("""COMPUTED_VALUE"""),45764.6458333333)</f>
        <v>45764.6458333333</v>
      </c>
      <c r="F17" s="17">
        <f>IFERROR(__xludf.DUMMYFUNCTION("""COMPUTED_VALUE"""),1054797)</f>
        <v>1054797</v>
      </c>
      <c r="G17" s="16">
        <f>IFERROR(__xludf.DUMMYFUNCTION("""COMPUTED_VALUE"""),45764.6458333333)</f>
        <v>45764.6458333333</v>
      </c>
      <c r="H17" s="17">
        <f>IFERROR(__xludf.DUMMYFUNCTION("""COMPUTED_VALUE"""),2448.6)</f>
        <v>2448.6</v>
      </c>
      <c r="I17" s="16">
        <f>IFERROR(__xludf.DUMMYFUNCTION("""COMPUTED_VALUE"""),45764.6458333333)</f>
        <v>45764.6458333333</v>
      </c>
      <c r="J17" s="17">
        <f>IFERROR(__xludf.DUMMYFUNCTION("""COMPUTED_VALUE"""),2392)</f>
        <v>2392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IFERROR(__xludf.DUMMYFUNCTION("""COMPUTED_VALUE"""),2442.7)</f>
        <v>2442.7</v>
      </c>
      <c r="C18" s="16">
        <f>IFERROR(__xludf.DUMMYFUNCTION("""COMPUTED_VALUE"""),45768.6458333333)</f>
        <v>45768.6458333333</v>
      </c>
      <c r="D18" s="17">
        <f>IFERROR(__xludf.DUMMYFUNCTION("""COMPUTED_VALUE"""),2426.1)</f>
        <v>2426.1</v>
      </c>
      <c r="E18" s="16">
        <f>IFERROR(__xludf.DUMMYFUNCTION("""COMPUTED_VALUE"""),45768.6458333333)</f>
        <v>45768.6458333333</v>
      </c>
      <c r="F18" s="17">
        <f>IFERROR(__xludf.DUMMYFUNCTION("""COMPUTED_VALUE"""),782559)</f>
        <v>782559</v>
      </c>
      <c r="G18" s="16">
        <f>IFERROR(__xludf.DUMMYFUNCTION("""COMPUTED_VALUE"""),45768.6458333333)</f>
        <v>45768.6458333333</v>
      </c>
      <c r="H18" s="17">
        <f>IFERROR(__xludf.DUMMYFUNCTION("""COMPUTED_VALUE"""),2464.9)</f>
        <v>2464.9</v>
      </c>
      <c r="I18" s="16">
        <f>IFERROR(__xludf.DUMMYFUNCTION("""COMPUTED_VALUE"""),45768.6458333333)</f>
        <v>45768.6458333333</v>
      </c>
      <c r="J18" s="17">
        <f>IFERROR(__xludf.DUMMYFUNCTION("""COMPUTED_VALUE"""),2395.5)</f>
        <v>2395.5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IFERROR(__xludf.DUMMYFUNCTION("""COMPUTED_VALUE"""),2445.5)</f>
        <v>2445.5</v>
      </c>
      <c r="C19" s="16">
        <f>IFERROR(__xludf.DUMMYFUNCTION("""COMPUTED_VALUE"""),45769.6458333333)</f>
        <v>45769.6458333333</v>
      </c>
      <c r="D19" s="17">
        <f>IFERROR(__xludf.DUMMYFUNCTION("""COMPUTED_VALUE"""),2458.9)</f>
        <v>2458.9</v>
      </c>
      <c r="E19" s="16">
        <f>IFERROR(__xludf.DUMMYFUNCTION("""COMPUTED_VALUE"""),45769.6458333333)</f>
        <v>45769.6458333333</v>
      </c>
      <c r="F19" s="17">
        <f>IFERROR(__xludf.DUMMYFUNCTION("""COMPUTED_VALUE"""),766567)</f>
        <v>766567</v>
      </c>
      <c r="G19" s="16">
        <f>IFERROR(__xludf.DUMMYFUNCTION("""COMPUTED_VALUE"""),45769.6458333333)</f>
        <v>45769.6458333333</v>
      </c>
      <c r="H19" s="17">
        <f>IFERROR(__xludf.DUMMYFUNCTION("""COMPUTED_VALUE"""),2483.4)</f>
        <v>2483.4</v>
      </c>
      <c r="I19" s="16">
        <f>IFERROR(__xludf.DUMMYFUNCTION("""COMPUTED_VALUE"""),45769.6458333333)</f>
        <v>45769.6458333333</v>
      </c>
      <c r="J19" s="17">
        <f>IFERROR(__xludf.DUMMYFUNCTION("""COMPUTED_VALUE"""),2441)</f>
        <v>2441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IFERROR(__xludf.DUMMYFUNCTION("""COMPUTED_VALUE"""),2453.6)</f>
        <v>2453.6</v>
      </c>
      <c r="C20" s="16">
        <f>IFERROR(__xludf.DUMMYFUNCTION("""COMPUTED_VALUE"""),45770.6458333333)</f>
        <v>45770.6458333333</v>
      </c>
      <c r="D20" s="17">
        <f>IFERROR(__xludf.DUMMYFUNCTION("""COMPUTED_VALUE"""),2460)</f>
        <v>2460</v>
      </c>
      <c r="E20" s="16">
        <f>IFERROR(__xludf.DUMMYFUNCTION("""COMPUTED_VALUE"""),45770.6458333333)</f>
        <v>45770.6458333333</v>
      </c>
      <c r="F20" s="17">
        <f>IFERROR(__xludf.DUMMYFUNCTION("""COMPUTED_VALUE"""),672262)</f>
        <v>672262</v>
      </c>
      <c r="G20" s="16">
        <f>IFERROR(__xludf.DUMMYFUNCTION("""COMPUTED_VALUE"""),45770.6458333333)</f>
        <v>45770.6458333333</v>
      </c>
      <c r="H20" s="17">
        <f>IFERROR(__xludf.DUMMYFUNCTION("""COMPUTED_VALUE"""),2473.8)</f>
        <v>2473.8</v>
      </c>
      <c r="I20" s="16">
        <f>IFERROR(__xludf.DUMMYFUNCTION("""COMPUTED_VALUE"""),45770.6458333333)</f>
        <v>45770.6458333333</v>
      </c>
      <c r="J20" s="17">
        <f>IFERROR(__xludf.DUMMYFUNCTION("""COMPUTED_VALUE"""),2421.2)</f>
        <v>2421.2</v>
      </c>
      <c r="K20" s="3">
        <f t="shared" si="2"/>
        <v>2453.6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IFERROR(__xludf.DUMMYFUNCTION("""COMPUTED_VALUE"""),2442.5)</f>
        <v>2442.5</v>
      </c>
      <c r="C21" s="16">
        <f>IFERROR(__xludf.DUMMYFUNCTION("""COMPUTED_VALUE"""),45771.6458333333)</f>
        <v>45771.6458333333</v>
      </c>
      <c r="D21" s="17">
        <f>IFERROR(__xludf.DUMMYFUNCTION("""COMPUTED_VALUE"""),2450)</f>
        <v>2450</v>
      </c>
      <c r="E21" s="16">
        <f>IFERROR(__xludf.DUMMYFUNCTION("""COMPUTED_VALUE"""),45771.6458333333)</f>
        <v>45771.6458333333</v>
      </c>
      <c r="F21" s="17">
        <f>IFERROR(__xludf.DUMMYFUNCTION("""COMPUTED_VALUE"""),596696)</f>
        <v>596696</v>
      </c>
      <c r="G21" s="16">
        <f>IFERROR(__xludf.DUMMYFUNCTION("""COMPUTED_VALUE"""),45771.6458333333)</f>
        <v>45771.6458333333</v>
      </c>
      <c r="H21" s="17">
        <f>IFERROR(__xludf.DUMMYFUNCTION("""COMPUTED_VALUE"""),2461.4)</f>
        <v>2461.4</v>
      </c>
      <c r="I21" s="16">
        <f>IFERROR(__xludf.DUMMYFUNCTION("""COMPUTED_VALUE"""),45771.6458333333)</f>
        <v>45771.6458333333</v>
      </c>
      <c r="J21" s="17">
        <f>IFERROR(__xludf.DUMMYFUNCTION("""COMPUTED_VALUE"""),2425.1)</f>
        <v>2425.1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IFERROR(__xludf.DUMMYFUNCTION("""COMPUTED_VALUE"""),2354.3)</f>
        <v>2354.3</v>
      </c>
      <c r="C22" s="16">
        <f>IFERROR(__xludf.DUMMYFUNCTION("""COMPUTED_VALUE"""),45772.6458333333)</f>
        <v>45772.6458333333</v>
      </c>
      <c r="D22" s="17">
        <f>IFERROR(__xludf.DUMMYFUNCTION("""COMPUTED_VALUE"""),2450.1)</f>
        <v>2450.1</v>
      </c>
      <c r="E22" s="16">
        <f>IFERROR(__xludf.DUMMYFUNCTION("""COMPUTED_VALUE"""),45772.6458333333)</f>
        <v>45772.6458333333</v>
      </c>
      <c r="F22" s="17">
        <f>IFERROR(__xludf.DUMMYFUNCTION("""COMPUTED_VALUE"""),1414809)</f>
        <v>1414809</v>
      </c>
      <c r="G22" s="16">
        <f>IFERROR(__xludf.DUMMYFUNCTION("""COMPUTED_VALUE"""),45772.6458333333)</f>
        <v>45772.6458333333</v>
      </c>
      <c r="H22" s="17">
        <f>IFERROR(__xludf.DUMMYFUNCTION("""COMPUTED_VALUE"""),2459.5)</f>
        <v>2459.5</v>
      </c>
      <c r="I22" s="16">
        <f>IFERROR(__xludf.DUMMYFUNCTION("""COMPUTED_VALUE"""),45772.6458333333)</f>
        <v>45772.6458333333</v>
      </c>
      <c r="J22" s="17">
        <f>IFERROR(__xludf.DUMMYFUNCTION("""COMPUTED_VALUE"""),2323.5)</f>
        <v>2323.5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IFERROR(__xludf.DUMMYFUNCTION("""COMPUTED_VALUE"""),2369.8)</f>
        <v>2369.8</v>
      </c>
      <c r="C23" s="16">
        <f>IFERROR(__xludf.DUMMYFUNCTION("""COMPUTED_VALUE"""),45775.6458333333)</f>
        <v>45775.6458333333</v>
      </c>
      <c r="D23" s="17">
        <f>IFERROR(__xludf.DUMMYFUNCTION("""COMPUTED_VALUE"""),2346)</f>
        <v>2346</v>
      </c>
      <c r="E23" s="16">
        <f>IFERROR(__xludf.DUMMYFUNCTION("""COMPUTED_VALUE"""),45775.6458333333)</f>
        <v>45775.6458333333</v>
      </c>
      <c r="F23" s="17">
        <f>IFERROR(__xludf.DUMMYFUNCTION("""COMPUTED_VALUE"""),681421)</f>
        <v>681421</v>
      </c>
      <c r="G23" s="16">
        <f>IFERROR(__xludf.DUMMYFUNCTION("""COMPUTED_VALUE"""),45775.6458333333)</f>
        <v>45775.6458333333</v>
      </c>
      <c r="H23" s="17">
        <f>IFERROR(__xludf.DUMMYFUNCTION("""COMPUTED_VALUE"""),2402)</f>
        <v>2402</v>
      </c>
      <c r="I23" s="16">
        <f>IFERROR(__xludf.DUMMYFUNCTION("""COMPUTED_VALUE"""),45775.6458333333)</f>
        <v>45775.6458333333</v>
      </c>
      <c r="J23" s="17">
        <f>IFERROR(__xludf.DUMMYFUNCTION("""COMPUTED_VALUE"""),2337.6)</f>
        <v>2337.6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IFERROR(__xludf.DUMMYFUNCTION("""COMPUTED_VALUE"""),2330.6)</f>
        <v>2330.6</v>
      </c>
      <c r="C24" s="16">
        <f>IFERROR(__xludf.DUMMYFUNCTION("""COMPUTED_VALUE"""),45776.6458333333)</f>
        <v>45776.6458333333</v>
      </c>
      <c r="D24" s="17">
        <f>IFERROR(__xludf.DUMMYFUNCTION("""COMPUTED_VALUE"""),2392)</f>
        <v>2392</v>
      </c>
      <c r="E24" s="16">
        <f>IFERROR(__xludf.DUMMYFUNCTION("""COMPUTED_VALUE"""),45776.6458333333)</f>
        <v>45776.6458333333</v>
      </c>
      <c r="F24" s="17">
        <f>IFERROR(__xludf.DUMMYFUNCTION("""COMPUTED_VALUE"""),670730)</f>
        <v>670730</v>
      </c>
      <c r="G24" s="16">
        <f>IFERROR(__xludf.DUMMYFUNCTION("""COMPUTED_VALUE"""),45776.6458333333)</f>
        <v>45776.6458333333</v>
      </c>
      <c r="H24" s="17">
        <f>IFERROR(__xludf.DUMMYFUNCTION("""COMPUTED_VALUE"""),2400)</f>
        <v>2400</v>
      </c>
      <c r="I24" s="16">
        <f>IFERROR(__xludf.DUMMYFUNCTION("""COMPUTED_VALUE"""),45776.6458333333)</f>
        <v>45776.6458333333</v>
      </c>
      <c r="J24" s="17">
        <f>IFERROR(__xludf.DUMMYFUNCTION("""COMPUTED_VALUE"""),2325.6)</f>
        <v>2325.6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IFERROR(__xludf.DUMMYFUNCTION("""COMPUTED_VALUE"""),2301.3)</f>
        <v>2301.3</v>
      </c>
      <c r="C25" s="16">
        <f>IFERROR(__xludf.DUMMYFUNCTION("""COMPUTED_VALUE"""),45777.6458333333)</f>
        <v>45777.6458333333</v>
      </c>
      <c r="D25" s="17">
        <f>IFERROR(__xludf.DUMMYFUNCTION("""COMPUTED_VALUE"""),2331.4)</f>
        <v>2331.4</v>
      </c>
      <c r="E25" s="16">
        <f>IFERROR(__xludf.DUMMYFUNCTION("""COMPUTED_VALUE"""),45777.6458333333)</f>
        <v>45777.6458333333</v>
      </c>
      <c r="F25" s="17">
        <f>IFERROR(__xludf.DUMMYFUNCTION("""COMPUTED_VALUE"""),837464)</f>
        <v>837464</v>
      </c>
      <c r="G25" s="16">
        <f>IFERROR(__xludf.DUMMYFUNCTION("""COMPUTED_VALUE"""),45777.6458333333)</f>
        <v>45777.6458333333</v>
      </c>
      <c r="H25" s="17">
        <f>IFERROR(__xludf.DUMMYFUNCTION("""COMPUTED_VALUE"""),2340)</f>
        <v>2340</v>
      </c>
      <c r="I25" s="16">
        <f>IFERROR(__xludf.DUMMYFUNCTION("""COMPUTED_VALUE"""),45777.6458333333)</f>
        <v>45777.6458333333</v>
      </c>
      <c r="J25" s="17">
        <f>IFERROR(__xludf.DUMMYFUNCTION("""COMPUTED_VALUE"""),2285)</f>
        <v>2285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IFERROR(__xludf.DUMMYFUNCTION("""COMPUTED_VALUE"""),2294.2)</f>
        <v>2294.2</v>
      </c>
      <c r="C26" s="16">
        <f>IFERROR(__xludf.DUMMYFUNCTION("""COMPUTED_VALUE"""),45779.6458333333)</f>
        <v>45779.6458333333</v>
      </c>
      <c r="D26" s="17">
        <f>IFERROR(__xludf.DUMMYFUNCTION("""COMPUTED_VALUE"""),2349.9)</f>
        <v>2349.9</v>
      </c>
      <c r="E26" s="16">
        <f>IFERROR(__xludf.DUMMYFUNCTION("""COMPUTED_VALUE"""),45779.6458333333)</f>
        <v>45779.6458333333</v>
      </c>
      <c r="F26" s="17">
        <f>IFERROR(__xludf.DUMMYFUNCTION("""COMPUTED_VALUE"""),1695797)</f>
        <v>1695797</v>
      </c>
      <c r="G26" s="16">
        <f>IFERROR(__xludf.DUMMYFUNCTION("""COMPUTED_VALUE"""),45779.6458333333)</f>
        <v>45779.6458333333</v>
      </c>
      <c r="H26" s="17">
        <f>IFERROR(__xludf.DUMMYFUNCTION("""COMPUTED_VALUE"""),2372.4)</f>
        <v>2372.4</v>
      </c>
      <c r="I26" s="16">
        <f>IFERROR(__xludf.DUMMYFUNCTION("""COMPUTED_VALUE"""),45779.6458333333)</f>
        <v>45779.6458333333</v>
      </c>
      <c r="J26" s="17">
        <f>IFERROR(__xludf.DUMMYFUNCTION("""COMPUTED_VALUE"""),2290)</f>
        <v>2290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IFERROR(__xludf.DUMMYFUNCTION("""COMPUTED_VALUE"""),2455.5)</f>
        <v>2455.5</v>
      </c>
      <c r="C27" s="16">
        <f>IFERROR(__xludf.DUMMYFUNCTION("""COMPUTED_VALUE"""),45782.6458333333)</f>
        <v>45782.6458333333</v>
      </c>
      <c r="D27" s="17">
        <f>IFERROR(__xludf.DUMMYFUNCTION("""COMPUTED_VALUE"""),2312.6)</f>
        <v>2312.6</v>
      </c>
      <c r="E27" s="16">
        <f>IFERROR(__xludf.DUMMYFUNCTION("""COMPUTED_VALUE"""),45782.6458333333)</f>
        <v>45782.6458333333</v>
      </c>
      <c r="F27" s="17">
        <f>IFERROR(__xludf.DUMMYFUNCTION("""COMPUTED_VALUE"""),4227194)</f>
        <v>4227194</v>
      </c>
      <c r="G27" s="16">
        <f>IFERROR(__xludf.DUMMYFUNCTION("""COMPUTED_VALUE"""),45782.6458333333)</f>
        <v>45782.6458333333</v>
      </c>
      <c r="H27" s="17">
        <f>IFERROR(__xludf.DUMMYFUNCTION("""COMPUTED_VALUE"""),2497)</f>
        <v>2497</v>
      </c>
      <c r="I27" s="16">
        <f>IFERROR(__xludf.DUMMYFUNCTION("""COMPUTED_VALUE"""),45782.6458333333)</f>
        <v>45782.6458333333</v>
      </c>
      <c r="J27" s="17">
        <f>IFERROR(__xludf.DUMMYFUNCTION("""COMPUTED_VALUE"""),2297.8)</f>
        <v>2297.8</v>
      </c>
      <c r="K27" s="3">
        <f t="shared" si="2"/>
        <v>2455.5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IFERROR(__xludf.DUMMYFUNCTION("""COMPUTED_VALUE"""),2354)</f>
        <v>2354</v>
      </c>
      <c r="C28" s="16">
        <f>IFERROR(__xludf.DUMMYFUNCTION("""COMPUTED_VALUE"""),45783.6458333333)</f>
        <v>45783.6458333333</v>
      </c>
      <c r="D28" s="17">
        <f>IFERROR(__xludf.DUMMYFUNCTION("""COMPUTED_VALUE"""),2454)</f>
        <v>2454</v>
      </c>
      <c r="E28" s="16">
        <f>IFERROR(__xludf.DUMMYFUNCTION("""COMPUTED_VALUE"""),45783.6458333333)</f>
        <v>45783.6458333333</v>
      </c>
      <c r="F28" s="17">
        <f>IFERROR(__xludf.DUMMYFUNCTION("""COMPUTED_VALUE"""),1524692)</f>
        <v>1524692</v>
      </c>
      <c r="G28" s="16">
        <f>IFERROR(__xludf.DUMMYFUNCTION("""COMPUTED_VALUE"""),45783.6458333333)</f>
        <v>45783.6458333333</v>
      </c>
      <c r="H28" s="17">
        <f>IFERROR(__xludf.DUMMYFUNCTION("""COMPUTED_VALUE"""),2463.2)</f>
        <v>2463.2</v>
      </c>
      <c r="I28" s="16">
        <f>IFERROR(__xludf.DUMMYFUNCTION("""COMPUTED_VALUE"""),45783.6458333333)</f>
        <v>45783.6458333333</v>
      </c>
      <c r="J28" s="17">
        <f>IFERROR(__xludf.DUMMYFUNCTION("""COMPUTED_VALUE"""),2343.5)</f>
        <v>2343.5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IFERROR(__xludf.DUMMYFUNCTION("""COMPUTED_VALUE"""),2353.1)</f>
        <v>2353.1</v>
      </c>
      <c r="C29" s="16">
        <f>IFERROR(__xludf.DUMMYFUNCTION("""COMPUTED_VALUE"""),45784.6458333333)</f>
        <v>45784.6458333333</v>
      </c>
      <c r="D29" s="17">
        <f>IFERROR(__xludf.DUMMYFUNCTION("""COMPUTED_VALUE"""),2315)</f>
        <v>2315</v>
      </c>
      <c r="E29" s="16">
        <f>IFERROR(__xludf.DUMMYFUNCTION("""COMPUTED_VALUE"""),45784.6458333333)</f>
        <v>45784.6458333333</v>
      </c>
      <c r="F29" s="17">
        <f>IFERROR(__xludf.DUMMYFUNCTION("""COMPUTED_VALUE"""),1012640)</f>
        <v>1012640</v>
      </c>
      <c r="G29" s="16">
        <f>IFERROR(__xludf.DUMMYFUNCTION("""COMPUTED_VALUE"""),45784.6458333333)</f>
        <v>45784.6458333333</v>
      </c>
      <c r="H29" s="17">
        <f>IFERROR(__xludf.DUMMYFUNCTION("""COMPUTED_VALUE"""),2379.5)</f>
        <v>2379.5</v>
      </c>
      <c r="I29" s="16">
        <f>IFERROR(__xludf.DUMMYFUNCTION("""COMPUTED_VALUE"""),45784.6458333333)</f>
        <v>45784.6458333333</v>
      </c>
      <c r="J29" s="17">
        <f>IFERROR(__xludf.DUMMYFUNCTION("""COMPUTED_VALUE"""),2315)</f>
        <v>2315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IFERROR(__xludf.DUMMYFUNCTION("""COMPUTED_VALUE"""),2285.3)</f>
        <v>2285.3</v>
      </c>
      <c r="C30" s="16">
        <f>IFERROR(__xludf.DUMMYFUNCTION("""COMPUTED_VALUE"""),45785.6458333333)</f>
        <v>45785.6458333333</v>
      </c>
      <c r="D30" s="17">
        <f>IFERROR(__xludf.DUMMYFUNCTION("""COMPUTED_VALUE"""),2362)</f>
        <v>2362</v>
      </c>
      <c r="E30" s="16">
        <f>IFERROR(__xludf.DUMMYFUNCTION("""COMPUTED_VALUE"""),45785.6458333333)</f>
        <v>45785.6458333333</v>
      </c>
      <c r="F30" s="17">
        <f>IFERROR(__xludf.DUMMYFUNCTION("""COMPUTED_VALUE"""),1380069)</f>
        <v>1380069</v>
      </c>
      <c r="G30" s="16">
        <f>IFERROR(__xludf.DUMMYFUNCTION("""COMPUTED_VALUE"""),45785.6458333333)</f>
        <v>45785.6458333333</v>
      </c>
      <c r="H30" s="17">
        <f>IFERROR(__xludf.DUMMYFUNCTION("""COMPUTED_VALUE"""),2367.8)</f>
        <v>2367.8</v>
      </c>
      <c r="I30" s="16">
        <f>IFERROR(__xludf.DUMMYFUNCTION("""COMPUTED_VALUE"""),45785.6458333333)</f>
        <v>45785.6458333333</v>
      </c>
      <c r="J30" s="17">
        <f>IFERROR(__xludf.DUMMYFUNCTION("""COMPUTED_VALUE"""),2260)</f>
        <v>2260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IFERROR(__xludf.DUMMYFUNCTION("""COMPUTED_VALUE"""),2251)</f>
        <v>2251</v>
      </c>
      <c r="C31" s="16">
        <f>IFERROR(__xludf.DUMMYFUNCTION("""COMPUTED_VALUE"""),45786.6458333333)</f>
        <v>45786.6458333333</v>
      </c>
      <c r="D31" s="17">
        <f>IFERROR(__xludf.DUMMYFUNCTION("""COMPUTED_VALUE"""),2240)</f>
        <v>2240</v>
      </c>
      <c r="E31" s="16">
        <f>IFERROR(__xludf.DUMMYFUNCTION("""COMPUTED_VALUE"""),45786.6458333333)</f>
        <v>45786.6458333333</v>
      </c>
      <c r="F31" s="17">
        <f>IFERROR(__xludf.DUMMYFUNCTION("""COMPUTED_VALUE"""),1006000)</f>
        <v>1006000</v>
      </c>
      <c r="G31" s="16">
        <f>IFERROR(__xludf.DUMMYFUNCTION("""COMPUTED_VALUE"""),45786.6458333333)</f>
        <v>45786.6458333333</v>
      </c>
      <c r="H31" s="17">
        <f>IFERROR(__xludf.DUMMYFUNCTION("""COMPUTED_VALUE"""),2273.1)</f>
        <v>2273.1</v>
      </c>
      <c r="I31" s="16">
        <f>IFERROR(__xludf.DUMMYFUNCTION("""COMPUTED_VALUE"""),45786.6458333333)</f>
        <v>45786.6458333333</v>
      </c>
      <c r="J31" s="17">
        <f>IFERROR(__xludf.DUMMYFUNCTION("""COMPUTED_VALUE"""),2233)</f>
        <v>2233</v>
      </c>
      <c r="K31" s="3">
        <f t="shared" si="2"/>
        <v>0</v>
      </c>
      <c r="L31" s="3">
        <f t="shared" si="3"/>
        <v>2251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IFERROR(__xludf.DUMMYFUNCTION("""COMPUTED_VALUE"""),2425.3)</f>
        <v>2425.3</v>
      </c>
      <c r="C32" s="16">
        <f>IFERROR(__xludf.DUMMYFUNCTION("""COMPUTED_VALUE"""),45789.6458333333)</f>
        <v>45789.6458333333</v>
      </c>
      <c r="D32" s="17">
        <f>IFERROR(__xludf.DUMMYFUNCTION("""COMPUTED_VALUE"""),2350)</f>
        <v>2350</v>
      </c>
      <c r="E32" s="16">
        <f>IFERROR(__xludf.DUMMYFUNCTION("""COMPUTED_VALUE"""),45789.6458333333)</f>
        <v>45789.6458333333</v>
      </c>
      <c r="F32" s="17">
        <f>IFERROR(__xludf.DUMMYFUNCTION("""COMPUTED_VALUE"""),2147039)</f>
        <v>2147039</v>
      </c>
      <c r="G32" s="16">
        <f>IFERROR(__xludf.DUMMYFUNCTION("""COMPUTED_VALUE"""),45789.6458333333)</f>
        <v>45789.6458333333</v>
      </c>
      <c r="H32" s="17">
        <f>IFERROR(__xludf.DUMMYFUNCTION("""COMPUTED_VALUE"""),2433.3)</f>
        <v>2433.3</v>
      </c>
      <c r="I32" s="16">
        <f>IFERROR(__xludf.DUMMYFUNCTION("""COMPUTED_VALUE"""),45789.6458333333)</f>
        <v>45789.6458333333</v>
      </c>
      <c r="J32" s="17">
        <f>IFERROR(__xludf.DUMMYFUNCTION("""COMPUTED_VALUE"""),2315)</f>
        <v>2315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IFERROR(__xludf.DUMMYFUNCTION("""COMPUTED_VALUE"""),2441.2)</f>
        <v>2441.2</v>
      </c>
      <c r="C33" s="16">
        <f>IFERROR(__xludf.DUMMYFUNCTION("""COMPUTED_VALUE"""),45790.6458333333)</f>
        <v>45790.6458333333</v>
      </c>
      <c r="D33" s="17">
        <f>IFERROR(__xludf.DUMMYFUNCTION("""COMPUTED_VALUE"""),2425)</f>
        <v>2425</v>
      </c>
      <c r="E33" s="16">
        <f>IFERROR(__xludf.DUMMYFUNCTION("""COMPUTED_VALUE"""),45790.6458333333)</f>
        <v>45790.6458333333</v>
      </c>
      <c r="F33" s="17">
        <f>IFERROR(__xludf.DUMMYFUNCTION("""COMPUTED_VALUE"""),1815179)</f>
        <v>1815179</v>
      </c>
      <c r="G33" s="16">
        <f>IFERROR(__xludf.DUMMYFUNCTION("""COMPUTED_VALUE"""),45790.6458333333)</f>
        <v>45790.6458333333</v>
      </c>
      <c r="H33" s="17">
        <f>IFERROR(__xludf.DUMMYFUNCTION("""COMPUTED_VALUE"""),2454.9)</f>
        <v>2454.9</v>
      </c>
      <c r="I33" s="16">
        <f>IFERROR(__xludf.DUMMYFUNCTION("""COMPUTED_VALUE"""),45790.6458333333)</f>
        <v>45790.6458333333</v>
      </c>
      <c r="J33" s="17">
        <f>IFERROR(__xludf.DUMMYFUNCTION("""COMPUTED_VALUE"""),2405)</f>
        <v>2405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IFERROR(__xludf.DUMMYFUNCTION("""COMPUTED_VALUE"""),2461.9)</f>
        <v>2461.9</v>
      </c>
      <c r="C34" s="16">
        <f>IFERROR(__xludf.DUMMYFUNCTION("""COMPUTED_VALUE"""),45791.6458333333)</f>
        <v>45791.6458333333</v>
      </c>
      <c r="D34" s="17">
        <f>IFERROR(__xludf.DUMMYFUNCTION("""COMPUTED_VALUE"""),2444.9)</f>
        <v>2444.9</v>
      </c>
      <c r="E34" s="16">
        <f>IFERROR(__xludf.DUMMYFUNCTION("""COMPUTED_VALUE"""),45791.6458333333)</f>
        <v>45791.6458333333</v>
      </c>
      <c r="F34" s="17">
        <f>IFERROR(__xludf.DUMMYFUNCTION("""COMPUTED_VALUE"""),774441)</f>
        <v>774441</v>
      </c>
      <c r="G34" s="16">
        <f>IFERROR(__xludf.DUMMYFUNCTION("""COMPUTED_VALUE"""),45791.6458333333)</f>
        <v>45791.6458333333</v>
      </c>
      <c r="H34" s="17">
        <f>IFERROR(__xludf.DUMMYFUNCTION("""COMPUTED_VALUE"""),2481.9)</f>
        <v>2481.9</v>
      </c>
      <c r="I34" s="16">
        <f>IFERROR(__xludf.DUMMYFUNCTION("""COMPUTED_VALUE"""),45791.6458333333)</f>
        <v>45791.6458333333</v>
      </c>
      <c r="J34" s="17">
        <f>IFERROR(__xludf.DUMMYFUNCTION("""COMPUTED_VALUE"""),2430.1)</f>
        <v>2430.1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IFERROR(__xludf.DUMMYFUNCTION("""COMPUTED_VALUE"""),2520)</f>
        <v>2520</v>
      </c>
      <c r="C35" s="16">
        <f>IFERROR(__xludf.DUMMYFUNCTION("""COMPUTED_VALUE"""),45792.6458333333)</f>
        <v>45792.6458333333</v>
      </c>
      <c r="D35" s="17">
        <f>IFERROR(__xludf.DUMMYFUNCTION("""COMPUTED_VALUE"""),2463.4)</f>
        <v>2463.4</v>
      </c>
      <c r="E35" s="16">
        <f>IFERROR(__xludf.DUMMYFUNCTION("""COMPUTED_VALUE"""),45792.6458333333)</f>
        <v>45792.6458333333</v>
      </c>
      <c r="F35" s="17">
        <f>IFERROR(__xludf.DUMMYFUNCTION("""COMPUTED_VALUE"""),1554801)</f>
        <v>1554801</v>
      </c>
      <c r="G35" s="16">
        <f>IFERROR(__xludf.DUMMYFUNCTION("""COMPUTED_VALUE"""),45792.6458333333)</f>
        <v>45792.6458333333</v>
      </c>
      <c r="H35" s="17">
        <f>IFERROR(__xludf.DUMMYFUNCTION("""COMPUTED_VALUE"""),2526.8)</f>
        <v>2526.8</v>
      </c>
      <c r="I35" s="16">
        <f>IFERROR(__xludf.DUMMYFUNCTION("""COMPUTED_VALUE"""),45792.6458333333)</f>
        <v>45792.6458333333</v>
      </c>
      <c r="J35" s="17">
        <f>IFERROR(__xludf.DUMMYFUNCTION("""COMPUTED_VALUE"""),2450.7)</f>
        <v>2450.7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IFERROR(__xludf.DUMMYFUNCTION("""COMPUTED_VALUE"""),2555)</f>
        <v>2555</v>
      </c>
      <c r="C36" s="16">
        <f>IFERROR(__xludf.DUMMYFUNCTION("""COMPUTED_VALUE"""),45793.6458333333)</f>
        <v>45793.6458333333</v>
      </c>
      <c r="D36" s="17">
        <f>IFERROR(__xludf.DUMMYFUNCTION("""COMPUTED_VALUE"""),2529)</f>
        <v>2529</v>
      </c>
      <c r="E36" s="16">
        <f>IFERROR(__xludf.DUMMYFUNCTION("""COMPUTED_VALUE"""),45793.6458333333)</f>
        <v>45793.6458333333</v>
      </c>
      <c r="F36" s="17">
        <f>IFERROR(__xludf.DUMMYFUNCTION("""COMPUTED_VALUE"""),1641135)</f>
        <v>1641135</v>
      </c>
      <c r="G36" s="16">
        <f>IFERROR(__xludf.DUMMYFUNCTION("""COMPUTED_VALUE"""),45793.6458333333)</f>
        <v>45793.6458333333</v>
      </c>
      <c r="H36" s="17">
        <f>IFERROR(__xludf.DUMMYFUNCTION("""COMPUTED_VALUE"""),2584.2)</f>
        <v>2584.2</v>
      </c>
      <c r="I36" s="16">
        <f>IFERROR(__xludf.DUMMYFUNCTION("""COMPUTED_VALUE"""),45793.6458333333)</f>
        <v>45793.6458333333</v>
      </c>
      <c r="J36" s="17">
        <f>IFERROR(__xludf.DUMMYFUNCTION("""COMPUTED_VALUE"""),2516.2)</f>
        <v>2516.2</v>
      </c>
      <c r="K36" s="3">
        <f t="shared" si="2"/>
        <v>2555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IFERROR(__xludf.DUMMYFUNCTION("""COMPUTED_VALUE"""),2540.6)</f>
        <v>2540.6</v>
      </c>
      <c r="C37" s="16">
        <f>IFERROR(__xludf.DUMMYFUNCTION("""COMPUTED_VALUE"""),45796.6458333333)</f>
        <v>45796.6458333333</v>
      </c>
      <c r="D37" s="17">
        <f>IFERROR(__xludf.DUMMYFUNCTION("""COMPUTED_VALUE"""),2571.3)</f>
        <v>2571.3</v>
      </c>
      <c r="E37" s="16">
        <f>IFERROR(__xludf.DUMMYFUNCTION("""COMPUTED_VALUE"""),45796.6458333333)</f>
        <v>45796.6458333333</v>
      </c>
      <c r="F37" s="17">
        <f>IFERROR(__xludf.DUMMYFUNCTION("""COMPUTED_VALUE"""),681000)</f>
        <v>681000</v>
      </c>
      <c r="G37" s="16">
        <f>IFERROR(__xludf.DUMMYFUNCTION("""COMPUTED_VALUE"""),45796.6458333333)</f>
        <v>45796.6458333333</v>
      </c>
      <c r="H37" s="17">
        <f>IFERROR(__xludf.DUMMYFUNCTION("""COMPUTED_VALUE"""),2578.8)</f>
        <v>2578.8</v>
      </c>
      <c r="I37" s="16">
        <f>IFERROR(__xludf.DUMMYFUNCTION("""COMPUTED_VALUE"""),45796.6458333333)</f>
        <v>45796.6458333333</v>
      </c>
      <c r="J37" s="17">
        <f>IFERROR(__xludf.DUMMYFUNCTION("""COMPUTED_VALUE"""),2536)</f>
        <v>2536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IFERROR(__xludf.DUMMYFUNCTION("""COMPUTED_VALUE"""),2501.6)</f>
        <v>2501.6</v>
      </c>
      <c r="C38" s="16">
        <f>IFERROR(__xludf.DUMMYFUNCTION("""COMPUTED_VALUE"""),45797.6458333333)</f>
        <v>45797.6458333333</v>
      </c>
      <c r="D38" s="17">
        <f>IFERROR(__xludf.DUMMYFUNCTION("""COMPUTED_VALUE"""),2545)</f>
        <v>2545</v>
      </c>
      <c r="E38" s="16">
        <f>IFERROR(__xludf.DUMMYFUNCTION("""COMPUTED_VALUE"""),45797.6458333333)</f>
        <v>45797.6458333333</v>
      </c>
      <c r="F38" s="17">
        <f>IFERROR(__xludf.DUMMYFUNCTION("""COMPUTED_VALUE"""),628023)</f>
        <v>628023</v>
      </c>
      <c r="G38" s="16">
        <f>IFERROR(__xludf.DUMMYFUNCTION("""COMPUTED_VALUE"""),45797.6458333333)</f>
        <v>45797.6458333333</v>
      </c>
      <c r="H38" s="17">
        <f>IFERROR(__xludf.DUMMYFUNCTION("""COMPUTED_VALUE"""),2564.8)</f>
        <v>2564.8</v>
      </c>
      <c r="I38" s="16">
        <f>IFERROR(__xludf.DUMMYFUNCTION("""COMPUTED_VALUE"""),45797.6458333333)</f>
        <v>45797.6458333333</v>
      </c>
      <c r="J38" s="17">
        <f>IFERROR(__xludf.DUMMYFUNCTION("""COMPUTED_VALUE"""),2492.5)</f>
        <v>2492.5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IFERROR(__xludf.DUMMYFUNCTION("""COMPUTED_VALUE"""),2500.4)</f>
        <v>2500.4</v>
      </c>
      <c r="C39" s="16">
        <f>IFERROR(__xludf.DUMMYFUNCTION("""COMPUTED_VALUE"""),45798.6458333333)</f>
        <v>45798.6458333333</v>
      </c>
      <c r="D39" s="17">
        <f>IFERROR(__xludf.DUMMYFUNCTION("""COMPUTED_VALUE"""),2509.7)</f>
        <v>2509.7</v>
      </c>
      <c r="E39" s="16">
        <f>IFERROR(__xludf.DUMMYFUNCTION("""COMPUTED_VALUE"""),45798.6458333333)</f>
        <v>45798.6458333333</v>
      </c>
      <c r="F39" s="17">
        <f>IFERROR(__xludf.DUMMYFUNCTION("""COMPUTED_VALUE"""),529234)</f>
        <v>529234</v>
      </c>
      <c r="G39" s="16">
        <f>IFERROR(__xludf.DUMMYFUNCTION("""COMPUTED_VALUE"""),45798.6458333333)</f>
        <v>45798.6458333333</v>
      </c>
      <c r="H39" s="17">
        <f>IFERROR(__xludf.DUMMYFUNCTION("""COMPUTED_VALUE"""),2524.5)</f>
        <v>2524.5</v>
      </c>
      <c r="I39" s="16">
        <f>IFERROR(__xludf.DUMMYFUNCTION("""COMPUTED_VALUE"""),45798.6458333333)</f>
        <v>45798.6458333333</v>
      </c>
      <c r="J39" s="17">
        <f>IFERROR(__xludf.DUMMYFUNCTION("""COMPUTED_VALUE"""),2483.7)</f>
        <v>2483.7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IFERROR(__xludf.DUMMYFUNCTION("""COMPUTED_VALUE"""),2487.6)</f>
        <v>2487.6</v>
      </c>
      <c r="C40" s="16">
        <f>IFERROR(__xludf.DUMMYFUNCTION("""COMPUTED_VALUE"""),45799.6458333333)</f>
        <v>45799.6458333333</v>
      </c>
      <c r="D40" s="17">
        <f>IFERROR(__xludf.DUMMYFUNCTION("""COMPUTED_VALUE"""),2500.4)</f>
        <v>2500.4</v>
      </c>
      <c r="E40" s="16">
        <f>IFERROR(__xludf.DUMMYFUNCTION("""COMPUTED_VALUE"""),45799.6458333333)</f>
        <v>45799.6458333333</v>
      </c>
      <c r="F40" s="17">
        <f>IFERROR(__xludf.DUMMYFUNCTION("""COMPUTED_VALUE"""),906909)</f>
        <v>906909</v>
      </c>
      <c r="G40" s="16">
        <f>IFERROR(__xludf.DUMMYFUNCTION("""COMPUTED_VALUE"""),45799.6458333333)</f>
        <v>45799.6458333333</v>
      </c>
      <c r="H40" s="17">
        <f>IFERROR(__xludf.DUMMYFUNCTION("""COMPUTED_VALUE"""),2521.9)</f>
        <v>2521.9</v>
      </c>
      <c r="I40" s="16">
        <f>IFERROR(__xludf.DUMMYFUNCTION("""COMPUTED_VALUE"""),45799.6458333333)</f>
        <v>45799.6458333333</v>
      </c>
      <c r="J40" s="17">
        <f>IFERROR(__xludf.DUMMYFUNCTION("""COMPUTED_VALUE"""),2465.3)</f>
        <v>2465.3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IFERROR(__xludf.DUMMYFUNCTION("""COMPUTED_VALUE"""),2540)</f>
        <v>2540</v>
      </c>
      <c r="C41" s="16">
        <f>IFERROR(__xludf.DUMMYFUNCTION("""COMPUTED_VALUE"""),45800.6458333333)</f>
        <v>45800.6458333333</v>
      </c>
      <c r="D41" s="17">
        <f>IFERROR(__xludf.DUMMYFUNCTION("""COMPUTED_VALUE"""),2499)</f>
        <v>2499</v>
      </c>
      <c r="E41" s="16">
        <f>IFERROR(__xludf.DUMMYFUNCTION("""COMPUTED_VALUE"""),45800.6458333333)</f>
        <v>45800.6458333333</v>
      </c>
      <c r="F41" s="17">
        <f>IFERROR(__xludf.DUMMYFUNCTION("""COMPUTED_VALUE"""),968415)</f>
        <v>968415</v>
      </c>
      <c r="G41" s="16">
        <f>IFERROR(__xludf.DUMMYFUNCTION("""COMPUTED_VALUE"""),45800.6458333333)</f>
        <v>45800.6458333333</v>
      </c>
      <c r="H41" s="17">
        <f>IFERROR(__xludf.DUMMYFUNCTION("""COMPUTED_VALUE"""),2548.1)</f>
        <v>2548.1</v>
      </c>
      <c r="I41" s="16">
        <f>IFERROR(__xludf.DUMMYFUNCTION("""COMPUTED_VALUE"""),45800.6458333333)</f>
        <v>45800.6458333333</v>
      </c>
      <c r="J41" s="17">
        <f>IFERROR(__xludf.DUMMYFUNCTION("""COMPUTED_VALUE"""),2490.5)</f>
        <v>2490.5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IFERROR(__xludf.DUMMYFUNCTION("""COMPUTED_VALUE"""),2547.7)</f>
        <v>2547.7</v>
      </c>
      <c r="C42" s="16">
        <f>IFERROR(__xludf.DUMMYFUNCTION("""COMPUTED_VALUE"""),45803.6458333333)</f>
        <v>45803.6458333333</v>
      </c>
      <c r="D42" s="17">
        <f>IFERROR(__xludf.DUMMYFUNCTION("""COMPUTED_VALUE"""),2549.1)</f>
        <v>2549.1</v>
      </c>
      <c r="E42" s="16">
        <f>IFERROR(__xludf.DUMMYFUNCTION("""COMPUTED_VALUE"""),45803.6458333333)</f>
        <v>45803.6458333333</v>
      </c>
      <c r="F42" s="17">
        <f>IFERROR(__xludf.DUMMYFUNCTION("""COMPUTED_VALUE"""),552912)</f>
        <v>552912</v>
      </c>
      <c r="G42" s="16">
        <f>IFERROR(__xludf.DUMMYFUNCTION("""COMPUTED_VALUE"""),45803.6458333333)</f>
        <v>45803.6458333333</v>
      </c>
      <c r="H42" s="17">
        <f>IFERROR(__xludf.DUMMYFUNCTION("""COMPUTED_VALUE"""),2568.9)</f>
        <v>2568.9</v>
      </c>
      <c r="I42" s="16">
        <f>IFERROR(__xludf.DUMMYFUNCTION("""COMPUTED_VALUE"""),45803.6458333333)</f>
        <v>45803.6458333333</v>
      </c>
      <c r="J42" s="17">
        <f>IFERROR(__xludf.DUMMYFUNCTION("""COMPUTED_VALUE"""),2541.3)</f>
        <v>2541.3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IFERROR(__xludf.DUMMYFUNCTION("""COMPUTED_VALUE"""),2540.3)</f>
        <v>2540.3</v>
      </c>
      <c r="C43" s="16">
        <f>IFERROR(__xludf.DUMMYFUNCTION("""COMPUTED_VALUE"""),45804.6458333333)</f>
        <v>45804.6458333333</v>
      </c>
      <c r="D43" s="17">
        <f>IFERROR(__xludf.DUMMYFUNCTION("""COMPUTED_VALUE"""),2545.9)</f>
        <v>2545.9</v>
      </c>
      <c r="E43" s="16">
        <f>IFERROR(__xludf.DUMMYFUNCTION("""COMPUTED_VALUE"""),45804.6458333333)</f>
        <v>45804.6458333333</v>
      </c>
      <c r="F43" s="17">
        <f>IFERROR(__xludf.DUMMYFUNCTION("""COMPUTED_VALUE"""),514936)</f>
        <v>514936</v>
      </c>
      <c r="G43" s="16">
        <f>IFERROR(__xludf.DUMMYFUNCTION("""COMPUTED_VALUE"""),45804.6458333333)</f>
        <v>45804.6458333333</v>
      </c>
      <c r="H43" s="17">
        <f>IFERROR(__xludf.DUMMYFUNCTION("""COMPUTED_VALUE"""),2569.1)</f>
        <v>2569.1</v>
      </c>
      <c r="I43" s="16">
        <f>IFERROR(__xludf.DUMMYFUNCTION("""COMPUTED_VALUE"""),45804.6458333333)</f>
        <v>45804.6458333333</v>
      </c>
      <c r="J43" s="17">
        <f>IFERROR(__xludf.DUMMYFUNCTION("""COMPUTED_VALUE"""),2526.1)</f>
        <v>2526.1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IFERROR(__xludf.DUMMYFUNCTION("""COMPUTED_VALUE"""),2515)</f>
        <v>2515</v>
      </c>
      <c r="C44" s="16">
        <f>IFERROR(__xludf.DUMMYFUNCTION("""COMPUTED_VALUE"""),45805.6458333333)</f>
        <v>45805.6458333333</v>
      </c>
      <c r="D44" s="17">
        <f>IFERROR(__xludf.DUMMYFUNCTION("""COMPUTED_VALUE"""),2559)</f>
        <v>2559</v>
      </c>
      <c r="E44" s="16">
        <f>IFERROR(__xludf.DUMMYFUNCTION("""COMPUTED_VALUE"""),45805.6458333333)</f>
        <v>45805.6458333333</v>
      </c>
      <c r="F44" s="17">
        <f>IFERROR(__xludf.DUMMYFUNCTION("""COMPUTED_VALUE"""),575989)</f>
        <v>575989</v>
      </c>
      <c r="G44" s="16">
        <f>IFERROR(__xludf.DUMMYFUNCTION("""COMPUTED_VALUE"""),45805.6458333333)</f>
        <v>45805.6458333333</v>
      </c>
      <c r="H44" s="17">
        <f>IFERROR(__xludf.DUMMYFUNCTION("""COMPUTED_VALUE"""),2559)</f>
        <v>2559</v>
      </c>
      <c r="I44" s="16">
        <f>IFERROR(__xludf.DUMMYFUNCTION("""COMPUTED_VALUE"""),45805.6458333333)</f>
        <v>45805.6458333333</v>
      </c>
      <c r="J44" s="17">
        <f>IFERROR(__xludf.DUMMYFUNCTION("""COMPUTED_VALUE"""),2510)</f>
        <v>2510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IFERROR(__xludf.DUMMYFUNCTION("""COMPUTED_VALUE"""),2540.8)</f>
        <v>2540.8</v>
      </c>
      <c r="C45" s="16">
        <f>IFERROR(__xludf.DUMMYFUNCTION("""COMPUTED_VALUE"""),45806.6458333333)</f>
        <v>45806.6458333333</v>
      </c>
      <c r="D45" s="17">
        <f>IFERROR(__xludf.DUMMYFUNCTION("""COMPUTED_VALUE"""),2536.7)</f>
        <v>2536.7</v>
      </c>
      <c r="E45" s="16">
        <f>IFERROR(__xludf.DUMMYFUNCTION("""COMPUTED_VALUE"""),45806.6458333333)</f>
        <v>45806.6458333333</v>
      </c>
      <c r="F45" s="17">
        <f>IFERROR(__xludf.DUMMYFUNCTION("""COMPUTED_VALUE"""),802317)</f>
        <v>802317</v>
      </c>
      <c r="G45" s="16">
        <f>IFERROR(__xludf.DUMMYFUNCTION("""COMPUTED_VALUE"""),45806.6458333333)</f>
        <v>45806.6458333333</v>
      </c>
      <c r="H45" s="17">
        <f>IFERROR(__xludf.DUMMYFUNCTION("""COMPUTED_VALUE"""),2559)</f>
        <v>2559</v>
      </c>
      <c r="I45" s="16">
        <f>IFERROR(__xludf.DUMMYFUNCTION("""COMPUTED_VALUE"""),45806.6458333333)</f>
        <v>45806.6458333333</v>
      </c>
      <c r="J45" s="17">
        <f>IFERROR(__xludf.DUMMYFUNCTION("""COMPUTED_VALUE"""),2511)</f>
        <v>2511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IFERROR(__xludf.DUMMYFUNCTION("""COMPUTED_VALUE"""),2519.9)</f>
        <v>2519.9</v>
      </c>
      <c r="C46" s="16">
        <f>IFERROR(__xludf.DUMMYFUNCTION("""COMPUTED_VALUE"""),45807.6458333333)</f>
        <v>45807.6458333333</v>
      </c>
      <c r="D46" s="17">
        <f>IFERROR(__xludf.DUMMYFUNCTION("""COMPUTED_VALUE"""),2550)</f>
        <v>2550</v>
      </c>
      <c r="E46" s="16">
        <f>IFERROR(__xludf.DUMMYFUNCTION("""COMPUTED_VALUE"""),45807.6458333333)</f>
        <v>45807.6458333333</v>
      </c>
      <c r="F46" s="17">
        <f>IFERROR(__xludf.DUMMYFUNCTION("""COMPUTED_VALUE"""),684592)</f>
        <v>684592</v>
      </c>
      <c r="G46" s="16">
        <f>IFERROR(__xludf.DUMMYFUNCTION("""COMPUTED_VALUE"""),45807.6458333333)</f>
        <v>45807.6458333333</v>
      </c>
      <c r="H46" s="17">
        <f>IFERROR(__xludf.DUMMYFUNCTION("""COMPUTED_VALUE"""),2564)</f>
        <v>2564</v>
      </c>
      <c r="I46" s="16">
        <f>IFERROR(__xludf.DUMMYFUNCTION("""COMPUTED_VALUE"""),45807.6458333333)</f>
        <v>45807.6458333333</v>
      </c>
      <c r="J46" s="17">
        <f>IFERROR(__xludf.DUMMYFUNCTION("""COMPUTED_VALUE"""),2513.8)</f>
        <v>2513.8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IFERROR(__xludf.DUMMYFUNCTION("""COMPUTED_VALUE"""),2518.8)</f>
        <v>2518.8</v>
      </c>
      <c r="C47" s="16">
        <f>IFERROR(__xludf.DUMMYFUNCTION("""COMPUTED_VALUE"""),45810.6458333333)</f>
        <v>45810.6458333333</v>
      </c>
      <c r="D47" s="17">
        <f>IFERROR(__xludf.DUMMYFUNCTION("""COMPUTED_VALUE"""),2527)</f>
        <v>2527</v>
      </c>
      <c r="E47" s="16">
        <f>IFERROR(__xludf.DUMMYFUNCTION("""COMPUTED_VALUE"""),45810.6458333333)</f>
        <v>45810.6458333333</v>
      </c>
      <c r="F47" s="17">
        <f>IFERROR(__xludf.DUMMYFUNCTION("""COMPUTED_VALUE"""),1008716)</f>
        <v>1008716</v>
      </c>
      <c r="G47" s="16">
        <f>IFERROR(__xludf.DUMMYFUNCTION("""COMPUTED_VALUE"""),45810.6458333333)</f>
        <v>45810.6458333333</v>
      </c>
      <c r="H47" s="17">
        <f>IFERROR(__xludf.DUMMYFUNCTION("""COMPUTED_VALUE"""),2564)</f>
        <v>2564</v>
      </c>
      <c r="I47" s="16">
        <f>IFERROR(__xludf.DUMMYFUNCTION("""COMPUTED_VALUE"""),45810.6458333333)</f>
        <v>45810.6458333333</v>
      </c>
      <c r="J47" s="17">
        <f>IFERROR(__xludf.DUMMYFUNCTION("""COMPUTED_VALUE"""),2514.9)</f>
        <v>2514.9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IFERROR(__xludf.DUMMYFUNCTION("""COMPUTED_VALUE"""),2470.9)</f>
        <v>2470.9</v>
      </c>
      <c r="C48" s="16">
        <f>IFERROR(__xludf.DUMMYFUNCTION("""COMPUTED_VALUE"""),45811.6458333333)</f>
        <v>45811.6458333333</v>
      </c>
      <c r="D48" s="17">
        <f>IFERROR(__xludf.DUMMYFUNCTION("""COMPUTED_VALUE"""),2511)</f>
        <v>2511</v>
      </c>
      <c r="E48" s="16">
        <f>IFERROR(__xludf.DUMMYFUNCTION("""COMPUTED_VALUE"""),45811.6458333333)</f>
        <v>45811.6458333333</v>
      </c>
      <c r="F48" s="17">
        <f>IFERROR(__xludf.DUMMYFUNCTION("""COMPUTED_VALUE"""),962708)</f>
        <v>962708</v>
      </c>
      <c r="G48" s="16">
        <f>IFERROR(__xludf.DUMMYFUNCTION("""COMPUTED_VALUE"""),45811.6458333333)</f>
        <v>45811.6458333333</v>
      </c>
      <c r="H48" s="17">
        <f>IFERROR(__xludf.DUMMYFUNCTION("""COMPUTED_VALUE"""),2512.5)</f>
        <v>2512.5</v>
      </c>
      <c r="I48" s="16">
        <f>IFERROR(__xludf.DUMMYFUNCTION("""COMPUTED_VALUE"""),45811.6458333333)</f>
        <v>45811.6458333333</v>
      </c>
      <c r="J48" s="17">
        <f>IFERROR(__xludf.DUMMYFUNCTION("""COMPUTED_VALUE"""),2452)</f>
        <v>2452</v>
      </c>
      <c r="K48" s="3">
        <f t="shared" si="2"/>
        <v>0</v>
      </c>
      <c r="L48" s="3">
        <f t="shared" si="3"/>
        <v>2470.9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IFERROR(__xludf.DUMMYFUNCTION("""COMPUTED_VALUE"""),2489.4)</f>
        <v>2489.4</v>
      </c>
      <c r="C49" s="16">
        <f>IFERROR(__xludf.DUMMYFUNCTION("""COMPUTED_VALUE"""),45812.6458333333)</f>
        <v>45812.6458333333</v>
      </c>
      <c r="D49" s="17">
        <f>IFERROR(__xludf.DUMMYFUNCTION("""COMPUTED_VALUE"""),2480)</f>
        <v>2480</v>
      </c>
      <c r="E49" s="16">
        <f>IFERROR(__xludf.DUMMYFUNCTION("""COMPUTED_VALUE"""),45812.6458333333)</f>
        <v>45812.6458333333</v>
      </c>
      <c r="F49" s="17">
        <f>IFERROR(__xludf.DUMMYFUNCTION("""COMPUTED_VALUE"""),552667)</f>
        <v>552667</v>
      </c>
      <c r="G49" s="16">
        <f>IFERROR(__xludf.DUMMYFUNCTION("""COMPUTED_VALUE"""),45812.6458333333)</f>
        <v>45812.6458333333</v>
      </c>
      <c r="H49" s="17">
        <f>IFERROR(__xludf.DUMMYFUNCTION("""COMPUTED_VALUE"""),2503)</f>
        <v>2503</v>
      </c>
      <c r="I49" s="16">
        <f>IFERROR(__xludf.DUMMYFUNCTION("""COMPUTED_VALUE"""),45812.6458333333)</f>
        <v>45812.6458333333</v>
      </c>
      <c r="J49" s="17">
        <f>IFERROR(__xludf.DUMMYFUNCTION("""COMPUTED_VALUE"""),2441.1)</f>
        <v>2441.1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IFERROR(__xludf.DUMMYFUNCTION("""COMPUTED_VALUE"""),2504.4)</f>
        <v>2504.4</v>
      </c>
      <c r="C50" s="16">
        <f>IFERROR(__xludf.DUMMYFUNCTION("""COMPUTED_VALUE"""),45813.6458333333)</f>
        <v>45813.6458333333</v>
      </c>
      <c r="D50" s="17">
        <f>IFERROR(__xludf.DUMMYFUNCTION("""COMPUTED_VALUE"""),2495)</f>
        <v>2495</v>
      </c>
      <c r="E50" s="16">
        <f>IFERROR(__xludf.DUMMYFUNCTION("""COMPUTED_VALUE"""),45813.6458333333)</f>
        <v>45813.6458333333</v>
      </c>
      <c r="F50" s="17">
        <f>IFERROR(__xludf.DUMMYFUNCTION("""COMPUTED_VALUE"""),673209)</f>
        <v>673209</v>
      </c>
      <c r="G50" s="16">
        <f>IFERROR(__xludf.DUMMYFUNCTION("""COMPUTED_VALUE"""),45813.6458333333)</f>
        <v>45813.6458333333</v>
      </c>
      <c r="H50" s="17">
        <f>IFERROR(__xludf.DUMMYFUNCTION("""COMPUTED_VALUE"""),2530.1)</f>
        <v>2530.1</v>
      </c>
      <c r="I50" s="16">
        <f>IFERROR(__xludf.DUMMYFUNCTION("""COMPUTED_VALUE"""),45813.6458333333)</f>
        <v>45813.6458333333</v>
      </c>
      <c r="J50" s="17">
        <f>IFERROR(__xludf.DUMMYFUNCTION("""COMPUTED_VALUE"""),2487.5)</f>
        <v>2487.5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IFERROR(__xludf.DUMMYFUNCTION("""COMPUTED_VALUE"""),2534.2)</f>
        <v>2534.2</v>
      </c>
      <c r="C51" s="16">
        <f>IFERROR(__xludf.DUMMYFUNCTION("""COMPUTED_VALUE"""),45814.6458333333)</f>
        <v>45814.6458333333</v>
      </c>
      <c r="D51" s="17">
        <f>IFERROR(__xludf.DUMMYFUNCTION("""COMPUTED_VALUE"""),2514.9)</f>
        <v>2514.9</v>
      </c>
      <c r="E51" s="16">
        <f>IFERROR(__xludf.DUMMYFUNCTION("""COMPUTED_VALUE"""),45814.6458333333)</f>
        <v>45814.6458333333</v>
      </c>
      <c r="F51" s="17">
        <f>IFERROR(__xludf.DUMMYFUNCTION("""COMPUTED_VALUE"""),640680)</f>
        <v>640680</v>
      </c>
      <c r="G51" s="16">
        <f>IFERROR(__xludf.DUMMYFUNCTION("""COMPUTED_VALUE"""),45814.6458333333)</f>
        <v>45814.6458333333</v>
      </c>
      <c r="H51" s="17">
        <f>IFERROR(__xludf.DUMMYFUNCTION("""COMPUTED_VALUE"""),2553.3)</f>
        <v>2553.3</v>
      </c>
      <c r="I51" s="16">
        <f>IFERROR(__xludf.DUMMYFUNCTION("""COMPUTED_VALUE"""),45814.6458333333)</f>
        <v>45814.6458333333</v>
      </c>
      <c r="J51" s="17">
        <f>IFERROR(__xludf.DUMMYFUNCTION("""COMPUTED_VALUE"""),2504)</f>
        <v>2504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IFERROR(__xludf.DUMMYFUNCTION("""COMPUTED_VALUE"""),2582.1)</f>
        <v>2582.1</v>
      </c>
      <c r="C52" s="16">
        <f>IFERROR(__xludf.DUMMYFUNCTION("""COMPUTED_VALUE"""),45817.6458333333)</f>
        <v>45817.6458333333</v>
      </c>
      <c r="D52" s="17">
        <f>IFERROR(__xludf.DUMMYFUNCTION("""COMPUTED_VALUE"""),2545)</f>
        <v>2545</v>
      </c>
      <c r="E52" s="16">
        <f>IFERROR(__xludf.DUMMYFUNCTION("""COMPUTED_VALUE"""),45817.6458333333)</f>
        <v>45817.6458333333</v>
      </c>
      <c r="F52" s="17">
        <f>IFERROR(__xludf.DUMMYFUNCTION("""COMPUTED_VALUE"""),1711167)</f>
        <v>1711167</v>
      </c>
      <c r="G52" s="16">
        <f>IFERROR(__xludf.DUMMYFUNCTION("""COMPUTED_VALUE"""),45817.6458333333)</f>
        <v>45817.6458333333</v>
      </c>
      <c r="H52" s="17">
        <f>IFERROR(__xludf.DUMMYFUNCTION("""COMPUTED_VALUE"""),2604.1)</f>
        <v>2604.1</v>
      </c>
      <c r="I52" s="16">
        <f>IFERROR(__xludf.DUMMYFUNCTION("""COMPUTED_VALUE"""),45817.6458333333)</f>
        <v>45817.6458333333</v>
      </c>
      <c r="J52" s="17">
        <f>IFERROR(__xludf.DUMMYFUNCTION("""COMPUTED_VALUE"""),2524.5)</f>
        <v>2524.5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IFERROR(__xludf.DUMMYFUNCTION("""COMPUTED_VALUE"""),2613.1)</f>
        <v>2613.1</v>
      </c>
      <c r="C53" s="16">
        <f>IFERROR(__xludf.DUMMYFUNCTION("""COMPUTED_VALUE"""),45818.6458333333)</f>
        <v>45818.6458333333</v>
      </c>
      <c r="D53" s="17">
        <f>IFERROR(__xludf.DUMMYFUNCTION("""COMPUTED_VALUE"""),2600)</f>
        <v>2600</v>
      </c>
      <c r="E53" s="16">
        <f>IFERROR(__xludf.DUMMYFUNCTION("""COMPUTED_VALUE"""),45818.6458333333)</f>
        <v>45818.6458333333</v>
      </c>
      <c r="F53" s="17">
        <f>IFERROR(__xludf.DUMMYFUNCTION("""COMPUTED_VALUE"""),2084054)</f>
        <v>2084054</v>
      </c>
      <c r="G53" s="16">
        <f>IFERROR(__xludf.DUMMYFUNCTION("""COMPUTED_VALUE"""),45818.6458333333)</f>
        <v>45818.6458333333</v>
      </c>
      <c r="H53" s="17">
        <f>IFERROR(__xludf.DUMMYFUNCTION("""COMPUTED_VALUE"""),2663.2)</f>
        <v>2663.2</v>
      </c>
      <c r="I53" s="16">
        <f>IFERROR(__xludf.DUMMYFUNCTION("""COMPUTED_VALUE"""),45818.6458333333)</f>
        <v>45818.6458333333</v>
      </c>
      <c r="J53" s="17">
        <f>IFERROR(__xludf.DUMMYFUNCTION("""COMPUTED_VALUE"""),2577.7)</f>
        <v>2577.7</v>
      </c>
      <c r="K53" s="3">
        <f t="shared" si="2"/>
        <v>2613.1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IFERROR(__xludf.DUMMYFUNCTION("""COMPUTED_VALUE"""),2581.2)</f>
        <v>2581.2</v>
      </c>
      <c r="C54" s="16">
        <f>IFERROR(__xludf.DUMMYFUNCTION("""COMPUTED_VALUE"""),45819.6458333333)</f>
        <v>45819.6458333333</v>
      </c>
      <c r="D54" s="17">
        <f>IFERROR(__xludf.DUMMYFUNCTION("""COMPUTED_VALUE"""),2630)</f>
        <v>2630</v>
      </c>
      <c r="E54" s="16">
        <f>IFERROR(__xludf.DUMMYFUNCTION("""COMPUTED_VALUE"""),45819.6458333333)</f>
        <v>45819.6458333333</v>
      </c>
      <c r="F54" s="17">
        <f>IFERROR(__xludf.DUMMYFUNCTION("""COMPUTED_VALUE"""),745432)</f>
        <v>745432</v>
      </c>
      <c r="G54" s="16">
        <f>IFERROR(__xludf.DUMMYFUNCTION("""COMPUTED_VALUE"""),45819.6458333333)</f>
        <v>45819.6458333333</v>
      </c>
      <c r="H54" s="17">
        <f>IFERROR(__xludf.DUMMYFUNCTION("""COMPUTED_VALUE"""),2630.9)</f>
        <v>2630.9</v>
      </c>
      <c r="I54" s="16">
        <f>IFERROR(__xludf.DUMMYFUNCTION("""COMPUTED_VALUE"""),45819.6458333333)</f>
        <v>45819.6458333333</v>
      </c>
      <c r="J54" s="17">
        <f>IFERROR(__xludf.DUMMYFUNCTION("""COMPUTED_VALUE"""),2563.1)</f>
        <v>2563.1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IFERROR(__xludf.DUMMYFUNCTION("""COMPUTED_VALUE"""),2543.7)</f>
        <v>2543.7</v>
      </c>
      <c r="C55" s="16">
        <f>IFERROR(__xludf.DUMMYFUNCTION("""COMPUTED_VALUE"""),45820.6458333333)</f>
        <v>45820.6458333333</v>
      </c>
      <c r="D55" s="17">
        <f>IFERROR(__xludf.DUMMYFUNCTION("""COMPUTED_VALUE"""),2591.5)</f>
        <v>2591.5</v>
      </c>
      <c r="E55" s="16">
        <f>IFERROR(__xludf.DUMMYFUNCTION("""COMPUTED_VALUE"""),45820.6458333333)</f>
        <v>45820.6458333333</v>
      </c>
      <c r="F55" s="17">
        <f>IFERROR(__xludf.DUMMYFUNCTION("""COMPUTED_VALUE"""),955097)</f>
        <v>955097</v>
      </c>
      <c r="G55" s="16">
        <f>IFERROR(__xludf.DUMMYFUNCTION("""COMPUTED_VALUE"""),45820.6458333333)</f>
        <v>45820.6458333333</v>
      </c>
      <c r="H55" s="17">
        <f>IFERROR(__xludf.DUMMYFUNCTION("""COMPUTED_VALUE"""),2601.8)</f>
        <v>2601.8</v>
      </c>
      <c r="I55" s="16">
        <f>IFERROR(__xludf.DUMMYFUNCTION("""COMPUTED_VALUE"""),45820.6458333333)</f>
        <v>45820.6458333333</v>
      </c>
      <c r="J55" s="17">
        <f>IFERROR(__xludf.DUMMYFUNCTION("""COMPUTED_VALUE"""),2530)</f>
        <v>2530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IFERROR(__xludf.DUMMYFUNCTION("""COMPUTED_VALUE"""),2507.9)</f>
        <v>2507.9</v>
      </c>
      <c r="C56" s="16">
        <f>IFERROR(__xludf.DUMMYFUNCTION("""COMPUTED_VALUE"""),45821.6458333333)</f>
        <v>45821.6458333333</v>
      </c>
      <c r="D56" s="17">
        <f>IFERROR(__xludf.DUMMYFUNCTION("""COMPUTED_VALUE"""),2498)</f>
        <v>2498</v>
      </c>
      <c r="E56" s="16">
        <f>IFERROR(__xludf.DUMMYFUNCTION("""COMPUTED_VALUE"""),45821.6458333333)</f>
        <v>45821.6458333333</v>
      </c>
      <c r="F56" s="17">
        <f>IFERROR(__xludf.DUMMYFUNCTION("""COMPUTED_VALUE"""),695869)</f>
        <v>695869</v>
      </c>
      <c r="G56" s="16">
        <f>IFERROR(__xludf.DUMMYFUNCTION("""COMPUTED_VALUE"""),45821.6458333333)</f>
        <v>45821.6458333333</v>
      </c>
      <c r="H56" s="17">
        <f>IFERROR(__xludf.DUMMYFUNCTION("""COMPUTED_VALUE"""),2516)</f>
        <v>2516</v>
      </c>
      <c r="I56" s="16">
        <f>IFERROR(__xludf.DUMMYFUNCTION("""COMPUTED_VALUE"""),45821.6458333333)</f>
        <v>45821.6458333333</v>
      </c>
      <c r="J56" s="17">
        <f>IFERROR(__xludf.DUMMYFUNCTION("""COMPUTED_VALUE"""),2460)</f>
        <v>2460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IFERROR(__xludf.DUMMYFUNCTION("""COMPUTED_VALUE"""),2544)</f>
        <v>2544</v>
      </c>
      <c r="C57" s="16">
        <f>IFERROR(__xludf.DUMMYFUNCTION("""COMPUTED_VALUE"""),45824.6458333333)</f>
        <v>45824.6458333333</v>
      </c>
      <c r="D57" s="17">
        <f>IFERROR(__xludf.DUMMYFUNCTION("""COMPUTED_VALUE"""),2500)</f>
        <v>2500</v>
      </c>
      <c r="E57" s="16">
        <f>IFERROR(__xludf.DUMMYFUNCTION("""COMPUTED_VALUE"""),45824.6458333333)</f>
        <v>45824.6458333333</v>
      </c>
      <c r="F57" s="17">
        <f>IFERROR(__xludf.DUMMYFUNCTION("""COMPUTED_VALUE"""),956459)</f>
        <v>956459</v>
      </c>
      <c r="G57" s="16">
        <f>IFERROR(__xludf.DUMMYFUNCTION("""COMPUTED_VALUE"""),45824.6458333333)</f>
        <v>45824.6458333333</v>
      </c>
      <c r="H57" s="17">
        <f>IFERROR(__xludf.DUMMYFUNCTION("""COMPUTED_VALUE"""),2563.3)</f>
        <v>2563.3</v>
      </c>
      <c r="I57" s="16">
        <f>IFERROR(__xludf.DUMMYFUNCTION("""COMPUTED_VALUE"""),45824.6458333333)</f>
        <v>45824.6458333333</v>
      </c>
      <c r="J57" s="17">
        <f>IFERROR(__xludf.DUMMYFUNCTION("""COMPUTED_VALUE"""),2462)</f>
        <v>2462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IFERROR(__xludf.DUMMYFUNCTION("""COMPUTED_VALUE"""),2488.5)</f>
        <v>2488.5</v>
      </c>
      <c r="C58" s="16">
        <f>IFERROR(__xludf.DUMMYFUNCTION("""COMPUTED_VALUE"""),45825.6458333333)</f>
        <v>45825.6458333333</v>
      </c>
      <c r="D58" s="17">
        <f>IFERROR(__xludf.DUMMYFUNCTION("""COMPUTED_VALUE"""),2535)</f>
        <v>2535</v>
      </c>
      <c r="E58" s="16">
        <f>IFERROR(__xludf.DUMMYFUNCTION("""COMPUTED_VALUE"""),45825.6458333333)</f>
        <v>45825.6458333333</v>
      </c>
      <c r="F58" s="17">
        <f>IFERROR(__xludf.DUMMYFUNCTION("""COMPUTED_VALUE"""),703343)</f>
        <v>703343</v>
      </c>
      <c r="G58" s="16">
        <f>IFERROR(__xludf.DUMMYFUNCTION("""COMPUTED_VALUE"""),45825.6458333333)</f>
        <v>45825.6458333333</v>
      </c>
      <c r="H58" s="17">
        <f>IFERROR(__xludf.DUMMYFUNCTION("""COMPUTED_VALUE"""),2539.6)</f>
        <v>2539.6</v>
      </c>
      <c r="I58" s="16">
        <f>IFERROR(__xludf.DUMMYFUNCTION("""COMPUTED_VALUE"""),45825.6458333333)</f>
        <v>45825.6458333333</v>
      </c>
      <c r="J58" s="17">
        <f>IFERROR(__xludf.DUMMYFUNCTION("""COMPUTED_VALUE"""),2479)</f>
        <v>2479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IFERROR(__xludf.DUMMYFUNCTION("""COMPUTED_VALUE"""),2459.1)</f>
        <v>2459.1</v>
      </c>
      <c r="C59" s="16">
        <f>IFERROR(__xludf.DUMMYFUNCTION("""COMPUTED_VALUE"""),45826.6458333333)</f>
        <v>45826.6458333333</v>
      </c>
      <c r="D59" s="17">
        <f>IFERROR(__xludf.DUMMYFUNCTION("""COMPUTED_VALUE"""),2491.9)</f>
        <v>2491.9</v>
      </c>
      <c r="E59" s="16">
        <f>IFERROR(__xludf.DUMMYFUNCTION("""COMPUTED_VALUE"""),45826.6458333333)</f>
        <v>45826.6458333333</v>
      </c>
      <c r="F59" s="17">
        <f>IFERROR(__xludf.DUMMYFUNCTION("""COMPUTED_VALUE"""),667044)</f>
        <v>667044</v>
      </c>
      <c r="G59" s="16">
        <f>IFERROR(__xludf.DUMMYFUNCTION("""COMPUTED_VALUE"""),45826.6458333333)</f>
        <v>45826.6458333333</v>
      </c>
      <c r="H59" s="17">
        <f>IFERROR(__xludf.DUMMYFUNCTION("""COMPUTED_VALUE"""),2495.9)</f>
        <v>2495.9</v>
      </c>
      <c r="I59" s="16">
        <f>IFERROR(__xludf.DUMMYFUNCTION("""COMPUTED_VALUE"""),45826.6458333333)</f>
        <v>45826.6458333333</v>
      </c>
      <c r="J59" s="17">
        <f>IFERROR(__xludf.DUMMYFUNCTION("""COMPUTED_VALUE"""),2445.4)</f>
        <v>2445.4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IFERROR(__xludf.DUMMYFUNCTION("""COMPUTED_VALUE"""),2420.6)</f>
        <v>2420.6</v>
      </c>
      <c r="C60" s="16">
        <f>IFERROR(__xludf.DUMMYFUNCTION("""COMPUTED_VALUE"""),45827.6458333333)</f>
        <v>45827.6458333333</v>
      </c>
      <c r="D60" s="17">
        <f>IFERROR(__xludf.DUMMYFUNCTION("""COMPUTED_VALUE"""),2466.3)</f>
        <v>2466.3</v>
      </c>
      <c r="E60" s="16">
        <f>IFERROR(__xludf.DUMMYFUNCTION("""COMPUTED_VALUE"""),45827.6458333333)</f>
        <v>45827.6458333333</v>
      </c>
      <c r="F60" s="17">
        <f>IFERROR(__xludf.DUMMYFUNCTION("""COMPUTED_VALUE"""),688209)</f>
        <v>688209</v>
      </c>
      <c r="G60" s="16">
        <f>IFERROR(__xludf.DUMMYFUNCTION("""COMPUTED_VALUE"""),45827.6458333333)</f>
        <v>45827.6458333333</v>
      </c>
      <c r="H60" s="17">
        <f>IFERROR(__xludf.DUMMYFUNCTION("""COMPUTED_VALUE"""),2468.9)</f>
        <v>2468.9</v>
      </c>
      <c r="I60" s="16">
        <f>IFERROR(__xludf.DUMMYFUNCTION("""COMPUTED_VALUE"""),45827.6458333333)</f>
        <v>45827.6458333333</v>
      </c>
      <c r="J60" s="17">
        <f>IFERROR(__xludf.DUMMYFUNCTION("""COMPUTED_VALUE"""),2405.1)</f>
        <v>2405.1</v>
      </c>
      <c r="K60" s="3">
        <f t="shared" si="2"/>
        <v>0</v>
      </c>
      <c r="L60" s="3">
        <f t="shared" si="3"/>
        <v>2420.6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IFERROR(__xludf.DUMMYFUNCTION("""COMPUTED_VALUE"""),2448.4)</f>
        <v>2448.4</v>
      </c>
      <c r="C61" s="16">
        <f>IFERROR(__xludf.DUMMYFUNCTION("""COMPUTED_VALUE"""),45828.6458333333)</f>
        <v>45828.6458333333</v>
      </c>
      <c r="D61" s="17">
        <f>IFERROR(__xludf.DUMMYFUNCTION("""COMPUTED_VALUE"""),2428)</f>
        <v>2428</v>
      </c>
      <c r="E61" s="16">
        <f>IFERROR(__xludf.DUMMYFUNCTION("""COMPUTED_VALUE"""),45828.6458333333)</f>
        <v>45828.6458333333</v>
      </c>
      <c r="F61" s="17">
        <f>IFERROR(__xludf.DUMMYFUNCTION("""COMPUTED_VALUE"""),3002549)</f>
        <v>3002549</v>
      </c>
      <c r="G61" s="16">
        <f>IFERROR(__xludf.DUMMYFUNCTION("""COMPUTED_VALUE"""),45828.6458333333)</f>
        <v>45828.6458333333</v>
      </c>
      <c r="H61" s="17">
        <f>IFERROR(__xludf.DUMMYFUNCTION("""COMPUTED_VALUE"""),2461.3)</f>
        <v>2461.3</v>
      </c>
      <c r="I61" s="16">
        <f>IFERROR(__xludf.DUMMYFUNCTION("""COMPUTED_VALUE"""),45828.6458333333)</f>
        <v>45828.6458333333</v>
      </c>
      <c r="J61" s="17">
        <f>IFERROR(__xludf.DUMMYFUNCTION("""COMPUTED_VALUE"""),2415)</f>
        <v>2415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IFERROR(__xludf.DUMMYFUNCTION("""COMPUTED_VALUE"""),2472)</f>
        <v>2472</v>
      </c>
      <c r="C62" s="16">
        <f>IFERROR(__xludf.DUMMYFUNCTION("""COMPUTED_VALUE"""),45831.6458333333)</f>
        <v>45831.6458333333</v>
      </c>
      <c r="D62" s="17">
        <f>IFERROR(__xludf.DUMMYFUNCTION("""COMPUTED_VALUE"""),2438)</f>
        <v>2438</v>
      </c>
      <c r="E62" s="16">
        <f>IFERROR(__xludf.DUMMYFUNCTION("""COMPUTED_VALUE"""),45831.6458333333)</f>
        <v>45831.6458333333</v>
      </c>
      <c r="F62" s="17">
        <f>IFERROR(__xludf.DUMMYFUNCTION("""COMPUTED_VALUE"""),790535)</f>
        <v>790535</v>
      </c>
      <c r="G62" s="16">
        <f>IFERROR(__xludf.DUMMYFUNCTION("""COMPUTED_VALUE"""),45831.6458333333)</f>
        <v>45831.6458333333</v>
      </c>
      <c r="H62" s="17">
        <f>IFERROR(__xludf.DUMMYFUNCTION("""COMPUTED_VALUE"""),2492.6)</f>
        <v>2492.6</v>
      </c>
      <c r="I62" s="16">
        <f>IFERROR(__xludf.DUMMYFUNCTION("""COMPUTED_VALUE"""),45831.6458333333)</f>
        <v>45831.6458333333</v>
      </c>
      <c r="J62" s="17">
        <f>IFERROR(__xludf.DUMMYFUNCTION("""COMPUTED_VALUE"""),2421)</f>
        <v>2421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IFERROR(__xludf.DUMMYFUNCTION("""COMPUTED_VALUE"""),2505.6)</f>
        <v>2505.6</v>
      </c>
      <c r="C63" s="16">
        <f>IFERROR(__xludf.DUMMYFUNCTION("""COMPUTED_VALUE"""),45832.6458333333)</f>
        <v>45832.6458333333</v>
      </c>
      <c r="D63" s="17">
        <f>IFERROR(__xludf.DUMMYFUNCTION("""COMPUTED_VALUE"""),2504)</f>
        <v>2504</v>
      </c>
      <c r="E63" s="16">
        <f>IFERROR(__xludf.DUMMYFUNCTION("""COMPUTED_VALUE"""),45832.6458333333)</f>
        <v>45832.6458333333</v>
      </c>
      <c r="F63" s="17">
        <f>IFERROR(__xludf.DUMMYFUNCTION("""COMPUTED_VALUE"""),996405)</f>
        <v>996405</v>
      </c>
      <c r="G63" s="16">
        <f>IFERROR(__xludf.DUMMYFUNCTION("""COMPUTED_VALUE"""),45832.6458333333)</f>
        <v>45832.6458333333</v>
      </c>
      <c r="H63" s="17">
        <f>IFERROR(__xludf.DUMMYFUNCTION("""COMPUTED_VALUE"""),2544.6)</f>
        <v>2544.6</v>
      </c>
      <c r="I63" s="16">
        <f>IFERROR(__xludf.DUMMYFUNCTION("""COMPUTED_VALUE"""),45832.6458333333)</f>
        <v>45832.6458333333</v>
      </c>
      <c r="J63" s="17">
        <f>IFERROR(__xludf.DUMMYFUNCTION("""COMPUTED_VALUE"""),2500.2)</f>
        <v>2500.2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IFERROR(__xludf.DUMMYFUNCTION("""COMPUTED_VALUE"""),2527.2)</f>
        <v>2527.2</v>
      </c>
      <c r="C64" s="16">
        <f>IFERROR(__xludf.DUMMYFUNCTION("""COMPUTED_VALUE"""),45833.6458333333)</f>
        <v>45833.6458333333</v>
      </c>
      <c r="D64" s="17">
        <f>IFERROR(__xludf.DUMMYFUNCTION("""COMPUTED_VALUE"""),2519.9)</f>
        <v>2519.9</v>
      </c>
      <c r="E64" s="16">
        <f>IFERROR(__xludf.DUMMYFUNCTION("""COMPUTED_VALUE"""),45833.6458333333)</f>
        <v>45833.6458333333</v>
      </c>
      <c r="F64" s="17">
        <f>IFERROR(__xludf.DUMMYFUNCTION("""COMPUTED_VALUE"""),921346)</f>
        <v>921346</v>
      </c>
      <c r="G64" s="16">
        <f>IFERROR(__xludf.DUMMYFUNCTION("""COMPUTED_VALUE"""),45833.6458333333)</f>
        <v>45833.6458333333</v>
      </c>
      <c r="H64" s="17">
        <f>IFERROR(__xludf.DUMMYFUNCTION("""COMPUTED_VALUE"""),2541.6)</f>
        <v>2541.6</v>
      </c>
      <c r="I64" s="16">
        <f>IFERROR(__xludf.DUMMYFUNCTION("""COMPUTED_VALUE"""),45833.6458333333)</f>
        <v>45833.6458333333</v>
      </c>
      <c r="J64" s="17">
        <f>IFERROR(__xludf.DUMMYFUNCTION("""COMPUTED_VALUE"""),2512.1)</f>
        <v>2512.1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IFERROR(__xludf.DUMMYFUNCTION("""COMPUTED_VALUE"""),2586.2)</f>
        <v>2586.2</v>
      </c>
      <c r="C65" s="16">
        <f>IFERROR(__xludf.DUMMYFUNCTION("""COMPUTED_VALUE"""),45834.6458333333)</f>
        <v>45834.6458333333</v>
      </c>
      <c r="D65" s="17">
        <f>IFERROR(__xludf.DUMMYFUNCTION("""COMPUTED_VALUE"""),2535)</f>
        <v>2535</v>
      </c>
      <c r="E65" s="16">
        <f>IFERROR(__xludf.DUMMYFUNCTION("""COMPUTED_VALUE"""),45834.6458333333)</f>
        <v>45834.6458333333</v>
      </c>
      <c r="F65" s="17">
        <f>IFERROR(__xludf.DUMMYFUNCTION("""COMPUTED_VALUE"""),1339627)</f>
        <v>1339627</v>
      </c>
      <c r="G65" s="16">
        <f>IFERROR(__xludf.DUMMYFUNCTION("""COMPUTED_VALUE"""),45834.6458333333)</f>
        <v>45834.6458333333</v>
      </c>
      <c r="H65" s="17">
        <f>IFERROR(__xludf.DUMMYFUNCTION("""COMPUTED_VALUE"""),2593.6)</f>
        <v>2593.6</v>
      </c>
      <c r="I65" s="16">
        <f>IFERROR(__xludf.DUMMYFUNCTION("""COMPUTED_VALUE"""),45834.6458333333)</f>
        <v>45834.6458333333</v>
      </c>
      <c r="J65" s="17">
        <f>IFERROR(__xludf.DUMMYFUNCTION("""COMPUTED_VALUE"""),2522.2)</f>
        <v>2522.2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IFERROR(__xludf.DUMMYFUNCTION("""COMPUTED_VALUE"""),2646.3)</f>
        <v>2646.3</v>
      </c>
      <c r="C66" s="16">
        <f>IFERROR(__xludf.DUMMYFUNCTION("""COMPUTED_VALUE"""),45835.6458333333)</f>
        <v>45835.6458333333</v>
      </c>
      <c r="D66" s="17">
        <f>IFERROR(__xludf.DUMMYFUNCTION("""COMPUTED_VALUE"""),2587.7)</f>
        <v>2587.7</v>
      </c>
      <c r="E66" s="16">
        <f>IFERROR(__xludf.DUMMYFUNCTION("""COMPUTED_VALUE"""),45835.6458333333)</f>
        <v>45835.6458333333</v>
      </c>
      <c r="F66" s="17">
        <f>IFERROR(__xludf.DUMMYFUNCTION("""COMPUTED_VALUE"""),4049316)</f>
        <v>4049316</v>
      </c>
      <c r="G66" s="16">
        <f>IFERROR(__xludf.DUMMYFUNCTION("""COMPUTED_VALUE"""),45835.6458333333)</f>
        <v>45835.6458333333</v>
      </c>
      <c r="H66" s="17">
        <f>IFERROR(__xludf.DUMMYFUNCTION("""COMPUTED_VALUE"""),2681.6)</f>
        <v>2681.6</v>
      </c>
      <c r="I66" s="16">
        <f>IFERROR(__xludf.DUMMYFUNCTION("""COMPUTED_VALUE"""),45835.6458333333)</f>
        <v>45835.6458333333</v>
      </c>
      <c r="J66" s="17">
        <f>IFERROR(__xludf.DUMMYFUNCTION("""COMPUTED_VALUE"""),2582)</f>
        <v>2582</v>
      </c>
      <c r="K66" s="3">
        <f t="shared" si="2"/>
        <v>2646.3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IFERROR(__xludf.DUMMYFUNCTION("""COMPUTED_VALUE"""),2619.4)</f>
        <v>2619.4</v>
      </c>
      <c r="C67" s="16">
        <f>IFERROR(__xludf.DUMMYFUNCTION("""COMPUTED_VALUE"""),45838.6458333333)</f>
        <v>45838.6458333333</v>
      </c>
      <c r="D67" s="17">
        <f>IFERROR(__xludf.DUMMYFUNCTION("""COMPUTED_VALUE"""),2650)</f>
        <v>2650</v>
      </c>
      <c r="E67" s="16">
        <f>IFERROR(__xludf.DUMMYFUNCTION("""COMPUTED_VALUE"""),45838.6458333333)</f>
        <v>45838.6458333333</v>
      </c>
      <c r="F67" s="17">
        <f>IFERROR(__xludf.DUMMYFUNCTION("""COMPUTED_VALUE"""),694815)</f>
        <v>694815</v>
      </c>
      <c r="G67" s="16">
        <f>IFERROR(__xludf.DUMMYFUNCTION("""COMPUTED_VALUE"""),45838.6458333333)</f>
        <v>45838.6458333333</v>
      </c>
      <c r="H67" s="17">
        <f>IFERROR(__xludf.DUMMYFUNCTION("""COMPUTED_VALUE"""),2653.9)</f>
        <v>2653.9</v>
      </c>
      <c r="I67" s="16">
        <f>IFERROR(__xludf.DUMMYFUNCTION("""COMPUTED_VALUE"""),45838.6458333333)</f>
        <v>45838.6458333333</v>
      </c>
      <c r="J67" s="17">
        <f>IFERROR(__xludf.DUMMYFUNCTION("""COMPUTED_VALUE"""),2605.9)</f>
        <v>2605.9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IFERROR(__xludf.DUMMYFUNCTION("""COMPUTED_VALUE"""),2621.8)</f>
        <v>2621.8</v>
      </c>
      <c r="C68" s="16">
        <f>IFERROR(__xludf.DUMMYFUNCTION("""COMPUTED_VALUE"""),45839.6458333333)</f>
        <v>45839.6458333333</v>
      </c>
      <c r="D68" s="17">
        <f>IFERROR(__xludf.DUMMYFUNCTION("""COMPUTED_VALUE"""),2624.9)</f>
        <v>2624.9</v>
      </c>
      <c r="E68" s="16">
        <f>IFERROR(__xludf.DUMMYFUNCTION("""COMPUTED_VALUE"""),45839.6458333333)</f>
        <v>45839.6458333333</v>
      </c>
      <c r="F68" s="17">
        <f>IFERROR(__xludf.DUMMYFUNCTION("""COMPUTED_VALUE"""),729197)</f>
        <v>729197</v>
      </c>
      <c r="G68" s="16">
        <f>IFERROR(__xludf.DUMMYFUNCTION("""COMPUTED_VALUE"""),45839.6458333333)</f>
        <v>45839.6458333333</v>
      </c>
      <c r="H68" s="17">
        <f>IFERROR(__xludf.DUMMYFUNCTION("""COMPUTED_VALUE"""),2645)</f>
        <v>2645</v>
      </c>
      <c r="I68" s="16">
        <f>IFERROR(__xludf.DUMMYFUNCTION("""COMPUTED_VALUE"""),45839.6458333333)</f>
        <v>45839.6458333333</v>
      </c>
      <c r="J68" s="17">
        <f>IFERROR(__xludf.DUMMYFUNCTION("""COMPUTED_VALUE"""),2603)</f>
        <v>2603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IFERROR(__xludf.DUMMYFUNCTION("""COMPUTED_VALUE"""),2630.2)</f>
        <v>2630.2</v>
      </c>
      <c r="C69" s="16">
        <f>IFERROR(__xludf.DUMMYFUNCTION("""COMPUTED_VALUE"""),45840.6458333333)</f>
        <v>45840.6458333333</v>
      </c>
      <c r="D69" s="17">
        <f>IFERROR(__xludf.DUMMYFUNCTION("""COMPUTED_VALUE"""),2634)</f>
        <v>2634</v>
      </c>
      <c r="E69" s="16">
        <f>IFERROR(__xludf.DUMMYFUNCTION("""COMPUTED_VALUE"""),45840.6458333333)</f>
        <v>45840.6458333333</v>
      </c>
      <c r="F69" s="17">
        <f>IFERROR(__xludf.DUMMYFUNCTION("""COMPUTED_VALUE"""),621409)</f>
        <v>621409</v>
      </c>
      <c r="G69" s="16">
        <f>IFERROR(__xludf.DUMMYFUNCTION("""COMPUTED_VALUE"""),45840.6458333333)</f>
        <v>45840.6458333333</v>
      </c>
      <c r="H69" s="17">
        <f>IFERROR(__xludf.DUMMYFUNCTION("""COMPUTED_VALUE"""),2646)</f>
        <v>2646</v>
      </c>
      <c r="I69" s="16">
        <f>IFERROR(__xludf.DUMMYFUNCTION("""COMPUTED_VALUE"""),45840.6458333333)</f>
        <v>45840.6458333333</v>
      </c>
      <c r="J69" s="17">
        <f>IFERROR(__xludf.DUMMYFUNCTION("""COMPUTED_VALUE"""),2613.6)</f>
        <v>2613.6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IFERROR(__xludf.DUMMYFUNCTION("""COMPUTED_VALUE"""),2611.2)</f>
        <v>2611.2</v>
      </c>
      <c r="C70" s="16">
        <f>IFERROR(__xludf.DUMMYFUNCTION("""COMPUTED_VALUE"""),45841.6458333333)</f>
        <v>45841.6458333333</v>
      </c>
      <c r="D70" s="17">
        <f>IFERROR(__xludf.DUMMYFUNCTION("""COMPUTED_VALUE"""),2634)</f>
        <v>2634</v>
      </c>
      <c r="E70" s="16">
        <f>IFERROR(__xludf.DUMMYFUNCTION("""COMPUTED_VALUE"""),45841.6458333333)</f>
        <v>45841.6458333333</v>
      </c>
      <c r="F70" s="17">
        <f>IFERROR(__xludf.DUMMYFUNCTION("""COMPUTED_VALUE"""),502724)</f>
        <v>502724</v>
      </c>
      <c r="G70" s="16">
        <f>IFERROR(__xludf.DUMMYFUNCTION("""COMPUTED_VALUE"""),45841.6458333333)</f>
        <v>45841.6458333333</v>
      </c>
      <c r="H70" s="17">
        <f>IFERROR(__xludf.DUMMYFUNCTION("""COMPUTED_VALUE"""),2644)</f>
        <v>2644</v>
      </c>
      <c r="I70" s="16">
        <f>IFERROR(__xludf.DUMMYFUNCTION("""COMPUTED_VALUE"""),45841.6458333333)</f>
        <v>45841.6458333333</v>
      </c>
      <c r="J70" s="17">
        <f>IFERROR(__xludf.DUMMYFUNCTION("""COMPUTED_VALUE"""),2605.1)</f>
        <v>2605.1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IFERROR(__xludf.DUMMYFUNCTION("""COMPUTED_VALUE"""),2599.1)</f>
        <v>2599.1</v>
      </c>
      <c r="C71" s="16">
        <f>IFERROR(__xludf.DUMMYFUNCTION("""COMPUTED_VALUE"""),45842.6458333333)</f>
        <v>45842.6458333333</v>
      </c>
      <c r="D71" s="17">
        <f>IFERROR(__xludf.DUMMYFUNCTION("""COMPUTED_VALUE"""),2617)</f>
        <v>2617</v>
      </c>
      <c r="E71" s="16">
        <f>IFERROR(__xludf.DUMMYFUNCTION("""COMPUTED_VALUE"""),45842.6458333333)</f>
        <v>45842.6458333333</v>
      </c>
      <c r="F71" s="17">
        <f>IFERROR(__xludf.DUMMYFUNCTION("""COMPUTED_VALUE"""),370305)</f>
        <v>370305</v>
      </c>
      <c r="G71" s="16">
        <f>IFERROR(__xludf.DUMMYFUNCTION("""COMPUTED_VALUE"""),45842.6458333333)</f>
        <v>45842.6458333333</v>
      </c>
      <c r="H71" s="17">
        <f>IFERROR(__xludf.DUMMYFUNCTION("""COMPUTED_VALUE"""),2617)</f>
        <v>2617</v>
      </c>
      <c r="I71" s="16">
        <f>IFERROR(__xludf.DUMMYFUNCTION("""COMPUTED_VALUE"""),45842.6458333333)</f>
        <v>45842.6458333333</v>
      </c>
      <c r="J71" s="17">
        <f>IFERROR(__xludf.DUMMYFUNCTION("""COMPUTED_VALUE"""),2582.2)</f>
        <v>2582.2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IFERROR(__xludf.DUMMYFUNCTION("""COMPUTED_VALUE"""),2576.1)</f>
        <v>2576.1</v>
      </c>
      <c r="C72" s="16">
        <f>IFERROR(__xludf.DUMMYFUNCTION("""COMPUTED_VALUE"""),45845.6458333333)</f>
        <v>45845.6458333333</v>
      </c>
      <c r="D72" s="17">
        <f>IFERROR(__xludf.DUMMYFUNCTION("""COMPUTED_VALUE"""),2602)</f>
        <v>2602</v>
      </c>
      <c r="E72" s="16">
        <f>IFERROR(__xludf.DUMMYFUNCTION("""COMPUTED_VALUE"""),45845.6458333333)</f>
        <v>45845.6458333333</v>
      </c>
      <c r="F72" s="17">
        <f>IFERROR(__xludf.DUMMYFUNCTION("""COMPUTED_VALUE"""),412159)</f>
        <v>412159</v>
      </c>
      <c r="G72" s="16">
        <f>IFERROR(__xludf.DUMMYFUNCTION("""COMPUTED_VALUE"""),45845.6458333333)</f>
        <v>45845.6458333333</v>
      </c>
      <c r="H72" s="17">
        <f>IFERROR(__xludf.DUMMYFUNCTION("""COMPUTED_VALUE"""),2605.4)</f>
        <v>2605.4</v>
      </c>
      <c r="I72" s="16">
        <f>IFERROR(__xludf.DUMMYFUNCTION("""COMPUTED_VALUE"""),45845.6458333333)</f>
        <v>45845.6458333333</v>
      </c>
      <c r="J72" s="17">
        <f>IFERROR(__xludf.DUMMYFUNCTION("""COMPUTED_VALUE"""),2572)</f>
        <v>2572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IFERROR(__xludf.DUMMYFUNCTION("""COMPUTED_VALUE"""),2591.3)</f>
        <v>2591.3</v>
      </c>
      <c r="C73" s="16">
        <f>IFERROR(__xludf.DUMMYFUNCTION("""COMPUTED_VALUE"""),45846.6458333333)</f>
        <v>45846.6458333333</v>
      </c>
      <c r="D73" s="17">
        <f>IFERROR(__xludf.DUMMYFUNCTION("""COMPUTED_VALUE"""),2586)</f>
        <v>2586</v>
      </c>
      <c r="E73" s="16">
        <f>IFERROR(__xludf.DUMMYFUNCTION("""COMPUTED_VALUE"""),45846.6458333333)</f>
        <v>45846.6458333333</v>
      </c>
      <c r="F73" s="17">
        <f>IFERROR(__xludf.DUMMYFUNCTION("""COMPUTED_VALUE"""),357701)</f>
        <v>357701</v>
      </c>
      <c r="G73" s="16">
        <f>IFERROR(__xludf.DUMMYFUNCTION("""COMPUTED_VALUE"""),45846.6458333333)</f>
        <v>45846.6458333333</v>
      </c>
      <c r="H73" s="17">
        <f>IFERROR(__xludf.DUMMYFUNCTION("""COMPUTED_VALUE"""),2600)</f>
        <v>2600</v>
      </c>
      <c r="I73" s="16">
        <f>IFERROR(__xludf.DUMMYFUNCTION("""COMPUTED_VALUE"""),45846.6458333333)</f>
        <v>45846.6458333333</v>
      </c>
      <c r="J73" s="17">
        <f>IFERROR(__xludf.DUMMYFUNCTION("""COMPUTED_VALUE"""),2573)</f>
        <v>2573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IFERROR(__xludf.DUMMYFUNCTION("""COMPUTED_VALUE"""),2583)</f>
        <v>2583</v>
      </c>
      <c r="C74" s="16">
        <f>IFERROR(__xludf.DUMMYFUNCTION("""COMPUTED_VALUE"""),45847.6458333333)</f>
        <v>45847.6458333333</v>
      </c>
      <c r="D74" s="17">
        <f>IFERROR(__xludf.DUMMYFUNCTION("""COMPUTED_VALUE"""),2599)</f>
        <v>2599</v>
      </c>
      <c r="E74" s="16">
        <f>IFERROR(__xludf.DUMMYFUNCTION("""COMPUTED_VALUE"""),45847.6458333333)</f>
        <v>45847.6458333333</v>
      </c>
      <c r="F74" s="17">
        <f>IFERROR(__xludf.DUMMYFUNCTION("""COMPUTED_VALUE"""),396880)</f>
        <v>396880</v>
      </c>
      <c r="G74" s="16">
        <f>IFERROR(__xludf.DUMMYFUNCTION("""COMPUTED_VALUE"""),45847.6458333333)</f>
        <v>45847.6458333333</v>
      </c>
      <c r="H74" s="17">
        <f>IFERROR(__xludf.DUMMYFUNCTION("""COMPUTED_VALUE"""),2609.9)</f>
        <v>2609.9</v>
      </c>
      <c r="I74" s="16">
        <f>IFERROR(__xludf.DUMMYFUNCTION("""COMPUTED_VALUE"""),45847.6458333333)</f>
        <v>45847.6458333333</v>
      </c>
      <c r="J74" s="17">
        <f>IFERROR(__xludf.DUMMYFUNCTION("""COMPUTED_VALUE"""),2570)</f>
        <v>2570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IFERROR(__xludf.DUMMYFUNCTION("""COMPUTED_VALUE"""),2581)</f>
        <v>2581</v>
      </c>
      <c r="C75" s="16">
        <f>IFERROR(__xludf.DUMMYFUNCTION("""COMPUTED_VALUE"""),45848.6458333333)</f>
        <v>45848.6458333333</v>
      </c>
      <c r="D75" s="17">
        <f>IFERROR(__xludf.DUMMYFUNCTION("""COMPUTED_VALUE"""),2591)</f>
        <v>2591</v>
      </c>
      <c r="E75" s="16">
        <f>IFERROR(__xludf.DUMMYFUNCTION("""COMPUTED_VALUE"""),45848.6458333333)</f>
        <v>45848.6458333333</v>
      </c>
      <c r="F75" s="17">
        <f>IFERROR(__xludf.DUMMYFUNCTION("""COMPUTED_VALUE"""),306565)</f>
        <v>306565</v>
      </c>
      <c r="G75" s="16">
        <f>IFERROR(__xludf.DUMMYFUNCTION("""COMPUTED_VALUE"""),45848.6458333333)</f>
        <v>45848.6458333333</v>
      </c>
      <c r="H75" s="17">
        <f>IFERROR(__xludf.DUMMYFUNCTION("""COMPUTED_VALUE"""),2604)</f>
        <v>2604</v>
      </c>
      <c r="I75" s="16">
        <f>IFERROR(__xludf.DUMMYFUNCTION("""COMPUTED_VALUE"""),45848.6458333333)</f>
        <v>45848.6458333333</v>
      </c>
      <c r="J75" s="17">
        <f>IFERROR(__xludf.DUMMYFUNCTION("""COMPUTED_VALUE"""),2575)</f>
        <v>2575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IFERROR(__xludf.DUMMYFUNCTION("""COMPUTED_VALUE"""),2558.7)</f>
        <v>2558.7</v>
      </c>
      <c r="C76" s="16">
        <f>IFERROR(__xludf.DUMMYFUNCTION("""COMPUTED_VALUE"""),45849.6458333333)</f>
        <v>45849.6458333333</v>
      </c>
      <c r="D76" s="17">
        <f>IFERROR(__xludf.DUMMYFUNCTION("""COMPUTED_VALUE"""),2575)</f>
        <v>2575</v>
      </c>
      <c r="E76" s="16">
        <f>IFERROR(__xludf.DUMMYFUNCTION("""COMPUTED_VALUE"""),45849.6458333333)</f>
        <v>45849.6458333333</v>
      </c>
      <c r="F76" s="17">
        <f>IFERROR(__xludf.DUMMYFUNCTION("""COMPUTED_VALUE"""),390645)</f>
        <v>390645</v>
      </c>
      <c r="G76" s="16">
        <f>IFERROR(__xludf.DUMMYFUNCTION("""COMPUTED_VALUE"""),45849.6458333333)</f>
        <v>45849.6458333333</v>
      </c>
      <c r="H76" s="17">
        <f>IFERROR(__xludf.DUMMYFUNCTION("""COMPUTED_VALUE"""),2591.9)</f>
        <v>2591.9</v>
      </c>
      <c r="I76" s="16">
        <f>IFERROR(__xludf.DUMMYFUNCTION("""COMPUTED_VALUE"""),45849.6458333333)</f>
        <v>45849.6458333333</v>
      </c>
      <c r="J76" s="17">
        <f>IFERROR(__xludf.DUMMYFUNCTION("""COMPUTED_VALUE"""),2551.9)</f>
        <v>2551.9</v>
      </c>
      <c r="K76" s="3">
        <f t="shared" si="2"/>
        <v>0</v>
      </c>
      <c r="L76" s="3">
        <f t="shared" si="3"/>
        <v>2558.7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IFERROR(__xludf.DUMMYFUNCTION("""COMPUTED_VALUE"""),2581.3)</f>
        <v>2581.3</v>
      </c>
      <c r="C77" s="16">
        <f>IFERROR(__xludf.DUMMYFUNCTION("""COMPUTED_VALUE"""),45852.6458333333)</f>
        <v>45852.6458333333</v>
      </c>
      <c r="D77" s="17">
        <f>IFERROR(__xludf.DUMMYFUNCTION("""COMPUTED_VALUE"""),2555)</f>
        <v>2555</v>
      </c>
      <c r="E77" s="16">
        <f>IFERROR(__xludf.DUMMYFUNCTION("""COMPUTED_VALUE"""),45852.6458333333)</f>
        <v>45852.6458333333</v>
      </c>
      <c r="F77" s="17">
        <f>IFERROR(__xludf.DUMMYFUNCTION("""COMPUTED_VALUE"""),536585)</f>
        <v>536585</v>
      </c>
      <c r="G77" s="16">
        <f>IFERROR(__xludf.DUMMYFUNCTION("""COMPUTED_VALUE"""),45852.6458333333)</f>
        <v>45852.6458333333</v>
      </c>
      <c r="H77" s="17">
        <f>IFERROR(__xludf.DUMMYFUNCTION("""COMPUTED_VALUE"""),2604.8)</f>
        <v>2604.8</v>
      </c>
      <c r="I77" s="16">
        <f>IFERROR(__xludf.DUMMYFUNCTION("""COMPUTED_VALUE"""),45852.6458333333)</f>
        <v>45852.6458333333</v>
      </c>
      <c r="J77" s="17">
        <f>IFERROR(__xludf.DUMMYFUNCTION("""COMPUTED_VALUE"""),2543.5)</f>
        <v>2543.5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IFERROR(__xludf.DUMMYFUNCTION("""COMPUTED_VALUE"""),2598.2)</f>
        <v>2598.2</v>
      </c>
      <c r="C78" s="16">
        <f>IFERROR(__xludf.DUMMYFUNCTION("""COMPUTED_VALUE"""),45853.6458333333)</f>
        <v>45853.6458333333</v>
      </c>
      <c r="D78" s="17">
        <f>IFERROR(__xludf.DUMMYFUNCTION("""COMPUTED_VALUE"""),2588)</f>
        <v>2588</v>
      </c>
      <c r="E78" s="16">
        <f>IFERROR(__xludf.DUMMYFUNCTION("""COMPUTED_VALUE"""),45853.6458333333)</f>
        <v>45853.6458333333</v>
      </c>
      <c r="F78" s="17">
        <f>IFERROR(__xludf.DUMMYFUNCTION("""COMPUTED_VALUE"""),379425)</f>
        <v>379425</v>
      </c>
      <c r="G78" s="16">
        <f>IFERROR(__xludf.DUMMYFUNCTION("""COMPUTED_VALUE"""),45853.6458333333)</f>
        <v>45853.6458333333</v>
      </c>
      <c r="H78" s="17">
        <f>IFERROR(__xludf.DUMMYFUNCTION("""COMPUTED_VALUE"""),2606.9)</f>
        <v>2606.9</v>
      </c>
      <c r="I78" s="16">
        <f>IFERROR(__xludf.DUMMYFUNCTION("""COMPUTED_VALUE"""),45853.6458333333)</f>
        <v>45853.6458333333</v>
      </c>
      <c r="J78" s="17">
        <f>IFERROR(__xludf.DUMMYFUNCTION("""COMPUTED_VALUE"""),2576)</f>
        <v>2576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IFERROR(__xludf.DUMMYFUNCTION("""COMPUTED_VALUE"""),2608.5)</f>
        <v>2608.5</v>
      </c>
      <c r="C79" s="16">
        <f>IFERROR(__xludf.DUMMYFUNCTION("""COMPUTED_VALUE"""),45854.6458333333)</f>
        <v>45854.6458333333</v>
      </c>
      <c r="D79" s="17">
        <f>IFERROR(__xludf.DUMMYFUNCTION("""COMPUTED_VALUE"""),2602.5)</f>
        <v>2602.5</v>
      </c>
      <c r="E79" s="16">
        <f>IFERROR(__xludf.DUMMYFUNCTION("""COMPUTED_VALUE"""),45854.6458333333)</f>
        <v>45854.6458333333</v>
      </c>
      <c r="F79" s="17">
        <f>IFERROR(__xludf.DUMMYFUNCTION("""COMPUTED_VALUE"""),686644)</f>
        <v>686644</v>
      </c>
      <c r="G79" s="16">
        <f>IFERROR(__xludf.DUMMYFUNCTION("""COMPUTED_VALUE"""),45854.6458333333)</f>
        <v>45854.6458333333</v>
      </c>
      <c r="H79" s="17">
        <f>IFERROR(__xludf.DUMMYFUNCTION("""COMPUTED_VALUE"""),2619.5)</f>
        <v>2619.5</v>
      </c>
      <c r="I79" s="16">
        <f>IFERROR(__xludf.DUMMYFUNCTION("""COMPUTED_VALUE"""),45854.6458333333)</f>
        <v>45854.6458333333</v>
      </c>
      <c r="J79" s="17">
        <f>IFERROR(__xludf.DUMMYFUNCTION("""COMPUTED_VALUE"""),2595.5)</f>
        <v>2595.5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IFERROR(__xludf.DUMMYFUNCTION("""COMPUTED_VALUE"""),2616.6)</f>
        <v>2616.6</v>
      </c>
      <c r="C80" s="16">
        <f>IFERROR(__xludf.DUMMYFUNCTION("""COMPUTED_VALUE"""),45855.6458333333)</f>
        <v>45855.6458333333</v>
      </c>
      <c r="D80" s="17">
        <f>IFERROR(__xludf.DUMMYFUNCTION("""COMPUTED_VALUE"""),2612)</f>
        <v>2612</v>
      </c>
      <c r="E80" s="16">
        <f>IFERROR(__xludf.DUMMYFUNCTION("""COMPUTED_VALUE"""),45855.6458333333)</f>
        <v>45855.6458333333</v>
      </c>
      <c r="F80" s="17">
        <f>IFERROR(__xludf.DUMMYFUNCTION("""COMPUTED_VALUE"""),785771)</f>
        <v>785771</v>
      </c>
      <c r="G80" s="16">
        <f>IFERROR(__xludf.DUMMYFUNCTION("""COMPUTED_VALUE"""),45855.6458333333)</f>
        <v>45855.6458333333</v>
      </c>
      <c r="H80" s="17">
        <f>IFERROR(__xludf.DUMMYFUNCTION("""COMPUTED_VALUE"""),2654.5)</f>
        <v>2654.5</v>
      </c>
      <c r="I80" s="16">
        <f>IFERROR(__xludf.DUMMYFUNCTION("""COMPUTED_VALUE"""),45855.6458333333)</f>
        <v>45855.6458333333</v>
      </c>
      <c r="J80" s="17">
        <f>IFERROR(__xludf.DUMMYFUNCTION("""COMPUTED_VALUE"""),2605.3)</f>
        <v>2605.3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IFERROR(__xludf.DUMMYFUNCTION("""COMPUTED_VALUE"""),2596.1)</f>
        <v>2596.1</v>
      </c>
      <c r="C81" s="16">
        <f>IFERROR(__xludf.DUMMYFUNCTION("""COMPUTED_VALUE"""),45856.6458333333)</f>
        <v>45856.6458333333</v>
      </c>
      <c r="D81" s="17">
        <f>IFERROR(__xludf.DUMMYFUNCTION("""COMPUTED_VALUE"""),2612)</f>
        <v>2612</v>
      </c>
      <c r="E81" s="16">
        <f>IFERROR(__xludf.DUMMYFUNCTION("""COMPUTED_VALUE"""),45856.6458333333)</f>
        <v>45856.6458333333</v>
      </c>
      <c r="F81" s="17">
        <f>IFERROR(__xludf.DUMMYFUNCTION("""COMPUTED_VALUE"""),479942)</f>
        <v>479942</v>
      </c>
      <c r="G81" s="16">
        <f>IFERROR(__xludf.DUMMYFUNCTION("""COMPUTED_VALUE"""),45856.6458333333)</f>
        <v>45856.6458333333</v>
      </c>
      <c r="H81" s="17">
        <f>IFERROR(__xludf.DUMMYFUNCTION("""COMPUTED_VALUE"""),2626.7)</f>
        <v>2626.7</v>
      </c>
      <c r="I81" s="16">
        <f>IFERROR(__xludf.DUMMYFUNCTION("""COMPUTED_VALUE"""),45856.6458333333)</f>
        <v>45856.6458333333</v>
      </c>
      <c r="J81" s="17">
        <f>IFERROR(__xludf.DUMMYFUNCTION("""COMPUTED_VALUE"""),2584.2)</f>
        <v>2584.2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IFERROR(__xludf.DUMMYFUNCTION("""COMPUTED_VALUE"""),2619.5)</f>
        <v>2619.5</v>
      </c>
      <c r="C82" s="16">
        <f>IFERROR(__xludf.DUMMYFUNCTION("""COMPUTED_VALUE"""),45859.6458333333)</f>
        <v>45859.6458333333</v>
      </c>
      <c r="D82" s="17">
        <f>IFERROR(__xludf.DUMMYFUNCTION("""COMPUTED_VALUE"""),2596.3)</f>
        <v>2596.3</v>
      </c>
      <c r="E82" s="16">
        <f>IFERROR(__xludf.DUMMYFUNCTION("""COMPUTED_VALUE"""),45859.6458333333)</f>
        <v>45859.6458333333</v>
      </c>
      <c r="F82" s="17">
        <f>IFERROR(__xludf.DUMMYFUNCTION("""COMPUTED_VALUE"""),369782)</f>
        <v>369782</v>
      </c>
      <c r="G82" s="16">
        <f>IFERROR(__xludf.DUMMYFUNCTION("""COMPUTED_VALUE"""),45859.6458333333)</f>
        <v>45859.6458333333</v>
      </c>
      <c r="H82" s="17">
        <f>IFERROR(__xludf.DUMMYFUNCTION("""COMPUTED_VALUE"""),2624.9)</f>
        <v>2624.9</v>
      </c>
      <c r="I82" s="16">
        <f>IFERROR(__xludf.DUMMYFUNCTION("""COMPUTED_VALUE"""),45859.6458333333)</f>
        <v>45859.6458333333</v>
      </c>
      <c r="J82" s="17">
        <f>IFERROR(__xludf.DUMMYFUNCTION("""COMPUTED_VALUE"""),2585)</f>
        <v>2585</v>
      </c>
      <c r="K82" s="3">
        <f t="shared" si="2"/>
        <v>2619.5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IFERROR(__xludf.DUMMYFUNCTION("""COMPUTED_VALUE"""),2587.8)</f>
        <v>2587.8</v>
      </c>
      <c r="C83" s="16">
        <f>IFERROR(__xludf.DUMMYFUNCTION("""COMPUTED_VALUE"""),45860.6458333333)</f>
        <v>45860.6458333333</v>
      </c>
      <c r="D83" s="17">
        <f>IFERROR(__xludf.DUMMYFUNCTION("""COMPUTED_VALUE"""),2626)</f>
        <v>2626</v>
      </c>
      <c r="E83" s="16">
        <f>IFERROR(__xludf.DUMMYFUNCTION("""COMPUTED_VALUE"""),45860.6458333333)</f>
        <v>45860.6458333333</v>
      </c>
      <c r="F83" s="17">
        <f>IFERROR(__xludf.DUMMYFUNCTION("""COMPUTED_VALUE"""),387055)</f>
        <v>387055</v>
      </c>
      <c r="G83" s="16">
        <f>IFERROR(__xludf.DUMMYFUNCTION("""COMPUTED_VALUE"""),45860.6458333333)</f>
        <v>45860.6458333333</v>
      </c>
      <c r="H83" s="17">
        <f>IFERROR(__xludf.DUMMYFUNCTION("""COMPUTED_VALUE"""),2630)</f>
        <v>2630</v>
      </c>
      <c r="I83" s="16">
        <f>IFERROR(__xludf.DUMMYFUNCTION("""COMPUTED_VALUE"""),45860.6458333333)</f>
        <v>45860.6458333333</v>
      </c>
      <c r="J83" s="17">
        <f>IFERROR(__xludf.DUMMYFUNCTION("""COMPUTED_VALUE"""),2581.6)</f>
        <v>2581.6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IFERROR(__xludf.DUMMYFUNCTION("""COMPUTED_VALUE"""),2614.5)</f>
        <v>2614.5</v>
      </c>
      <c r="C84" s="16">
        <f>IFERROR(__xludf.DUMMYFUNCTION("""COMPUTED_VALUE"""),45861.6458333333)</f>
        <v>45861.6458333333</v>
      </c>
      <c r="D84" s="17">
        <f>IFERROR(__xludf.DUMMYFUNCTION("""COMPUTED_VALUE"""),2600.7)</f>
        <v>2600.7</v>
      </c>
      <c r="E84" s="16">
        <f>IFERROR(__xludf.DUMMYFUNCTION("""COMPUTED_VALUE"""),45861.6458333333)</f>
        <v>45861.6458333333</v>
      </c>
      <c r="F84" s="17">
        <f>IFERROR(__xludf.DUMMYFUNCTION("""COMPUTED_VALUE"""),316424)</f>
        <v>316424</v>
      </c>
      <c r="G84" s="16">
        <f>IFERROR(__xludf.DUMMYFUNCTION("""COMPUTED_VALUE"""),45861.6458333333)</f>
        <v>45861.6458333333</v>
      </c>
      <c r="H84" s="17">
        <f>IFERROR(__xludf.DUMMYFUNCTION("""COMPUTED_VALUE"""),2625.9)</f>
        <v>2625.9</v>
      </c>
      <c r="I84" s="16">
        <f>IFERROR(__xludf.DUMMYFUNCTION("""COMPUTED_VALUE"""),45861.6458333333)</f>
        <v>45861.6458333333</v>
      </c>
      <c r="J84" s="17">
        <f>IFERROR(__xludf.DUMMYFUNCTION("""COMPUTED_VALUE"""),2593.5)</f>
        <v>2593.5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IFERROR(__xludf.DUMMYFUNCTION("""COMPUTED_VALUE"""),2608.4)</f>
        <v>2608.4</v>
      </c>
      <c r="C85" s="16">
        <f>IFERROR(__xludf.DUMMYFUNCTION("""COMPUTED_VALUE"""),45862.6458333333)</f>
        <v>45862.6458333333</v>
      </c>
      <c r="D85" s="17">
        <f>IFERROR(__xludf.DUMMYFUNCTION("""COMPUTED_VALUE"""),2615.4)</f>
        <v>2615.4</v>
      </c>
      <c r="E85" s="16">
        <f>IFERROR(__xludf.DUMMYFUNCTION("""COMPUTED_VALUE"""),45862.6458333333)</f>
        <v>45862.6458333333</v>
      </c>
      <c r="F85" s="17">
        <f>IFERROR(__xludf.DUMMYFUNCTION("""COMPUTED_VALUE"""),253782)</f>
        <v>253782</v>
      </c>
      <c r="G85" s="16">
        <f>IFERROR(__xludf.DUMMYFUNCTION("""COMPUTED_VALUE"""),45862.6458333333)</f>
        <v>45862.6458333333</v>
      </c>
      <c r="H85" s="17">
        <f>IFERROR(__xludf.DUMMYFUNCTION("""COMPUTED_VALUE"""),2624.2)</f>
        <v>2624.2</v>
      </c>
      <c r="I85" s="16">
        <f>IFERROR(__xludf.DUMMYFUNCTION("""COMPUTED_VALUE"""),45862.6458333333)</f>
        <v>45862.6458333333</v>
      </c>
      <c r="J85" s="17">
        <f>IFERROR(__xludf.DUMMYFUNCTION("""COMPUTED_VALUE"""),2595)</f>
        <v>2595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IFERROR(__xludf.DUMMYFUNCTION("""COMPUTED_VALUE"""),2550.1)</f>
        <v>2550.1</v>
      </c>
      <c r="C86" s="16">
        <f>IFERROR(__xludf.DUMMYFUNCTION("""COMPUTED_VALUE"""),45863.6458333333)</f>
        <v>45863.6458333333</v>
      </c>
      <c r="D86" s="17">
        <f>IFERROR(__xludf.DUMMYFUNCTION("""COMPUTED_VALUE"""),2605)</f>
        <v>2605</v>
      </c>
      <c r="E86" s="16">
        <f>IFERROR(__xludf.DUMMYFUNCTION("""COMPUTED_VALUE"""),45863.6458333333)</f>
        <v>45863.6458333333</v>
      </c>
      <c r="F86" s="17">
        <f>IFERROR(__xludf.DUMMYFUNCTION("""COMPUTED_VALUE"""),424612)</f>
        <v>424612</v>
      </c>
      <c r="G86" s="16">
        <f>IFERROR(__xludf.DUMMYFUNCTION("""COMPUTED_VALUE"""),45863.6458333333)</f>
        <v>45863.6458333333</v>
      </c>
      <c r="H86" s="17">
        <f>IFERROR(__xludf.DUMMYFUNCTION("""COMPUTED_VALUE"""),2617)</f>
        <v>2617</v>
      </c>
      <c r="I86" s="16">
        <f>IFERROR(__xludf.DUMMYFUNCTION("""COMPUTED_VALUE"""),45863.6458333333)</f>
        <v>45863.6458333333</v>
      </c>
      <c r="J86" s="17">
        <f>IFERROR(__xludf.DUMMYFUNCTION("""COMPUTED_VALUE"""),2544.1)</f>
        <v>2544.1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IFERROR(__xludf.DUMMYFUNCTION("""COMPUTED_VALUE"""),2522.3)</f>
        <v>2522.3</v>
      </c>
      <c r="C87" s="16">
        <f>IFERROR(__xludf.DUMMYFUNCTION("""COMPUTED_VALUE"""),45866.6458333333)</f>
        <v>45866.6458333333</v>
      </c>
      <c r="D87" s="17">
        <f>IFERROR(__xludf.DUMMYFUNCTION("""COMPUTED_VALUE"""),2549)</f>
        <v>2549</v>
      </c>
      <c r="E87" s="16">
        <f>IFERROR(__xludf.DUMMYFUNCTION("""COMPUTED_VALUE"""),45866.6458333333)</f>
        <v>45866.6458333333</v>
      </c>
      <c r="F87" s="17">
        <f>IFERROR(__xludf.DUMMYFUNCTION("""COMPUTED_VALUE"""),428409)</f>
        <v>428409</v>
      </c>
      <c r="G87" s="16">
        <f>IFERROR(__xludf.DUMMYFUNCTION("""COMPUTED_VALUE"""),45866.6458333333)</f>
        <v>45866.6458333333</v>
      </c>
      <c r="H87" s="17">
        <f>IFERROR(__xludf.DUMMYFUNCTION("""COMPUTED_VALUE"""),2585)</f>
        <v>2585</v>
      </c>
      <c r="I87" s="16">
        <f>IFERROR(__xludf.DUMMYFUNCTION("""COMPUTED_VALUE"""),45866.6458333333)</f>
        <v>45866.6458333333</v>
      </c>
      <c r="J87" s="17">
        <f>IFERROR(__xludf.DUMMYFUNCTION("""COMPUTED_VALUE"""),2512.6)</f>
        <v>2512.6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IFERROR(__xludf.DUMMYFUNCTION("""COMPUTED_VALUE"""),2547.9)</f>
        <v>2547.9</v>
      </c>
      <c r="C88" s="16">
        <f>IFERROR(__xludf.DUMMYFUNCTION("""COMPUTED_VALUE"""),45867.6458333333)</f>
        <v>45867.6458333333</v>
      </c>
      <c r="D88" s="17">
        <f>IFERROR(__xludf.DUMMYFUNCTION("""COMPUTED_VALUE"""),2529)</f>
        <v>2529</v>
      </c>
      <c r="E88" s="16">
        <f>IFERROR(__xludf.DUMMYFUNCTION("""COMPUTED_VALUE"""),45867.6458333333)</f>
        <v>45867.6458333333</v>
      </c>
      <c r="F88" s="17">
        <f>IFERROR(__xludf.DUMMYFUNCTION("""COMPUTED_VALUE"""),424781)</f>
        <v>424781</v>
      </c>
      <c r="G88" s="16">
        <f>IFERROR(__xludf.DUMMYFUNCTION("""COMPUTED_VALUE"""),45867.6458333333)</f>
        <v>45867.6458333333</v>
      </c>
      <c r="H88" s="17">
        <f>IFERROR(__xludf.DUMMYFUNCTION("""COMPUTED_VALUE"""),2557.4)</f>
        <v>2557.4</v>
      </c>
      <c r="I88" s="16">
        <f>IFERROR(__xludf.DUMMYFUNCTION("""COMPUTED_VALUE"""),45867.6458333333)</f>
        <v>45867.6458333333</v>
      </c>
      <c r="J88" s="17">
        <f>IFERROR(__xludf.DUMMYFUNCTION("""COMPUTED_VALUE"""),2507.5)</f>
        <v>2507.5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IFERROR(__xludf.DUMMYFUNCTION("""COMPUTED_VALUE"""),2532.9)</f>
        <v>2532.9</v>
      </c>
      <c r="C89" s="16">
        <f>IFERROR(__xludf.DUMMYFUNCTION("""COMPUTED_VALUE"""),45868.6458333333)</f>
        <v>45868.6458333333</v>
      </c>
      <c r="D89" s="17">
        <f>IFERROR(__xludf.DUMMYFUNCTION("""COMPUTED_VALUE"""),2547.9)</f>
        <v>2547.9</v>
      </c>
      <c r="E89" s="16">
        <f>IFERROR(__xludf.DUMMYFUNCTION("""COMPUTED_VALUE"""),45868.6458333333)</f>
        <v>45868.6458333333</v>
      </c>
      <c r="F89" s="17">
        <f>IFERROR(__xludf.DUMMYFUNCTION("""COMPUTED_VALUE"""),262063)</f>
        <v>262063</v>
      </c>
      <c r="G89" s="16">
        <f>IFERROR(__xludf.DUMMYFUNCTION("""COMPUTED_VALUE"""),45868.6458333333)</f>
        <v>45868.6458333333</v>
      </c>
      <c r="H89" s="17">
        <f>IFERROR(__xludf.DUMMYFUNCTION("""COMPUTED_VALUE"""),2552.6)</f>
        <v>2552.6</v>
      </c>
      <c r="I89" s="16">
        <f>IFERROR(__xludf.DUMMYFUNCTION("""COMPUTED_VALUE"""),45868.6458333333)</f>
        <v>45868.6458333333</v>
      </c>
      <c r="J89" s="17">
        <f>IFERROR(__xludf.DUMMYFUNCTION("""COMPUTED_VALUE"""),2525)</f>
        <v>2525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IFERROR(__xludf.DUMMYFUNCTION("""COMPUTED_VALUE"""),2430.7)</f>
        <v>2430.7</v>
      </c>
      <c r="C90" s="16">
        <f>IFERROR(__xludf.DUMMYFUNCTION("""COMPUTED_VALUE"""),45869.6458333333)</f>
        <v>45869.6458333333</v>
      </c>
      <c r="D90" s="17">
        <f>IFERROR(__xludf.DUMMYFUNCTION("""COMPUTED_VALUE"""),2509.9)</f>
        <v>2509.9</v>
      </c>
      <c r="E90" s="16">
        <f>IFERROR(__xludf.DUMMYFUNCTION("""COMPUTED_VALUE"""),45869.6458333333)</f>
        <v>45869.6458333333</v>
      </c>
      <c r="F90" s="17">
        <f>IFERROR(__xludf.DUMMYFUNCTION("""COMPUTED_VALUE"""),1457616)</f>
        <v>1457616</v>
      </c>
      <c r="G90" s="16">
        <f>IFERROR(__xludf.DUMMYFUNCTION("""COMPUTED_VALUE"""),45869.6458333333)</f>
        <v>45869.6458333333</v>
      </c>
      <c r="H90" s="17">
        <f>IFERROR(__xludf.DUMMYFUNCTION("""COMPUTED_VALUE"""),2520)</f>
        <v>2520</v>
      </c>
      <c r="I90" s="16">
        <f>IFERROR(__xludf.DUMMYFUNCTION("""COMPUTED_VALUE"""),45869.6458333333)</f>
        <v>45869.6458333333</v>
      </c>
      <c r="J90" s="17">
        <f>IFERROR(__xludf.DUMMYFUNCTION("""COMPUTED_VALUE"""),2422.6)</f>
        <v>2422.6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IFERROR(__xludf.DUMMYFUNCTION("""COMPUTED_VALUE"""),2350.9)</f>
        <v>2350.9</v>
      </c>
      <c r="C91" s="16">
        <f>IFERROR(__xludf.DUMMYFUNCTION("""COMPUTED_VALUE"""),45870.6458333333)</f>
        <v>45870.6458333333</v>
      </c>
      <c r="D91" s="17">
        <f>IFERROR(__xludf.DUMMYFUNCTION("""COMPUTED_VALUE"""),2425)</f>
        <v>2425</v>
      </c>
      <c r="E91" s="16">
        <f>IFERROR(__xludf.DUMMYFUNCTION("""COMPUTED_VALUE"""),45870.6458333333)</f>
        <v>45870.6458333333</v>
      </c>
      <c r="F91" s="17">
        <f>IFERROR(__xludf.DUMMYFUNCTION("""COMPUTED_VALUE"""),976341)</f>
        <v>976341</v>
      </c>
      <c r="G91" s="16">
        <f>IFERROR(__xludf.DUMMYFUNCTION("""COMPUTED_VALUE"""),45870.6458333333)</f>
        <v>45870.6458333333</v>
      </c>
      <c r="H91" s="17">
        <f>IFERROR(__xludf.DUMMYFUNCTION("""COMPUTED_VALUE"""),2444.9)</f>
        <v>2444.9</v>
      </c>
      <c r="I91" s="16">
        <f>IFERROR(__xludf.DUMMYFUNCTION("""COMPUTED_VALUE"""),45870.6458333333)</f>
        <v>45870.6458333333</v>
      </c>
      <c r="J91" s="17">
        <f>IFERROR(__xludf.DUMMYFUNCTION("""COMPUTED_VALUE"""),2333)</f>
        <v>2333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IFERROR(__xludf.DUMMYFUNCTION("""COMPUTED_VALUE"""),2363.6)</f>
        <v>2363.6</v>
      </c>
      <c r="C92" s="16">
        <f>IFERROR(__xludf.DUMMYFUNCTION("""COMPUTED_VALUE"""),45873.6458333333)</f>
        <v>45873.6458333333</v>
      </c>
      <c r="D92" s="17">
        <f>IFERROR(__xludf.DUMMYFUNCTION("""COMPUTED_VALUE"""),2360)</f>
        <v>2360</v>
      </c>
      <c r="E92" s="16">
        <f>IFERROR(__xludf.DUMMYFUNCTION("""COMPUTED_VALUE"""),45873.6458333333)</f>
        <v>45873.6458333333</v>
      </c>
      <c r="F92" s="17">
        <f>IFERROR(__xludf.DUMMYFUNCTION("""COMPUTED_VALUE"""),576426)</f>
        <v>576426</v>
      </c>
      <c r="G92" s="16">
        <f>IFERROR(__xludf.DUMMYFUNCTION("""COMPUTED_VALUE"""),45873.6458333333)</f>
        <v>45873.6458333333</v>
      </c>
      <c r="H92" s="17">
        <f>IFERROR(__xludf.DUMMYFUNCTION("""COMPUTED_VALUE"""),2374.7)</f>
        <v>2374.7</v>
      </c>
      <c r="I92" s="16">
        <f>IFERROR(__xludf.DUMMYFUNCTION("""COMPUTED_VALUE"""),45873.6458333333)</f>
        <v>45873.6458333333</v>
      </c>
      <c r="J92" s="17">
        <f>IFERROR(__xludf.DUMMYFUNCTION("""COMPUTED_VALUE"""),2338.2)</f>
        <v>2338.2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IFERROR(__xludf.DUMMYFUNCTION("""COMPUTED_VALUE"""),2328.2)</f>
        <v>2328.2</v>
      </c>
      <c r="C93" s="16">
        <f>IFERROR(__xludf.DUMMYFUNCTION("""COMPUTED_VALUE"""),45874.6458333333)</f>
        <v>45874.6458333333</v>
      </c>
      <c r="D93" s="17">
        <f>IFERROR(__xludf.DUMMYFUNCTION("""COMPUTED_VALUE"""),2370)</f>
        <v>2370</v>
      </c>
      <c r="E93" s="16">
        <f>IFERROR(__xludf.DUMMYFUNCTION("""COMPUTED_VALUE"""),45874.6458333333)</f>
        <v>45874.6458333333</v>
      </c>
      <c r="F93" s="17">
        <f>IFERROR(__xludf.DUMMYFUNCTION("""COMPUTED_VALUE"""),576742)</f>
        <v>576742</v>
      </c>
      <c r="G93" s="16">
        <f>IFERROR(__xludf.DUMMYFUNCTION("""COMPUTED_VALUE"""),45874.6458333333)</f>
        <v>45874.6458333333</v>
      </c>
      <c r="H93" s="17">
        <f>IFERROR(__xludf.DUMMYFUNCTION("""COMPUTED_VALUE"""),2370)</f>
        <v>2370</v>
      </c>
      <c r="I93" s="16">
        <f>IFERROR(__xludf.DUMMYFUNCTION("""COMPUTED_VALUE"""),45874.6458333333)</f>
        <v>45874.6458333333</v>
      </c>
      <c r="J93" s="17">
        <f>IFERROR(__xludf.DUMMYFUNCTION("""COMPUTED_VALUE"""),2316)</f>
        <v>2316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IFERROR(__xludf.DUMMYFUNCTION("""COMPUTED_VALUE"""),2300.3)</f>
        <v>2300.3</v>
      </c>
      <c r="C94" s="16">
        <f>IFERROR(__xludf.DUMMYFUNCTION("""COMPUTED_VALUE"""),45875.6458333333)</f>
        <v>45875.6458333333</v>
      </c>
      <c r="D94" s="17">
        <f>IFERROR(__xludf.DUMMYFUNCTION("""COMPUTED_VALUE"""),2333.9)</f>
        <v>2333.9</v>
      </c>
      <c r="E94" s="16">
        <f>IFERROR(__xludf.DUMMYFUNCTION("""COMPUTED_VALUE"""),45875.6458333333)</f>
        <v>45875.6458333333</v>
      </c>
      <c r="F94" s="17">
        <f>IFERROR(__xludf.DUMMYFUNCTION("""COMPUTED_VALUE"""),631582)</f>
        <v>631582</v>
      </c>
      <c r="G94" s="16">
        <f>IFERROR(__xludf.DUMMYFUNCTION("""COMPUTED_VALUE"""),45875.6458333333)</f>
        <v>45875.6458333333</v>
      </c>
      <c r="H94" s="17">
        <f>IFERROR(__xludf.DUMMYFUNCTION("""COMPUTED_VALUE"""),2347.9)</f>
        <v>2347.9</v>
      </c>
      <c r="I94" s="16">
        <f>IFERROR(__xludf.DUMMYFUNCTION("""COMPUTED_VALUE"""),45875.6458333333)</f>
        <v>45875.6458333333</v>
      </c>
      <c r="J94" s="17">
        <f>IFERROR(__xludf.DUMMYFUNCTION("""COMPUTED_VALUE"""),2296)</f>
        <v>2296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IFERROR(__xludf.DUMMYFUNCTION("""COMPUTED_VALUE"""),2249.8)</f>
        <v>2249.8</v>
      </c>
      <c r="C95" s="16">
        <f>IFERROR(__xludf.DUMMYFUNCTION("""COMPUTED_VALUE"""),45876.6458333333)</f>
        <v>45876.6458333333</v>
      </c>
      <c r="D95" s="17">
        <f>IFERROR(__xludf.DUMMYFUNCTION("""COMPUTED_VALUE"""),2290)</f>
        <v>2290</v>
      </c>
      <c r="E95" s="16">
        <f>IFERROR(__xludf.DUMMYFUNCTION("""COMPUTED_VALUE"""),45876.6458333333)</f>
        <v>45876.6458333333</v>
      </c>
      <c r="F95" s="17">
        <f>IFERROR(__xludf.DUMMYFUNCTION("""COMPUTED_VALUE"""),1529410)</f>
        <v>1529410</v>
      </c>
      <c r="G95" s="16">
        <f>IFERROR(__xludf.DUMMYFUNCTION("""COMPUTED_VALUE"""),45876.6458333333)</f>
        <v>45876.6458333333</v>
      </c>
      <c r="H95" s="17">
        <f>IFERROR(__xludf.DUMMYFUNCTION("""COMPUTED_VALUE"""),2295)</f>
        <v>2295</v>
      </c>
      <c r="I95" s="16">
        <f>IFERROR(__xludf.DUMMYFUNCTION("""COMPUTED_VALUE"""),45876.6458333333)</f>
        <v>45876.6458333333</v>
      </c>
      <c r="J95" s="17">
        <f>IFERROR(__xludf.DUMMYFUNCTION("""COMPUTED_VALUE"""),2202.8)</f>
        <v>2202.8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IFERROR(__xludf.DUMMYFUNCTION("""COMPUTED_VALUE"""),2178.1)</f>
        <v>2178.1</v>
      </c>
      <c r="C96" s="16">
        <f>IFERROR(__xludf.DUMMYFUNCTION("""COMPUTED_VALUE"""),45877.6458333333)</f>
        <v>45877.6458333333</v>
      </c>
      <c r="D96" s="17">
        <f>IFERROR(__xludf.DUMMYFUNCTION("""COMPUTED_VALUE"""),2247)</f>
        <v>2247</v>
      </c>
      <c r="E96" s="16">
        <f>IFERROR(__xludf.DUMMYFUNCTION("""COMPUTED_VALUE"""),45877.6458333333)</f>
        <v>45877.6458333333</v>
      </c>
      <c r="F96" s="17">
        <f>IFERROR(__xludf.DUMMYFUNCTION("""COMPUTED_VALUE"""),2552736)</f>
        <v>2552736</v>
      </c>
      <c r="G96" s="16">
        <f>IFERROR(__xludf.DUMMYFUNCTION("""COMPUTED_VALUE"""),45877.6458333333)</f>
        <v>45877.6458333333</v>
      </c>
      <c r="H96" s="17">
        <f>IFERROR(__xludf.DUMMYFUNCTION("""COMPUTED_VALUE"""),2260.9)</f>
        <v>2260.9</v>
      </c>
      <c r="I96" s="16">
        <f>IFERROR(__xludf.DUMMYFUNCTION("""COMPUTED_VALUE"""),45877.6458333333)</f>
        <v>45877.6458333333</v>
      </c>
      <c r="J96" s="17">
        <f>IFERROR(__xludf.DUMMYFUNCTION("""COMPUTED_VALUE"""),2164.8)</f>
        <v>2164.8</v>
      </c>
      <c r="K96" s="3">
        <f t="shared" si="2"/>
        <v>0</v>
      </c>
      <c r="L96" s="3">
        <f t="shared" si="3"/>
        <v>2178.1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IFERROR(__xludf.DUMMYFUNCTION("""COMPUTED_VALUE"""),2283.4)</f>
        <v>2283.4</v>
      </c>
      <c r="C97" s="16">
        <f>IFERROR(__xludf.DUMMYFUNCTION("""COMPUTED_VALUE"""),45880.6458333333)</f>
        <v>45880.6458333333</v>
      </c>
      <c r="D97" s="17">
        <f>IFERROR(__xludf.DUMMYFUNCTION("""COMPUTED_VALUE"""),2196)</f>
        <v>2196</v>
      </c>
      <c r="E97" s="16">
        <f>IFERROR(__xludf.DUMMYFUNCTION("""COMPUTED_VALUE"""),45880.6458333333)</f>
        <v>45880.6458333333</v>
      </c>
      <c r="F97" s="17">
        <f>IFERROR(__xludf.DUMMYFUNCTION("""COMPUTED_VALUE"""),2376286)</f>
        <v>2376286</v>
      </c>
      <c r="G97" s="16">
        <f>IFERROR(__xludf.DUMMYFUNCTION("""COMPUTED_VALUE"""),45880.6458333333)</f>
        <v>45880.6458333333</v>
      </c>
      <c r="H97" s="17">
        <f>IFERROR(__xludf.DUMMYFUNCTION("""COMPUTED_VALUE"""),2302)</f>
        <v>2302</v>
      </c>
      <c r="I97" s="16">
        <f>IFERROR(__xludf.DUMMYFUNCTION("""COMPUTED_VALUE"""),45880.6458333333)</f>
        <v>45880.6458333333</v>
      </c>
      <c r="J97" s="17">
        <f>IFERROR(__xludf.DUMMYFUNCTION("""COMPUTED_VALUE"""),2183)</f>
        <v>2183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IFERROR(__xludf.DUMMYFUNCTION("""COMPUTED_VALUE"""),2288.2)</f>
        <v>2288.2</v>
      </c>
      <c r="C98" s="16">
        <f>IFERROR(__xludf.DUMMYFUNCTION("""COMPUTED_VALUE"""),45881.6458333333)</f>
        <v>45881.6458333333</v>
      </c>
      <c r="D98" s="17">
        <f>IFERROR(__xludf.DUMMYFUNCTION("""COMPUTED_VALUE"""),2280.1)</f>
        <v>2280.1</v>
      </c>
      <c r="E98" s="16">
        <f>IFERROR(__xludf.DUMMYFUNCTION("""COMPUTED_VALUE"""),45881.6458333333)</f>
        <v>45881.6458333333</v>
      </c>
      <c r="F98" s="17">
        <f>IFERROR(__xludf.DUMMYFUNCTION("""COMPUTED_VALUE"""),1075526)</f>
        <v>1075526</v>
      </c>
      <c r="G98" s="16">
        <f>IFERROR(__xludf.DUMMYFUNCTION("""COMPUTED_VALUE"""),45881.6458333333)</f>
        <v>45881.6458333333</v>
      </c>
      <c r="H98" s="17">
        <f>IFERROR(__xludf.DUMMYFUNCTION("""COMPUTED_VALUE"""),2314.7)</f>
        <v>2314.7</v>
      </c>
      <c r="I98" s="16">
        <f>IFERROR(__xludf.DUMMYFUNCTION("""COMPUTED_VALUE"""),45881.6458333333)</f>
        <v>45881.6458333333</v>
      </c>
      <c r="J98" s="17">
        <f>IFERROR(__xludf.DUMMYFUNCTION("""COMPUTED_VALUE"""),2267)</f>
        <v>2267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IFERROR(__xludf.DUMMYFUNCTION("""COMPUTED_VALUE"""),2280.1)</f>
        <v>2280.1</v>
      </c>
      <c r="C99" s="16">
        <f>IFERROR(__xludf.DUMMYFUNCTION("""COMPUTED_VALUE"""),45882.6458333333)</f>
        <v>45882.6458333333</v>
      </c>
      <c r="D99" s="17">
        <f>IFERROR(__xludf.DUMMYFUNCTION("""COMPUTED_VALUE"""),2299)</f>
        <v>2299</v>
      </c>
      <c r="E99" s="16">
        <f>IFERROR(__xludf.DUMMYFUNCTION("""COMPUTED_VALUE"""),45882.6458333333)</f>
        <v>45882.6458333333</v>
      </c>
      <c r="F99" s="17">
        <f>IFERROR(__xludf.DUMMYFUNCTION("""COMPUTED_VALUE"""),833679)</f>
        <v>833679</v>
      </c>
      <c r="G99" s="16">
        <f>IFERROR(__xludf.DUMMYFUNCTION("""COMPUTED_VALUE"""),45882.6458333333)</f>
        <v>45882.6458333333</v>
      </c>
      <c r="H99" s="17">
        <f>IFERROR(__xludf.DUMMYFUNCTION("""COMPUTED_VALUE"""),2314.9)</f>
        <v>2314.9</v>
      </c>
      <c r="I99" s="16">
        <f>IFERROR(__xludf.DUMMYFUNCTION("""COMPUTED_VALUE"""),45882.6458333333)</f>
        <v>45882.6458333333</v>
      </c>
      <c r="J99" s="17">
        <f>IFERROR(__xludf.DUMMYFUNCTION("""COMPUTED_VALUE"""),2245.4)</f>
        <v>2245.4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IFERROR(__xludf.DUMMYFUNCTION("""COMPUTED_VALUE"""),2281.6)</f>
        <v>2281.6</v>
      </c>
      <c r="C100" s="16">
        <f>IFERROR(__xludf.DUMMYFUNCTION("""COMPUTED_VALUE"""),45883.6458333333)</f>
        <v>45883.6458333333</v>
      </c>
      <c r="D100" s="17">
        <f>IFERROR(__xludf.DUMMYFUNCTION("""COMPUTED_VALUE"""),2288)</f>
        <v>2288</v>
      </c>
      <c r="E100" s="16">
        <f>IFERROR(__xludf.DUMMYFUNCTION("""COMPUTED_VALUE"""),45883.6458333333)</f>
        <v>45883.6458333333</v>
      </c>
      <c r="F100" s="17">
        <f>IFERROR(__xludf.DUMMYFUNCTION("""COMPUTED_VALUE"""),998109)</f>
        <v>998109</v>
      </c>
      <c r="G100" s="16">
        <f>IFERROR(__xludf.DUMMYFUNCTION("""COMPUTED_VALUE"""),45883.6458333333)</f>
        <v>45883.6458333333</v>
      </c>
      <c r="H100" s="17">
        <f>IFERROR(__xludf.DUMMYFUNCTION("""COMPUTED_VALUE"""),2304)</f>
        <v>2304</v>
      </c>
      <c r="I100" s="16">
        <f>IFERROR(__xludf.DUMMYFUNCTION("""COMPUTED_VALUE"""),45883.6458333333)</f>
        <v>45883.6458333333</v>
      </c>
      <c r="J100" s="17">
        <f>IFERROR(__xludf.DUMMYFUNCTION("""COMPUTED_VALUE"""),2267.7)</f>
        <v>2267.7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IFERROR(__xludf.DUMMYFUNCTION("""COMPUTED_VALUE"""),2333.6)</f>
        <v>2333.6</v>
      </c>
      <c r="C101" s="16">
        <f>IFERROR(__xludf.DUMMYFUNCTION("""COMPUTED_VALUE"""),45887.6458333333)</f>
        <v>45887.6458333333</v>
      </c>
      <c r="D101" s="17">
        <f>IFERROR(__xludf.DUMMYFUNCTION("""COMPUTED_VALUE"""),2309.6)</f>
        <v>2309.6</v>
      </c>
      <c r="E101" s="16">
        <f>IFERROR(__xludf.DUMMYFUNCTION("""COMPUTED_VALUE"""),45887.6458333333)</f>
        <v>45887.6458333333</v>
      </c>
      <c r="F101" s="17">
        <f>IFERROR(__xludf.DUMMYFUNCTION("""COMPUTED_VALUE"""),988629)</f>
        <v>988629</v>
      </c>
      <c r="G101" s="16">
        <f>IFERROR(__xludf.DUMMYFUNCTION("""COMPUTED_VALUE"""),45887.6458333333)</f>
        <v>45887.6458333333</v>
      </c>
      <c r="H101" s="17">
        <f>IFERROR(__xludf.DUMMYFUNCTION("""COMPUTED_VALUE"""),2360)</f>
        <v>2360</v>
      </c>
      <c r="I101" s="16">
        <f>IFERROR(__xludf.DUMMYFUNCTION("""COMPUTED_VALUE"""),45887.6458333333)</f>
        <v>45887.6458333333</v>
      </c>
      <c r="J101" s="17">
        <f>IFERROR(__xludf.DUMMYFUNCTION("""COMPUTED_VALUE"""),2300)</f>
        <v>2300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IFERROR(__xludf.DUMMYFUNCTION("""COMPUTED_VALUE"""),2388.4)</f>
        <v>2388.4</v>
      </c>
      <c r="C102" s="16">
        <f>IFERROR(__xludf.DUMMYFUNCTION("""COMPUTED_VALUE"""),45888.6458333333)</f>
        <v>45888.6458333333</v>
      </c>
      <c r="D102" s="17">
        <f>IFERROR(__xludf.DUMMYFUNCTION("""COMPUTED_VALUE"""),2339.9)</f>
        <v>2339.9</v>
      </c>
      <c r="E102" s="16">
        <f>IFERROR(__xludf.DUMMYFUNCTION("""COMPUTED_VALUE"""),45888.6458333333)</f>
        <v>45888.6458333333</v>
      </c>
      <c r="F102" s="17">
        <f>IFERROR(__xludf.DUMMYFUNCTION("""COMPUTED_VALUE"""),1069432)</f>
        <v>1069432</v>
      </c>
      <c r="G102" s="16">
        <f>IFERROR(__xludf.DUMMYFUNCTION("""COMPUTED_VALUE"""),45888.6458333333)</f>
        <v>45888.6458333333</v>
      </c>
      <c r="H102" s="17">
        <f>IFERROR(__xludf.DUMMYFUNCTION("""COMPUTED_VALUE"""),2395.6)</f>
        <v>2395.6</v>
      </c>
      <c r="I102" s="16">
        <f>IFERROR(__xludf.DUMMYFUNCTION("""COMPUTED_VALUE"""),45888.6458333333)</f>
        <v>45888.6458333333</v>
      </c>
      <c r="J102" s="17">
        <f>IFERROR(__xludf.DUMMYFUNCTION("""COMPUTED_VALUE"""),2314.1)</f>
        <v>2314.1</v>
      </c>
      <c r="K102" s="3">
        <f t="shared" si="2"/>
        <v>2388.4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IFERROR(__xludf.DUMMYFUNCTION("""COMPUTED_VALUE"""),2387.1)</f>
        <v>2387.1</v>
      </c>
      <c r="C103" s="16">
        <f>IFERROR(__xludf.DUMMYFUNCTION("""COMPUTED_VALUE"""),45889.6458333333)</f>
        <v>45889.6458333333</v>
      </c>
      <c r="D103" s="17">
        <f>IFERROR(__xludf.DUMMYFUNCTION("""COMPUTED_VALUE"""),2380)</f>
        <v>2380</v>
      </c>
      <c r="E103" s="16">
        <f>IFERROR(__xludf.DUMMYFUNCTION("""COMPUTED_VALUE"""),45889.6458333333)</f>
        <v>45889.6458333333</v>
      </c>
      <c r="F103" s="17">
        <f>IFERROR(__xludf.DUMMYFUNCTION("""COMPUTED_VALUE"""),780025)</f>
        <v>780025</v>
      </c>
      <c r="G103" s="16">
        <f>IFERROR(__xludf.DUMMYFUNCTION("""COMPUTED_VALUE"""),45889.6458333333)</f>
        <v>45889.6458333333</v>
      </c>
      <c r="H103" s="17">
        <f>IFERROR(__xludf.DUMMYFUNCTION("""COMPUTED_VALUE"""),2406)</f>
        <v>2406</v>
      </c>
      <c r="I103" s="16">
        <f>IFERROR(__xludf.DUMMYFUNCTION("""COMPUTED_VALUE"""),45889.6458333333)</f>
        <v>45889.6458333333</v>
      </c>
      <c r="J103" s="17">
        <f>IFERROR(__xludf.DUMMYFUNCTION("""COMPUTED_VALUE"""),2372.1)</f>
        <v>2372.1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IFERROR(__xludf.DUMMYFUNCTION("""COMPUTED_VALUE"""),2377.2)</f>
        <v>2377.2</v>
      </c>
      <c r="C104" s="16">
        <f>IFERROR(__xludf.DUMMYFUNCTION("""COMPUTED_VALUE"""),45890.6458333333)</f>
        <v>45890.6458333333</v>
      </c>
      <c r="D104" s="17">
        <f>IFERROR(__xludf.DUMMYFUNCTION("""COMPUTED_VALUE"""),2387.1)</f>
        <v>2387.1</v>
      </c>
      <c r="E104" s="16">
        <f>IFERROR(__xludf.DUMMYFUNCTION("""COMPUTED_VALUE"""),45890.6458333333)</f>
        <v>45890.6458333333</v>
      </c>
      <c r="F104" s="17">
        <f>IFERROR(__xludf.DUMMYFUNCTION("""COMPUTED_VALUE"""),441867)</f>
        <v>441867</v>
      </c>
      <c r="G104" s="16">
        <f>IFERROR(__xludf.DUMMYFUNCTION("""COMPUTED_VALUE"""),45890.6458333333)</f>
        <v>45890.6458333333</v>
      </c>
      <c r="H104" s="17">
        <f>IFERROR(__xludf.DUMMYFUNCTION("""COMPUTED_VALUE"""),2397)</f>
        <v>2397</v>
      </c>
      <c r="I104" s="16">
        <f>IFERROR(__xludf.DUMMYFUNCTION("""COMPUTED_VALUE"""),45890.6458333333)</f>
        <v>45890.6458333333</v>
      </c>
      <c r="J104" s="17">
        <f>IFERROR(__xludf.DUMMYFUNCTION("""COMPUTED_VALUE"""),2371.4)</f>
        <v>2371.4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IFERROR(__xludf.DUMMYFUNCTION("""COMPUTED_VALUE"""),2324.9)</f>
        <v>2324.9</v>
      </c>
      <c r="C105" s="16">
        <f>IFERROR(__xludf.DUMMYFUNCTION("""COMPUTED_VALUE"""),45891.6458333333)</f>
        <v>45891.6458333333</v>
      </c>
      <c r="D105" s="17">
        <f>IFERROR(__xludf.DUMMYFUNCTION("""COMPUTED_VALUE"""),2369.9)</f>
        <v>2369.9</v>
      </c>
      <c r="E105" s="16">
        <f>IFERROR(__xludf.DUMMYFUNCTION("""COMPUTED_VALUE"""),45891.6458333333)</f>
        <v>45891.6458333333</v>
      </c>
      <c r="F105" s="17">
        <f>IFERROR(__xludf.DUMMYFUNCTION("""COMPUTED_VALUE"""),584211)</f>
        <v>584211</v>
      </c>
      <c r="G105" s="16">
        <f>IFERROR(__xludf.DUMMYFUNCTION("""COMPUTED_VALUE"""),45891.6458333333)</f>
        <v>45891.6458333333</v>
      </c>
      <c r="H105" s="17">
        <f>IFERROR(__xludf.DUMMYFUNCTION("""COMPUTED_VALUE"""),2376.3)</f>
        <v>2376.3</v>
      </c>
      <c r="I105" s="16">
        <f>IFERROR(__xludf.DUMMYFUNCTION("""COMPUTED_VALUE"""),45891.6458333333)</f>
        <v>45891.6458333333</v>
      </c>
      <c r="J105" s="17">
        <f>IFERROR(__xludf.DUMMYFUNCTION("""COMPUTED_VALUE"""),2321)</f>
        <v>2321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IFERROR(__xludf.DUMMYFUNCTION("""COMPUTED_VALUE"""),2302.9)</f>
        <v>2302.9</v>
      </c>
      <c r="C106" s="16">
        <f>IFERROR(__xludf.DUMMYFUNCTION("""COMPUTED_VALUE"""),45894.6458333333)</f>
        <v>45894.6458333333</v>
      </c>
      <c r="D106" s="17">
        <f>IFERROR(__xludf.DUMMYFUNCTION("""COMPUTED_VALUE"""),2335.7)</f>
        <v>2335.7</v>
      </c>
      <c r="E106" s="16">
        <f>IFERROR(__xludf.DUMMYFUNCTION("""COMPUTED_VALUE"""),45894.6458333333)</f>
        <v>45894.6458333333</v>
      </c>
      <c r="F106" s="17">
        <f>IFERROR(__xludf.DUMMYFUNCTION("""COMPUTED_VALUE"""),542455)</f>
        <v>542455</v>
      </c>
      <c r="G106" s="16">
        <f>IFERROR(__xludf.DUMMYFUNCTION("""COMPUTED_VALUE"""),45894.6458333333)</f>
        <v>45894.6458333333</v>
      </c>
      <c r="H106" s="17">
        <f>IFERROR(__xludf.DUMMYFUNCTION("""COMPUTED_VALUE"""),2348.4)</f>
        <v>2348.4</v>
      </c>
      <c r="I106" s="16">
        <f>IFERROR(__xludf.DUMMYFUNCTION("""COMPUTED_VALUE"""),45894.6458333333)</f>
        <v>45894.6458333333</v>
      </c>
      <c r="J106" s="17">
        <f>IFERROR(__xludf.DUMMYFUNCTION("""COMPUTED_VALUE"""),2300)</f>
        <v>2300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IFERROR(__xludf.DUMMYFUNCTION("""COMPUTED_VALUE"""),2272)</f>
        <v>2272</v>
      </c>
      <c r="C107" s="16">
        <f>IFERROR(__xludf.DUMMYFUNCTION("""COMPUTED_VALUE"""),45895.6458333333)</f>
        <v>45895.6458333333</v>
      </c>
      <c r="D107" s="17">
        <f>IFERROR(__xludf.DUMMYFUNCTION("""COMPUTED_VALUE"""),2304)</f>
        <v>2304</v>
      </c>
      <c r="E107" s="16">
        <f>IFERROR(__xludf.DUMMYFUNCTION("""COMPUTED_VALUE"""),45895.6458333333)</f>
        <v>45895.6458333333</v>
      </c>
      <c r="F107" s="17">
        <f>IFERROR(__xludf.DUMMYFUNCTION("""COMPUTED_VALUE"""),1071550)</f>
        <v>1071550</v>
      </c>
      <c r="G107" s="16">
        <f>IFERROR(__xludf.DUMMYFUNCTION("""COMPUTED_VALUE"""),45895.6458333333)</f>
        <v>45895.6458333333</v>
      </c>
      <c r="H107" s="17">
        <f>IFERROR(__xludf.DUMMYFUNCTION("""COMPUTED_VALUE"""),2309.3)</f>
        <v>2309.3</v>
      </c>
      <c r="I107" s="16">
        <f>IFERROR(__xludf.DUMMYFUNCTION("""COMPUTED_VALUE"""),45895.6458333333)</f>
        <v>45895.6458333333</v>
      </c>
      <c r="J107" s="17">
        <f>IFERROR(__xludf.DUMMYFUNCTION("""COMPUTED_VALUE"""),2249.4)</f>
        <v>2249.4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IFERROR(__xludf.DUMMYFUNCTION("""COMPUTED_VALUE"""),2275.2)</f>
        <v>2275.2</v>
      </c>
      <c r="C108" s="16">
        <f>IFERROR(__xludf.DUMMYFUNCTION("""COMPUTED_VALUE"""),45897.6458333333)</f>
        <v>45897.6458333333</v>
      </c>
      <c r="D108" s="17">
        <f>IFERROR(__xludf.DUMMYFUNCTION("""COMPUTED_VALUE"""),2271.9)</f>
        <v>2271.9</v>
      </c>
      <c r="E108" s="16">
        <f>IFERROR(__xludf.DUMMYFUNCTION("""COMPUTED_VALUE"""),45897.6458333333)</f>
        <v>45897.6458333333</v>
      </c>
      <c r="F108" s="17">
        <f>IFERROR(__xludf.DUMMYFUNCTION("""COMPUTED_VALUE"""),907868)</f>
        <v>907868</v>
      </c>
      <c r="G108" s="16">
        <f>IFERROR(__xludf.DUMMYFUNCTION("""COMPUTED_VALUE"""),45897.6458333333)</f>
        <v>45897.6458333333</v>
      </c>
      <c r="H108" s="17">
        <f>IFERROR(__xludf.DUMMYFUNCTION("""COMPUTED_VALUE"""),2327.9)</f>
        <v>2327.9</v>
      </c>
      <c r="I108" s="16">
        <f>IFERROR(__xludf.DUMMYFUNCTION("""COMPUTED_VALUE"""),45897.6458333333)</f>
        <v>45897.6458333333</v>
      </c>
      <c r="J108" s="17">
        <f>IFERROR(__xludf.DUMMYFUNCTION("""COMPUTED_VALUE"""),2255)</f>
        <v>2255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IFERROR(__xludf.DUMMYFUNCTION("""COMPUTED_VALUE"""),2244.7)</f>
        <v>2244.7</v>
      </c>
      <c r="C109" s="16">
        <f>IFERROR(__xludf.DUMMYFUNCTION("""COMPUTED_VALUE"""),45898.6458333333)</f>
        <v>45898.6458333333</v>
      </c>
      <c r="D109" s="17">
        <f>IFERROR(__xludf.DUMMYFUNCTION("""COMPUTED_VALUE"""),2283)</f>
        <v>2283</v>
      </c>
      <c r="E109" s="16">
        <f>IFERROR(__xludf.DUMMYFUNCTION("""COMPUTED_VALUE"""),45898.6458333333)</f>
        <v>45898.6458333333</v>
      </c>
      <c r="F109" s="17">
        <f>IFERROR(__xludf.DUMMYFUNCTION("""COMPUTED_VALUE"""),795699)</f>
        <v>795699</v>
      </c>
      <c r="G109" s="16">
        <f>IFERROR(__xludf.DUMMYFUNCTION("""COMPUTED_VALUE"""),45898.6458333333)</f>
        <v>45898.6458333333</v>
      </c>
      <c r="H109" s="17">
        <f>IFERROR(__xludf.DUMMYFUNCTION("""COMPUTED_VALUE"""),2289.7)</f>
        <v>2289.7</v>
      </c>
      <c r="I109" s="16">
        <f>IFERROR(__xludf.DUMMYFUNCTION("""COMPUTED_VALUE"""),45898.6458333333)</f>
        <v>45898.6458333333</v>
      </c>
      <c r="J109" s="17">
        <f>IFERROR(__xludf.DUMMYFUNCTION("""COMPUTED_VALUE"""),2240)</f>
        <v>2240</v>
      </c>
      <c r="K109" s="3">
        <f t="shared" si="2"/>
        <v>0</v>
      </c>
      <c r="L109" s="3">
        <f t="shared" si="3"/>
        <v>2244.7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IFERROR(__xludf.DUMMYFUNCTION("""COMPUTED_VALUE"""),2284.2)</f>
        <v>2284.2</v>
      </c>
      <c r="C110" s="16">
        <f>IFERROR(__xludf.DUMMYFUNCTION("""COMPUTED_VALUE"""),45901.6458333333)</f>
        <v>45901.6458333333</v>
      </c>
      <c r="D110" s="17">
        <f>IFERROR(__xludf.DUMMYFUNCTION("""COMPUTED_VALUE"""),2259)</f>
        <v>2259</v>
      </c>
      <c r="E110" s="16">
        <f>IFERROR(__xludf.DUMMYFUNCTION("""COMPUTED_VALUE"""),45901.6458333333)</f>
        <v>45901.6458333333</v>
      </c>
      <c r="F110" s="17">
        <f>IFERROR(__xludf.DUMMYFUNCTION("""COMPUTED_VALUE"""),425639)</f>
        <v>425639</v>
      </c>
      <c r="G110" s="16">
        <f>IFERROR(__xludf.DUMMYFUNCTION("""COMPUTED_VALUE"""),45901.6458333333)</f>
        <v>45901.6458333333</v>
      </c>
      <c r="H110" s="17">
        <f>IFERROR(__xludf.DUMMYFUNCTION("""COMPUTED_VALUE"""),2288)</f>
        <v>2288</v>
      </c>
      <c r="I110" s="16">
        <f>IFERROR(__xludf.DUMMYFUNCTION("""COMPUTED_VALUE"""),45901.6458333333)</f>
        <v>45901.6458333333</v>
      </c>
      <c r="J110" s="17">
        <f>IFERROR(__xludf.DUMMYFUNCTION("""COMPUTED_VALUE"""),2252.1)</f>
        <v>2252.1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IFERROR(__xludf.DUMMYFUNCTION("""COMPUTED_VALUE"""),2274.2)</f>
        <v>2274.2</v>
      </c>
      <c r="C111" s="16">
        <f>IFERROR(__xludf.DUMMYFUNCTION("""COMPUTED_VALUE"""),45902.6458333333)</f>
        <v>45902.6458333333</v>
      </c>
      <c r="D111" s="17">
        <f>IFERROR(__xludf.DUMMYFUNCTION("""COMPUTED_VALUE"""),2291)</f>
        <v>2291</v>
      </c>
      <c r="E111" s="16">
        <f>IFERROR(__xludf.DUMMYFUNCTION("""COMPUTED_VALUE"""),45902.6458333333)</f>
        <v>45902.6458333333</v>
      </c>
      <c r="F111" s="17">
        <f>IFERROR(__xludf.DUMMYFUNCTION("""COMPUTED_VALUE"""),481894)</f>
        <v>481894</v>
      </c>
      <c r="G111" s="16">
        <f>IFERROR(__xludf.DUMMYFUNCTION("""COMPUTED_VALUE"""),45902.6458333333)</f>
        <v>45902.6458333333</v>
      </c>
      <c r="H111" s="17">
        <f>IFERROR(__xludf.DUMMYFUNCTION("""COMPUTED_VALUE"""),2302)</f>
        <v>2302</v>
      </c>
      <c r="I111" s="16">
        <f>IFERROR(__xludf.DUMMYFUNCTION("""COMPUTED_VALUE"""),45902.6458333333)</f>
        <v>45902.6458333333</v>
      </c>
      <c r="J111" s="17">
        <f>IFERROR(__xludf.DUMMYFUNCTION("""COMPUTED_VALUE"""),2264)</f>
        <v>2264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IFERROR(__xludf.DUMMYFUNCTION("""COMPUTED_VALUE"""),2288.7)</f>
        <v>2288.7</v>
      </c>
      <c r="C112" s="16">
        <f>IFERROR(__xludf.DUMMYFUNCTION("""COMPUTED_VALUE"""),45903.6458333333)</f>
        <v>45903.6458333333</v>
      </c>
      <c r="D112" s="17">
        <f>IFERROR(__xludf.DUMMYFUNCTION("""COMPUTED_VALUE"""),2285)</f>
        <v>2285</v>
      </c>
      <c r="E112" s="16">
        <f>IFERROR(__xludf.DUMMYFUNCTION("""COMPUTED_VALUE"""),45903.6458333333)</f>
        <v>45903.6458333333</v>
      </c>
      <c r="F112" s="17">
        <f>IFERROR(__xludf.DUMMYFUNCTION("""COMPUTED_VALUE"""),443629)</f>
        <v>443629</v>
      </c>
      <c r="G112" s="16">
        <f>IFERROR(__xludf.DUMMYFUNCTION("""COMPUTED_VALUE"""),45903.6458333333)</f>
        <v>45903.6458333333</v>
      </c>
      <c r="H112" s="17">
        <f>IFERROR(__xludf.DUMMYFUNCTION("""COMPUTED_VALUE"""),2293)</f>
        <v>2293</v>
      </c>
      <c r="I112" s="16">
        <f>IFERROR(__xludf.DUMMYFUNCTION("""COMPUTED_VALUE"""),45903.6458333333)</f>
        <v>45903.6458333333</v>
      </c>
      <c r="J112" s="17">
        <f>IFERROR(__xludf.DUMMYFUNCTION("""COMPUTED_VALUE"""),2263.1)</f>
        <v>2263.1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IFERROR(__xludf.DUMMYFUNCTION("""COMPUTED_VALUE"""),2278.8)</f>
        <v>2278.8</v>
      </c>
      <c r="C113" s="16">
        <f>IFERROR(__xludf.DUMMYFUNCTION("""COMPUTED_VALUE"""),45904.6458333333)</f>
        <v>45904.6458333333</v>
      </c>
      <c r="D113" s="17">
        <f>IFERROR(__xludf.DUMMYFUNCTION("""COMPUTED_VALUE"""),2309.9)</f>
        <v>2309.9</v>
      </c>
      <c r="E113" s="16">
        <f>IFERROR(__xludf.DUMMYFUNCTION("""COMPUTED_VALUE"""),45904.6458333333)</f>
        <v>45904.6458333333</v>
      </c>
      <c r="F113" s="17">
        <f>IFERROR(__xludf.DUMMYFUNCTION("""COMPUTED_VALUE"""),392697)</f>
        <v>392697</v>
      </c>
      <c r="G113" s="16">
        <f>IFERROR(__xludf.DUMMYFUNCTION("""COMPUTED_VALUE"""),45904.6458333333)</f>
        <v>45904.6458333333</v>
      </c>
      <c r="H113" s="17">
        <f>IFERROR(__xludf.DUMMYFUNCTION("""COMPUTED_VALUE"""),2317.3)</f>
        <v>2317.3</v>
      </c>
      <c r="I113" s="16">
        <f>IFERROR(__xludf.DUMMYFUNCTION("""COMPUTED_VALUE"""),45904.6458333333)</f>
        <v>45904.6458333333</v>
      </c>
      <c r="J113" s="17">
        <f>IFERROR(__xludf.DUMMYFUNCTION("""COMPUTED_VALUE"""),2275)</f>
        <v>2275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IFERROR(__xludf.DUMMYFUNCTION("""COMPUTED_VALUE"""),2281.4)</f>
        <v>2281.4</v>
      </c>
      <c r="C114" s="16">
        <f>IFERROR(__xludf.DUMMYFUNCTION("""COMPUTED_VALUE"""),45905.6458333333)</f>
        <v>45905.6458333333</v>
      </c>
      <c r="D114" s="17">
        <f>IFERROR(__xludf.DUMMYFUNCTION("""COMPUTED_VALUE"""),2275)</f>
        <v>2275</v>
      </c>
      <c r="E114" s="16">
        <f>IFERROR(__xludf.DUMMYFUNCTION("""COMPUTED_VALUE"""),45905.6458333333)</f>
        <v>45905.6458333333</v>
      </c>
      <c r="F114" s="17">
        <f>IFERROR(__xludf.DUMMYFUNCTION("""COMPUTED_VALUE"""),443010)</f>
        <v>443010</v>
      </c>
      <c r="G114" s="16">
        <f>IFERROR(__xludf.DUMMYFUNCTION("""COMPUTED_VALUE"""),45905.6458333333)</f>
        <v>45905.6458333333</v>
      </c>
      <c r="H114" s="17">
        <f>IFERROR(__xludf.DUMMYFUNCTION("""COMPUTED_VALUE"""),2293.5)</f>
        <v>2293.5</v>
      </c>
      <c r="I114" s="16">
        <f>IFERROR(__xludf.DUMMYFUNCTION("""COMPUTED_VALUE"""),45905.6458333333)</f>
        <v>45905.6458333333</v>
      </c>
      <c r="J114" s="17">
        <f>IFERROR(__xludf.DUMMYFUNCTION("""COMPUTED_VALUE"""),2248)</f>
        <v>2248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IFERROR(__xludf.DUMMYFUNCTION("""COMPUTED_VALUE"""),2310.9)</f>
        <v>2310.9</v>
      </c>
      <c r="C115" s="16">
        <f>IFERROR(__xludf.DUMMYFUNCTION("""COMPUTED_VALUE"""),45908.6458333333)</f>
        <v>45908.6458333333</v>
      </c>
      <c r="D115" s="17">
        <f>IFERROR(__xludf.DUMMYFUNCTION("""COMPUTED_VALUE"""),2290)</f>
        <v>2290</v>
      </c>
      <c r="E115" s="16">
        <f>IFERROR(__xludf.DUMMYFUNCTION("""COMPUTED_VALUE"""),45908.6458333333)</f>
        <v>45908.6458333333</v>
      </c>
      <c r="F115" s="17">
        <f>IFERROR(__xludf.DUMMYFUNCTION("""COMPUTED_VALUE"""),542811)</f>
        <v>542811</v>
      </c>
      <c r="G115" s="16">
        <f>IFERROR(__xludf.DUMMYFUNCTION("""COMPUTED_VALUE"""),45908.6458333333)</f>
        <v>45908.6458333333</v>
      </c>
      <c r="H115" s="17">
        <f>IFERROR(__xludf.DUMMYFUNCTION("""COMPUTED_VALUE"""),2333.9)</f>
        <v>2333.9</v>
      </c>
      <c r="I115" s="16">
        <f>IFERROR(__xludf.DUMMYFUNCTION("""COMPUTED_VALUE"""),45908.6458333333)</f>
        <v>45908.6458333333</v>
      </c>
      <c r="J115" s="17">
        <f>IFERROR(__xludf.DUMMYFUNCTION("""COMPUTED_VALUE"""),2286)</f>
        <v>2286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IFERROR(__xludf.DUMMYFUNCTION("""COMPUTED_VALUE"""),2311.6)</f>
        <v>2311.6</v>
      </c>
      <c r="C116" s="16">
        <f>IFERROR(__xludf.DUMMYFUNCTION("""COMPUTED_VALUE"""),45909.6458333333)</f>
        <v>45909.6458333333</v>
      </c>
      <c r="D116" s="17">
        <f>IFERROR(__xludf.DUMMYFUNCTION("""COMPUTED_VALUE"""),2320)</f>
        <v>2320</v>
      </c>
      <c r="E116" s="16">
        <f>IFERROR(__xludf.DUMMYFUNCTION("""COMPUTED_VALUE"""),45909.6458333333)</f>
        <v>45909.6458333333</v>
      </c>
      <c r="F116" s="17">
        <f>IFERROR(__xludf.DUMMYFUNCTION("""COMPUTED_VALUE"""),369431)</f>
        <v>369431</v>
      </c>
      <c r="G116" s="16">
        <f>IFERROR(__xludf.DUMMYFUNCTION("""COMPUTED_VALUE"""),45909.6458333333)</f>
        <v>45909.6458333333</v>
      </c>
      <c r="H116" s="17">
        <f>IFERROR(__xludf.DUMMYFUNCTION("""COMPUTED_VALUE"""),2325)</f>
        <v>2325</v>
      </c>
      <c r="I116" s="16">
        <f>IFERROR(__xludf.DUMMYFUNCTION("""COMPUTED_VALUE"""),45909.6458333333)</f>
        <v>45909.6458333333</v>
      </c>
      <c r="J116" s="17">
        <f>IFERROR(__xludf.DUMMYFUNCTION("""COMPUTED_VALUE"""),2297)</f>
        <v>2297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IFERROR(__xludf.DUMMYFUNCTION("""COMPUTED_VALUE"""),2340.2)</f>
        <v>2340.2</v>
      </c>
      <c r="C117" s="16">
        <f>IFERROR(__xludf.DUMMYFUNCTION("""COMPUTED_VALUE"""),45910.6458333333)</f>
        <v>45910.6458333333</v>
      </c>
      <c r="D117" s="17">
        <f>IFERROR(__xludf.DUMMYFUNCTION("""COMPUTED_VALUE"""),2330)</f>
        <v>2330</v>
      </c>
      <c r="E117" s="16">
        <f>IFERROR(__xludf.DUMMYFUNCTION("""COMPUTED_VALUE"""),45910.6458333333)</f>
        <v>45910.6458333333</v>
      </c>
      <c r="F117" s="17">
        <f>IFERROR(__xludf.DUMMYFUNCTION("""COMPUTED_VALUE"""),390490)</f>
        <v>390490</v>
      </c>
      <c r="G117" s="16">
        <f>IFERROR(__xludf.DUMMYFUNCTION("""COMPUTED_VALUE"""),45910.6458333333)</f>
        <v>45910.6458333333</v>
      </c>
      <c r="H117" s="17">
        <f>IFERROR(__xludf.DUMMYFUNCTION("""COMPUTED_VALUE"""),2345.9)</f>
        <v>2345.9</v>
      </c>
      <c r="I117" s="16">
        <f>IFERROR(__xludf.DUMMYFUNCTION("""COMPUTED_VALUE"""),45910.6458333333)</f>
        <v>45910.6458333333</v>
      </c>
      <c r="J117" s="17">
        <f>IFERROR(__xludf.DUMMYFUNCTION("""COMPUTED_VALUE"""),2325.1)</f>
        <v>2325.1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IFERROR(__xludf.DUMMYFUNCTION("""COMPUTED_VALUE"""),2398.8)</f>
        <v>2398.8</v>
      </c>
      <c r="C118" s="16">
        <f>IFERROR(__xludf.DUMMYFUNCTION("""COMPUTED_VALUE"""),45911.6458333333)</f>
        <v>45911.6458333333</v>
      </c>
      <c r="D118" s="17">
        <f>IFERROR(__xludf.DUMMYFUNCTION("""COMPUTED_VALUE"""),2348)</f>
        <v>2348</v>
      </c>
      <c r="E118" s="16">
        <f>IFERROR(__xludf.DUMMYFUNCTION("""COMPUTED_VALUE"""),45911.6458333333)</f>
        <v>45911.6458333333</v>
      </c>
      <c r="F118" s="17">
        <f>IFERROR(__xludf.DUMMYFUNCTION("""COMPUTED_VALUE"""),2111888)</f>
        <v>2111888</v>
      </c>
      <c r="G118" s="16">
        <f>IFERROR(__xludf.DUMMYFUNCTION("""COMPUTED_VALUE"""),45911.6458333333)</f>
        <v>45911.6458333333</v>
      </c>
      <c r="H118" s="17">
        <f>IFERROR(__xludf.DUMMYFUNCTION("""COMPUTED_VALUE"""),2418.7)</f>
        <v>2418.7</v>
      </c>
      <c r="I118" s="16">
        <f>IFERROR(__xludf.DUMMYFUNCTION("""COMPUTED_VALUE"""),45911.6458333333)</f>
        <v>45911.6458333333</v>
      </c>
      <c r="J118" s="17">
        <f>IFERROR(__xludf.DUMMYFUNCTION("""COMPUTED_VALUE"""),2340.2)</f>
        <v>2340.2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IFERROR(__xludf.DUMMYFUNCTION("""COMPUTED_VALUE"""),2392)</f>
        <v>2392</v>
      </c>
      <c r="C119" s="16">
        <f>IFERROR(__xludf.DUMMYFUNCTION("""COMPUTED_VALUE"""),45912.6458333333)</f>
        <v>45912.6458333333</v>
      </c>
      <c r="D119" s="17">
        <f>IFERROR(__xludf.DUMMYFUNCTION("""COMPUTED_VALUE"""),2416.9)</f>
        <v>2416.9</v>
      </c>
      <c r="E119" s="16">
        <f>IFERROR(__xludf.DUMMYFUNCTION("""COMPUTED_VALUE"""),45912.6458333333)</f>
        <v>45912.6458333333</v>
      </c>
      <c r="F119" s="17">
        <f>IFERROR(__xludf.DUMMYFUNCTION("""COMPUTED_VALUE"""),533971)</f>
        <v>533971</v>
      </c>
      <c r="G119" s="16">
        <f>IFERROR(__xludf.DUMMYFUNCTION("""COMPUTED_VALUE"""),45912.6458333333)</f>
        <v>45912.6458333333</v>
      </c>
      <c r="H119" s="17">
        <f>IFERROR(__xludf.DUMMYFUNCTION("""COMPUTED_VALUE"""),2421.6)</f>
        <v>2421.6</v>
      </c>
      <c r="I119" s="16">
        <f>IFERROR(__xludf.DUMMYFUNCTION("""COMPUTED_VALUE"""),45912.6458333333)</f>
        <v>45912.6458333333</v>
      </c>
      <c r="J119" s="17">
        <f>IFERROR(__xludf.DUMMYFUNCTION("""COMPUTED_VALUE"""),2387.1)</f>
        <v>2387.1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IFERROR(__xludf.DUMMYFUNCTION("""COMPUTED_VALUE"""),2383.4)</f>
        <v>2383.4</v>
      </c>
      <c r="C120" s="16">
        <f>IFERROR(__xludf.DUMMYFUNCTION("""COMPUTED_VALUE"""),45915.6458333333)</f>
        <v>45915.6458333333</v>
      </c>
      <c r="D120" s="17">
        <f>IFERROR(__xludf.DUMMYFUNCTION("""COMPUTED_VALUE"""),2392)</f>
        <v>2392</v>
      </c>
      <c r="E120" s="16">
        <f>IFERROR(__xludf.DUMMYFUNCTION("""COMPUTED_VALUE"""),45915.6458333333)</f>
        <v>45915.6458333333</v>
      </c>
      <c r="F120" s="17">
        <f>IFERROR(__xludf.DUMMYFUNCTION("""COMPUTED_VALUE"""),298129)</f>
        <v>298129</v>
      </c>
      <c r="G120" s="16">
        <f>IFERROR(__xludf.DUMMYFUNCTION("""COMPUTED_VALUE"""),45915.6458333333)</f>
        <v>45915.6458333333</v>
      </c>
      <c r="H120" s="17">
        <f>IFERROR(__xludf.DUMMYFUNCTION("""COMPUTED_VALUE"""),2402.8)</f>
        <v>2402.8</v>
      </c>
      <c r="I120" s="16">
        <f>IFERROR(__xludf.DUMMYFUNCTION("""COMPUTED_VALUE"""),45915.6458333333)</f>
        <v>45915.6458333333</v>
      </c>
      <c r="J120" s="17">
        <f>IFERROR(__xludf.DUMMYFUNCTION("""COMPUTED_VALUE"""),2378.1)</f>
        <v>2378.1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IFERROR(__xludf.DUMMYFUNCTION("""COMPUTED_VALUE"""),2399.4)</f>
        <v>2399.4</v>
      </c>
      <c r="C121" s="16">
        <f>IFERROR(__xludf.DUMMYFUNCTION("""COMPUTED_VALUE"""),45916.6458333333)</f>
        <v>45916.6458333333</v>
      </c>
      <c r="D121" s="17">
        <f>IFERROR(__xludf.DUMMYFUNCTION("""COMPUTED_VALUE"""),2410)</f>
        <v>2410</v>
      </c>
      <c r="E121" s="16">
        <f>IFERROR(__xludf.DUMMYFUNCTION("""COMPUTED_VALUE"""),45916.6458333333)</f>
        <v>45916.6458333333</v>
      </c>
      <c r="F121" s="17">
        <f>IFERROR(__xludf.DUMMYFUNCTION("""COMPUTED_VALUE"""),752979)</f>
        <v>752979</v>
      </c>
      <c r="G121" s="16">
        <f>IFERROR(__xludf.DUMMYFUNCTION("""COMPUTED_VALUE"""),45916.6458333333)</f>
        <v>45916.6458333333</v>
      </c>
      <c r="H121" s="17">
        <f>IFERROR(__xludf.DUMMYFUNCTION("""COMPUTED_VALUE"""),2415.8)</f>
        <v>2415.8</v>
      </c>
      <c r="I121" s="16">
        <f>IFERROR(__xludf.DUMMYFUNCTION("""COMPUTED_VALUE"""),45916.6458333333)</f>
        <v>45916.6458333333</v>
      </c>
      <c r="J121" s="17">
        <f>IFERROR(__xludf.DUMMYFUNCTION("""COMPUTED_VALUE"""),2388)</f>
        <v>2388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IFERROR(__xludf.DUMMYFUNCTION("""COMPUTED_VALUE"""),2402)</f>
        <v>2402</v>
      </c>
      <c r="C122" s="16">
        <f>IFERROR(__xludf.DUMMYFUNCTION("""COMPUTED_VALUE"""),45917.6458333333)</f>
        <v>45917.6458333333</v>
      </c>
      <c r="D122" s="17">
        <f>IFERROR(__xludf.DUMMYFUNCTION("""COMPUTED_VALUE"""),2417)</f>
        <v>2417</v>
      </c>
      <c r="E122" s="16">
        <f>IFERROR(__xludf.DUMMYFUNCTION("""COMPUTED_VALUE"""),45917.6458333333)</f>
        <v>45917.6458333333</v>
      </c>
      <c r="F122" s="17">
        <f>IFERROR(__xludf.DUMMYFUNCTION("""COMPUTED_VALUE"""),514354)</f>
        <v>514354</v>
      </c>
      <c r="G122" s="16">
        <f>IFERROR(__xludf.DUMMYFUNCTION("""COMPUTED_VALUE"""),45917.6458333333)</f>
        <v>45917.6458333333</v>
      </c>
      <c r="H122" s="17">
        <f>IFERROR(__xludf.DUMMYFUNCTION("""COMPUTED_VALUE"""),2417)</f>
        <v>2417</v>
      </c>
      <c r="I122" s="16">
        <f>IFERROR(__xludf.DUMMYFUNCTION("""COMPUTED_VALUE"""),45917.6458333333)</f>
        <v>45917.6458333333</v>
      </c>
      <c r="J122" s="17">
        <f>IFERROR(__xludf.DUMMYFUNCTION("""COMPUTED_VALUE"""),2391)</f>
        <v>2391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IFERROR(__xludf.DUMMYFUNCTION("""COMPUTED_VALUE"""),2402)</f>
        <v>2402</v>
      </c>
      <c r="C123" s="16">
        <f>IFERROR(__xludf.DUMMYFUNCTION("""COMPUTED_VALUE"""),45918.6458333333)</f>
        <v>45918.6458333333</v>
      </c>
      <c r="D123" s="17">
        <f>IFERROR(__xludf.DUMMYFUNCTION("""COMPUTED_VALUE"""),2414.5)</f>
        <v>2414.5</v>
      </c>
      <c r="E123" s="16">
        <f>IFERROR(__xludf.DUMMYFUNCTION("""COMPUTED_VALUE"""),45918.6458333333)</f>
        <v>45918.6458333333</v>
      </c>
      <c r="F123" s="17">
        <f>IFERROR(__xludf.DUMMYFUNCTION("""COMPUTED_VALUE"""),703730)</f>
        <v>703730</v>
      </c>
      <c r="G123" s="16">
        <f>IFERROR(__xludf.DUMMYFUNCTION("""COMPUTED_VALUE"""),45918.6458333333)</f>
        <v>45918.6458333333</v>
      </c>
      <c r="H123" s="17">
        <f>IFERROR(__xludf.DUMMYFUNCTION("""COMPUTED_VALUE"""),2438)</f>
        <v>2438</v>
      </c>
      <c r="I123" s="16">
        <f>IFERROR(__xludf.DUMMYFUNCTION("""COMPUTED_VALUE"""),45918.6458333333)</f>
        <v>45918.6458333333</v>
      </c>
      <c r="J123" s="17">
        <f>IFERROR(__xludf.DUMMYFUNCTION("""COMPUTED_VALUE"""),2388.4)</f>
        <v>2388.4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IFERROR(__xludf.DUMMYFUNCTION("""COMPUTED_VALUE"""),2524)</f>
        <v>2524</v>
      </c>
      <c r="C124" s="16">
        <f>IFERROR(__xludf.DUMMYFUNCTION("""COMPUTED_VALUE"""),45919.6458333333)</f>
        <v>45919.6458333333</v>
      </c>
      <c r="D124" s="17">
        <f>IFERROR(__xludf.DUMMYFUNCTION("""COMPUTED_VALUE"""),2495)</f>
        <v>2495</v>
      </c>
      <c r="E124" s="16">
        <f>IFERROR(__xludf.DUMMYFUNCTION("""COMPUTED_VALUE"""),45919.6458333333)</f>
        <v>45919.6458333333</v>
      </c>
      <c r="F124" s="17">
        <f>IFERROR(__xludf.DUMMYFUNCTION("""COMPUTED_VALUE"""),7965135)</f>
        <v>7965135</v>
      </c>
      <c r="G124" s="16">
        <f>IFERROR(__xludf.DUMMYFUNCTION("""COMPUTED_VALUE"""),45919.6458333333)</f>
        <v>45919.6458333333</v>
      </c>
      <c r="H124" s="17">
        <f>IFERROR(__xludf.DUMMYFUNCTION("""COMPUTED_VALUE"""),2579)</f>
        <v>2579</v>
      </c>
      <c r="I124" s="16">
        <f>IFERROR(__xludf.DUMMYFUNCTION("""COMPUTED_VALUE"""),45919.6458333333)</f>
        <v>45919.6458333333</v>
      </c>
      <c r="J124" s="17">
        <f>IFERROR(__xludf.DUMMYFUNCTION("""COMPUTED_VALUE"""),2466.1)</f>
        <v>2466.1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IFERROR(__xludf.DUMMYFUNCTION("""COMPUTED_VALUE"""),2629.5)</f>
        <v>2629.5</v>
      </c>
      <c r="C125" s="16">
        <f>IFERROR(__xludf.DUMMYFUNCTION("""COMPUTED_VALUE"""),45922.6458333333)</f>
        <v>45922.6458333333</v>
      </c>
      <c r="D125" s="17">
        <f>IFERROR(__xludf.DUMMYFUNCTION("""COMPUTED_VALUE"""),2535)</f>
        <v>2535</v>
      </c>
      <c r="E125" s="16">
        <f>IFERROR(__xludf.DUMMYFUNCTION("""COMPUTED_VALUE"""),45922.6458333333)</f>
        <v>45922.6458333333</v>
      </c>
      <c r="F125" s="17">
        <f>IFERROR(__xludf.DUMMYFUNCTION("""COMPUTED_VALUE"""),7022985)</f>
        <v>7022985</v>
      </c>
      <c r="G125" s="16">
        <f>IFERROR(__xludf.DUMMYFUNCTION("""COMPUTED_VALUE"""),45922.6458333333)</f>
        <v>45922.6458333333</v>
      </c>
      <c r="H125" s="17">
        <f>IFERROR(__xludf.DUMMYFUNCTION("""COMPUTED_VALUE"""),2659)</f>
        <v>2659</v>
      </c>
      <c r="I125" s="16">
        <f>IFERROR(__xludf.DUMMYFUNCTION("""COMPUTED_VALUE"""),45922.6458333333)</f>
        <v>45922.6458333333</v>
      </c>
      <c r="J125" s="17">
        <f>IFERROR(__xludf.DUMMYFUNCTION("""COMPUTED_VALUE"""),2522.1)</f>
        <v>2522.1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IFERROR(__xludf.DUMMYFUNCTION("""COMPUTED_VALUE"""),2676.4)</f>
        <v>2676.4</v>
      </c>
      <c r="C126" s="16">
        <f>IFERROR(__xludf.DUMMYFUNCTION("""COMPUTED_VALUE"""),45923.6458333333)</f>
        <v>45923.6458333333</v>
      </c>
      <c r="D126" s="17">
        <f>IFERROR(__xludf.DUMMYFUNCTION("""COMPUTED_VALUE"""),2642.6)</f>
        <v>2642.6</v>
      </c>
      <c r="E126" s="16">
        <f>IFERROR(__xludf.DUMMYFUNCTION("""COMPUTED_VALUE"""),45923.6458333333)</f>
        <v>45923.6458333333</v>
      </c>
      <c r="F126" s="17">
        <f>IFERROR(__xludf.DUMMYFUNCTION("""COMPUTED_VALUE"""),5610022)</f>
        <v>5610022</v>
      </c>
      <c r="G126" s="16">
        <f>IFERROR(__xludf.DUMMYFUNCTION("""COMPUTED_VALUE"""),45923.6458333333)</f>
        <v>45923.6458333333</v>
      </c>
      <c r="H126" s="17">
        <f>IFERROR(__xludf.DUMMYFUNCTION("""COMPUTED_VALUE"""),2695)</f>
        <v>2695</v>
      </c>
      <c r="I126" s="16">
        <f>IFERROR(__xludf.DUMMYFUNCTION("""COMPUTED_VALUE"""),45923.6458333333)</f>
        <v>45923.6458333333</v>
      </c>
      <c r="J126" s="17">
        <f>IFERROR(__xludf.DUMMYFUNCTION("""COMPUTED_VALUE"""),2593)</f>
        <v>2593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IFERROR(__xludf.DUMMYFUNCTION("""COMPUTED_VALUE"""),2619.8)</f>
        <v>2619.8</v>
      </c>
      <c r="C127" s="16">
        <f>IFERROR(__xludf.DUMMYFUNCTION("""COMPUTED_VALUE"""),45924.6458333333)</f>
        <v>45924.6458333333</v>
      </c>
      <c r="D127" s="17">
        <f>IFERROR(__xludf.DUMMYFUNCTION("""COMPUTED_VALUE"""),2655)</f>
        <v>2655</v>
      </c>
      <c r="E127" s="16">
        <f>IFERROR(__xludf.DUMMYFUNCTION("""COMPUTED_VALUE"""),45924.6458333333)</f>
        <v>45924.6458333333</v>
      </c>
      <c r="F127" s="17">
        <f>IFERROR(__xludf.DUMMYFUNCTION("""COMPUTED_VALUE"""),1720785)</f>
        <v>1720785</v>
      </c>
      <c r="G127" s="16">
        <f>IFERROR(__xludf.DUMMYFUNCTION("""COMPUTED_VALUE"""),45924.6458333333)</f>
        <v>45924.6458333333</v>
      </c>
      <c r="H127" s="17">
        <f>IFERROR(__xludf.DUMMYFUNCTION("""COMPUTED_VALUE"""),2676)</f>
        <v>2676</v>
      </c>
      <c r="I127" s="16">
        <f>IFERROR(__xludf.DUMMYFUNCTION("""COMPUTED_VALUE"""),45924.6458333333)</f>
        <v>45924.6458333333</v>
      </c>
      <c r="J127" s="17">
        <f>IFERROR(__xludf.DUMMYFUNCTION("""COMPUTED_VALUE"""),2614.4)</f>
        <v>2614.4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IFERROR(__xludf.DUMMYFUNCTION("""COMPUTED_VALUE"""),2576.4)</f>
        <v>2576.4</v>
      </c>
      <c r="C128" s="16">
        <f>IFERROR(__xludf.DUMMYFUNCTION("""COMPUTED_VALUE"""),45925.6458333333)</f>
        <v>45925.6458333333</v>
      </c>
      <c r="D128" s="17">
        <f>IFERROR(__xludf.DUMMYFUNCTION("""COMPUTED_VALUE"""),2625)</f>
        <v>2625</v>
      </c>
      <c r="E128" s="16">
        <f>IFERROR(__xludf.DUMMYFUNCTION("""COMPUTED_VALUE"""),45925.6458333333)</f>
        <v>45925.6458333333</v>
      </c>
      <c r="F128" s="17">
        <f>IFERROR(__xludf.DUMMYFUNCTION("""COMPUTED_VALUE"""),1489682)</f>
        <v>1489682</v>
      </c>
      <c r="G128" s="16">
        <f>IFERROR(__xludf.DUMMYFUNCTION("""COMPUTED_VALUE"""),45925.6458333333)</f>
        <v>45925.6458333333</v>
      </c>
      <c r="H128" s="17">
        <f>IFERROR(__xludf.DUMMYFUNCTION("""COMPUTED_VALUE"""),2647.9)</f>
        <v>2647.9</v>
      </c>
      <c r="I128" s="16">
        <f>IFERROR(__xludf.DUMMYFUNCTION("""COMPUTED_VALUE"""),45925.6458333333)</f>
        <v>45925.6458333333</v>
      </c>
      <c r="J128" s="17">
        <f>IFERROR(__xludf.DUMMYFUNCTION("""COMPUTED_VALUE"""),2567)</f>
        <v>2567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IFERROR(__xludf.DUMMYFUNCTION("""COMPUTED_VALUE"""),2543.7)</f>
        <v>2543.7</v>
      </c>
      <c r="C129" s="16">
        <f>IFERROR(__xludf.DUMMYFUNCTION("""COMPUTED_VALUE"""),45926.6458333333)</f>
        <v>45926.6458333333</v>
      </c>
      <c r="D129" s="17">
        <f>IFERROR(__xludf.DUMMYFUNCTION("""COMPUTED_VALUE"""),2572.8)</f>
        <v>2572.8</v>
      </c>
      <c r="E129" s="16">
        <f>IFERROR(__xludf.DUMMYFUNCTION("""COMPUTED_VALUE"""),45926.6458333333)</f>
        <v>45926.6458333333</v>
      </c>
      <c r="F129" s="17">
        <f>IFERROR(__xludf.DUMMYFUNCTION("""COMPUTED_VALUE"""),1037808)</f>
        <v>1037808</v>
      </c>
      <c r="G129" s="16">
        <f>IFERROR(__xludf.DUMMYFUNCTION("""COMPUTED_VALUE"""),45926.6458333333)</f>
        <v>45926.6458333333</v>
      </c>
      <c r="H129" s="17">
        <f>IFERROR(__xludf.DUMMYFUNCTION("""COMPUTED_VALUE"""),2605)</f>
        <v>2605</v>
      </c>
      <c r="I129" s="16">
        <f>IFERROR(__xludf.DUMMYFUNCTION("""COMPUTED_VALUE"""),45926.6458333333)</f>
        <v>45926.6458333333</v>
      </c>
      <c r="J129" s="17">
        <f>IFERROR(__xludf.DUMMYFUNCTION("""COMPUTED_VALUE"""),2535)</f>
        <v>2535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267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""price"")"),2535.6)</f>
        <v>2535.6</v>
      </c>
      <c r="I3" s="22" t="s">
        <v>269</v>
      </c>
      <c r="J3" s="23">
        <f>IFERROR(__xludf.DUMMYFUNCTION("GOOGLEFINANCE(L3, ""volume"")"),1037808)</f>
        <v>1037808</v>
      </c>
      <c r="K3" s="24" t="s">
        <v>270</v>
      </c>
      <c r="L3" s="25" t="str">
        <f>Mastersheet!B3</f>
        <v>ADANIENT</v>
      </c>
      <c r="M3" s="26">
        <f>IFERROR(__xludf.DUMMYFUNCTION("""COMPUTED_VALUE"""),45926.6458333333)</f>
        <v>45926.6458333333</v>
      </c>
      <c r="N3" s="27">
        <f>IFERROR(__xludf.DUMMYFUNCTION("""COMPUTED_VALUE"""),2543.7)</f>
        <v>2543.7</v>
      </c>
      <c r="O3" s="26">
        <f>IFERROR(__xludf.DUMMYFUNCTION("""COMPUTED_VALUE"""),45926.6458333333)</f>
        <v>45926.6458333333</v>
      </c>
      <c r="P3" s="27">
        <f>IFERROR(__xludf.DUMMYFUNCTION("""COMPUTED_VALUE"""),2572.8)</f>
        <v>2572.8</v>
      </c>
      <c r="Q3" s="16">
        <f>IFERROR(__xludf.DUMMYFUNCTION("""COMPUTED_VALUE"""),45926.6458333333)</f>
        <v>45926.6458333333</v>
      </c>
      <c r="R3" s="17">
        <f>IFERROR(__xludf.DUMMYFUNCTION("""COMPUTED_VALUE"""),2605)</f>
        <v>2605</v>
      </c>
      <c r="S3" s="16">
        <f>IFERROR(__xludf.DUMMYFUNCTION("""COMPUTED_VALUE"""),45926.6458333333)</f>
        <v>45926.6458333333</v>
      </c>
      <c r="T3" s="17">
        <f>IFERROR(__xludf.DUMMYFUNCTION("""COMPUTED_VALUE"""),2535)</f>
        <v>2535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IFERROR(__xludf.DUMMYFUNCTION("""COMPUTED_VALUE"""),2363.35)</f>
        <v>2363.35</v>
      </c>
      <c r="C5" s="14">
        <f>IFERROR(__xludf.DUMMYFUNCTION("""COMPUTED_VALUE"""),45743.6458333333)</f>
        <v>45743.6458333333</v>
      </c>
      <c r="D5" s="15">
        <f>IFERROR(__xludf.DUMMYFUNCTION("""COMPUTED_VALUE"""),2310)</f>
        <v>2310</v>
      </c>
      <c r="E5" s="14">
        <f>IFERROR(__xludf.DUMMYFUNCTION("""COMPUTED_VALUE"""),45743.6458333333)</f>
        <v>45743.6458333333</v>
      </c>
      <c r="F5" s="15">
        <f>IFERROR(__xludf.DUMMYFUNCTION("""COMPUTED_VALUE"""),1696042)</f>
        <v>1696042</v>
      </c>
      <c r="G5" s="14">
        <f>IFERROR(__xludf.DUMMYFUNCTION("""COMPUTED_VALUE"""),45743.6458333333)</f>
        <v>45743.6458333333</v>
      </c>
      <c r="H5" s="15">
        <f>IFERROR(__xludf.DUMMYFUNCTION("""COMPUTED_VALUE"""),2373.9)</f>
        <v>2373.9</v>
      </c>
      <c r="I5" s="30">
        <f>IFERROR(__xludf.DUMMYFUNCTION("""COMPUTED_VALUE"""),45743.6458333333)</f>
        <v>45743.6458333333</v>
      </c>
      <c r="J5" s="3">
        <f>IFERROR(__xludf.DUMMYFUNCTION("""COMPUTED_VALUE"""),2291.6)</f>
        <v>2291.6</v>
      </c>
      <c r="K5" s="5"/>
      <c r="L5" s="5"/>
      <c r="M5" s="3">
        <f t="array" ref="M5">INDEX(K11:K124,MATCH(SMALL(ABS(K11:K124-H3),1),ABS(K11:K124-H3),0))</f>
        <v>2555</v>
      </c>
      <c r="N5" s="3">
        <f t="array" ref="N5">INDEX(K11:K124,MATCH(SMALL(ABS(K11:K124-H3),2),ABS(K11:K124-H3),0))</f>
        <v>2613.1</v>
      </c>
      <c r="O5" s="3">
        <f t="array" ref="O5">INDEX(L11:L124,MATCH(SMALL(ABS(L11:L124-H3),1),ABS(L11:L124-H3),0))</f>
        <v>2558.7</v>
      </c>
      <c r="P5" s="3">
        <f t="array" ref="P5">INDEX(L11:L124,MATCH(SMALL(ABS(L11:L124-H3),2),ABS(L11:L124-H3),0))</f>
        <v>2470.9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2442.8</v>
      </c>
      <c r="T5" s="17">
        <f ca="1">IF(AND(H3&gt;=Mastersheet!I3*S5,H3&lt;=Mastersheet!J3*S5),1,0)</f>
        <v>0</v>
      </c>
      <c r="U5" s="36">
        <f>(N3+P3)/2</f>
        <v>2558.25</v>
      </c>
      <c r="V5" s="17">
        <f>(N3+P3+R3+T3)/4</f>
        <v>2564.125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IFERROR(__xludf.DUMMYFUNCTION("""COMPUTED_VALUE"""),2315.8)</f>
        <v>2315.8</v>
      </c>
      <c r="C6" s="16">
        <f>IFERROR(__xludf.DUMMYFUNCTION("""COMPUTED_VALUE"""),45744.6458333333)</f>
        <v>45744.6458333333</v>
      </c>
      <c r="D6" s="17">
        <f>IFERROR(__xludf.DUMMYFUNCTION("""COMPUTED_VALUE"""),2376)</f>
        <v>2376</v>
      </c>
      <c r="E6" s="16">
        <f>IFERROR(__xludf.DUMMYFUNCTION("""COMPUTED_VALUE"""),45744.6458333333)</f>
        <v>45744.6458333333</v>
      </c>
      <c r="F6" s="17">
        <f>IFERROR(__xludf.DUMMYFUNCTION("""COMPUTED_VALUE"""),1838836)</f>
        <v>1838836</v>
      </c>
      <c r="G6" s="16">
        <f>IFERROR(__xludf.DUMMYFUNCTION("""COMPUTED_VALUE"""),45744.6458333333)</f>
        <v>45744.6458333333</v>
      </c>
      <c r="H6" s="17">
        <f>IFERROR(__xludf.DUMMYFUNCTION("""COMPUTED_VALUE"""),2386.95)</f>
        <v>2386.95</v>
      </c>
      <c r="I6" s="16">
        <f>IFERROR(__xludf.DUMMYFUNCTION("""COMPUTED_VALUE"""),45744.6458333333)</f>
        <v>45744.6458333333</v>
      </c>
      <c r="J6" s="17">
        <f>IFERROR(__xludf.DUMMYFUNCTION("""COMPUTED_VALUE"""),2293.7)</f>
        <v>2293.7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IFERROR(__xludf.DUMMYFUNCTION("""COMPUTED_VALUE"""),2335.25)</f>
        <v>2335.25</v>
      </c>
      <c r="C7" s="16">
        <f>IFERROR(__xludf.DUMMYFUNCTION("""COMPUTED_VALUE"""),45748.6458333333)</f>
        <v>45748.6458333333</v>
      </c>
      <c r="D7" s="17">
        <f>IFERROR(__xludf.DUMMYFUNCTION("""COMPUTED_VALUE"""),2312)</f>
        <v>2312</v>
      </c>
      <c r="E7" s="16">
        <f>IFERROR(__xludf.DUMMYFUNCTION("""COMPUTED_VALUE"""),45748.6458333333)</f>
        <v>45748.6458333333</v>
      </c>
      <c r="F7" s="17">
        <f>IFERROR(__xludf.DUMMYFUNCTION("""COMPUTED_VALUE"""),501942)</f>
        <v>501942</v>
      </c>
      <c r="G7" s="16">
        <f>IFERROR(__xludf.DUMMYFUNCTION("""COMPUTED_VALUE"""),45748.6458333333)</f>
        <v>45748.6458333333</v>
      </c>
      <c r="H7" s="17">
        <f>IFERROR(__xludf.DUMMYFUNCTION("""COMPUTED_VALUE"""),2358.95)</f>
        <v>2358.95</v>
      </c>
      <c r="I7" s="16">
        <f>IFERROR(__xludf.DUMMYFUNCTION("""COMPUTED_VALUE"""),45748.6458333333)</f>
        <v>45748.6458333333</v>
      </c>
      <c r="J7" s="17">
        <f>IFERROR(__xludf.DUMMYFUNCTION("""COMPUTED_VALUE"""),2301)</f>
        <v>2301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IFERROR(__xludf.DUMMYFUNCTION("""COMPUTED_VALUE"""),2369.4)</f>
        <v>2369.4</v>
      </c>
      <c r="C8" s="16">
        <f>IFERROR(__xludf.DUMMYFUNCTION("""COMPUTED_VALUE"""),45749.6458333333)</f>
        <v>45749.6458333333</v>
      </c>
      <c r="D8" s="17">
        <f>IFERROR(__xludf.DUMMYFUNCTION("""COMPUTED_VALUE"""),2339.75)</f>
        <v>2339.75</v>
      </c>
      <c r="E8" s="16">
        <f>IFERROR(__xludf.DUMMYFUNCTION("""COMPUTED_VALUE"""),45749.6458333333)</f>
        <v>45749.6458333333</v>
      </c>
      <c r="F8" s="17">
        <f>IFERROR(__xludf.DUMMYFUNCTION("""COMPUTED_VALUE"""),573928)</f>
        <v>573928</v>
      </c>
      <c r="G8" s="16">
        <f>IFERROR(__xludf.DUMMYFUNCTION("""COMPUTED_VALUE"""),45749.6458333333)</f>
        <v>45749.6458333333</v>
      </c>
      <c r="H8" s="17">
        <f>IFERROR(__xludf.DUMMYFUNCTION("""COMPUTED_VALUE"""),2378.85)</f>
        <v>2378.85</v>
      </c>
      <c r="I8" s="16">
        <f>IFERROR(__xludf.DUMMYFUNCTION("""COMPUTED_VALUE"""),45749.6458333333)</f>
        <v>45749.6458333333</v>
      </c>
      <c r="J8" s="17">
        <f>IFERROR(__xludf.DUMMYFUNCTION("""COMPUTED_VALUE"""),2314.55)</f>
        <v>2314.55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IFERROR(__xludf.DUMMYFUNCTION("""COMPUTED_VALUE"""),2410.8)</f>
        <v>2410.8</v>
      </c>
      <c r="C9" s="16">
        <f>IFERROR(__xludf.DUMMYFUNCTION("""COMPUTED_VALUE"""),45750.6458333333)</f>
        <v>45750.6458333333</v>
      </c>
      <c r="D9" s="17">
        <f>IFERROR(__xludf.DUMMYFUNCTION("""COMPUTED_VALUE"""),2339.75)</f>
        <v>2339.75</v>
      </c>
      <c r="E9" s="16">
        <f>IFERROR(__xludf.DUMMYFUNCTION("""COMPUTED_VALUE"""),45750.6458333333)</f>
        <v>45750.6458333333</v>
      </c>
      <c r="F9" s="17">
        <f>IFERROR(__xludf.DUMMYFUNCTION("""COMPUTED_VALUE"""),1023200)</f>
        <v>1023200</v>
      </c>
      <c r="G9" s="16">
        <f>IFERROR(__xludf.DUMMYFUNCTION("""COMPUTED_VALUE"""),45750.6458333333)</f>
        <v>45750.6458333333</v>
      </c>
      <c r="H9" s="17">
        <f>IFERROR(__xludf.DUMMYFUNCTION("""COMPUTED_VALUE"""),2429.9)</f>
        <v>2429.9</v>
      </c>
      <c r="I9" s="16">
        <f>IFERROR(__xludf.DUMMYFUNCTION("""COMPUTED_VALUE"""),45750.6458333333)</f>
        <v>45750.6458333333</v>
      </c>
      <c r="J9" s="17">
        <f>IFERROR(__xludf.DUMMYFUNCTION("""COMPUTED_VALUE"""),2339.7)</f>
        <v>2339.7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IFERROR(__xludf.DUMMYFUNCTION("""COMPUTED_VALUE"""),2334.65)</f>
        <v>2334.65</v>
      </c>
      <c r="C10" s="16">
        <f>IFERROR(__xludf.DUMMYFUNCTION("""COMPUTED_VALUE"""),45751.6458333333)</f>
        <v>45751.6458333333</v>
      </c>
      <c r="D10" s="17">
        <f>IFERROR(__xludf.DUMMYFUNCTION("""COMPUTED_VALUE"""),2394.95)</f>
        <v>2394.95</v>
      </c>
      <c r="E10" s="16">
        <f>IFERROR(__xludf.DUMMYFUNCTION("""COMPUTED_VALUE"""),45751.6458333333)</f>
        <v>45751.6458333333</v>
      </c>
      <c r="F10" s="17">
        <f>IFERROR(__xludf.DUMMYFUNCTION("""COMPUTED_VALUE"""),1219733)</f>
        <v>1219733</v>
      </c>
      <c r="G10" s="16">
        <f>IFERROR(__xludf.DUMMYFUNCTION("""COMPUTED_VALUE"""),45751.6458333333)</f>
        <v>45751.6458333333</v>
      </c>
      <c r="H10" s="17">
        <f>IFERROR(__xludf.DUMMYFUNCTION("""COMPUTED_VALUE"""),2410.05)</f>
        <v>2410.05</v>
      </c>
      <c r="I10" s="16">
        <f>IFERROR(__xludf.DUMMYFUNCTION("""COMPUTED_VALUE"""),45751.6458333333)</f>
        <v>45751.6458333333</v>
      </c>
      <c r="J10" s="17">
        <f>IFERROR(__xludf.DUMMYFUNCTION("""COMPUTED_VALUE"""),2315.5)</f>
        <v>2315.5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IFERROR(__xludf.DUMMYFUNCTION("""COMPUTED_VALUE"""),2212.7)</f>
        <v>2212.7</v>
      </c>
      <c r="C11" s="16">
        <f>IFERROR(__xludf.DUMMYFUNCTION("""COMPUTED_VALUE"""),45754.6458333333)</f>
        <v>45754.6458333333</v>
      </c>
      <c r="D11" s="17">
        <f>IFERROR(__xludf.DUMMYFUNCTION("""COMPUTED_VALUE"""),2150.05)</f>
        <v>2150.05</v>
      </c>
      <c r="E11" s="16">
        <f>IFERROR(__xludf.DUMMYFUNCTION("""COMPUTED_VALUE"""),45754.6458333333)</f>
        <v>45754.6458333333</v>
      </c>
      <c r="F11" s="17">
        <f>IFERROR(__xludf.DUMMYFUNCTION("""COMPUTED_VALUE"""),1567177)</f>
        <v>1567177</v>
      </c>
      <c r="G11" s="16">
        <f>IFERROR(__xludf.DUMMYFUNCTION("""COMPUTED_VALUE"""),45754.6458333333)</f>
        <v>45754.6458333333</v>
      </c>
      <c r="H11" s="17">
        <f>IFERROR(__xludf.DUMMYFUNCTION("""COMPUTED_VALUE"""),2239)</f>
        <v>2239</v>
      </c>
      <c r="I11" s="16">
        <f>IFERROR(__xludf.DUMMYFUNCTION("""COMPUTED_VALUE"""),45754.6458333333)</f>
        <v>45754.6458333333</v>
      </c>
      <c r="J11" s="17">
        <f>IFERROR(__xludf.DUMMYFUNCTION("""COMPUTED_VALUE"""),2145)</f>
        <v>2145</v>
      </c>
      <c r="K11" s="3">
        <f t="shared" ref="K11:K125" si="2">IF(B11=MAX(B5:B17),B11,0)</f>
        <v>0</v>
      </c>
      <c r="L11" s="3">
        <f t="shared" ref="L11:L125" si="3">IF(B11=MIN(B5:B17),B11,0)</f>
        <v>2212.7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IFERROR(__xludf.DUMMYFUNCTION("""COMPUTED_VALUE"""),2285.7)</f>
        <v>2285.7</v>
      </c>
      <c r="C12" s="16">
        <f>IFERROR(__xludf.DUMMYFUNCTION("""COMPUTED_VALUE"""),45755.6458333333)</f>
        <v>45755.6458333333</v>
      </c>
      <c r="D12" s="17">
        <f>IFERROR(__xludf.DUMMYFUNCTION("""COMPUTED_VALUE"""),2270)</f>
        <v>2270</v>
      </c>
      <c r="E12" s="16">
        <f>IFERROR(__xludf.DUMMYFUNCTION("""COMPUTED_VALUE"""),45755.6458333333)</f>
        <v>45755.6458333333</v>
      </c>
      <c r="F12" s="17">
        <f>IFERROR(__xludf.DUMMYFUNCTION("""COMPUTED_VALUE"""),1224362)</f>
        <v>1224362</v>
      </c>
      <c r="G12" s="16">
        <f>IFERROR(__xludf.DUMMYFUNCTION("""COMPUTED_VALUE"""),45755.6458333333)</f>
        <v>45755.6458333333</v>
      </c>
      <c r="H12" s="17">
        <f>IFERROR(__xludf.DUMMYFUNCTION("""COMPUTED_VALUE"""),2301)</f>
        <v>2301</v>
      </c>
      <c r="I12" s="16">
        <f>IFERROR(__xludf.DUMMYFUNCTION("""COMPUTED_VALUE"""),45755.6458333333)</f>
        <v>45755.6458333333</v>
      </c>
      <c r="J12" s="17">
        <f>IFERROR(__xludf.DUMMYFUNCTION("""COMPUTED_VALUE"""),2225)</f>
        <v>2225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IFERROR(__xludf.DUMMYFUNCTION("""COMPUTED_VALUE"""),2236.9)</f>
        <v>2236.9</v>
      </c>
      <c r="C13" s="16">
        <f>IFERROR(__xludf.DUMMYFUNCTION("""COMPUTED_VALUE"""),45756.6458333333)</f>
        <v>45756.6458333333</v>
      </c>
      <c r="D13" s="17">
        <f>IFERROR(__xludf.DUMMYFUNCTION("""COMPUTED_VALUE"""),2265.7)</f>
        <v>2265.7</v>
      </c>
      <c r="E13" s="16">
        <f>IFERROR(__xludf.DUMMYFUNCTION("""COMPUTED_VALUE"""),45756.6458333333)</f>
        <v>45756.6458333333</v>
      </c>
      <c r="F13" s="17">
        <f>IFERROR(__xludf.DUMMYFUNCTION("""COMPUTED_VALUE"""),1001633)</f>
        <v>1001633</v>
      </c>
      <c r="G13" s="16">
        <f>IFERROR(__xludf.DUMMYFUNCTION("""COMPUTED_VALUE"""),45756.6458333333)</f>
        <v>45756.6458333333</v>
      </c>
      <c r="H13" s="17">
        <f>IFERROR(__xludf.DUMMYFUNCTION("""COMPUTED_VALUE"""),2279.55)</f>
        <v>2279.55</v>
      </c>
      <c r="I13" s="16">
        <f>IFERROR(__xludf.DUMMYFUNCTION("""COMPUTED_VALUE"""),45756.6458333333)</f>
        <v>45756.6458333333</v>
      </c>
      <c r="J13" s="17">
        <f>IFERROR(__xludf.DUMMYFUNCTION("""COMPUTED_VALUE"""),2215.2)</f>
        <v>2215.2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IFERROR(__xludf.DUMMYFUNCTION("""COMPUTED_VALUE"""),2321.4)</f>
        <v>2321.4</v>
      </c>
      <c r="C14" s="16">
        <f>IFERROR(__xludf.DUMMYFUNCTION("""COMPUTED_VALUE"""),45758.6458333333)</f>
        <v>45758.6458333333</v>
      </c>
      <c r="D14" s="17">
        <f>IFERROR(__xludf.DUMMYFUNCTION("""COMPUTED_VALUE"""),2303.05)</f>
        <v>2303.05</v>
      </c>
      <c r="E14" s="16">
        <f>IFERROR(__xludf.DUMMYFUNCTION("""COMPUTED_VALUE"""),45758.6458333333)</f>
        <v>45758.6458333333</v>
      </c>
      <c r="F14" s="17">
        <f>IFERROR(__xludf.DUMMYFUNCTION("""COMPUTED_VALUE"""),981463)</f>
        <v>981463</v>
      </c>
      <c r="G14" s="16">
        <f>IFERROR(__xludf.DUMMYFUNCTION("""COMPUTED_VALUE"""),45758.6458333333)</f>
        <v>45758.6458333333</v>
      </c>
      <c r="H14" s="17">
        <f>IFERROR(__xludf.DUMMYFUNCTION("""COMPUTED_VALUE"""),2343.5)</f>
        <v>2343.5</v>
      </c>
      <c r="I14" s="16">
        <f>IFERROR(__xludf.DUMMYFUNCTION("""COMPUTED_VALUE"""),45758.6458333333)</f>
        <v>45758.6458333333</v>
      </c>
      <c r="J14" s="17">
        <f>IFERROR(__xludf.DUMMYFUNCTION("""COMPUTED_VALUE"""),2281)</f>
        <v>2281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IFERROR(__xludf.DUMMYFUNCTION("""COMPUTED_VALUE"""),2418.2)</f>
        <v>2418.2</v>
      </c>
      <c r="C15" s="16">
        <f>IFERROR(__xludf.DUMMYFUNCTION("""COMPUTED_VALUE"""),45762.6458333333)</f>
        <v>45762.6458333333</v>
      </c>
      <c r="D15" s="17">
        <f>IFERROR(__xludf.DUMMYFUNCTION("""COMPUTED_VALUE"""),2375)</f>
        <v>2375</v>
      </c>
      <c r="E15" s="16">
        <f>IFERROR(__xludf.DUMMYFUNCTION("""COMPUTED_VALUE"""),45762.6458333333)</f>
        <v>45762.6458333333</v>
      </c>
      <c r="F15" s="17">
        <f>IFERROR(__xludf.DUMMYFUNCTION("""COMPUTED_VALUE"""),1145125)</f>
        <v>1145125</v>
      </c>
      <c r="G15" s="16">
        <f>IFERROR(__xludf.DUMMYFUNCTION("""COMPUTED_VALUE"""),45762.6458333333)</f>
        <v>45762.6458333333</v>
      </c>
      <c r="H15" s="17">
        <f>IFERROR(__xludf.DUMMYFUNCTION("""COMPUTED_VALUE"""),2440)</f>
        <v>2440</v>
      </c>
      <c r="I15" s="16">
        <f>IFERROR(__xludf.DUMMYFUNCTION("""COMPUTED_VALUE"""),45762.6458333333)</f>
        <v>45762.6458333333</v>
      </c>
      <c r="J15" s="17">
        <f>IFERROR(__xludf.DUMMYFUNCTION("""COMPUTED_VALUE"""),2359)</f>
        <v>2359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IFERROR(__xludf.DUMMYFUNCTION("""COMPUTED_VALUE"""),2415.6)</f>
        <v>2415.6</v>
      </c>
      <c r="C16" s="16">
        <f>IFERROR(__xludf.DUMMYFUNCTION("""COMPUTED_VALUE"""),45763.6458333333)</f>
        <v>45763.6458333333</v>
      </c>
      <c r="D16" s="17">
        <f>IFERROR(__xludf.DUMMYFUNCTION("""COMPUTED_VALUE"""),2400)</f>
        <v>2400</v>
      </c>
      <c r="E16" s="16">
        <f>IFERROR(__xludf.DUMMYFUNCTION("""COMPUTED_VALUE"""),45763.6458333333)</f>
        <v>45763.6458333333</v>
      </c>
      <c r="F16" s="17">
        <f>IFERROR(__xludf.DUMMYFUNCTION("""COMPUTED_VALUE"""),889949)</f>
        <v>889949</v>
      </c>
      <c r="G16" s="16">
        <f>IFERROR(__xludf.DUMMYFUNCTION("""COMPUTED_VALUE"""),45763.6458333333)</f>
        <v>45763.6458333333</v>
      </c>
      <c r="H16" s="17">
        <f>IFERROR(__xludf.DUMMYFUNCTION("""COMPUTED_VALUE"""),2428)</f>
        <v>2428</v>
      </c>
      <c r="I16" s="16">
        <f>IFERROR(__xludf.DUMMYFUNCTION("""COMPUTED_VALUE"""),45763.6458333333)</f>
        <v>45763.6458333333</v>
      </c>
      <c r="J16" s="17">
        <f>IFERROR(__xludf.DUMMYFUNCTION("""COMPUTED_VALUE"""),2382.9)</f>
        <v>2382.9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IFERROR(__xludf.DUMMYFUNCTION("""COMPUTED_VALUE"""),2418.1)</f>
        <v>2418.1</v>
      </c>
      <c r="C17" s="16">
        <f>IFERROR(__xludf.DUMMYFUNCTION("""COMPUTED_VALUE"""),45764.6458333333)</f>
        <v>45764.6458333333</v>
      </c>
      <c r="D17" s="17">
        <f>IFERROR(__xludf.DUMMYFUNCTION("""COMPUTED_VALUE"""),2418)</f>
        <v>2418</v>
      </c>
      <c r="E17" s="16">
        <f>IFERROR(__xludf.DUMMYFUNCTION("""COMPUTED_VALUE"""),45764.6458333333)</f>
        <v>45764.6458333333</v>
      </c>
      <c r="F17" s="17">
        <f>IFERROR(__xludf.DUMMYFUNCTION("""COMPUTED_VALUE"""),1054797)</f>
        <v>1054797</v>
      </c>
      <c r="G17" s="16">
        <f>IFERROR(__xludf.DUMMYFUNCTION("""COMPUTED_VALUE"""),45764.6458333333)</f>
        <v>45764.6458333333</v>
      </c>
      <c r="H17" s="17">
        <f>IFERROR(__xludf.DUMMYFUNCTION("""COMPUTED_VALUE"""),2448.6)</f>
        <v>2448.6</v>
      </c>
      <c r="I17" s="16">
        <f>IFERROR(__xludf.DUMMYFUNCTION("""COMPUTED_VALUE"""),45764.6458333333)</f>
        <v>45764.6458333333</v>
      </c>
      <c r="J17" s="17">
        <f>IFERROR(__xludf.DUMMYFUNCTION("""COMPUTED_VALUE"""),2392)</f>
        <v>2392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IFERROR(__xludf.DUMMYFUNCTION("""COMPUTED_VALUE"""),2442.7)</f>
        <v>2442.7</v>
      </c>
      <c r="C18" s="16">
        <f>IFERROR(__xludf.DUMMYFUNCTION("""COMPUTED_VALUE"""),45768.6458333333)</f>
        <v>45768.6458333333</v>
      </c>
      <c r="D18" s="17">
        <f>IFERROR(__xludf.DUMMYFUNCTION("""COMPUTED_VALUE"""),2426.1)</f>
        <v>2426.1</v>
      </c>
      <c r="E18" s="16">
        <f>IFERROR(__xludf.DUMMYFUNCTION("""COMPUTED_VALUE"""),45768.6458333333)</f>
        <v>45768.6458333333</v>
      </c>
      <c r="F18" s="17">
        <f>IFERROR(__xludf.DUMMYFUNCTION("""COMPUTED_VALUE"""),782559)</f>
        <v>782559</v>
      </c>
      <c r="G18" s="16">
        <f>IFERROR(__xludf.DUMMYFUNCTION("""COMPUTED_VALUE"""),45768.6458333333)</f>
        <v>45768.6458333333</v>
      </c>
      <c r="H18" s="17">
        <f>IFERROR(__xludf.DUMMYFUNCTION("""COMPUTED_VALUE"""),2464.9)</f>
        <v>2464.9</v>
      </c>
      <c r="I18" s="16">
        <f>IFERROR(__xludf.DUMMYFUNCTION("""COMPUTED_VALUE"""),45768.6458333333)</f>
        <v>45768.6458333333</v>
      </c>
      <c r="J18" s="17">
        <f>IFERROR(__xludf.DUMMYFUNCTION("""COMPUTED_VALUE"""),2395.5)</f>
        <v>2395.5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IFERROR(__xludf.DUMMYFUNCTION("""COMPUTED_VALUE"""),2445.5)</f>
        <v>2445.5</v>
      </c>
      <c r="C19" s="16">
        <f>IFERROR(__xludf.DUMMYFUNCTION("""COMPUTED_VALUE"""),45769.6458333333)</f>
        <v>45769.6458333333</v>
      </c>
      <c r="D19" s="17">
        <f>IFERROR(__xludf.DUMMYFUNCTION("""COMPUTED_VALUE"""),2458.9)</f>
        <v>2458.9</v>
      </c>
      <c r="E19" s="16">
        <f>IFERROR(__xludf.DUMMYFUNCTION("""COMPUTED_VALUE"""),45769.6458333333)</f>
        <v>45769.6458333333</v>
      </c>
      <c r="F19" s="17">
        <f>IFERROR(__xludf.DUMMYFUNCTION("""COMPUTED_VALUE"""),766567)</f>
        <v>766567</v>
      </c>
      <c r="G19" s="16">
        <f>IFERROR(__xludf.DUMMYFUNCTION("""COMPUTED_VALUE"""),45769.6458333333)</f>
        <v>45769.6458333333</v>
      </c>
      <c r="H19" s="17">
        <f>IFERROR(__xludf.DUMMYFUNCTION("""COMPUTED_VALUE"""),2483.4)</f>
        <v>2483.4</v>
      </c>
      <c r="I19" s="16">
        <f>IFERROR(__xludf.DUMMYFUNCTION("""COMPUTED_VALUE"""),45769.6458333333)</f>
        <v>45769.6458333333</v>
      </c>
      <c r="J19" s="17">
        <f>IFERROR(__xludf.DUMMYFUNCTION("""COMPUTED_VALUE"""),2441)</f>
        <v>2441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IFERROR(__xludf.DUMMYFUNCTION("""COMPUTED_VALUE"""),2453.6)</f>
        <v>2453.6</v>
      </c>
      <c r="C20" s="16">
        <f>IFERROR(__xludf.DUMMYFUNCTION("""COMPUTED_VALUE"""),45770.6458333333)</f>
        <v>45770.6458333333</v>
      </c>
      <c r="D20" s="17">
        <f>IFERROR(__xludf.DUMMYFUNCTION("""COMPUTED_VALUE"""),2460)</f>
        <v>2460</v>
      </c>
      <c r="E20" s="16">
        <f>IFERROR(__xludf.DUMMYFUNCTION("""COMPUTED_VALUE"""),45770.6458333333)</f>
        <v>45770.6458333333</v>
      </c>
      <c r="F20" s="17">
        <f>IFERROR(__xludf.DUMMYFUNCTION("""COMPUTED_VALUE"""),672262)</f>
        <v>672262</v>
      </c>
      <c r="G20" s="16">
        <f>IFERROR(__xludf.DUMMYFUNCTION("""COMPUTED_VALUE"""),45770.6458333333)</f>
        <v>45770.6458333333</v>
      </c>
      <c r="H20" s="17">
        <f>IFERROR(__xludf.DUMMYFUNCTION("""COMPUTED_VALUE"""),2473.8)</f>
        <v>2473.8</v>
      </c>
      <c r="I20" s="16">
        <f>IFERROR(__xludf.DUMMYFUNCTION("""COMPUTED_VALUE"""),45770.6458333333)</f>
        <v>45770.6458333333</v>
      </c>
      <c r="J20" s="17">
        <f>IFERROR(__xludf.DUMMYFUNCTION("""COMPUTED_VALUE"""),2421.2)</f>
        <v>2421.2</v>
      </c>
      <c r="K20" s="3">
        <f t="shared" si="2"/>
        <v>2453.6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IFERROR(__xludf.DUMMYFUNCTION("""COMPUTED_VALUE"""),2442.5)</f>
        <v>2442.5</v>
      </c>
      <c r="C21" s="16">
        <f>IFERROR(__xludf.DUMMYFUNCTION("""COMPUTED_VALUE"""),45771.6458333333)</f>
        <v>45771.6458333333</v>
      </c>
      <c r="D21" s="17">
        <f>IFERROR(__xludf.DUMMYFUNCTION("""COMPUTED_VALUE"""),2450)</f>
        <v>2450</v>
      </c>
      <c r="E21" s="16">
        <f>IFERROR(__xludf.DUMMYFUNCTION("""COMPUTED_VALUE"""),45771.6458333333)</f>
        <v>45771.6458333333</v>
      </c>
      <c r="F21" s="17">
        <f>IFERROR(__xludf.DUMMYFUNCTION("""COMPUTED_VALUE"""),596696)</f>
        <v>596696</v>
      </c>
      <c r="G21" s="16">
        <f>IFERROR(__xludf.DUMMYFUNCTION("""COMPUTED_VALUE"""),45771.6458333333)</f>
        <v>45771.6458333333</v>
      </c>
      <c r="H21" s="17">
        <f>IFERROR(__xludf.DUMMYFUNCTION("""COMPUTED_VALUE"""),2461.4)</f>
        <v>2461.4</v>
      </c>
      <c r="I21" s="16">
        <f>IFERROR(__xludf.DUMMYFUNCTION("""COMPUTED_VALUE"""),45771.6458333333)</f>
        <v>45771.6458333333</v>
      </c>
      <c r="J21" s="17">
        <f>IFERROR(__xludf.DUMMYFUNCTION("""COMPUTED_VALUE"""),2425.1)</f>
        <v>2425.1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IFERROR(__xludf.DUMMYFUNCTION("""COMPUTED_VALUE"""),2354.3)</f>
        <v>2354.3</v>
      </c>
      <c r="C22" s="16">
        <f>IFERROR(__xludf.DUMMYFUNCTION("""COMPUTED_VALUE"""),45772.6458333333)</f>
        <v>45772.6458333333</v>
      </c>
      <c r="D22" s="17">
        <f>IFERROR(__xludf.DUMMYFUNCTION("""COMPUTED_VALUE"""),2450.1)</f>
        <v>2450.1</v>
      </c>
      <c r="E22" s="16">
        <f>IFERROR(__xludf.DUMMYFUNCTION("""COMPUTED_VALUE"""),45772.6458333333)</f>
        <v>45772.6458333333</v>
      </c>
      <c r="F22" s="17">
        <f>IFERROR(__xludf.DUMMYFUNCTION("""COMPUTED_VALUE"""),1414809)</f>
        <v>1414809</v>
      </c>
      <c r="G22" s="16">
        <f>IFERROR(__xludf.DUMMYFUNCTION("""COMPUTED_VALUE"""),45772.6458333333)</f>
        <v>45772.6458333333</v>
      </c>
      <c r="H22" s="17">
        <f>IFERROR(__xludf.DUMMYFUNCTION("""COMPUTED_VALUE"""),2459.5)</f>
        <v>2459.5</v>
      </c>
      <c r="I22" s="16">
        <f>IFERROR(__xludf.DUMMYFUNCTION("""COMPUTED_VALUE"""),45772.6458333333)</f>
        <v>45772.6458333333</v>
      </c>
      <c r="J22" s="17">
        <f>IFERROR(__xludf.DUMMYFUNCTION("""COMPUTED_VALUE"""),2323.5)</f>
        <v>2323.5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IFERROR(__xludf.DUMMYFUNCTION("""COMPUTED_VALUE"""),2369.8)</f>
        <v>2369.8</v>
      </c>
      <c r="C23" s="16">
        <f>IFERROR(__xludf.DUMMYFUNCTION("""COMPUTED_VALUE"""),45775.6458333333)</f>
        <v>45775.6458333333</v>
      </c>
      <c r="D23" s="17">
        <f>IFERROR(__xludf.DUMMYFUNCTION("""COMPUTED_VALUE"""),2346)</f>
        <v>2346</v>
      </c>
      <c r="E23" s="16">
        <f>IFERROR(__xludf.DUMMYFUNCTION("""COMPUTED_VALUE"""),45775.6458333333)</f>
        <v>45775.6458333333</v>
      </c>
      <c r="F23" s="17">
        <f>IFERROR(__xludf.DUMMYFUNCTION("""COMPUTED_VALUE"""),681421)</f>
        <v>681421</v>
      </c>
      <c r="G23" s="16">
        <f>IFERROR(__xludf.DUMMYFUNCTION("""COMPUTED_VALUE"""),45775.6458333333)</f>
        <v>45775.6458333333</v>
      </c>
      <c r="H23" s="17">
        <f>IFERROR(__xludf.DUMMYFUNCTION("""COMPUTED_VALUE"""),2402)</f>
        <v>2402</v>
      </c>
      <c r="I23" s="16">
        <f>IFERROR(__xludf.DUMMYFUNCTION("""COMPUTED_VALUE"""),45775.6458333333)</f>
        <v>45775.6458333333</v>
      </c>
      <c r="J23" s="17">
        <f>IFERROR(__xludf.DUMMYFUNCTION("""COMPUTED_VALUE"""),2337.6)</f>
        <v>2337.6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IFERROR(__xludf.DUMMYFUNCTION("""COMPUTED_VALUE"""),2330.6)</f>
        <v>2330.6</v>
      </c>
      <c r="C24" s="16">
        <f>IFERROR(__xludf.DUMMYFUNCTION("""COMPUTED_VALUE"""),45776.6458333333)</f>
        <v>45776.6458333333</v>
      </c>
      <c r="D24" s="17">
        <f>IFERROR(__xludf.DUMMYFUNCTION("""COMPUTED_VALUE"""),2392)</f>
        <v>2392</v>
      </c>
      <c r="E24" s="16">
        <f>IFERROR(__xludf.DUMMYFUNCTION("""COMPUTED_VALUE"""),45776.6458333333)</f>
        <v>45776.6458333333</v>
      </c>
      <c r="F24" s="17">
        <f>IFERROR(__xludf.DUMMYFUNCTION("""COMPUTED_VALUE"""),670730)</f>
        <v>670730</v>
      </c>
      <c r="G24" s="16">
        <f>IFERROR(__xludf.DUMMYFUNCTION("""COMPUTED_VALUE"""),45776.6458333333)</f>
        <v>45776.6458333333</v>
      </c>
      <c r="H24" s="17">
        <f>IFERROR(__xludf.DUMMYFUNCTION("""COMPUTED_VALUE"""),2400)</f>
        <v>2400</v>
      </c>
      <c r="I24" s="16">
        <f>IFERROR(__xludf.DUMMYFUNCTION("""COMPUTED_VALUE"""),45776.6458333333)</f>
        <v>45776.6458333333</v>
      </c>
      <c r="J24" s="17">
        <f>IFERROR(__xludf.DUMMYFUNCTION("""COMPUTED_VALUE"""),2325.6)</f>
        <v>2325.6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IFERROR(__xludf.DUMMYFUNCTION("""COMPUTED_VALUE"""),2301.3)</f>
        <v>2301.3</v>
      </c>
      <c r="C25" s="16">
        <f>IFERROR(__xludf.DUMMYFUNCTION("""COMPUTED_VALUE"""),45777.6458333333)</f>
        <v>45777.6458333333</v>
      </c>
      <c r="D25" s="17">
        <f>IFERROR(__xludf.DUMMYFUNCTION("""COMPUTED_VALUE"""),2331.4)</f>
        <v>2331.4</v>
      </c>
      <c r="E25" s="16">
        <f>IFERROR(__xludf.DUMMYFUNCTION("""COMPUTED_VALUE"""),45777.6458333333)</f>
        <v>45777.6458333333</v>
      </c>
      <c r="F25" s="17">
        <f>IFERROR(__xludf.DUMMYFUNCTION("""COMPUTED_VALUE"""),837464)</f>
        <v>837464</v>
      </c>
      <c r="G25" s="16">
        <f>IFERROR(__xludf.DUMMYFUNCTION("""COMPUTED_VALUE"""),45777.6458333333)</f>
        <v>45777.6458333333</v>
      </c>
      <c r="H25" s="17">
        <f>IFERROR(__xludf.DUMMYFUNCTION("""COMPUTED_VALUE"""),2340)</f>
        <v>2340</v>
      </c>
      <c r="I25" s="16">
        <f>IFERROR(__xludf.DUMMYFUNCTION("""COMPUTED_VALUE"""),45777.6458333333)</f>
        <v>45777.6458333333</v>
      </c>
      <c r="J25" s="17">
        <f>IFERROR(__xludf.DUMMYFUNCTION("""COMPUTED_VALUE"""),2285)</f>
        <v>2285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IFERROR(__xludf.DUMMYFUNCTION("""COMPUTED_VALUE"""),2294.2)</f>
        <v>2294.2</v>
      </c>
      <c r="C26" s="16">
        <f>IFERROR(__xludf.DUMMYFUNCTION("""COMPUTED_VALUE"""),45779.6458333333)</f>
        <v>45779.6458333333</v>
      </c>
      <c r="D26" s="17">
        <f>IFERROR(__xludf.DUMMYFUNCTION("""COMPUTED_VALUE"""),2349.9)</f>
        <v>2349.9</v>
      </c>
      <c r="E26" s="16">
        <f>IFERROR(__xludf.DUMMYFUNCTION("""COMPUTED_VALUE"""),45779.6458333333)</f>
        <v>45779.6458333333</v>
      </c>
      <c r="F26" s="17">
        <f>IFERROR(__xludf.DUMMYFUNCTION("""COMPUTED_VALUE"""),1695797)</f>
        <v>1695797</v>
      </c>
      <c r="G26" s="16">
        <f>IFERROR(__xludf.DUMMYFUNCTION("""COMPUTED_VALUE"""),45779.6458333333)</f>
        <v>45779.6458333333</v>
      </c>
      <c r="H26" s="17">
        <f>IFERROR(__xludf.DUMMYFUNCTION("""COMPUTED_VALUE"""),2372.4)</f>
        <v>2372.4</v>
      </c>
      <c r="I26" s="16">
        <f>IFERROR(__xludf.DUMMYFUNCTION("""COMPUTED_VALUE"""),45779.6458333333)</f>
        <v>45779.6458333333</v>
      </c>
      <c r="J26" s="17">
        <f>IFERROR(__xludf.DUMMYFUNCTION("""COMPUTED_VALUE"""),2290)</f>
        <v>2290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IFERROR(__xludf.DUMMYFUNCTION("""COMPUTED_VALUE"""),2455.5)</f>
        <v>2455.5</v>
      </c>
      <c r="C27" s="16">
        <f>IFERROR(__xludf.DUMMYFUNCTION("""COMPUTED_VALUE"""),45782.6458333333)</f>
        <v>45782.6458333333</v>
      </c>
      <c r="D27" s="17">
        <f>IFERROR(__xludf.DUMMYFUNCTION("""COMPUTED_VALUE"""),2312.6)</f>
        <v>2312.6</v>
      </c>
      <c r="E27" s="16">
        <f>IFERROR(__xludf.DUMMYFUNCTION("""COMPUTED_VALUE"""),45782.6458333333)</f>
        <v>45782.6458333333</v>
      </c>
      <c r="F27" s="17">
        <f>IFERROR(__xludf.DUMMYFUNCTION("""COMPUTED_VALUE"""),4227194)</f>
        <v>4227194</v>
      </c>
      <c r="G27" s="16">
        <f>IFERROR(__xludf.DUMMYFUNCTION("""COMPUTED_VALUE"""),45782.6458333333)</f>
        <v>45782.6458333333</v>
      </c>
      <c r="H27" s="17">
        <f>IFERROR(__xludf.DUMMYFUNCTION("""COMPUTED_VALUE"""),2497)</f>
        <v>2497</v>
      </c>
      <c r="I27" s="16">
        <f>IFERROR(__xludf.DUMMYFUNCTION("""COMPUTED_VALUE"""),45782.6458333333)</f>
        <v>45782.6458333333</v>
      </c>
      <c r="J27" s="17">
        <f>IFERROR(__xludf.DUMMYFUNCTION("""COMPUTED_VALUE"""),2297.8)</f>
        <v>2297.8</v>
      </c>
      <c r="K27" s="3">
        <f t="shared" si="2"/>
        <v>2455.5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IFERROR(__xludf.DUMMYFUNCTION("""COMPUTED_VALUE"""),2354)</f>
        <v>2354</v>
      </c>
      <c r="C28" s="16">
        <f>IFERROR(__xludf.DUMMYFUNCTION("""COMPUTED_VALUE"""),45783.6458333333)</f>
        <v>45783.6458333333</v>
      </c>
      <c r="D28" s="17">
        <f>IFERROR(__xludf.DUMMYFUNCTION("""COMPUTED_VALUE"""),2454)</f>
        <v>2454</v>
      </c>
      <c r="E28" s="16">
        <f>IFERROR(__xludf.DUMMYFUNCTION("""COMPUTED_VALUE"""),45783.6458333333)</f>
        <v>45783.6458333333</v>
      </c>
      <c r="F28" s="17">
        <f>IFERROR(__xludf.DUMMYFUNCTION("""COMPUTED_VALUE"""),1524692)</f>
        <v>1524692</v>
      </c>
      <c r="G28" s="16">
        <f>IFERROR(__xludf.DUMMYFUNCTION("""COMPUTED_VALUE"""),45783.6458333333)</f>
        <v>45783.6458333333</v>
      </c>
      <c r="H28" s="17">
        <f>IFERROR(__xludf.DUMMYFUNCTION("""COMPUTED_VALUE"""),2463.2)</f>
        <v>2463.2</v>
      </c>
      <c r="I28" s="16">
        <f>IFERROR(__xludf.DUMMYFUNCTION("""COMPUTED_VALUE"""),45783.6458333333)</f>
        <v>45783.6458333333</v>
      </c>
      <c r="J28" s="17">
        <f>IFERROR(__xludf.DUMMYFUNCTION("""COMPUTED_VALUE"""),2343.5)</f>
        <v>2343.5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IFERROR(__xludf.DUMMYFUNCTION("""COMPUTED_VALUE"""),2353.1)</f>
        <v>2353.1</v>
      </c>
      <c r="C29" s="16">
        <f>IFERROR(__xludf.DUMMYFUNCTION("""COMPUTED_VALUE"""),45784.6458333333)</f>
        <v>45784.6458333333</v>
      </c>
      <c r="D29" s="17">
        <f>IFERROR(__xludf.DUMMYFUNCTION("""COMPUTED_VALUE"""),2315)</f>
        <v>2315</v>
      </c>
      <c r="E29" s="16">
        <f>IFERROR(__xludf.DUMMYFUNCTION("""COMPUTED_VALUE"""),45784.6458333333)</f>
        <v>45784.6458333333</v>
      </c>
      <c r="F29" s="17">
        <f>IFERROR(__xludf.DUMMYFUNCTION("""COMPUTED_VALUE"""),1012640)</f>
        <v>1012640</v>
      </c>
      <c r="G29" s="16">
        <f>IFERROR(__xludf.DUMMYFUNCTION("""COMPUTED_VALUE"""),45784.6458333333)</f>
        <v>45784.6458333333</v>
      </c>
      <c r="H29" s="17">
        <f>IFERROR(__xludf.DUMMYFUNCTION("""COMPUTED_VALUE"""),2379.5)</f>
        <v>2379.5</v>
      </c>
      <c r="I29" s="16">
        <f>IFERROR(__xludf.DUMMYFUNCTION("""COMPUTED_VALUE"""),45784.6458333333)</f>
        <v>45784.6458333333</v>
      </c>
      <c r="J29" s="17">
        <f>IFERROR(__xludf.DUMMYFUNCTION("""COMPUTED_VALUE"""),2315)</f>
        <v>2315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IFERROR(__xludf.DUMMYFUNCTION("""COMPUTED_VALUE"""),2285.3)</f>
        <v>2285.3</v>
      </c>
      <c r="C30" s="16">
        <f>IFERROR(__xludf.DUMMYFUNCTION("""COMPUTED_VALUE"""),45785.6458333333)</f>
        <v>45785.6458333333</v>
      </c>
      <c r="D30" s="17">
        <f>IFERROR(__xludf.DUMMYFUNCTION("""COMPUTED_VALUE"""),2362)</f>
        <v>2362</v>
      </c>
      <c r="E30" s="16">
        <f>IFERROR(__xludf.DUMMYFUNCTION("""COMPUTED_VALUE"""),45785.6458333333)</f>
        <v>45785.6458333333</v>
      </c>
      <c r="F30" s="17">
        <f>IFERROR(__xludf.DUMMYFUNCTION("""COMPUTED_VALUE"""),1380069)</f>
        <v>1380069</v>
      </c>
      <c r="G30" s="16">
        <f>IFERROR(__xludf.DUMMYFUNCTION("""COMPUTED_VALUE"""),45785.6458333333)</f>
        <v>45785.6458333333</v>
      </c>
      <c r="H30" s="17">
        <f>IFERROR(__xludf.DUMMYFUNCTION("""COMPUTED_VALUE"""),2367.8)</f>
        <v>2367.8</v>
      </c>
      <c r="I30" s="16">
        <f>IFERROR(__xludf.DUMMYFUNCTION("""COMPUTED_VALUE"""),45785.6458333333)</f>
        <v>45785.6458333333</v>
      </c>
      <c r="J30" s="17">
        <f>IFERROR(__xludf.DUMMYFUNCTION("""COMPUTED_VALUE"""),2260)</f>
        <v>2260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IFERROR(__xludf.DUMMYFUNCTION("""COMPUTED_VALUE"""),2251)</f>
        <v>2251</v>
      </c>
      <c r="C31" s="16">
        <f>IFERROR(__xludf.DUMMYFUNCTION("""COMPUTED_VALUE"""),45786.6458333333)</f>
        <v>45786.6458333333</v>
      </c>
      <c r="D31" s="17">
        <f>IFERROR(__xludf.DUMMYFUNCTION("""COMPUTED_VALUE"""),2240)</f>
        <v>2240</v>
      </c>
      <c r="E31" s="16">
        <f>IFERROR(__xludf.DUMMYFUNCTION("""COMPUTED_VALUE"""),45786.6458333333)</f>
        <v>45786.6458333333</v>
      </c>
      <c r="F31" s="17">
        <f>IFERROR(__xludf.DUMMYFUNCTION("""COMPUTED_VALUE"""),1006000)</f>
        <v>1006000</v>
      </c>
      <c r="G31" s="16">
        <f>IFERROR(__xludf.DUMMYFUNCTION("""COMPUTED_VALUE"""),45786.6458333333)</f>
        <v>45786.6458333333</v>
      </c>
      <c r="H31" s="17">
        <f>IFERROR(__xludf.DUMMYFUNCTION("""COMPUTED_VALUE"""),2273.1)</f>
        <v>2273.1</v>
      </c>
      <c r="I31" s="16">
        <f>IFERROR(__xludf.DUMMYFUNCTION("""COMPUTED_VALUE"""),45786.6458333333)</f>
        <v>45786.6458333333</v>
      </c>
      <c r="J31" s="17">
        <f>IFERROR(__xludf.DUMMYFUNCTION("""COMPUTED_VALUE"""),2233)</f>
        <v>2233</v>
      </c>
      <c r="K31" s="3">
        <f t="shared" si="2"/>
        <v>0</v>
      </c>
      <c r="L31" s="3">
        <f t="shared" si="3"/>
        <v>2251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IFERROR(__xludf.DUMMYFUNCTION("""COMPUTED_VALUE"""),2425.3)</f>
        <v>2425.3</v>
      </c>
      <c r="C32" s="16">
        <f>IFERROR(__xludf.DUMMYFUNCTION("""COMPUTED_VALUE"""),45789.6458333333)</f>
        <v>45789.6458333333</v>
      </c>
      <c r="D32" s="17">
        <f>IFERROR(__xludf.DUMMYFUNCTION("""COMPUTED_VALUE"""),2350)</f>
        <v>2350</v>
      </c>
      <c r="E32" s="16">
        <f>IFERROR(__xludf.DUMMYFUNCTION("""COMPUTED_VALUE"""),45789.6458333333)</f>
        <v>45789.6458333333</v>
      </c>
      <c r="F32" s="17">
        <f>IFERROR(__xludf.DUMMYFUNCTION("""COMPUTED_VALUE"""),2147039)</f>
        <v>2147039</v>
      </c>
      <c r="G32" s="16">
        <f>IFERROR(__xludf.DUMMYFUNCTION("""COMPUTED_VALUE"""),45789.6458333333)</f>
        <v>45789.6458333333</v>
      </c>
      <c r="H32" s="17">
        <f>IFERROR(__xludf.DUMMYFUNCTION("""COMPUTED_VALUE"""),2433.3)</f>
        <v>2433.3</v>
      </c>
      <c r="I32" s="16">
        <f>IFERROR(__xludf.DUMMYFUNCTION("""COMPUTED_VALUE"""),45789.6458333333)</f>
        <v>45789.6458333333</v>
      </c>
      <c r="J32" s="17">
        <f>IFERROR(__xludf.DUMMYFUNCTION("""COMPUTED_VALUE"""),2315)</f>
        <v>2315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IFERROR(__xludf.DUMMYFUNCTION("""COMPUTED_VALUE"""),2441.2)</f>
        <v>2441.2</v>
      </c>
      <c r="C33" s="16">
        <f>IFERROR(__xludf.DUMMYFUNCTION("""COMPUTED_VALUE"""),45790.6458333333)</f>
        <v>45790.6458333333</v>
      </c>
      <c r="D33" s="17">
        <f>IFERROR(__xludf.DUMMYFUNCTION("""COMPUTED_VALUE"""),2425)</f>
        <v>2425</v>
      </c>
      <c r="E33" s="16">
        <f>IFERROR(__xludf.DUMMYFUNCTION("""COMPUTED_VALUE"""),45790.6458333333)</f>
        <v>45790.6458333333</v>
      </c>
      <c r="F33" s="17">
        <f>IFERROR(__xludf.DUMMYFUNCTION("""COMPUTED_VALUE"""),1815179)</f>
        <v>1815179</v>
      </c>
      <c r="G33" s="16">
        <f>IFERROR(__xludf.DUMMYFUNCTION("""COMPUTED_VALUE"""),45790.6458333333)</f>
        <v>45790.6458333333</v>
      </c>
      <c r="H33" s="17">
        <f>IFERROR(__xludf.DUMMYFUNCTION("""COMPUTED_VALUE"""),2454.9)</f>
        <v>2454.9</v>
      </c>
      <c r="I33" s="16">
        <f>IFERROR(__xludf.DUMMYFUNCTION("""COMPUTED_VALUE"""),45790.6458333333)</f>
        <v>45790.6458333333</v>
      </c>
      <c r="J33" s="17">
        <f>IFERROR(__xludf.DUMMYFUNCTION("""COMPUTED_VALUE"""),2405)</f>
        <v>2405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IFERROR(__xludf.DUMMYFUNCTION("""COMPUTED_VALUE"""),2461.9)</f>
        <v>2461.9</v>
      </c>
      <c r="C34" s="16">
        <f>IFERROR(__xludf.DUMMYFUNCTION("""COMPUTED_VALUE"""),45791.6458333333)</f>
        <v>45791.6458333333</v>
      </c>
      <c r="D34" s="17">
        <f>IFERROR(__xludf.DUMMYFUNCTION("""COMPUTED_VALUE"""),2444.9)</f>
        <v>2444.9</v>
      </c>
      <c r="E34" s="16">
        <f>IFERROR(__xludf.DUMMYFUNCTION("""COMPUTED_VALUE"""),45791.6458333333)</f>
        <v>45791.6458333333</v>
      </c>
      <c r="F34" s="17">
        <f>IFERROR(__xludf.DUMMYFUNCTION("""COMPUTED_VALUE"""),774441)</f>
        <v>774441</v>
      </c>
      <c r="G34" s="16">
        <f>IFERROR(__xludf.DUMMYFUNCTION("""COMPUTED_VALUE"""),45791.6458333333)</f>
        <v>45791.6458333333</v>
      </c>
      <c r="H34" s="17">
        <f>IFERROR(__xludf.DUMMYFUNCTION("""COMPUTED_VALUE"""),2481.9)</f>
        <v>2481.9</v>
      </c>
      <c r="I34" s="16">
        <f>IFERROR(__xludf.DUMMYFUNCTION("""COMPUTED_VALUE"""),45791.6458333333)</f>
        <v>45791.6458333333</v>
      </c>
      <c r="J34" s="17">
        <f>IFERROR(__xludf.DUMMYFUNCTION("""COMPUTED_VALUE"""),2430.1)</f>
        <v>2430.1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IFERROR(__xludf.DUMMYFUNCTION("""COMPUTED_VALUE"""),2520)</f>
        <v>2520</v>
      </c>
      <c r="C35" s="16">
        <f>IFERROR(__xludf.DUMMYFUNCTION("""COMPUTED_VALUE"""),45792.6458333333)</f>
        <v>45792.6458333333</v>
      </c>
      <c r="D35" s="17">
        <f>IFERROR(__xludf.DUMMYFUNCTION("""COMPUTED_VALUE"""),2463.4)</f>
        <v>2463.4</v>
      </c>
      <c r="E35" s="16">
        <f>IFERROR(__xludf.DUMMYFUNCTION("""COMPUTED_VALUE"""),45792.6458333333)</f>
        <v>45792.6458333333</v>
      </c>
      <c r="F35" s="17">
        <f>IFERROR(__xludf.DUMMYFUNCTION("""COMPUTED_VALUE"""),1554801)</f>
        <v>1554801</v>
      </c>
      <c r="G35" s="16">
        <f>IFERROR(__xludf.DUMMYFUNCTION("""COMPUTED_VALUE"""),45792.6458333333)</f>
        <v>45792.6458333333</v>
      </c>
      <c r="H35" s="17">
        <f>IFERROR(__xludf.DUMMYFUNCTION("""COMPUTED_VALUE"""),2526.8)</f>
        <v>2526.8</v>
      </c>
      <c r="I35" s="16">
        <f>IFERROR(__xludf.DUMMYFUNCTION("""COMPUTED_VALUE"""),45792.6458333333)</f>
        <v>45792.6458333333</v>
      </c>
      <c r="J35" s="17">
        <f>IFERROR(__xludf.DUMMYFUNCTION("""COMPUTED_VALUE"""),2450.7)</f>
        <v>2450.7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IFERROR(__xludf.DUMMYFUNCTION("""COMPUTED_VALUE"""),2555)</f>
        <v>2555</v>
      </c>
      <c r="C36" s="16">
        <f>IFERROR(__xludf.DUMMYFUNCTION("""COMPUTED_VALUE"""),45793.6458333333)</f>
        <v>45793.6458333333</v>
      </c>
      <c r="D36" s="17">
        <f>IFERROR(__xludf.DUMMYFUNCTION("""COMPUTED_VALUE"""),2529)</f>
        <v>2529</v>
      </c>
      <c r="E36" s="16">
        <f>IFERROR(__xludf.DUMMYFUNCTION("""COMPUTED_VALUE"""),45793.6458333333)</f>
        <v>45793.6458333333</v>
      </c>
      <c r="F36" s="17">
        <f>IFERROR(__xludf.DUMMYFUNCTION("""COMPUTED_VALUE"""),1641135)</f>
        <v>1641135</v>
      </c>
      <c r="G36" s="16">
        <f>IFERROR(__xludf.DUMMYFUNCTION("""COMPUTED_VALUE"""),45793.6458333333)</f>
        <v>45793.6458333333</v>
      </c>
      <c r="H36" s="17">
        <f>IFERROR(__xludf.DUMMYFUNCTION("""COMPUTED_VALUE"""),2584.2)</f>
        <v>2584.2</v>
      </c>
      <c r="I36" s="16">
        <f>IFERROR(__xludf.DUMMYFUNCTION("""COMPUTED_VALUE"""),45793.6458333333)</f>
        <v>45793.6458333333</v>
      </c>
      <c r="J36" s="17">
        <f>IFERROR(__xludf.DUMMYFUNCTION("""COMPUTED_VALUE"""),2516.2)</f>
        <v>2516.2</v>
      </c>
      <c r="K36" s="3">
        <f t="shared" si="2"/>
        <v>2555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IFERROR(__xludf.DUMMYFUNCTION("""COMPUTED_VALUE"""),2540.6)</f>
        <v>2540.6</v>
      </c>
      <c r="C37" s="16">
        <f>IFERROR(__xludf.DUMMYFUNCTION("""COMPUTED_VALUE"""),45796.6458333333)</f>
        <v>45796.6458333333</v>
      </c>
      <c r="D37" s="17">
        <f>IFERROR(__xludf.DUMMYFUNCTION("""COMPUTED_VALUE"""),2571.3)</f>
        <v>2571.3</v>
      </c>
      <c r="E37" s="16">
        <f>IFERROR(__xludf.DUMMYFUNCTION("""COMPUTED_VALUE"""),45796.6458333333)</f>
        <v>45796.6458333333</v>
      </c>
      <c r="F37" s="17">
        <f>IFERROR(__xludf.DUMMYFUNCTION("""COMPUTED_VALUE"""),681000)</f>
        <v>681000</v>
      </c>
      <c r="G37" s="16">
        <f>IFERROR(__xludf.DUMMYFUNCTION("""COMPUTED_VALUE"""),45796.6458333333)</f>
        <v>45796.6458333333</v>
      </c>
      <c r="H37" s="17">
        <f>IFERROR(__xludf.DUMMYFUNCTION("""COMPUTED_VALUE"""),2578.8)</f>
        <v>2578.8</v>
      </c>
      <c r="I37" s="16">
        <f>IFERROR(__xludf.DUMMYFUNCTION("""COMPUTED_VALUE"""),45796.6458333333)</f>
        <v>45796.6458333333</v>
      </c>
      <c r="J37" s="17">
        <f>IFERROR(__xludf.DUMMYFUNCTION("""COMPUTED_VALUE"""),2536)</f>
        <v>2536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IFERROR(__xludf.DUMMYFUNCTION("""COMPUTED_VALUE"""),2501.6)</f>
        <v>2501.6</v>
      </c>
      <c r="C38" s="16">
        <f>IFERROR(__xludf.DUMMYFUNCTION("""COMPUTED_VALUE"""),45797.6458333333)</f>
        <v>45797.6458333333</v>
      </c>
      <c r="D38" s="17">
        <f>IFERROR(__xludf.DUMMYFUNCTION("""COMPUTED_VALUE"""),2545)</f>
        <v>2545</v>
      </c>
      <c r="E38" s="16">
        <f>IFERROR(__xludf.DUMMYFUNCTION("""COMPUTED_VALUE"""),45797.6458333333)</f>
        <v>45797.6458333333</v>
      </c>
      <c r="F38" s="17">
        <f>IFERROR(__xludf.DUMMYFUNCTION("""COMPUTED_VALUE"""),628023)</f>
        <v>628023</v>
      </c>
      <c r="G38" s="16">
        <f>IFERROR(__xludf.DUMMYFUNCTION("""COMPUTED_VALUE"""),45797.6458333333)</f>
        <v>45797.6458333333</v>
      </c>
      <c r="H38" s="17">
        <f>IFERROR(__xludf.DUMMYFUNCTION("""COMPUTED_VALUE"""),2564.8)</f>
        <v>2564.8</v>
      </c>
      <c r="I38" s="16">
        <f>IFERROR(__xludf.DUMMYFUNCTION("""COMPUTED_VALUE"""),45797.6458333333)</f>
        <v>45797.6458333333</v>
      </c>
      <c r="J38" s="17">
        <f>IFERROR(__xludf.DUMMYFUNCTION("""COMPUTED_VALUE"""),2492.5)</f>
        <v>2492.5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IFERROR(__xludf.DUMMYFUNCTION("""COMPUTED_VALUE"""),2500.4)</f>
        <v>2500.4</v>
      </c>
      <c r="C39" s="16">
        <f>IFERROR(__xludf.DUMMYFUNCTION("""COMPUTED_VALUE"""),45798.6458333333)</f>
        <v>45798.6458333333</v>
      </c>
      <c r="D39" s="17">
        <f>IFERROR(__xludf.DUMMYFUNCTION("""COMPUTED_VALUE"""),2509.7)</f>
        <v>2509.7</v>
      </c>
      <c r="E39" s="16">
        <f>IFERROR(__xludf.DUMMYFUNCTION("""COMPUTED_VALUE"""),45798.6458333333)</f>
        <v>45798.6458333333</v>
      </c>
      <c r="F39" s="17">
        <f>IFERROR(__xludf.DUMMYFUNCTION("""COMPUTED_VALUE"""),529234)</f>
        <v>529234</v>
      </c>
      <c r="G39" s="16">
        <f>IFERROR(__xludf.DUMMYFUNCTION("""COMPUTED_VALUE"""),45798.6458333333)</f>
        <v>45798.6458333333</v>
      </c>
      <c r="H39" s="17">
        <f>IFERROR(__xludf.DUMMYFUNCTION("""COMPUTED_VALUE"""),2524.5)</f>
        <v>2524.5</v>
      </c>
      <c r="I39" s="16">
        <f>IFERROR(__xludf.DUMMYFUNCTION("""COMPUTED_VALUE"""),45798.6458333333)</f>
        <v>45798.6458333333</v>
      </c>
      <c r="J39" s="17">
        <f>IFERROR(__xludf.DUMMYFUNCTION("""COMPUTED_VALUE"""),2483.7)</f>
        <v>2483.7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IFERROR(__xludf.DUMMYFUNCTION("""COMPUTED_VALUE"""),2487.6)</f>
        <v>2487.6</v>
      </c>
      <c r="C40" s="16">
        <f>IFERROR(__xludf.DUMMYFUNCTION("""COMPUTED_VALUE"""),45799.6458333333)</f>
        <v>45799.6458333333</v>
      </c>
      <c r="D40" s="17">
        <f>IFERROR(__xludf.DUMMYFUNCTION("""COMPUTED_VALUE"""),2500.4)</f>
        <v>2500.4</v>
      </c>
      <c r="E40" s="16">
        <f>IFERROR(__xludf.DUMMYFUNCTION("""COMPUTED_VALUE"""),45799.6458333333)</f>
        <v>45799.6458333333</v>
      </c>
      <c r="F40" s="17">
        <f>IFERROR(__xludf.DUMMYFUNCTION("""COMPUTED_VALUE"""),906909)</f>
        <v>906909</v>
      </c>
      <c r="G40" s="16">
        <f>IFERROR(__xludf.DUMMYFUNCTION("""COMPUTED_VALUE"""),45799.6458333333)</f>
        <v>45799.6458333333</v>
      </c>
      <c r="H40" s="17">
        <f>IFERROR(__xludf.DUMMYFUNCTION("""COMPUTED_VALUE"""),2521.9)</f>
        <v>2521.9</v>
      </c>
      <c r="I40" s="16">
        <f>IFERROR(__xludf.DUMMYFUNCTION("""COMPUTED_VALUE"""),45799.6458333333)</f>
        <v>45799.6458333333</v>
      </c>
      <c r="J40" s="17">
        <f>IFERROR(__xludf.DUMMYFUNCTION("""COMPUTED_VALUE"""),2465.3)</f>
        <v>2465.3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IFERROR(__xludf.DUMMYFUNCTION("""COMPUTED_VALUE"""),2540)</f>
        <v>2540</v>
      </c>
      <c r="C41" s="16">
        <f>IFERROR(__xludf.DUMMYFUNCTION("""COMPUTED_VALUE"""),45800.6458333333)</f>
        <v>45800.6458333333</v>
      </c>
      <c r="D41" s="17">
        <f>IFERROR(__xludf.DUMMYFUNCTION("""COMPUTED_VALUE"""),2499)</f>
        <v>2499</v>
      </c>
      <c r="E41" s="16">
        <f>IFERROR(__xludf.DUMMYFUNCTION("""COMPUTED_VALUE"""),45800.6458333333)</f>
        <v>45800.6458333333</v>
      </c>
      <c r="F41" s="17">
        <f>IFERROR(__xludf.DUMMYFUNCTION("""COMPUTED_VALUE"""),968415)</f>
        <v>968415</v>
      </c>
      <c r="G41" s="16">
        <f>IFERROR(__xludf.DUMMYFUNCTION("""COMPUTED_VALUE"""),45800.6458333333)</f>
        <v>45800.6458333333</v>
      </c>
      <c r="H41" s="17">
        <f>IFERROR(__xludf.DUMMYFUNCTION("""COMPUTED_VALUE"""),2548.1)</f>
        <v>2548.1</v>
      </c>
      <c r="I41" s="16">
        <f>IFERROR(__xludf.DUMMYFUNCTION("""COMPUTED_VALUE"""),45800.6458333333)</f>
        <v>45800.6458333333</v>
      </c>
      <c r="J41" s="17">
        <f>IFERROR(__xludf.DUMMYFUNCTION("""COMPUTED_VALUE"""),2490.5)</f>
        <v>2490.5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IFERROR(__xludf.DUMMYFUNCTION("""COMPUTED_VALUE"""),2547.7)</f>
        <v>2547.7</v>
      </c>
      <c r="C42" s="16">
        <f>IFERROR(__xludf.DUMMYFUNCTION("""COMPUTED_VALUE"""),45803.6458333333)</f>
        <v>45803.6458333333</v>
      </c>
      <c r="D42" s="17">
        <f>IFERROR(__xludf.DUMMYFUNCTION("""COMPUTED_VALUE"""),2549.1)</f>
        <v>2549.1</v>
      </c>
      <c r="E42" s="16">
        <f>IFERROR(__xludf.DUMMYFUNCTION("""COMPUTED_VALUE"""),45803.6458333333)</f>
        <v>45803.6458333333</v>
      </c>
      <c r="F42" s="17">
        <f>IFERROR(__xludf.DUMMYFUNCTION("""COMPUTED_VALUE"""),552912)</f>
        <v>552912</v>
      </c>
      <c r="G42" s="16">
        <f>IFERROR(__xludf.DUMMYFUNCTION("""COMPUTED_VALUE"""),45803.6458333333)</f>
        <v>45803.6458333333</v>
      </c>
      <c r="H42" s="17">
        <f>IFERROR(__xludf.DUMMYFUNCTION("""COMPUTED_VALUE"""),2568.9)</f>
        <v>2568.9</v>
      </c>
      <c r="I42" s="16">
        <f>IFERROR(__xludf.DUMMYFUNCTION("""COMPUTED_VALUE"""),45803.6458333333)</f>
        <v>45803.6458333333</v>
      </c>
      <c r="J42" s="17">
        <f>IFERROR(__xludf.DUMMYFUNCTION("""COMPUTED_VALUE"""),2541.3)</f>
        <v>2541.3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IFERROR(__xludf.DUMMYFUNCTION("""COMPUTED_VALUE"""),2540.3)</f>
        <v>2540.3</v>
      </c>
      <c r="C43" s="16">
        <f>IFERROR(__xludf.DUMMYFUNCTION("""COMPUTED_VALUE"""),45804.6458333333)</f>
        <v>45804.6458333333</v>
      </c>
      <c r="D43" s="17">
        <f>IFERROR(__xludf.DUMMYFUNCTION("""COMPUTED_VALUE"""),2545.9)</f>
        <v>2545.9</v>
      </c>
      <c r="E43" s="16">
        <f>IFERROR(__xludf.DUMMYFUNCTION("""COMPUTED_VALUE"""),45804.6458333333)</f>
        <v>45804.6458333333</v>
      </c>
      <c r="F43" s="17">
        <f>IFERROR(__xludf.DUMMYFUNCTION("""COMPUTED_VALUE"""),514936)</f>
        <v>514936</v>
      </c>
      <c r="G43" s="16">
        <f>IFERROR(__xludf.DUMMYFUNCTION("""COMPUTED_VALUE"""),45804.6458333333)</f>
        <v>45804.6458333333</v>
      </c>
      <c r="H43" s="17">
        <f>IFERROR(__xludf.DUMMYFUNCTION("""COMPUTED_VALUE"""),2569.1)</f>
        <v>2569.1</v>
      </c>
      <c r="I43" s="16">
        <f>IFERROR(__xludf.DUMMYFUNCTION("""COMPUTED_VALUE"""),45804.6458333333)</f>
        <v>45804.6458333333</v>
      </c>
      <c r="J43" s="17">
        <f>IFERROR(__xludf.DUMMYFUNCTION("""COMPUTED_VALUE"""),2526.1)</f>
        <v>2526.1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IFERROR(__xludf.DUMMYFUNCTION("""COMPUTED_VALUE"""),2515)</f>
        <v>2515</v>
      </c>
      <c r="C44" s="16">
        <f>IFERROR(__xludf.DUMMYFUNCTION("""COMPUTED_VALUE"""),45805.6458333333)</f>
        <v>45805.6458333333</v>
      </c>
      <c r="D44" s="17">
        <f>IFERROR(__xludf.DUMMYFUNCTION("""COMPUTED_VALUE"""),2559)</f>
        <v>2559</v>
      </c>
      <c r="E44" s="16">
        <f>IFERROR(__xludf.DUMMYFUNCTION("""COMPUTED_VALUE"""),45805.6458333333)</f>
        <v>45805.6458333333</v>
      </c>
      <c r="F44" s="17">
        <f>IFERROR(__xludf.DUMMYFUNCTION("""COMPUTED_VALUE"""),575989)</f>
        <v>575989</v>
      </c>
      <c r="G44" s="16">
        <f>IFERROR(__xludf.DUMMYFUNCTION("""COMPUTED_VALUE"""),45805.6458333333)</f>
        <v>45805.6458333333</v>
      </c>
      <c r="H44" s="17">
        <f>IFERROR(__xludf.DUMMYFUNCTION("""COMPUTED_VALUE"""),2559)</f>
        <v>2559</v>
      </c>
      <c r="I44" s="16">
        <f>IFERROR(__xludf.DUMMYFUNCTION("""COMPUTED_VALUE"""),45805.6458333333)</f>
        <v>45805.6458333333</v>
      </c>
      <c r="J44" s="17">
        <f>IFERROR(__xludf.DUMMYFUNCTION("""COMPUTED_VALUE"""),2510)</f>
        <v>2510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IFERROR(__xludf.DUMMYFUNCTION("""COMPUTED_VALUE"""),2540.8)</f>
        <v>2540.8</v>
      </c>
      <c r="C45" s="16">
        <f>IFERROR(__xludf.DUMMYFUNCTION("""COMPUTED_VALUE"""),45806.6458333333)</f>
        <v>45806.6458333333</v>
      </c>
      <c r="D45" s="17">
        <f>IFERROR(__xludf.DUMMYFUNCTION("""COMPUTED_VALUE"""),2536.7)</f>
        <v>2536.7</v>
      </c>
      <c r="E45" s="16">
        <f>IFERROR(__xludf.DUMMYFUNCTION("""COMPUTED_VALUE"""),45806.6458333333)</f>
        <v>45806.6458333333</v>
      </c>
      <c r="F45" s="17">
        <f>IFERROR(__xludf.DUMMYFUNCTION("""COMPUTED_VALUE"""),802317)</f>
        <v>802317</v>
      </c>
      <c r="G45" s="16">
        <f>IFERROR(__xludf.DUMMYFUNCTION("""COMPUTED_VALUE"""),45806.6458333333)</f>
        <v>45806.6458333333</v>
      </c>
      <c r="H45" s="17">
        <f>IFERROR(__xludf.DUMMYFUNCTION("""COMPUTED_VALUE"""),2559)</f>
        <v>2559</v>
      </c>
      <c r="I45" s="16">
        <f>IFERROR(__xludf.DUMMYFUNCTION("""COMPUTED_VALUE"""),45806.6458333333)</f>
        <v>45806.6458333333</v>
      </c>
      <c r="J45" s="17">
        <f>IFERROR(__xludf.DUMMYFUNCTION("""COMPUTED_VALUE"""),2511)</f>
        <v>2511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IFERROR(__xludf.DUMMYFUNCTION("""COMPUTED_VALUE"""),2519.9)</f>
        <v>2519.9</v>
      </c>
      <c r="C46" s="16">
        <f>IFERROR(__xludf.DUMMYFUNCTION("""COMPUTED_VALUE"""),45807.6458333333)</f>
        <v>45807.6458333333</v>
      </c>
      <c r="D46" s="17">
        <f>IFERROR(__xludf.DUMMYFUNCTION("""COMPUTED_VALUE"""),2550)</f>
        <v>2550</v>
      </c>
      <c r="E46" s="16">
        <f>IFERROR(__xludf.DUMMYFUNCTION("""COMPUTED_VALUE"""),45807.6458333333)</f>
        <v>45807.6458333333</v>
      </c>
      <c r="F46" s="17">
        <f>IFERROR(__xludf.DUMMYFUNCTION("""COMPUTED_VALUE"""),684592)</f>
        <v>684592</v>
      </c>
      <c r="G46" s="16">
        <f>IFERROR(__xludf.DUMMYFUNCTION("""COMPUTED_VALUE"""),45807.6458333333)</f>
        <v>45807.6458333333</v>
      </c>
      <c r="H46" s="17">
        <f>IFERROR(__xludf.DUMMYFUNCTION("""COMPUTED_VALUE"""),2564)</f>
        <v>2564</v>
      </c>
      <c r="I46" s="16">
        <f>IFERROR(__xludf.DUMMYFUNCTION("""COMPUTED_VALUE"""),45807.6458333333)</f>
        <v>45807.6458333333</v>
      </c>
      <c r="J46" s="17">
        <f>IFERROR(__xludf.DUMMYFUNCTION("""COMPUTED_VALUE"""),2513.8)</f>
        <v>2513.8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IFERROR(__xludf.DUMMYFUNCTION("""COMPUTED_VALUE"""),2518.8)</f>
        <v>2518.8</v>
      </c>
      <c r="C47" s="16">
        <f>IFERROR(__xludf.DUMMYFUNCTION("""COMPUTED_VALUE"""),45810.6458333333)</f>
        <v>45810.6458333333</v>
      </c>
      <c r="D47" s="17">
        <f>IFERROR(__xludf.DUMMYFUNCTION("""COMPUTED_VALUE"""),2527)</f>
        <v>2527</v>
      </c>
      <c r="E47" s="16">
        <f>IFERROR(__xludf.DUMMYFUNCTION("""COMPUTED_VALUE"""),45810.6458333333)</f>
        <v>45810.6458333333</v>
      </c>
      <c r="F47" s="17">
        <f>IFERROR(__xludf.DUMMYFUNCTION("""COMPUTED_VALUE"""),1008716)</f>
        <v>1008716</v>
      </c>
      <c r="G47" s="16">
        <f>IFERROR(__xludf.DUMMYFUNCTION("""COMPUTED_VALUE"""),45810.6458333333)</f>
        <v>45810.6458333333</v>
      </c>
      <c r="H47" s="17">
        <f>IFERROR(__xludf.DUMMYFUNCTION("""COMPUTED_VALUE"""),2564)</f>
        <v>2564</v>
      </c>
      <c r="I47" s="16">
        <f>IFERROR(__xludf.DUMMYFUNCTION("""COMPUTED_VALUE"""),45810.6458333333)</f>
        <v>45810.6458333333</v>
      </c>
      <c r="J47" s="17">
        <f>IFERROR(__xludf.DUMMYFUNCTION("""COMPUTED_VALUE"""),2514.9)</f>
        <v>2514.9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IFERROR(__xludf.DUMMYFUNCTION("""COMPUTED_VALUE"""),2470.9)</f>
        <v>2470.9</v>
      </c>
      <c r="C48" s="16">
        <f>IFERROR(__xludf.DUMMYFUNCTION("""COMPUTED_VALUE"""),45811.6458333333)</f>
        <v>45811.6458333333</v>
      </c>
      <c r="D48" s="17">
        <f>IFERROR(__xludf.DUMMYFUNCTION("""COMPUTED_VALUE"""),2511)</f>
        <v>2511</v>
      </c>
      <c r="E48" s="16">
        <f>IFERROR(__xludf.DUMMYFUNCTION("""COMPUTED_VALUE"""),45811.6458333333)</f>
        <v>45811.6458333333</v>
      </c>
      <c r="F48" s="17">
        <f>IFERROR(__xludf.DUMMYFUNCTION("""COMPUTED_VALUE"""),962708)</f>
        <v>962708</v>
      </c>
      <c r="G48" s="16">
        <f>IFERROR(__xludf.DUMMYFUNCTION("""COMPUTED_VALUE"""),45811.6458333333)</f>
        <v>45811.6458333333</v>
      </c>
      <c r="H48" s="17">
        <f>IFERROR(__xludf.DUMMYFUNCTION("""COMPUTED_VALUE"""),2512.5)</f>
        <v>2512.5</v>
      </c>
      <c r="I48" s="16">
        <f>IFERROR(__xludf.DUMMYFUNCTION("""COMPUTED_VALUE"""),45811.6458333333)</f>
        <v>45811.6458333333</v>
      </c>
      <c r="J48" s="17">
        <f>IFERROR(__xludf.DUMMYFUNCTION("""COMPUTED_VALUE"""),2452)</f>
        <v>2452</v>
      </c>
      <c r="K48" s="3">
        <f t="shared" si="2"/>
        <v>0</v>
      </c>
      <c r="L48" s="3">
        <f t="shared" si="3"/>
        <v>2470.9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IFERROR(__xludf.DUMMYFUNCTION("""COMPUTED_VALUE"""),2489.4)</f>
        <v>2489.4</v>
      </c>
      <c r="C49" s="16">
        <f>IFERROR(__xludf.DUMMYFUNCTION("""COMPUTED_VALUE"""),45812.6458333333)</f>
        <v>45812.6458333333</v>
      </c>
      <c r="D49" s="17">
        <f>IFERROR(__xludf.DUMMYFUNCTION("""COMPUTED_VALUE"""),2480)</f>
        <v>2480</v>
      </c>
      <c r="E49" s="16">
        <f>IFERROR(__xludf.DUMMYFUNCTION("""COMPUTED_VALUE"""),45812.6458333333)</f>
        <v>45812.6458333333</v>
      </c>
      <c r="F49" s="17">
        <f>IFERROR(__xludf.DUMMYFUNCTION("""COMPUTED_VALUE"""),552667)</f>
        <v>552667</v>
      </c>
      <c r="G49" s="16">
        <f>IFERROR(__xludf.DUMMYFUNCTION("""COMPUTED_VALUE"""),45812.6458333333)</f>
        <v>45812.6458333333</v>
      </c>
      <c r="H49" s="17">
        <f>IFERROR(__xludf.DUMMYFUNCTION("""COMPUTED_VALUE"""),2503)</f>
        <v>2503</v>
      </c>
      <c r="I49" s="16">
        <f>IFERROR(__xludf.DUMMYFUNCTION("""COMPUTED_VALUE"""),45812.6458333333)</f>
        <v>45812.6458333333</v>
      </c>
      <c r="J49" s="17">
        <f>IFERROR(__xludf.DUMMYFUNCTION("""COMPUTED_VALUE"""),2441.1)</f>
        <v>2441.1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IFERROR(__xludf.DUMMYFUNCTION("""COMPUTED_VALUE"""),2504.4)</f>
        <v>2504.4</v>
      </c>
      <c r="C50" s="16">
        <f>IFERROR(__xludf.DUMMYFUNCTION("""COMPUTED_VALUE"""),45813.6458333333)</f>
        <v>45813.6458333333</v>
      </c>
      <c r="D50" s="17">
        <f>IFERROR(__xludf.DUMMYFUNCTION("""COMPUTED_VALUE"""),2495)</f>
        <v>2495</v>
      </c>
      <c r="E50" s="16">
        <f>IFERROR(__xludf.DUMMYFUNCTION("""COMPUTED_VALUE"""),45813.6458333333)</f>
        <v>45813.6458333333</v>
      </c>
      <c r="F50" s="17">
        <f>IFERROR(__xludf.DUMMYFUNCTION("""COMPUTED_VALUE"""),673209)</f>
        <v>673209</v>
      </c>
      <c r="G50" s="16">
        <f>IFERROR(__xludf.DUMMYFUNCTION("""COMPUTED_VALUE"""),45813.6458333333)</f>
        <v>45813.6458333333</v>
      </c>
      <c r="H50" s="17">
        <f>IFERROR(__xludf.DUMMYFUNCTION("""COMPUTED_VALUE"""),2530.1)</f>
        <v>2530.1</v>
      </c>
      <c r="I50" s="16">
        <f>IFERROR(__xludf.DUMMYFUNCTION("""COMPUTED_VALUE"""),45813.6458333333)</f>
        <v>45813.6458333333</v>
      </c>
      <c r="J50" s="17">
        <f>IFERROR(__xludf.DUMMYFUNCTION("""COMPUTED_VALUE"""),2487.5)</f>
        <v>2487.5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IFERROR(__xludf.DUMMYFUNCTION("""COMPUTED_VALUE"""),2534.2)</f>
        <v>2534.2</v>
      </c>
      <c r="C51" s="16">
        <f>IFERROR(__xludf.DUMMYFUNCTION("""COMPUTED_VALUE"""),45814.6458333333)</f>
        <v>45814.6458333333</v>
      </c>
      <c r="D51" s="17">
        <f>IFERROR(__xludf.DUMMYFUNCTION("""COMPUTED_VALUE"""),2514.9)</f>
        <v>2514.9</v>
      </c>
      <c r="E51" s="16">
        <f>IFERROR(__xludf.DUMMYFUNCTION("""COMPUTED_VALUE"""),45814.6458333333)</f>
        <v>45814.6458333333</v>
      </c>
      <c r="F51" s="17">
        <f>IFERROR(__xludf.DUMMYFUNCTION("""COMPUTED_VALUE"""),640680)</f>
        <v>640680</v>
      </c>
      <c r="G51" s="16">
        <f>IFERROR(__xludf.DUMMYFUNCTION("""COMPUTED_VALUE"""),45814.6458333333)</f>
        <v>45814.6458333333</v>
      </c>
      <c r="H51" s="17">
        <f>IFERROR(__xludf.DUMMYFUNCTION("""COMPUTED_VALUE"""),2553.3)</f>
        <v>2553.3</v>
      </c>
      <c r="I51" s="16">
        <f>IFERROR(__xludf.DUMMYFUNCTION("""COMPUTED_VALUE"""),45814.6458333333)</f>
        <v>45814.6458333333</v>
      </c>
      <c r="J51" s="17">
        <f>IFERROR(__xludf.DUMMYFUNCTION("""COMPUTED_VALUE"""),2504)</f>
        <v>2504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IFERROR(__xludf.DUMMYFUNCTION("""COMPUTED_VALUE"""),2582.1)</f>
        <v>2582.1</v>
      </c>
      <c r="C52" s="16">
        <f>IFERROR(__xludf.DUMMYFUNCTION("""COMPUTED_VALUE"""),45817.6458333333)</f>
        <v>45817.6458333333</v>
      </c>
      <c r="D52" s="17">
        <f>IFERROR(__xludf.DUMMYFUNCTION("""COMPUTED_VALUE"""),2545)</f>
        <v>2545</v>
      </c>
      <c r="E52" s="16">
        <f>IFERROR(__xludf.DUMMYFUNCTION("""COMPUTED_VALUE"""),45817.6458333333)</f>
        <v>45817.6458333333</v>
      </c>
      <c r="F52" s="17">
        <f>IFERROR(__xludf.DUMMYFUNCTION("""COMPUTED_VALUE"""),1711167)</f>
        <v>1711167</v>
      </c>
      <c r="G52" s="16">
        <f>IFERROR(__xludf.DUMMYFUNCTION("""COMPUTED_VALUE"""),45817.6458333333)</f>
        <v>45817.6458333333</v>
      </c>
      <c r="H52" s="17">
        <f>IFERROR(__xludf.DUMMYFUNCTION("""COMPUTED_VALUE"""),2604.1)</f>
        <v>2604.1</v>
      </c>
      <c r="I52" s="16">
        <f>IFERROR(__xludf.DUMMYFUNCTION("""COMPUTED_VALUE"""),45817.6458333333)</f>
        <v>45817.6458333333</v>
      </c>
      <c r="J52" s="17">
        <f>IFERROR(__xludf.DUMMYFUNCTION("""COMPUTED_VALUE"""),2524.5)</f>
        <v>2524.5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IFERROR(__xludf.DUMMYFUNCTION("""COMPUTED_VALUE"""),2613.1)</f>
        <v>2613.1</v>
      </c>
      <c r="C53" s="16">
        <f>IFERROR(__xludf.DUMMYFUNCTION("""COMPUTED_VALUE"""),45818.6458333333)</f>
        <v>45818.6458333333</v>
      </c>
      <c r="D53" s="17">
        <f>IFERROR(__xludf.DUMMYFUNCTION("""COMPUTED_VALUE"""),2600)</f>
        <v>2600</v>
      </c>
      <c r="E53" s="16">
        <f>IFERROR(__xludf.DUMMYFUNCTION("""COMPUTED_VALUE"""),45818.6458333333)</f>
        <v>45818.6458333333</v>
      </c>
      <c r="F53" s="17">
        <f>IFERROR(__xludf.DUMMYFUNCTION("""COMPUTED_VALUE"""),2084054)</f>
        <v>2084054</v>
      </c>
      <c r="G53" s="16">
        <f>IFERROR(__xludf.DUMMYFUNCTION("""COMPUTED_VALUE"""),45818.6458333333)</f>
        <v>45818.6458333333</v>
      </c>
      <c r="H53" s="17">
        <f>IFERROR(__xludf.DUMMYFUNCTION("""COMPUTED_VALUE"""),2663.2)</f>
        <v>2663.2</v>
      </c>
      <c r="I53" s="16">
        <f>IFERROR(__xludf.DUMMYFUNCTION("""COMPUTED_VALUE"""),45818.6458333333)</f>
        <v>45818.6458333333</v>
      </c>
      <c r="J53" s="17">
        <f>IFERROR(__xludf.DUMMYFUNCTION("""COMPUTED_VALUE"""),2577.7)</f>
        <v>2577.7</v>
      </c>
      <c r="K53" s="3">
        <f t="shared" si="2"/>
        <v>2613.1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IFERROR(__xludf.DUMMYFUNCTION("""COMPUTED_VALUE"""),2581.2)</f>
        <v>2581.2</v>
      </c>
      <c r="C54" s="16">
        <f>IFERROR(__xludf.DUMMYFUNCTION("""COMPUTED_VALUE"""),45819.6458333333)</f>
        <v>45819.6458333333</v>
      </c>
      <c r="D54" s="17">
        <f>IFERROR(__xludf.DUMMYFUNCTION("""COMPUTED_VALUE"""),2630)</f>
        <v>2630</v>
      </c>
      <c r="E54" s="16">
        <f>IFERROR(__xludf.DUMMYFUNCTION("""COMPUTED_VALUE"""),45819.6458333333)</f>
        <v>45819.6458333333</v>
      </c>
      <c r="F54" s="17">
        <f>IFERROR(__xludf.DUMMYFUNCTION("""COMPUTED_VALUE"""),745432)</f>
        <v>745432</v>
      </c>
      <c r="G54" s="16">
        <f>IFERROR(__xludf.DUMMYFUNCTION("""COMPUTED_VALUE"""),45819.6458333333)</f>
        <v>45819.6458333333</v>
      </c>
      <c r="H54" s="17">
        <f>IFERROR(__xludf.DUMMYFUNCTION("""COMPUTED_VALUE"""),2630.9)</f>
        <v>2630.9</v>
      </c>
      <c r="I54" s="16">
        <f>IFERROR(__xludf.DUMMYFUNCTION("""COMPUTED_VALUE"""),45819.6458333333)</f>
        <v>45819.6458333333</v>
      </c>
      <c r="J54" s="17">
        <f>IFERROR(__xludf.DUMMYFUNCTION("""COMPUTED_VALUE"""),2563.1)</f>
        <v>2563.1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IFERROR(__xludf.DUMMYFUNCTION("""COMPUTED_VALUE"""),2543.7)</f>
        <v>2543.7</v>
      </c>
      <c r="C55" s="16">
        <f>IFERROR(__xludf.DUMMYFUNCTION("""COMPUTED_VALUE"""),45820.6458333333)</f>
        <v>45820.6458333333</v>
      </c>
      <c r="D55" s="17">
        <f>IFERROR(__xludf.DUMMYFUNCTION("""COMPUTED_VALUE"""),2591.5)</f>
        <v>2591.5</v>
      </c>
      <c r="E55" s="16">
        <f>IFERROR(__xludf.DUMMYFUNCTION("""COMPUTED_VALUE"""),45820.6458333333)</f>
        <v>45820.6458333333</v>
      </c>
      <c r="F55" s="17">
        <f>IFERROR(__xludf.DUMMYFUNCTION("""COMPUTED_VALUE"""),955097)</f>
        <v>955097</v>
      </c>
      <c r="G55" s="16">
        <f>IFERROR(__xludf.DUMMYFUNCTION("""COMPUTED_VALUE"""),45820.6458333333)</f>
        <v>45820.6458333333</v>
      </c>
      <c r="H55" s="17">
        <f>IFERROR(__xludf.DUMMYFUNCTION("""COMPUTED_VALUE"""),2601.8)</f>
        <v>2601.8</v>
      </c>
      <c r="I55" s="16">
        <f>IFERROR(__xludf.DUMMYFUNCTION("""COMPUTED_VALUE"""),45820.6458333333)</f>
        <v>45820.6458333333</v>
      </c>
      <c r="J55" s="17">
        <f>IFERROR(__xludf.DUMMYFUNCTION("""COMPUTED_VALUE"""),2530)</f>
        <v>2530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IFERROR(__xludf.DUMMYFUNCTION("""COMPUTED_VALUE"""),2507.9)</f>
        <v>2507.9</v>
      </c>
      <c r="C56" s="16">
        <f>IFERROR(__xludf.DUMMYFUNCTION("""COMPUTED_VALUE"""),45821.6458333333)</f>
        <v>45821.6458333333</v>
      </c>
      <c r="D56" s="17">
        <f>IFERROR(__xludf.DUMMYFUNCTION("""COMPUTED_VALUE"""),2498)</f>
        <v>2498</v>
      </c>
      <c r="E56" s="16">
        <f>IFERROR(__xludf.DUMMYFUNCTION("""COMPUTED_VALUE"""),45821.6458333333)</f>
        <v>45821.6458333333</v>
      </c>
      <c r="F56" s="17">
        <f>IFERROR(__xludf.DUMMYFUNCTION("""COMPUTED_VALUE"""),695869)</f>
        <v>695869</v>
      </c>
      <c r="G56" s="16">
        <f>IFERROR(__xludf.DUMMYFUNCTION("""COMPUTED_VALUE"""),45821.6458333333)</f>
        <v>45821.6458333333</v>
      </c>
      <c r="H56" s="17">
        <f>IFERROR(__xludf.DUMMYFUNCTION("""COMPUTED_VALUE"""),2516)</f>
        <v>2516</v>
      </c>
      <c r="I56" s="16">
        <f>IFERROR(__xludf.DUMMYFUNCTION("""COMPUTED_VALUE"""),45821.6458333333)</f>
        <v>45821.6458333333</v>
      </c>
      <c r="J56" s="17">
        <f>IFERROR(__xludf.DUMMYFUNCTION("""COMPUTED_VALUE"""),2460)</f>
        <v>2460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IFERROR(__xludf.DUMMYFUNCTION("""COMPUTED_VALUE"""),2544)</f>
        <v>2544</v>
      </c>
      <c r="C57" s="16">
        <f>IFERROR(__xludf.DUMMYFUNCTION("""COMPUTED_VALUE"""),45824.6458333333)</f>
        <v>45824.6458333333</v>
      </c>
      <c r="D57" s="17">
        <f>IFERROR(__xludf.DUMMYFUNCTION("""COMPUTED_VALUE"""),2500)</f>
        <v>2500</v>
      </c>
      <c r="E57" s="16">
        <f>IFERROR(__xludf.DUMMYFUNCTION("""COMPUTED_VALUE"""),45824.6458333333)</f>
        <v>45824.6458333333</v>
      </c>
      <c r="F57" s="17">
        <f>IFERROR(__xludf.DUMMYFUNCTION("""COMPUTED_VALUE"""),956459)</f>
        <v>956459</v>
      </c>
      <c r="G57" s="16">
        <f>IFERROR(__xludf.DUMMYFUNCTION("""COMPUTED_VALUE"""),45824.6458333333)</f>
        <v>45824.6458333333</v>
      </c>
      <c r="H57" s="17">
        <f>IFERROR(__xludf.DUMMYFUNCTION("""COMPUTED_VALUE"""),2563.3)</f>
        <v>2563.3</v>
      </c>
      <c r="I57" s="16">
        <f>IFERROR(__xludf.DUMMYFUNCTION("""COMPUTED_VALUE"""),45824.6458333333)</f>
        <v>45824.6458333333</v>
      </c>
      <c r="J57" s="17">
        <f>IFERROR(__xludf.DUMMYFUNCTION("""COMPUTED_VALUE"""),2462)</f>
        <v>2462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IFERROR(__xludf.DUMMYFUNCTION("""COMPUTED_VALUE"""),2488.5)</f>
        <v>2488.5</v>
      </c>
      <c r="C58" s="16">
        <f>IFERROR(__xludf.DUMMYFUNCTION("""COMPUTED_VALUE"""),45825.6458333333)</f>
        <v>45825.6458333333</v>
      </c>
      <c r="D58" s="17">
        <f>IFERROR(__xludf.DUMMYFUNCTION("""COMPUTED_VALUE"""),2535)</f>
        <v>2535</v>
      </c>
      <c r="E58" s="16">
        <f>IFERROR(__xludf.DUMMYFUNCTION("""COMPUTED_VALUE"""),45825.6458333333)</f>
        <v>45825.6458333333</v>
      </c>
      <c r="F58" s="17">
        <f>IFERROR(__xludf.DUMMYFUNCTION("""COMPUTED_VALUE"""),703343)</f>
        <v>703343</v>
      </c>
      <c r="G58" s="16">
        <f>IFERROR(__xludf.DUMMYFUNCTION("""COMPUTED_VALUE"""),45825.6458333333)</f>
        <v>45825.6458333333</v>
      </c>
      <c r="H58" s="17">
        <f>IFERROR(__xludf.DUMMYFUNCTION("""COMPUTED_VALUE"""),2539.6)</f>
        <v>2539.6</v>
      </c>
      <c r="I58" s="16">
        <f>IFERROR(__xludf.DUMMYFUNCTION("""COMPUTED_VALUE"""),45825.6458333333)</f>
        <v>45825.6458333333</v>
      </c>
      <c r="J58" s="17">
        <f>IFERROR(__xludf.DUMMYFUNCTION("""COMPUTED_VALUE"""),2479)</f>
        <v>2479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IFERROR(__xludf.DUMMYFUNCTION("""COMPUTED_VALUE"""),2459.1)</f>
        <v>2459.1</v>
      </c>
      <c r="C59" s="16">
        <f>IFERROR(__xludf.DUMMYFUNCTION("""COMPUTED_VALUE"""),45826.6458333333)</f>
        <v>45826.6458333333</v>
      </c>
      <c r="D59" s="17">
        <f>IFERROR(__xludf.DUMMYFUNCTION("""COMPUTED_VALUE"""),2491.9)</f>
        <v>2491.9</v>
      </c>
      <c r="E59" s="16">
        <f>IFERROR(__xludf.DUMMYFUNCTION("""COMPUTED_VALUE"""),45826.6458333333)</f>
        <v>45826.6458333333</v>
      </c>
      <c r="F59" s="17">
        <f>IFERROR(__xludf.DUMMYFUNCTION("""COMPUTED_VALUE"""),667044)</f>
        <v>667044</v>
      </c>
      <c r="G59" s="16">
        <f>IFERROR(__xludf.DUMMYFUNCTION("""COMPUTED_VALUE"""),45826.6458333333)</f>
        <v>45826.6458333333</v>
      </c>
      <c r="H59" s="17">
        <f>IFERROR(__xludf.DUMMYFUNCTION("""COMPUTED_VALUE"""),2495.9)</f>
        <v>2495.9</v>
      </c>
      <c r="I59" s="16">
        <f>IFERROR(__xludf.DUMMYFUNCTION("""COMPUTED_VALUE"""),45826.6458333333)</f>
        <v>45826.6458333333</v>
      </c>
      <c r="J59" s="17">
        <f>IFERROR(__xludf.DUMMYFUNCTION("""COMPUTED_VALUE"""),2445.4)</f>
        <v>2445.4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IFERROR(__xludf.DUMMYFUNCTION("""COMPUTED_VALUE"""),2420.6)</f>
        <v>2420.6</v>
      </c>
      <c r="C60" s="16">
        <f>IFERROR(__xludf.DUMMYFUNCTION("""COMPUTED_VALUE"""),45827.6458333333)</f>
        <v>45827.6458333333</v>
      </c>
      <c r="D60" s="17">
        <f>IFERROR(__xludf.DUMMYFUNCTION("""COMPUTED_VALUE"""),2466.3)</f>
        <v>2466.3</v>
      </c>
      <c r="E60" s="16">
        <f>IFERROR(__xludf.DUMMYFUNCTION("""COMPUTED_VALUE"""),45827.6458333333)</f>
        <v>45827.6458333333</v>
      </c>
      <c r="F60" s="17">
        <f>IFERROR(__xludf.DUMMYFUNCTION("""COMPUTED_VALUE"""),688209)</f>
        <v>688209</v>
      </c>
      <c r="G60" s="16">
        <f>IFERROR(__xludf.DUMMYFUNCTION("""COMPUTED_VALUE"""),45827.6458333333)</f>
        <v>45827.6458333333</v>
      </c>
      <c r="H60" s="17">
        <f>IFERROR(__xludf.DUMMYFUNCTION("""COMPUTED_VALUE"""),2468.9)</f>
        <v>2468.9</v>
      </c>
      <c r="I60" s="16">
        <f>IFERROR(__xludf.DUMMYFUNCTION("""COMPUTED_VALUE"""),45827.6458333333)</f>
        <v>45827.6458333333</v>
      </c>
      <c r="J60" s="17">
        <f>IFERROR(__xludf.DUMMYFUNCTION("""COMPUTED_VALUE"""),2405.1)</f>
        <v>2405.1</v>
      </c>
      <c r="K60" s="3">
        <f t="shared" si="2"/>
        <v>0</v>
      </c>
      <c r="L60" s="3">
        <f t="shared" si="3"/>
        <v>2420.6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IFERROR(__xludf.DUMMYFUNCTION("""COMPUTED_VALUE"""),2448.4)</f>
        <v>2448.4</v>
      </c>
      <c r="C61" s="16">
        <f>IFERROR(__xludf.DUMMYFUNCTION("""COMPUTED_VALUE"""),45828.6458333333)</f>
        <v>45828.6458333333</v>
      </c>
      <c r="D61" s="17">
        <f>IFERROR(__xludf.DUMMYFUNCTION("""COMPUTED_VALUE"""),2428)</f>
        <v>2428</v>
      </c>
      <c r="E61" s="16">
        <f>IFERROR(__xludf.DUMMYFUNCTION("""COMPUTED_VALUE"""),45828.6458333333)</f>
        <v>45828.6458333333</v>
      </c>
      <c r="F61" s="17">
        <f>IFERROR(__xludf.DUMMYFUNCTION("""COMPUTED_VALUE"""),3002549)</f>
        <v>3002549</v>
      </c>
      <c r="G61" s="16">
        <f>IFERROR(__xludf.DUMMYFUNCTION("""COMPUTED_VALUE"""),45828.6458333333)</f>
        <v>45828.6458333333</v>
      </c>
      <c r="H61" s="17">
        <f>IFERROR(__xludf.DUMMYFUNCTION("""COMPUTED_VALUE"""),2461.3)</f>
        <v>2461.3</v>
      </c>
      <c r="I61" s="16">
        <f>IFERROR(__xludf.DUMMYFUNCTION("""COMPUTED_VALUE"""),45828.6458333333)</f>
        <v>45828.6458333333</v>
      </c>
      <c r="J61" s="17">
        <f>IFERROR(__xludf.DUMMYFUNCTION("""COMPUTED_VALUE"""),2415)</f>
        <v>2415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IFERROR(__xludf.DUMMYFUNCTION("""COMPUTED_VALUE"""),2472)</f>
        <v>2472</v>
      </c>
      <c r="C62" s="16">
        <f>IFERROR(__xludf.DUMMYFUNCTION("""COMPUTED_VALUE"""),45831.6458333333)</f>
        <v>45831.6458333333</v>
      </c>
      <c r="D62" s="17">
        <f>IFERROR(__xludf.DUMMYFUNCTION("""COMPUTED_VALUE"""),2438)</f>
        <v>2438</v>
      </c>
      <c r="E62" s="16">
        <f>IFERROR(__xludf.DUMMYFUNCTION("""COMPUTED_VALUE"""),45831.6458333333)</f>
        <v>45831.6458333333</v>
      </c>
      <c r="F62" s="17">
        <f>IFERROR(__xludf.DUMMYFUNCTION("""COMPUTED_VALUE"""),790535)</f>
        <v>790535</v>
      </c>
      <c r="G62" s="16">
        <f>IFERROR(__xludf.DUMMYFUNCTION("""COMPUTED_VALUE"""),45831.6458333333)</f>
        <v>45831.6458333333</v>
      </c>
      <c r="H62" s="17">
        <f>IFERROR(__xludf.DUMMYFUNCTION("""COMPUTED_VALUE"""),2492.6)</f>
        <v>2492.6</v>
      </c>
      <c r="I62" s="16">
        <f>IFERROR(__xludf.DUMMYFUNCTION("""COMPUTED_VALUE"""),45831.6458333333)</f>
        <v>45831.6458333333</v>
      </c>
      <c r="J62" s="17">
        <f>IFERROR(__xludf.DUMMYFUNCTION("""COMPUTED_VALUE"""),2421)</f>
        <v>2421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IFERROR(__xludf.DUMMYFUNCTION("""COMPUTED_VALUE"""),2505.6)</f>
        <v>2505.6</v>
      </c>
      <c r="C63" s="16">
        <f>IFERROR(__xludf.DUMMYFUNCTION("""COMPUTED_VALUE"""),45832.6458333333)</f>
        <v>45832.6458333333</v>
      </c>
      <c r="D63" s="17">
        <f>IFERROR(__xludf.DUMMYFUNCTION("""COMPUTED_VALUE"""),2504)</f>
        <v>2504</v>
      </c>
      <c r="E63" s="16">
        <f>IFERROR(__xludf.DUMMYFUNCTION("""COMPUTED_VALUE"""),45832.6458333333)</f>
        <v>45832.6458333333</v>
      </c>
      <c r="F63" s="17">
        <f>IFERROR(__xludf.DUMMYFUNCTION("""COMPUTED_VALUE"""),996405)</f>
        <v>996405</v>
      </c>
      <c r="G63" s="16">
        <f>IFERROR(__xludf.DUMMYFUNCTION("""COMPUTED_VALUE"""),45832.6458333333)</f>
        <v>45832.6458333333</v>
      </c>
      <c r="H63" s="17">
        <f>IFERROR(__xludf.DUMMYFUNCTION("""COMPUTED_VALUE"""),2544.6)</f>
        <v>2544.6</v>
      </c>
      <c r="I63" s="16">
        <f>IFERROR(__xludf.DUMMYFUNCTION("""COMPUTED_VALUE"""),45832.6458333333)</f>
        <v>45832.6458333333</v>
      </c>
      <c r="J63" s="17">
        <f>IFERROR(__xludf.DUMMYFUNCTION("""COMPUTED_VALUE"""),2500.2)</f>
        <v>2500.2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IFERROR(__xludf.DUMMYFUNCTION("""COMPUTED_VALUE"""),2527.2)</f>
        <v>2527.2</v>
      </c>
      <c r="C64" s="16">
        <f>IFERROR(__xludf.DUMMYFUNCTION("""COMPUTED_VALUE"""),45833.6458333333)</f>
        <v>45833.6458333333</v>
      </c>
      <c r="D64" s="17">
        <f>IFERROR(__xludf.DUMMYFUNCTION("""COMPUTED_VALUE"""),2519.9)</f>
        <v>2519.9</v>
      </c>
      <c r="E64" s="16">
        <f>IFERROR(__xludf.DUMMYFUNCTION("""COMPUTED_VALUE"""),45833.6458333333)</f>
        <v>45833.6458333333</v>
      </c>
      <c r="F64" s="17">
        <f>IFERROR(__xludf.DUMMYFUNCTION("""COMPUTED_VALUE"""),921346)</f>
        <v>921346</v>
      </c>
      <c r="G64" s="16">
        <f>IFERROR(__xludf.DUMMYFUNCTION("""COMPUTED_VALUE"""),45833.6458333333)</f>
        <v>45833.6458333333</v>
      </c>
      <c r="H64" s="17">
        <f>IFERROR(__xludf.DUMMYFUNCTION("""COMPUTED_VALUE"""),2541.6)</f>
        <v>2541.6</v>
      </c>
      <c r="I64" s="16">
        <f>IFERROR(__xludf.DUMMYFUNCTION("""COMPUTED_VALUE"""),45833.6458333333)</f>
        <v>45833.6458333333</v>
      </c>
      <c r="J64" s="17">
        <f>IFERROR(__xludf.DUMMYFUNCTION("""COMPUTED_VALUE"""),2512.1)</f>
        <v>2512.1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IFERROR(__xludf.DUMMYFUNCTION("""COMPUTED_VALUE"""),2586.2)</f>
        <v>2586.2</v>
      </c>
      <c r="C65" s="16">
        <f>IFERROR(__xludf.DUMMYFUNCTION("""COMPUTED_VALUE"""),45834.6458333333)</f>
        <v>45834.6458333333</v>
      </c>
      <c r="D65" s="17">
        <f>IFERROR(__xludf.DUMMYFUNCTION("""COMPUTED_VALUE"""),2535)</f>
        <v>2535</v>
      </c>
      <c r="E65" s="16">
        <f>IFERROR(__xludf.DUMMYFUNCTION("""COMPUTED_VALUE"""),45834.6458333333)</f>
        <v>45834.6458333333</v>
      </c>
      <c r="F65" s="17">
        <f>IFERROR(__xludf.DUMMYFUNCTION("""COMPUTED_VALUE"""),1339627)</f>
        <v>1339627</v>
      </c>
      <c r="G65" s="16">
        <f>IFERROR(__xludf.DUMMYFUNCTION("""COMPUTED_VALUE"""),45834.6458333333)</f>
        <v>45834.6458333333</v>
      </c>
      <c r="H65" s="17">
        <f>IFERROR(__xludf.DUMMYFUNCTION("""COMPUTED_VALUE"""),2593.6)</f>
        <v>2593.6</v>
      </c>
      <c r="I65" s="16">
        <f>IFERROR(__xludf.DUMMYFUNCTION("""COMPUTED_VALUE"""),45834.6458333333)</f>
        <v>45834.6458333333</v>
      </c>
      <c r="J65" s="17">
        <f>IFERROR(__xludf.DUMMYFUNCTION("""COMPUTED_VALUE"""),2522.2)</f>
        <v>2522.2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IFERROR(__xludf.DUMMYFUNCTION("""COMPUTED_VALUE"""),2646.3)</f>
        <v>2646.3</v>
      </c>
      <c r="C66" s="16">
        <f>IFERROR(__xludf.DUMMYFUNCTION("""COMPUTED_VALUE"""),45835.6458333333)</f>
        <v>45835.6458333333</v>
      </c>
      <c r="D66" s="17">
        <f>IFERROR(__xludf.DUMMYFUNCTION("""COMPUTED_VALUE"""),2587.7)</f>
        <v>2587.7</v>
      </c>
      <c r="E66" s="16">
        <f>IFERROR(__xludf.DUMMYFUNCTION("""COMPUTED_VALUE"""),45835.6458333333)</f>
        <v>45835.6458333333</v>
      </c>
      <c r="F66" s="17">
        <f>IFERROR(__xludf.DUMMYFUNCTION("""COMPUTED_VALUE"""),4049316)</f>
        <v>4049316</v>
      </c>
      <c r="G66" s="16">
        <f>IFERROR(__xludf.DUMMYFUNCTION("""COMPUTED_VALUE"""),45835.6458333333)</f>
        <v>45835.6458333333</v>
      </c>
      <c r="H66" s="17">
        <f>IFERROR(__xludf.DUMMYFUNCTION("""COMPUTED_VALUE"""),2681.6)</f>
        <v>2681.6</v>
      </c>
      <c r="I66" s="16">
        <f>IFERROR(__xludf.DUMMYFUNCTION("""COMPUTED_VALUE"""),45835.6458333333)</f>
        <v>45835.6458333333</v>
      </c>
      <c r="J66" s="17">
        <f>IFERROR(__xludf.DUMMYFUNCTION("""COMPUTED_VALUE"""),2582)</f>
        <v>2582</v>
      </c>
      <c r="K66" s="3">
        <f t="shared" si="2"/>
        <v>2646.3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IFERROR(__xludf.DUMMYFUNCTION("""COMPUTED_VALUE"""),2619.4)</f>
        <v>2619.4</v>
      </c>
      <c r="C67" s="16">
        <f>IFERROR(__xludf.DUMMYFUNCTION("""COMPUTED_VALUE"""),45838.6458333333)</f>
        <v>45838.6458333333</v>
      </c>
      <c r="D67" s="17">
        <f>IFERROR(__xludf.DUMMYFUNCTION("""COMPUTED_VALUE"""),2650)</f>
        <v>2650</v>
      </c>
      <c r="E67" s="16">
        <f>IFERROR(__xludf.DUMMYFUNCTION("""COMPUTED_VALUE"""),45838.6458333333)</f>
        <v>45838.6458333333</v>
      </c>
      <c r="F67" s="17">
        <f>IFERROR(__xludf.DUMMYFUNCTION("""COMPUTED_VALUE"""),694815)</f>
        <v>694815</v>
      </c>
      <c r="G67" s="16">
        <f>IFERROR(__xludf.DUMMYFUNCTION("""COMPUTED_VALUE"""),45838.6458333333)</f>
        <v>45838.6458333333</v>
      </c>
      <c r="H67" s="17">
        <f>IFERROR(__xludf.DUMMYFUNCTION("""COMPUTED_VALUE"""),2653.9)</f>
        <v>2653.9</v>
      </c>
      <c r="I67" s="16">
        <f>IFERROR(__xludf.DUMMYFUNCTION("""COMPUTED_VALUE"""),45838.6458333333)</f>
        <v>45838.6458333333</v>
      </c>
      <c r="J67" s="17">
        <f>IFERROR(__xludf.DUMMYFUNCTION("""COMPUTED_VALUE"""),2605.9)</f>
        <v>2605.9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IFERROR(__xludf.DUMMYFUNCTION("""COMPUTED_VALUE"""),2621.8)</f>
        <v>2621.8</v>
      </c>
      <c r="C68" s="16">
        <f>IFERROR(__xludf.DUMMYFUNCTION("""COMPUTED_VALUE"""),45839.6458333333)</f>
        <v>45839.6458333333</v>
      </c>
      <c r="D68" s="17">
        <f>IFERROR(__xludf.DUMMYFUNCTION("""COMPUTED_VALUE"""),2624.9)</f>
        <v>2624.9</v>
      </c>
      <c r="E68" s="16">
        <f>IFERROR(__xludf.DUMMYFUNCTION("""COMPUTED_VALUE"""),45839.6458333333)</f>
        <v>45839.6458333333</v>
      </c>
      <c r="F68" s="17">
        <f>IFERROR(__xludf.DUMMYFUNCTION("""COMPUTED_VALUE"""),729197)</f>
        <v>729197</v>
      </c>
      <c r="G68" s="16">
        <f>IFERROR(__xludf.DUMMYFUNCTION("""COMPUTED_VALUE"""),45839.6458333333)</f>
        <v>45839.6458333333</v>
      </c>
      <c r="H68" s="17">
        <f>IFERROR(__xludf.DUMMYFUNCTION("""COMPUTED_VALUE"""),2645)</f>
        <v>2645</v>
      </c>
      <c r="I68" s="16">
        <f>IFERROR(__xludf.DUMMYFUNCTION("""COMPUTED_VALUE"""),45839.6458333333)</f>
        <v>45839.6458333333</v>
      </c>
      <c r="J68" s="17">
        <f>IFERROR(__xludf.DUMMYFUNCTION("""COMPUTED_VALUE"""),2603)</f>
        <v>2603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IFERROR(__xludf.DUMMYFUNCTION("""COMPUTED_VALUE"""),2630.2)</f>
        <v>2630.2</v>
      </c>
      <c r="C69" s="16">
        <f>IFERROR(__xludf.DUMMYFUNCTION("""COMPUTED_VALUE"""),45840.6458333333)</f>
        <v>45840.6458333333</v>
      </c>
      <c r="D69" s="17">
        <f>IFERROR(__xludf.DUMMYFUNCTION("""COMPUTED_VALUE"""),2634)</f>
        <v>2634</v>
      </c>
      <c r="E69" s="16">
        <f>IFERROR(__xludf.DUMMYFUNCTION("""COMPUTED_VALUE"""),45840.6458333333)</f>
        <v>45840.6458333333</v>
      </c>
      <c r="F69" s="17">
        <f>IFERROR(__xludf.DUMMYFUNCTION("""COMPUTED_VALUE"""),621409)</f>
        <v>621409</v>
      </c>
      <c r="G69" s="16">
        <f>IFERROR(__xludf.DUMMYFUNCTION("""COMPUTED_VALUE"""),45840.6458333333)</f>
        <v>45840.6458333333</v>
      </c>
      <c r="H69" s="17">
        <f>IFERROR(__xludf.DUMMYFUNCTION("""COMPUTED_VALUE"""),2646)</f>
        <v>2646</v>
      </c>
      <c r="I69" s="16">
        <f>IFERROR(__xludf.DUMMYFUNCTION("""COMPUTED_VALUE"""),45840.6458333333)</f>
        <v>45840.6458333333</v>
      </c>
      <c r="J69" s="17">
        <f>IFERROR(__xludf.DUMMYFUNCTION("""COMPUTED_VALUE"""),2613.6)</f>
        <v>2613.6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IFERROR(__xludf.DUMMYFUNCTION("""COMPUTED_VALUE"""),2611.2)</f>
        <v>2611.2</v>
      </c>
      <c r="C70" s="16">
        <f>IFERROR(__xludf.DUMMYFUNCTION("""COMPUTED_VALUE"""),45841.6458333333)</f>
        <v>45841.6458333333</v>
      </c>
      <c r="D70" s="17">
        <f>IFERROR(__xludf.DUMMYFUNCTION("""COMPUTED_VALUE"""),2634)</f>
        <v>2634</v>
      </c>
      <c r="E70" s="16">
        <f>IFERROR(__xludf.DUMMYFUNCTION("""COMPUTED_VALUE"""),45841.6458333333)</f>
        <v>45841.6458333333</v>
      </c>
      <c r="F70" s="17">
        <f>IFERROR(__xludf.DUMMYFUNCTION("""COMPUTED_VALUE"""),502724)</f>
        <v>502724</v>
      </c>
      <c r="G70" s="16">
        <f>IFERROR(__xludf.DUMMYFUNCTION("""COMPUTED_VALUE"""),45841.6458333333)</f>
        <v>45841.6458333333</v>
      </c>
      <c r="H70" s="17">
        <f>IFERROR(__xludf.DUMMYFUNCTION("""COMPUTED_VALUE"""),2644)</f>
        <v>2644</v>
      </c>
      <c r="I70" s="16">
        <f>IFERROR(__xludf.DUMMYFUNCTION("""COMPUTED_VALUE"""),45841.6458333333)</f>
        <v>45841.6458333333</v>
      </c>
      <c r="J70" s="17">
        <f>IFERROR(__xludf.DUMMYFUNCTION("""COMPUTED_VALUE"""),2605.1)</f>
        <v>2605.1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IFERROR(__xludf.DUMMYFUNCTION("""COMPUTED_VALUE"""),2599.1)</f>
        <v>2599.1</v>
      </c>
      <c r="C71" s="16">
        <f>IFERROR(__xludf.DUMMYFUNCTION("""COMPUTED_VALUE"""),45842.6458333333)</f>
        <v>45842.6458333333</v>
      </c>
      <c r="D71" s="17">
        <f>IFERROR(__xludf.DUMMYFUNCTION("""COMPUTED_VALUE"""),2617)</f>
        <v>2617</v>
      </c>
      <c r="E71" s="16">
        <f>IFERROR(__xludf.DUMMYFUNCTION("""COMPUTED_VALUE"""),45842.6458333333)</f>
        <v>45842.6458333333</v>
      </c>
      <c r="F71" s="17">
        <f>IFERROR(__xludf.DUMMYFUNCTION("""COMPUTED_VALUE"""),370305)</f>
        <v>370305</v>
      </c>
      <c r="G71" s="16">
        <f>IFERROR(__xludf.DUMMYFUNCTION("""COMPUTED_VALUE"""),45842.6458333333)</f>
        <v>45842.6458333333</v>
      </c>
      <c r="H71" s="17">
        <f>IFERROR(__xludf.DUMMYFUNCTION("""COMPUTED_VALUE"""),2617)</f>
        <v>2617</v>
      </c>
      <c r="I71" s="16">
        <f>IFERROR(__xludf.DUMMYFUNCTION("""COMPUTED_VALUE"""),45842.6458333333)</f>
        <v>45842.6458333333</v>
      </c>
      <c r="J71" s="17">
        <f>IFERROR(__xludf.DUMMYFUNCTION("""COMPUTED_VALUE"""),2582.2)</f>
        <v>2582.2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IFERROR(__xludf.DUMMYFUNCTION("""COMPUTED_VALUE"""),2576.1)</f>
        <v>2576.1</v>
      </c>
      <c r="C72" s="16">
        <f>IFERROR(__xludf.DUMMYFUNCTION("""COMPUTED_VALUE"""),45845.6458333333)</f>
        <v>45845.6458333333</v>
      </c>
      <c r="D72" s="17">
        <f>IFERROR(__xludf.DUMMYFUNCTION("""COMPUTED_VALUE"""),2602)</f>
        <v>2602</v>
      </c>
      <c r="E72" s="16">
        <f>IFERROR(__xludf.DUMMYFUNCTION("""COMPUTED_VALUE"""),45845.6458333333)</f>
        <v>45845.6458333333</v>
      </c>
      <c r="F72" s="17">
        <f>IFERROR(__xludf.DUMMYFUNCTION("""COMPUTED_VALUE"""),412159)</f>
        <v>412159</v>
      </c>
      <c r="G72" s="16">
        <f>IFERROR(__xludf.DUMMYFUNCTION("""COMPUTED_VALUE"""),45845.6458333333)</f>
        <v>45845.6458333333</v>
      </c>
      <c r="H72" s="17">
        <f>IFERROR(__xludf.DUMMYFUNCTION("""COMPUTED_VALUE"""),2605.4)</f>
        <v>2605.4</v>
      </c>
      <c r="I72" s="16">
        <f>IFERROR(__xludf.DUMMYFUNCTION("""COMPUTED_VALUE"""),45845.6458333333)</f>
        <v>45845.6458333333</v>
      </c>
      <c r="J72" s="17">
        <f>IFERROR(__xludf.DUMMYFUNCTION("""COMPUTED_VALUE"""),2572)</f>
        <v>2572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IFERROR(__xludf.DUMMYFUNCTION("""COMPUTED_VALUE"""),2591.3)</f>
        <v>2591.3</v>
      </c>
      <c r="C73" s="16">
        <f>IFERROR(__xludf.DUMMYFUNCTION("""COMPUTED_VALUE"""),45846.6458333333)</f>
        <v>45846.6458333333</v>
      </c>
      <c r="D73" s="17">
        <f>IFERROR(__xludf.DUMMYFUNCTION("""COMPUTED_VALUE"""),2586)</f>
        <v>2586</v>
      </c>
      <c r="E73" s="16">
        <f>IFERROR(__xludf.DUMMYFUNCTION("""COMPUTED_VALUE"""),45846.6458333333)</f>
        <v>45846.6458333333</v>
      </c>
      <c r="F73" s="17">
        <f>IFERROR(__xludf.DUMMYFUNCTION("""COMPUTED_VALUE"""),357701)</f>
        <v>357701</v>
      </c>
      <c r="G73" s="16">
        <f>IFERROR(__xludf.DUMMYFUNCTION("""COMPUTED_VALUE"""),45846.6458333333)</f>
        <v>45846.6458333333</v>
      </c>
      <c r="H73" s="17">
        <f>IFERROR(__xludf.DUMMYFUNCTION("""COMPUTED_VALUE"""),2600)</f>
        <v>2600</v>
      </c>
      <c r="I73" s="16">
        <f>IFERROR(__xludf.DUMMYFUNCTION("""COMPUTED_VALUE"""),45846.6458333333)</f>
        <v>45846.6458333333</v>
      </c>
      <c r="J73" s="17">
        <f>IFERROR(__xludf.DUMMYFUNCTION("""COMPUTED_VALUE"""),2573)</f>
        <v>2573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IFERROR(__xludf.DUMMYFUNCTION("""COMPUTED_VALUE"""),2583)</f>
        <v>2583</v>
      </c>
      <c r="C74" s="16">
        <f>IFERROR(__xludf.DUMMYFUNCTION("""COMPUTED_VALUE"""),45847.6458333333)</f>
        <v>45847.6458333333</v>
      </c>
      <c r="D74" s="17">
        <f>IFERROR(__xludf.DUMMYFUNCTION("""COMPUTED_VALUE"""),2599)</f>
        <v>2599</v>
      </c>
      <c r="E74" s="16">
        <f>IFERROR(__xludf.DUMMYFUNCTION("""COMPUTED_VALUE"""),45847.6458333333)</f>
        <v>45847.6458333333</v>
      </c>
      <c r="F74" s="17">
        <f>IFERROR(__xludf.DUMMYFUNCTION("""COMPUTED_VALUE"""),396880)</f>
        <v>396880</v>
      </c>
      <c r="G74" s="16">
        <f>IFERROR(__xludf.DUMMYFUNCTION("""COMPUTED_VALUE"""),45847.6458333333)</f>
        <v>45847.6458333333</v>
      </c>
      <c r="H74" s="17">
        <f>IFERROR(__xludf.DUMMYFUNCTION("""COMPUTED_VALUE"""),2609.9)</f>
        <v>2609.9</v>
      </c>
      <c r="I74" s="16">
        <f>IFERROR(__xludf.DUMMYFUNCTION("""COMPUTED_VALUE"""),45847.6458333333)</f>
        <v>45847.6458333333</v>
      </c>
      <c r="J74" s="17">
        <f>IFERROR(__xludf.DUMMYFUNCTION("""COMPUTED_VALUE"""),2570)</f>
        <v>2570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IFERROR(__xludf.DUMMYFUNCTION("""COMPUTED_VALUE"""),2581)</f>
        <v>2581</v>
      </c>
      <c r="C75" s="16">
        <f>IFERROR(__xludf.DUMMYFUNCTION("""COMPUTED_VALUE"""),45848.6458333333)</f>
        <v>45848.6458333333</v>
      </c>
      <c r="D75" s="17">
        <f>IFERROR(__xludf.DUMMYFUNCTION("""COMPUTED_VALUE"""),2591)</f>
        <v>2591</v>
      </c>
      <c r="E75" s="16">
        <f>IFERROR(__xludf.DUMMYFUNCTION("""COMPUTED_VALUE"""),45848.6458333333)</f>
        <v>45848.6458333333</v>
      </c>
      <c r="F75" s="17">
        <f>IFERROR(__xludf.DUMMYFUNCTION("""COMPUTED_VALUE"""),306565)</f>
        <v>306565</v>
      </c>
      <c r="G75" s="16">
        <f>IFERROR(__xludf.DUMMYFUNCTION("""COMPUTED_VALUE"""),45848.6458333333)</f>
        <v>45848.6458333333</v>
      </c>
      <c r="H75" s="17">
        <f>IFERROR(__xludf.DUMMYFUNCTION("""COMPUTED_VALUE"""),2604)</f>
        <v>2604</v>
      </c>
      <c r="I75" s="16">
        <f>IFERROR(__xludf.DUMMYFUNCTION("""COMPUTED_VALUE"""),45848.6458333333)</f>
        <v>45848.6458333333</v>
      </c>
      <c r="J75" s="17">
        <f>IFERROR(__xludf.DUMMYFUNCTION("""COMPUTED_VALUE"""),2575)</f>
        <v>2575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IFERROR(__xludf.DUMMYFUNCTION("""COMPUTED_VALUE"""),2558.7)</f>
        <v>2558.7</v>
      </c>
      <c r="C76" s="16">
        <f>IFERROR(__xludf.DUMMYFUNCTION("""COMPUTED_VALUE"""),45849.6458333333)</f>
        <v>45849.6458333333</v>
      </c>
      <c r="D76" s="17">
        <f>IFERROR(__xludf.DUMMYFUNCTION("""COMPUTED_VALUE"""),2575)</f>
        <v>2575</v>
      </c>
      <c r="E76" s="16">
        <f>IFERROR(__xludf.DUMMYFUNCTION("""COMPUTED_VALUE"""),45849.6458333333)</f>
        <v>45849.6458333333</v>
      </c>
      <c r="F76" s="17">
        <f>IFERROR(__xludf.DUMMYFUNCTION("""COMPUTED_VALUE"""),390645)</f>
        <v>390645</v>
      </c>
      <c r="G76" s="16">
        <f>IFERROR(__xludf.DUMMYFUNCTION("""COMPUTED_VALUE"""),45849.6458333333)</f>
        <v>45849.6458333333</v>
      </c>
      <c r="H76" s="17">
        <f>IFERROR(__xludf.DUMMYFUNCTION("""COMPUTED_VALUE"""),2591.9)</f>
        <v>2591.9</v>
      </c>
      <c r="I76" s="16">
        <f>IFERROR(__xludf.DUMMYFUNCTION("""COMPUTED_VALUE"""),45849.6458333333)</f>
        <v>45849.6458333333</v>
      </c>
      <c r="J76" s="17">
        <f>IFERROR(__xludf.DUMMYFUNCTION("""COMPUTED_VALUE"""),2551.9)</f>
        <v>2551.9</v>
      </c>
      <c r="K76" s="3">
        <f t="shared" si="2"/>
        <v>0</v>
      </c>
      <c r="L76" s="3">
        <f t="shared" si="3"/>
        <v>2558.7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IFERROR(__xludf.DUMMYFUNCTION("""COMPUTED_VALUE"""),2581.3)</f>
        <v>2581.3</v>
      </c>
      <c r="C77" s="16">
        <f>IFERROR(__xludf.DUMMYFUNCTION("""COMPUTED_VALUE"""),45852.6458333333)</f>
        <v>45852.6458333333</v>
      </c>
      <c r="D77" s="17">
        <f>IFERROR(__xludf.DUMMYFUNCTION("""COMPUTED_VALUE"""),2555)</f>
        <v>2555</v>
      </c>
      <c r="E77" s="16">
        <f>IFERROR(__xludf.DUMMYFUNCTION("""COMPUTED_VALUE"""),45852.6458333333)</f>
        <v>45852.6458333333</v>
      </c>
      <c r="F77" s="17">
        <f>IFERROR(__xludf.DUMMYFUNCTION("""COMPUTED_VALUE"""),536585)</f>
        <v>536585</v>
      </c>
      <c r="G77" s="16">
        <f>IFERROR(__xludf.DUMMYFUNCTION("""COMPUTED_VALUE"""),45852.6458333333)</f>
        <v>45852.6458333333</v>
      </c>
      <c r="H77" s="17">
        <f>IFERROR(__xludf.DUMMYFUNCTION("""COMPUTED_VALUE"""),2604.8)</f>
        <v>2604.8</v>
      </c>
      <c r="I77" s="16">
        <f>IFERROR(__xludf.DUMMYFUNCTION("""COMPUTED_VALUE"""),45852.6458333333)</f>
        <v>45852.6458333333</v>
      </c>
      <c r="J77" s="17">
        <f>IFERROR(__xludf.DUMMYFUNCTION("""COMPUTED_VALUE"""),2543.5)</f>
        <v>2543.5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IFERROR(__xludf.DUMMYFUNCTION("""COMPUTED_VALUE"""),2598.2)</f>
        <v>2598.2</v>
      </c>
      <c r="C78" s="16">
        <f>IFERROR(__xludf.DUMMYFUNCTION("""COMPUTED_VALUE"""),45853.6458333333)</f>
        <v>45853.6458333333</v>
      </c>
      <c r="D78" s="17">
        <f>IFERROR(__xludf.DUMMYFUNCTION("""COMPUTED_VALUE"""),2588)</f>
        <v>2588</v>
      </c>
      <c r="E78" s="16">
        <f>IFERROR(__xludf.DUMMYFUNCTION("""COMPUTED_VALUE"""),45853.6458333333)</f>
        <v>45853.6458333333</v>
      </c>
      <c r="F78" s="17">
        <f>IFERROR(__xludf.DUMMYFUNCTION("""COMPUTED_VALUE"""),379425)</f>
        <v>379425</v>
      </c>
      <c r="G78" s="16">
        <f>IFERROR(__xludf.DUMMYFUNCTION("""COMPUTED_VALUE"""),45853.6458333333)</f>
        <v>45853.6458333333</v>
      </c>
      <c r="H78" s="17">
        <f>IFERROR(__xludf.DUMMYFUNCTION("""COMPUTED_VALUE"""),2606.9)</f>
        <v>2606.9</v>
      </c>
      <c r="I78" s="16">
        <f>IFERROR(__xludf.DUMMYFUNCTION("""COMPUTED_VALUE"""),45853.6458333333)</f>
        <v>45853.6458333333</v>
      </c>
      <c r="J78" s="17">
        <f>IFERROR(__xludf.DUMMYFUNCTION("""COMPUTED_VALUE"""),2576)</f>
        <v>2576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IFERROR(__xludf.DUMMYFUNCTION("""COMPUTED_VALUE"""),2608.5)</f>
        <v>2608.5</v>
      </c>
      <c r="C79" s="16">
        <f>IFERROR(__xludf.DUMMYFUNCTION("""COMPUTED_VALUE"""),45854.6458333333)</f>
        <v>45854.6458333333</v>
      </c>
      <c r="D79" s="17">
        <f>IFERROR(__xludf.DUMMYFUNCTION("""COMPUTED_VALUE"""),2602.5)</f>
        <v>2602.5</v>
      </c>
      <c r="E79" s="16">
        <f>IFERROR(__xludf.DUMMYFUNCTION("""COMPUTED_VALUE"""),45854.6458333333)</f>
        <v>45854.6458333333</v>
      </c>
      <c r="F79" s="17">
        <f>IFERROR(__xludf.DUMMYFUNCTION("""COMPUTED_VALUE"""),686644)</f>
        <v>686644</v>
      </c>
      <c r="G79" s="16">
        <f>IFERROR(__xludf.DUMMYFUNCTION("""COMPUTED_VALUE"""),45854.6458333333)</f>
        <v>45854.6458333333</v>
      </c>
      <c r="H79" s="17">
        <f>IFERROR(__xludf.DUMMYFUNCTION("""COMPUTED_VALUE"""),2619.5)</f>
        <v>2619.5</v>
      </c>
      <c r="I79" s="16">
        <f>IFERROR(__xludf.DUMMYFUNCTION("""COMPUTED_VALUE"""),45854.6458333333)</f>
        <v>45854.6458333333</v>
      </c>
      <c r="J79" s="17">
        <f>IFERROR(__xludf.DUMMYFUNCTION("""COMPUTED_VALUE"""),2595.5)</f>
        <v>2595.5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IFERROR(__xludf.DUMMYFUNCTION("""COMPUTED_VALUE"""),2616.6)</f>
        <v>2616.6</v>
      </c>
      <c r="C80" s="16">
        <f>IFERROR(__xludf.DUMMYFUNCTION("""COMPUTED_VALUE"""),45855.6458333333)</f>
        <v>45855.6458333333</v>
      </c>
      <c r="D80" s="17">
        <f>IFERROR(__xludf.DUMMYFUNCTION("""COMPUTED_VALUE"""),2612)</f>
        <v>2612</v>
      </c>
      <c r="E80" s="16">
        <f>IFERROR(__xludf.DUMMYFUNCTION("""COMPUTED_VALUE"""),45855.6458333333)</f>
        <v>45855.6458333333</v>
      </c>
      <c r="F80" s="17">
        <f>IFERROR(__xludf.DUMMYFUNCTION("""COMPUTED_VALUE"""),785771)</f>
        <v>785771</v>
      </c>
      <c r="G80" s="16">
        <f>IFERROR(__xludf.DUMMYFUNCTION("""COMPUTED_VALUE"""),45855.6458333333)</f>
        <v>45855.6458333333</v>
      </c>
      <c r="H80" s="17">
        <f>IFERROR(__xludf.DUMMYFUNCTION("""COMPUTED_VALUE"""),2654.5)</f>
        <v>2654.5</v>
      </c>
      <c r="I80" s="16">
        <f>IFERROR(__xludf.DUMMYFUNCTION("""COMPUTED_VALUE"""),45855.6458333333)</f>
        <v>45855.6458333333</v>
      </c>
      <c r="J80" s="17">
        <f>IFERROR(__xludf.DUMMYFUNCTION("""COMPUTED_VALUE"""),2605.3)</f>
        <v>2605.3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IFERROR(__xludf.DUMMYFUNCTION("""COMPUTED_VALUE"""),2596.1)</f>
        <v>2596.1</v>
      </c>
      <c r="C81" s="16">
        <f>IFERROR(__xludf.DUMMYFUNCTION("""COMPUTED_VALUE"""),45856.6458333333)</f>
        <v>45856.6458333333</v>
      </c>
      <c r="D81" s="17">
        <f>IFERROR(__xludf.DUMMYFUNCTION("""COMPUTED_VALUE"""),2612)</f>
        <v>2612</v>
      </c>
      <c r="E81" s="16">
        <f>IFERROR(__xludf.DUMMYFUNCTION("""COMPUTED_VALUE"""),45856.6458333333)</f>
        <v>45856.6458333333</v>
      </c>
      <c r="F81" s="17">
        <f>IFERROR(__xludf.DUMMYFUNCTION("""COMPUTED_VALUE"""),479942)</f>
        <v>479942</v>
      </c>
      <c r="G81" s="16">
        <f>IFERROR(__xludf.DUMMYFUNCTION("""COMPUTED_VALUE"""),45856.6458333333)</f>
        <v>45856.6458333333</v>
      </c>
      <c r="H81" s="17">
        <f>IFERROR(__xludf.DUMMYFUNCTION("""COMPUTED_VALUE"""),2626.7)</f>
        <v>2626.7</v>
      </c>
      <c r="I81" s="16">
        <f>IFERROR(__xludf.DUMMYFUNCTION("""COMPUTED_VALUE"""),45856.6458333333)</f>
        <v>45856.6458333333</v>
      </c>
      <c r="J81" s="17">
        <f>IFERROR(__xludf.DUMMYFUNCTION("""COMPUTED_VALUE"""),2584.2)</f>
        <v>2584.2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IFERROR(__xludf.DUMMYFUNCTION("""COMPUTED_VALUE"""),2619.5)</f>
        <v>2619.5</v>
      </c>
      <c r="C82" s="16">
        <f>IFERROR(__xludf.DUMMYFUNCTION("""COMPUTED_VALUE"""),45859.6458333333)</f>
        <v>45859.6458333333</v>
      </c>
      <c r="D82" s="17">
        <f>IFERROR(__xludf.DUMMYFUNCTION("""COMPUTED_VALUE"""),2596.3)</f>
        <v>2596.3</v>
      </c>
      <c r="E82" s="16">
        <f>IFERROR(__xludf.DUMMYFUNCTION("""COMPUTED_VALUE"""),45859.6458333333)</f>
        <v>45859.6458333333</v>
      </c>
      <c r="F82" s="17">
        <f>IFERROR(__xludf.DUMMYFUNCTION("""COMPUTED_VALUE"""),369782)</f>
        <v>369782</v>
      </c>
      <c r="G82" s="16">
        <f>IFERROR(__xludf.DUMMYFUNCTION("""COMPUTED_VALUE"""),45859.6458333333)</f>
        <v>45859.6458333333</v>
      </c>
      <c r="H82" s="17">
        <f>IFERROR(__xludf.DUMMYFUNCTION("""COMPUTED_VALUE"""),2624.9)</f>
        <v>2624.9</v>
      </c>
      <c r="I82" s="16">
        <f>IFERROR(__xludf.DUMMYFUNCTION("""COMPUTED_VALUE"""),45859.6458333333)</f>
        <v>45859.6458333333</v>
      </c>
      <c r="J82" s="17">
        <f>IFERROR(__xludf.DUMMYFUNCTION("""COMPUTED_VALUE"""),2585)</f>
        <v>2585</v>
      </c>
      <c r="K82" s="3">
        <f t="shared" si="2"/>
        <v>2619.5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IFERROR(__xludf.DUMMYFUNCTION("""COMPUTED_VALUE"""),2587.8)</f>
        <v>2587.8</v>
      </c>
      <c r="C83" s="16">
        <f>IFERROR(__xludf.DUMMYFUNCTION("""COMPUTED_VALUE"""),45860.6458333333)</f>
        <v>45860.6458333333</v>
      </c>
      <c r="D83" s="17">
        <f>IFERROR(__xludf.DUMMYFUNCTION("""COMPUTED_VALUE"""),2626)</f>
        <v>2626</v>
      </c>
      <c r="E83" s="16">
        <f>IFERROR(__xludf.DUMMYFUNCTION("""COMPUTED_VALUE"""),45860.6458333333)</f>
        <v>45860.6458333333</v>
      </c>
      <c r="F83" s="17">
        <f>IFERROR(__xludf.DUMMYFUNCTION("""COMPUTED_VALUE"""),387055)</f>
        <v>387055</v>
      </c>
      <c r="G83" s="16">
        <f>IFERROR(__xludf.DUMMYFUNCTION("""COMPUTED_VALUE"""),45860.6458333333)</f>
        <v>45860.6458333333</v>
      </c>
      <c r="H83" s="17">
        <f>IFERROR(__xludf.DUMMYFUNCTION("""COMPUTED_VALUE"""),2630)</f>
        <v>2630</v>
      </c>
      <c r="I83" s="16">
        <f>IFERROR(__xludf.DUMMYFUNCTION("""COMPUTED_VALUE"""),45860.6458333333)</f>
        <v>45860.6458333333</v>
      </c>
      <c r="J83" s="17">
        <f>IFERROR(__xludf.DUMMYFUNCTION("""COMPUTED_VALUE"""),2581.6)</f>
        <v>2581.6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IFERROR(__xludf.DUMMYFUNCTION("""COMPUTED_VALUE"""),2614.5)</f>
        <v>2614.5</v>
      </c>
      <c r="C84" s="16">
        <f>IFERROR(__xludf.DUMMYFUNCTION("""COMPUTED_VALUE"""),45861.6458333333)</f>
        <v>45861.6458333333</v>
      </c>
      <c r="D84" s="17">
        <f>IFERROR(__xludf.DUMMYFUNCTION("""COMPUTED_VALUE"""),2600.7)</f>
        <v>2600.7</v>
      </c>
      <c r="E84" s="16">
        <f>IFERROR(__xludf.DUMMYFUNCTION("""COMPUTED_VALUE"""),45861.6458333333)</f>
        <v>45861.6458333333</v>
      </c>
      <c r="F84" s="17">
        <f>IFERROR(__xludf.DUMMYFUNCTION("""COMPUTED_VALUE"""),316424)</f>
        <v>316424</v>
      </c>
      <c r="G84" s="16">
        <f>IFERROR(__xludf.DUMMYFUNCTION("""COMPUTED_VALUE"""),45861.6458333333)</f>
        <v>45861.6458333333</v>
      </c>
      <c r="H84" s="17">
        <f>IFERROR(__xludf.DUMMYFUNCTION("""COMPUTED_VALUE"""),2625.9)</f>
        <v>2625.9</v>
      </c>
      <c r="I84" s="16">
        <f>IFERROR(__xludf.DUMMYFUNCTION("""COMPUTED_VALUE"""),45861.6458333333)</f>
        <v>45861.6458333333</v>
      </c>
      <c r="J84" s="17">
        <f>IFERROR(__xludf.DUMMYFUNCTION("""COMPUTED_VALUE"""),2593.5)</f>
        <v>2593.5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IFERROR(__xludf.DUMMYFUNCTION("""COMPUTED_VALUE"""),2608.4)</f>
        <v>2608.4</v>
      </c>
      <c r="C85" s="16">
        <f>IFERROR(__xludf.DUMMYFUNCTION("""COMPUTED_VALUE"""),45862.6458333333)</f>
        <v>45862.6458333333</v>
      </c>
      <c r="D85" s="17">
        <f>IFERROR(__xludf.DUMMYFUNCTION("""COMPUTED_VALUE"""),2615.4)</f>
        <v>2615.4</v>
      </c>
      <c r="E85" s="16">
        <f>IFERROR(__xludf.DUMMYFUNCTION("""COMPUTED_VALUE"""),45862.6458333333)</f>
        <v>45862.6458333333</v>
      </c>
      <c r="F85" s="17">
        <f>IFERROR(__xludf.DUMMYFUNCTION("""COMPUTED_VALUE"""),253782)</f>
        <v>253782</v>
      </c>
      <c r="G85" s="16">
        <f>IFERROR(__xludf.DUMMYFUNCTION("""COMPUTED_VALUE"""),45862.6458333333)</f>
        <v>45862.6458333333</v>
      </c>
      <c r="H85" s="17">
        <f>IFERROR(__xludf.DUMMYFUNCTION("""COMPUTED_VALUE"""),2624.2)</f>
        <v>2624.2</v>
      </c>
      <c r="I85" s="16">
        <f>IFERROR(__xludf.DUMMYFUNCTION("""COMPUTED_VALUE"""),45862.6458333333)</f>
        <v>45862.6458333333</v>
      </c>
      <c r="J85" s="17">
        <f>IFERROR(__xludf.DUMMYFUNCTION("""COMPUTED_VALUE"""),2595)</f>
        <v>2595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IFERROR(__xludf.DUMMYFUNCTION("""COMPUTED_VALUE"""),2550.1)</f>
        <v>2550.1</v>
      </c>
      <c r="C86" s="16">
        <f>IFERROR(__xludf.DUMMYFUNCTION("""COMPUTED_VALUE"""),45863.6458333333)</f>
        <v>45863.6458333333</v>
      </c>
      <c r="D86" s="17">
        <f>IFERROR(__xludf.DUMMYFUNCTION("""COMPUTED_VALUE"""),2605)</f>
        <v>2605</v>
      </c>
      <c r="E86" s="16">
        <f>IFERROR(__xludf.DUMMYFUNCTION("""COMPUTED_VALUE"""),45863.6458333333)</f>
        <v>45863.6458333333</v>
      </c>
      <c r="F86" s="17">
        <f>IFERROR(__xludf.DUMMYFUNCTION("""COMPUTED_VALUE"""),424612)</f>
        <v>424612</v>
      </c>
      <c r="G86" s="16">
        <f>IFERROR(__xludf.DUMMYFUNCTION("""COMPUTED_VALUE"""),45863.6458333333)</f>
        <v>45863.6458333333</v>
      </c>
      <c r="H86" s="17">
        <f>IFERROR(__xludf.DUMMYFUNCTION("""COMPUTED_VALUE"""),2617)</f>
        <v>2617</v>
      </c>
      <c r="I86" s="16">
        <f>IFERROR(__xludf.DUMMYFUNCTION("""COMPUTED_VALUE"""),45863.6458333333)</f>
        <v>45863.6458333333</v>
      </c>
      <c r="J86" s="17">
        <f>IFERROR(__xludf.DUMMYFUNCTION("""COMPUTED_VALUE"""),2544.1)</f>
        <v>2544.1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IFERROR(__xludf.DUMMYFUNCTION("""COMPUTED_VALUE"""),2522.3)</f>
        <v>2522.3</v>
      </c>
      <c r="C87" s="16">
        <f>IFERROR(__xludf.DUMMYFUNCTION("""COMPUTED_VALUE"""),45866.6458333333)</f>
        <v>45866.6458333333</v>
      </c>
      <c r="D87" s="17">
        <f>IFERROR(__xludf.DUMMYFUNCTION("""COMPUTED_VALUE"""),2549)</f>
        <v>2549</v>
      </c>
      <c r="E87" s="16">
        <f>IFERROR(__xludf.DUMMYFUNCTION("""COMPUTED_VALUE"""),45866.6458333333)</f>
        <v>45866.6458333333</v>
      </c>
      <c r="F87" s="17">
        <f>IFERROR(__xludf.DUMMYFUNCTION("""COMPUTED_VALUE"""),428409)</f>
        <v>428409</v>
      </c>
      <c r="G87" s="16">
        <f>IFERROR(__xludf.DUMMYFUNCTION("""COMPUTED_VALUE"""),45866.6458333333)</f>
        <v>45866.6458333333</v>
      </c>
      <c r="H87" s="17">
        <f>IFERROR(__xludf.DUMMYFUNCTION("""COMPUTED_VALUE"""),2585)</f>
        <v>2585</v>
      </c>
      <c r="I87" s="16">
        <f>IFERROR(__xludf.DUMMYFUNCTION("""COMPUTED_VALUE"""),45866.6458333333)</f>
        <v>45866.6458333333</v>
      </c>
      <c r="J87" s="17">
        <f>IFERROR(__xludf.DUMMYFUNCTION("""COMPUTED_VALUE"""),2512.6)</f>
        <v>2512.6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IFERROR(__xludf.DUMMYFUNCTION("""COMPUTED_VALUE"""),2547.9)</f>
        <v>2547.9</v>
      </c>
      <c r="C88" s="16">
        <f>IFERROR(__xludf.DUMMYFUNCTION("""COMPUTED_VALUE"""),45867.6458333333)</f>
        <v>45867.6458333333</v>
      </c>
      <c r="D88" s="17">
        <f>IFERROR(__xludf.DUMMYFUNCTION("""COMPUTED_VALUE"""),2529)</f>
        <v>2529</v>
      </c>
      <c r="E88" s="16">
        <f>IFERROR(__xludf.DUMMYFUNCTION("""COMPUTED_VALUE"""),45867.6458333333)</f>
        <v>45867.6458333333</v>
      </c>
      <c r="F88" s="17">
        <f>IFERROR(__xludf.DUMMYFUNCTION("""COMPUTED_VALUE"""),424781)</f>
        <v>424781</v>
      </c>
      <c r="G88" s="16">
        <f>IFERROR(__xludf.DUMMYFUNCTION("""COMPUTED_VALUE"""),45867.6458333333)</f>
        <v>45867.6458333333</v>
      </c>
      <c r="H88" s="17">
        <f>IFERROR(__xludf.DUMMYFUNCTION("""COMPUTED_VALUE"""),2557.4)</f>
        <v>2557.4</v>
      </c>
      <c r="I88" s="16">
        <f>IFERROR(__xludf.DUMMYFUNCTION("""COMPUTED_VALUE"""),45867.6458333333)</f>
        <v>45867.6458333333</v>
      </c>
      <c r="J88" s="17">
        <f>IFERROR(__xludf.DUMMYFUNCTION("""COMPUTED_VALUE"""),2507.5)</f>
        <v>2507.5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IFERROR(__xludf.DUMMYFUNCTION("""COMPUTED_VALUE"""),2532.9)</f>
        <v>2532.9</v>
      </c>
      <c r="C89" s="16">
        <f>IFERROR(__xludf.DUMMYFUNCTION("""COMPUTED_VALUE"""),45868.6458333333)</f>
        <v>45868.6458333333</v>
      </c>
      <c r="D89" s="17">
        <f>IFERROR(__xludf.DUMMYFUNCTION("""COMPUTED_VALUE"""),2547.9)</f>
        <v>2547.9</v>
      </c>
      <c r="E89" s="16">
        <f>IFERROR(__xludf.DUMMYFUNCTION("""COMPUTED_VALUE"""),45868.6458333333)</f>
        <v>45868.6458333333</v>
      </c>
      <c r="F89" s="17">
        <f>IFERROR(__xludf.DUMMYFUNCTION("""COMPUTED_VALUE"""),262063)</f>
        <v>262063</v>
      </c>
      <c r="G89" s="16">
        <f>IFERROR(__xludf.DUMMYFUNCTION("""COMPUTED_VALUE"""),45868.6458333333)</f>
        <v>45868.6458333333</v>
      </c>
      <c r="H89" s="17">
        <f>IFERROR(__xludf.DUMMYFUNCTION("""COMPUTED_VALUE"""),2552.6)</f>
        <v>2552.6</v>
      </c>
      <c r="I89" s="16">
        <f>IFERROR(__xludf.DUMMYFUNCTION("""COMPUTED_VALUE"""),45868.6458333333)</f>
        <v>45868.6458333333</v>
      </c>
      <c r="J89" s="17">
        <f>IFERROR(__xludf.DUMMYFUNCTION("""COMPUTED_VALUE"""),2525)</f>
        <v>2525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IFERROR(__xludf.DUMMYFUNCTION("""COMPUTED_VALUE"""),2430.7)</f>
        <v>2430.7</v>
      </c>
      <c r="C90" s="16">
        <f>IFERROR(__xludf.DUMMYFUNCTION("""COMPUTED_VALUE"""),45869.6458333333)</f>
        <v>45869.6458333333</v>
      </c>
      <c r="D90" s="17">
        <f>IFERROR(__xludf.DUMMYFUNCTION("""COMPUTED_VALUE"""),2509.9)</f>
        <v>2509.9</v>
      </c>
      <c r="E90" s="16">
        <f>IFERROR(__xludf.DUMMYFUNCTION("""COMPUTED_VALUE"""),45869.6458333333)</f>
        <v>45869.6458333333</v>
      </c>
      <c r="F90" s="17">
        <f>IFERROR(__xludf.DUMMYFUNCTION("""COMPUTED_VALUE"""),1457616)</f>
        <v>1457616</v>
      </c>
      <c r="G90" s="16">
        <f>IFERROR(__xludf.DUMMYFUNCTION("""COMPUTED_VALUE"""),45869.6458333333)</f>
        <v>45869.6458333333</v>
      </c>
      <c r="H90" s="17">
        <f>IFERROR(__xludf.DUMMYFUNCTION("""COMPUTED_VALUE"""),2520)</f>
        <v>2520</v>
      </c>
      <c r="I90" s="16">
        <f>IFERROR(__xludf.DUMMYFUNCTION("""COMPUTED_VALUE"""),45869.6458333333)</f>
        <v>45869.6458333333</v>
      </c>
      <c r="J90" s="17">
        <f>IFERROR(__xludf.DUMMYFUNCTION("""COMPUTED_VALUE"""),2422.6)</f>
        <v>2422.6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IFERROR(__xludf.DUMMYFUNCTION("""COMPUTED_VALUE"""),2350.9)</f>
        <v>2350.9</v>
      </c>
      <c r="C91" s="16">
        <f>IFERROR(__xludf.DUMMYFUNCTION("""COMPUTED_VALUE"""),45870.6458333333)</f>
        <v>45870.6458333333</v>
      </c>
      <c r="D91" s="17">
        <f>IFERROR(__xludf.DUMMYFUNCTION("""COMPUTED_VALUE"""),2425)</f>
        <v>2425</v>
      </c>
      <c r="E91" s="16">
        <f>IFERROR(__xludf.DUMMYFUNCTION("""COMPUTED_VALUE"""),45870.6458333333)</f>
        <v>45870.6458333333</v>
      </c>
      <c r="F91" s="17">
        <f>IFERROR(__xludf.DUMMYFUNCTION("""COMPUTED_VALUE"""),976341)</f>
        <v>976341</v>
      </c>
      <c r="G91" s="16">
        <f>IFERROR(__xludf.DUMMYFUNCTION("""COMPUTED_VALUE"""),45870.6458333333)</f>
        <v>45870.6458333333</v>
      </c>
      <c r="H91" s="17">
        <f>IFERROR(__xludf.DUMMYFUNCTION("""COMPUTED_VALUE"""),2444.9)</f>
        <v>2444.9</v>
      </c>
      <c r="I91" s="16">
        <f>IFERROR(__xludf.DUMMYFUNCTION("""COMPUTED_VALUE"""),45870.6458333333)</f>
        <v>45870.6458333333</v>
      </c>
      <c r="J91" s="17">
        <f>IFERROR(__xludf.DUMMYFUNCTION("""COMPUTED_VALUE"""),2333)</f>
        <v>2333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IFERROR(__xludf.DUMMYFUNCTION("""COMPUTED_VALUE"""),2363.6)</f>
        <v>2363.6</v>
      </c>
      <c r="C92" s="16">
        <f>IFERROR(__xludf.DUMMYFUNCTION("""COMPUTED_VALUE"""),45873.6458333333)</f>
        <v>45873.6458333333</v>
      </c>
      <c r="D92" s="17">
        <f>IFERROR(__xludf.DUMMYFUNCTION("""COMPUTED_VALUE"""),2360)</f>
        <v>2360</v>
      </c>
      <c r="E92" s="16">
        <f>IFERROR(__xludf.DUMMYFUNCTION("""COMPUTED_VALUE"""),45873.6458333333)</f>
        <v>45873.6458333333</v>
      </c>
      <c r="F92" s="17">
        <f>IFERROR(__xludf.DUMMYFUNCTION("""COMPUTED_VALUE"""),576426)</f>
        <v>576426</v>
      </c>
      <c r="G92" s="16">
        <f>IFERROR(__xludf.DUMMYFUNCTION("""COMPUTED_VALUE"""),45873.6458333333)</f>
        <v>45873.6458333333</v>
      </c>
      <c r="H92" s="17">
        <f>IFERROR(__xludf.DUMMYFUNCTION("""COMPUTED_VALUE"""),2374.7)</f>
        <v>2374.7</v>
      </c>
      <c r="I92" s="16">
        <f>IFERROR(__xludf.DUMMYFUNCTION("""COMPUTED_VALUE"""),45873.6458333333)</f>
        <v>45873.6458333333</v>
      </c>
      <c r="J92" s="17">
        <f>IFERROR(__xludf.DUMMYFUNCTION("""COMPUTED_VALUE"""),2338.2)</f>
        <v>2338.2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IFERROR(__xludf.DUMMYFUNCTION("""COMPUTED_VALUE"""),2328.2)</f>
        <v>2328.2</v>
      </c>
      <c r="C93" s="16">
        <f>IFERROR(__xludf.DUMMYFUNCTION("""COMPUTED_VALUE"""),45874.6458333333)</f>
        <v>45874.6458333333</v>
      </c>
      <c r="D93" s="17">
        <f>IFERROR(__xludf.DUMMYFUNCTION("""COMPUTED_VALUE"""),2370)</f>
        <v>2370</v>
      </c>
      <c r="E93" s="16">
        <f>IFERROR(__xludf.DUMMYFUNCTION("""COMPUTED_VALUE"""),45874.6458333333)</f>
        <v>45874.6458333333</v>
      </c>
      <c r="F93" s="17">
        <f>IFERROR(__xludf.DUMMYFUNCTION("""COMPUTED_VALUE"""),576742)</f>
        <v>576742</v>
      </c>
      <c r="G93" s="16">
        <f>IFERROR(__xludf.DUMMYFUNCTION("""COMPUTED_VALUE"""),45874.6458333333)</f>
        <v>45874.6458333333</v>
      </c>
      <c r="H93" s="17">
        <f>IFERROR(__xludf.DUMMYFUNCTION("""COMPUTED_VALUE"""),2370)</f>
        <v>2370</v>
      </c>
      <c r="I93" s="16">
        <f>IFERROR(__xludf.DUMMYFUNCTION("""COMPUTED_VALUE"""),45874.6458333333)</f>
        <v>45874.6458333333</v>
      </c>
      <c r="J93" s="17">
        <f>IFERROR(__xludf.DUMMYFUNCTION("""COMPUTED_VALUE"""),2316)</f>
        <v>2316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IFERROR(__xludf.DUMMYFUNCTION("""COMPUTED_VALUE"""),2300.3)</f>
        <v>2300.3</v>
      </c>
      <c r="C94" s="16">
        <f>IFERROR(__xludf.DUMMYFUNCTION("""COMPUTED_VALUE"""),45875.6458333333)</f>
        <v>45875.6458333333</v>
      </c>
      <c r="D94" s="17">
        <f>IFERROR(__xludf.DUMMYFUNCTION("""COMPUTED_VALUE"""),2333.9)</f>
        <v>2333.9</v>
      </c>
      <c r="E94" s="16">
        <f>IFERROR(__xludf.DUMMYFUNCTION("""COMPUTED_VALUE"""),45875.6458333333)</f>
        <v>45875.6458333333</v>
      </c>
      <c r="F94" s="17">
        <f>IFERROR(__xludf.DUMMYFUNCTION("""COMPUTED_VALUE"""),631582)</f>
        <v>631582</v>
      </c>
      <c r="G94" s="16">
        <f>IFERROR(__xludf.DUMMYFUNCTION("""COMPUTED_VALUE"""),45875.6458333333)</f>
        <v>45875.6458333333</v>
      </c>
      <c r="H94" s="17">
        <f>IFERROR(__xludf.DUMMYFUNCTION("""COMPUTED_VALUE"""),2347.9)</f>
        <v>2347.9</v>
      </c>
      <c r="I94" s="16">
        <f>IFERROR(__xludf.DUMMYFUNCTION("""COMPUTED_VALUE"""),45875.6458333333)</f>
        <v>45875.6458333333</v>
      </c>
      <c r="J94" s="17">
        <f>IFERROR(__xludf.DUMMYFUNCTION("""COMPUTED_VALUE"""),2296)</f>
        <v>2296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IFERROR(__xludf.DUMMYFUNCTION("""COMPUTED_VALUE"""),2249.8)</f>
        <v>2249.8</v>
      </c>
      <c r="C95" s="16">
        <f>IFERROR(__xludf.DUMMYFUNCTION("""COMPUTED_VALUE"""),45876.6458333333)</f>
        <v>45876.6458333333</v>
      </c>
      <c r="D95" s="17">
        <f>IFERROR(__xludf.DUMMYFUNCTION("""COMPUTED_VALUE"""),2290)</f>
        <v>2290</v>
      </c>
      <c r="E95" s="16">
        <f>IFERROR(__xludf.DUMMYFUNCTION("""COMPUTED_VALUE"""),45876.6458333333)</f>
        <v>45876.6458333333</v>
      </c>
      <c r="F95" s="17">
        <f>IFERROR(__xludf.DUMMYFUNCTION("""COMPUTED_VALUE"""),1529410)</f>
        <v>1529410</v>
      </c>
      <c r="G95" s="16">
        <f>IFERROR(__xludf.DUMMYFUNCTION("""COMPUTED_VALUE"""),45876.6458333333)</f>
        <v>45876.6458333333</v>
      </c>
      <c r="H95" s="17">
        <f>IFERROR(__xludf.DUMMYFUNCTION("""COMPUTED_VALUE"""),2295)</f>
        <v>2295</v>
      </c>
      <c r="I95" s="16">
        <f>IFERROR(__xludf.DUMMYFUNCTION("""COMPUTED_VALUE"""),45876.6458333333)</f>
        <v>45876.6458333333</v>
      </c>
      <c r="J95" s="17">
        <f>IFERROR(__xludf.DUMMYFUNCTION("""COMPUTED_VALUE"""),2202.8)</f>
        <v>2202.8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IFERROR(__xludf.DUMMYFUNCTION("""COMPUTED_VALUE"""),2178.1)</f>
        <v>2178.1</v>
      </c>
      <c r="C96" s="16">
        <f>IFERROR(__xludf.DUMMYFUNCTION("""COMPUTED_VALUE"""),45877.6458333333)</f>
        <v>45877.6458333333</v>
      </c>
      <c r="D96" s="17">
        <f>IFERROR(__xludf.DUMMYFUNCTION("""COMPUTED_VALUE"""),2247)</f>
        <v>2247</v>
      </c>
      <c r="E96" s="16">
        <f>IFERROR(__xludf.DUMMYFUNCTION("""COMPUTED_VALUE"""),45877.6458333333)</f>
        <v>45877.6458333333</v>
      </c>
      <c r="F96" s="17">
        <f>IFERROR(__xludf.DUMMYFUNCTION("""COMPUTED_VALUE"""),2552736)</f>
        <v>2552736</v>
      </c>
      <c r="G96" s="16">
        <f>IFERROR(__xludf.DUMMYFUNCTION("""COMPUTED_VALUE"""),45877.6458333333)</f>
        <v>45877.6458333333</v>
      </c>
      <c r="H96" s="17">
        <f>IFERROR(__xludf.DUMMYFUNCTION("""COMPUTED_VALUE"""),2260.9)</f>
        <v>2260.9</v>
      </c>
      <c r="I96" s="16">
        <f>IFERROR(__xludf.DUMMYFUNCTION("""COMPUTED_VALUE"""),45877.6458333333)</f>
        <v>45877.6458333333</v>
      </c>
      <c r="J96" s="17">
        <f>IFERROR(__xludf.DUMMYFUNCTION("""COMPUTED_VALUE"""),2164.8)</f>
        <v>2164.8</v>
      </c>
      <c r="K96" s="3">
        <f t="shared" si="2"/>
        <v>0</v>
      </c>
      <c r="L96" s="3">
        <f t="shared" si="3"/>
        <v>2178.1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IFERROR(__xludf.DUMMYFUNCTION("""COMPUTED_VALUE"""),2283.4)</f>
        <v>2283.4</v>
      </c>
      <c r="C97" s="16">
        <f>IFERROR(__xludf.DUMMYFUNCTION("""COMPUTED_VALUE"""),45880.6458333333)</f>
        <v>45880.6458333333</v>
      </c>
      <c r="D97" s="17">
        <f>IFERROR(__xludf.DUMMYFUNCTION("""COMPUTED_VALUE"""),2196)</f>
        <v>2196</v>
      </c>
      <c r="E97" s="16">
        <f>IFERROR(__xludf.DUMMYFUNCTION("""COMPUTED_VALUE"""),45880.6458333333)</f>
        <v>45880.6458333333</v>
      </c>
      <c r="F97" s="17">
        <f>IFERROR(__xludf.DUMMYFUNCTION("""COMPUTED_VALUE"""),2376286)</f>
        <v>2376286</v>
      </c>
      <c r="G97" s="16">
        <f>IFERROR(__xludf.DUMMYFUNCTION("""COMPUTED_VALUE"""),45880.6458333333)</f>
        <v>45880.6458333333</v>
      </c>
      <c r="H97" s="17">
        <f>IFERROR(__xludf.DUMMYFUNCTION("""COMPUTED_VALUE"""),2302)</f>
        <v>2302</v>
      </c>
      <c r="I97" s="16">
        <f>IFERROR(__xludf.DUMMYFUNCTION("""COMPUTED_VALUE"""),45880.6458333333)</f>
        <v>45880.6458333333</v>
      </c>
      <c r="J97" s="17">
        <f>IFERROR(__xludf.DUMMYFUNCTION("""COMPUTED_VALUE"""),2183)</f>
        <v>2183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IFERROR(__xludf.DUMMYFUNCTION("""COMPUTED_VALUE"""),2288.2)</f>
        <v>2288.2</v>
      </c>
      <c r="C98" s="16">
        <f>IFERROR(__xludf.DUMMYFUNCTION("""COMPUTED_VALUE"""),45881.6458333333)</f>
        <v>45881.6458333333</v>
      </c>
      <c r="D98" s="17">
        <f>IFERROR(__xludf.DUMMYFUNCTION("""COMPUTED_VALUE"""),2280.1)</f>
        <v>2280.1</v>
      </c>
      <c r="E98" s="16">
        <f>IFERROR(__xludf.DUMMYFUNCTION("""COMPUTED_VALUE"""),45881.6458333333)</f>
        <v>45881.6458333333</v>
      </c>
      <c r="F98" s="17">
        <f>IFERROR(__xludf.DUMMYFUNCTION("""COMPUTED_VALUE"""),1075526)</f>
        <v>1075526</v>
      </c>
      <c r="G98" s="16">
        <f>IFERROR(__xludf.DUMMYFUNCTION("""COMPUTED_VALUE"""),45881.6458333333)</f>
        <v>45881.6458333333</v>
      </c>
      <c r="H98" s="17">
        <f>IFERROR(__xludf.DUMMYFUNCTION("""COMPUTED_VALUE"""),2314.7)</f>
        <v>2314.7</v>
      </c>
      <c r="I98" s="16">
        <f>IFERROR(__xludf.DUMMYFUNCTION("""COMPUTED_VALUE"""),45881.6458333333)</f>
        <v>45881.6458333333</v>
      </c>
      <c r="J98" s="17">
        <f>IFERROR(__xludf.DUMMYFUNCTION("""COMPUTED_VALUE"""),2267)</f>
        <v>2267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IFERROR(__xludf.DUMMYFUNCTION("""COMPUTED_VALUE"""),2280.1)</f>
        <v>2280.1</v>
      </c>
      <c r="C99" s="16">
        <f>IFERROR(__xludf.DUMMYFUNCTION("""COMPUTED_VALUE"""),45882.6458333333)</f>
        <v>45882.6458333333</v>
      </c>
      <c r="D99" s="17">
        <f>IFERROR(__xludf.DUMMYFUNCTION("""COMPUTED_VALUE"""),2299)</f>
        <v>2299</v>
      </c>
      <c r="E99" s="16">
        <f>IFERROR(__xludf.DUMMYFUNCTION("""COMPUTED_VALUE"""),45882.6458333333)</f>
        <v>45882.6458333333</v>
      </c>
      <c r="F99" s="17">
        <f>IFERROR(__xludf.DUMMYFUNCTION("""COMPUTED_VALUE"""),833679)</f>
        <v>833679</v>
      </c>
      <c r="G99" s="16">
        <f>IFERROR(__xludf.DUMMYFUNCTION("""COMPUTED_VALUE"""),45882.6458333333)</f>
        <v>45882.6458333333</v>
      </c>
      <c r="H99" s="17">
        <f>IFERROR(__xludf.DUMMYFUNCTION("""COMPUTED_VALUE"""),2314.9)</f>
        <v>2314.9</v>
      </c>
      <c r="I99" s="16">
        <f>IFERROR(__xludf.DUMMYFUNCTION("""COMPUTED_VALUE"""),45882.6458333333)</f>
        <v>45882.6458333333</v>
      </c>
      <c r="J99" s="17">
        <f>IFERROR(__xludf.DUMMYFUNCTION("""COMPUTED_VALUE"""),2245.4)</f>
        <v>2245.4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IFERROR(__xludf.DUMMYFUNCTION("""COMPUTED_VALUE"""),2281.6)</f>
        <v>2281.6</v>
      </c>
      <c r="C100" s="16">
        <f>IFERROR(__xludf.DUMMYFUNCTION("""COMPUTED_VALUE"""),45883.6458333333)</f>
        <v>45883.6458333333</v>
      </c>
      <c r="D100" s="17">
        <f>IFERROR(__xludf.DUMMYFUNCTION("""COMPUTED_VALUE"""),2288)</f>
        <v>2288</v>
      </c>
      <c r="E100" s="16">
        <f>IFERROR(__xludf.DUMMYFUNCTION("""COMPUTED_VALUE"""),45883.6458333333)</f>
        <v>45883.6458333333</v>
      </c>
      <c r="F100" s="17">
        <f>IFERROR(__xludf.DUMMYFUNCTION("""COMPUTED_VALUE"""),998109)</f>
        <v>998109</v>
      </c>
      <c r="G100" s="16">
        <f>IFERROR(__xludf.DUMMYFUNCTION("""COMPUTED_VALUE"""),45883.6458333333)</f>
        <v>45883.6458333333</v>
      </c>
      <c r="H100" s="17">
        <f>IFERROR(__xludf.DUMMYFUNCTION("""COMPUTED_VALUE"""),2304)</f>
        <v>2304</v>
      </c>
      <c r="I100" s="16">
        <f>IFERROR(__xludf.DUMMYFUNCTION("""COMPUTED_VALUE"""),45883.6458333333)</f>
        <v>45883.6458333333</v>
      </c>
      <c r="J100" s="17">
        <f>IFERROR(__xludf.DUMMYFUNCTION("""COMPUTED_VALUE"""),2267.7)</f>
        <v>2267.7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IFERROR(__xludf.DUMMYFUNCTION("""COMPUTED_VALUE"""),2333.6)</f>
        <v>2333.6</v>
      </c>
      <c r="C101" s="16">
        <f>IFERROR(__xludf.DUMMYFUNCTION("""COMPUTED_VALUE"""),45887.6458333333)</f>
        <v>45887.6458333333</v>
      </c>
      <c r="D101" s="17">
        <f>IFERROR(__xludf.DUMMYFUNCTION("""COMPUTED_VALUE"""),2309.6)</f>
        <v>2309.6</v>
      </c>
      <c r="E101" s="16">
        <f>IFERROR(__xludf.DUMMYFUNCTION("""COMPUTED_VALUE"""),45887.6458333333)</f>
        <v>45887.6458333333</v>
      </c>
      <c r="F101" s="17">
        <f>IFERROR(__xludf.DUMMYFUNCTION("""COMPUTED_VALUE"""),988629)</f>
        <v>988629</v>
      </c>
      <c r="G101" s="16">
        <f>IFERROR(__xludf.DUMMYFUNCTION("""COMPUTED_VALUE"""),45887.6458333333)</f>
        <v>45887.6458333333</v>
      </c>
      <c r="H101" s="17">
        <f>IFERROR(__xludf.DUMMYFUNCTION("""COMPUTED_VALUE"""),2360)</f>
        <v>2360</v>
      </c>
      <c r="I101" s="16">
        <f>IFERROR(__xludf.DUMMYFUNCTION("""COMPUTED_VALUE"""),45887.6458333333)</f>
        <v>45887.6458333333</v>
      </c>
      <c r="J101" s="17">
        <f>IFERROR(__xludf.DUMMYFUNCTION("""COMPUTED_VALUE"""),2300)</f>
        <v>2300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IFERROR(__xludf.DUMMYFUNCTION("""COMPUTED_VALUE"""),2388.4)</f>
        <v>2388.4</v>
      </c>
      <c r="C102" s="16">
        <f>IFERROR(__xludf.DUMMYFUNCTION("""COMPUTED_VALUE"""),45888.6458333333)</f>
        <v>45888.6458333333</v>
      </c>
      <c r="D102" s="17">
        <f>IFERROR(__xludf.DUMMYFUNCTION("""COMPUTED_VALUE"""),2339.9)</f>
        <v>2339.9</v>
      </c>
      <c r="E102" s="16">
        <f>IFERROR(__xludf.DUMMYFUNCTION("""COMPUTED_VALUE"""),45888.6458333333)</f>
        <v>45888.6458333333</v>
      </c>
      <c r="F102" s="17">
        <f>IFERROR(__xludf.DUMMYFUNCTION("""COMPUTED_VALUE"""),1069432)</f>
        <v>1069432</v>
      </c>
      <c r="G102" s="16">
        <f>IFERROR(__xludf.DUMMYFUNCTION("""COMPUTED_VALUE"""),45888.6458333333)</f>
        <v>45888.6458333333</v>
      </c>
      <c r="H102" s="17">
        <f>IFERROR(__xludf.DUMMYFUNCTION("""COMPUTED_VALUE"""),2395.6)</f>
        <v>2395.6</v>
      </c>
      <c r="I102" s="16">
        <f>IFERROR(__xludf.DUMMYFUNCTION("""COMPUTED_VALUE"""),45888.6458333333)</f>
        <v>45888.6458333333</v>
      </c>
      <c r="J102" s="17">
        <f>IFERROR(__xludf.DUMMYFUNCTION("""COMPUTED_VALUE"""),2314.1)</f>
        <v>2314.1</v>
      </c>
      <c r="K102" s="3">
        <f t="shared" si="2"/>
        <v>2388.4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IFERROR(__xludf.DUMMYFUNCTION("""COMPUTED_VALUE"""),2387.1)</f>
        <v>2387.1</v>
      </c>
      <c r="C103" s="16">
        <f>IFERROR(__xludf.DUMMYFUNCTION("""COMPUTED_VALUE"""),45889.6458333333)</f>
        <v>45889.6458333333</v>
      </c>
      <c r="D103" s="17">
        <f>IFERROR(__xludf.DUMMYFUNCTION("""COMPUTED_VALUE"""),2380)</f>
        <v>2380</v>
      </c>
      <c r="E103" s="16">
        <f>IFERROR(__xludf.DUMMYFUNCTION("""COMPUTED_VALUE"""),45889.6458333333)</f>
        <v>45889.6458333333</v>
      </c>
      <c r="F103" s="17">
        <f>IFERROR(__xludf.DUMMYFUNCTION("""COMPUTED_VALUE"""),780025)</f>
        <v>780025</v>
      </c>
      <c r="G103" s="16">
        <f>IFERROR(__xludf.DUMMYFUNCTION("""COMPUTED_VALUE"""),45889.6458333333)</f>
        <v>45889.6458333333</v>
      </c>
      <c r="H103" s="17">
        <f>IFERROR(__xludf.DUMMYFUNCTION("""COMPUTED_VALUE"""),2406)</f>
        <v>2406</v>
      </c>
      <c r="I103" s="16">
        <f>IFERROR(__xludf.DUMMYFUNCTION("""COMPUTED_VALUE"""),45889.6458333333)</f>
        <v>45889.6458333333</v>
      </c>
      <c r="J103" s="17">
        <f>IFERROR(__xludf.DUMMYFUNCTION("""COMPUTED_VALUE"""),2372.1)</f>
        <v>2372.1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IFERROR(__xludf.DUMMYFUNCTION("""COMPUTED_VALUE"""),2377.2)</f>
        <v>2377.2</v>
      </c>
      <c r="C104" s="16">
        <f>IFERROR(__xludf.DUMMYFUNCTION("""COMPUTED_VALUE"""),45890.6458333333)</f>
        <v>45890.6458333333</v>
      </c>
      <c r="D104" s="17">
        <f>IFERROR(__xludf.DUMMYFUNCTION("""COMPUTED_VALUE"""),2387.1)</f>
        <v>2387.1</v>
      </c>
      <c r="E104" s="16">
        <f>IFERROR(__xludf.DUMMYFUNCTION("""COMPUTED_VALUE"""),45890.6458333333)</f>
        <v>45890.6458333333</v>
      </c>
      <c r="F104" s="17">
        <f>IFERROR(__xludf.DUMMYFUNCTION("""COMPUTED_VALUE"""),441867)</f>
        <v>441867</v>
      </c>
      <c r="G104" s="16">
        <f>IFERROR(__xludf.DUMMYFUNCTION("""COMPUTED_VALUE"""),45890.6458333333)</f>
        <v>45890.6458333333</v>
      </c>
      <c r="H104" s="17">
        <f>IFERROR(__xludf.DUMMYFUNCTION("""COMPUTED_VALUE"""),2397)</f>
        <v>2397</v>
      </c>
      <c r="I104" s="16">
        <f>IFERROR(__xludf.DUMMYFUNCTION("""COMPUTED_VALUE"""),45890.6458333333)</f>
        <v>45890.6458333333</v>
      </c>
      <c r="J104" s="17">
        <f>IFERROR(__xludf.DUMMYFUNCTION("""COMPUTED_VALUE"""),2371.4)</f>
        <v>2371.4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IFERROR(__xludf.DUMMYFUNCTION("""COMPUTED_VALUE"""),2324.9)</f>
        <v>2324.9</v>
      </c>
      <c r="C105" s="16">
        <f>IFERROR(__xludf.DUMMYFUNCTION("""COMPUTED_VALUE"""),45891.6458333333)</f>
        <v>45891.6458333333</v>
      </c>
      <c r="D105" s="17">
        <f>IFERROR(__xludf.DUMMYFUNCTION("""COMPUTED_VALUE"""),2369.9)</f>
        <v>2369.9</v>
      </c>
      <c r="E105" s="16">
        <f>IFERROR(__xludf.DUMMYFUNCTION("""COMPUTED_VALUE"""),45891.6458333333)</f>
        <v>45891.6458333333</v>
      </c>
      <c r="F105" s="17">
        <f>IFERROR(__xludf.DUMMYFUNCTION("""COMPUTED_VALUE"""),584211)</f>
        <v>584211</v>
      </c>
      <c r="G105" s="16">
        <f>IFERROR(__xludf.DUMMYFUNCTION("""COMPUTED_VALUE"""),45891.6458333333)</f>
        <v>45891.6458333333</v>
      </c>
      <c r="H105" s="17">
        <f>IFERROR(__xludf.DUMMYFUNCTION("""COMPUTED_VALUE"""),2376.3)</f>
        <v>2376.3</v>
      </c>
      <c r="I105" s="16">
        <f>IFERROR(__xludf.DUMMYFUNCTION("""COMPUTED_VALUE"""),45891.6458333333)</f>
        <v>45891.6458333333</v>
      </c>
      <c r="J105" s="17">
        <f>IFERROR(__xludf.DUMMYFUNCTION("""COMPUTED_VALUE"""),2321)</f>
        <v>2321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IFERROR(__xludf.DUMMYFUNCTION("""COMPUTED_VALUE"""),2302.9)</f>
        <v>2302.9</v>
      </c>
      <c r="C106" s="16">
        <f>IFERROR(__xludf.DUMMYFUNCTION("""COMPUTED_VALUE"""),45894.6458333333)</f>
        <v>45894.6458333333</v>
      </c>
      <c r="D106" s="17">
        <f>IFERROR(__xludf.DUMMYFUNCTION("""COMPUTED_VALUE"""),2335.7)</f>
        <v>2335.7</v>
      </c>
      <c r="E106" s="16">
        <f>IFERROR(__xludf.DUMMYFUNCTION("""COMPUTED_VALUE"""),45894.6458333333)</f>
        <v>45894.6458333333</v>
      </c>
      <c r="F106" s="17">
        <f>IFERROR(__xludf.DUMMYFUNCTION("""COMPUTED_VALUE"""),542455)</f>
        <v>542455</v>
      </c>
      <c r="G106" s="16">
        <f>IFERROR(__xludf.DUMMYFUNCTION("""COMPUTED_VALUE"""),45894.6458333333)</f>
        <v>45894.6458333333</v>
      </c>
      <c r="H106" s="17">
        <f>IFERROR(__xludf.DUMMYFUNCTION("""COMPUTED_VALUE"""),2348.4)</f>
        <v>2348.4</v>
      </c>
      <c r="I106" s="16">
        <f>IFERROR(__xludf.DUMMYFUNCTION("""COMPUTED_VALUE"""),45894.6458333333)</f>
        <v>45894.6458333333</v>
      </c>
      <c r="J106" s="17">
        <f>IFERROR(__xludf.DUMMYFUNCTION("""COMPUTED_VALUE"""),2300)</f>
        <v>2300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IFERROR(__xludf.DUMMYFUNCTION("""COMPUTED_VALUE"""),2272)</f>
        <v>2272</v>
      </c>
      <c r="C107" s="16">
        <f>IFERROR(__xludf.DUMMYFUNCTION("""COMPUTED_VALUE"""),45895.6458333333)</f>
        <v>45895.6458333333</v>
      </c>
      <c r="D107" s="17">
        <f>IFERROR(__xludf.DUMMYFUNCTION("""COMPUTED_VALUE"""),2304)</f>
        <v>2304</v>
      </c>
      <c r="E107" s="16">
        <f>IFERROR(__xludf.DUMMYFUNCTION("""COMPUTED_VALUE"""),45895.6458333333)</f>
        <v>45895.6458333333</v>
      </c>
      <c r="F107" s="17">
        <f>IFERROR(__xludf.DUMMYFUNCTION("""COMPUTED_VALUE"""),1071550)</f>
        <v>1071550</v>
      </c>
      <c r="G107" s="16">
        <f>IFERROR(__xludf.DUMMYFUNCTION("""COMPUTED_VALUE"""),45895.6458333333)</f>
        <v>45895.6458333333</v>
      </c>
      <c r="H107" s="17">
        <f>IFERROR(__xludf.DUMMYFUNCTION("""COMPUTED_VALUE"""),2309.3)</f>
        <v>2309.3</v>
      </c>
      <c r="I107" s="16">
        <f>IFERROR(__xludf.DUMMYFUNCTION("""COMPUTED_VALUE"""),45895.6458333333)</f>
        <v>45895.6458333333</v>
      </c>
      <c r="J107" s="17">
        <f>IFERROR(__xludf.DUMMYFUNCTION("""COMPUTED_VALUE"""),2249.4)</f>
        <v>2249.4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IFERROR(__xludf.DUMMYFUNCTION("""COMPUTED_VALUE"""),2275.2)</f>
        <v>2275.2</v>
      </c>
      <c r="C108" s="16">
        <f>IFERROR(__xludf.DUMMYFUNCTION("""COMPUTED_VALUE"""),45897.6458333333)</f>
        <v>45897.6458333333</v>
      </c>
      <c r="D108" s="17">
        <f>IFERROR(__xludf.DUMMYFUNCTION("""COMPUTED_VALUE"""),2271.9)</f>
        <v>2271.9</v>
      </c>
      <c r="E108" s="16">
        <f>IFERROR(__xludf.DUMMYFUNCTION("""COMPUTED_VALUE"""),45897.6458333333)</f>
        <v>45897.6458333333</v>
      </c>
      <c r="F108" s="17">
        <f>IFERROR(__xludf.DUMMYFUNCTION("""COMPUTED_VALUE"""),907868)</f>
        <v>907868</v>
      </c>
      <c r="G108" s="16">
        <f>IFERROR(__xludf.DUMMYFUNCTION("""COMPUTED_VALUE"""),45897.6458333333)</f>
        <v>45897.6458333333</v>
      </c>
      <c r="H108" s="17">
        <f>IFERROR(__xludf.DUMMYFUNCTION("""COMPUTED_VALUE"""),2327.9)</f>
        <v>2327.9</v>
      </c>
      <c r="I108" s="16">
        <f>IFERROR(__xludf.DUMMYFUNCTION("""COMPUTED_VALUE"""),45897.6458333333)</f>
        <v>45897.6458333333</v>
      </c>
      <c r="J108" s="17">
        <f>IFERROR(__xludf.DUMMYFUNCTION("""COMPUTED_VALUE"""),2255)</f>
        <v>2255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IFERROR(__xludf.DUMMYFUNCTION("""COMPUTED_VALUE"""),2244.7)</f>
        <v>2244.7</v>
      </c>
      <c r="C109" s="16">
        <f>IFERROR(__xludf.DUMMYFUNCTION("""COMPUTED_VALUE"""),45898.6458333333)</f>
        <v>45898.6458333333</v>
      </c>
      <c r="D109" s="17">
        <f>IFERROR(__xludf.DUMMYFUNCTION("""COMPUTED_VALUE"""),2283)</f>
        <v>2283</v>
      </c>
      <c r="E109" s="16">
        <f>IFERROR(__xludf.DUMMYFUNCTION("""COMPUTED_VALUE"""),45898.6458333333)</f>
        <v>45898.6458333333</v>
      </c>
      <c r="F109" s="17">
        <f>IFERROR(__xludf.DUMMYFUNCTION("""COMPUTED_VALUE"""),795699)</f>
        <v>795699</v>
      </c>
      <c r="G109" s="16">
        <f>IFERROR(__xludf.DUMMYFUNCTION("""COMPUTED_VALUE"""),45898.6458333333)</f>
        <v>45898.6458333333</v>
      </c>
      <c r="H109" s="17">
        <f>IFERROR(__xludf.DUMMYFUNCTION("""COMPUTED_VALUE"""),2289.7)</f>
        <v>2289.7</v>
      </c>
      <c r="I109" s="16">
        <f>IFERROR(__xludf.DUMMYFUNCTION("""COMPUTED_VALUE"""),45898.6458333333)</f>
        <v>45898.6458333333</v>
      </c>
      <c r="J109" s="17">
        <f>IFERROR(__xludf.DUMMYFUNCTION("""COMPUTED_VALUE"""),2240)</f>
        <v>2240</v>
      </c>
      <c r="K109" s="3">
        <f t="shared" si="2"/>
        <v>0</v>
      </c>
      <c r="L109" s="3">
        <f t="shared" si="3"/>
        <v>2244.7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IFERROR(__xludf.DUMMYFUNCTION("""COMPUTED_VALUE"""),2284.2)</f>
        <v>2284.2</v>
      </c>
      <c r="C110" s="16">
        <f>IFERROR(__xludf.DUMMYFUNCTION("""COMPUTED_VALUE"""),45901.6458333333)</f>
        <v>45901.6458333333</v>
      </c>
      <c r="D110" s="17">
        <f>IFERROR(__xludf.DUMMYFUNCTION("""COMPUTED_VALUE"""),2259)</f>
        <v>2259</v>
      </c>
      <c r="E110" s="16">
        <f>IFERROR(__xludf.DUMMYFUNCTION("""COMPUTED_VALUE"""),45901.6458333333)</f>
        <v>45901.6458333333</v>
      </c>
      <c r="F110" s="17">
        <f>IFERROR(__xludf.DUMMYFUNCTION("""COMPUTED_VALUE"""),425639)</f>
        <v>425639</v>
      </c>
      <c r="G110" s="16">
        <f>IFERROR(__xludf.DUMMYFUNCTION("""COMPUTED_VALUE"""),45901.6458333333)</f>
        <v>45901.6458333333</v>
      </c>
      <c r="H110" s="17">
        <f>IFERROR(__xludf.DUMMYFUNCTION("""COMPUTED_VALUE"""),2288)</f>
        <v>2288</v>
      </c>
      <c r="I110" s="16">
        <f>IFERROR(__xludf.DUMMYFUNCTION("""COMPUTED_VALUE"""),45901.6458333333)</f>
        <v>45901.6458333333</v>
      </c>
      <c r="J110" s="17">
        <f>IFERROR(__xludf.DUMMYFUNCTION("""COMPUTED_VALUE"""),2252.1)</f>
        <v>2252.1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IFERROR(__xludf.DUMMYFUNCTION("""COMPUTED_VALUE"""),2274.2)</f>
        <v>2274.2</v>
      </c>
      <c r="C111" s="16">
        <f>IFERROR(__xludf.DUMMYFUNCTION("""COMPUTED_VALUE"""),45902.6458333333)</f>
        <v>45902.6458333333</v>
      </c>
      <c r="D111" s="17">
        <f>IFERROR(__xludf.DUMMYFUNCTION("""COMPUTED_VALUE"""),2291)</f>
        <v>2291</v>
      </c>
      <c r="E111" s="16">
        <f>IFERROR(__xludf.DUMMYFUNCTION("""COMPUTED_VALUE"""),45902.6458333333)</f>
        <v>45902.6458333333</v>
      </c>
      <c r="F111" s="17">
        <f>IFERROR(__xludf.DUMMYFUNCTION("""COMPUTED_VALUE"""),481894)</f>
        <v>481894</v>
      </c>
      <c r="G111" s="16">
        <f>IFERROR(__xludf.DUMMYFUNCTION("""COMPUTED_VALUE"""),45902.6458333333)</f>
        <v>45902.6458333333</v>
      </c>
      <c r="H111" s="17">
        <f>IFERROR(__xludf.DUMMYFUNCTION("""COMPUTED_VALUE"""),2302)</f>
        <v>2302</v>
      </c>
      <c r="I111" s="16">
        <f>IFERROR(__xludf.DUMMYFUNCTION("""COMPUTED_VALUE"""),45902.6458333333)</f>
        <v>45902.6458333333</v>
      </c>
      <c r="J111" s="17">
        <f>IFERROR(__xludf.DUMMYFUNCTION("""COMPUTED_VALUE"""),2264)</f>
        <v>2264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IFERROR(__xludf.DUMMYFUNCTION("""COMPUTED_VALUE"""),2288.7)</f>
        <v>2288.7</v>
      </c>
      <c r="C112" s="16">
        <f>IFERROR(__xludf.DUMMYFUNCTION("""COMPUTED_VALUE"""),45903.6458333333)</f>
        <v>45903.6458333333</v>
      </c>
      <c r="D112" s="17">
        <f>IFERROR(__xludf.DUMMYFUNCTION("""COMPUTED_VALUE"""),2285)</f>
        <v>2285</v>
      </c>
      <c r="E112" s="16">
        <f>IFERROR(__xludf.DUMMYFUNCTION("""COMPUTED_VALUE"""),45903.6458333333)</f>
        <v>45903.6458333333</v>
      </c>
      <c r="F112" s="17">
        <f>IFERROR(__xludf.DUMMYFUNCTION("""COMPUTED_VALUE"""),443629)</f>
        <v>443629</v>
      </c>
      <c r="G112" s="16">
        <f>IFERROR(__xludf.DUMMYFUNCTION("""COMPUTED_VALUE"""),45903.6458333333)</f>
        <v>45903.6458333333</v>
      </c>
      <c r="H112" s="17">
        <f>IFERROR(__xludf.DUMMYFUNCTION("""COMPUTED_VALUE"""),2293)</f>
        <v>2293</v>
      </c>
      <c r="I112" s="16">
        <f>IFERROR(__xludf.DUMMYFUNCTION("""COMPUTED_VALUE"""),45903.6458333333)</f>
        <v>45903.6458333333</v>
      </c>
      <c r="J112" s="17">
        <f>IFERROR(__xludf.DUMMYFUNCTION("""COMPUTED_VALUE"""),2263.1)</f>
        <v>2263.1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IFERROR(__xludf.DUMMYFUNCTION("""COMPUTED_VALUE"""),2278.8)</f>
        <v>2278.8</v>
      </c>
      <c r="C113" s="16">
        <f>IFERROR(__xludf.DUMMYFUNCTION("""COMPUTED_VALUE"""),45904.6458333333)</f>
        <v>45904.6458333333</v>
      </c>
      <c r="D113" s="17">
        <f>IFERROR(__xludf.DUMMYFUNCTION("""COMPUTED_VALUE"""),2309.9)</f>
        <v>2309.9</v>
      </c>
      <c r="E113" s="16">
        <f>IFERROR(__xludf.DUMMYFUNCTION("""COMPUTED_VALUE"""),45904.6458333333)</f>
        <v>45904.6458333333</v>
      </c>
      <c r="F113" s="17">
        <f>IFERROR(__xludf.DUMMYFUNCTION("""COMPUTED_VALUE"""),392697)</f>
        <v>392697</v>
      </c>
      <c r="G113" s="16">
        <f>IFERROR(__xludf.DUMMYFUNCTION("""COMPUTED_VALUE"""),45904.6458333333)</f>
        <v>45904.6458333333</v>
      </c>
      <c r="H113" s="17">
        <f>IFERROR(__xludf.DUMMYFUNCTION("""COMPUTED_VALUE"""),2317.3)</f>
        <v>2317.3</v>
      </c>
      <c r="I113" s="16">
        <f>IFERROR(__xludf.DUMMYFUNCTION("""COMPUTED_VALUE"""),45904.6458333333)</f>
        <v>45904.6458333333</v>
      </c>
      <c r="J113" s="17">
        <f>IFERROR(__xludf.DUMMYFUNCTION("""COMPUTED_VALUE"""),2275)</f>
        <v>2275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IFERROR(__xludf.DUMMYFUNCTION("""COMPUTED_VALUE"""),2281.4)</f>
        <v>2281.4</v>
      </c>
      <c r="C114" s="16">
        <f>IFERROR(__xludf.DUMMYFUNCTION("""COMPUTED_VALUE"""),45905.6458333333)</f>
        <v>45905.6458333333</v>
      </c>
      <c r="D114" s="17">
        <f>IFERROR(__xludf.DUMMYFUNCTION("""COMPUTED_VALUE"""),2275)</f>
        <v>2275</v>
      </c>
      <c r="E114" s="16">
        <f>IFERROR(__xludf.DUMMYFUNCTION("""COMPUTED_VALUE"""),45905.6458333333)</f>
        <v>45905.6458333333</v>
      </c>
      <c r="F114" s="17">
        <f>IFERROR(__xludf.DUMMYFUNCTION("""COMPUTED_VALUE"""),443010)</f>
        <v>443010</v>
      </c>
      <c r="G114" s="16">
        <f>IFERROR(__xludf.DUMMYFUNCTION("""COMPUTED_VALUE"""),45905.6458333333)</f>
        <v>45905.6458333333</v>
      </c>
      <c r="H114" s="17">
        <f>IFERROR(__xludf.DUMMYFUNCTION("""COMPUTED_VALUE"""),2293.5)</f>
        <v>2293.5</v>
      </c>
      <c r="I114" s="16">
        <f>IFERROR(__xludf.DUMMYFUNCTION("""COMPUTED_VALUE"""),45905.6458333333)</f>
        <v>45905.6458333333</v>
      </c>
      <c r="J114" s="17">
        <f>IFERROR(__xludf.DUMMYFUNCTION("""COMPUTED_VALUE"""),2248)</f>
        <v>2248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IFERROR(__xludf.DUMMYFUNCTION("""COMPUTED_VALUE"""),2310.9)</f>
        <v>2310.9</v>
      </c>
      <c r="C115" s="16">
        <f>IFERROR(__xludf.DUMMYFUNCTION("""COMPUTED_VALUE"""),45908.6458333333)</f>
        <v>45908.6458333333</v>
      </c>
      <c r="D115" s="17">
        <f>IFERROR(__xludf.DUMMYFUNCTION("""COMPUTED_VALUE"""),2290)</f>
        <v>2290</v>
      </c>
      <c r="E115" s="16">
        <f>IFERROR(__xludf.DUMMYFUNCTION("""COMPUTED_VALUE"""),45908.6458333333)</f>
        <v>45908.6458333333</v>
      </c>
      <c r="F115" s="17">
        <f>IFERROR(__xludf.DUMMYFUNCTION("""COMPUTED_VALUE"""),542811)</f>
        <v>542811</v>
      </c>
      <c r="G115" s="16">
        <f>IFERROR(__xludf.DUMMYFUNCTION("""COMPUTED_VALUE"""),45908.6458333333)</f>
        <v>45908.6458333333</v>
      </c>
      <c r="H115" s="17">
        <f>IFERROR(__xludf.DUMMYFUNCTION("""COMPUTED_VALUE"""),2333.9)</f>
        <v>2333.9</v>
      </c>
      <c r="I115" s="16">
        <f>IFERROR(__xludf.DUMMYFUNCTION("""COMPUTED_VALUE"""),45908.6458333333)</f>
        <v>45908.6458333333</v>
      </c>
      <c r="J115" s="17">
        <f>IFERROR(__xludf.DUMMYFUNCTION("""COMPUTED_VALUE"""),2286)</f>
        <v>2286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IFERROR(__xludf.DUMMYFUNCTION("""COMPUTED_VALUE"""),2311.6)</f>
        <v>2311.6</v>
      </c>
      <c r="C116" s="16">
        <f>IFERROR(__xludf.DUMMYFUNCTION("""COMPUTED_VALUE"""),45909.6458333333)</f>
        <v>45909.6458333333</v>
      </c>
      <c r="D116" s="17">
        <f>IFERROR(__xludf.DUMMYFUNCTION("""COMPUTED_VALUE"""),2320)</f>
        <v>2320</v>
      </c>
      <c r="E116" s="16">
        <f>IFERROR(__xludf.DUMMYFUNCTION("""COMPUTED_VALUE"""),45909.6458333333)</f>
        <v>45909.6458333333</v>
      </c>
      <c r="F116" s="17">
        <f>IFERROR(__xludf.DUMMYFUNCTION("""COMPUTED_VALUE"""),369431)</f>
        <v>369431</v>
      </c>
      <c r="G116" s="16">
        <f>IFERROR(__xludf.DUMMYFUNCTION("""COMPUTED_VALUE"""),45909.6458333333)</f>
        <v>45909.6458333333</v>
      </c>
      <c r="H116" s="17">
        <f>IFERROR(__xludf.DUMMYFUNCTION("""COMPUTED_VALUE"""),2325)</f>
        <v>2325</v>
      </c>
      <c r="I116" s="16">
        <f>IFERROR(__xludf.DUMMYFUNCTION("""COMPUTED_VALUE"""),45909.6458333333)</f>
        <v>45909.6458333333</v>
      </c>
      <c r="J116" s="17">
        <f>IFERROR(__xludf.DUMMYFUNCTION("""COMPUTED_VALUE"""),2297)</f>
        <v>2297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IFERROR(__xludf.DUMMYFUNCTION("""COMPUTED_VALUE"""),2340.2)</f>
        <v>2340.2</v>
      </c>
      <c r="C117" s="16">
        <f>IFERROR(__xludf.DUMMYFUNCTION("""COMPUTED_VALUE"""),45910.6458333333)</f>
        <v>45910.6458333333</v>
      </c>
      <c r="D117" s="17">
        <f>IFERROR(__xludf.DUMMYFUNCTION("""COMPUTED_VALUE"""),2330)</f>
        <v>2330</v>
      </c>
      <c r="E117" s="16">
        <f>IFERROR(__xludf.DUMMYFUNCTION("""COMPUTED_VALUE"""),45910.6458333333)</f>
        <v>45910.6458333333</v>
      </c>
      <c r="F117" s="17">
        <f>IFERROR(__xludf.DUMMYFUNCTION("""COMPUTED_VALUE"""),390490)</f>
        <v>390490</v>
      </c>
      <c r="G117" s="16">
        <f>IFERROR(__xludf.DUMMYFUNCTION("""COMPUTED_VALUE"""),45910.6458333333)</f>
        <v>45910.6458333333</v>
      </c>
      <c r="H117" s="17">
        <f>IFERROR(__xludf.DUMMYFUNCTION("""COMPUTED_VALUE"""),2345.9)</f>
        <v>2345.9</v>
      </c>
      <c r="I117" s="16">
        <f>IFERROR(__xludf.DUMMYFUNCTION("""COMPUTED_VALUE"""),45910.6458333333)</f>
        <v>45910.6458333333</v>
      </c>
      <c r="J117" s="17">
        <f>IFERROR(__xludf.DUMMYFUNCTION("""COMPUTED_VALUE"""),2325.1)</f>
        <v>2325.1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IFERROR(__xludf.DUMMYFUNCTION("""COMPUTED_VALUE"""),2398.8)</f>
        <v>2398.8</v>
      </c>
      <c r="C118" s="16">
        <f>IFERROR(__xludf.DUMMYFUNCTION("""COMPUTED_VALUE"""),45911.6458333333)</f>
        <v>45911.6458333333</v>
      </c>
      <c r="D118" s="17">
        <f>IFERROR(__xludf.DUMMYFUNCTION("""COMPUTED_VALUE"""),2348)</f>
        <v>2348</v>
      </c>
      <c r="E118" s="16">
        <f>IFERROR(__xludf.DUMMYFUNCTION("""COMPUTED_VALUE"""),45911.6458333333)</f>
        <v>45911.6458333333</v>
      </c>
      <c r="F118" s="17">
        <f>IFERROR(__xludf.DUMMYFUNCTION("""COMPUTED_VALUE"""),2111888)</f>
        <v>2111888</v>
      </c>
      <c r="G118" s="16">
        <f>IFERROR(__xludf.DUMMYFUNCTION("""COMPUTED_VALUE"""),45911.6458333333)</f>
        <v>45911.6458333333</v>
      </c>
      <c r="H118" s="17">
        <f>IFERROR(__xludf.DUMMYFUNCTION("""COMPUTED_VALUE"""),2418.7)</f>
        <v>2418.7</v>
      </c>
      <c r="I118" s="16">
        <f>IFERROR(__xludf.DUMMYFUNCTION("""COMPUTED_VALUE"""),45911.6458333333)</f>
        <v>45911.6458333333</v>
      </c>
      <c r="J118" s="17">
        <f>IFERROR(__xludf.DUMMYFUNCTION("""COMPUTED_VALUE"""),2340.2)</f>
        <v>2340.2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IFERROR(__xludf.DUMMYFUNCTION("""COMPUTED_VALUE"""),2392)</f>
        <v>2392</v>
      </c>
      <c r="C119" s="16">
        <f>IFERROR(__xludf.DUMMYFUNCTION("""COMPUTED_VALUE"""),45912.6458333333)</f>
        <v>45912.6458333333</v>
      </c>
      <c r="D119" s="17">
        <f>IFERROR(__xludf.DUMMYFUNCTION("""COMPUTED_VALUE"""),2416.9)</f>
        <v>2416.9</v>
      </c>
      <c r="E119" s="16">
        <f>IFERROR(__xludf.DUMMYFUNCTION("""COMPUTED_VALUE"""),45912.6458333333)</f>
        <v>45912.6458333333</v>
      </c>
      <c r="F119" s="17">
        <f>IFERROR(__xludf.DUMMYFUNCTION("""COMPUTED_VALUE"""),533971)</f>
        <v>533971</v>
      </c>
      <c r="G119" s="16">
        <f>IFERROR(__xludf.DUMMYFUNCTION("""COMPUTED_VALUE"""),45912.6458333333)</f>
        <v>45912.6458333333</v>
      </c>
      <c r="H119" s="17">
        <f>IFERROR(__xludf.DUMMYFUNCTION("""COMPUTED_VALUE"""),2421.6)</f>
        <v>2421.6</v>
      </c>
      <c r="I119" s="16">
        <f>IFERROR(__xludf.DUMMYFUNCTION("""COMPUTED_VALUE"""),45912.6458333333)</f>
        <v>45912.6458333333</v>
      </c>
      <c r="J119" s="17">
        <f>IFERROR(__xludf.DUMMYFUNCTION("""COMPUTED_VALUE"""),2387.1)</f>
        <v>2387.1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IFERROR(__xludf.DUMMYFUNCTION("""COMPUTED_VALUE"""),2383.4)</f>
        <v>2383.4</v>
      </c>
      <c r="C120" s="16">
        <f>IFERROR(__xludf.DUMMYFUNCTION("""COMPUTED_VALUE"""),45915.6458333333)</f>
        <v>45915.6458333333</v>
      </c>
      <c r="D120" s="17">
        <f>IFERROR(__xludf.DUMMYFUNCTION("""COMPUTED_VALUE"""),2392)</f>
        <v>2392</v>
      </c>
      <c r="E120" s="16">
        <f>IFERROR(__xludf.DUMMYFUNCTION("""COMPUTED_VALUE"""),45915.6458333333)</f>
        <v>45915.6458333333</v>
      </c>
      <c r="F120" s="17">
        <f>IFERROR(__xludf.DUMMYFUNCTION("""COMPUTED_VALUE"""),298129)</f>
        <v>298129</v>
      </c>
      <c r="G120" s="16">
        <f>IFERROR(__xludf.DUMMYFUNCTION("""COMPUTED_VALUE"""),45915.6458333333)</f>
        <v>45915.6458333333</v>
      </c>
      <c r="H120" s="17">
        <f>IFERROR(__xludf.DUMMYFUNCTION("""COMPUTED_VALUE"""),2402.8)</f>
        <v>2402.8</v>
      </c>
      <c r="I120" s="16">
        <f>IFERROR(__xludf.DUMMYFUNCTION("""COMPUTED_VALUE"""),45915.6458333333)</f>
        <v>45915.6458333333</v>
      </c>
      <c r="J120" s="17">
        <f>IFERROR(__xludf.DUMMYFUNCTION("""COMPUTED_VALUE"""),2378.1)</f>
        <v>2378.1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IFERROR(__xludf.DUMMYFUNCTION("""COMPUTED_VALUE"""),2399.4)</f>
        <v>2399.4</v>
      </c>
      <c r="C121" s="16">
        <f>IFERROR(__xludf.DUMMYFUNCTION("""COMPUTED_VALUE"""),45916.6458333333)</f>
        <v>45916.6458333333</v>
      </c>
      <c r="D121" s="17">
        <f>IFERROR(__xludf.DUMMYFUNCTION("""COMPUTED_VALUE"""),2410)</f>
        <v>2410</v>
      </c>
      <c r="E121" s="16">
        <f>IFERROR(__xludf.DUMMYFUNCTION("""COMPUTED_VALUE"""),45916.6458333333)</f>
        <v>45916.6458333333</v>
      </c>
      <c r="F121" s="17">
        <f>IFERROR(__xludf.DUMMYFUNCTION("""COMPUTED_VALUE"""),752979)</f>
        <v>752979</v>
      </c>
      <c r="G121" s="16">
        <f>IFERROR(__xludf.DUMMYFUNCTION("""COMPUTED_VALUE"""),45916.6458333333)</f>
        <v>45916.6458333333</v>
      </c>
      <c r="H121" s="17">
        <f>IFERROR(__xludf.DUMMYFUNCTION("""COMPUTED_VALUE"""),2415.8)</f>
        <v>2415.8</v>
      </c>
      <c r="I121" s="16">
        <f>IFERROR(__xludf.DUMMYFUNCTION("""COMPUTED_VALUE"""),45916.6458333333)</f>
        <v>45916.6458333333</v>
      </c>
      <c r="J121" s="17">
        <f>IFERROR(__xludf.DUMMYFUNCTION("""COMPUTED_VALUE"""),2388)</f>
        <v>2388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IFERROR(__xludf.DUMMYFUNCTION("""COMPUTED_VALUE"""),2402)</f>
        <v>2402</v>
      </c>
      <c r="C122" s="16">
        <f>IFERROR(__xludf.DUMMYFUNCTION("""COMPUTED_VALUE"""),45917.6458333333)</f>
        <v>45917.6458333333</v>
      </c>
      <c r="D122" s="17">
        <f>IFERROR(__xludf.DUMMYFUNCTION("""COMPUTED_VALUE"""),2417)</f>
        <v>2417</v>
      </c>
      <c r="E122" s="16">
        <f>IFERROR(__xludf.DUMMYFUNCTION("""COMPUTED_VALUE"""),45917.6458333333)</f>
        <v>45917.6458333333</v>
      </c>
      <c r="F122" s="17">
        <f>IFERROR(__xludf.DUMMYFUNCTION("""COMPUTED_VALUE"""),514354)</f>
        <v>514354</v>
      </c>
      <c r="G122" s="16">
        <f>IFERROR(__xludf.DUMMYFUNCTION("""COMPUTED_VALUE"""),45917.6458333333)</f>
        <v>45917.6458333333</v>
      </c>
      <c r="H122" s="17">
        <f>IFERROR(__xludf.DUMMYFUNCTION("""COMPUTED_VALUE"""),2417)</f>
        <v>2417</v>
      </c>
      <c r="I122" s="16">
        <f>IFERROR(__xludf.DUMMYFUNCTION("""COMPUTED_VALUE"""),45917.6458333333)</f>
        <v>45917.6458333333</v>
      </c>
      <c r="J122" s="17">
        <f>IFERROR(__xludf.DUMMYFUNCTION("""COMPUTED_VALUE"""),2391)</f>
        <v>2391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IFERROR(__xludf.DUMMYFUNCTION("""COMPUTED_VALUE"""),2402)</f>
        <v>2402</v>
      </c>
      <c r="C123" s="16">
        <f>IFERROR(__xludf.DUMMYFUNCTION("""COMPUTED_VALUE"""),45918.6458333333)</f>
        <v>45918.6458333333</v>
      </c>
      <c r="D123" s="17">
        <f>IFERROR(__xludf.DUMMYFUNCTION("""COMPUTED_VALUE"""),2414.5)</f>
        <v>2414.5</v>
      </c>
      <c r="E123" s="16">
        <f>IFERROR(__xludf.DUMMYFUNCTION("""COMPUTED_VALUE"""),45918.6458333333)</f>
        <v>45918.6458333333</v>
      </c>
      <c r="F123" s="17">
        <f>IFERROR(__xludf.DUMMYFUNCTION("""COMPUTED_VALUE"""),703730)</f>
        <v>703730</v>
      </c>
      <c r="G123" s="16">
        <f>IFERROR(__xludf.DUMMYFUNCTION("""COMPUTED_VALUE"""),45918.6458333333)</f>
        <v>45918.6458333333</v>
      </c>
      <c r="H123" s="17">
        <f>IFERROR(__xludf.DUMMYFUNCTION("""COMPUTED_VALUE"""),2438)</f>
        <v>2438</v>
      </c>
      <c r="I123" s="16">
        <f>IFERROR(__xludf.DUMMYFUNCTION("""COMPUTED_VALUE"""),45918.6458333333)</f>
        <v>45918.6458333333</v>
      </c>
      <c r="J123" s="17">
        <f>IFERROR(__xludf.DUMMYFUNCTION("""COMPUTED_VALUE"""),2388.4)</f>
        <v>2388.4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IFERROR(__xludf.DUMMYFUNCTION("""COMPUTED_VALUE"""),2524)</f>
        <v>2524</v>
      </c>
      <c r="C124" s="16">
        <f>IFERROR(__xludf.DUMMYFUNCTION("""COMPUTED_VALUE"""),45919.6458333333)</f>
        <v>45919.6458333333</v>
      </c>
      <c r="D124" s="17">
        <f>IFERROR(__xludf.DUMMYFUNCTION("""COMPUTED_VALUE"""),2495)</f>
        <v>2495</v>
      </c>
      <c r="E124" s="16">
        <f>IFERROR(__xludf.DUMMYFUNCTION("""COMPUTED_VALUE"""),45919.6458333333)</f>
        <v>45919.6458333333</v>
      </c>
      <c r="F124" s="17">
        <f>IFERROR(__xludf.DUMMYFUNCTION("""COMPUTED_VALUE"""),7965135)</f>
        <v>7965135</v>
      </c>
      <c r="G124" s="16">
        <f>IFERROR(__xludf.DUMMYFUNCTION("""COMPUTED_VALUE"""),45919.6458333333)</f>
        <v>45919.6458333333</v>
      </c>
      <c r="H124" s="17">
        <f>IFERROR(__xludf.DUMMYFUNCTION("""COMPUTED_VALUE"""),2579)</f>
        <v>2579</v>
      </c>
      <c r="I124" s="16">
        <f>IFERROR(__xludf.DUMMYFUNCTION("""COMPUTED_VALUE"""),45919.6458333333)</f>
        <v>45919.6458333333</v>
      </c>
      <c r="J124" s="17">
        <f>IFERROR(__xludf.DUMMYFUNCTION("""COMPUTED_VALUE"""),2466.1)</f>
        <v>2466.1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IFERROR(__xludf.DUMMYFUNCTION("""COMPUTED_VALUE"""),2629.5)</f>
        <v>2629.5</v>
      </c>
      <c r="C125" s="16">
        <f>IFERROR(__xludf.DUMMYFUNCTION("""COMPUTED_VALUE"""),45922.6458333333)</f>
        <v>45922.6458333333</v>
      </c>
      <c r="D125" s="17">
        <f>IFERROR(__xludf.DUMMYFUNCTION("""COMPUTED_VALUE"""),2535)</f>
        <v>2535</v>
      </c>
      <c r="E125" s="16">
        <f>IFERROR(__xludf.DUMMYFUNCTION("""COMPUTED_VALUE"""),45922.6458333333)</f>
        <v>45922.6458333333</v>
      </c>
      <c r="F125" s="17">
        <f>IFERROR(__xludf.DUMMYFUNCTION("""COMPUTED_VALUE"""),7022985)</f>
        <v>7022985</v>
      </c>
      <c r="G125" s="16">
        <f>IFERROR(__xludf.DUMMYFUNCTION("""COMPUTED_VALUE"""),45922.6458333333)</f>
        <v>45922.6458333333</v>
      </c>
      <c r="H125" s="17">
        <f>IFERROR(__xludf.DUMMYFUNCTION("""COMPUTED_VALUE"""),2659)</f>
        <v>2659</v>
      </c>
      <c r="I125" s="16">
        <f>IFERROR(__xludf.DUMMYFUNCTION("""COMPUTED_VALUE"""),45922.6458333333)</f>
        <v>45922.6458333333</v>
      </c>
      <c r="J125" s="17">
        <f>IFERROR(__xludf.DUMMYFUNCTION("""COMPUTED_VALUE"""),2522.1)</f>
        <v>2522.1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IFERROR(__xludf.DUMMYFUNCTION("""COMPUTED_VALUE"""),2676.4)</f>
        <v>2676.4</v>
      </c>
      <c r="C126" s="16">
        <f>IFERROR(__xludf.DUMMYFUNCTION("""COMPUTED_VALUE"""),45923.6458333333)</f>
        <v>45923.6458333333</v>
      </c>
      <c r="D126" s="17">
        <f>IFERROR(__xludf.DUMMYFUNCTION("""COMPUTED_VALUE"""),2642.6)</f>
        <v>2642.6</v>
      </c>
      <c r="E126" s="16">
        <f>IFERROR(__xludf.DUMMYFUNCTION("""COMPUTED_VALUE"""),45923.6458333333)</f>
        <v>45923.6458333333</v>
      </c>
      <c r="F126" s="17">
        <f>IFERROR(__xludf.DUMMYFUNCTION("""COMPUTED_VALUE"""),5610022)</f>
        <v>5610022</v>
      </c>
      <c r="G126" s="16">
        <f>IFERROR(__xludf.DUMMYFUNCTION("""COMPUTED_VALUE"""),45923.6458333333)</f>
        <v>45923.6458333333</v>
      </c>
      <c r="H126" s="17">
        <f>IFERROR(__xludf.DUMMYFUNCTION("""COMPUTED_VALUE"""),2695)</f>
        <v>2695</v>
      </c>
      <c r="I126" s="16">
        <f>IFERROR(__xludf.DUMMYFUNCTION("""COMPUTED_VALUE"""),45923.6458333333)</f>
        <v>45923.6458333333</v>
      </c>
      <c r="J126" s="17">
        <f>IFERROR(__xludf.DUMMYFUNCTION("""COMPUTED_VALUE"""),2593)</f>
        <v>2593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IFERROR(__xludf.DUMMYFUNCTION("""COMPUTED_VALUE"""),2619.8)</f>
        <v>2619.8</v>
      </c>
      <c r="C127" s="16">
        <f>IFERROR(__xludf.DUMMYFUNCTION("""COMPUTED_VALUE"""),45924.6458333333)</f>
        <v>45924.6458333333</v>
      </c>
      <c r="D127" s="17">
        <f>IFERROR(__xludf.DUMMYFUNCTION("""COMPUTED_VALUE"""),2655)</f>
        <v>2655</v>
      </c>
      <c r="E127" s="16">
        <f>IFERROR(__xludf.DUMMYFUNCTION("""COMPUTED_VALUE"""),45924.6458333333)</f>
        <v>45924.6458333333</v>
      </c>
      <c r="F127" s="17">
        <f>IFERROR(__xludf.DUMMYFUNCTION("""COMPUTED_VALUE"""),1720785)</f>
        <v>1720785</v>
      </c>
      <c r="G127" s="16">
        <f>IFERROR(__xludf.DUMMYFUNCTION("""COMPUTED_VALUE"""),45924.6458333333)</f>
        <v>45924.6458333333</v>
      </c>
      <c r="H127" s="17">
        <f>IFERROR(__xludf.DUMMYFUNCTION("""COMPUTED_VALUE"""),2676)</f>
        <v>2676</v>
      </c>
      <c r="I127" s="16">
        <f>IFERROR(__xludf.DUMMYFUNCTION("""COMPUTED_VALUE"""),45924.6458333333)</f>
        <v>45924.6458333333</v>
      </c>
      <c r="J127" s="17">
        <f>IFERROR(__xludf.DUMMYFUNCTION("""COMPUTED_VALUE"""),2614.4)</f>
        <v>2614.4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IFERROR(__xludf.DUMMYFUNCTION("""COMPUTED_VALUE"""),2576.4)</f>
        <v>2576.4</v>
      </c>
      <c r="C128" s="16">
        <f>IFERROR(__xludf.DUMMYFUNCTION("""COMPUTED_VALUE"""),45925.6458333333)</f>
        <v>45925.6458333333</v>
      </c>
      <c r="D128" s="17">
        <f>IFERROR(__xludf.DUMMYFUNCTION("""COMPUTED_VALUE"""),2625)</f>
        <v>2625</v>
      </c>
      <c r="E128" s="16">
        <f>IFERROR(__xludf.DUMMYFUNCTION("""COMPUTED_VALUE"""),45925.6458333333)</f>
        <v>45925.6458333333</v>
      </c>
      <c r="F128" s="17">
        <f>IFERROR(__xludf.DUMMYFUNCTION("""COMPUTED_VALUE"""),1489682)</f>
        <v>1489682</v>
      </c>
      <c r="G128" s="16">
        <f>IFERROR(__xludf.DUMMYFUNCTION("""COMPUTED_VALUE"""),45925.6458333333)</f>
        <v>45925.6458333333</v>
      </c>
      <c r="H128" s="17">
        <f>IFERROR(__xludf.DUMMYFUNCTION("""COMPUTED_VALUE"""),2647.9)</f>
        <v>2647.9</v>
      </c>
      <c r="I128" s="16">
        <f>IFERROR(__xludf.DUMMYFUNCTION("""COMPUTED_VALUE"""),45925.6458333333)</f>
        <v>45925.6458333333</v>
      </c>
      <c r="J128" s="17">
        <f>IFERROR(__xludf.DUMMYFUNCTION("""COMPUTED_VALUE"""),2567)</f>
        <v>2567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IFERROR(__xludf.DUMMYFUNCTION("""COMPUTED_VALUE"""),2543.7)</f>
        <v>2543.7</v>
      </c>
      <c r="C129" s="16">
        <f>IFERROR(__xludf.DUMMYFUNCTION("""COMPUTED_VALUE"""),45926.6458333333)</f>
        <v>45926.6458333333</v>
      </c>
      <c r="D129" s="17">
        <f>IFERROR(__xludf.DUMMYFUNCTION("""COMPUTED_VALUE"""),2572.8)</f>
        <v>2572.8</v>
      </c>
      <c r="E129" s="16">
        <f>IFERROR(__xludf.DUMMYFUNCTION("""COMPUTED_VALUE"""),45926.6458333333)</f>
        <v>45926.6458333333</v>
      </c>
      <c r="F129" s="17">
        <f>IFERROR(__xludf.DUMMYFUNCTION("""COMPUTED_VALUE"""),1037808)</f>
        <v>1037808</v>
      </c>
      <c r="G129" s="16">
        <f>IFERROR(__xludf.DUMMYFUNCTION("""COMPUTED_VALUE"""),45926.6458333333)</f>
        <v>45926.6458333333</v>
      </c>
      <c r="H129" s="17">
        <f>IFERROR(__xludf.DUMMYFUNCTION("""COMPUTED_VALUE"""),2605)</f>
        <v>2605</v>
      </c>
      <c r="I129" s="16">
        <f>IFERROR(__xludf.DUMMYFUNCTION("""COMPUTED_VALUE"""),45926.6458333333)</f>
        <v>45926.6458333333</v>
      </c>
      <c r="J129" s="17">
        <f>IFERROR(__xludf.DUMMYFUNCTION("""COMPUTED_VALUE"""),2535)</f>
        <v>2535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267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""price"")"),2535.6)</f>
        <v>2535.6</v>
      </c>
      <c r="I3" s="22" t="s">
        <v>269</v>
      </c>
      <c r="J3" s="23">
        <f>IFERROR(__xludf.DUMMYFUNCTION("GOOGLEFINANCE(L3, ""volume"")"),1037808)</f>
        <v>1037808</v>
      </c>
      <c r="K3" s="24" t="s">
        <v>270</v>
      </c>
      <c r="L3" s="25" t="str">
        <f>Mastersheet!B3</f>
        <v>ADANIENT</v>
      </c>
      <c r="M3" s="26">
        <f>IFERROR(__xludf.DUMMYFUNCTION("""COMPUTED_VALUE"""),45926.6458333333)</f>
        <v>45926.6458333333</v>
      </c>
      <c r="N3" s="27">
        <f>IFERROR(__xludf.DUMMYFUNCTION("""COMPUTED_VALUE"""),2543.7)</f>
        <v>2543.7</v>
      </c>
      <c r="O3" s="26">
        <f>IFERROR(__xludf.DUMMYFUNCTION("""COMPUTED_VALUE"""),45926.6458333333)</f>
        <v>45926.6458333333</v>
      </c>
      <c r="P3" s="27">
        <f>IFERROR(__xludf.DUMMYFUNCTION("""COMPUTED_VALUE"""),2572.8)</f>
        <v>2572.8</v>
      </c>
      <c r="Q3" s="16">
        <f>IFERROR(__xludf.DUMMYFUNCTION("""COMPUTED_VALUE"""),45926.6458333333)</f>
        <v>45926.6458333333</v>
      </c>
      <c r="R3" s="17">
        <f>IFERROR(__xludf.DUMMYFUNCTION("""COMPUTED_VALUE"""),2605)</f>
        <v>2605</v>
      </c>
      <c r="S3" s="16">
        <f>IFERROR(__xludf.DUMMYFUNCTION("""COMPUTED_VALUE"""),45926.6458333333)</f>
        <v>45926.6458333333</v>
      </c>
      <c r="T3" s="17">
        <f>IFERROR(__xludf.DUMMYFUNCTION("""COMPUTED_VALUE"""),2535)</f>
        <v>2535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IFERROR(__xludf.DUMMYFUNCTION("""COMPUTED_VALUE"""),2363.35)</f>
        <v>2363.35</v>
      </c>
      <c r="C5" s="14">
        <f>IFERROR(__xludf.DUMMYFUNCTION("""COMPUTED_VALUE"""),45743.6458333333)</f>
        <v>45743.6458333333</v>
      </c>
      <c r="D5" s="15">
        <f>IFERROR(__xludf.DUMMYFUNCTION("""COMPUTED_VALUE"""),2310)</f>
        <v>2310</v>
      </c>
      <c r="E5" s="14">
        <f>IFERROR(__xludf.DUMMYFUNCTION("""COMPUTED_VALUE"""),45743.6458333333)</f>
        <v>45743.6458333333</v>
      </c>
      <c r="F5" s="15">
        <f>IFERROR(__xludf.DUMMYFUNCTION("""COMPUTED_VALUE"""),1696042)</f>
        <v>1696042</v>
      </c>
      <c r="G5" s="14">
        <f>IFERROR(__xludf.DUMMYFUNCTION("""COMPUTED_VALUE"""),45743.6458333333)</f>
        <v>45743.6458333333</v>
      </c>
      <c r="H5" s="15">
        <f>IFERROR(__xludf.DUMMYFUNCTION("""COMPUTED_VALUE"""),2373.9)</f>
        <v>2373.9</v>
      </c>
      <c r="I5" s="30">
        <f>IFERROR(__xludf.DUMMYFUNCTION("""COMPUTED_VALUE"""),45743.6458333333)</f>
        <v>45743.6458333333</v>
      </c>
      <c r="J5" s="3">
        <f>IFERROR(__xludf.DUMMYFUNCTION("""COMPUTED_VALUE"""),2291.6)</f>
        <v>2291.6</v>
      </c>
      <c r="K5" s="5"/>
      <c r="L5" s="5"/>
      <c r="M5" s="3">
        <f t="array" ref="M5">INDEX(K11:K124,MATCH(SMALL(ABS(K11:K124-H3),1),ABS(K11:K124-H3),0))</f>
        <v>2555</v>
      </c>
      <c r="N5" s="3">
        <f t="array" ref="N5">INDEX(K11:K124,MATCH(SMALL(ABS(K11:K124-H3),2),ABS(K11:K124-H3),0))</f>
        <v>2613.1</v>
      </c>
      <c r="O5" s="3">
        <f t="array" ref="O5">INDEX(L11:L124,MATCH(SMALL(ABS(L11:L124-H3),1),ABS(L11:L124-H3),0))</f>
        <v>2558.7</v>
      </c>
      <c r="P5" s="3">
        <f t="array" ref="P5">INDEX(L11:L124,MATCH(SMALL(ABS(L11:L124-H3),2),ABS(L11:L124-H3),0))</f>
        <v>2470.9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2442.8</v>
      </c>
      <c r="T5" s="17">
        <f ca="1">IF(AND(H3&gt;=Mastersheet!I3*S5,H3&lt;=Mastersheet!J3*S5),1,0)</f>
        <v>0</v>
      </c>
      <c r="U5" s="36">
        <f>(N3+P3)/2</f>
        <v>2558.25</v>
      </c>
      <c r="V5" s="17">
        <f>(N3+P3+R3+T3)/4</f>
        <v>2564.125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IFERROR(__xludf.DUMMYFUNCTION("""COMPUTED_VALUE"""),2315.8)</f>
        <v>2315.8</v>
      </c>
      <c r="C6" s="16">
        <f>IFERROR(__xludf.DUMMYFUNCTION("""COMPUTED_VALUE"""),45744.6458333333)</f>
        <v>45744.6458333333</v>
      </c>
      <c r="D6" s="17">
        <f>IFERROR(__xludf.DUMMYFUNCTION("""COMPUTED_VALUE"""),2376)</f>
        <v>2376</v>
      </c>
      <c r="E6" s="16">
        <f>IFERROR(__xludf.DUMMYFUNCTION("""COMPUTED_VALUE"""),45744.6458333333)</f>
        <v>45744.6458333333</v>
      </c>
      <c r="F6" s="17">
        <f>IFERROR(__xludf.DUMMYFUNCTION("""COMPUTED_VALUE"""),1838836)</f>
        <v>1838836</v>
      </c>
      <c r="G6" s="16">
        <f>IFERROR(__xludf.DUMMYFUNCTION("""COMPUTED_VALUE"""),45744.6458333333)</f>
        <v>45744.6458333333</v>
      </c>
      <c r="H6" s="17">
        <f>IFERROR(__xludf.DUMMYFUNCTION("""COMPUTED_VALUE"""),2386.95)</f>
        <v>2386.95</v>
      </c>
      <c r="I6" s="16">
        <f>IFERROR(__xludf.DUMMYFUNCTION("""COMPUTED_VALUE"""),45744.6458333333)</f>
        <v>45744.6458333333</v>
      </c>
      <c r="J6" s="17">
        <f>IFERROR(__xludf.DUMMYFUNCTION("""COMPUTED_VALUE"""),2293.7)</f>
        <v>2293.7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IFERROR(__xludf.DUMMYFUNCTION("""COMPUTED_VALUE"""),2335.25)</f>
        <v>2335.25</v>
      </c>
      <c r="C7" s="16">
        <f>IFERROR(__xludf.DUMMYFUNCTION("""COMPUTED_VALUE"""),45748.6458333333)</f>
        <v>45748.6458333333</v>
      </c>
      <c r="D7" s="17">
        <f>IFERROR(__xludf.DUMMYFUNCTION("""COMPUTED_VALUE"""),2312)</f>
        <v>2312</v>
      </c>
      <c r="E7" s="16">
        <f>IFERROR(__xludf.DUMMYFUNCTION("""COMPUTED_VALUE"""),45748.6458333333)</f>
        <v>45748.6458333333</v>
      </c>
      <c r="F7" s="17">
        <f>IFERROR(__xludf.DUMMYFUNCTION("""COMPUTED_VALUE"""),501942)</f>
        <v>501942</v>
      </c>
      <c r="G7" s="16">
        <f>IFERROR(__xludf.DUMMYFUNCTION("""COMPUTED_VALUE"""),45748.6458333333)</f>
        <v>45748.6458333333</v>
      </c>
      <c r="H7" s="17">
        <f>IFERROR(__xludf.DUMMYFUNCTION("""COMPUTED_VALUE"""),2358.95)</f>
        <v>2358.95</v>
      </c>
      <c r="I7" s="16">
        <f>IFERROR(__xludf.DUMMYFUNCTION("""COMPUTED_VALUE"""),45748.6458333333)</f>
        <v>45748.6458333333</v>
      </c>
      <c r="J7" s="17">
        <f>IFERROR(__xludf.DUMMYFUNCTION("""COMPUTED_VALUE"""),2301)</f>
        <v>2301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IFERROR(__xludf.DUMMYFUNCTION("""COMPUTED_VALUE"""),2369.4)</f>
        <v>2369.4</v>
      </c>
      <c r="C8" s="16">
        <f>IFERROR(__xludf.DUMMYFUNCTION("""COMPUTED_VALUE"""),45749.6458333333)</f>
        <v>45749.6458333333</v>
      </c>
      <c r="D8" s="17">
        <f>IFERROR(__xludf.DUMMYFUNCTION("""COMPUTED_VALUE"""),2339.75)</f>
        <v>2339.75</v>
      </c>
      <c r="E8" s="16">
        <f>IFERROR(__xludf.DUMMYFUNCTION("""COMPUTED_VALUE"""),45749.6458333333)</f>
        <v>45749.6458333333</v>
      </c>
      <c r="F8" s="17">
        <f>IFERROR(__xludf.DUMMYFUNCTION("""COMPUTED_VALUE"""),573928)</f>
        <v>573928</v>
      </c>
      <c r="G8" s="16">
        <f>IFERROR(__xludf.DUMMYFUNCTION("""COMPUTED_VALUE"""),45749.6458333333)</f>
        <v>45749.6458333333</v>
      </c>
      <c r="H8" s="17">
        <f>IFERROR(__xludf.DUMMYFUNCTION("""COMPUTED_VALUE"""),2378.85)</f>
        <v>2378.85</v>
      </c>
      <c r="I8" s="16">
        <f>IFERROR(__xludf.DUMMYFUNCTION("""COMPUTED_VALUE"""),45749.6458333333)</f>
        <v>45749.6458333333</v>
      </c>
      <c r="J8" s="17">
        <f>IFERROR(__xludf.DUMMYFUNCTION("""COMPUTED_VALUE"""),2314.55)</f>
        <v>2314.55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IFERROR(__xludf.DUMMYFUNCTION("""COMPUTED_VALUE"""),2410.8)</f>
        <v>2410.8</v>
      </c>
      <c r="C9" s="16">
        <f>IFERROR(__xludf.DUMMYFUNCTION("""COMPUTED_VALUE"""),45750.6458333333)</f>
        <v>45750.6458333333</v>
      </c>
      <c r="D9" s="17">
        <f>IFERROR(__xludf.DUMMYFUNCTION("""COMPUTED_VALUE"""),2339.75)</f>
        <v>2339.75</v>
      </c>
      <c r="E9" s="16">
        <f>IFERROR(__xludf.DUMMYFUNCTION("""COMPUTED_VALUE"""),45750.6458333333)</f>
        <v>45750.6458333333</v>
      </c>
      <c r="F9" s="17">
        <f>IFERROR(__xludf.DUMMYFUNCTION("""COMPUTED_VALUE"""),1023200)</f>
        <v>1023200</v>
      </c>
      <c r="G9" s="16">
        <f>IFERROR(__xludf.DUMMYFUNCTION("""COMPUTED_VALUE"""),45750.6458333333)</f>
        <v>45750.6458333333</v>
      </c>
      <c r="H9" s="17">
        <f>IFERROR(__xludf.DUMMYFUNCTION("""COMPUTED_VALUE"""),2429.9)</f>
        <v>2429.9</v>
      </c>
      <c r="I9" s="16">
        <f>IFERROR(__xludf.DUMMYFUNCTION("""COMPUTED_VALUE"""),45750.6458333333)</f>
        <v>45750.6458333333</v>
      </c>
      <c r="J9" s="17">
        <f>IFERROR(__xludf.DUMMYFUNCTION("""COMPUTED_VALUE"""),2339.7)</f>
        <v>2339.7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IFERROR(__xludf.DUMMYFUNCTION("""COMPUTED_VALUE"""),2334.65)</f>
        <v>2334.65</v>
      </c>
      <c r="C10" s="16">
        <f>IFERROR(__xludf.DUMMYFUNCTION("""COMPUTED_VALUE"""),45751.6458333333)</f>
        <v>45751.6458333333</v>
      </c>
      <c r="D10" s="17">
        <f>IFERROR(__xludf.DUMMYFUNCTION("""COMPUTED_VALUE"""),2394.95)</f>
        <v>2394.95</v>
      </c>
      <c r="E10" s="16">
        <f>IFERROR(__xludf.DUMMYFUNCTION("""COMPUTED_VALUE"""),45751.6458333333)</f>
        <v>45751.6458333333</v>
      </c>
      <c r="F10" s="17">
        <f>IFERROR(__xludf.DUMMYFUNCTION("""COMPUTED_VALUE"""),1219733)</f>
        <v>1219733</v>
      </c>
      <c r="G10" s="16">
        <f>IFERROR(__xludf.DUMMYFUNCTION("""COMPUTED_VALUE"""),45751.6458333333)</f>
        <v>45751.6458333333</v>
      </c>
      <c r="H10" s="17">
        <f>IFERROR(__xludf.DUMMYFUNCTION("""COMPUTED_VALUE"""),2410.05)</f>
        <v>2410.05</v>
      </c>
      <c r="I10" s="16">
        <f>IFERROR(__xludf.DUMMYFUNCTION("""COMPUTED_VALUE"""),45751.6458333333)</f>
        <v>45751.6458333333</v>
      </c>
      <c r="J10" s="17">
        <f>IFERROR(__xludf.DUMMYFUNCTION("""COMPUTED_VALUE"""),2315.5)</f>
        <v>2315.5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IFERROR(__xludf.DUMMYFUNCTION("""COMPUTED_VALUE"""),2212.7)</f>
        <v>2212.7</v>
      </c>
      <c r="C11" s="16">
        <f>IFERROR(__xludf.DUMMYFUNCTION("""COMPUTED_VALUE"""),45754.6458333333)</f>
        <v>45754.6458333333</v>
      </c>
      <c r="D11" s="17">
        <f>IFERROR(__xludf.DUMMYFUNCTION("""COMPUTED_VALUE"""),2150.05)</f>
        <v>2150.05</v>
      </c>
      <c r="E11" s="16">
        <f>IFERROR(__xludf.DUMMYFUNCTION("""COMPUTED_VALUE"""),45754.6458333333)</f>
        <v>45754.6458333333</v>
      </c>
      <c r="F11" s="17">
        <f>IFERROR(__xludf.DUMMYFUNCTION("""COMPUTED_VALUE"""),1567177)</f>
        <v>1567177</v>
      </c>
      <c r="G11" s="16">
        <f>IFERROR(__xludf.DUMMYFUNCTION("""COMPUTED_VALUE"""),45754.6458333333)</f>
        <v>45754.6458333333</v>
      </c>
      <c r="H11" s="17">
        <f>IFERROR(__xludf.DUMMYFUNCTION("""COMPUTED_VALUE"""),2239)</f>
        <v>2239</v>
      </c>
      <c r="I11" s="16">
        <f>IFERROR(__xludf.DUMMYFUNCTION("""COMPUTED_VALUE"""),45754.6458333333)</f>
        <v>45754.6458333333</v>
      </c>
      <c r="J11" s="17">
        <f>IFERROR(__xludf.DUMMYFUNCTION("""COMPUTED_VALUE"""),2145)</f>
        <v>2145</v>
      </c>
      <c r="K11" s="3">
        <f t="shared" ref="K11:K125" si="2">IF(B11=MAX(B5:B17),B11,0)</f>
        <v>0</v>
      </c>
      <c r="L11" s="3">
        <f t="shared" ref="L11:L125" si="3">IF(B11=MIN(B5:B17),B11,0)</f>
        <v>2212.7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IFERROR(__xludf.DUMMYFUNCTION("""COMPUTED_VALUE"""),2285.7)</f>
        <v>2285.7</v>
      </c>
      <c r="C12" s="16">
        <f>IFERROR(__xludf.DUMMYFUNCTION("""COMPUTED_VALUE"""),45755.6458333333)</f>
        <v>45755.6458333333</v>
      </c>
      <c r="D12" s="17">
        <f>IFERROR(__xludf.DUMMYFUNCTION("""COMPUTED_VALUE"""),2270)</f>
        <v>2270</v>
      </c>
      <c r="E12" s="16">
        <f>IFERROR(__xludf.DUMMYFUNCTION("""COMPUTED_VALUE"""),45755.6458333333)</f>
        <v>45755.6458333333</v>
      </c>
      <c r="F12" s="17">
        <f>IFERROR(__xludf.DUMMYFUNCTION("""COMPUTED_VALUE"""),1224362)</f>
        <v>1224362</v>
      </c>
      <c r="G12" s="16">
        <f>IFERROR(__xludf.DUMMYFUNCTION("""COMPUTED_VALUE"""),45755.6458333333)</f>
        <v>45755.6458333333</v>
      </c>
      <c r="H12" s="17">
        <f>IFERROR(__xludf.DUMMYFUNCTION("""COMPUTED_VALUE"""),2301)</f>
        <v>2301</v>
      </c>
      <c r="I12" s="16">
        <f>IFERROR(__xludf.DUMMYFUNCTION("""COMPUTED_VALUE"""),45755.6458333333)</f>
        <v>45755.6458333333</v>
      </c>
      <c r="J12" s="17">
        <f>IFERROR(__xludf.DUMMYFUNCTION("""COMPUTED_VALUE"""),2225)</f>
        <v>2225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IFERROR(__xludf.DUMMYFUNCTION("""COMPUTED_VALUE"""),2236.9)</f>
        <v>2236.9</v>
      </c>
      <c r="C13" s="16">
        <f>IFERROR(__xludf.DUMMYFUNCTION("""COMPUTED_VALUE"""),45756.6458333333)</f>
        <v>45756.6458333333</v>
      </c>
      <c r="D13" s="17">
        <f>IFERROR(__xludf.DUMMYFUNCTION("""COMPUTED_VALUE"""),2265.7)</f>
        <v>2265.7</v>
      </c>
      <c r="E13" s="16">
        <f>IFERROR(__xludf.DUMMYFUNCTION("""COMPUTED_VALUE"""),45756.6458333333)</f>
        <v>45756.6458333333</v>
      </c>
      <c r="F13" s="17">
        <f>IFERROR(__xludf.DUMMYFUNCTION("""COMPUTED_VALUE"""),1001633)</f>
        <v>1001633</v>
      </c>
      <c r="G13" s="16">
        <f>IFERROR(__xludf.DUMMYFUNCTION("""COMPUTED_VALUE"""),45756.6458333333)</f>
        <v>45756.6458333333</v>
      </c>
      <c r="H13" s="17">
        <f>IFERROR(__xludf.DUMMYFUNCTION("""COMPUTED_VALUE"""),2279.55)</f>
        <v>2279.55</v>
      </c>
      <c r="I13" s="16">
        <f>IFERROR(__xludf.DUMMYFUNCTION("""COMPUTED_VALUE"""),45756.6458333333)</f>
        <v>45756.6458333333</v>
      </c>
      <c r="J13" s="17">
        <f>IFERROR(__xludf.DUMMYFUNCTION("""COMPUTED_VALUE"""),2215.2)</f>
        <v>2215.2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IFERROR(__xludf.DUMMYFUNCTION("""COMPUTED_VALUE"""),2321.4)</f>
        <v>2321.4</v>
      </c>
      <c r="C14" s="16">
        <f>IFERROR(__xludf.DUMMYFUNCTION("""COMPUTED_VALUE"""),45758.6458333333)</f>
        <v>45758.6458333333</v>
      </c>
      <c r="D14" s="17">
        <f>IFERROR(__xludf.DUMMYFUNCTION("""COMPUTED_VALUE"""),2303.05)</f>
        <v>2303.05</v>
      </c>
      <c r="E14" s="16">
        <f>IFERROR(__xludf.DUMMYFUNCTION("""COMPUTED_VALUE"""),45758.6458333333)</f>
        <v>45758.6458333333</v>
      </c>
      <c r="F14" s="17">
        <f>IFERROR(__xludf.DUMMYFUNCTION("""COMPUTED_VALUE"""),981463)</f>
        <v>981463</v>
      </c>
      <c r="G14" s="16">
        <f>IFERROR(__xludf.DUMMYFUNCTION("""COMPUTED_VALUE"""),45758.6458333333)</f>
        <v>45758.6458333333</v>
      </c>
      <c r="H14" s="17">
        <f>IFERROR(__xludf.DUMMYFUNCTION("""COMPUTED_VALUE"""),2343.5)</f>
        <v>2343.5</v>
      </c>
      <c r="I14" s="16">
        <f>IFERROR(__xludf.DUMMYFUNCTION("""COMPUTED_VALUE"""),45758.6458333333)</f>
        <v>45758.6458333333</v>
      </c>
      <c r="J14" s="17">
        <f>IFERROR(__xludf.DUMMYFUNCTION("""COMPUTED_VALUE"""),2281)</f>
        <v>2281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IFERROR(__xludf.DUMMYFUNCTION("""COMPUTED_VALUE"""),2418.2)</f>
        <v>2418.2</v>
      </c>
      <c r="C15" s="16">
        <f>IFERROR(__xludf.DUMMYFUNCTION("""COMPUTED_VALUE"""),45762.6458333333)</f>
        <v>45762.6458333333</v>
      </c>
      <c r="D15" s="17">
        <f>IFERROR(__xludf.DUMMYFUNCTION("""COMPUTED_VALUE"""),2375)</f>
        <v>2375</v>
      </c>
      <c r="E15" s="16">
        <f>IFERROR(__xludf.DUMMYFUNCTION("""COMPUTED_VALUE"""),45762.6458333333)</f>
        <v>45762.6458333333</v>
      </c>
      <c r="F15" s="17">
        <f>IFERROR(__xludf.DUMMYFUNCTION("""COMPUTED_VALUE"""),1145125)</f>
        <v>1145125</v>
      </c>
      <c r="G15" s="16">
        <f>IFERROR(__xludf.DUMMYFUNCTION("""COMPUTED_VALUE"""),45762.6458333333)</f>
        <v>45762.6458333333</v>
      </c>
      <c r="H15" s="17">
        <f>IFERROR(__xludf.DUMMYFUNCTION("""COMPUTED_VALUE"""),2440)</f>
        <v>2440</v>
      </c>
      <c r="I15" s="16">
        <f>IFERROR(__xludf.DUMMYFUNCTION("""COMPUTED_VALUE"""),45762.6458333333)</f>
        <v>45762.6458333333</v>
      </c>
      <c r="J15" s="17">
        <f>IFERROR(__xludf.DUMMYFUNCTION("""COMPUTED_VALUE"""),2359)</f>
        <v>2359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IFERROR(__xludf.DUMMYFUNCTION("""COMPUTED_VALUE"""),2415.6)</f>
        <v>2415.6</v>
      </c>
      <c r="C16" s="16">
        <f>IFERROR(__xludf.DUMMYFUNCTION("""COMPUTED_VALUE"""),45763.6458333333)</f>
        <v>45763.6458333333</v>
      </c>
      <c r="D16" s="17">
        <f>IFERROR(__xludf.DUMMYFUNCTION("""COMPUTED_VALUE"""),2400)</f>
        <v>2400</v>
      </c>
      <c r="E16" s="16">
        <f>IFERROR(__xludf.DUMMYFUNCTION("""COMPUTED_VALUE"""),45763.6458333333)</f>
        <v>45763.6458333333</v>
      </c>
      <c r="F16" s="17">
        <f>IFERROR(__xludf.DUMMYFUNCTION("""COMPUTED_VALUE"""),889949)</f>
        <v>889949</v>
      </c>
      <c r="G16" s="16">
        <f>IFERROR(__xludf.DUMMYFUNCTION("""COMPUTED_VALUE"""),45763.6458333333)</f>
        <v>45763.6458333333</v>
      </c>
      <c r="H16" s="17">
        <f>IFERROR(__xludf.DUMMYFUNCTION("""COMPUTED_VALUE"""),2428)</f>
        <v>2428</v>
      </c>
      <c r="I16" s="16">
        <f>IFERROR(__xludf.DUMMYFUNCTION("""COMPUTED_VALUE"""),45763.6458333333)</f>
        <v>45763.6458333333</v>
      </c>
      <c r="J16" s="17">
        <f>IFERROR(__xludf.DUMMYFUNCTION("""COMPUTED_VALUE"""),2382.9)</f>
        <v>2382.9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IFERROR(__xludf.DUMMYFUNCTION("""COMPUTED_VALUE"""),2418.1)</f>
        <v>2418.1</v>
      </c>
      <c r="C17" s="16">
        <f>IFERROR(__xludf.DUMMYFUNCTION("""COMPUTED_VALUE"""),45764.6458333333)</f>
        <v>45764.6458333333</v>
      </c>
      <c r="D17" s="17">
        <f>IFERROR(__xludf.DUMMYFUNCTION("""COMPUTED_VALUE"""),2418)</f>
        <v>2418</v>
      </c>
      <c r="E17" s="16">
        <f>IFERROR(__xludf.DUMMYFUNCTION("""COMPUTED_VALUE"""),45764.6458333333)</f>
        <v>45764.6458333333</v>
      </c>
      <c r="F17" s="17">
        <f>IFERROR(__xludf.DUMMYFUNCTION("""COMPUTED_VALUE"""),1054797)</f>
        <v>1054797</v>
      </c>
      <c r="G17" s="16">
        <f>IFERROR(__xludf.DUMMYFUNCTION("""COMPUTED_VALUE"""),45764.6458333333)</f>
        <v>45764.6458333333</v>
      </c>
      <c r="H17" s="17">
        <f>IFERROR(__xludf.DUMMYFUNCTION("""COMPUTED_VALUE"""),2448.6)</f>
        <v>2448.6</v>
      </c>
      <c r="I17" s="16">
        <f>IFERROR(__xludf.DUMMYFUNCTION("""COMPUTED_VALUE"""),45764.6458333333)</f>
        <v>45764.6458333333</v>
      </c>
      <c r="J17" s="17">
        <f>IFERROR(__xludf.DUMMYFUNCTION("""COMPUTED_VALUE"""),2392)</f>
        <v>2392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IFERROR(__xludf.DUMMYFUNCTION("""COMPUTED_VALUE"""),2442.7)</f>
        <v>2442.7</v>
      </c>
      <c r="C18" s="16">
        <f>IFERROR(__xludf.DUMMYFUNCTION("""COMPUTED_VALUE"""),45768.6458333333)</f>
        <v>45768.6458333333</v>
      </c>
      <c r="D18" s="17">
        <f>IFERROR(__xludf.DUMMYFUNCTION("""COMPUTED_VALUE"""),2426.1)</f>
        <v>2426.1</v>
      </c>
      <c r="E18" s="16">
        <f>IFERROR(__xludf.DUMMYFUNCTION("""COMPUTED_VALUE"""),45768.6458333333)</f>
        <v>45768.6458333333</v>
      </c>
      <c r="F18" s="17">
        <f>IFERROR(__xludf.DUMMYFUNCTION("""COMPUTED_VALUE"""),782559)</f>
        <v>782559</v>
      </c>
      <c r="G18" s="16">
        <f>IFERROR(__xludf.DUMMYFUNCTION("""COMPUTED_VALUE"""),45768.6458333333)</f>
        <v>45768.6458333333</v>
      </c>
      <c r="H18" s="17">
        <f>IFERROR(__xludf.DUMMYFUNCTION("""COMPUTED_VALUE"""),2464.9)</f>
        <v>2464.9</v>
      </c>
      <c r="I18" s="16">
        <f>IFERROR(__xludf.DUMMYFUNCTION("""COMPUTED_VALUE"""),45768.6458333333)</f>
        <v>45768.6458333333</v>
      </c>
      <c r="J18" s="17">
        <f>IFERROR(__xludf.DUMMYFUNCTION("""COMPUTED_VALUE"""),2395.5)</f>
        <v>2395.5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IFERROR(__xludf.DUMMYFUNCTION("""COMPUTED_VALUE"""),2445.5)</f>
        <v>2445.5</v>
      </c>
      <c r="C19" s="16">
        <f>IFERROR(__xludf.DUMMYFUNCTION("""COMPUTED_VALUE"""),45769.6458333333)</f>
        <v>45769.6458333333</v>
      </c>
      <c r="D19" s="17">
        <f>IFERROR(__xludf.DUMMYFUNCTION("""COMPUTED_VALUE"""),2458.9)</f>
        <v>2458.9</v>
      </c>
      <c r="E19" s="16">
        <f>IFERROR(__xludf.DUMMYFUNCTION("""COMPUTED_VALUE"""),45769.6458333333)</f>
        <v>45769.6458333333</v>
      </c>
      <c r="F19" s="17">
        <f>IFERROR(__xludf.DUMMYFUNCTION("""COMPUTED_VALUE"""),766567)</f>
        <v>766567</v>
      </c>
      <c r="G19" s="16">
        <f>IFERROR(__xludf.DUMMYFUNCTION("""COMPUTED_VALUE"""),45769.6458333333)</f>
        <v>45769.6458333333</v>
      </c>
      <c r="H19" s="17">
        <f>IFERROR(__xludf.DUMMYFUNCTION("""COMPUTED_VALUE"""),2483.4)</f>
        <v>2483.4</v>
      </c>
      <c r="I19" s="16">
        <f>IFERROR(__xludf.DUMMYFUNCTION("""COMPUTED_VALUE"""),45769.6458333333)</f>
        <v>45769.6458333333</v>
      </c>
      <c r="J19" s="17">
        <f>IFERROR(__xludf.DUMMYFUNCTION("""COMPUTED_VALUE"""),2441)</f>
        <v>2441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IFERROR(__xludf.DUMMYFUNCTION("""COMPUTED_VALUE"""),2453.6)</f>
        <v>2453.6</v>
      </c>
      <c r="C20" s="16">
        <f>IFERROR(__xludf.DUMMYFUNCTION("""COMPUTED_VALUE"""),45770.6458333333)</f>
        <v>45770.6458333333</v>
      </c>
      <c r="D20" s="17">
        <f>IFERROR(__xludf.DUMMYFUNCTION("""COMPUTED_VALUE"""),2460)</f>
        <v>2460</v>
      </c>
      <c r="E20" s="16">
        <f>IFERROR(__xludf.DUMMYFUNCTION("""COMPUTED_VALUE"""),45770.6458333333)</f>
        <v>45770.6458333333</v>
      </c>
      <c r="F20" s="17">
        <f>IFERROR(__xludf.DUMMYFUNCTION("""COMPUTED_VALUE"""),672262)</f>
        <v>672262</v>
      </c>
      <c r="G20" s="16">
        <f>IFERROR(__xludf.DUMMYFUNCTION("""COMPUTED_VALUE"""),45770.6458333333)</f>
        <v>45770.6458333333</v>
      </c>
      <c r="H20" s="17">
        <f>IFERROR(__xludf.DUMMYFUNCTION("""COMPUTED_VALUE"""),2473.8)</f>
        <v>2473.8</v>
      </c>
      <c r="I20" s="16">
        <f>IFERROR(__xludf.DUMMYFUNCTION("""COMPUTED_VALUE"""),45770.6458333333)</f>
        <v>45770.6458333333</v>
      </c>
      <c r="J20" s="17">
        <f>IFERROR(__xludf.DUMMYFUNCTION("""COMPUTED_VALUE"""),2421.2)</f>
        <v>2421.2</v>
      </c>
      <c r="K20" s="3">
        <f t="shared" si="2"/>
        <v>2453.6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IFERROR(__xludf.DUMMYFUNCTION("""COMPUTED_VALUE"""),2442.5)</f>
        <v>2442.5</v>
      </c>
      <c r="C21" s="16">
        <f>IFERROR(__xludf.DUMMYFUNCTION("""COMPUTED_VALUE"""),45771.6458333333)</f>
        <v>45771.6458333333</v>
      </c>
      <c r="D21" s="17">
        <f>IFERROR(__xludf.DUMMYFUNCTION("""COMPUTED_VALUE"""),2450)</f>
        <v>2450</v>
      </c>
      <c r="E21" s="16">
        <f>IFERROR(__xludf.DUMMYFUNCTION("""COMPUTED_VALUE"""),45771.6458333333)</f>
        <v>45771.6458333333</v>
      </c>
      <c r="F21" s="17">
        <f>IFERROR(__xludf.DUMMYFUNCTION("""COMPUTED_VALUE"""),596696)</f>
        <v>596696</v>
      </c>
      <c r="G21" s="16">
        <f>IFERROR(__xludf.DUMMYFUNCTION("""COMPUTED_VALUE"""),45771.6458333333)</f>
        <v>45771.6458333333</v>
      </c>
      <c r="H21" s="17">
        <f>IFERROR(__xludf.DUMMYFUNCTION("""COMPUTED_VALUE"""),2461.4)</f>
        <v>2461.4</v>
      </c>
      <c r="I21" s="16">
        <f>IFERROR(__xludf.DUMMYFUNCTION("""COMPUTED_VALUE"""),45771.6458333333)</f>
        <v>45771.6458333333</v>
      </c>
      <c r="J21" s="17">
        <f>IFERROR(__xludf.DUMMYFUNCTION("""COMPUTED_VALUE"""),2425.1)</f>
        <v>2425.1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IFERROR(__xludf.DUMMYFUNCTION("""COMPUTED_VALUE"""),2354.3)</f>
        <v>2354.3</v>
      </c>
      <c r="C22" s="16">
        <f>IFERROR(__xludf.DUMMYFUNCTION("""COMPUTED_VALUE"""),45772.6458333333)</f>
        <v>45772.6458333333</v>
      </c>
      <c r="D22" s="17">
        <f>IFERROR(__xludf.DUMMYFUNCTION("""COMPUTED_VALUE"""),2450.1)</f>
        <v>2450.1</v>
      </c>
      <c r="E22" s="16">
        <f>IFERROR(__xludf.DUMMYFUNCTION("""COMPUTED_VALUE"""),45772.6458333333)</f>
        <v>45772.6458333333</v>
      </c>
      <c r="F22" s="17">
        <f>IFERROR(__xludf.DUMMYFUNCTION("""COMPUTED_VALUE"""),1414809)</f>
        <v>1414809</v>
      </c>
      <c r="G22" s="16">
        <f>IFERROR(__xludf.DUMMYFUNCTION("""COMPUTED_VALUE"""),45772.6458333333)</f>
        <v>45772.6458333333</v>
      </c>
      <c r="H22" s="17">
        <f>IFERROR(__xludf.DUMMYFUNCTION("""COMPUTED_VALUE"""),2459.5)</f>
        <v>2459.5</v>
      </c>
      <c r="I22" s="16">
        <f>IFERROR(__xludf.DUMMYFUNCTION("""COMPUTED_VALUE"""),45772.6458333333)</f>
        <v>45772.6458333333</v>
      </c>
      <c r="J22" s="17">
        <f>IFERROR(__xludf.DUMMYFUNCTION("""COMPUTED_VALUE"""),2323.5)</f>
        <v>2323.5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IFERROR(__xludf.DUMMYFUNCTION("""COMPUTED_VALUE"""),2369.8)</f>
        <v>2369.8</v>
      </c>
      <c r="C23" s="16">
        <f>IFERROR(__xludf.DUMMYFUNCTION("""COMPUTED_VALUE"""),45775.6458333333)</f>
        <v>45775.6458333333</v>
      </c>
      <c r="D23" s="17">
        <f>IFERROR(__xludf.DUMMYFUNCTION("""COMPUTED_VALUE"""),2346)</f>
        <v>2346</v>
      </c>
      <c r="E23" s="16">
        <f>IFERROR(__xludf.DUMMYFUNCTION("""COMPUTED_VALUE"""),45775.6458333333)</f>
        <v>45775.6458333333</v>
      </c>
      <c r="F23" s="17">
        <f>IFERROR(__xludf.DUMMYFUNCTION("""COMPUTED_VALUE"""),681421)</f>
        <v>681421</v>
      </c>
      <c r="G23" s="16">
        <f>IFERROR(__xludf.DUMMYFUNCTION("""COMPUTED_VALUE"""),45775.6458333333)</f>
        <v>45775.6458333333</v>
      </c>
      <c r="H23" s="17">
        <f>IFERROR(__xludf.DUMMYFUNCTION("""COMPUTED_VALUE"""),2402)</f>
        <v>2402</v>
      </c>
      <c r="I23" s="16">
        <f>IFERROR(__xludf.DUMMYFUNCTION("""COMPUTED_VALUE"""),45775.6458333333)</f>
        <v>45775.6458333333</v>
      </c>
      <c r="J23" s="17">
        <f>IFERROR(__xludf.DUMMYFUNCTION("""COMPUTED_VALUE"""),2337.6)</f>
        <v>2337.6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IFERROR(__xludf.DUMMYFUNCTION("""COMPUTED_VALUE"""),2330.6)</f>
        <v>2330.6</v>
      </c>
      <c r="C24" s="16">
        <f>IFERROR(__xludf.DUMMYFUNCTION("""COMPUTED_VALUE"""),45776.6458333333)</f>
        <v>45776.6458333333</v>
      </c>
      <c r="D24" s="17">
        <f>IFERROR(__xludf.DUMMYFUNCTION("""COMPUTED_VALUE"""),2392)</f>
        <v>2392</v>
      </c>
      <c r="E24" s="16">
        <f>IFERROR(__xludf.DUMMYFUNCTION("""COMPUTED_VALUE"""),45776.6458333333)</f>
        <v>45776.6458333333</v>
      </c>
      <c r="F24" s="17">
        <f>IFERROR(__xludf.DUMMYFUNCTION("""COMPUTED_VALUE"""),670730)</f>
        <v>670730</v>
      </c>
      <c r="G24" s="16">
        <f>IFERROR(__xludf.DUMMYFUNCTION("""COMPUTED_VALUE"""),45776.6458333333)</f>
        <v>45776.6458333333</v>
      </c>
      <c r="H24" s="17">
        <f>IFERROR(__xludf.DUMMYFUNCTION("""COMPUTED_VALUE"""),2400)</f>
        <v>2400</v>
      </c>
      <c r="I24" s="16">
        <f>IFERROR(__xludf.DUMMYFUNCTION("""COMPUTED_VALUE"""),45776.6458333333)</f>
        <v>45776.6458333333</v>
      </c>
      <c r="J24" s="17">
        <f>IFERROR(__xludf.DUMMYFUNCTION("""COMPUTED_VALUE"""),2325.6)</f>
        <v>2325.6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IFERROR(__xludf.DUMMYFUNCTION("""COMPUTED_VALUE"""),2301.3)</f>
        <v>2301.3</v>
      </c>
      <c r="C25" s="16">
        <f>IFERROR(__xludf.DUMMYFUNCTION("""COMPUTED_VALUE"""),45777.6458333333)</f>
        <v>45777.6458333333</v>
      </c>
      <c r="D25" s="17">
        <f>IFERROR(__xludf.DUMMYFUNCTION("""COMPUTED_VALUE"""),2331.4)</f>
        <v>2331.4</v>
      </c>
      <c r="E25" s="16">
        <f>IFERROR(__xludf.DUMMYFUNCTION("""COMPUTED_VALUE"""),45777.6458333333)</f>
        <v>45777.6458333333</v>
      </c>
      <c r="F25" s="17">
        <f>IFERROR(__xludf.DUMMYFUNCTION("""COMPUTED_VALUE"""),837464)</f>
        <v>837464</v>
      </c>
      <c r="G25" s="16">
        <f>IFERROR(__xludf.DUMMYFUNCTION("""COMPUTED_VALUE"""),45777.6458333333)</f>
        <v>45777.6458333333</v>
      </c>
      <c r="H25" s="17">
        <f>IFERROR(__xludf.DUMMYFUNCTION("""COMPUTED_VALUE"""),2340)</f>
        <v>2340</v>
      </c>
      <c r="I25" s="16">
        <f>IFERROR(__xludf.DUMMYFUNCTION("""COMPUTED_VALUE"""),45777.6458333333)</f>
        <v>45777.6458333333</v>
      </c>
      <c r="J25" s="17">
        <f>IFERROR(__xludf.DUMMYFUNCTION("""COMPUTED_VALUE"""),2285)</f>
        <v>2285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IFERROR(__xludf.DUMMYFUNCTION("""COMPUTED_VALUE"""),2294.2)</f>
        <v>2294.2</v>
      </c>
      <c r="C26" s="16">
        <f>IFERROR(__xludf.DUMMYFUNCTION("""COMPUTED_VALUE"""),45779.6458333333)</f>
        <v>45779.6458333333</v>
      </c>
      <c r="D26" s="17">
        <f>IFERROR(__xludf.DUMMYFUNCTION("""COMPUTED_VALUE"""),2349.9)</f>
        <v>2349.9</v>
      </c>
      <c r="E26" s="16">
        <f>IFERROR(__xludf.DUMMYFUNCTION("""COMPUTED_VALUE"""),45779.6458333333)</f>
        <v>45779.6458333333</v>
      </c>
      <c r="F26" s="17">
        <f>IFERROR(__xludf.DUMMYFUNCTION("""COMPUTED_VALUE"""),1695797)</f>
        <v>1695797</v>
      </c>
      <c r="G26" s="16">
        <f>IFERROR(__xludf.DUMMYFUNCTION("""COMPUTED_VALUE"""),45779.6458333333)</f>
        <v>45779.6458333333</v>
      </c>
      <c r="H26" s="17">
        <f>IFERROR(__xludf.DUMMYFUNCTION("""COMPUTED_VALUE"""),2372.4)</f>
        <v>2372.4</v>
      </c>
      <c r="I26" s="16">
        <f>IFERROR(__xludf.DUMMYFUNCTION("""COMPUTED_VALUE"""),45779.6458333333)</f>
        <v>45779.6458333333</v>
      </c>
      <c r="J26" s="17">
        <f>IFERROR(__xludf.DUMMYFUNCTION("""COMPUTED_VALUE"""),2290)</f>
        <v>2290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IFERROR(__xludf.DUMMYFUNCTION("""COMPUTED_VALUE"""),2455.5)</f>
        <v>2455.5</v>
      </c>
      <c r="C27" s="16">
        <f>IFERROR(__xludf.DUMMYFUNCTION("""COMPUTED_VALUE"""),45782.6458333333)</f>
        <v>45782.6458333333</v>
      </c>
      <c r="D27" s="17">
        <f>IFERROR(__xludf.DUMMYFUNCTION("""COMPUTED_VALUE"""),2312.6)</f>
        <v>2312.6</v>
      </c>
      <c r="E27" s="16">
        <f>IFERROR(__xludf.DUMMYFUNCTION("""COMPUTED_VALUE"""),45782.6458333333)</f>
        <v>45782.6458333333</v>
      </c>
      <c r="F27" s="17">
        <f>IFERROR(__xludf.DUMMYFUNCTION("""COMPUTED_VALUE"""),4227194)</f>
        <v>4227194</v>
      </c>
      <c r="G27" s="16">
        <f>IFERROR(__xludf.DUMMYFUNCTION("""COMPUTED_VALUE"""),45782.6458333333)</f>
        <v>45782.6458333333</v>
      </c>
      <c r="H27" s="17">
        <f>IFERROR(__xludf.DUMMYFUNCTION("""COMPUTED_VALUE"""),2497)</f>
        <v>2497</v>
      </c>
      <c r="I27" s="16">
        <f>IFERROR(__xludf.DUMMYFUNCTION("""COMPUTED_VALUE"""),45782.6458333333)</f>
        <v>45782.6458333333</v>
      </c>
      <c r="J27" s="17">
        <f>IFERROR(__xludf.DUMMYFUNCTION("""COMPUTED_VALUE"""),2297.8)</f>
        <v>2297.8</v>
      </c>
      <c r="K27" s="3">
        <f t="shared" si="2"/>
        <v>2455.5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IFERROR(__xludf.DUMMYFUNCTION("""COMPUTED_VALUE"""),2354)</f>
        <v>2354</v>
      </c>
      <c r="C28" s="16">
        <f>IFERROR(__xludf.DUMMYFUNCTION("""COMPUTED_VALUE"""),45783.6458333333)</f>
        <v>45783.6458333333</v>
      </c>
      <c r="D28" s="17">
        <f>IFERROR(__xludf.DUMMYFUNCTION("""COMPUTED_VALUE"""),2454)</f>
        <v>2454</v>
      </c>
      <c r="E28" s="16">
        <f>IFERROR(__xludf.DUMMYFUNCTION("""COMPUTED_VALUE"""),45783.6458333333)</f>
        <v>45783.6458333333</v>
      </c>
      <c r="F28" s="17">
        <f>IFERROR(__xludf.DUMMYFUNCTION("""COMPUTED_VALUE"""),1524692)</f>
        <v>1524692</v>
      </c>
      <c r="G28" s="16">
        <f>IFERROR(__xludf.DUMMYFUNCTION("""COMPUTED_VALUE"""),45783.6458333333)</f>
        <v>45783.6458333333</v>
      </c>
      <c r="H28" s="17">
        <f>IFERROR(__xludf.DUMMYFUNCTION("""COMPUTED_VALUE"""),2463.2)</f>
        <v>2463.2</v>
      </c>
      <c r="I28" s="16">
        <f>IFERROR(__xludf.DUMMYFUNCTION("""COMPUTED_VALUE"""),45783.6458333333)</f>
        <v>45783.6458333333</v>
      </c>
      <c r="J28" s="17">
        <f>IFERROR(__xludf.DUMMYFUNCTION("""COMPUTED_VALUE"""),2343.5)</f>
        <v>2343.5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IFERROR(__xludf.DUMMYFUNCTION("""COMPUTED_VALUE"""),2353.1)</f>
        <v>2353.1</v>
      </c>
      <c r="C29" s="16">
        <f>IFERROR(__xludf.DUMMYFUNCTION("""COMPUTED_VALUE"""),45784.6458333333)</f>
        <v>45784.6458333333</v>
      </c>
      <c r="D29" s="17">
        <f>IFERROR(__xludf.DUMMYFUNCTION("""COMPUTED_VALUE"""),2315)</f>
        <v>2315</v>
      </c>
      <c r="E29" s="16">
        <f>IFERROR(__xludf.DUMMYFUNCTION("""COMPUTED_VALUE"""),45784.6458333333)</f>
        <v>45784.6458333333</v>
      </c>
      <c r="F29" s="17">
        <f>IFERROR(__xludf.DUMMYFUNCTION("""COMPUTED_VALUE"""),1012640)</f>
        <v>1012640</v>
      </c>
      <c r="G29" s="16">
        <f>IFERROR(__xludf.DUMMYFUNCTION("""COMPUTED_VALUE"""),45784.6458333333)</f>
        <v>45784.6458333333</v>
      </c>
      <c r="H29" s="17">
        <f>IFERROR(__xludf.DUMMYFUNCTION("""COMPUTED_VALUE"""),2379.5)</f>
        <v>2379.5</v>
      </c>
      <c r="I29" s="16">
        <f>IFERROR(__xludf.DUMMYFUNCTION("""COMPUTED_VALUE"""),45784.6458333333)</f>
        <v>45784.6458333333</v>
      </c>
      <c r="J29" s="17">
        <f>IFERROR(__xludf.DUMMYFUNCTION("""COMPUTED_VALUE"""),2315)</f>
        <v>2315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IFERROR(__xludf.DUMMYFUNCTION("""COMPUTED_VALUE"""),2285.3)</f>
        <v>2285.3</v>
      </c>
      <c r="C30" s="16">
        <f>IFERROR(__xludf.DUMMYFUNCTION("""COMPUTED_VALUE"""),45785.6458333333)</f>
        <v>45785.6458333333</v>
      </c>
      <c r="D30" s="17">
        <f>IFERROR(__xludf.DUMMYFUNCTION("""COMPUTED_VALUE"""),2362)</f>
        <v>2362</v>
      </c>
      <c r="E30" s="16">
        <f>IFERROR(__xludf.DUMMYFUNCTION("""COMPUTED_VALUE"""),45785.6458333333)</f>
        <v>45785.6458333333</v>
      </c>
      <c r="F30" s="17">
        <f>IFERROR(__xludf.DUMMYFUNCTION("""COMPUTED_VALUE"""),1380069)</f>
        <v>1380069</v>
      </c>
      <c r="G30" s="16">
        <f>IFERROR(__xludf.DUMMYFUNCTION("""COMPUTED_VALUE"""),45785.6458333333)</f>
        <v>45785.6458333333</v>
      </c>
      <c r="H30" s="17">
        <f>IFERROR(__xludf.DUMMYFUNCTION("""COMPUTED_VALUE"""),2367.8)</f>
        <v>2367.8</v>
      </c>
      <c r="I30" s="16">
        <f>IFERROR(__xludf.DUMMYFUNCTION("""COMPUTED_VALUE"""),45785.6458333333)</f>
        <v>45785.6458333333</v>
      </c>
      <c r="J30" s="17">
        <f>IFERROR(__xludf.DUMMYFUNCTION("""COMPUTED_VALUE"""),2260)</f>
        <v>2260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IFERROR(__xludf.DUMMYFUNCTION("""COMPUTED_VALUE"""),2251)</f>
        <v>2251</v>
      </c>
      <c r="C31" s="16">
        <f>IFERROR(__xludf.DUMMYFUNCTION("""COMPUTED_VALUE"""),45786.6458333333)</f>
        <v>45786.6458333333</v>
      </c>
      <c r="D31" s="17">
        <f>IFERROR(__xludf.DUMMYFUNCTION("""COMPUTED_VALUE"""),2240)</f>
        <v>2240</v>
      </c>
      <c r="E31" s="16">
        <f>IFERROR(__xludf.DUMMYFUNCTION("""COMPUTED_VALUE"""),45786.6458333333)</f>
        <v>45786.6458333333</v>
      </c>
      <c r="F31" s="17">
        <f>IFERROR(__xludf.DUMMYFUNCTION("""COMPUTED_VALUE"""),1006000)</f>
        <v>1006000</v>
      </c>
      <c r="G31" s="16">
        <f>IFERROR(__xludf.DUMMYFUNCTION("""COMPUTED_VALUE"""),45786.6458333333)</f>
        <v>45786.6458333333</v>
      </c>
      <c r="H31" s="17">
        <f>IFERROR(__xludf.DUMMYFUNCTION("""COMPUTED_VALUE"""),2273.1)</f>
        <v>2273.1</v>
      </c>
      <c r="I31" s="16">
        <f>IFERROR(__xludf.DUMMYFUNCTION("""COMPUTED_VALUE"""),45786.6458333333)</f>
        <v>45786.6458333333</v>
      </c>
      <c r="J31" s="17">
        <f>IFERROR(__xludf.DUMMYFUNCTION("""COMPUTED_VALUE"""),2233)</f>
        <v>2233</v>
      </c>
      <c r="K31" s="3">
        <f t="shared" si="2"/>
        <v>0</v>
      </c>
      <c r="L31" s="3">
        <f t="shared" si="3"/>
        <v>2251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IFERROR(__xludf.DUMMYFUNCTION("""COMPUTED_VALUE"""),2425.3)</f>
        <v>2425.3</v>
      </c>
      <c r="C32" s="16">
        <f>IFERROR(__xludf.DUMMYFUNCTION("""COMPUTED_VALUE"""),45789.6458333333)</f>
        <v>45789.6458333333</v>
      </c>
      <c r="D32" s="17">
        <f>IFERROR(__xludf.DUMMYFUNCTION("""COMPUTED_VALUE"""),2350)</f>
        <v>2350</v>
      </c>
      <c r="E32" s="16">
        <f>IFERROR(__xludf.DUMMYFUNCTION("""COMPUTED_VALUE"""),45789.6458333333)</f>
        <v>45789.6458333333</v>
      </c>
      <c r="F32" s="17">
        <f>IFERROR(__xludf.DUMMYFUNCTION("""COMPUTED_VALUE"""),2147039)</f>
        <v>2147039</v>
      </c>
      <c r="G32" s="16">
        <f>IFERROR(__xludf.DUMMYFUNCTION("""COMPUTED_VALUE"""),45789.6458333333)</f>
        <v>45789.6458333333</v>
      </c>
      <c r="H32" s="17">
        <f>IFERROR(__xludf.DUMMYFUNCTION("""COMPUTED_VALUE"""),2433.3)</f>
        <v>2433.3</v>
      </c>
      <c r="I32" s="16">
        <f>IFERROR(__xludf.DUMMYFUNCTION("""COMPUTED_VALUE"""),45789.6458333333)</f>
        <v>45789.6458333333</v>
      </c>
      <c r="J32" s="17">
        <f>IFERROR(__xludf.DUMMYFUNCTION("""COMPUTED_VALUE"""),2315)</f>
        <v>2315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IFERROR(__xludf.DUMMYFUNCTION("""COMPUTED_VALUE"""),2441.2)</f>
        <v>2441.2</v>
      </c>
      <c r="C33" s="16">
        <f>IFERROR(__xludf.DUMMYFUNCTION("""COMPUTED_VALUE"""),45790.6458333333)</f>
        <v>45790.6458333333</v>
      </c>
      <c r="D33" s="17">
        <f>IFERROR(__xludf.DUMMYFUNCTION("""COMPUTED_VALUE"""),2425)</f>
        <v>2425</v>
      </c>
      <c r="E33" s="16">
        <f>IFERROR(__xludf.DUMMYFUNCTION("""COMPUTED_VALUE"""),45790.6458333333)</f>
        <v>45790.6458333333</v>
      </c>
      <c r="F33" s="17">
        <f>IFERROR(__xludf.DUMMYFUNCTION("""COMPUTED_VALUE"""),1815179)</f>
        <v>1815179</v>
      </c>
      <c r="G33" s="16">
        <f>IFERROR(__xludf.DUMMYFUNCTION("""COMPUTED_VALUE"""),45790.6458333333)</f>
        <v>45790.6458333333</v>
      </c>
      <c r="H33" s="17">
        <f>IFERROR(__xludf.DUMMYFUNCTION("""COMPUTED_VALUE"""),2454.9)</f>
        <v>2454.9</v>
      </c>
      <c r="I33" s="16">
        <f>IFERROR(__xludf.DUMMYFUNCTION("""COMPUTED_VALUE"""),45790.6458333333)</f>
        <v>45790.6458333333</v>
      </c>
      <c r="J33" s="17">
        <f>IFERROR(__xludf.DUMMYFUNCTION("""COMPUTED_VALUE"""),2405)</f>
        <v>2405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IFERROR(__xludf.DUMMYFUNCTION("""COMPUTED_VALUE"""),2461.9)</f>
        <v>2461.9</v>
      </c>
      <c r="C34" s="16">
        <f>IFERROR(__xludf.DUMMYFUNCTION("""COMPUTED_VALUE"""),45791.6458333333)</f>
        <v>45791.6458333333</v>
      </c>
      <c r="D34" s="17">
        <f>IFERROR(__xludf.DUMMYFUNCTION("""COMPUTED_VALUE"""),2444.9)</f>
        <v>2444.9</v>
      </c>
      <c r="E34" s="16">
        <f>IFERROR(__xludf.DUMMYFUNCTION("""COMPUTED_VALUE"""),45791.6458333333)</f>
        <v>45791.6458333333</v>
      </c>
      <c r="F34" s="17">
        <f>IFERROR(__xludf.DUMMYFUNCTION("""COMPUTED_VALUE"""),774441)</f>
        <v>774441</v>
      </c>
      <c r="G34" s="16">
        <f>IFERROR(__xludf.DUMMYFUNCTION("""COMPUTED_VALUE"""),45791.6458333333)</f>
        <v>45791.6458333333</v>
      </c>
      <c r="H34" s="17">
        <f>IFERROR(__xludf.DUMMYFUNCTION("""COMPUTED_VALUE"""),2481.9)</f>
        <v>2481.9</v>
      </c>
      <c r="I34" s="16">
        <f>IFERROR(__xludf.DUMMYFUNCTION("""COMPUTED_VALUE"""),45791.6458333333)</f>
        <v>45791.6458333333</v>
      </c>
      <c r="J34" s="17">
        <f>IFERROR(__xludf.DUMMYFUNCTION("""COMPUTED_VALUE"""),2430.1)</f>
        <v>2430.1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IFERROR(__xludf.DUMMYFUNCTION("""COMPUTED_VALUE"""),2520)</f>
        <v>2520</v>
      </c>
      <c r="C35" s="16">
        <f>IFERROR(__xludf.DUMMYFUNCTION("""COMPUTED_VALUE"""),45792.6458333333)</f>
        <v>45792.6458333333</v>
      </c>
      <c r="D35" s="17">
        <f>IFERROR(__xludf.DUMMYFUNCTION("""COMPUTED_VALUE"""),2463.4)</f>
        <v>2463.4</v>
      </c>
      <c r="E35" s="16">
        <f>IFERROR(__xludf.DUMMYFUNCTION("""COMPUTED_VALUE"""),45792.6458333333)</f>
        <v>45792.6458333333</v>
      </c>
      <c r="F35" s="17">
        <f>IFERROR(__xludf.DUMMYFUNCTION("""COMPUTED_VALUE"""),1554801)</f>
        <v>1554801</v>
      </c>
      <c r="G35" s="16">
        <f>IFERROR(__xludf.DUMMYFUNCTION("""COMPUTED_VALUE"""),45792.6458333333)</f>
        <v>45792.6458333333</v>
      </c>
      <c r="H35" s="17">
        <f>IFERROR(__xludf.DUMMYFUNCTION("""COMPUTED_VALUE"""),2526.8)</f>
        <v>2526.8</v>
      </c>
      <c r="I35" s="16">
        <f>IFERROR(__xludf.DUMMYFUNCTION("""COMPUTED_VALUE"""),45792.6458333333)</f>
        <v>45792.6458333333</v>
      </c>
      <c r="J35" s="17">
        <f>IFERROR(__xludf.DUMMYFUNCTION("""COMPUTED_VALUE"""),2450.7)</f>
        <v>2450.7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IFERROR(__xludf.DUMMYFUNCTION("""COMPUTED_VALUE"""),2555)</f>
        <v>2555</v>
      </c>
      <c r="C36" s="16">
        <f>IFERROR(__xludf.DUMMYFUNCTION("""COMPUTED_VALUE"""),45793.6458333333)</f>
        <v>45793.6458333333</v>
      </c>
      <c r="D36" s="17">
        <f>IFERROR(__xludf.DUMMYFUNCTION("""COMPUTED_VALUE"""),2529)</f>
        <v>2529</v>
      </c>
      <c r="E36" s="16">
        <f>IFERROR(__xludf.DUMMYFUNCTION("""COMPUTED_VALUE"""),45793.6458333333)</f>
        <v>45793.6458333333</v>
      </c>
      <c r="F36" s="17">
        <f>IFERROR(__xludf.DUMMYFUNCTION("""COMPUTED_VALUE"""),1641135)</f>
        <v>1641135</v>
      </c>
      <c r="G36" s="16">
        <f>IFERROR(__xludf.DUMMYFUNCTION("""COMPUTED_VALUE"""),45793.6458333333)</f>
        <v>45793.6458333333</v>
      </c>
      <c r="H36" s="17">
        <f>IFERROR(__xludf.DUMMYFUNCTION("""COMPUTED_VALUE"""),2584.2)</f>
        <v>2584.2</v>
      </c>
      <c r="I36" s="16">
        <f>IFERROR(__xludf.DUMMYFUNCTION("""COMPUTED_VALUE"""),45793.6458333333)</f>
        <v>45793.6458333333</v>
      </c>
      <c r="J36" s="17">
        <f>IFERROR(__xludf.DUMMYFUNCTION("""COMPUTED_VALUE"""),2516.2)</f>
        <v>2516.2</v>
      </c>
      <c r="K36" s="3">
        <f t="shared" si="2"/>
        <v>2555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IFERROR(__xludf.DUMMYFUNCTION("""COMPUTED_VALUE"""),2540.6)</f>
        <v>2540.6</v>
      </c>
      <c r="C37" s="16">
        <f>IFERROR(__xludf.DUMMYFUNCTION("""COMPUTED_VALUE"""),45796.6458333333)</f>
        <v>45796.6458333333</v>
      </c>
      <c r="D37" s="17">
        <f>IFERROR(__xludf.DUMMYFUNCTION("""COMPUTED_VALUE"""),2571.3)</f>
        <v>2571.3</v>
      </c>
      <c r="E37" s="16">
        <f>IFERROR(__xludf.DUMMYFUNCTION("""COMPUTED_VALUE"""),45796.6458333333)</f>
        <v>45796.6458333333</v>
      </c>
      <c r="F37" s="17">
        <f>IFERROR(__xludf.DUMMYFUNCTION("""COMPUTED_VALUE"""),681000)</f>
        <v>681000</v>
      </c>
      <c r="G37" s="16">
        <f>IFERROR(__xludf.DUMMYFUNCTION("""COMPUTED_VALUE"""),45796.6458333333)</f>
        <v>45796.6458333333</v>
      </c>
      <c r="H37" s="17">
        <f>IFERROR(__xludf.DUMMYFUNCTION("""COMPUTED_VALUE"""),2578.8)</f>
        <v>2578.8</v>
      </c>
      <c r="I37" s="16">
        <f>IFERROR(__xludf.DUMMYFUNCTION("""COMPUTED_VALUE"""),45796.6458333333)</f>
        <v>45796.6458333333</v>
      </c>
      <c r="J37" s="17">
        <f>IFERROR(__xludf.DUMMYFUNCTION("""COMPUTED_VALUE"""),2536)</f>
        <v>2536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IFERROR(__xludf.DUMMYFUNCTION("""COMPUTED_VALUE"""),2501.6)</f>
        <v>2501.6</v>
      </c>
      <c r="C38" s="16">
        <f>IFERROR(__xludf.DUMMYFUNCTION("""COMPUTED_VALUE"""),45797.6458333333)</f>
        <v>45797.6458333333</v>
      </c>
      <c r="D38" s="17">
        <f>IFERROR(__xludf.DUMMYFUNCTION("""COMPUTED_VALUE"""),2545)</f>
        <v>2545</v>
      </c>
      <c r="E38" s="16">
        <f>IFERROR(__xludf.DUMMYFUNCTION("""COMPUTED_VALUE"""),45797.6458333333)</f>
        <v>45797.6458333333</v>
      </c>
      <c r="F38" s="17">
        <f>IFERROR(__xludf.DUMMYFUNCTION("""COMPUTED_VALUE"""),628023)</f>
        <v>628023</v>
      </c>
      <c r="G38" s="16">
        <f>IFERROR(__xludf.DUMMYFUNCTION("""COMPUTED_VALUE"""),45797.6458333333)</f>
        <v>45797.6458333333</v>
      </c>
      <c r="H38" s="17">
        <f>IFERROR(__xludf.DUMMYFUNCTION("""COMPUTED_VALUE"""),2564.8)</f>
        <v>2564.8</v>
      </c>
      <c r="I38" s="16">
        <f>IFERROR(__xludf.DUMMYFUNCTION("""COMPUTED_VALUE"""),45797.6458333333)</f>
        <v>45797.6458333333</v>
      </c>
      <c r="J38" s="17">
        <f>IFERROR(__xludf.DUMMYFUNCTION("""COMPUTED_VALUE"""),2492.5)</f>
        <v>2492.5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IFERROR(__xludf.DUMMYFUNCTION("""COMPUTED_VALUE"""),2500.4)</f>
        <v>2500.4</v>
      </c>
      <c r="C39" s="16">
        <f>IFERROR(__xludf.DUMMYFUNCTION("""COMPUTED_VALUE"""),45798.6458333333)</f>
        <v>45798.6458333333</v>
      </c>
      <c r="D39" s="17">
        <f>IFERROR(__xludf.DUMMYFUNCTION("""COMPUTED_VALUE"""),2509.7)</f>
        <v>2509.7</v>
      </c>
      <c r="E39" s="16">
        <f>IFERROR(__xludf.DUMMYFUNCTION("""COMPUTED_VALUE"""),45798.6458333333)</f>
        <v>45798.6458333333</v>
      </c>
      <c r="F39" s="17">
        <f>IFERROR(__xludf.DUMMYFUNCTION("""COMPUTED_VALUE"""),529234)</f>
        <v>529234</v>
      </c>
      <c r="G39" s="16">
        <f>IFERROR(__xludf.DUMMYFUNCTION("""COMPUTED_VALUE"""),45798.6458333333)</f>
        <v>45798.6458333333</v>
      </c>
      <c r="H39" s="17">
        <f>IFERROR(__xludf.DUMMYFUNCTION("""COMPUTED_VALUE"""),2524.5)</f>
        <v>2524.5</v>
      </c>
      <c r="I39" s="16">
        <f>IFERROR(__xludf.DUMMYFUNCTION("""COMPUTED_VALUE"""),45798.6458333333)</f>
        <v>45798.6458333333</v>
      </c>
      <c r="J39" s="17">
        <f>IFERROR(__xludf.DUMMYFUNCTION("""COMPUTED_VALUE"""),2483.7)</f>
        <v>2483.7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IFERROR(__xludf.DUMMYFUNCTION("""COMPUTED_VALUE"""),2487.6)</f>
        <v>2487.6</v>
      </c>
      <c r="C40" s="16">
        <f>IFERROR(__xludf.DUMMYFUNCTION("""COMPUTED_VALUE"""),45799.6458333333)</f>
        <v>45799.6458333333</v>
      </c>
      <c r="D40" s="17">
        <f>IFERROR(__xludf.DUMMYFUNCTION("""COMPUTED_VALUE"""),2500.4)</f>
        <v>2500.4</v>
      </c>
      <c r="E40" s="16">
        <f>IFERROR(__xludf.DUMMYFUNCTION("""COMPUTED_VALUE"""),45799.6458333333)</f>
        <v>45799.6458333333</v>
      </c>
      <c r="F40" s="17">
        <f>IFERROR(__xludf.DUMMYFUNCTION("""COMPUTED_VALUE"""),906909)</f>
        <v>906909</v>
      </c>
      <c r="G40" s="16">
        <f>IFERROR(__xludf.DUMMYFUNCTION("""COMPUTED_VALUE"""),45799.6458333333)</f>
        <v>45799.6458333333</v>
      </c>
      <c r="H40" s="17">
        <f>IFERROR(__xludf.DUMMYFUNCTION("""COMPUTED_VALUE"""),2521.9)</f>
        <v>2521.9</v>
      </c>
      <c r="I40" s="16">
        <f>IFERROR(__xludf.DUMMYFUNCTION("""COMPUTED_VALUE"""),45799.6458333333)</f>
        <v>45799.6458333333</v>
      </c>
      <c r="J40" s="17">
        <f>IFERROR(__xludf.DUMMYFUNCTION("""COMPUTED_VALUE"""),2465.3)</f>
        <v>2465.3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IFERROR(__xludf.DUMMYFUNCTION("""COMPUTED_VALUE"""),2540)</f>
        <v>2540</v>
      </c>
      <c r="C41" s="16">
        <f>IFERROR(__xludf.DUMMYFUNCTION("""COMPUTED_VALUE"""),45800.6458333333)</f>
        <v>45800.6458333333</v>
      </c>
      <c r="D41" s="17">
        <f>IFERROR(__xludf.DUMMYFUNCTION("""COMPUTED_VALUE"""),2499)</f>
        <v>2499</v>
      </c>
      <c r="E41" s="16">
        <f>IFERROR(__xludf.DUMMYFUNCTION("""COMPUTED_VALUE"""),45800.6458333333)</f>
        <v>45800.6458333333</v>
      </c>
      <c r="F41" s="17">
        <f>IFERROR(__xludf.DUMMYFUNCTION("""COMPUTED_VALUE"""),968415)</f>
        <v>968415</v>
      </c>
      <c r="G41" s="16">
        <f>IFERROR(__xludf.DUMMYFUNCTION("""COMPUTED_VALUE"""),45800.6458333333)</f>
        <v>45800.6458333333</v>
      </c>
      <c r="H41" s="17">
        <f>IFERROR(__xludf.DUMMYFUNCTION("""COMPUTED_VALUE"""),2548.1)</f>
        <v>2548.1</v>
      </c>
      <c r="I41" s="16">
        <f>IFERROR(__xludf.DUMMYFUNCTION("""COMPUTED_VALUE"""),45800.6458333333)</f>
        <v>45800.6458333333</v>
      </c>
      <c r="J41" s="17">
        <f>IFERROR(__xludf.DUMMYFUNCTION("""COMPUTED_VALUE"""),2490.5)</f>
        <v>2490.5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IFERROR(__xludf.DUMMYFUNCTION("""COMPUTED_VALUE"""),2547.7)</f>
        <v>2547.7</v>
      </c>
      <c r="C42" s="16">
        <f>IFERROR(__xludf.DUMMYFUNCTION("""COMPUTED_VALUE"""),45803.6458333333)</f>
        <v>45803.6458333333</v>
      </c>
      <c r="D42" s="17">
        <f>IFERROR(__xludf.DUMMYFUNCTION("""COMPUTED_VALUE"""),2549.1)</f>
        <v>2549.1</v>
      </c>
      <c r="E42" s="16">
        <f>IFERROR(__xludf.DUMMYFUNCTION("""COMPUTED_VALUE"""),45803.6458333333)</f>
        <v>45803.6458333333</v>
      </c>
      <c r="F42" s="17">
        <f>IFERROR(__xludf.DUMMYFUNCTION("""COMPUTED_VALUE"""),552912)</f>
        <v>552912</v>
      </c>
      <c r="G42" s="16">
        <f>IFERROR(__xludf.DUMMYFUNCTION("""COMPUTED_VALUE"""),45803.6458333333)</f>
        <v>45803.6458333333</v>
      </c>
      <c r="H42" s="17">
        <f>IFERROR(__xludf.DUMMYFUNCTION("""COMPUTED_VALUE"""),2568.9)</f>
        <v>2568.9</v>
      </c>
      <c r="I42" s="16">
        <f>IFERROR(__xludf.DUMMYFUNCTION("""COMPUTED_VALUE"""),45803.6458333333)</f>
        <v>45803.6458333333</v>
      </c>
      <c r="J42" s="17">
        <f>IFERROR(__xludf.DUMMYFUNCTION("""COMPUTED_VALUE"""),2541.3)</f>
        <v>2541.3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IFERROR(__xludf.DUMMYFUNCTION("""COMPUTED_VALUE"""),2540.3)</f>
        <v>2540.3</v>
      </c>
      <c r="C43" s="16">
        <f>IFERROR(__xludf.DUMMYFUNCTION("""COMPUTED_VALUE"""),45804.6458333333)</f>
        <v>45804.6458333333</v>
      </c>
      <c r="D43" s="17">
        <f>IFERROR(__xludf.DUMMYFUNCTION("""COMPUTED_VALUE"""),2545.9)</f>
        <v>2545.9</v>
      </c>
      <c r="E43" s="16">
        <f>IFERROR(__xludf.DUMMYFUNCTION("""COMPUTED_VALUE"""),45804.6458333333)</f>
        <v>45804.6458333333</v>
      </c>
      <c r="F43" s="17">
        <f>IFERROR(__xludf.DUMMYFUNCTION("""COMPUTED_VALUE"""),514936)</f>
        <v>514936</v>
      </c>
      <c r="G43" s="16">
        <f>IFERROR(__xludf.DUMMYFUNCTION("""COMPUTED_VALUE"""),45804.6458333333)</f>
        <v>45804.6458333333</v>
      </c>
      <c r="H43" s="17">
        <f>IFERROR(__xludf.DUMMYFUNCTION("""COMPUTED_VALUE"""),2569.1)</f>
        <v>2569.1</v>
      </c>
      <c r="I43" s="16">
        <f>IFERROR(__xludf.DUMMYFUNCTION("""COMPUTED_VALUE"""),45804.6458333333)</f>
        <v>45804.6458333333</v>
      </c>
      <c r="J43" s="17">
        <f>IFERROR(__xludf.DUMMYFUNCTION("""COMPUTED_VALUE"""),2526.1)</f>
        <v>2526.1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IFERROR(__xludf.DUMMYFUNCTION("""COMPUTED_VALUE"""),2515)</f>
        <v>2515</v>
      </c>
      <c r="C44" s="16">
        <f>IFERROR(__xludf.DUMMYFUNCTION("""COMPUTED_VALUE"""),45805.6458333333)</f>
        <v>45805.6458333333</v>
      </c>
      <c r="D44" s="17">
        <f>IFERROR(__xludf.DUMMYFUNCTION("""COMPUTED_VALUE"""),2559)</f>
        <v>2559</v>
      </c>
      <c r="E44" s="16">
        <f>IFERROR(__xludf.DUMMYFUNCTION("""COMPUTED_VALUE"""),45805.6458333333)</f>
        <v>45805.6458333333</v>
      </c>
      <c r="F44" s="17">
        <f>IFERROR(__xludf.DUMMYFUNCTION("""COMPUTED_VALUE"""),575989)</f>
        <v>575989</v>
      </c>
      <c r="G44" s="16">
        <f>IFERROR(__xludf.DUMMYFUNCTION("""COMPUTED_VALUE"""),45805.6458333333)</f>
        <v>45805.6458333333</v>
      </c>
      <c r="H44" s="17">
        <f>IFERROR(__xludf.DUMMYFUNCTION("""COMPUTED_VALUE"""),2559)</f>
        <v>2559</v>
      </c>
      <c r="I44" s="16">
        <f>IFERROR(__xludf.DUMMYFUNCTION("""COMPUTED_VALUE"""),45805.6458333333)</f>
        <v>45805.6458333333</v>
      </c>
      <c r="J44" s="17">
        <f>IFERROR(__xludf.DUMMYFUNCTION("""COMPUTED_VALUE"""),2510)</f>
        <v>2510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IFERROR(__xludf.DUMMYFUNCTION("""COMPUTED_VALUE"""),2540.8)</f>
        <v>2540.8</v>
      </c>
      <c r="C45" s="16">
        <f>IFERROR(__xludf.DUMMYFUNCTION("""COMPUTED_VALUE"""),45806.6458333333)</f>
        <v>45806.6458333333</v>
      </c>
      <c r="D45" s="17">
        <f>IFERROR(__xludf.DUMMYFUNCTION("""COMPUTED_VALUE"""),2536.7)</f>
        <v>2536.7</v>
      </c>
      <c r="E45" s="16">
        <f>IFERROR(__xludf.DUMMYFUNCTION("""COMPUTED_VALUE"""),45806.6458333333)</f>
        <v>45806.6458333333</v>
      </c>
      <c r="F45" s="17">
        <f>IFERROR(__xludf.DUMMYFUNCTION("""COMPUTED_VALUE"""),802317)</f>
        <v>802317</v>
      </c>
      <c r="G45" s="16">
        <f>IFERROR(__xludf.DUMMYFUNCTION("""COMPUTED_VALUE"""),45806.6458333333)</f>
        <v>45806.6458333333</v>
      </c>
      <c r="H45" s="17">
        <f>IFERROR(__xludf.DUMMYFUNCTION("""COMPUTED_VALUE"""),2559)</f>
        <v>2559</v>
      </c>
      <c r="I45" s="16">
        <f>IFERROR(__xludf.DUMMYFUNCTION("""COMPUTED_VALUE"""),45806.6458333333)</f>
        <v>45806.6458333333</v>
      </c>
      <c r="J45" s="17">
        <f>IFERROR(__xludf.DUMMYFUNCTION("""COMPUTED_VALUE"""),2511)</f>
        <v>2511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IFERROR(__xludf.DUMMYFUNCTION("""COMPUTED_VALUE"""),2519.9)</f>
        <v>2519.9</v>
      </c>
      <c r="C46" s="16">
        <f>IFERROR(__xludf.DUMMYFUNCTION("""COMPUTED_VALUE"""),45807.6458333333)</f>
        <v>45807.6458333333</v>
      </c>
      <c r="D46" s="17">
        <f>IFERROR(__xludf.DUMMYFUNCTION("""COMPUTED_VALUE"""),2550)</f>
        <v>2550</v>
      </c>
      <c r="E46" s="16">
        <f>IFERROR(__xludf.DUMMYFUNCTION("""COMPUTED_VALUE"""),45807.6458333333)</f>
        <v>45807.6458333333</v>
      </c>
      <c r="F46" s="17">
        <f>IFERROR(__xludf.DUMMYFUNCTION("""COMPUTED_VALUE"""),684592)</f>
        <v>684592</v>
      </c>
      <c r="G46" s="16">
        <f>IFERROR(__xludf.DUMMYFUNCTION("""COMPUTED_VALUE"""),45807.6458333333)</f>
        <v>45807.6458333333</v>
      </c>
      <c r="H46" s="17">
        <f>IFERROR(__xludf.DUMMYFUNCTION("""COMPUTED_VALUE"""),2564)</f>
        <v>2564</v>
      </c>
      <c r="I46" s="16">
        <f>IFERROR(__xludf.DUMMYFUNCTION("""COMPUTED_VALUE"""),45807.6458333333)</f>
        <v>45807.6458333333</v>
      </c>
      <c r="J46" s="17">
        <f>IFERROR(__xludf.DUMMYFUNCTION("""COMPUTED_VALUE"""),2513.8)</f>
        <v>2513.8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IFERROR(__xludf.DUMMYFUNCTION("""COMPUTED_VALUE"""),2518.8)</f>
        <v>2518.8</v>
      </c>
      <c r="C47" s="16">
        <f>IFERROR(__xludf.DUMMYFUNCTION("""COMPUTED_VALUE"""),45810.6458333333)</f>
        <v>45810.6458333333</v>
      </c>
      <c r="D47" s="17">
        <f>IFERROR(__xludf.DUMMYFUNCTION("""COMPUTED_VALUE"""),2527)</f>
        <v>2527</v>
      </c>
      <c r="E47" s="16">
        <f>IFERROR(__xludf.DUMMYFUNCTION("""COMPUTED_VALUE"""),45810.6458333333)</f>
        <v>45810.6458333333</v>
      </c>
      <c r="F47" s="17">
        <f>IFERROR(__xludf.DUMMYFUNCTION("""COMPUTED_VALUE"""),1008716)</f>
        <v>1008716</v>
      </c>
      <c r="G47" s="16">
        <f>IFERROR(__xludf.DUMMYFUNCTION("""COMPUTED_VALUE"""),45810.6458333333)</f>
        <v>45810.6458333333</v>
      </c>
      <c r="H47" s="17">
        <f>IFERROR(__xludf.DUMMYFUNCTION("""COMPUTED_VALUE"""),2564)</f>
        <v>2564</v>
      </c>
      <c r="I47" s="16">
        <f>IFERROR(__xludf.DUMMYFUNCTION("""COMPUTED_VALUE"""),45810.6458333333)</f>
        <v>45810.6458333333</v>
      </c>
      <c r="J47" s="17">
        <f>IFERROR(__xludf.DUMMYFUNCTION("""COMPUTED_VALUE"""),2514.9)</f>
        <v>2514.9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IFERROR(__xludf.DUMMYFUNCTION("""COMPUTED_VALUE"""),2470.9)</f>
        <v>2470.9</v>
      </c>
      <c r="C48" s="16">
        <f>IFERROR(__xludf.DUMMYFUNCTION("""COMPUTED_VALUE"""),45811.6458333333)</f>
        <v>45811.6458333333</v>
      </c>
      <c r="D48" s="17">
        <f>IFERROR(__xludf.DUMMYFUNCTION("""COMPUTED_VALUE"""),2511)</f>
        <v>2511</v>
      </c>
      <c r="E48" s="16">
        <f>IFERROR(__xludf.DUMMYFUNCTION("""COMPUTED_VALUE"""),45811.6458333333)</f>
        <v>45811.6458333333</v>
      </c>
      <c r="F48" s="17">
        <f>IFERROR(__xludf.DUMMYFUNCTION("""COMPUTED_VALUE"""),962708)</f>
        <v>962708</v>
      </c>
      <c r="G48" s="16">
        <f>IFERROR(__xludf.DUMMYFUNCTION("""COMPUTED_VALUE"""),45811.6458333333)</f>
        <v>45811.6458333333</v>
      </c>
      <c r="H48" s="17">
        <f>IFERROR(__xludf.DUMMYFUNCTION("""COMPUTED_VALUE"""),2512.5)</f>
        <v>2512.5</v>
      </c>
      <c r="I48" s="16">
        <f>IFERROR(__xludf.DUMMYFUNCTION("""COMPUTED_VALUE"""),45811.6458333333)</f>
        <v>45811.6458333333</v>
      </c>
      <c r="J48" s="17">
        <f>IFERROR(__xludf.DUMMYFUNCTION("""COMPUTED_VALUE"""),2452)</f>
        <v>2452</v>
      </c>
      <c r="K48" s="3">
        <f t="shared" si="2"/>
        <v>0</v>
      </c>
      <c r="L48" s="3">
        <f t="shared" si="3"/>
        <v>2470.9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IFERROR(__xludf.DUMMYFUNCTION("""COMPUTED_VALUE"""),2489.4)</f>
        <v>2489.4</v>
      </c>
      <c r="C49" s="16">
        <f>IFERROR(__xludf.DUMMYFUNCTION("""COMPUTED_VALUE"""),45812.6458333333)</f>
        <v>45812.6458333333</v>
      </c>
      <c r="D49" s="17">
        <f>IFERROR(__xludf.DUMMYFUNCTION("""COMPUTED_VALUE"""),2480)</f>
        <v>2480</v>
      </c>
      <c r="E49" s="16">
        <f>IFERROR(__xludf.DUMMYFUNCTION("""COMPUTED_VALUE"""),45812.6458333333)</f>
        <v>45812.6458333333</v>
      </c>
      <c r="F49" s="17">
        <f>IFERROR(__xludf.DUMMYFUNCTION("""COMPUTED_VALUE"""),552667)</f>
        <v>552667</v>
      </c>
      <c r="G49" s="16">
        <f>IFERROR(__xludf.DUMMYFUNCTION("""COMPUTED_VALUE"""),45812.6458333333)</f>
        <v>45812.6458333333</v>
      </c>
      <c r="H49" s="17">
        <f>IFERROR(__xludf.DUMMYFUNCTION("""COMPUTED_VALUE"""),2503)</f>
        <v>2503</v>
      </c>
      <c r="I49" s="16">
        <f>IFERROR(__xludf.DUMMYFUNCTION("""COMPUTED_VALUE"""),45812.6458333333)</f>
        <v>45812.6458333333</v>
      </c>
      <c r="J49" s="17">
        <f>IFERROR(__xludf.DUMMYFUNCTION("""COMPUTED_VALUE"""),2441.1)</f>
        <v>2441.1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IFERROR(__xludf.DUMMYFUNCTION("""COMPUTED_VALUE"""),2504.4)</f>
        <v>2504.4</v>
      </c>
      <c r="C50" s="16">
        <f>IFERROR(__xludf.DUMMYFUNCTION("""COMPUTED_VALUE"""),45813.6458333333)</f>
        <v>45813.6458333333</v>
      </c>
      <c r="D50" s="17">
        <f>IFERROR(__xludf.DUMMYFUNCTION("""COMPUTED_VALUE"""),2495)</f>
        <v>2495</v>
      </c>
      <c r="E50" s="16">
        <f>IFERROR(__xludf.DUMMYFUNCTION("""COMPUTED_VALUE"""),45813.6458333333)</f>
        <v>45813.6458333333</v>
      </c>
      <c r="F50" s="17">
        <f>IFERROR(__xludf.DUMMYFUNCTION("""COMPUTED_VALUE"""),673209)</f>
        <v>673209</v>
      </c>
      <c r="G50" s="16">
        <f>IFERROR(__xludf.DUMMYFUNCTION("""COMPUTED_VALUE"""),45813.6458333333)</f>
        <v>45813.6458333333</v>
      </c>
      <c r="H50" s="17">
        <f>IFERROR(__xludf.DUMMYFUNCTION("""COMPUTED_VALUE"""),2530.1)</f>
        <v>2530.1</v>
      </c>
      <c r="I50" s="16">
        <f>IFERROR(__xludf.DUMMYFUNCTION("""COMPUTED_VALUE"""),45813.6458333333)</f>
        <v>45813.6458333333</v>
      </c>
      <c r="J50" s="17">
        <f>IFERROR(__xludf.DUMMYFUNCTION("""COMPUTED_VALUE"""),2487.5)</f>
        <v>2487.5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IFERROR(__xludf.DUMMYFUNCTION("""COMPUTED_VALUE"""),2534.2)</f>
        <v>2534.2</v>
      </c>
      <c r="C51" s="16">
        <f>IFERROR(__xludf.DUMMYFUNCTION("""COMPUTED_VALUE"""),45814.6458333333)</f>
        <v>45814.6458333333</v>
      </c>
      <c r="D51" s="17">
        <f>IFERROR(__xludf.DUMMYFUNCTION("""COMPUTED_VALUE"""),2514.9)</f>
        <v>2514.9</v>
      </c>
      <c r="E51" s="16">
        <f>IFERROR(__xludf.DUMMYFUNCTION("""COMPUTED_VALUE"""),45814.6458333333)</f>
        <v>45814.6458333333</v>
      </c>
      <c r="F51" s="17">
        <f>IFERROR(__xludf.DUMMYFUNCTION("""COMPUTED_VALUE"""),640680)</f>
        <v>640680</v>
      </c>
      <c r="G51" s="16">
        <f>IFERROR(__xludf.DUMMYFUNCTION("""COMPUTED_VALUE"""),45814.6458333333)</f>
        <v>45814.6458333333</v>
      </c>
      <c r="H51" s="17">
        <f>IFERROR(__xludf.DUMMYFUNCTION("""COMPUTED_VALUE"""),2553.3)</f>
        <v>2553.3</v>
      </c>
      <c r="I51" s="16">
        <f>IFERROR(__xludf.DUMMYFUNCTION("""COMPUTED_VALUE"""),45814.6458333333)</f>
        <v>45814.6458333333</v>
      </c>
      <c r="J51" s="17">
        <f>IFERROR(__xludf.DUMMYFUNCTION("""COMPUTED_VALUE"""),2504)</f>
        <v>2504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IFERROR(__xludf.DUMMYFUNCTION("""COMPUTED_VALUE"""),2582.1)</f>
        <v>2582.1</v>
      </c>
      <c r="C52" s="16">
        <f>IFERROR(__xludf.DUMMYFUNCTION("""COMPUTED_VALUE"""),45817.6458333333)</f>
        <v>45817.6458333333</v>
      </c>
      <c r="D52" s="17">
        <f>IFERROR(__xludf.DUMMYFUNCTION("""COMPUTED_VALUE"""),2545)</f>
        <v>2545</v>
      </c>
      <c r="E52" s="16">
        <f>IFERROR(__xludf.DUMMYFUNCTION("""COMPUTED_VALUE"""),45817.6458333333)</f>
        <v>45817.6458333333</v>
      </c>
      <c r="F52" s="17">
        <f>IFERROR(__xludf.DUMMYFUNCTION("""COMPUTED_VALUE"""),1711167)</f>
        <v>1711167</v>
      </c>
      <c r="G52" s="16">
        <f>IFERROR(__xludf.DUMMYFUNCTION("""COMPUTED_VALUE"""),45817.6458333333)</f>
        <v>45817.6458333333</v>
      </c>
      <c r="H52" s="17">
        <f>IFERROR(__xludf.DUMMYFUNCTION("""COMPUTED_VALUE"""),2604.1)</f>
        <v>2604.1</v>
      </c>
      <c r="I52" s="16">
        <f>IFERROR(__xludf.DUMMYFUNCTION("""COMPUTED_VALUE"""),45817.6458333333)</f>
        <v>45817.6458333333</v>
      </c>
      <c r="J52" s="17">
        <f>IFERROR(__xludf.DUMMYFUNCTION("""COMPUTED_VALUE"""),2524.5)</f>
        <v>2524.5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IFERROR(__xludf.DUMMYFUNCTION("""COMPUTED_VALUE"""),2613.1)</f>
        <v>2613.1</v>
      </c>
      <c r="C53" s="16">
        <f>IFERROR(__xludf.DUMMYFUNCTION("""COMPUTED_VALUE"""),45818.6458333333)</f>
        <v>45818.6458333333</v>
      </c>
      <c r="D53" s="17">
        <f>IFERROR(__xludf.DUMMYFUNCTION("""COMPUTED_VALUE"""),2600)</f>
        <v>2600</v>
      </c>
      <c r="E53" s="16">
        <f>IFERROR(__xludf.DUMMYFUNCTION("""COMPUTED_VALUE"""),45818.6458333333)</f>
        <v>45818.6458333333</v>
      </c>
      <c r="F53" s="17">
        <f>IFERROR(__xludf.DUMMYFUNCTION("""COMPUTED_VALUE"""),2084054)</f>
        <v>2084054</v>
      </c>
      <c r="G53" s="16">
        <f>IFERROR(__xludf.DUMMYFUNCTION("""COMPUTED_VALUE"""),45818.6458333333)</f>
        <v>45818.6458333333</v>
      </c>
      <c r="H53" s="17">
        <f>IFERROR(__xludf.DUMMYFUNCTION("""COMPUTED_VALUE"""),2663.2)</f>
        <v>2663.2</v>
      </c>
      <c r="I53" s="16">
        <f>IFERROR(__xludf.DUMMYFUNCTION("""COMPUTED_VALUE"""),45818.6458333333)</f>
        <v>45818.6458333333</v>
      </c>
      <c r="J53" s="17">
        <f>IFERROR(__xludf.DUMMYFUNCTION("""COMPUTED_VALUE"""),2577.7)</f>
        <v>2577.7</v>
      </c>
      <c r="K53" s="3">
        <f t="shared" si="2"/>
        <v>2613.1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IFERROR(__xludf.DUMMYFUNCTION("""COMPUTED_VALUE"""),2581.2)</f>
        <v>2581.2</v>
      </c>
      <c r="C54" s="16">
        <f>IFERROR(__xludf.DUMMYFUNCTION("""COMPUTED_VALUE"""),45819.6458333333)</f>
        <v>45819.6458333333</v>
      </c>
      <c r="D54" s="17">
        <f>IFERROR(__xludf.DUMMYFUNCTION("""COMPUTED_VALUE"""),2630)</f>
        <v>2630</v>
      </c>
      <c r="E54" s="16">
        <f>IFERROR(__xludf.DUMMYFUNCTION("""COMPUTED_VALUE"""),45819.6458333333)</f>
        <v>45819.6458333333</v>
      </c>
      <c r="F54" s="17">
        <f>IFERROR(__xludf.DUMMYFUNCTION("""COMPUTED_VALUE"""),745432)</f>
        <v>745432</v>
      </c>
      <c r="G54" s="16">
        <f>IFERROR(__xludf.DUMMYFUNCTION("""COMPUTED_VALUE"""),45819.6458333333)</f>
        <v>45819.6458333333</v>
      </c>
      <c r="H54" s="17">
        <f>IFERROR(__xludf.DUMMYFUNCTION("""COMPUTED_VALUE"""),2630.9)</f>
        <v>2630.9</v>
      </c>
      <c r="I54" s="16">
        <f>IFERROR(__xludf.DUMMYFUNCTION("""COMPUTED_VALUE"""),45819.6458333333)</f>
        <v>45819.6458333333</v>
      </c>
      <c r="J54" s="17">
        <f>IFERROR(__xludf.DUMMYFUNCTION("""COMPUTED_VALUE"""),2563.1)</f>
        <v>2563.1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IFERROR(__xludf.DUMMYFUNCTION("""COMPUTED_VALUE"""),2543.7)</f>
        <v>2543.7</v>
      </c>
      <c r="C55" s="16">
        <f>IFERROR(__xludf.DUMMYFUNCTION("""COMPUTED_VALUE"""),45820.6458333333)</f>
        <v>45820.6458333333</v>
      </c>
      <c r="D55" s="17">
        <f>IFERROR(__xludf.DUMMYFUNCTION("""COMPUTED_VALUE"""),2591.5)</f>
        <v>2591.5</v>
      </c>
      <c r="E55" s="16">
        <f>IFERROR(__xludf.DUMMYFUNCTION("""COMPUTED_VALUE"""),45820.6458333333)</f>
        <v>45820.6458333333</v>
      </c>
      <c r="F55" s="17">
        <f>IFERROR(__xludf.DUMMYFUNCTION("""COMPUTED_VALUE"""),955097)</f>
        <v>955097</v>
      </c>
      <c r="G55" s="16">
        <f>IFERROR(__xludf.DUMMYFUNCTION("""COMPUTED_VALUE"""),45820.6458333333)</f>
        <v>45820.6458333333</v>
      </c>
      <c r="H55" s="17">
        <f>IFERROR(__xludf.DUMMYFUNCTION("""COMPUTED_VALUE"""),2601.8)</f>
        <v>2601.8</v>
      </c>
      <c r="I55" s="16">
        <f>IFERROR(__xludf.DUMMYFUNCTION("""COMPUTED_VALUE"""),45820.6458333333)</f>
        <v>45820.6458333333</v>
      </c>
      <c r="J55" s="17">
        <f>IFERROR(__xludf.DUMMYFUNCTION("""COMPUTED_VALUE"""),2530)</f>
        <v>2530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IFERROR(__xludf.DUMMYFUNCTION("""COMPUTED_VALUE"""),2507.9)</f>
        <v>2507.9</v>
      </c>
      <c r="C56" s="16">
        <f>IFERROR(__xludf.DUMMYFUNCTION("""COMPUTED_VALUE"""),45821.6458333333)</f>
        <v>45821.6458333333</v>
      </c>
      <c r="D56" s="17">
        <f>IFERROR(__xludf.DUMMYFUNCTION("""COMPUTED_VALUE"""),2498)</f>
        <v>2498</v>
      </c>
      <c r="E56" s="16">
        <f>IFERROR(__xludf.DUMMYFUNCTION("""COMPUTED_VALUE"""),45821.6458333333)</f>
        <v>45821.6458333333</v>
      </c>
      <c r="F56" s="17">
        <f>IFERROR(__xludf.DUMMYFUNCTION("""COMPUTED_VALUE"""),695869)</f>
        <v>695869</v>
      </c>
      <c r="G56" s="16">
        <f>IFERROR(__xludf.DUMMYFUNCTION("""COMPUTED_VALUE"""),45821.6458333333)</f>
        <v>45821.6458333333</v>
      </c>
      <c r="H56" s="17">
        <f>IFERROR(__xludf.DUMMYFUNCTION("""COMPUTED_VALUE"""),2516)</f>
        <v>2516</v>
      </c>
      <c r="I56" s="16">
        <f>IFERROR(__xludf.DUMMYFUNCTION("""COMPUTED_VALUE"""),45821.6458333333)</f>
        <v>45821.6458333333</v>
      </c>
      <c r="J56" s="17">
        <f>IFERROR(__xludf.DUMMYFUNCTION("""COMPUTED_VALUE"""),2460)</f>
        <v>2460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IFERROR(__xludf.DUMMYFUNCTION("""COMPUTED_VALUE"""),2544)</f>
        <v>2544</v>
      </c>
      <c r="C57" s="16">
        <f>IFERROR(__xludf.DUMMYFUNCTION("""COMPUTED_VALUE"""),45824.6458333333)</f>
        <v>45824.6458333333</v>
      </c>
      <c r="D57" s="17">
        <f>IFERROR(__xludf.DUMMYFUNCTION("""COMPUTED_VALUE"""),2500)</f>
        <v>2500</v>
      </c>
      <c r="E57" s="16">
        <f>IFERROR(__xludf.DUMMYFUNCTION("""COMPUTED_VALUE"""),45824.6458333333)</f>
        <v>45824.6458333333</v>
      </c>
      <c r="F57" s="17">
        <f>IFERROR(__xludf.DUMMYFUNCTION("""COMPUTED_VALUE"""),956459)</f>
        <v>956459</v>
      </c>
      <c r="G57" s="16">
        <f>IFERROR(__xludf.DUMMYFUNCTION("""COMPUTED_VALUE"""),45824.6458333333)</f>
        <v>45824.6458333333</v>
      </c>
      <c r="H57" s="17">
        <f>IFERROR(__xludf.DUMMYFUNCTION("""COMPUTED_VALUE"""),2563.3)</f>
        <v>2563.3</v>
      </c>
      <c r="I57" s="16">
        <f>IFERROR(__xludf.DUMMYFUNCTION("""COMPUTED_VALUE"""),45824.6458333333)</f>
        <v>45824.6458333333</v>
      </c>
      <c r="J57" s="17">
        <f>IFERROR(__xludf.DUMMYFUNCTION("""COMPUTED_VALUE"""),2462)</f>
        <v>2462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IFERROR(__xludf.DUMMYFUNCTION("""COMPUTED_VALUE"""),2488.5)</f>
        <v>2488.5</v>
      </c>
      <c r="C58" s="16">
        <f>IFERROR(__xludf.DUMMYFUNCTION("""COMPUTED_VALUE"""),45825.6458333333)</f>
        <v>45825.6458333333</v>
      </c>
      <c r="D58" s="17">
        <f>IFERROR(__xludf.DUMMYFUNCTION("""COMPUTED_VALUE"""),2535)</f>
        <v>2535</v>
      </c>
      <c r="E58" s="16">
        <f>IFERROR(__xludf.DUMMYFUNCTION("""COMPUTED_VALUE"""),45825.6458333333)</f>
        <v>45825.6458333333</v>
      </c>
      <c r="F58" s="17">
        <f>IFERROR(__xludf.DUMMYFUNCTION("""COMPUTED_VALUE"""),703343)</f>
        <v>703343</v>
      </c>
      <c r="G58" s="16">
        <f>IFERROR(__xludf.DUMMYFUNCTION("""COMPUTED_VALUE"""),45825.6458333333)</f>
        <v>45825.6458333333</v>
      </c>
      <c r="H58" s="17">
        <f>IFERROR(__xludf.DUMMYFUNCTION("""COMPUTED_VALUE"""),2539.6)</f>
        <v>2539.6</v>
      </c>
      <c r="I58" s="16">
        <f>IFERROR(__xludf.DUMMYFUNCTION("""COMPUTED_VALUE"""),45825.6458333333)</f>
        <v>45825.6458333333</v>
      </c>
      <c r="J58" s="17">
        <f>IFERROR(__xludf.DUMMYFUNCTION("""COMPUTED_VALUE"""),2479)</f>
        <v>2479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IFERROR(__xludf.DUMMYFUNCTION("""COMPUTED_VALUE"""),2459.1)</f>
        <v>2459.1</v>
      </c>
      <c r="C59" s="16">
        <f>IFERROR(__xludf.DUMMYFUNCTION("""COMPUTED_VALUE"""),45826.6458333333)</f>
        <v>45826.6458333333</v>
      </c>
      <c r="D59" s="17">
        <f>IFERROR(__xludf.DUMMYFUNCTION("""COMPUTED_VALUE"""),2491.9)</f>
        <v>2491.9</v>
      </c>
      <c r="E59" s="16">
        <f>IFERROR(__xludf.DUMMYFUNCTION("""COMPUTED_VALUE"""),45826.6458333333)</f>
        <v>45826.6458333333</v>
      </c>
      <c r="F59" s="17">
        <f>IFERROR(__xludf.DUMMYFUNCTION("""COMPUTED_VALUE"""),667044)</f>
        <v>667044</v>
      </c>
      <c r="G59" s="16">
        <f>IFERROR(__xludf.DUMMYFUNCTION("""COMPUTED_VALUE"""),45826.6458333333)</f>
        <v>45826.6458333333</v>
      </c>
      <c r="H59" s="17">
        <f>IFERROR(__xludf.DUMMYFUNCTION("""COMPUTED_VALUE"""),2495.9)</f>
        <v>2495.9</v>
      </c>
      <c r="I59" s="16">
        <f>IFERROR(__xludf.DUMMYFUNCTION("""COMPUTED_VALUE"""),45826.6458333333)</f>
        <v>45826.6458333333</v>
      </c>
      <c r="J59" s="17">
        <f>IFERROR(__xludf.DUMMYFUNCTION("""COMPUTED_VALUE"""),2445.4)</f>
        <v>2445.4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IFERROR(__xludf.DUMMYFUNCTION("""COMPUTED_VALUE"""),2420.6)</f>
        <v>2420.6</v>
      </c>
      <c r="C60" s="16">
        <f>IFERROR(__xludf.DUMMYFUNCTION("""COMPUTED_VALUE"""),45827.6458333333)</f>
        <v>45827.6458333333</v>
      </c>
      <c r="D60" s="17">
        <f>IFERROR(__xludf.DUMMYFUNCTION("""COMPUTED_VALUE"""),2466.3)</f>
        <v>2466.3</v>
      </c>
      <c r="E60" s="16">
        <f>IFERROR(__xludf.DUMMYFUNCTION("""COMPUTED_VALUE"""),45827.6458333333)</f>
        <v>45827.6458333333</v>
      </c>
      <c r="F60" s="17">
        <f>IFERROR(__xludf.DUMMYFUNCTION("""COMPUTED_VALUE"""),688209)</f>
        <v>688209</v>
      </c>
      <c r="G60" s="16">
        <f>IFERROR(__xludf.DUMMYFUNCTION("""COMPUTED_VALUE"""),45827.6458333333)</f>
        <v>45827.6458333333</v>
      </c>
      <c r="H60" s="17">
        <f>IFERROR(__xludf.DUMMYFUNCTION("""COMPUTED_VALUE"""),2468.9)</f>
        <v>2468.9</v>
      </c>
      <c r="I60" s="16">
        <f>IFERROR(__xludf.DUMMYFUNCTION("""COMPUTED_VALUE"""),45827.6458333333)</f>
        <v>45827.6458333333</v>
      </c>
      <c r="J60" s="17">
        <f>IFERROR(__xludf.DUMMYFUNCTION("""COMPUTED_VALUE"""),2405.1)</f>
        <v>2405.1</v>
      </c>
      <c r="K60" s="3">
        <f t="shared" si="2"/>
        <v>0</v>
      </c>
      <c r="L60" s="3">
        <f t="shared" si="3"/>
        <v>2420.6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IFERROR(__xludf.DUMMYFUNCTION("""COMPUTED_VALUE"""),2448.4)</f>
        <v>2448.4</v>
      </c>
      <c r="C61" s="16">
        <f>IFERROR(__xludf.DUMMYFUNCTION("""COMPUTED_VALUE"""),45828.6458333333)</f>
        <v>45828.6458333333</v>
      </c>
      <c r="D61" s="17">
        <f>IFERROR(__xludf.DUMMYFUNCTION("""COMPUTED_VALUE"""),2428)</f>
        <v>2428</v>
      </c>
      <c r="E61" s="16">
        <f>IFERROR(__xludf.DUMMYFUNCTION("""COMPUTED_VALUE"""),45828.6458333333)</f>
        <v>45828.6458333333</v>
      </c>
      <c r="F61" s="17">
        <f>IFERROR(__xludf.DUMMYFUNCTION("""COMPUTED_VALUE"""),3002549)</f>
        <v>3002549</v>
      </c>
      <c r="G61" s="16">
        <f>IFERROR(__xludf.DUMMYFUNCTION("""COMPUTED_VALUE"""),45828.6458333333)</f>
        <v>45828.6458333333</v>
      </c>
      <c r="H61" s="17">
        <f>IFERROR(__xludf.DUMMYFUNCTION("""COMPUTED_VALUE"""),2461.3)</f>
        <v>2461.3</v>
      </c>
      <c r="I61" s="16">
        <f>IFERROR(__xludf.DUMMYFUNCTION("""COMPUTED_VALUE"""),45828.6458333333)</f>
        <v>45828.6458333333</v>
      </c>
      <c r="J61" s="17">
        <f>IFERROR(__xludf.DUMMYFUNCTION("""COMPUTED_VALUE"""),2415)</f>
        <v>2415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IFERROR(__xludf.DUMMYFUNCTION("""COMPUTED_VALUE"""),2472)</f>
        <v>2472</v>
      </c>
      <c r="C62" s="16">
        <f>IFERROR(__xludf.DUMMYFUNCTION("""COMPUTED_VALUE"""),45831.6458333333)</f>
        <v>45831.6458333333</v>
      </c>
      <c r="D62" s="17">
        <f>IFERROR(__xludf.DUMMYFUNCTION("""COMPUTED_VALUE"""),2438)</f>
        <v>2438</v>
      </c>
      <c r="E62" s="16">
        <f>IFERROR(__xludf.DUMMYFUNCTION("""COMPUTED_VALUE"""),45831.6458333333)</f>
        <v>45831.6458333333</v>
      </c>
      <c r="F62" s="17">
        <f>IFERROR(__xludf.DUMMYFUNCTION("""COMPUTED_VALUE"""),790535)</f>
        <v>790535</v>
      </c>
      <c r="G62" s="16">
        <f>IFERROR(__xludf.DUMMYFUNCTION("""COMPUTED_VALUE"""),45831.6458333333)</f>
        <v>45831.6458333333</v>
      </c>
      <c r="H62" s="17">
        <f>IFERROR(__xludf.DUMMYFUNCTION("""COMPUTED_VALUE"""),2492.6)</f>
        <v>2492.6</v>
      </c>
      <c r="I62" s="16">
        <f>IFERROR(__xludf.DUMMYFUNCTION("""COMPUTED_VALUE"""),45831.6458333333)</f>
        <v>45831.6458333333</v>
      </c>
      <c r="J62" s="17">
        <f>IFERROR(__xludf.DUMMYFUNCTION("""COMPUTED_VALUE"""),2421)</f>
        <v>2421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IFERROR(__xludf.DUMMYFUNCTION("""COMPUTED_VALUE"""),2505.6)</f>
        <v>2505.6</v>
      </c>
      <c r="C63" s="16">
        <f>IFERROR(__xludf.DUMMYFUNCTION("""COMPUTED_VALUE"""),45832.6458333333)</f>
        <v>45832.6458333333</v>
      </c>
      <c r="D63" s="17">
        <f>IFERROR(__xludf.DUMMYFUNCTION("""COMPUTED_VALUE"""),2504)</f>
        <v>2504</v>
      </c>
      <c r="E63" s="16">
        <f>IFERROR(__xludf.DUMMYFUNCTION("""COMPUTED_VALUE"""),45832.6458333333)</f>
        <v>45832.6458333333</v>
      </c>
      <c r="F63" s="17">
        <f>IFERROR(__xludf.DUMMYFUNCTION("""COMPUTED_VALUE"""),996405)</f>
        <v>996405</v>
      </c>
      <c r="G63" s="16">
        <f>IFERROR(__xludf.DUMMYFUNCTION("""COMPUTED_VALUE"""),45832.6458333333)</f>
        <v>45832.6458333333</v>
      </c>
      <c r="H63" s="17">
        <f>IFERROR(__xludf.DUMMYFUNCTION("""COMPUTED_VALUE"""),2544.6)</f>
        <v>2544.6</v>
      </c>
      <c r="I63" s="16">
        <f>IFERROR(__xludf.DUMMYFUNCTION("""COMPUTED_VALUE"""),45832.6458333333)</f>
        <v>45832.6458333333</v>
      </c>
      <c r="J63" s="17">
        <f>IFERROR(__xludf.DUMMYFUNCTION("""COMPUTED_VALUE"""),2500.2)</f>
        <v>2500.2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IFERROR(__xludf.DUMMYFUNCTION("""COMPUTED_VALUE"""),2527.2)</f>
        <v>2527.2</v>
      </c>
      <c r="C64" s="16">
        <f>IFERROR(__xludf.DUMMYFUNCTION("""COMPUTED_VALUE"""),45833.6458333333)</f>
        <v>45833.6458333333</v>
      </c>
      <c r="D64" s="17">
        <f>IFERROR(__xludf.DUMMYFUNCTION("""COMPUTED_VALUE"""),2519.9)</f>
        <v>2519.9</v>
      </c>
      <c r="E64" s="16">
        <f>IFERROR(__xludf.DUMMYFUNCTION("""COMPUTED_VALUE"""),45833.6458333333)</f>
        <v>45833.6458333333</v>
      </c>
      <c r="F64" s="17">
        <f>IFERROR(__xludf.DUMMYFUNCTION("""COMPUTED_VALUE"""),921346)</f>
        <v>921346</v>
      </c>
      <c r="G64" s="16">
        <f>IFERROR(__xludf.DUMMYFUNCTION("""COMPUTED_VALUE"""),45833.6458333333)</f>
        <v>45833.6458333333</v>
      </c>
      <c r="H64" s="17">
        <f>IFERROR(__xludf.DUMMYFUNCTION("""COMPUTED_VALUE"""),2541.6)</f>
        <v>2541.6</v>
      </c>
      <c r="I64" s="16">
        <f>IFERROR(__xludf.DUMMYFUNCTION("""COMPUTED_VALUE"""),45833.6458333333)</f>
        <v>45833.6458333333</v>
      </c>
      <c r="J64" s="17">
        <f>IFERROR(__xludf.DUMMYFUNCTION("""COMPUTED_VALUE"""),2512.1)</f>
        <v>2512.1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IFERROR(__xludf.DUMMYFUNCTION("""COMPUTED_VALUE"""),2586.2)</f>
        <v>2586.2</v>
      </c>
      <c r="C65" s="16">
        <f>IFERROR(__xludf.DUMMYFUNCTION("""COMPUTED_VALUE"""),45834.6458333333)</f>
        <v>45834.6458333333</v>
      </c>
      <c r="D65" s="17">
        <f>IFERROR(__xludf.DUMMYFUNCTION("""COMPUTED_VALUE"""),2535)</f>
        <v>2535</v>
      </c>
      <c r="E65" s="16">
        <f>IFERROR(__xludf.DUMMYFUNCTION("""COMPUTED_VALUE"""),45834.6458333333)</f>
        <v>45834.6458333333</v>
      </c>
      <c r="F65" s="17">
        <f>IFERROR(__xludf.DUMMYFUNCTION("""COMPUTED_VALUE"""),1339627)</f>
        <v>1339627</v>
      </c>
      <c r="G65" s="16">
        <f>IFERROR(__xludf.DUMMYFUNCTION("""COMPUTED_VALUE"""),45834.6458333333)</f>
        <v>45834.6458333333</v>
      </c>
      <c r="H65" s="17">
        <f>IFERROR(__xludf.DUMMYFUNCTION("""COMPUTED_VALUE"""),2593.6)</f>
        <v>2593.6</v>
      </c>
      <c r="I65" s="16">
        <f>IFERROR(__xludf.DUMMYFUNCTION("""COMPUTED_VALUE"""),45834.6458333333)</f>
        <v>45834.6458333333</v>
      </c>
      <c r="J65" s="17">
        <f>IFERROR(__xludf.DUMMYFUNCTION("""COMPUTED_VALUE"""),2522.2)</f>
        <v>2522.2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IFERROR(__xludf.DUMMYFUNCTION("""COMPUTED_VALUE"""),2646.3)</f>
        <v>2646.3</v>
      </c>
      <c r="C66" s="16">
        <f>IFERROR(__xludf.DUMMYFUNCTION("""COMPUTED_VALUE"""),45835.6458333333)</f>
        <v>45835.6458333333</v>
      </c>
      <c r="D66" s="17">
        <f>IFERROR(__xludf.DUMMYFUNCTION("""COMPUTED_VALUE"""),2587.7)</f>
        <v>2587.7</v>
      </c>
      <c r="E66" s="16">
        <f>IFERROR(__xludf.DUMMYFUNCTION("""COMPUTED_VALUE"""),45835.6458333333)</f>
        <v>45835.6458333333</v>
      </c>
      <c r="F66" s="17">
        <f>IFERROR(__xludf.DUMMYFUNCTION("""COMPUTED_VALUE"""),4049316)</f>
        <v>4049316</v>
      </c>
      <c r="G66" s="16">
        <f>IFERROR(__xludf.DUMMYFUNCTION("""COMPUTED_VALUE"""),45835.6458333333)</f>
        <v>45835.6458333333</v>
      </c>
      <c r="H66" s="17">
        <f>IFERROR(__xludf.DUMMYFUNCTION("""COMPUTED_VALUE"""),2681.6)</f>
        <v>2681.6</v>
      </c>
      <c r="I66" s="16">
        <f>IFERROR(__xludf.DUMMYFUNCTION("""COMPUTED_VALUE"""),45835.6458333333)</f>
        <v>45835.6458333333</v>
      </c>
      <c r="J66" s="17">
        <f>IFERROR(__xludf.DUMMYFUNCTION("""COMPUTED_VALUE"""),2582)</f>
        <v>2582</v>
      </c>
      <c r="K66" s="3">
        <f t="shared" si="2"/>
        <v>2646.3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IFERROR(__xludf.DUMMYFUNCTION("""COMPUTED_VALUE"""),2619.4)</f>
        <v>2619.4</v>
      </c>
      <c r="C67" s="16">
        <f>IFERROR(__xludf.DUMMYFUNCTION("""COMPUTED_VALUE"""),45838.6458333333)</f>
        <v>45838.6458333333</v>
      </c>
      <c r="D67" s="17">
        <f>IFERROR(__xludf.DUMMYFUNCTION("""COMPUTED_VALUE"""),2650)</f>
        <v>2650</v>
      </c>
      <c r="E67" s="16">
        <f>IFERROR(__xludf.DUMMYFUNCTION("""COMPUTED_VALUE"""),45838.6458333333)</f>
        <v>45838.6458333333</v>
      </c>
      <c r="F67" s="17">
        <f>IFERROR(__xludf.DUMMYFUNCTION("""COMPUTED_VALUE"""),694815)</f>
        <v>694815</v>
      </c>
      <c r="G67" s="16">
        <f>IFERROR(__xludf.DUMMYFUNCTION("""COMPUTED_VALUE"""),45838.6458333333)</f>
        <v>45838.6458333333</v>
      </c>
      <c r="H67" s="17">
        <f>IFERROR(__xludf.DUMMYFUNCTION("""COMPUTED_VALUE"""),2653.9)</f>
        <v>2653.9</v>
      </c>
      <c r="I67" s="16">
        <f>IFERROR(__xludf.DUMMYFUNCTION("""COMPUTED_VALUE"""),45838.6458333333)</f>
        <v>45838.6458333333</v>
      </c>
      <c r="J67" s="17">
        <f>IFERROR(__xludf.DUMMYFUNCTION("""COMPUTED_VALUE"""),2605.9)</f>
        <v>2605.9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IFERROR(__xludf.DUMMYFUNCTION("""COMPUTED_VALUE"""),2621.8)</f>
        <v>2621.8</v>
      </c>
      <c r="C68" s="16">
        <f>IFERROR(__xludf.DUMMYFUNCTION("""COMPUTED_VALUE"""),45839.6458333333)</f>
        <v>45839.6458333333</v>
      </c>
      <c r="D68" s="17">
        <f>IFERROR(__xludf.DUMMYFUNCTION("""COMPUTED_VALUE"""),2624.9)</f>
        <v>2624.9</v>
      </c>
      <c r="E68" s="16">
        <f>IFERROR(__xludf.DUMMYFUNCTION("""COMPUTED_VALUE"""),45839.6458333333)</f>
        <v>45839.6458333333</v>
      </c>
      <c r="F68" s="17">
        <f>IFERROR(__xludf.DUMMYFUNCTION("""COMPUTED_VALUE"""),729197)</f>
        <v>729197</v>
      </c>
      <c r="G68" s="16">
        <f>IFERROR(__xludf.DUMMYFUNCTION("""COMPUTED_VALUE"""),45839.6458333333)</f>
        <v>45839.6458333333</v>
      </c>
      <c r="H68" s="17">
        <f>IFERROR(__xludf.DUMMYFUNCTION("""COMPUTED_VALUE"""),2645)</f>
        <v>2645</v>
      </c>
      <c r="I68" s="16">
        <f>IFERROR(__xludf.DUMMYFUNCTION("""COMPUTED_VALUE"""),45839.6458333333)</f>
        <v>45839.6458333333</v>
      </c>
      <c r="J68" s="17">
        <f>IFERROR(__xludf.DUMMYFUNCTION("""COMPUTED_VALUE"""),2603)</f>
        <v>2603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IFERROR(__xludf.DUMMYFUNCTION("""COMPUTED_VALUE"""),2630.2)</f>
        <v>2630.2</v>
      </c>
      <c r="C69" s="16">
        <f>IFERROR(__xludf.DUMMYFUNCTION("""COMPUTED_VALUE"""),45840.6458333333)</f>
        <v>45840.6458333333</v>
      </c>
      <c r="D69" s="17">
        <f>IFERROR(__xludf.DUMMYFUNCTION("""COMPUTED_VALUE"""),2634)</f>
        <v>2634</v>
      </c>
      <c r="E69" s="16">
        <f>IFERROR(__xludf.DUMMYFUNCTION("""COMPUTED_VALUE"""),45840.6458333333)</f>
        <v>45840.6458333333</v>
      </c>
      <c r="F69" s="17">
        <f>IFERROR(__xludf.DUMMYFUNCTION("""COMPUTED_VALUE"""),621409)</f>
        <v>621409</v>
      </c>
      <c r="G69" s="16">
        <f>IFERROR(__xludf.DUMMYFUNCTION("""COMPUTED_VALUE"""),45840.6458333333)</f>
        <v>45840.6458333333</v>
      </c>
      <c r="H69" s="17">
        <f>IFERROR(__xludf.DUMMYFUNCTION("""COMPUTED_VALUE"""),2646)</f>
        <v>2646</v>
      </c>
      <c r="I69" s="16">
        <f>IFERROR(__xludf.DUMMYFUNCTION("""COMPUTED_VALUE"""),45840.6458333333)</f>
        <v>45840.6458333333</v>
      </c>
      <c r="J69" s="17">
        <f>IFERROR(__xludf.DUMMYFUNCTION("""COMPUTED_VALUE"""),2613.6)</f>
        <v>2613.6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IFERROR(__xludf.DUMMYFUNCTION("""COMPUTED_VALUE"""),2611.2)</f>
        <v>2611.2</v>
      </c>
      <c r="C70" s="16">
        <f>IFERROR(__xludf.DUMMYFUNCTION("""COMPUTED_VALUE"""),45841.6458333333)</f>
        <v>45841.6458333333</v>
      </c>
      <c r="D70" s="17">
        <f>IFERROR(__xludf.DUMMYFUNCTION("""COMPUTED_VALUE"""),2634)</f>
        <v>2634</v>
      </c>
      <c r="E70" s="16">
        <f>IFERROR(__xludf.DUMMYFUNCTION("""COMPUTED_VALUE"""),45841.6458333333)</f>
        <v>45841.6458333333</v>
      </c>
      <c r="F70" s="17">
        <f>IFERROR(__xludf.DUMMYFUNCTION("""COMPUTED_VALUE"""),502724)</f>
        <v>502724</v>
      </c>
      <c r="G70" s="16">
        <f>IFERROR(__xludf.DUMMYFUNCTION("""COMPUTED_VALUE"""),45841.6458333333)</f>
        <v>45841.6458333333</v>
      </c>
      <c r="H70" s="17">
        <f>IFERROR(__xludf.DUMMYFUNCTION("""COMPUTED_VALUE"""),2644)</f>
        <v>2644</v>
      </c>
      <c r="I70" s="16">
        <f>IFERROR(__xludf.DUMMYFUNCTION("""COMPUTED_VALUE"""),45841.6458333333)</f>
        <v>45841.6458333333</v>
      </c>
      <c r="J70" s="17">
        <f>IFERROR(__xludf.DUMMYFUNCTION("""COMPUTED_VALUE"""),2605.1)</f>
        <v>2605.1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IFERROR(__xludf.DUMMYFUNCTION("""COMPUTED_VALUE"""),2599.1)</f>
        <v>2599.1</v>
      </c>
      <c r="C71" s="16">
        <f>IFERROR(__xludf.DUMMYFUNCTION("""COMPUTED_VALUE"""),45842.6458333333)</f>
        <v>45842.6458333333</v>
      </c>
      <c r="D71" s="17">
        <f>IFERROR(__xludf.DUMMYFUNCTION("""COMPUTED_VALUE"""),2617)</f>
        <v>2617</v>
      </c>
      <c r="E71" s="16">
        <f>IFERROR(__xludf.DUMMYFUNCTION("""COMPUTED_VALUE"""),45842.6458333333)</f>
        <v>45842.6458333333</v>
      </c>
      <c r="F71" s="17">
        <f>IFERROR(__xludf.DUMMYFUNCTION("""COMPUTED_VALUE"""),370305)</f>
        <v>370305</v>
      </c>
      <c r="G71" s="16">
        <f>IFERROR(__xludf.DUMMYFUNCTION("""COMPUTED_VALUE"""),45842.6458333333)</f>
        <v>45842.6458333333</v>
      </c>
      <c r="H71" s="17">
        <f>IFERROR(__xludf.DUMMYFUNCTION("""COMPUTED_VALUE"""),2617)</f>
        <v>2617</v>
      </c>
      <c r="I71" s="16">
        <f>IFERROR(__xludf.DUMMYFUNCTION("""COMPUTED_VALUE"""),45842.6458333333)</f>
        <v>45842.6458333333</v>
      </c>
      <c r="J71" s="17">
        <f>IFERROR(__xludf.DUMMYFUNCTION("""COMPUTED_VALUE"""),2582.2)</f>
        <v>2582.2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IFERROR(__xludf.DUMMYFUNCTION("""COMPUTED_VALUE"""),2576.1)</f>
        <v>2576.1</v>
      </c>
      <c r="C72" s="16">
        <f>IFERROR(__xludf.DUMMYFUNCTION("""COMPUTED_VALUE"""),45845.6458333333)</f>
        <v>45845.6458333333</v>
      </c>
      <c r="D72" s="17">
        <f>IFERROR(__xludf.DUMMYFUNCTION("""COMPUTED_VALUE"""),2602)</f>
        <v>2602</v>
      </c>
      <c r="E72" s="16">
        <f>IFERROR(__xludf.DUMMYFUNCTION("""COMPUTED_VALUE"""),45845.6458333333)</f>
        <v>45845.6458333333</v>
      </c>
      <c r="F72" s="17">
        <f>IFERROR(__xludf.DUMMYFUNCTION("""COMPUTED_VALUE"""),412159)</f>
        <v>412159</v>
      </c>
      <c r="G72" s="16">
        <f>IFERROR(__xludf.DUMMYFUNCTION("""COMPUTED_VALUE"""),45845.6458333333)</f>
        <v>45845.6458333333</v>
      </c>
      <c r="H72" s="17">
        <f>IFERROR(__xludf.DUMMYFUNCTION("""COMPUTED_VALUE"""),2605.4)</f>
        <v>2605.4</v>
      </c>
      <c r="I72" s="16">
        <f>IFERROR(__xludf.DUMMYFUNCTION("""COMPUTED_VALUE"""),45845.6458333333)</f>
        <v>45845.6458333333</v>
      </c>
      <c r="J72" s="17">
        <f>IFERROR(__xludf.DUMMYFUNCTION("""COMPUTED_VALUE"""),2572)</f>
        <v>2572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IFERROR(__xludf.DUMMYFUNCTION("""COMPUTED_VALUE"""),2591.3)</f>
        <v>2591.3</v>
      </c>
      <c r="C73" s="16">
        <f>IFERROR(__xludf.DUMMYFUNCTION("""COMPUTED_VALUE"""),45846.6458333333)</f>
        <v>45846.6458333333</v>
      </c>
      <c r="D73" s="17">
        <f>IFERROR(__xludf.DUMMYFUNCTION("""COMPUTED_VALUE"""),2586)</f>
        <v>2586</v>
      </c>
      <c r="E73" s="16">
        <f>IFERROR(__xludf.DUMMYFUNCTION("""COMPUTED_VALUE"""),45846.6458333333)</f>
        <v>45846.6458333333</v>
      </c>
      <c r="F73" s="17">
        <f>IFERROR(__xludf.DUMMYFUNCTION("""COMPUTED_VALUE"""),357701)</f>
        <v>357701</v>
      </c>
      <c r="G73" s="16">
        <f>IFERROR(__xludf.DUMMYFUNCTION("""COMPUTED_VALUE"""),45846.6458333333)</f>
        <v>45846.6458333333</v>
      </c>
      <c r="H73" s="17">
        <f>IFERROR(__xludf.DUMMYFUNCTION("""COMPUTED_VALUE"""),2600)</f>
        <v>2600</v>
      </c>
      <c r="I73" s="16">
        <f>IFERROR(__xludf.DUMMYFUNCTION("""COMPUTED_VALUE"""),45846.6458333333)</f>
        <v>45846.6458333333</v>
      </c>
      <c r="J73" s="17">
        <f>IFERROR(__xludf.DUMMYFUNCTION("""COMPUTED_VALUE"""),2573)</f>
        <v>2573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IFERROR(__xludf.DUMMYFUNCTION("""COMPUTED_VALUE"""),2583)</f>
        <v>2583</v>
      </c>
      <c r="C74" s="16">
        <f>IFERROR(__xludf.DUMMYFUNCTION("""COMPUTED_VALUE"""),45847.6458333333)</f>
        <v>45847.6458333333</v>
      </c>
      <c r="D74" s="17">
        <f>IFERROR(__xludf.DUMMYFUNCTION("""COMPUTED_VALUE"""),2599)</f>
        <v>2599</v>
      </c>
      <c r="E74" s="16">
        <f>IFERROR(__xludf.DUMMYFUNCTION("""COMPUTED_VALUE"""),45847.6458333333)</f>
        <v>45847.6458333333</v>
      </c>
      <c r="F74" s="17">
        <f>IFERROR(__xludf.DUMMYFUNCTION("""COMPUTED_VALUE"""),396880)</f>
        <v>396880</v>
      </c>
      <c r="G74" s="16">
        <f>IFERROR(__xludf.DUMMYFUNCTION("""COMPUTED_VALUE"""),45847.6458333333)</f>
        <v>45847.6458333333</v>
      </c>
      <c r="H74" s="17">
        <f>IFERROR(__xludf.DUMMYFUNCTION("""COMPUTED_VALUE"""),2609.9)</f>
        <v>2609.9</v>
      </c>
      <c r="I74" s="16">
        <f>IFERROR(__xludf.DUMMYFUNCTION("""COMPUTED_VALUE"""),45847.6458333333)</f>
        <v>45847.6458333333</v>
      </c>
      <c r="J74" s="17">
        <f>IFERROR(__xludf.DUMMYFUNCTION("""COMPUTED_VALUE"""),2570)</f>
        <v>2570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IFERROR(__xludf.DUMMYFUNCTION("""COMPUTED_VALUE"""),2581)</f>
        <v>2581</v>
      </c>
      <c r="C75" s="16">
        <f>IFERROR(__xludf.DUMMYFUNCTION("""COMPUTED_VALUE"""),45848.6458333333)</f>
        <v>45848.6458333333</v>
      </c>
      <c r="D75" s="17">
        <f>IFERROR(__xludf.DUMMYFUNCTION("""COMPUTED_VALUE"""),2591)</f>
        <v>2591</v>
      </c>
      <c r="E75" s="16">
        <f>IFERROR(__xludf.DUMMYFUNCTION("""COMPUTED_VALUE"""),45848.6458333333)</f>
        <v>45848.6458333333</v>
      </c>
      <c r="F75" s="17">
        <f>IFERROR(__xludf.DUMMYFUNCTION("""COMPUTED_VALUE"""),306565)</f>
        <v>306565</v>
      </c>
      <c r="G75" s="16">
        <f>IFERROR(__xludf.DUMMYFUNCTION("""COMPUTED_VALUE"""),45848.6458333333)</f>
        <v>45848.6458333333</v>
      </c>
      <c r="H75" s="17">
        <f>IFERROR(__xludf.DUMMYFUNCTION("""COMPUTED_VALUE"""),2604)</f>
        <v>2604</v>
      </c>
      <c r="I75" s="16">
        <f>IFERROR(__xludf.DUMMYFUNCTION("""COMPUTED_VALUE"""),45848.6458333333)</f>
        <v>45848.6458333333</v>
      </c>
      <c r="J75" s="17">
        <f>IFERROR(__xludf.DUMMYFUNCTION("""COMPUTED_VALUE"""),2575)</f>
        <v>2575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IFERROR(__xludf.DUMMYFUNCTION("""COMPUTED_VALUE"""),2558.7)</f>
        <v>2558.7</v>
      </c>
      <c r="C76" s="16">
        <f>IFERROR(__xludf.DUMMYFUNCTION("""COMPUTED_VALUE"""),45849.6458333333)</f>
        <v>45849.6458333333</v>
      </c>
      <c r="D76" s="17">
        <f>IFERROR(__xludf.DUMMYFUNCTION("""COMPUTED_VALUE"""),2575)</f>
        <v>2575</v>
      </c>
      <c r="E76" s="16">
        <f>IFERROR(__xludf.DUMMYFUNCTION("""COMPUTED_VALUE"""),45849.6458333333)</f>
        <v>45849.6458333333</v>
      </c>
      <c r="F76" s="17">
        <f>IFERROR(__xludf.DUMMYFUNCTION("""COMPUTED_VALUE"""),390645)</f>
        <v>390645</v>
      </c>
      <c r="G76" s="16">
        <f>IFERROR(__xludf.DUMMYFUNCTION("""COMPUTED_VALUE"""),45849.6458333333)</f>
        <v>45849.6458333333</v>
      </c>
      <c r="H76" s="17">
        <f>IFERROR(__xludf.DUMMYFUNCTION("""COMPUTED_VALUE"""),2591.9)</f>
        <v>2591.9</v>
      </c>
      <c r="I76" s="16">
        <f>IFERROR(__xludf.DUMMYFUNCTION("""COMPUTED_VALUE"""),45849.6458333333)</f>
        <v>45849.6458333333</v>
      </c>
      <c r="J76" s="17">
        <f>IFERROR(__xludf.DUMMYFUNCTION("""COMPUTED_VALUE"""),2551.9)</f>
        <v>2551.9</v>
      </c>
      <c r="K76" s="3">
        <f t="shared" si="2"/>
        <v>0</v>
      </c>
      <c r="L76" s="3">
        <f t="shared" si="3"/>
        <v>2558.7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IFERROR(__xludf.DUMMYFUNCTION("""COMPUTED_VALUE"""),2581.3)</f>
        <v>2581.3</v>
      </c>
      <c r="C77" s="16">
        <f>IFERROR(__xludf.DUMMYFUNCTION("""COMPUTED_VALUE"""),45852.6458333333)</f>
        <v>45852.6458333333</v>
      </c>
      <c r="D77" s="17">
        <f>IFERROR(__xludf.DUMMYFUNCTION("""COMPUTED_VALUE"""),2555)</f>
        <v>2555</v>
      </c>
      <c r="E77" s="16">
        <f>IFERROR(__xludf.DUMMYFUNCTION("""COMPUTED_VALUE"""),45852.6458333333)</f>
        <v>45852.6458333333</v>
      </c>
      <c r="F77" s="17">
        <f>IFERROR(__xludf.DUMMYFUNCTION("""COMPUTED_VALUE"""),536585)</f>
        <v>536585</v>
      </c>
      <c r="G77" s="16">
        <f>IFERROR(__xludf.DUMMYFUNCTION("""COMPUTED_VALUE"""),45852.6458333333)</f>
        <v>45852.6458333333</v>
      </c>
      <c r="H77" s="17">
        <f>IFERROR(__xludf.DUMMYFUNCTION("""COMPUTED_VALUE"""),2604.8)</f>
        <v>2604.8</v>
      </c>
      <c r="I77" s="16">
        <f>IFERROR(__xludf.DUMMYFUNCTION("""COMPUTED_VALUE"""),45852.6458333333)</f>
        <v>45852.6458333333</v>
      </c>
      <c r="J77" s="17">
        <f>IFERROR(__xludf.DUMMYFUNCTION("""COMPUTED_VALUE"""),2543.5)</f>
        <v>2543.5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IFERROR(__xludf.DUMMYFUNCTION("""COMPUTED_VALUE"""),2598.2)</f>
        <v>2598.2</v>
      </c>
      <c r="C78" s="16">
        <f>IFERROR(__xludf.DUMMYFUNCTION("""COMPUTED_VALUE"""),45853.6458333333)</f>
        <v>45853.6458333333</v>
      </c>
      <c r="D78" s="17">
        <f>IFERROR(__xludf.DUMMYFUNCTION("""COMPUTED_VALUE"""),2588)</f>
        <v>2588</v>
      </c>
      <c r="E78" s="16">
        <f>IFERROR(__xludf.DUMMYFUNCTION("""COMPUTED_VALUE"""),45853.6458333333)</f>
        <v>45853.6458333333</v>
      </c>
      <c r="F78" s="17">
        <f>IFERROR(__xludf.DUMMYFUNCTION("""COMPUTED_VALUE"""),379425)</f>
        <v>379425</v>
      </c>
      <c r="G78" s="16">
        <f>IFERROR(__xludf.DUMMYFUNCTION("""COMPUTED_VALUE"""),45853.6458333333)</f>
        <v>45853.6458333333</v>
      </c>
      <c r="H78" s="17">
        <f>IFERROR(__xludf.DUMMYFUNCTION("""COMPUTED_VALUE"""),2606.9)</f>
        <v>2606.9</v>
      </c>
      <c r="I78" s="16">
        <f>IFERROR(__xludf.DUMMYFUNCTION("""COMPUTED_VALUE"""),45853.6458333333)</f>
        <v>45853.6458333333</v>
      </c>
      <c r="J78" s="17">
        <f>IFERROR(__xludf.DUMMYFUNCTION("""COMPUTED_VALUE"""),2576)</f>
        <v>2576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IFERROR(__xludf.DUMMYFUNCTION("""COMPUTED_VALUE"""),2608.5)</f>
        <v>2608.5</v>
      </c>
      <c r="C79" s="16">
        <f>IFERROR(__xludf.DUMMYFUNCTION("""COMPUTED_VALUE"""),45854.6458333333)</f>
        <v>45854.6458333333</v>
      </c>
      <c r="D79" s="17">
        <f>IFERROR(__xludf.DUMMYFUNCTION("""COMPUTED_VALUE"""),2602.5)</f>
        <v>2602.5</v>
      </c>
      <c r="E79" s="16">
        <f>IFERROR(__xludf.DUMMYFUNCTION("""COMPUTED_VALUE"""),45854.6458333333)</f>
        <v>45854.6458333333</v>
      </c>
      <c r="F79" s="17">
        <f>IFERROR(__xludf.DUMMYFUNCTION("""COMPUTED_VALUE"""),686644)</f>
        <v>686644</v>
      </c>
      <c r="G79" s="16">
        <f>IFERROR(__xludf.DUMMYFUNCTION("""COMPUTED_VALUE"""),45854.6458333333)</f>
        <v>45854.6458333333</v>
      </c>
      <c r="H79" s="17">
        <f>IFERROR(__xludf.DUMMYFUNCTION("""COMPUTED_VALUE"""),2619.5)</f>
        <v>2619.5</v>
      </c>
      <c r="I79" s="16">
        <f>IFERROR(__xludf.DUMMYFUNCTION("""COMPUTED_VALUE"""),45854.6458333333)</f>
        <v>45854.6458333333</v>
      </c>
      <c r="J79" s="17">
        <f>IFERROR(__xludf.DUMMYFUNCTION("""COMPUTED_VALUE"""),2595.5)</f>
        <v>2595.5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IFERROR(__xludf.DUMMYFUNCTION("""COMPUTED_VALUE"""),2616.6)</f>
        <v>2616.6</v>
      </c>
      <c r="C80" s="16">
        <f>IFERROR(__xludf.DUMMYFUNCTION("""COMPUTED_VALUE"""),45855.6458333333)</f>
        <v>45855.6458333333</v>
      </c>
      <c r="D80" s="17">
        <f>IFERROR(__xludf.DUMMYFUNCTION("""COMPUTED_VALUE"""),2612)</f>
        <v>2612</v>
      </c>
      <c r="E80" s="16">
        <f>IFERROR(__xludf.DUMMYFUNCTION("""COMPUTED_VALUE"""),45855.6458333333)</f>
        <v>45855.6458333333</v>
      </c>
      <c r="F80" s="17">
        <f>IFERROR(__xludf.DUMMYFUNCTION("""COMPUTED_VALUE"""),785771)</f>
        <v>785771</v>
      </c>
      <c r="G80" s="16">
        <f>IFERROR(__xludf.DUMMYFUNCTION("""COMPUTED_VALUE"""),45855.6458333333)</f>
        <v>45855.6458333333</v>
      </c>
      <c r="H80" s="17">
        <f>IFERROR(__xludf.DUMMYFUNCTION("""COMPUTED_VALUE"""),2654.5)</f>
        <v>2654.5</v>
      </c>
      <c r="I80" s="16">
        <f>IFERROR(__xludf.DUMMYFUNCTION("""COMPUTED_VALUE"""),45855.6458333333)</f>
        <v>45855.6458333333</v>
      </c>
      <c r="J80" s="17">
        <f>IFERROR(__xludf.DUMMYFUNCTION("""COMPUTED_VALUE"""),2605.3)</f>
        <v>2605.3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IFERROR(__xludf.DUMMYFUNCTION("""COMPUTED_VALUE"""),2596.1)</f>
        <v>2596.1</v>
      </c>
      <c r="C81" s="16">
        <f>IFERROR(__xludf.DUMMYFUNCTION("""COMPUTED_VALUE"""),45856.6458333333)</f>
        <v>45856.6458333333</v>
      </c>
      <c r="D81" s="17">
        <f>IFERROR(__xludf.DUMMYFUNCTION("""COMPUTED_VALUE"""),2612)</f>
        <v>2612</v>
      </c>
      <c r="E81" s="16">
        <f>IFERROR(__xludf.DUMMYFUNCTION("""COMPUTED_VALUE"""),45856.6458333333)</f>
        <v>45856.6458333333</v>
      </c>
      <c r="F81" s="17">
        <f>IFERROR(__xludf.DUMMYFUNCTION("""COMPUTED_VALUE"""),479942)</f>
        <v>479942</v>
      </c>
      <c r="G81" s="16">
        <f>IFERROR(__xludf.DUMMYFUNCTION("""COMPUTED_VALUE"""),45856.6458333333)</f>
        <v>45856.6458333333</v>
      </c>
      <c r="H81" s="17">
        <f>IFERROR(__xludf.DUMMYFUNCTION("""COMPUTED_VALUE"""),2626.7)</f>
        <v>2626.7</v>
      </c>
      <c r="I81" s="16">
        <f>IFERROR(__xludf.DUMMYFUNCTION("""COMPUTED_VALUE"""),45856.6458333333)</f>
        <v>45856.6458333333</v>
      </c>
      <c r="J81" s="17">
        <f>IFERROR(__xludf.DUMMYFUNCTION("""COMPUTED_VALUE"""),2584.2)</f>
        <v>2584.2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IFERROR(__xludf.DUMMYFUNCTION("""COMPUTED_VALUE"""),2619.5)</f>
        <v>2619.5</v>
      </c>
      <c r="C82" s="16">
        <f>IFERROR(__xludf.DUMMYFUNCTION("""COMPUTED_VALUE"""),45859.6458333333)</f>
        <v>45859.6458333333</v>
      </c>
      <c r="D82" s="17">
        <f>IFERROR(__xludf.DUMMYFUNCTION("""COMPUTED_VALUE"""),2596.3)</f>
        <v>2596.3</v>
      </c>
      <c r="E82" s="16">
        <f>IFERROR(__xludf.DUMMYFUNCTION("""COMPUTED_VALUE"""),45859.6458333333)</f>
        <v>45859.6458333333</v>
      </c>
      <c r="F82" s="17">
        <f>IFERROR(__xludf.DUMMYFUNCTION("""COMPUTED_VALUE"""),369782)</f>
        <v>369782</v>
      </c>
      <c r="G82" s="16">
        <f>IFERROR(__xludf.DUMMYFUNCTION("""COMPUTED_VALUE"""),45859.6458333333)</f>
        <v>45859.6458333333</v>
      </c>
      <c r="H82" s="17">
        <f>IFERROR(__xludf.DUMMYFUNCTION("""COMPUTED_VALUE"""),2624.9)</f>
        <v>2624.9</v>
      </c>
      <c r="I82" s="16">
        <f>IFERROR(__xludf.DUMMYFUNCTION("""COMPUTED_VALUE"""),45859.6458333333)</f>
        <v>45859.6458333333</v>
      </c>
      <c r="J82" s="17">
        <f>IFERROR(__xludf.DUMMYFUNCTION("""COMPUTED_VALUE"""),2585)</f>
        <v>2585</v>
      </c>
      <c r="K82" s="3">
        <f t="shared" si="2"/>
        <v>2619.5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IFERROR(__xludf.DUMMYFUNCTION("""COMPUTED_VALUE"""),2587.8)</f>
        <v>2587.8</v>
      </c>
      <c r="C83" s="16">
        <f>IFERROR(__xludf.DUMMYFUNCTION("""COMPUTED_VALUE"""),45860.6458333333)</f>
        <v>45860.6458333333</v>
      </c>
      <c r="D83" s="17">
        <f>IFERROR(__xludf.DUMMYFUNCTION("""COMPUTED_VALUE"""),2626)</f>
        <v>2626</v>
      </c>
      <c r="E83" s="16">
        <f>IFERROR(__xludf.DUMMYFUNCTION("""COMPUTED_VALUE"""),45860.6458333333)</f>
        <v>45860.6458333333</v>
      </c>
      <c r="F83" s="17">
        <f>IFERROR(__xludf.DUMMYFUNCTION("""COMPUTED_VALUE"""),387055)</f>
        <v>387055</v>
      </c>
      <c r="G83" s="16">
        <f>IFERROR(__xludf.DUMMYFUNCTION("""COMPUTED_VALUE"""),45860.6458333333)</f>
        <v>45860.6458333333</v>
      </c>
      <c r="H83" s="17">
        <f>IFERROR(__xludf.DUMMYFUNCTION("""COMPUTED_VALUE"""),2630)</f>
        <v>2630</v>
      </c>
      <c r="I83" s="16">
        <f>IFERROR(__xludf.DUMMYFUNCTION("""COMPUTED_VALUE"""),45860.6458333333)</f>
        <v>45860.6458333333</v>
      </c>
      <c r="J83" s="17">
        <f>IFERROR(__xludf.DUMMYFUNCTION("""COMPUTED_VALUE"""),2581.6)</f>
        <v>2581.6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IFERROR(__xludf.DUMMYFUNCTION("""COMPUTED_VALUE"""),2614.5)</f>
        <v>2614.5</v>
      </c>
      <c r="C84" s="16">
        <f>IFERROR(__xludf.DUMMYFUNCTION("""COMPUTED_VALUE"""),45861.6458333333)</f>
        <v>45861.6458333333</v>
      </c>
      <c r="D84" s="17">
        <f>IFERROR(__xludf.DUMMYFUNCTION("""COMPUTED_VALUE"""),2600.7)</f>
        <v>2600.7</v>
      </c>
      <c r="E84" s="16">
        <f>IFERROR(__xludf.DUMMYFUNCTION("""COMPUTED_VALUE"""),45861.6458333333)</f>
        <v>45861.6458333333</v>
      </c>
      <c r="F84" s="17">
        <f>IFERROR(__xludf.DUMMYFUNCTION("""COMPUTED_VALUE"""),316424)</f>
        <v>316424</v>
      </c>
      <c r="G84" s="16">
        <f>IFERROR(__xludf.DUMMYFUNCTION("""COMPUTED_VALUE"""),45861.6458333333)</f>
        <v>45861.6458333333</v>
      </c>
      <c r="H84" s="17">
        <f>IFERROR(__xludf.DUMMYFUNCTION("""COMPUTED_VALUE"""),2625.9)</f>
        <v>2625.9</v>
      </c>
      <c r="I84" s="16">
        <f>IFERROR(__xludf.DUMMYFUNCTION("""COMPUTED_VALUE"""),45861.6458333333)</f>
        <v>45861.6458333333</v>
      </c>
      <c r="J84" s="17">
        <f>IFERROR(__xludf.DUMMYFUNCTION("""COMPUTED_VALUE"""),2593.5)</f>
        <v>2593.5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IFERROR(__xludf.DUMMYFUNCTION("""COMPUTED_VALUE"""),2608.4)</f>
        <v>2608.4</v>
      </c>
      <c r="C85" s="16">
        <f>IFERROR(__xludf.DUMMYFUNCTION("""COMPUTED_VALUE"""),45862.6458333333)</f>
        <v>45862.6458333333</v>
      </c>
      <c r="D85" s="17">
        <f>IFERROR(__xludf.DUMMYFUNCTION("""COMPUTED_VALUE"""),2615.4)</f>
        <v>2615.4</v>
      </c>
      <c r="E85" s="16">
        <f>IFERROR(__xludf.DUMMYFUNCTION("""COMPUTED_VALUE"""),45862.6458333333)</f>
        <v>45862.6458333333</v>
      </c>
      <c r="F85" s="17">
        <f>IFERROR(__xludf.DUMMYFUNCTION("""COMPUTED_VALUE"""),253782)</f>
        <v>253782</v>
      </c>
      <c r="G85" s="16">
        <f>IFERROR(__xludf.DUMMYFUNCTION("""COMPUTED_VALUE"""),45862.6458333333)</f>
        <v>45862.6458333333</v>
      </c>
      <c r="H85" s="17">
        <f>IFERROR(__xludf.DUMMYFUNCTION("""COMPUTED_VALUE"""),2624.2)</f>
        <v>2624.2</v>
      </c>
      <c r="I85" s="16">
        <f>IFERROR(__xludf.DUMMYFUNCTION("""COMPUTED_VALUE"""),45862.6458333333)</f>
        <v>45862.6458333333</v>
      </c>
      <c r="J85" s="17">
        <f>IFERROR(__xludf.DUMMYFUNCTION("""COMPUTED_VALUE"""),2595)</f>
        <v>2595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IFERROR(__xludf.DUMMYFUNCTION("""COMPUTED_VALUE"""),2550.1)</f>
        <v>2550.1</v>
      </c>
      <c r="C86" s="16">
        <f>IFERROR(__xludf.DUMMYFUNCTION("""COMPUTED_VALUE"""),45863.6458333333)</f>
        <v>45863.6458333333</v>
      </c>
      <c r="D86" s="17">
        <f>IFERROR(__xludf.DUMMYFUNCTION("""COMPUTED_VALUE"""),2605)</f>
        <v>2605</v>
      </c>
      <c r="E86" s="16">
        <f>IFERROR(__xludf.DUMMYFUNCTION("""COMPUTED_VALUE"""),45863.6458333333)</f>
        <v>45863.6458333333</v>
      </c>
      <c r="F86" s="17">
        <f>IFERROR(__xludf.DUMMYFUNCTION("""COMPUTED_VALUE"""),424612)</f>
        <v>424612</v>
      </c>
      <c r="G86" s="16">
        <f>IFERROR(__xludf.DUMMYFUNCTION("""COMPUTED_VALUE"""),45863.6458333333)</f>
        <v>45863.6458333333</v>
      </c>
      <c r="H86" s="17">
        <f>IFERROR(__xludf.DUMMYFUNCTION("""COMPUTED_VALUE"""),2617)</f>
        <v>2617</v>
      </c>
      <c r="I86" s="16">
        <f>IFERROR(__xludf.DUMMYFUNCTION("""COMPUTED_VALUE"""),45863.6458333333)</f>
        <v>45863.6458333333</v>
      </c>
      <c r="J86" s="17">
        <f>IFERROR(__xludf.DUMMYFUNCTION("""COMPUTED_VALUE"""),2544.1)</f>
        <v>2544.1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IFERROR(__xludf.DUMMYFUNCTION("""COMPUTED_VALUE"""),2522.3)</f>
        <v>2522.3</v>
      </c>
      <c r="C87" s="16">
        <f>IFERROR(__xludf.DUMMYFUNCTION("""COMPUTED_VALUE"""),45866.6458333333)</f>
        <v>45866.6458333333</v>
      </c>
      <c r="D87" s="17">
        <f>IFERROR(__xludf.DUMMYFUNCTION("""COMPUTED_VALUE"""),2549)</f>
        <v>2549</v>
      </c>
      <c r="E87" s="16">
        <f>IFERROR(__xludf.DUMMYFUNCTION("""COMPUTED_VALUE"""),45866.6458333333)</f>
        <v>45866.6458333333</v>
      </c>
      <c r="F87" s="17">
        <f>IFERROR(__xludf.DUMMYFUNCTION("""COMPUTED_VALUE"""),428409)</f>
        <v>428409</v>
      </c>
      <c r="G87" s="16">
        <f>IFERROR(__xludf.DUMMYFUNCTION("""COMPUTED_VALUE"""),45866.6458333333)</f>
        <v>45866.6458333333</v>
      </c>
      <c r="H87" s="17">
        <f>IFERROR(__xludf.DUMMYFUNCTION("""COMPUTED_VALUE"""),2585)</f>
        <v>2585</v>
      </c>
      <c r="I87" s="16">
        <f>IFERROR(__xludf.DUMMYFUNCTION("""COMPUTED_VALUE"""),45866.6458333333)</f>
        <v>45866.6458333333</v>
      </c>
      <c r="J87" s="17">
        <f>IFERROR(__xludf.DUMMYFUNCTION("""COMPUTED_VALUE"""),2512.6)</f>
        <v>2512.6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IFERROR(__xludf.DUMMYFUNCTION("""COMPUTED_VALUE"""),2547.9)</f>
        <v>2547.9</v>
      </c>
      <c r="C88" s="16">
        <f>IFERROR(__xludf.DUMMYFUNCTION("""COMPUTED_VALUE"""),45867.6458333333)</f>
        <v>45867.6458333333</v>
      </c>
      <c r="D88" s="17">
        <f>IFERROR(__xludf.DUMMYFUNCTION("""COMPUTED_VALUE"""),2529)</f>
        <v>2529</v>
      </c>
      <c r="E88" s="16">
        <f>IFERROR(__xludf.DUMMYFUNCTION("""COMPUTED_VALUE"""),45867.6458333333)</f>
        <v>45867.6458333333</v>
      </c>
      <c r="F88" s="17">
        <f>IFERROR(__xludf.DUMMYFUNCTION("""COMPUTED_VALUE"""),424781)</f>
        <v>424781</v>
      </c>
      <c r="G88" s="16">
        <f>IFERROR(__xludf.DUMMYFUNCTION("""COMPUTED_VALUE"""),45867.6458333333)</f>
        <v>45867.6458333333</v>
      </c>
      <c r="H88" s="17">
        <f>IFERROR(__xludf.DUMMYFUNCTION("""COMPUTED_VALUE"""),2557.4)</f>
        <v>2557.4</v>
      </c>
      <c r="I88" s="16">
        <f>IFERROR(__xludf.DUMMYFUNCTION("""COMPUTED_VALUE"""),45867.6458333333)</f>
        <v>45867.6458333333</v>
      </c>
      <c r="J88" s="17">
        <f>IFERROR(__xludf.DUMMYFUNCTION("""COMPUTED_VALUE"""),2507.5)</f>
        <v>2507.5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IFERROR(__xludf.DUMMYFUNCTION("""COMPUTED_VALUE"""),2532.9)</f>
        <v>2532.9</v>
      </c>
      <c r="C89" s="16">
        <f>IFERROR(__xludf.DUMMYFUNCTION("""COMPUTED_VALUE"""),45868.6458333333)</f>
        <v>45868.6458333333</v>
      </c>
      <c r="D89" s="17">
        <f>IFERROR(__xludf.DUMMYFUNCTION("""COMPUTED_VALUE"""),2547.9)</f>
        <v>2547.9</v>
      </c>
      <c r="E89" s="16">
        <f>IFERROR(__xludf.DUMMYFUNCTION("""COMPUTED_VALUE"""),45868.6458333333)</f>
        <v>45868.6458333333</v>
      </c>
      <c r="F89" s="17">
        <f>IFERROR(__xludf.DUMMYFUNCTION("""COMPUTED_VALUE"""),262063)</f>
        <v>262063</v>
      </c>
      <c r="G89" s="16">
        <f>IFERROR(__xludf.DUMMYFUNCTION("""COMPUTED_VALUE"""),45868.6458333333)</f>
        <v>45868.6458333333</v>
      </c>
      <c r="H89" s="17">
        <f>IFERROR(__xludf.DUMMYFUNCTION("""COMPUTED_VALUE"""),2552.6)</f>
        <v>2552.6</v>
      </c>
      <c r="I89" s="16">
        <f>IFERROR(__xludf.DUMMYFUNCTION("""COMPUTED_VALUE"""),45868.6458333333)</f>
        <v>45868.6458333333</v>
      </c>
      <c r="J89" s="17">
        <f>IFERROR(__xludf.DUMMYFUNCTION("""COMPUTED_VALUE"""),2525)</f>
        <v>2525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IFERROR(__xludf.DUMMYFUNCTION("""COMPUTED_VALUE"""),2430.7)</f>
        <v>2430.7</v>
      </c>
      <c r="C90" s="16">
        <f>IFERROR(__xludf.DUMMYFUNCTION("""COMPUTED_VALUE"""),45869.6458333333)</f>
        <v>45869.6458333333</v>
      </c>
      <c r="D90" s="17">
        <f>IFERROR(__xludf.DUMMYFUNCTION("""COMPUTED_VALUE"""),2509.9)</f>
        <v>2509.9</v>
      </c>
      <c r="E90" s="16">
        <f>IFERROR(__xludf.DUMMYFUNCTION("""COMPUTED_VALUE"""),45869.6458333333)</f>
        <v>45869.6458333333</v>
      </c>
      <c r="F90" s="17">
        <f>IFERROR(__xludf.DUMMYFUNCTION("""COMPUTED_VALUE"""),1457616)</f>
        <v>1457616</v>
      </c>
      <c r="G90" s="16">
        <f>IFERROR(__xludf.DUMMYFUNCTION("""COMPUTED_VALUE"""),45869.6458333333)</f>
        <v>45869.6458333333</v>
      </c>
      <c r="H90" s="17">
        <f>IFERROR(__xludf.DUMMYFUNCTION("""COMPUTED_VALUE"""),2520)</f>
        <v>2520</v>
      </c>
      <c r="I90" s="16">
        <f>IFERROR(__xludf.DUMMYFUNCTION("""COMPUTED_VALUE"""),45869.6458333333)</f>
        <v>45869.6458333333</v>
      </c>
      <c r="J90" s="17">
        <f>IFERROR(__xludf.DUMMYFUNCTION("""COMPUTED_VALUE"""),2422.6)</f>
        <v>2422.6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IFERROR(__xludf.DUMMYFUNCTION("""COMPUTED_VALUE"""),2350.9)</f>
        <v>2350.9</v>
      </c>
      <c r="C91" s="16">
        <f>IFERROR(__xludf.DUMMYFUNCTION("""COMPUTED_VALUE"""),45870.6458333333)</f>
        <v>45870.6458333333</v>
      </c>
      <c r="D91" s="17">
        <f>IFERROR(__xludf.DUMMYFUNCTION("""COMPUTED_VALUE"""),2425)</f>
        <v>2425</v>
      </c>
      <c r="E91" s="16">
        <f>IFERROR(__xludf.DUMMYFUNCTION("""COMPUTED_VALUE"""),45870.6458333333)</f>
        <v>45870.6458333333</v>
      </c>
      <c r="F91" s="17">
        <f>IFERROR(__xludf.DUMMYFUNCTION("""COMPUTED_VALUE"""),976341)</f>
        <v>976341</v>
      </c>
      <c r="G91" s="16">
        <f>IFERROR(__xludf.DUMMYFUNCTION("""COMPUTED_VALUE"""),45870.6458333333)</f>
        <v>45870.6458333333</v>
      </c>
      <c r="H91" s="17">
        <f>IFERROR(__xludf.DUMMYFUNCTION("""COMPUTED_VALUE"""),2444.9)</f>
        <v>2444.9</v>
      </c>
      <c r="I91" s="16">
        <f>IFERROR(__xludf.DUMMYFUNCTION("""COMPUTED_VALUE"""),45870.6458333333)</f>
        <v>45870.6458333333</v>
      </c>
      <c r="J91" s="17">
        <f>IFERROR(__xludf.DUMMYFUNCTION("""COMPUTED_VALUE"""),2333)</f>
        <v>2333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IFERROR(__xludf.DUMMYFUNCTION("""COMPUTED_VALUE"""),2363.6)</f>
        <v>2363.6</v>
      </c>
      <c r="C92" s="16">
        <f>IFERROR(__xludf.DUMMYFUNCTION("""COMPUTED_VALUE"""),45873.6458333333)</f>
        <v>45873.6458333333</v>
      </c>
      <c r="D92" s="17">
        <f>IFERROR(__xludf.DUMMYFUNCTION("""COMPUTED_VALUE"""),2360)</f>
        <v>2360</v>
      </c>
      <c r="E92" s="16">
        <f>IFERROR(__xludf.DUMMYFUNCTION("""COMPUTED_VALUE"""),45873.6458333333)</f>
        <v>45873.6458333333</v>
      </c>
      <c r="F92" s="17">
        <f>IFERROR(__xludf.DUMMYFUNCTION("""COMPUTED_VALUE"""),576426)</f>
        <v>576426</v>
      </c>
      <c r="G92" s="16">
        <f>IFERROR(__xludf.DUMMYFUNCTION("""COMPUTED_VALUE"""),45873.6458333333)</f>
        <v>45873.6458333333</v>
      </c>
      <c r="H92" s="17">
        <f>IFERROR(__xludf.DUMMYFUNCTION("""COMPUTED_VALUE"""),2374.7)</f>
        <v>2374.7</v>
      </c>
      <c r="I92" s="16">
        <f>IFERROR(__xludf.DUMMYFUNCTION("""COMPUTED_VALUE"""),45873.6458333333)</f>
        <v>45873.6458333333</v>
      </c>
      <c r="J92" s="17">
        <f>IFERROR(__xludf.DUMMYFUNCTION("""COMPUTED_VALUE"""),2338.2)</f>
        <v>2338.2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IFERROR(__xludf.DUMMYFUNCTION("""COMPUTED_VALUE"""),2328.2)</f>
        <v>2328.2</v>
      </c>
      <c r="C93" s="16">
        <f>IFERROR(__xludf.DUMMYFUNCTION("""COMPUTED_VALUE"""),45874.6458333333)</f>
        <v>45874.6458333333</v>
      </c>
      <c r="D93" s="17">
        <f>IFERROR(__xludf.DUMMYFUNCTION("""COMPUTED_VALUE"""),2370)</f>
        <v>2370</v>
      </c>
      <c r="E93" s="16">
        <f>IFERROR(__xludf.DUMMYFUNCTION("""COMPUTED_VALUE"""),45874.6458333333)</f>
        <v>45874.6458333333</v>
      </c>
      <c r="F93" s="17">
        <f>IFERROR(__xludf.DUMMYFUNCTION("""COMPUTED_VALUE"""),576742)</f>
        <v>576742</v>
      </c>
      <c r="G93" s="16">
        <f>IFERROR(__xludf.DUMMYFUNCTION("""COMPUTED_VALUE"""),45874.6458333333)</f>
        <v>45874.6458333333</v>
      </c>
      <c r="H93" s="17">
        <f>IFERROR(__xludf.DUMMYFUNCTION("""COMPUTED_VALUE"""),2370)</f>
        <v>2370</v>
      </c>
      <c r="I93" s="16">
        <f>IFERROR(__xludf.DUMMYFUNCTION("""COMPUTED_VALUE"""),45874.6458333333)</f>
        <v>45874.6458333333</v>
      </c>
      <c r="J93" s="17">
        <f>IFERROR(__xludf.DUMMYFUNCTION("""COMPUTED_VALUE"""),2316)</f>
        <v>2316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IFERROR(__xludf.DUMMYFUNCTION("""COMPUTED_VALUE"""),2300.3)</f>
        <v>2300.3</v>
      </c>
      <c r="C94" s="16">
        <f>IFERROR(__xludf.DUMMYFUNCTION("""COMPUTED_VALUE"""),45875.6458333333)</f>
        <v>45875.6458333333</v>
      </c>
      <c r="D94" s="17">
        <f>IFERROR(__xludf.DUMMYFUNCTION("""COMPUTED_VALUE"""),2333.9)</f>
        <v>2333.9</v>
      </c>
      <c r="E94" s="16">
        <f>IFERROR(__xludf.DUMMYFUNCTION("""COMPUTED_VALUE"""),45875.6458333333)</f>
        <v>45875.6458333333</v>
      </c>
      <c r="F94" s="17">
        <f>IFERROR(__xludf.DUMMYFUNCTION("""COMPUTED_VALUE"""),631582)</f>
        <v>631582</v>
      </c>
      <c r="G94" s="16">
        <f>IFERROR(__xludf.DUMMYFUNCTION("""COMPUTED_VALUE"""),45875.6458333333)</f>
        <v>45875.6458333333</v>
      </c>
      <c r="H94" s="17">
        <f>IFERROR(__xludf.DUMMYFUNCTION("""COMPUTED_VALUE"""),2347.9)</f>
        <v>2347.9</v>
      </c>
      <c r="I94" s="16">
        <f>IFERROR(__xludf.DUMMYFUNCTION("""COMPUTED_VALUE"""),45875.6458333333)</f>
        <v>45875.6458333333</v>
      </c>
      <c r="J94" s="17">
        <f>IFERROR(__xludf.DUMMYFUNCTION("""COMPUTED_VALUE"""),2296)</f>
        <v>2296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IFERROR(__xludf.DUMMYFUNCTION("""COMPUTED_VALUE"""),2249.8)</f>
        <v>2249.8</v>
      </c>
      <c r="C95" s="16">
        <f>IFERROR(__xludf.DUMMYFUNCTION("""COMPUTED_VALUE"""),45876.6458333333)</f>
        <v>45876.6458333333</v>
      </c>
      <c r="D95" s="17">
        <f>IFERROR(__xludf.DUMMYFUNCTION("""COMPUTED_VALUE"""),2290)</f>
        <v>2290</v>
      </c>
      <c r="E95" s="16">
        <f>IFERROR(__xludf.DUMMYFUNCTION("""COMPUTED_VALUE"""),45876.6458333333)</f>
        <v>45876.6458333333</v>
      </c>
      <c r="F95" s="17">
        <f>IFERROR(__xludf.DUMMYFUNCTION("""COMPUTED_VALUE"""),1529410)</f>
        <v>1529410</v>
      </c>
      <c r="G95" s="16">
        <f>IFERROR(__xludf.DUMMYFUNCTION("""COMPUTED_VALUE"""),45876.6458333333)</f>
        <v>45876.6458333333</v>
      </c>
      <c r="H95" s="17">
        <f>IFERROR(__xludf.DUMMYFUNCTION("""COMPUTED_VALUE"""),2295)</f>
        <v>2295</v>
      </c>
      <c r="I95" s="16">
        <f>IFERROR(__xludf.DUMMYFUNCTION("""COMPUTED_VALUE"""),45876.6458333333)</f>
        <v>45876.6458333333</v>
      </c>
      <c r="J95" s="17">
        <f>IFERROR(__xludf.DUMMYFUNCTION("""COMPUTED_VALUE"""),2202.8)</f>
        <v>2202.8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IFERROR(__xludf.DUMMYFUNCTION("""COMPUTED_VALUE"""),2178.1)</f>
        <v>2178.1</v>
      </c>
      <c r="C96" s="16">
        <f>IFERROR(__xludf.DUMMYFUNCTION("""COMPUTED_VALUE"""),45877.6458333333)</f>
        <v>45877.6458333333</v>
      </c>
      <c r="D96" s="17">
        <f>IFERROR(__xludf.DUMMYFUNCTION("""COMPUTED_VALUE"""),2247)</f>
        <v>2247</v>
      </c>
      <c r="E96" s="16">
        <f>IFERROR(__xludf.DUMMYFUNCTION("""COMPUTED_VALUE"""),45877.6458333333)</f>
        <v>45877.6458333333</v>
      </c>
      <c r="F96" s="17">
        <f>IFERROR(__xludf.DUMMYFUNCTION("""COMPUTED_VALUE"""),2552736)</f>
        <v>2552736</v>
      </c>
      <c r="G96" s="16">
        <f>IFERROR(__xludf.DUMMYFUNCTION("""COMPUTED_VALUE"""),45877.6458333333)</f>
        <v>45877.6458333333</v>
      </c>
      <c r="H96" s="17">
        <f>IFERROR(__xludf.DUMMYFUNCTION("""COMPUTED_VALUE"""),2260.9)</f>
        <v>2260.9</v>
      </c>
      <c r="I96" s="16">
        <f>IFERROR(__xludf.DUMMYFUNCTION("""COMPUTED_VALUE"""),45877.6458333333)</f>
        <v>45877.6458333333</v>
      </c>
      <c r="J96" s="17">
        <f>IFERROR(__xludf.DUMMYFUNCTION("""COMPUTED_VALUE"""),2164.8)</f>
        <v>2164.8</v>
      </c>
      <c r="K96" s="3">
        <f t="shared" si="2"/>
        <v>0</v>
      </c>
      <c r="L96" s="3">
        <f t="shared" si="3"/>
        <v>2178.1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IFERROR(__xludf.DUMMYFUNCTION("""COMPUTED_VALUE"""),2283.4)</f>
        <v>2283.4</v>
      </c>
      <c r="C97" s="16">
        <f>IFERROR(__xludf.DUMMYFUNCTION("""COMPUTED_VALUE"""),45880.6458333333)</f>
        <v>45880.6458333333</v>
      </c>
      <c r="D97" s="17">
        <f>IFERROR(__xludf.DUMMYFUNCTION("""COMPUTED_VALUE"""),2196)</f>
        <v>2196</v>
      </c>
      <c r="E97" s="16">
        <f>IFERROR(__xludf.DUMMYFUNCTION("""COMPUTED_VALUE"""),45880.6458333333)</f>
        <v>45880.6458333333</v>
      </c>
      <c r="F97" s="17">
        <f>IFERROR(__xludf.DUMMYFUNCTION("""COMPUTED_VALUE"""),2376286)</f>
        <v>2376286</v>
      </c>
      <c r="G97" s="16">
        <f>IFERROR(__xludf.DUMMYFUNCTION("""COMPUTED_VALUE"""),45880.6458333333)</f>
        <v>45880.6458333333</v>
      </c>
      <c r="H97" s="17">
        <f>IFERROR(__xludf.DUMMYFUNCTION("""COMPUTED_VALUE"""),2302)</f>
        <v>2302</v>
      </c>
      <c r="I97" s="16">
        <f>IFERROR(__xludf.DUMMYFUNCTION("""COMPUTED_VALUE"""),45880.6458333333)</f>
        <v>45880.6458333333</v>
      </c>
      <c r="J97" s="17">
        <f>IFERROR(__xludf.DUMMYFUNCTION("""COMPUTED_VALUE"""),2183)</f>
        <v>2183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IFERROR(__xludf.DUMMYFUNCTION("""COMPUTED_VALUE"""),2288.2)</f>
        <v>2288.2</v>
      </c>
      <c r="C98" s="16">
        <f>IFERROR(__xludf.DUMMYFUNCTION("""COMPUTED_VALUE"""),45881.6458333333)</f>
        <v>45881.6458333333</v>
      </c>
      <c r="D98" s="17">
        <f>IFERROR(__xludf.DUMMYFUNCTION("""COMPUTED_VALUE"""),2280.1)</f>
        <v>2280.1</v>
      </c>
      <c r="E98" s="16">
        <f>IFERROR(__xludf.DUMMYFUNCTION("""COMPUTED_VALUE"""),45881.6458333333)</f>
        <v>45881.6458333333</v>
      </c>
      <c r="F98" s="17">
        <f>IFERROR(__xludf.DUMMYFUNCTION("""COMPUTED_VALUE"""),1075526)</f>
        <v>1075526</v>
      </c>
      <c r="G98" s="16">
        <f>IFERROR(__xludf.DUMMYFUNCTION("""COMPUTED_VALUE"""),45881.6458333333)</f>
        <v>45881.6458333333</v>
      </c>
      <c r="H98" s="17">
        <f>IFERROR(__xludf.DUMMYFUNCTION("""COMPUTED_VALUE"""),2314.7)</f>
        <v>2314.7</v>
      </c>
      <c r="I98" s="16">
        <f>IFERROR(__xludf.DUMMYFUNCTION("""COMPUTED_VALUE"""),45881.6458333333)</f>
        <v>45881.6458333333</v>
      </c>
      <c r="J98" s="17">
        <f>IFERROR(__xludf.DUMMYFUNCTION("""COMPUTED_VALUE"""),2267)</f>
        <v>2267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IFERROR(__xludf.DUMMYFUNCTION("""COMPUTED_VALUE"""),2280.1)</f>
        <v>2280.1</v>
      </c>
      <c r="C99" s="16">
        <f>IFERROR(__xludf.DUMMYFUNCTION("""COMPUTED_VALUE"""),45882.6458333333)</f>
        <v>45882.6458333333</v>
      </c>
      <c r="D99" s="17">
        <f>IFERROR(__xludf.DUMMYFUNCTION("""COMPUTED_VALUE"""),2299)</f>
        <v>2299</v>
      </c>
      <c r="E99" s="16">
        <f>IFERROR(__xludf.DUMMYFUNCTION("""COMPUTED_VALUE"""),45882.6458333333)</f>
        <v>45882.6458333333</v>
      </c>
      <c r="F99" s="17">
        <f>IFERROR(__xludf.DUMMYFUNCTION("""COMPUTED_VALUE"""),833679)</f>
        <v>833679</v>
      </c>
      <c r="G99" s="16">
        <f>IFERROR(__xludf.DUMMYFUNCTION("""COMPUTED_VALUE"""),45882.6458333333)</f>
        <v>45882.6458333333</v>
      </c>
      <c r="H99" s="17">
        <f>IFERROR(__xludf.DUMMYFUNCTION("""COMPUTED_VALUE"""),2314.9)</f>
        <v>2314.9</v>
      </c>
      <c r="I99" s="16">
        <f>IFERROR(__xludf.DUMMYFUNCTION("""COMPUTED_VALUE"""),45882.6458333333)</f>
        <v>45882.6458333333</v>
      </c>
      <c r="J99" s="17">
        <f>IFERROR(__xludf.DUMMYFUNCTION("""COMPUTED_VALUE"""),2245.4)</f>
        <v>2245.4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IFERROR(__xludf.DUMMYFUNCTION("""COMPUTED_VALUE"""),2281.6)</f>
        <v>2281.6</v>
      </c>
      <c r="C100" s="16">
        <f>IFERROR(__xludf.DUMMYFUNCTION("""COMPUTED_VALUE"""),45883.6458333333)</f>
        <v>45883.6458333333</v>
      </c>
      <c r="D100" s="17">
        <f>IFERROR(__xludf.DUMMYFUNCTION("""COMPUTED_VALUE"""),2288)</f>
        <v>2288</v>
      </c>
      <c r="E100" s="16">
        <f>IFERROR(__xludf.DUMMYFUNCTION("""COMPUTED_VALUE"""),45883.6458333333)</f>
        <v>45883.6458333333</v>
      </c>
      <c r="F100" s="17">
        <f>IFERROR(__xludf.DUMMYFUNCTION("""COMPUTED_VALUE"""),998109)</f>
        <v>998109</v>
      </c>
      <c r="G100" s="16">
        <f>IFERROR(__xludf.DUMMYFUNCTION("""COMPUTED_VALUE"""),45883.6458333333)</f>
        <v>45883.6458333333</v>
      </c>
      <c r="H100" s="17">
        <f>IFERROR(__xludf.DUMMYFUNCTION("""COMPUTED_VALUE"""),2304)</f>
        <v>2304</v>
      </c>
      <c r="I100" s="16">
        <f>IFERROR(__xludf.DUMMYFUNCTION("""COMPUTED_VALUE"""),45883.6458333333)</f>
        <v>45883.6458333333</v>
      </c>
      <c r="J100" s="17">
        <f>IFERROR(__xludf.DUMMYFUNCTION("""COMPUTED_VALUE"""),2267.7)</f>
        <v>2267.7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IFERROR(__xludf.DUMMYFUNCTION("""COMPUTED_VALUE"""),2333.6)</f>
        <v>2333.6</v>
      </c>
      <c r="C101" s="16">
        <f>IFERROR(__xludf.DUMMYFUNCTION("""COMPUTED_VALUE"""),45887.6458333333)</f>
        <v>45887.6458333333</v>
      </c>
      <c r="D101" s="17">
        <f>IFERROR(__xludf.DUMMYFUNCTION("""COMPUTED_VALUE"""),2309.6)</f>
        <v>2309.6</v>
      </c>
      <c r="E101" s="16">
        <f>IFERROR(__xludf.DUMMYFUNCTION("""COMPUTED_VALUE"""),45887.6458333333)</f>
        <v>45887.6458333333</v>
      </c>
      <c r="F101" s="17">
        <f>IFERROR(__xludf.DUMMYFUNCTION("""COMPUTED_VALUE"""),988629)</f>
        <v>988629</v>
      </c>
      <c r="G101" s="16">
        <f>IFERROR(__xludf.DUMMYFUNCTION("""COMPUTED_VALUE"""),45887.6458333333)</f>
        <v>45887.6458333333</v>
      </c>
      <c r="H101" s="17">
        <f>IFERROR(__xludf.DUMMYFUNCTION("""COMPUTED_VALUE"""),2360)</f>
        <v>2360</v>
      </c>
      <c r="I101" s="16">
        <f>IFERROR(__xludf.DUMMYFUNCTION("""COMPUTED_VALUE"""),45887.6458333333)</f>
        <v>45887.6458333333</v>
      </c>
      <c r="J101" s="17">
        <f>IFERROR(__xludf.DUMMYFUNCTION("""COMPUTED_VALUE"""),2300)</f>
        <v>2300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IFERROR(__xludf.DUMMYFUNCTION("""COMPUTED_VALUE"""),2388.4)</f>
        <v>2388.4</v>
      </c>
      <c r="C102" s="16">
        <f>IFERROR(__xludf.DUMMYFUNCTION("""COMPUTED_VALUE"""),45888.6458333333)</f>
        <v>45888.6458333333</v>
      </c>
      <c r="D102" s="17">
        <f>IFERROR(__xludf.DUMMYFUNCTION("""COMPUTED_VALUE"""),2339.9)</f>
        <v>2339.9</v>
      </c>
      <c r="E102" s="16">
        <f>IFERROR(__xludf.DUMMYFUNCTION("""COMPUTED_VALUE"""),45888.6458333333)</f>
        <v>45888.6458333333</v>
      </c>
      <c r="F102" s="17">
        <f>IFERROR(__xludf.DUMMYFUNCTION("""COMPUTED_VALUE"""),1069432)</f>
        <v>1069432</v>
      </c>
      <c r="G102" s="16">
        <f>IFERROR(__xludf.DUMMYFUNCTION("""COMPUTED_VALUE"""),45888.6458333333)</f>
        <v>45888.6458333333</v>
      </c>
      <c r="H102" s="17">
        <f>IFERROR(__xludf.DUMMYFUNCTION("""COMPUTED_VALUE"""),2395.6)</f>
        <v>2395.6</v>
      </c>
      <c r="I102" s="16">
        <f>IFERROR(__xludf.DUMMYFUNCTION("""COMPUTED_VALUE"""),45888.6458333333)</f>
        <v>45888.6458333333</v>
      </c>
      <c r="J102" s="17">
        <f>IFERROR(__xludf.DUMMYFUNCTION("""COMPUTED_VALUE"""),2314.1)</f>
        <v>2314.1</v>
      </c>
      <c r="K102" s="3">
        <f t="shared" si="2"/>
        <v>2388.4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IFERROR(__xludf.DUMMYFUNCTION("""COMPUTED_VALUE"""),2387.1)</f>
        <v>2387.1</v>
      </c>
      <c r="C103" s="16">
        <f>IFERROR(__xludf.DUMMYFUNCTION("""COMPUTED_VALUE"""),45889.6458333333)</f>
        <v>45889.6458333333</v>
      </c>
      <c r="D103" s="17">
        <f>IFERROR(__xludf.DUMMYFUNCTION("""COMPUTED_VALUE"""),2380)</f>
        <v>2380</v>
      </c>
      <c r="E103" s="16">
        <f>IFERROR(__xludf.DUMMYFUNCTION("""COMPUTED_VALUE"""),45889.6458333333)</f>
        <v>45889.6458333333</v>
      </c>
      <c r="F103" s="17">
        <f>IFERROR(__xludf.DUMMYFUNCTION("""COMPUTED_VALUE"""),780025)</f>
        <v>780025</v>
      </c>
      <c r="G103" s="16">
        <f>IFERROR(__xludf.DUMMYFUNCTION("""COMPUTED_VALUE"""),45889.6458333333)</f>
        <v>45889.6458333333</v>
      </c>
      <c r="H103" s="17">
        <f>IFERROR(__xludf.DUMMYFUNCTION("""COMPUTED_VALUE"""),2406)</f>
        <v>2406</v>
      </c>
      <c r="I103" s="16">
        <f>IFERROR(__xludf.DUMMYFUNCTION("""COMPUTED_VALUE"""),45889.6458333333)</f>
        <v>45889.6458333333</v>
      </c>
      <c r="J103" s="17">
        <f>IFERROR(__xludf.DUMMYFUNCTION("""COMPUTED_VALUE"""),2372.1)</f>
        <v>2372.1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IFERROR(__xludf.DUMMYFUNCTION("""COMPUTED_VALUE"""),2377.2)</f>
        <v>2377.2</v>
      </c>
      <c r="C104" s="16">
        <f>IFERROR(__xludf.DUMMYFUNCTION("""COMPUTED_VALUE"""),45890.6458333333)</f>
        <v>45890.6458333333</v>
      </c>
      <c r="D104" s="17">
        <f>IFERROR(__xludf.DUMMYFUNCTION("""COMPUTED_VALUE"""),2387.1)</f>
        <v>2387.1</v>
      </c>
      <c r="E104" s="16">
        <f>IFERROR(__xludf.DUMMYFUNCTION("""COMPUTED_VALUE"""),45890.6458333333)</f>
        <v>45890.6458333333</v>
      </c>
      <c r="F104" s="17">
        <f>IFERROR(__xludf.DUMMYFUNCTION("""COMPUTED_VALUE"""),441867)</f>
        <v>441867</v>
      </c>
      <c r="G104" s="16">
        <f>IFERROR(__xludf.DUMMYFUNCTION("""COMPUTED_VALUE"""),45890.6458333333)</f>
        <v>45890.6458333333</v>
      </c>
      <c r="H104" s="17">
        <f>IFERROR(__xludf.DUMMYFUNCTION("""COMPUTED_VALUE"""),2397)</f>
        <v>2397</v>
      </c>
      <c r="I104" s="16">
        <f>IFERROR(__xludf.DUMMYFUNCTION("""COMPUTED_VALUE"""),45890.6458333333)</f>
        <v>45890.6458333333</v>
      </c>
      <c r="J104" s="17">
        <f>IFERROR(__xludf.DUMMYFUNCTION("""COMPUTED_VALUE"""),2371.4)</f>
        <v>2371.4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IFERROR(__xludf.DUMMYFUNCTION("""COMPUTED_VALUE"""),2324.9)</f>
        <v>2324.9</v>
      </c>
      <c r="C105" s="16">
        <f>IFERROR(__xludf.DUMMYFUNCTION("""COMPUTED_VALUE"""),45891.6458333333)</f>
        <v>45891.6458333333</v>
      </c>
      <c r="D105" s="17">
        <f>IFERROR(__xludf.DUMMYFUNCTION("""COMPUTED_VALUE"""),2369.9)</f>
        <v>2369.9</v>
      </c>
      <c r="E105" s="16">
        <f>IFERROR(__xludf.DUMMYFUNCTION("""COMPUTED_VALUE"""),45891.6458333333)</f>
        <v>45891.6458333333</v>
      </c>
      <c r="F105" s="17">
        <f>IFERROR(__xludf.DUMMYFUNCTION("""COMPUTED_VALUE"""),584211)</f>
        <v>584211</v>
      </c>
      <c r="G105" s="16">
        <f>IFERROR(__xludf.DUMMYFUNCTION("""COMPUTED_VALUE"""),45891.6458333333)</f>
        <v>45891.6458333333</v>
      </c>
      <c r="H105" s="17">
        <f>IFERROR(__xludf.DUMMYFUNCTION("""COMPUTED_VALUE"""),2376.3)</f>
        <v>2376.3</v>
      </c>
      <c r="I105" s="16">
        <f>IFERROR(__xludf.DUMMYFUNCTION("""COMPUTED_VALUE"""),45891.6458333333)</f>
        <v>45891.6458333333</v>
      </c>
      <c r="J105" s="17">
        <f>IFERROR(__xludf.DUMMYFUNCTION("""COMPUTED_VALUE"""),2321)</f>
        <v>2321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IFERROR(__xludf.DUMMYFUNCTION("""COMPUTED_VALUE"""),2302.9)</f>
        <v>2302.9</v>
      </c>
      <c r="C106" s="16">
        <f>IFERROR(__xludf.DUMMYFUNCTION("""COMPUTED_VALUE"""),45894.6458333333)</f>
        <v>45894.6458333333</v>
      </c>
      <c r="D106" s="17">
        <f>IFERROR(__xludf.DUMMYFUNCTION("""COMPUTED_VALUE"""),2335.7)</f>
        <v>2335.7</v>
      </c>
      <c r="E106" s="16">
        <f>IFERROR(__xludf.DUMMYFUNCTION("""COMPUTED_VALUE"""),45894.6458333333)</f>
        <v>45894.6458333333</v>
      </c>
      <c r="F106" s="17">
        <f>IFERROR(__xludf.DUMMYFUNCTION("""COMPUTED_VALUE"""),542455)</f>
        <v>542455</v>
      </c>
      <c r="G106" s="16">
        <f>IFERROR(__xludf.DUMMYFUNCTION("""COMPUTED_VALUE"""),45894.6458333333)</f>
        <v>45894.6458333333</v>
      </c>
      <c r="H106" s="17">
        <f>IFERROR(__xludf.DUMMYFUNCTION("""COMPUTED_VALUE"""),2348.4)</f>
        <v>2348.4</v>
      </c>
      <c r="I106" s="16">
        <f>IFERROR(__xludf.DUMMYFUNCTION("""COMPUTED_VALUE"""),45894.6458333333)</f>
        <v>45894.6458333333</v>
      </c>
      <c r="J106" s="17">
        <f>IFERROR(__xludf.DUMMYFUNCTION("""COMPUTED_VALUE"""),2300)</f>
        <v>2300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IFERROR(__xludf.DUMMYFUNCTION("""COMPUTED_VALUE"""),2272)</f>
        <v>2272</v>
      </c>
      <c r="C107" s="16">
        <f>IFERROR(__xludf.DUMMYFUNCTION("""COMPUTED_VALUE"""),45895.6458333333)</f>
        <v>45895.6458333333</v>
      </c>
      <c r="D107" s="17">
        <f>IFERROR(__xludf.DUMMYFUNCTION("""COMPUTED_VALUE"""),2304)</f>
        <v>2304</v>
      </c>
      <c r="E107" s="16">
        <f>IFERROR(__xludf.DUMMYFUNCTION("""COMPUTED_VALUE"""),45895.6458333333)</f>
        <v>45895.6458333333</v>
      </c>
      <c r="F107" s="17">
        <f>IFERROR(__xludf.DUMMYFUNCTION("""COMPUTED_VALUE"""),1071550)</f>
        <v>1071550</v>
      </c>
      <c r="G107" s="16">
        <f>IFERROR(__xludf.DUMMYFUNCTION("""COMPUTED_VALUE"""),45895.6458333333)</f>
        <v>45895.6458333333</v>
      </c>
      <c r="H107" s="17">
        <f>IFERROR(__xludf.DUMMYFUNCTION("""COMPUTED_VALUE"""),2309.3)</f>
        <v>2309.3</v>
      </c>
      <c r="I107" s="16">
        <f>IFERROR(__xludf.DUMMYFUNCTION("""COMPUTED_VALUE"""),45895.6458333333)</f>
        <v>45895.6458333333</v>
      </c>
      <c r="J107" s="17">
        <f>IFERROR(__xludf.DUMMYFUNCTION("""COMPUTED_VALUE"""),2249.4)</f>
        <v>2249.4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IFERROR(__xludf.DUMMYFUNCTION("""COMPUTED_VALUE"""),2275.2)</f>
        <v>2275.2</v>
      </c>
      <c r="C108" s="16">
        <f>IFERROR(__xludf.DUMMYFUNCTION("""COMPUTED_VALUE"""),45897.6458333333)</f>
        <v>45897.6458333333</v>
      </c>
      <c r="D108" s="17">
        <f>IFERROR(__xludf.DUMMYFUNCTION("""COMPUTED_VALUE"""),2271.9)</f>
        <v>2271.9</v>
      </c>
      <c r="E108" s="16">
        <f>IFERROR(__xludf.DUMMYFUNCTION("""COMPUTED_VALUE"""),45897.6458333333)</f>
        <v>45897.6458333333</v>
      </c>
      <c r="F108" s="17">
        <f>IFERROR(__xludf.DUMMYFUNCTION("""COMPUTED_VALUE"""),907868)</f>
        <v>907868</v>
      </c>
      <c r="G108" s="16">
        <f>IFERROR(__xludf.DUMMYFUNCTION("""COMPUTED_VALUE"""),45897.6458333333)</f>
        <v>45897.6458333333</v>
      </c>
      <c r="H108" s="17">
        <f>IFERROR(__xludf.DUMMYFUNCTION("""COMPUTED_VALUE"""),2327.9)</f>
        <v>2327.9</v>
      </c>
      <c r="I108" s="16">
        <f>IFERROR(__xludf.DUMMYFUNCTION("""COMPUTED_VALUE"""),45897.6458333333)</f>
        <v>45897.6458333333</v>
      </c>
      <c r="J108" s="17">
        <f>IFERROR(__xludf.DUMMYFUNCTION("""COMPUTED_VALUE"""),2255)</f>
        <v>2255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IFERROR(__xludf.DUMMYFUNCTION("""COMPUTED_VALUE"""),2244.7)</f>
        <v>2244.7</v>
      </c>
      <c r="C109" s="16">
        <f>IFERROR(__xludf.DUMMYFUNCTION("""COMPUTED_VALUE"""),45898.6458333333)</f>
        <v>45898.6458333333</v>
      </c>
      <c r="D109" s="17">
        <f>IFERROR(__xludf.DUMMYFUNCTION("""COMPUTED_VALUE"""),2283)</f>
        <v>2283</v>
      </c>
      <c r="E109" s="16">
        <f>IFERROR(__xludf.DUMMYFUNCTION("""COMPUTED_VALUE"""),45898.6458333333)</f>
        <v>45898.6458333333</v>
      </c>
      <c r="F109" s="17">
        <f>IFERROR(__xludf.DUMMYFUNCTION("""COMPUTED_VALUE"""),795699)</f>
        <v>795699</v>
      </c>
      <c r="G109" s="16">
        <f>IFERROR(__xludf.DUMMYFUNCTION("""COMPUTED_VALUE"""),45898.6458333333)</f>
        <v>45898.6458333333</v>
      </c>
      <c r="H109" s="17">
        <f>IFERROR(__xludf.DUMMYFUNCTION("""COMPUTED_VALUE"""),2289.7)</f>
        <v>2289.7</v>
      </c>
      <c r="I109" s="16">
        <f>IFERROR(__xludf.DUMMYFUNCTION("""COMPUTED_VALUE"""),45898.6458333333)</f>
        <v>45898.6458333333</v>
      </c>
      <c r="J109" s="17">
        <f>IFERROR(__xludf.DUMMYFUNCTION("""COMPUTED_VALUE"""),2240)</f>
        <v>2240</v>
      </c>
      <c r="K109" s="3">
        <f t="shared" si="2"/>
        <v>0</v>
      </c>
      <c r="L109" s="3">
        <f t="shared" si="3"/>
        <v>2244.7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IFERROR(__xludf.DUMMYFUNCTION("""COMPUTED_VALUE"""),2284.2)</f>
        <v>2284.2</v>
      </c>
      <c r="C110" s="16">
        <f>IFERROR(__xludf.DUMMYFUNCTION("""COMPUTED_VALUE"""),45901.6458333333)</f>
        <v>45901.6458333333</v>
      </c>
      <c r="D110" s="17">
        <f>IFERROR(__xludf.DUMMYFUNCTION("""COMPUTED_VALUE"""),2259)</f>
        <v>2259</v>
      </c>
      <c r="E110" s="16">
        <f>IFERROR(__xludf.DUMMYFUNCTION("""COMPUTED_VALUE"""),45901.6458333333)</f>
        <v>45901.6458333333</v>
      </c>
      <c r="F110" s="17">
        <f>IFERROR(__xludf.DUMMYFUNCTION("""COMPUTED_VALUE"""),425639)</f>
        <v>425639</v>
      </c>
      <c r="G110" s="16">
        <f>IFERROR(__xludf.DUMMYFUNCTION("""COMPUTED_VALUE"""),45901.6458333333)</f>
        <v>45901.6458333333</v>
      </c>
      <c r="H110" s="17">
        <f>IFERROR(__xludf.DUMMYFUNCTION("""COMPUTED_VALUE"""),2288)</f>
        <v>2288</v>
      </c>
      <c r="I110" s="16">
        <f>IFERROR(__xludf.DUMMYFUNCTION("""COMPUTED_VALUE"""),45901.6458333333)</f>
        <v>45901.6458333333</v>
      </c>
      <c r="J110" s="17">
        <f>IFERROR(__xludf.DUMMYFUNCTION("""COMPUTED_VALUE"""),2252.1)</f>
        <v>2252.1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IFERROR(__xludf.DUMMYFUNCTION("""COMPUTED_VALUE"""),2274.2)</f>
        <v>2274.2</v>
      </c>
      <c r="C111" s="16">
        <f>IFERROR(__xludf.DUMMYFUNCTION("""COMPUTED_VALUE"""),45902.6458333333)</f>
        <v>45902.6458333333</v>
      </c>
      <c r="D111" s="17">
        <f>IFERROR(__xludf.DUMMYFUNCTION("""COMPUTED_VALUE"""),2291)</f>
        <v>2291</v>
      </c>
      <c r="E111" s="16">
        <f>IFERROR(__xludf.DUMMYFUNCTION("""COMPUTED_VALUE"""),45902.6458333333)</f>
        <v>45902.6458333333</v>
      </c>
      <c r="F111" s="17">
        <f>IFERROR(__xludf.DUMMYFUNCTION("""COMPUTED_VALUE"""),481894)</f>
        <v>481894</v>
      </c>
      <c r="G111" s="16">
        <f>IFERROR(__xludf.DUMMYFUNCTION("""COMPUTED_VALUE"""),45902.6458333333)</f>
        <v>45902.6458333333</v>
      </c>
      <c r="H111" s="17">
        <f>IFERROR(__xludf.DUMMYFUNCTION("""COMPUTED_VALUE"""),2302)</f>
        <v>2302</v>
      </c>
      <c r="I111" s="16">
        <f>IFERROR(__xludf.DUMMYFUNCTION("""COMPUTED_VALUE"""),45902.6458333333)</f>
        <v>45902.6458333333</v>
      </c>
      <c r="J111" s="17">
        <f>IFERROR(__xludf.DUMMYFUNCTION("""COMPUTED_VALUE"""),2264)</f>
        <v>2264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IFERROR(__xludf.DUMMYFUNCTION("""COMPUTED_VALUE"""),2288.7)</f>
        <v>2288.7</v>
      </c>
      <c r="C112" s="16">
        <f>IFERROR(__xludf.DUMMYFUNCTION("""COMPUTED_VALUE"""),45903.6458333333)</f>
        <v>45903.6458333333</v>
      </c>
      <c r="D112" s="17">
        <f>IFERROR(__xludf.DUMMYFUNCTION("""COMPUTED_VALUE"""),2285)</f>
        <v>2285</v>
      </c>
      <c r="E112" s="16">
        <f>IFERROR(__xludf.DUMMYFUNCTION("""COMPUTED_VALUE"""),45903.6458333333)</f>
        <v>45903.6458333333</v>
      </c>
      <c r="F112" s="17">
        <f>IFERROR(__xludf.DUMMYFUNCTION("""COMPUTED_VALUE"""),443629)</f>
        <v>443629</v>
      </c>
      <c r="G112" s="16">
        <f>IFERROR(__xludf.DUMMYFUNCTION("""COMPUTED_VALUE"""),45903.6458333333)</f>
        <v>45903.6458333333</v>
      </c>
      <c r="H112" s="17">
        <f>IFERROR(__xludf.DUMMYFUNCTION("""COMPUTED_VALUE"""),2293)</f>
        <v>2293</v>
      </c>
      <c r="I112" s="16">
        <f>IFERROR(__xludf.DUMMYFUNCTION("""COMPUTED_VALUE"""),45903.6458333333)</f>
        <v>45903.6458333333</v>
      </c>
      <c r="J112" s="17">
        <f>IFERROR(__xludf.DUMMYFUNCTION("""COMPUTED_VALUE"""),2263.1)</f>
        <v>2263.1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IFERROR(__xludf.DUMMYFUNCTION("""COMPUTED_VALUE"""),2278.8)</f>
        <v>2278.8</v>
      </c>
      <c r="C113" s="16">
        <f>IFERROR(__xludf.DUMMYFUNCTION("""COMPUTED_VALUE"""),45904.6458333333)</f>
        <v>45904.6458333333</v>
      </c>
      <c r="D113" s="17">
        <f>IFERROR(__xludf.DUMMYFUNCTION("""COMPUTED_VALUE"""),2309.9)</f>
        <v>2309.9</v>
      </c>
      <c r="E113" s="16">
        <f>IFERROR(__xludf.DUMMYFUNCTION("""COMPUTED_VALUE"""),45904.6458333333)</f>
        <v>45904.6458333333</v>
      </c>
      <c r="F113" s="17">
        <f>IFERROR(__xludf.DUMMYFUNCTION("""COMPUTED_VALUE"""),392697)</f>
        <v>392697</v>
      </c>
      <c r="G113" s="16">
        <f>IFERROR(__xludf.DUMMYFUNCTION("""COMPUTED_VALUE"""),45904.6458333333)</f>
        <v>45904.6458333333</v>
      </c>
      <c r="H113" s="17">
        <f>IFERROR(__xludf.DUMMYFUNCTION("""COMPUTED_VALUE"""),2317.3)</f>
        <v>2317.3</v>
      </c>
      <c r="I113" s="16">
        <f>IFERROR(__xludf.DUMMYFUNCTION("""COMPUTED_VALUE"""),45904.6458333333)</f>
        <v>45904.6458333333</v>
      </c>
      <c r="J113" s="17">
        <f>IFERROR(__xludf.DUMMYFUNCTION("""COMPUTED_VALUE"""),2275)</f>
        <v>2275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IFERROR(__xludf.DUMMYFUNCTION("""COMPUTED_VALUE"""),2281.4)</f>
        <v>2281.4</v>
      </c>
      <c r="C114" s="16">
        <f>IFERROR(__xludf.DUMMYFUNCTION("""COMPUTED_VALUE"""),45905.6458333333)</f>
        <v>45905.6458333333</v>
      </c>
      <c r="D114" s="17">
        <f>IFERROR(__xludf.DUMMYFUNCTION("""COMPUTED_VALUE"""),2275)</f>
        <v>2275</v>
      </c>
      <c r="E114" s="16">
        <f>IFERROR(__xludf.DUMMYFUNCTION("""COMPUTED_VALUE"""),45905.6458333333)</f>
        <v>45905.6458333333</v>
      </c>
      <c r="F114" s="17">
        <f>IFERROR(__xludf.DUMMYFUNCTION("""COMPUTED_VALUE"""),443010)</f>
        <v>443010</v>
      </c>
      <c r="G114" s="16">
        <f>IFERROR(__xludf.DUMMYFUNCTION("""COMPUTED_VALUE"""),45905.6458333333)</f>
        <v>45905.6458333333</v>
      </c>
      <c r="H114" s="17">
        <f>IFERROR(__xludf.DUMMYFUNCTION("""COMPUTED_VALUE"""),2293.5)</f>
        <v>2293.5</v>
      </c>
      <c r="I114" s="16">
        <f>IFERROR(__xludf.DUMMYFUNCTION("""COMPUTED_VALUE"""),45905.6458333333)</f>
        <v>45905.6458333333</v>
      </c>
      <c r="J114" s="17">
        <f>IFERROR(__xludf.DUMMYFUNCTION("""COMPUTED_VALUE"""),2248)</f>
        <v>2248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IFERROR(__xludf.DUMMYFUNCTION("""COMPUTED_VALUE"""),2310.9)</f>
        <v>2310.9</v>
      </c>
      <c r="C115" s="16">
        <f>IFERROR(__xludf.DUMMYFUNCTION("""COMPUTED_VALUE"""),45908.6458333333)</f>
        <v>45908.6458333333</v>
      </c>
      <c r="D115" s="17">
        <f>IFERROR(__xludf.DUMMYFUNCTION("""COMPUTED_VALUE"""),2290)</f>
        <v>2290</v>
      </c>
      <c r="E115" s="16">
        <f>IFERROR(__xludf.DUMMYFUNCTION("""COMPUTED_VALUE"""),45908.6458333333)</f>
        <v>45908.6458333333</v>
      </c>
      <c r="F115" s="17">
        <f>IFERROR(__xludf.DUMMYFUNCTION("""COMPUTED_VALUE"""),542811)</f>
        <v>542811</v>
      </c>
      <c r="G115" s="16">
        <f>IFERROR(__xludf.DUMMYFUNCTION("""COMPUTED_VALUE"""),45908.6458333333)</f>
        <v>45908.6458333333</v>
      </c>
      <c r="H115" s="17">
        <f>IFERROR(__xludf.DUMMYFUNCTION("""COMPUTED_VALUE"""),2333.9)</f>
        <v>2333.9</v>
      </c>
      <c r="I115" s="16">
        <f>IFERROR(__xludf.DUMMYFUNCTION("""COMPUTED_VALUE"""),45908.6458333333)</f>
        <v>45908.6458333333</v>
      </c>
      <c r="J115" s="17">
        <f>IFERROR(__xludf.DUMMYFUNCTION("""COMPUTED_VALUE"""),2286)</f>
        <v>2286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IFERROR(__xludf.DUMMYFUNCTION("""COMPUTED_VALUE"""),2311.6)</f>
        <v>2311.6</v>
      </c>
      <c r="C116" s="16">
        <f>IFERROR(__xludf.DUMMYFUNCTION("""COMPUTED_VALUE"""),45909.6458333333)</f>
        <v>45909.6458333333</v>
      </c>
      <c r="D116" s="17">
        <f>IFERROR(__xludf.DUMMYFUNCTION("""COMPUTED_VALUE"""),2320)</f>
        <v>2320</v>
      </c>
      <c r="E116" s="16">
        <f>IFERROR(__xludf.DUMMYFUNCTION("""COMPUTED_VALUE"""),45909.6458333333)</f>
        <v>45909.6458333333</v>
      </c>
      <c r="F116" s="17">
        <f>IFERROR(__xludf.DUMMYFUNCTION("""COMPUTED_VALUE"""),369431)</f>
        <v>369431</v>
      </c>
      <c r="G116" s="16">
        <f>IFERROR(__xludf.DUMMYFUNCTION("""COMPUTED_VALUE"""),45909.6458333333)</f>
        <v>45909.6458333333</v>
      </c>
      <c r="H116" s="17">
        <f>IFERROR(__xludf.DUMMYFUNCTION("""COMPUTED_VALUE"""),2325)</f>
        <v>2325</v>
      </c>
      <c r="I116" s="16">
        <f>IFERROR(__xludf.DUMMYFUNCTION("""COMPUTED_VALUE"""),45909.6458333333)</f>
        <v>45909.6458333333</v>
      </c>
      <c r="J116" s="17">
        <f>IFERROR(__xludf.DUMMYFUNCTION("""COMPUTED_VALUE"""),2297)</f>
        <v>2297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IFERROR(__xludf.DUMMYFUNCTION("""COMPUTED_VALUE"""),2340.2)</f>
        <v>2340.2</v>
      </c>
      <c r="C117" s="16">
        <f>IFERROR(__xludf.DUMMYFUNCTION("""COMPUTED_VALUE"""),45910.6458333333)</f>
        <v>45910.6458333333</v>
      </c>
      <c r="D117" s="17">
        <f>IFERROR(__xludf.DUMMYFUNCTION("""COMPUTED_VALUE"""),2330)</f>
        <v>2330</v>
      </c>
      <c r="E117" s="16">
        <f>IFERROR(__xludf.DUMMYFUNCTION("""COMPUTED_VALUE"""),45910.6458333333)</f>
        <v>45910.6458333333</v>
      </c>
      <c r="F117" s="17">
        <f>IFERROR(__xludf.DUMMYFUNCTION("""COMPUTED_VALUE"""),390490)</f>
        <v>390490</v>
      </c>
      <c r="G117" s="16">
        <f>IFERROR(__xludf.DUMMYFUNCTION("""COMPUTED_VALUE"""),45910.6458333333)</f>
        <v>45910.6458333333</v>
      </c>
      <c r="H117" s="17">
        <f>IFERROR(__xludf.DUMMYFUNCTION("""COMPUTED_VALUE"""),2345.9)</f>
        <v>2345.9</v>
      </c>
      <c r="I117" s="16">
        <f>IFERROR(__xludf.DUMMYFUNCTION("""COMPUTED_VALUE"""),45910.6458333333)</f>
        <v>45910.6458333333</v>
      </c>
      <c r="J117" s="17">
        <f>IFERROR(__xludf.DUMMYFUNCTION("""COMPUTED_VALUE"""),2325.1)</f>
        <v>2325.1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IFERROR(__xludf.DUMMYFUNCTION("""COMPUTED_VALUE"""),2398.8)</f>
        <v>2398.8</v>
      </c>
      <c r="C118" s="16">
        <f>IFERROR(__xludf.DUMMYFUNCTION("""COMPUTED_VALUE"""),45911.6458333333)</f>
        <v>45911.6458333333</v>
      </c>
      <c r="D118" s="17">
        <f>IFERROR(__xludf.DUMMYFUNCTION("""COMPUTED_VALUE"""),2348)</f>
        <v>2348</v>
      </c>
      <c r="E118" s="16">
        <f>IFERROR(__xludf.DUMMYFUNCTION("""COMPUTED_VALUE"""),45911.6458333333)</f>
        <v>45911.6458333333</v>
      </c>
      <c r="F118" s="17">
        <f>IFERROR(__xludf.DUMMYFUNCTION("""COMPUTED_VALUE"""),2111888)</f>
        <v>2111888</v>
      </c>
      <c r="G118" s="16">
        <f>IFERROR(__xludf.DUMMYFUNCTION("""COMPUTED_VALUE"""),45911.6458333333)</f>
        <v>45911.6458333333</v>
      </c>
      <c r="H118" s="17">
        <f>IFERROR(__xludf.DUMMYFUNCTION("""COMPUTED_VALUE"""),2418.7)</f>
        <v>2418.7</v>
      </c>
      <c r="I118" s="16">
        <f>IFERROR(__xludf.DUMMYFUNCTION("""COMPUTED_VALUE"""),45911.6458333333)</f>
        <v>45911.6458333333</v>
      </c>
      <c r="J118" s="17">
        <f>IFERROR(__xludf.DUMMYFUNCTION("""COMPUTED_VALUE"""),2340.2)</f>
        <v>2340.2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IFERROR(__xludf.DUMMYFUNCTION("""COMPUTED_VALUE"""),2392)</f>
        <v>2392</v>
      </c>
      <c r="C119" s="16">
        <f>IFERROR(__xludf.DUMMYFUNCTION("""COMPUTED_VALUE"""),45912.6458333333)</f>
        <v>45912.6458333333</v>
      </c>
      <c r="D119" s="17">
        <f>IFERROR(__xludf.DUMMYFUNCTION("""COMPUTED_VALUE"""),2416.9)</f>
        <v>2416.9</v>
      </c>
      <c r="E119" s="16">
        <f>IFERROR(__xludf.DUMMYFUNCTION("""COMPUTED_VALUE"""),45912.6458333333)</f>
        <v>45912.6458333333</v>
      </c>
      <c r="F119" s="17">
        <f>IFERROR(__xludf.DUMMYFUNCTION("""COMPUTED_VALUE"""),533971)</f>
        <v>533971</v>
      </c>
      <c r="G119" s="16">
        <f>IFERROR(__xludf.DUMMYFUNCTION("""COMPUTED_VALUE"""),45912.6458333333)</f>
        <v>45912.6458333333</v>
      </c>
      <c r="H119" s="17">
        <f>IFERROR(__xludf.DUMMYFUNCTION("""COMPUTED_VALUE"""),2421.6)</f>
        <v>2421.6</v>
      </c>
      <c r="I119" s="16">
        <f>IFERROR(__xludf.DUMMYFUNCTION("""COMPUTED_VALUE"""),45912.6458333333)</f>
        <v>45912.6458333333</v>
      </c>
      <c r="J119" s="17">
        <f>IFERROR(__xludf.DUMMYFUNCTION("""COMPUTED_VALUE"""),2387.1)</f>
        <v>2387.1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IFERROR(__xludf.DUMMYFUNCTION("""COMPUTED_VALUE"""),2383.4)</f>
        <v>2383.4</v>
      </c>
      <c r="C120" s="16">
        <f>IFERROR(__xludf.DUMMYFUNCTION("""COMPUTED_VALUE"""),45915.6458333333)</f>
        <v>45915.6458333333</v>
      </c>
      <c r="D120" s="17">
        <f>IFERROR(__xludf.DUMMYFUNCTION("""COMPUTED_VALUE"""),2392)</f>
        <v>2392</v>
      </c>
      <c r="E120" s="16">
        <f>IFERROR(__xludf.DUMMYFUNCTION("""COMPUTED_VALUE"""),45915.6458333333)</f>
        <v>45915.6458333333</v>
      </c>
      <c r="F120" s="17">
        <f>IFERROR(__xludf.DUMMYFUNCTION("""COMPUTED_VALUE"""),298129)</f>
        <v>298129</v>
      </c>
      <c r="G120" s="16">
        <f>IFERROR(__xludf.DUMMYFUNCTION("""COMPUTED_VALUE"""),45915.6458333333)</f>
        <v>45915.6458333333</v>
      </c>
      <c r="H120" s="17">
        <f>IFERROR(__xludf.DUMMYFUNCTION("""COMPUTED_VALUE"""),2402.8)</f>
        <v>2402.8</v>
      </c>
      <c r="I120" s="16">
        <f>IFERROR(__xludf.DUMMYFUNCTION("""COMPUTED_VALUE"""),45915.6458333333)</f>
        <v>45915.6458333333</v>
      </c>
      <c r="J120" s="17">
        <f>IFERROR(__xludf.DUMMYFUNCTION("""COMPUTED_VALUE"""),2378.1)</f>
        <v>2378.1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IFERROR(__xludf.DUMMYFUNCTION("""COMPUTED_VALUE"""),2399.4)</f>
        <v>2399.4</v>
      </c>
      <c r="C121" s="16">
        <f>IFERROR(__xludf.DUMMYFUNCTION("""COMPUTED_VALUE"""),45916.6458333333)</f>
        <v>45916.6458333333</v>
      </c>
      <c r="D121" s="17">
        <f>IFERROR(__xludf.DUMMYFUNCTION("""COMPUTED_VALUE"""),2410)</f>
        <v>2410</v>
      </c>
      <c r="E121" s="16">
        <f>IFERROR(__xludf.DUMMYFUNCTION("""COMPUTED_VALUE"""),45916.6458333333)</f>
        <v>45916.6458333333</v>
      </c>
      <c r="F121" s="17">
        <f>IFERROR(__xludf.DUMMYFUNCTION("""COMPUTED_VALUE"""),752979)</f>
        <v>752979</v>
      </c>
      <c r="G121" s="16">
        <f>IFERROR(__xludf.DUMMYFUNCTION("""COMPUTED_VALUE"""),45916.6458333333)</f>
        <v>45916.6458333333</v>
      </c>
      <c r="H121" s="17">
        <f>IFERROR(__xludf.DUMMYFUNCTION("""COMPUTED_VALUE"""),2415.8)</f>
        <v>2415.8</v>
      </c>
      <c r="I121" s="16">
        <f>IFERROR(__xludf.DUMMYFUNCTION("""COMPUTED_VALUE"""),45916.6458333333)</f>
        <v>45916.6458333333</v>
      </c>
      <c r="J121" s="17">
        <f>IFERROR(__xludf.DUMMYFUNCTION("""COMPUTED_VALUE"""),2388)</f>
        <v>2388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IFERROR(__xludf.DUMMYFUNCTION("""COMPUTED_VALUE"""),2402)</f>
        <v>2402</v>
      </c>
      <c r="C122" s="16">
        <f>IFERROR(__xludf.DUMMYFUNCTION("""COMPUTED_VALUE"""),45917.6458333333)</f>
        <v>45917.6458333333</v>
      </c>
      <c r="D122" s="17">
        <f>IFERROR(__xludf.DUMMYFUNCTION("""COMPUTED_VALUE"""),2417)</f>
        <v>2417</v>
      </c>
      <c r="E122" s="16">
        <f>IFERROR(__xludf.DUMMYFUNCTION("""COMPUTED_VALUE"""),45917.6458333333)</f>
        <v>45917.6458333333</v>
      </c>
      <c r="F122" s="17">
        <f>IFERROR(__xludf.DUMMYFUNCTION("""COMPUTED_VALUE"""),514354)</f>
        <v>514354</v>
      </c>
      <c r="G122" s="16">
        <f>IFERROR(__xludf.DUMMYFUNCTION("""COMPUTED_VALUE"""),45917.6458333333)</f>
        <v>45917.6458333333</v>
      </c>
      <c r="H122" s="17">
        <f>IFERROR(__xludf.DUMMYFUNCTION("""COMPUTED_VALUE"""),2417)</f>
        <v>2417</v>
      </c>
      <c r="I122" s="16">
        <f>IFERROR(__xludf.DUMMYFUNCTION("""COMPUTED_VALUE"""),45917.6458333333)</f>
        <v>45917.6458333333</v>
      </c>
      <c r="J122" s="17">
        <f>IFERROR(__xludf.DUMMYFUNCTION("""COMPUTED_VALUE"""),2391)</f>
        <v>2391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IFERROR(__xludf.DUMMYFUNCTION("""COMPUTED_VALUE"""),2402)</f>
        <v>2402</v>
      </c>
      <c r="C123" s="16">
        <f>IFERROR(__xludf.DUMMYFUNCTION("""COMPUTED_VALUE"""),45918.6458333333)</f>
        <v>45918.6458333333</v>
      </c>
      <c r="D123" s="17">
        <f>IFERROR(__xludf.DUMMYFUNCTION("""COMPUTED_VALUE"""),2414.5)</f>
        <v>2414.5</v>
      </c>
      <c r="E123" s="16">
        <f>IFERROR(__xludf.DUMMYFUNCTION("""COMPUTED_VALUE"""),45918.6458333333)</f>
        <v>45918.6458333333</v>
      </c>
      <c r="F123" s="17">
        <f>IFERROR(__xludf.DUMMYFUNCTION("""COMPUTED_VALUE"""),703730)</f>
        <v>703730</v>
      </c>
      <c r="G123" s="16">
        <f>IFERROR(__xludf.DUMMYFUNCTION("""COMPUTED_VALUE"""),45918.6458333333)</f>
        <v>45918.6458333333</v>
      </c>
      <c r="H123" s="17">
        <f>IFERROR(__xludf.DUMMYFUNCTION("""COMPUTED_VALUE"""),2438)</f>
        <v>2438</v>
      </c>
      <c r="I123" s="16">
        <f>IFERROR(__xludf.DUMMYFUNCTION("""COMPUTED_VALUE"""),45918.6458333333)</f>
        <v>45918.6458333333</v>
      </c>
      <c r="J123" s="17">
        <f>IFERROR(__xludf.DUMMYFUNCTION("""COMPUTED_VALUE"""),2388.4)</f>
        <v>2388.4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IFERROR(__xludf.DUMMYFUNCTION("""COMPUTED_VALUE"""),2524)</f>
        <v>2524</v>
      </c>
      <c r="C124" s="16">
        <f>IFERROR(__xludf.DUMMYFUNCTION("""COMPUTED_VALUE"""),45919.6458333333)</f>
        <v>45919.6458333333</v>
      </c>
      <c r="D124" s="17">
        <f>IFERROR(__xludf.DUMMYFUNCTION("""COMPUTED_VALUE"""),2495)</f>
        <v>2495</v>
      </c>
      <c r="E124" s="16">
        <f>IFERROR(__xludf.DUMMYFUNCTION("""COMPUTED_VALUE"""),45919.6458333333)</f>
        <v>45919.6458333333</v>
      </c>
      <c r="F124" s="17">
        <f>IFERROR(__xludf.DUMMYFUNCTION("""COMPUTED_VALUE"""),7965135)</f>
        <v>7965135</v>
      </c>
      <c r="G124" s="16">
        <f>IFERROR(__xludf.DUMMYFUNCTION("""COMPUTED_VALUE"""),45919.6458333333)</f>
        <v>45919.6458333333</v>
      </c>
      <c r="H124" s="17">
        <f>IFERROR(__xludf.DUMMYFUNCTION("""COMPUTED_VALUE"""),2579)</f>
        <v>2579</v>
      </c>
      <c r="I124" s="16">
        <f>IFERROR(__xludf.DUMMYFUNCTION("""COMPUTED_VALUE"""),45919.6458333333)</f>
        <v>45919.6458333333</v>
      </c>
      <c r="J124" s="17">
        <f>IFERROR(__xludf.DUMMYFUNCTION("""COMPUTED_VALUE"""),2466.1)</f>
        <v>2466.1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IFERROR(__xludf.DUMMYFUNCTION("""COMPUTED_VALUE"""),2629.5)</f>
        <v>2629.5</v>
      </c>
      <c r="C125" s="16">
        <f>IFERROR(__xludf.DUMMYFUNCTION("""COMPUTED_VALUE"""),45922.6458333333)</f>
        <v>45922.6458333333</v>
      </c>
      <c r="D125" s="17">
        <f>IFERROR(__xludf.DUMMYFUNCTION("""COMPUTED_VALUE"""),2535)</f>
        <v>2535</v>
      </c>
      <c r="E125" s="16">
        <f>IFERROR(__xludf.DUMMYFUNCTION("""COMPUTED_VALUE"""),45922.6458333333)</f>
        <v>45922.6458333333</v>
      </c>
      <c r="F125" s="17">
        <f>IFERROR(__xludf.DUMMYFUNCTION("""COMPUTED_VALUE"""),7022985)</f>
        <v>7022985</v>
      </c>
      <c r="G125" s="16">
        <f>IFERROR(__xludf.DUMMYFUNCTION("""COMPUTED_VALUE"""),45922.6458333333)</f>
        <v>45922.6458333333</v>
      </c>
      <c r="H125" s="17">
        <f>IFERROR(__xludf.DUMMYFUNCTION("""COMPUTED_VALUE"""),2659)</f>
        <v>2659</v>
      </c>
      <c r="I125" s="16">
        <f>IFERROR(__xludf.DUMMYFUNCTION("""COMPUTED_VALUE"""),45922.6458333333)</f>
        <v>45922.6458333333</v>
      </c>
      <c r="J125" s="17">
        <f>IFERROR(__xludf.DUMMYFUNCTION("""COMPUTED_VALUE"""),2522.1)</f>
        <v>2522.1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IFERROR(__xludf.DUMMYFUNCTION("""COMPUTED_VALUE"""),2676.4)</f>
        <v>2676.4</v>
      </c>
      <c r="C126" s="16">
        <f>IFERROR(__xludf.DUMMYFUNCTION("""COMPUTED_VALUE"""),45923.6458333333)</f>
        <v>45923.6458333333</v>
      </c>
      <c r="D126" s="17">
        <f>IFERROR(__xludf.DUMMYFUNCTION("""COMPUTED_VALUE"""),2642.6)</f>
        <v>2642.6</v>
      </c>
      <c r="E126" s="16">
        <f>IFERROR(__xludf.DUMMYFUNCTION("""COMPUTED_VALUE"""),45923.6458333333)</f>
        <v>45923.6458333333</v>
      </c>
      <c r="F126" s="17">
        <f>IFERROR(__xludf.DUMMYFUNCTION("""COMPUTED_VALUE"""),5610022)</f>
        <v>5610022</v>
      </c>
      <c r="G126" s="16">
        <f>IFERROR(__xludf.DUMMYFUNCTION("""COMPUTED_VALUE"""),45923.6458333333)</f>
        <v>45923.6458333333</v>
      </c>
      <c r="H126" s="17">
        <f>IFERROR(__xludf.DUMMYFUNCTION("""COMPUTED_VALUE"""),2695)</f>
        <v>2695</v>
      </c>
      <c r="I126" s="16">
        <f>IFERROR(__xludf.DUMMYFUNCTION("""COMPUTED_VALUE"""),45923.6458333333)</f>
        <v>45923.6458333333</v>
      </c>
      <c r="J126" s="17">
        <f>IFERROR(__xludf.DUMMYFUNCTION("""COMPUTED_VALUE"""),2593)</f>
        <v>2593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IFERROR(__xludf.DUMMYFUNCTION("""COMPUTED_VALUE"""),2619.8)</f>
        <v>2619.8</v>
      </c>
      <c r="C127" s="16">
        <f>IFERROR(__xludf.DUMMYFUNCTION("""COMPUTED_VALUE"""),45924.6458333333)</f>
        <v>45924.6458333333</v>
      </c>
      <c r="D127" s="17">
        <f>IFERROR(__xludf.DUMMYFUNCTION("""COMPUTED_VALUE"""),2655)</f>
        <v>2655</v>
      </c>
      <c r="E127" s="16">
        <f>IFERROR(__xludf.DUMMYFUNCTION("""COMPUTED_VALUE"""),45924.6458333333)</f>
        <v>45924.6458333333</v>
      </c>
      <c r="F127" s="17">
        <f>IFERROR(__xludf.DUMMYFUNCTION("""COMPUTED_VALUE"""),1720785)</f>
        <v>1720785</v>
      </c>
      <c r="G127" s="16">
        <f>IFERROR(__xludf.DUMMYFUNCTION("""COMPUTED_VALUE"""),45924.6458333333)</f>
        <v>45924.6458333333</v>
      </c>
      <c r="H127" s="17">
        <f>IFERROR(__xludf.DUMMYFUNCTION("""COMPUTED_VALUE"""),2676)</f>
        <v>2676</v>
      </c>
      <c r="I127" s="16">
        <f>IFERROR(__xludf.DUMMYFUNCTION("""COMPUTED_VALUE"""),45924.6458333333)</f>
        <v>45924.6458333333</v>
      </c>
      <c r="J127" s="17">
        <f>IFERROR(__xludf.DUMMYFUNCTION("""COMPUTED_VALUE"""),2614.4)</f>
        <v>2614.4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IFERROR(__xludf.DUMMYFUNCTION("""COMPUTED_VALUE"""),2576.4)</f>
        <v>2576.4</v>
      </c>
      <c r="C128" s="16">
        <f>IFERROR(__xludf.DUMMYFUNCTION("""COMPUTED_VALUE"""),45925.6458333333)</f>
        <v>45925.6458333333</v>
      </c>
      <c r="D128" s="17">
        <f>IFERROR(__xludf.DUMMYFUNCTION("""COMPUTED_VALUE"""),2625)</f>
        <v>2625</v>
      </c>
      <c r="E128" s="16">
        <f>IFERROR(__xludf.DUMMYFUNCTION("""COMPUTED_VALUE"""),45925.6458333333)</f>
        <v>45925.6458333333</v>
      </c>
      <c r="F128" s="17">
        <f>IFERROR(__xludf.DUMMYFUNCTION("""COMPUTED_VALUE"""),1489682)</f>
        <v>1489682</v>
      </c>
      <c r="G128" s="16">
        <f>IFERROR(__xludf.DUMMYFUNCTION("""COMPUTED_VALUE"""),45925.6458333333)</f>
        <v>45925.6458333333</v>
      </c>
      <c r="H128" s="17">
        <f>IFERROR(__xludf.DUMMYFUNCTION("""COMPUTED_VALUE"""),2647.9)</f>
        <v>2647.9</v>
      </c>
      <c r="I128" s="16">
        <f>IFERROR(__xludf.DUMMYFUNCTION("""COMPUTED_VALUE"""),45925.6458333333)</f>
        <v>45925.6458333333</v>
      </c>
      <c r="J128" s="17">
        <f>IFERROR(__xludf.DUMMYFUNCTION("""COMPUTED_VALUE"""),2567)</f>
        <v>2567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IFERROR(__xludf.DUMMYFUNCTION("""COMPUTED_VALUE"""),2543.7)</f>
        <v>2543.7</v>
      </c>
      <c r="C129" s="16">
        <f>IFERROR(__xludf.DUMMYFUNCTION("""COMPUTED_VALUE"""),45926.6458333333)</f>
        <v>45926.6458333333</v>
      </c>
      <c r="D129" s="17">
        <f>IFERROR(__xludf.DUMMYFUNCTION("""COMPUTED_VALUE"""),2572.8)</f>
        <v>2572.8</v>
      </c>
      <c r="E129" s="16">
        <f>IFERROR(__xludf.DUMMYFUNCTION("""COMPUTED_VALUE"""),45926.6458333333)</f>
        <v>45926.6458333333</v>
      </c>
      <c r="F129" s="17">
        <f>IFERROR(__xludf.DUMMYFUNCTION("""COMPUTED_VALUE"""),1037808)</f>
        <v>1037808</v>
      </c>
      <c r="G129" s="16">
        <f>IFERROR(__xludf.DUMMYFUNCTION("""COMPUTED_VALUE"""),45926.6458333333)</f>
        <v>45926.6458333333</v>
      </c>
      <c r="H129" s="17">
        <f>IFERROR(__xludf.DUMMYFUNCTION("""COMPUTED_VALUE"""),2605)</f>
        <v>2605</v>
      </c>
      <c r="I129" s="16">
        <f>IFERROR(__xludf.DUMMYFUNCTION("""COMPUTED_VALUE"""),45926.6458333333)</f>
        <v>45926.6458333333</v>
      </c>
      <c r="J129" s="17">
        <f>IFERROR(__xludf.DUMMYFUNCTION("""COMPUTED_VALUE"""),2535)</f>
        <v>2535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267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""price"")"),2535.6)</f>
        <v>2535.6</v>
      </c>
      <c r="I3" s="22" t="s">
        <v>269</v>
      </c>
      <c r="J3" s="23">
        <f>IFERROR(__xludf.DUMMYFUNCTION("GOOGLEFINANCE(L3, ""volume"")"),1037808)</f>
        <v>1037808</v>
      </c>
      <c r="K3" s="24" t="s">
        <v>270</v>
      </c>
      <c r="L3" s="25" t="str">
        <f>Mastersheet!B3</f>
        <v>ADANIENT</v>
      </c>
      <c r="M3" s="26">
        <f>IFERROR(__xludf.DUMMYFUNCTION("""COMPUTED_VALUE"""),45926.6458333333)</f>
        <v>45926.6458333333</v>
      </c>
      <c r="N3" s="27">
        <f>IFERROR(__xludf.DUMMYFUNCTION("""COMPUTED_VALUE"""),2543.7)</f>
        <v>2543.7</v>
      </c>
      <c r="O3" s="26">
        <f>IFERROR(__xludf.DUMMYFUNCTION("""COMPUTED_VALUE"""),45926.6458333333)</f>
        <v>45926.6458333333</v>
      </c>
      <c r="P3" s="27">
        <f>IFERROR(__xludf.DUMMYFUNCTION("""COMPUTED_VALUE"""),2572.8)</f>
        <v>2572.8</v>
      </c>
      <c r="Q3" s="16">
        <f>IFERROR(__xludf.DUMMYFUNCTION("""COMPUTED_VALUE"""),45926.6458333333)</f>
        <v>45926.6458333333</v>
      </c>
      <c r="R3" s="17">
        <f>IFERROR(__xludf.DUMMYFUNCTION("""COMPUTED_VALUE"""),2605)</f>
        <v>2605</v>
      </c>
      <c r="S3" s="16">
        <f>IFERROR(__xludf.DUMMYFUNCTION("""COMPUTED_VALUE"""),45926.6458333333)</f>
        <v>45926.6458333333</v>
      </c>
      <c r="T3" s="17">
        <f>IFERROR(__xludf.DUMMYFUNCTION("""COMPUTED_VALUE"""),2535)</f>
        <v>2535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IFERROR(__xludf.DUMMYFUNCTION("""COMPUTED_VALUE"""),2363.35)</f>
        <v>2363.35</v>
      </c>
      <c r="C5" s="14">
        <f>IFERROR(__xludf.DUMMYFUNCTION("""COMPUTED_VALUE"""),45743.6458333333)</f>
        <v>45743.6458333333</v>
      </c>
      <c r="D5" s="15">
        <f>IFERROR(__xludf.DUMMYFUNCTION("""COMPUTED_VALUE"""),2310)</f>
        <v>2310</v>
      </c>
      <c r="E5" s="14">
        <f>IFERROR(__xludf.DUMMYFUNCTION("""COMPUTED_VALUE"""),45743.6458333333)</f>
        <v>45743.6458333333</v>
      </c>
      <c r="F5" s="15">
        <f>IFERROR(__xludf.DUMMYFUNCTION("""COMPUTED_VALUE"""),1696042)</f>
        <v>1696042</v>
      </c>
      <c r="G5" s="14">
        <f>IFERROR(__xludf.DUMMYFUNCTION("""COMPUTED_VALUE"""),45743.6458333333)</f>
        <v>45743.6458333333</v>
      </c>
      <c r="H5" s="15">
        <f>IFERROR(__xludf.DUMMYFUNCTION("""COMPUTED_VALUE"""),2373.9)</f>
        <v>2373.9</v>
      </c>
      <c r="I5" s="30">
        <f>IFERROR(__xludf.DUMMYFUNCTION("""COMPUTED_VALUE"""),45743.6458333333)</f>
        <v>45743.6458333333</v>
      </c>
      <c r="J5" s="3">
        <f>IFERROR(__xludf.DUMMYFUNCTION("""COMPUTED_VALUE"""),2291.6)</f>
        <v>2291.6</v>
      </c>
      <c r="K5" s="5"/>
      <c r="L5" s="5"/>
      <c r="M5" s="3">
        <f t="array" ref="M5">INDEX(K11:K124,MATCH(SMALL(ABS(K11:K124-H3),1),ABS(K11:K124-H3),0))</f>
        <v>2555</v>
      </c>
      <c r="N5" s="3">
        <f t="array" ref="N5">INDEX(K11:K124,MATCH(SMALL(ABS(K11:K124-H3),2),ABS(K11:K124-H3),0))</f>
        <v>2613.1</v>
      </c>
      <c r="O5" s="3">
        <f t="array" ref="O5">INDEX(L11:L124,MATCH(SMALL(ABS(L11:L124-H3),1),ABS(L11:L124-H3),0))</f>
        <v>2558.7</v>
      </c>
      <c r="P5" s="3">
        <f t="array" ref="P5">INDEX(L11:L124,MATCH(SMALL(ABS(L11:L124-H3),2),ABS(L11:L124-H3),0))</f>
        <v>2470.9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2442.8</v>
      </c>
      <c r="T5" s="17">
        <f ca="1">IF(AND(H3&gt;=Mastersheet!I3*S5,H3&lt;=Mastersheet!J3*S5),1,0)</f>
        <v>0</v>
      </c>
      <c r="U5" s="36">
        <f>(N3+P3)/2</f>
        <v>2558.25</v>
      </c>
      <c r="V5" s="17">
        <f>(N3+P3+R3+T3)/4</f>
        <v>2564.125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IFERROR(__xludf.DUMMYFUNCTION("""COMPUTED_VALUE"""),2315.8)</f>
        <v>2315.8</v>
      </c>
      <c r="C6" s="16">
        <f>IFERROR(__xludf.DUMMYFUNCTION("""COMPUTED_VALUE"""),45744.6458333333)</f>
        <v>45744.6458333333</v>
      </c>
      <c r="D6" s="17">
        <f>IFERROR(__xludf.DUMMYFUNCTION("""COMPUTED_VALUE"""),2376)</f>
        <v>2376</v>
      </c>
      <c r="E6" s="16">
        <f>IFERROR(__xludf.DUMMYFUNCTION("""COMPUTED_VALUE"""),45744.6458333333)</f>
        <v>45744.6458333333</v>
      </c>
      <c r="F6" s="17">
        <f>IFERROR(__xludf.DUMMYFUNCTION("""COMPUTED_VALUE"""),1838836)</f>
        <v>1838836</v>
      </c>
      <c r="G6" s="16">
        <f>IFERROR(__xludf.DUMMYFUNCTION("""COMPUTED_VALUE"""),45744.6458333333)</f>
        <v>45744.6458333333</v>
      </c>
      <c r="H6" s="17">
        <f>IFERROR(__xludf.DUMMYFUNCTION("""COMPUTED_VALUE"""),2386.95)</f>
        <v>2386.95</v>
      </c>
      <c r="I6" s="16">
        <f>IFERROR(__xludf.DUMMYFUNCTION("""COMPUTED_VALUE"""),45744.6458333333)</f>
        <v>45744.6458333333</v>
      </c>
      <c r="J6" s="17">
        <f>IFERROR(__xludf.DUMMYFUNCTION("""COMPUTED_VALUE"""),2293.7)</f>
        <v>2293.7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IFERROR(__xludf.DUMMYFUNCTION("""COMPUTED_VALUE"""),2335.25)</f>
        <v>2335.25</v>
      </c>
      <c r="C7" s="16">
        <f>IFERROR(__xludf.DUMMYFUNCTION("""COMPUTED_VALUE"""),45748.6458333333)</f>
        <v>45748.6458333333</v>
      </c>
      <c r="D7" s="17">
        <f>IFERROR(__xludf.DUMMYFUNCTION("""COMPUTED_VALUE"""),2312)</f>
        <v>2312</v>
      </c>
      <c r="E7" s="16">
        <f>IFERROR(__xludf.DUMMYFUNCTION("""COMPUTED_VALUE"""),45748.6458333333)</f>
        <v>45748.6458333333</v>
      </c>
      <c r="F7" s="17">
        <f>IFERROR(__xludf.DUMMYFUNCTION("""COMPUTED_VALUE"""),501942)</f>
        <v>501942</v>
      </c>
      <c r="G7" s="16">
        <f>IFERROR(__xludf.DUMMYFUNCTION("""COMPUTED_VALUE"""),45748.6458333333)</f>
        <v>45748.6458333333</v>
      </c>
      <c r="H7" s="17">
        <f>IFERROR(__xludf.DUMMYFUNCTION("""COMPUTED_VALUE"""),2358.95)</f>
        <v>2358.95</v>
      </c>
      <c r="I7" s="16">
        <f>IFERROR(__xludf.DUMMYFUNCTION("""COMPUTED_VALUE"""),45748.6458333333)</f>
        <v>45748.6458333333</v>
      </c>
      <c r="J7" s="17">
        <f>IFERROR(__xludf.DUMMYFUNCTION("""COMPUTED_VALUE"""),2301)</f>
        <v>2301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IFERROR(__xludf.DUMMYFUNCTION("""COMPUTED_VALUE"""),2369.4)</f>
        <v>2369.4</v>
      </c>
      <c r="C8" s="16">
        <f>IFERROR(__xludf.DUMMYFUNCTION("""COMPUTED_VALUE"""),45749.6458333333)</f>
        <v>45749.6458333333</v>
      </c>
      <c r="D8" s="17">
        <f>IFERROR(__xludf.DUMMYFUNCTION("""COMPUTED_VALUE"""),2339.75)</f>
        <v>2339.75</v>
      </c>
      <c r="E8" s="16">
        <f>IFERROR(__xludf.DUMMYFUNCTION("""COMPUTED_VALUE"""),45749.6458333333)</f>
        <v>45749.6458333333</v>
      </c>
      <c r="F8" s="17">
        <f>IFERROR(__xludf.DUMMYFUNCTION("""COMPUTED_VALUE"""),573928)</f>
        <v>573928</v>
      </c>
      <c r="G8" s="16">
        <f>IFERROR(__xludf.DUMMYFUNCTION("""COMPUTED_VALUE"""),45749.6458333333)</f>
        <v>45749.6458333333</v>
      </c>
      <c r="H8" s="17">
        <f>IFERROR(__xludf.DUMMYFUNCTION("""COMPUTED_VALUE"""),2378.85)</f>
        <v>2378.85</v>
      </c>
      <c r="I8" s="16">
        <f>IFERROR(__xludf.DUMMYFUNCTION("""COMPUTED_VALUE"""),45749.6458333333)</f>
        <v>45749.6458333333</v>
      </c>
      <c r="J8" s="17">
        <f>IFERROR(__xludf.DUMMYFUNCTION("""COMPUTED_VALUE"""),2314.55)</f>
        <v>2314.55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IFERROR(__xludf.DUMMYFUNCTION("""COMPUTED_VALUE"""),2410.8)</f>
        <v>2410.8</v>
      </c>
      <c r="C9" s="16">
        <f>IFERROR(__xludf.DUMMYFUNCTION("""COMPUTED_VALUE"""),45750.6458333333)</f>
        <v>45750.6458333333</v>
      </c>
      <c r="D9" s="17">
        <f>IFERROR(__xludf.DUMMYFUNCTION("""COMPUTED_VALUE"""),2339.75)</f>
        <v>2339.75</v>
      </c>
      <c r="E9" s="16">
        <f>IFERROR(__xludf.DUMMYFUNCTION("""COMPUTED_VALUE"""),45750.6458333333)</f>
        <v>45750.6458333333</v>
      </c>
      <c r="F9" s="17">
        <f>IFERROR(__xludf.DUMMYFUNCTION("""COMPUTED_VALUE"""),1023200)</f>
        <v>1023200</v>
      </c>
      <c r="G9" s="16">
        <f>IFERROR(__xludf.DUMMYFUNCTION("""COMPUTED_VALUE"""),45750.6458333333)</f>
        <v>45750.6458333333</v>
      </c>
      <c r="H9" s="17">
        <f>IFERROR(__xludf.DUMMYFUNCTION("""COMPUTED_VALUE"""),2429.9)</f>
        <v>2429.9</v>
      </c>
      <c r="I9" s="16">
        <f>IFERROR(__xludf.DUMMYFUNCTION("""COMPUTED_VALUE"""),45750.6458333333)</f>
        <v>45750.6458333333</v>
      </c>
      <c r="J9" s="17">
        <f>IFERROR(__xludf.DUMMYFUNCTION("""COMPUTED_VALUE"""),2339.7)</f>
        <v>2339.7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IFERROR(__xludf.DUMMYFUNCTION("""COMPUTED_VALUE"""),2334.65)</f>
        <v>2334.65</v>
      </c>
      <c r="C10" s="16">
        <f>IFERROR(__xludf.DUMMYFUNCTION("""COMPUTED_VALUE"""),45751.6458333333)</f>
        <v>45751.6458333333</v>
      </c>
      <c r="D10" s="17">
        <f>IFERROR(__xludf.DUMMYFUNCTION("""COMPUTED_VALUE"""),2394.95)</f>
        <v>2394.95</v>
      </c>
      <c r="E10" s="16">
        <f>IFERROR(__xludf.DUMMYFUNCTION("""COMPUTED_VALUE"""),45751.6458333333)</f>
        <v>45751.6458333333</v>
      </c>
      <c r="F10" s="17">
        <f>IFERROR(__xludf.DUMMYFUNCTION("""COMPUTED_VALUE"""),1219733)</f>
        <v>1219733</v>
      </c>
      <c r="G10" s="16">
        <f>IFERROR(__xludf.DUMMYFUNCTION("""COMPUTED_VALUE"""),45751.6458333333)</f>
        <v>45751.6458333333</v>
      </c>
      <c r="H10" s="17">
        <f>IFERROR(__xludf.DUMMYFUNCTION("""COMPUTED_VALUE"""),2410.05)</f>
        <v>2410.05</v>
      </c>
      <c r="I10" s="16">
        <f>IFERROR(__xludf.DUMMYFUNCTION("""COMPUTED_VALUE"""),45751.6458333333)</f>
        <v>45751.6458333333</v>
      </c>
      <c r="J10" s="17">
        <f>IFERROR(__xludf.DUMMYFUNCTION("""COMPUTED_VALUE"""),2315.5)</f>
        <v>2315.5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IFERROR(__xludf.DUMMYFUNCTION("""COMPUTED_VALUE"""),2212.7)</f>
        <v>2212.7</v>
      </c>
      <c r="C11" s="16">
        <f>IFERROR(__xludf.DUMMYFUNCTION("""COMPUTED_VALUE"""),45754.6458333333)</f>
        <v>45754.6458333333</v>
      </c>
      <c r="D11" s="17">
        <f>IFERROR(__xludf.DUMMYFUNCTION("""COMPUTED_VALUE"""),2150.05)</f>
        <v>2150.05</v>
      </c>
      <c r="E11" s="16">
        <f>IFERROR(__xludf.DUMMYFUNCTION("""COMPUTED_VALUE"""),45754.6458333333)</f>
        <v>45754.6458333333</v>
      </c>
      <c r="F11" s="17">
        <f>IFERROR(__xludf.DUMMYFUNCTION("""COMPUTED_VALUE"""),1567177)</f>
        <v>1567177</v>
      </c>
      <c r="G11" s="16">
        <f>IFERROR(__xludf.DUMMYFUNCTION("""COMPUTED_VALUE"""),45754.6458333333)</f>
        <v>45754.6458333333</v>
      </c>
      <c r="H11" s="17">
        <f>IFERROR(__xludf.DUMMYFUNCTION("""COMPUTED_VALUE"""),2239)</f>
        <v>2239</v>
      </c>
      <c r="I11" s="16">
        <f>IFERROR(__xludf.DUMMYFUNCTION("""COMPUTED_VALUE"""),45754.6458333333)</f>
        <v>45754.6458333333</v>
      </c>
      <c r="J11" s="17">
        <f>IFERROR(__xludf.DUMMYFUNCTION("""COMPUTED_VALUE"""),2145)</f>
        <v>2145</v>
      </c>
      <c r="K11" s="3">
        <f t="shared" ref="K11:K125" si="2">IF(B11=MAX(B5:B17),B11,0)</f>
        <v>0</v>
      </c>
      <c r="L11" s="3">
        <f t="shared" ref="L11:L125" si="3">IF(B11=MIN(B5:B17),B11,0)</f>
        <v>2212.7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IFERROR(__xludf.DUMMYFUNCTION("""COMPUTED_VALUE"""),2285.7)</f>
        <v>2285.7</v>
      </c>
      <c r="C12" s="16">
        <f>IFERROR(__xludf.DUMMYFUNCTION("""COMPUTED_VALUE"""),45755.6458333333)</f>
        <v>45755.6458333333</v>
      </c>
      <c r="D12" s="17">
        <f>IFERROR(__xludf.DUMMYFUNCTION("""COMPUTED_VALUE"""),2270)</f>
        <v>2270</v>
      </c>
      <c r="E12" s="16">
        <f>IFERROR(__xludf.DUMMYFUNCTION("""COMPUTED_VALUE"""),45755.6458333333)</f>
        <v>45755.6458333333</v>
      </c>
      <c r="F12" s="17">
        <f>IFERROR(__xludf.DUMMYFUNCTION("""COMPUTED_VALUE"""),1224362)</f>
        <v>1224362</v>
      </c>
      <c r="G12" s="16">
        <f>IFERROR(__xludf.DUMMYFUNCTION("""COMPUTED_VALUE"""),45755.6458333333)</f>
        <v>45755.6458333333</v>
      </c>
      <c r="H12" s="17">
        <f>IFERROR(__xludf.DUMMYFUNCTION("""COMPUTED_VALUE"""),2301)</f>
        <v>2301</v>
      </c>
      <c r="I12" s="16">
        <f>IFERROR(__xludf.DUMMYFUNCTION("""COMPUTED_VALUE"""),45755.6458333333)</f>
        <v>45755.6458333333</v>
      </c>
      <c r="J12" s="17">
        <f>IFERROR(__xludf.DUMMYFUNCTION("""COMPUTED_VALUE"""),2225)</f>
        <v>2225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IFERROR(__xludf.DUMMYFUNCTION("""COMPUTED_VALUE"""),2236.9)</f>
        <v>2236.9</v>
      </c>
      <c r="C13" s="16">
        <f>IFERROR(__xludf.DUMMYFUNCTION("""COMPUTED_VALUE"""),45756.6458333333)</f>
        <v>45756.6458333333</v>
      </c>
      <c r="D13" s="17">
        <f>IFERROR(__xludf.DUMMYFUNCTION("""COMPUTED_VALUE"""),2265.7)</f>
        <v>2265.7</v>
      </c>
      <c r="E13" s="16">
        <f>IFERROR(__xludf.DUMMYFUNCTION("""COMPUTED_VALUE"""),45756.6458333333)</f>
        <v>45756.6458333333</v>
      </c>
      <c r="F13" s="17">
        <f>IFERROR(__xludf.DUMMYFUNCTION("""COMPUTED_VALUE"""),1001633)</f>
        <v>1001633</v>
      </c>
      <c r="G13" s="16">
        <f>IFERROR(__xludf.DUMMYFUNCTION("""COMPUTED_VALUE"""),45756.6458333333)</f>
        <v>45756.6458333333</v>
      </c>
      <c r="H13" s="17">
        <f>IFERROR(__xludf.DUMMYFUNCTION("""COMPUTED_VALUE"""),2279.55)</f>
        <v>2279.55</v>
      </c>
      <c r="I13" s="16">
        <f>IFERROR(__xludf.DUMMYFUNCTION("""COMPUTED_VALUE"""),45756.6458333333)</f>
        <v>45756.6458333333</v>
      </c>
      <c r="J13" s="17">
        <f>IFERROR(__xludf.DUMMYFUNCTION("""COMPUTED_VALUE"""),2215.2)</f>
        <v>2215.2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IFERROR(__xludf.DUMMYFUNCTION("""COMPUTED_VALUE"""),2321.4)</f>
        <v>2321.4</v>
      </c>
      <c r="C14" s="16">
        <f>IFERROR(__xludf.DUMMYFUNCTION("""COMPUTED_VALUE"""),45758.6458333333)</f>
        <v>45758.6458333333</v>
      </c>
      <c r="D14" s="17">
        <f>IFERROR(__xludf.DUMMYFUNCTION("""COMPUTED_VALUE"""),2303.05)</f>
        <v>2303.05</v>
      </c>
      <c r="E14" s="16">
        <f>IFERROR(__xludf.DUMMYFUNCTION("""COMPUTED_VALUE"""),45758.6458333333)</f>
        <v>45758.6458333333</v>
      </c>
      <c r="F14" s="17">
        <f>IFERROR(__xludf.DUMMYFUNCTION("""COMPUTED_VALUE"""),981463)</f>
        <v>981463</v>
      </c>
      <c r="G14" s="16">
        <f>IFERROR(__xludf.DUMMYFUNCTION("""COMPUTED_VALUE"""),45758.6458333333)</f>
        <v>45758.6458333333</v>
      </c>
      <c r="H14" s="17">
        <f>IFERROR(__xludf.DUMMYFUNCTION("""COMPUTED_VALUE"""),2343.5)</f>
        <v>2343.5</v>
      </c>
      <c r="I14" s="16">
        <f>IFERROR(__xludf.DUMMYFUNCTION("""COMPUTED_VALUE"""),45758.6458333333)</f>
        <v>45758.6458333333</v>
      </c>
      <c r="J14" s="17">
        <f>IFERROR(__xludf.DUMMYFUNCTION("""COMPUTED_VALUE"""),2281)</f>
        <v>2281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IFERROR(__xludf.DUMMYFUNCTION("""COMPUTED_VALUE"""),2418.2)</f>
        <v>2418.2</v>
      </c>
      <c r="C15" s="16">
        <f>IFERROR(__xludf.DUMMYFUNCTION("""COMPUTED_VALUE"""),45762.6458333333)</f>
        <v>45762.6458333333</v>
      </c>
      <c r="D15" s="17">
        <f>IFERROR(__xludf.DUMMYFUNCTION("""COMPUTED_VALUE"""),2375)</f>
        <v>2375</v>
      </c>
      <c r="E15" s="16">
        <f>IFERROR(__xludf.DUMMYFUNCTION("""COMPUTED_VALUE"""),45762.6458333333)</f>
        <v>45762.6458333333</v>
      </c>
      <c r="F15" s="17">
        <f>IFERROR(__xludf.DUMMYFUNCTION("""COMPUTED_VALUE"""),1145125)</f>
        <v>1145125</v>
      </c>
      <c r="G15" s="16">
        <f>IFERROR(__xludf.DUMMYFUNCTION("""COMPUTED_VALUE"""),45762.6458333333)</f>
        <v>45762.6458333333</v>
      </c>
      <c r="H15" s="17">
        <f>IFERROR(__xludf.DUMMYFUNCTION("""COMPUTED_VALUE"""),2440)</f>
        <v>2440</v>
      </c>
      <c r="I15" s="16">
        <f>IFERROR(__xludf.DUMMYFUNCTION("""COMPUTED_VALUE"""),45762.6458333333)</f>
        <v>45762.6458333333</v>
      </c>
      <c r="J15" s="17">
        <f>IFERROR(__xludf.DUMMYFUNCTION("""COMPUTED_VALUE"""),2359)</f>
        <v>2359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IFERROR(__xludf.DUMMYFUNCTION("""COMPUTED_VALUE"""),2415.6)</f>
        <v>2415.6</v>
      </c>
      <c r="C16" s="16">
        <f>IFERROR(__xludf.DUMMYFUNCTION("""COMPUTED_VALUE"""),45763.6458333333)</f>
        <v>45763.6458333333</v>
      </c>
      <c r="D16" s="17">
        <f>IFERROR(__xludf.DUMMYFUNCTION("""COMPUTED_VALUE"""),2400)</f>
        <v>2400</v>
      </c>
      <c r="E16" s="16">
        <f>IFERROR(__xludf.DUMMYFUNCTION("""COMPUTED_VALUE"""),45763.6458333333)</f>
        <v>45763.6458333333</v>
      </c>
      <c r="F16" s="17">
        <f>IFERROR(__xludf.DUMMYFUNCTION("""COMPUTED_VALUE"""),889949)</f>
        <v>889949</v>
      </c>
      <c r="G16" s="16">
        <f>IFERROR(__xludf.DUMMYFUNCTION("""COMPUTED_VALUE"""),45763.6458333333)</f>
        <v>45763.6458333333</v>
      </c>
      <c r="H16" s="17">
        <f>IFERROR(__xludf.DUMMYFUNCTION("""COMPUTED_VALUE"""),2428)</f>
        <v>2428</v>
      </c>
      <c r="I16" s="16">
        <f>IFERROR(__xludf.DUMMYFUNCTION("""COMPUTED_VALUE"""),45763.6458333333)</f>
        <v>45763.6458333333</v>
      </c>
      <c r="J16" s="17">
        <f>IFERROR(__xludf.DUMMYFUNCTION("""COMPUTED_VALUE"""),2382.9)</f>
        <v>2382.9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IFERROR(__xludf.DUMMYFUNCTION("""COMPUTED_VALUE"""),2418.1)</f>
        <v>2418.1</v>
      </c>
      <c r="C17" s="16">
        <f>IFERROR(__xludf.DUMMYFUNCTION("""COMPUTED_VALUE"""),45764.6458333333)</f>
        <v>45764.6458333333</v>
      </c>
      <c r="D17" s="17">
        <f>IFERROR(__xludf.DUMMYFUNCTION("""COMPUTED_VALUE"""),2418)</f>
        <v>2418</v>
      </c>
      <c r="E17" s="16">
        <f>IFERROR(__xludf.DUMMYFUNCTION("""COMPUTED_VALUE"""),45764.6458333333)</f>
        <v>45764.6458333333</v>
      </c>
      <c r="F17" s="17">
        <f>IFERROR(__xludf.DUMMYFUNCTION("""COMPUTED_VALUE"""),1054797)</f>
        <v>1054797</v>
      </c>
      <c r="G17" s="16">
        <f>IFERROR(__xludf.DUMMYFUNCTION("""COMPUTED_VALUE"""),45764.6458333333)</f>
        <v>45764.6458333333</v>
      </c>
      <c r="H17" s="17">
        <f>IFERROR(__xludf.DUMMYFUNCTION("""COMPUTED_VALUE"""),2448.6)</f>
        <v>2448.6</v>
      </c>
      <c r="I17" s="16">
        <f>IFERROR(__xludf.DUMMYFUNCTION("""COMPUTED_VALUE"""),45764.6458333333)</f>
        <v>45764.6458333333</v>
      </c>
      <c r="J17" s="17">
        <f>IFERROR(__xludf.DUMMYFUNCTION("""COMPUTED_VALUE"""),2392)</f>
        <v>2392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IFERROR(__xludf.DUMMYFUNCTION("""COMPUTED_VALUE"""),2442.7)</f>
        <v>2442.7</v>
      </c>
      <c r="C18" s="16">
        <f>IFERROR(__xludf.DUMMYFUNCTION("""COMPUTED_VALUE"""),45768.6458333333)</f>
        <v>45768.6458333333</v>
      </c>
      <c r="D18" s="17">
        <f>IFERROR(__xludf.DUMMYFUNCTION("""COMPUTED_VALUE"""),2426.1)</f>
        <v>2426.1</v>
      </c>
      <c r="E18" s="16">
        <f>IFERROR(__xludf.DUMMYFUNCTION("""COMPUTED_VALUE"""),45768.6458333333)</f>
        <v>45768.6458333333</v>
      </c>
      <c r="F18" s="17">
        <f>IFERROR(__xludf.DUMMYFUNCTION("""COMPUTED_VALUE"""),782559)</f>
        <v>782559</v>
      </c>
      <c r="G18" s="16">
        <f>IFERROR(__xludf.DUMMYFUNCTION("""COMPUTED_VALUE"""),45768.6458333333)</f>
        <v>45768.6458333333</v>
      </c>
      <c r="H18" s="17">
        <f>IFERROR(__xludf.DUMMYFUNCTION("""COMPUTED_VALUE"""),2464.9)</f>
        <v>2464.9</v>
      </c>
      <c r="I18" s="16">
        <f>IFERROR(__xludf.DUMMYFUNCTION("""COMPUTED_VALUE"""),45768.6458333333)</f>
        <v>45768.6458333333</v>
      </c>
      <c r="J18" s="17">
        <f>IFERROR(__xludf.DUMMYFUNCTION("""COMPUTED_VALUE"""),2395.5)</f>
        <v>2395.5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IFERROR(__xludf.DUMMYFUNCTION("""COMPUTED_VALUE"""),2445.5)</f>
        <v>2445.5</v>
      </c>
      <c r="C19" s="16">
        <f>IFERROR(__xludf.DUMMYFUNCTION("""COMPUTED_VALUE"""),45769.6458333333)</f>
        <v>45769.6458333333</v>
      </c>
      <c r="D19" s="17">
        <f>IFERROR(__xludf.DUMMYFUNCTION("""COMPUTED_VALUE"""),2458.9)</f>
        <v>2458.9</v>
      </c>
      <c r="E19" s="16">
        <f>IFERROR(__xludf.DUMMYFUNCTION("""COMPUTED_VALUE"""),45769.6458333333)</f>
        <v>45769.6458333333</v>
      </c>
      <c r="F19" s="17">
        <f>IFERROR(__xludf.DUMMYFUNCTION("""COMPUTED_VALUE"""),766567)</f>
        <v>766567</v>
      </c>
      <c r="G19" s="16">
        <f>IFERROR(__xludf.DUMMYFUNCTION("""COMPUTED_VALUE"""),45769.6458333333)</f>
        <v>45769.6458333333</v>
      </c>
      <c r="H19" s="17">
        <f>IFERROR(__xludf.DUMMYFUNCTION("""COMPUTED_VALUE"""),2483.4)</f>
        <v>2483.4</v>
      </c>
      <c r="I19" s="16">
        <f>IFERROR(__xludf.DUMMYFUNCTION("""COMPUTED_VALUE"""),45769.6458333333)</f>
        <v>45769.6458333333</v>
      </c>
      <c r="J19" s="17">
        <f>IFERROR(__xludf.DUMMYFUNCTION("""COMPUTED_VALUE"""),2441)</f>
        <v>2441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IFERROR(__xludf.DUMMYFUNCTION("""COMPUTED_VALUE"""),2453.6)</f>
        <v>2453.6</v>
      </c>
      <c r="C20" s="16">
        <f>IFERROR(__xludf.DUMMYFUNCTION("""COMPUTED_VALUE"""),45770.6458333333)</f>
        <v>45770.6458333333</v>
      </c>
      <c r="D20" s="17">
        <f>IFERROR(__xludf.DUMMYFUNCTION("""COMPUTED_VALUE"""),2460)</f>
        <v>2460</v>
      </c>
      <c r="E20" s="16">
        <f>IFERROR(__xludf.DUMMYFUNCTION("""COMPUTED_VALUE"""),45770.6458333333)</f>
        <v>45770.6458333333</v>
      </c>
      <c r="F20" s="17">
        <f>IFERROR(__xludf.DUMMYFUNCTION("""COMPUTED_VALUE"""),672262)</f>
        <v>672262</v>
      </c>
      <c r="G20" s="16">
        <f>IFERROR(__xludf.DUMMYFUNCTION("""COMPUTED_VALUE"""),45770.6458333333)</f>
        <v>45770.6458333333</v>
      </c>
      <c r="H20" s="17">
        <f>IFERROR(__xludf.DUMMYFUNCTION("""COMPUTED_VALUE"""),2473.8)</f>
        <v>2473.8</v>
      </c>
      <c r="I20" s="16">
        <f>IFERROR(__xludf.DUMMYFUNCTION("""COMPUTED_VALUE"""),45770.6458333333)</f>
        <v>45770.6458333333</v>
      </c>
      <c r="J20" s="17">
        <f>IFERROR(__xludf.DUMMYFUNCTION("""COMPUTED_VALUE"""),2421.2)</f>
        <v>2421.2</v>
      </c>
      <c r="K20" s="3">
        <f t="shared" si="2"/>
        <v>2453.6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IFERROR(__xludf.DUMMYFUNCTION("""COMPUTED_VALUE"""),2442.5)</f>
        <v>2442.5</v>
      </c>
      <c r="C21" s="16">
        <f>IFERROR(__xludf.DUMMYFUNCTION("""COMPUTED_VALUE"""),45771.6458333333)</f>
        <v>45771.6458333333</v>
      </c>
      <c r="D21" s="17">
        <f>IFERROR(__xludf.DUMMYFUNCTION("""COMPUTED_VALUE"""),2450)</f>
        <v>2450</v>
      </c>
      <c r="E21" s="16">
        <f>IFERROR(__xludf.DUMMYFUNCTION("""COMPUTED_VALUE"""),45771.6458333333)</f>
        <v>45771.6458333333</v>
      </c>
      <c r="F21" s="17">
        <f>IFERROR(__xludf.DUMMYFUNCTION("""COMPUTED_VALUE"""),596696)</f>
        <v>596696</v>
      </c>
      <c r="G21" s="16">
        <f>IFERROR(__xludf.DUMMYFUNCTION("""COMPUTED_VALUE"""),45771.6458333333)</f>
        <v>45771.6458333333</v>
      </c>
      <c r="H21" s="17">
        <f>IFERROR(__xludf.DUMMYFUNCTION("""COMPUTED_VALUE"""),2461.4)</f>
        <v>2461.4</v>
      </c>
      <c r="I21" s="16">
        <f>IFERROR(__xludf.DUMMYFUNCTION("""COMPUTED_VALUE"""),45771.6458333333)</f>
        <v>45771.6458333333</v>
      </c>
      <c r="J21" s="17">
        <f>IFERROR(__xludf.DUMMYFUNCTION("""COMPUTED_VALUE"""),2425.1)</f>
        <v>2425.1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IFERROR(__xludf.DUMMYFUNCTION("""COMPUTED_VALUE"""),2354.3)</f>
        <v>2354.3</v>
      </c>
      <c r="C22" s="16">
        <f>IFERROR(__xludf.DUMMYFUNCTION("""COMPUTED_VALUE"""),45772.6458333333)</f>
        <v>45772.6458333333</v>
      </c>
      <c r="D22" s="17">
        <f>IFERROR(__xludf.DUMMYFUNCTION("""COMPUTED_VALUE"""),2450.1)</f>
        <v>2450.1</v>
      </c>
      <c r="E22" s="16">
        <f>IFERROR(__xludf.DUMMYFUNCTION("""COMPUTED_VALUE"""),45772.6458333333)</f>
        <v>45772.6458333333</v>
      </c>
      <c r="F22" s="17">
        <f>IFERROR(__xludf.DUMMYFUNCTION("""COMPUTED_VALUE"""),1414809)</f>
        <v>1414809</v>
      </c>
      <c r="G22" s="16">
        <f>IFERROR(__xludf.DUMMYFUNCTION("""COMPUTED_VALUE"""),45772.6458333333)</f>
        <v>45772.6458333333</v>
      </c>
      <c r="H22" s="17">
        <f>IFERROR(__xludf.DUMMYFUNCTION("""COMPUTED_VALUE"""),2459.5)</f>
        <v>2459.5</v>
      </c>
      <c r="I22" s="16">
        <f>IFERROR(__xludf.DUMMYFUNCTION("""COMPUTED_VALUE"""),45772.6458333333)</f>
        <v>45772.6458333333</v>
      </c>
      <c r="J22" s="17">
        <f>IFERROR(__xludf.DUMMYFUNCTION("""COMPUTED_VALUE"""),2323.5)</f>
        <v>2323.5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IFERROR(__xludf.DUMMYFUNCTION("""COMPUTED_VALUE"""),2369.8)</f>
        <v>2369.8</v>
      </c>
      <c r="C23" s="16">
        <f>IFERROR(__xludf.DUMMYFUNCTION("""COMPUTED_VALUE"""),45775.6458333333)</f>
        <v>45775.6458333333</v>
      </c>
      <c r="D23" s="17">
        <f>IFERROR(__xludf.DUMMYFUNCTION("""COMPUTED_VALUE"""),2346)</f>
        <v>2346</v>
      </c>
      <c r="E23" s="16">
        <f>IFERROR(__xludf.DUMMYFUNCTION("""COMPUTED_VALUE"""),45775.6458333333)</f>
        <v>45775.6458333333</v>
      </c>
      <c r="F23" s="17">
        <f>IFERROR(__xludf.DUMMYFUNCTION("""COMPUTED_VALUE"""),681421)</f>
        <v>681421</v>
      </c>
      <c r="G23" s="16">
        <f>IFERROR(__xludf.DUMMYFUNCTION("""COMPUTED_VALUE"""),45775.6458333333)</f>
        <v>45775.6458333333</v>
      </c>
      <c r="H23" s="17">
        <f>IFERROR(__xludf.DUMMYFUNCTION("""COMPUTED_VALUE"""),2402)</f>
        <v>2402</v>
      </c>
      <c r="I23" s="16">
        <f>IFERROR(__xludf.DUMMYFUNCTION("""COMPUTED_VALUE"""),45775.6458333333)</f>
        <v>45775.6458333333</v>
      </c>
      <c r="J23" s="17">
        <f>IFERROR(__xludf.DUMMYFUNCTION("""COMPUTED_VALUE"""),2337.6)</f>
        <v>2337.6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IFERROR(__xludf.DUMMYFUNCTION("""COMPUTED_VALUE"""),2330.6)</f>
        <v>2330.6</v>
      </c>
      <c r="C24" s="16">
        <f>IFERROR(__xludf.DUMMYFUNCTION("""COMPUTED_VALUE"""),45776.6458333333)</f>
        <v>45776.6458333333</v>
      </c>
      <c r="D24" s="17">
        <f>IFERROR(__xludf.DUMMYFUNCTION("""COMPUTED_VALUE"""),2392)</f>
        <v>2392</v>
      </c>
      <c r="E24" s="16">
        <f>IFERROR(__xludf.DUMMYFUNCTION("""COMPUTED_VALUE"""),45776.6458333333)</f>
        <v>45776.6458333333</v>
      </c>
      <c r="F24" s="17">
        <f>IFERROR(__xludf.DUMMYFUNCTION("""COMPUTED_VALUE"""),670730)</f>
        <v>670730</v>
      </c>
      <c r="G24" s="16">
        <f>IFERROR(__xludf.DUMMYFUNCTION("""COMPUTED_VALUE"""),45776.6458333333)</f>
        <v>45776.6458333333</v>
      </c>
      <c r="H24" s="17">
        <f>IFERROR(__xludf.DUMMYFUNCTION("""COMPUTED_VALUE"""),2400)</f>
        <v>2400</v>
      </c>
      <c r="I24" s="16">
        <f>IFERROR(__xludf.DUMMYFUNCTION("""COMPUTED_VALUE"""),45776.6458333333)</f>
        <v>45776.6458333333</v>
      </c>
      <c r="J24" s="17">
        <f>IFERROR(__xludf.DUMMYFUNCTION("""COMPUTED_VALUE"""),2325.6)</f>
        <v>2325.6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IFERROR(__xludf.DUMMYFUNCTION("""COMPUTED_VALUE"""),2301.3)</f>
        <v>2301.3</v>
      </c>
      <c r="C25" s="16">
        <f>IFERROR(__xludf.DUMMYFUNCTION("""COMPUTED_VALUE"""),45777.6458333333)</f>
        <v>45777.6458333333</v>
      </c>
      <c r="D25" s="17">
        <f>IFERROR(__xludf.DUMMYFUNCTION("""COMPUTED_VALUE"""),2331.4)</f>
        <v>2331.4</v>
      </c>
      <c r="E25" s="16">
        <f>IFERROR(__xludf.DUMMYFUNCTION("""COMPUTED_VALUE"""),45777.6458333333)</f>
        <v>45777.6458333333</v>
      </c>
      <c r="F25" s="17">
        <f>IFERROR(__xludf.DUMMYFUNCTION("""COMPUTED_VALUE"""),837464)</f>
        <v>837464</v>
      </c>
      <c r="G25" s="16">
        <f>IFERROR(__xludf.DUMMYFUNCTION("""COMPUTED_VALUE"""),45777.6458333333)</f>
        <v>45777.6458333333</v>
      </c>
      <c r="H25" s="17">
        <f>IFERROR(__xludf.DUMMYFUNCTION("""COMPUTED_VALUE"""),2340)</f>
        <v>2340</v>
      </c>
      <c r="I25" s="16">
        <f>IFERROR(__xludf.DUMMYFUNCTION("""COMPUTED_VALUE"""),45777.6458333333)</f>
        <v>45777.6458333333</v>
      </c>
      <c r="J25" s="17">
        <f>IFERROR(__xludf.DUMMYFUNCTION("""COMPUTED_VALUE"""),2285)</f>
        <v>2285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IFERROR(__xludf.DUMMYFUNCTION("""COMPUTED_VALUE"""),2294.2)</f>
        <v>2294.2</v>
      </c>
      <c r="C26" s="16">
        <f>IFERROR(__xludf.DUMMYFUNCTION("""COMPUTED_VALUE"""),45779.6458333333)</f>
        <v>45779.6458333333</v>
      </c>
      <c r="D26" s="17">
        <f>IFERROR(__xludf.DUMMYFUNCTION("""COMPUTED_VALUE"""),2349.9)</f>
        <v>2349.9</v>
      </c>
      <c r="E26" s="16">
        <f>IFERROR(__xludf.DUMMYFUNCTION("""COMPUTED_VALUE"""),45779.6458333333)</f>
        <v>45779.6458333333</v>
      </c>
      <c r="F26" s="17">
        <f>IFERROR(__xludf.DUMMYFUNCTION("""COMPUTED_VALUE"""),1695797)</f>
        <v>1695797</v>
      </c>
      <c r="G26" s="16">
        <f>IFERROR(__xludf.DUMMYFUNCTION("""COMPUTED_VALUE"""),45779.6458333333)</f>
        <v>45779.6458333333</v>
      </c>
      <c r="H26" s="17">
        <f>IFERROR(__xludf.DUMMYFUNCTION("""COMPUTED_VALUE"""),2372.4)</f>
        <v>2372.4</v>
      </c>
      <c r="I26" s="16">
        <f>IFERROR(__xludf.DUMMYFUNCTION("""COMPUTED_VALUE"""),45779.6458333333)</f>
        <v>45779.6458333333</v>
      </c>
      <c r="J26" s="17">
        <f>IFERROR(__xludf.DUMMYFUNCTION("""COMPUTED_VALUE"""),2290)</f>
        <v>2290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IFERROR(__xludf.DUMMYFUNCTION("""COMPUTED_VALUE"""),2455.5)</f>
        <v>2455.5</v>
      </c>
      <c r="C27" s="16">
        <f>IFERROR(__xludf.DUMMYFUNCTION("""COMPUTED_VALUE"""),45782.6458333333)</f>
        <v>45782.6458333333</v>
      </c>
      <c r="D27" s="17">
        <f>IFERROR(__xludf.DUMMYFUNCTION("""COMPUTED_VALUE"""),2312.6)</f>
        <v>2312.6</v>
      </c>
      <c r="E27" s="16">
        <f>IFERROR(__xludf.DUMMYFUNCTION("""COMPUTED_VALUE"""),45782.6458333333)</f>
        <v>45782.6458333333</v>
      </c>
      <c r="F27" s="17">
        <f>IFERROR(__xludf.DUMMYFUNCTION("""COMPUTED_VALUE"""),4227194)</f>
        <v>4227194</v>
      </c>
      <c r="G27" s="16">
        <f>IFERROR(__xludf.DUMMYFUNCTION("""COMPUTED_VALUE"""),45782.6458333333)</f>
        <v>45782.6458333333</v>
      </c>
      <c r="H27" s="17">
        <f>IFERROR(__xludf.DUMMYFUNCTION("""COMPUTED_VALUE"""),2497)</f>
        <v>2497</v>
      </c>
      <c r="I27" s="16">
        <f>IFERROR(__xludf.DUMMYFUNCTION("""COMPUTED_VALUE"""),45782.6458333333)</f>
        <v>45782.6458333333</v>
      </c>
      <c r="J27" s="17">
        <f>IFERROR(__xludf.DUMMYFUNCTION("""COMPUTED_VALUE"""),2297.8)</f>
        <v>2297.8</v>
      </c>
      <c r="K27" s="3">
        <f t="shared" si="2"/>
        <v>2455.5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IFERROR(__xludf.DUMMYFUNCTION("""COMPUTED_VALUE"""),2354)</f>
        <v>2354</v>
      </c>
      <c r="C28" s="16">
        <f>IFERROR(__xludf.DUMMYFUNCTION("""COMPUTED_VALUE"""),45783.6458333333)</f>
        <v>45783.6458333333</v>
      </c>
      <c r="D28" s="17">
        <f>IFERROR(__xludf.DUMMYFUNCTION("""COMPUTED_VALUE"""),2454)</f>
        <v>2454</v>
      </c>
      <c r="E28" s="16">
        <f>IFERROR(__xludf.DUMMYFUNCTION("""COMPUTED_VALUE"""),45783.6458333333)</f>
        <v>45783.6458333333</v>
      </c>
      <c r="F28" s="17">
        <f>IFERROR(__xludf.DUMMYFUNCTION("""COMPUTED_VALUE"""),1524692)</f>
        <v>1524692</v>
      </c>
      <c r="G28" s="16">
        <f>IFERROR(__xludf.DUMMYFUNCTION("""COMPUTED_VALUE"""),45783.6458333333)</f>
        <v>45783.6458333333</v>
      </c>
      <c r="H28" s="17">
        <f>IFERROR(__xludf.DUMMYFUNCTION("""COMPUTED_VALUE"""),2463.2)</f>
        <v>2463.2</v>
      </c>
      <c r="I28" s="16">
        <f>IFERROR(__xludf.DUMMYFUNCTION("""COMPUTED_VALUE"""),45783.6458333333)</f>
        <v>45783.6458333333</v>
      </c>
      <c r="J28" s="17">
        <f>IFERROR(__xludf.DUMMYFUNCTION("""COMPUTED_VALUE"""),2343.5)</f>
        <v>2343.5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IFERROR(__xludf.DUMMYFUNCTION("""COMPUTED_VALUE"""),2353.1)</f>
        <v>2353.1</v>
      </c>
      <c r="C29" s="16">
        <f>IFERROR(__xludf.DUMMYFUNCTION("""COMPUTED_VALUE"""),45784.6458333333)</f>
        <v>45784.6458333333</v>
      </c>
      <c r="D29" s="17">
        <f>IFERROR(__xludf.DUMMYFUNCTION("""COMPUTED_VALUE"""),2315)</f>
        <v>2315</v>
      </c>
      <c r="E29" s="16">
        <f>IFERROR(__xludf.DUMMYFUNCTION("""COMPUTED_VALUE"""),45784.6458333333)</f>
        <v>45784.6458333333</v>
      </c>
      <c r="F29" s="17">
        <f>IFERROR(__xludf.DUMMYFUNCTION("""COMPUTED_VALUE"""),1012640)</f>
        <v>1012640</v>
      </c>
      <c r="G29" s="16">
        <f>IFERROR(__xludf.DUMMYFUNCTION("""COMPUTED_VALUE"""),45784.6458333333)</f>
        <v>45784.6458333333</v>
      </c>
      <c r="H29" s="17">
        <f>IFERROR(__xludf.DUMMYFUNCTION("""COMPUTED_VALUE"""),2379.5)</f>
        <v>2379.5</v>
      </c>
      <c r="I29" s="16">
        <f>IFERROR(__xludf.DUMMYFUNCTION("""COMPUTED_VALUE"""),45784.6458333333)</f>
        <v>45784.6458333333</v>
      </c>
      <c r="J29" s="17">
        <f>IFERROR(__xludf.DUMMYFUNCTION("""COMPUTED_VALUE"""),2315)</f>
        <v>2315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IFERROR(__xludf.DUMMYFUNCTION("""COMPUTED_VALUE"""),2285.3)</f>
        <v>2285.3</v>
      </c>
      <c r="C30" s="16">
        <f>IFERROR(__xludf.DUMMYFUNCTION("""COMPUTED_VALUE"""),45785.6458333333)</f>
        <v>45785.6458333333</v>
      </c>
      <c r="D30" s="17">
        <f>IFERROR(__xludf.DUMMYFUNCTION("""COMPUTED_VALUE"""),2362)</f>
        <v>2362</v>
      </c>
      <c r="E30" s="16">
        <f>IFERROR(__xludf.DUMMYFUNCTION("""COMPUTED_VALUE"""),45785.6458333333)</f>
        <v>45785.6458333333</v>
      </c>
      <c r="F30" s="17">
        <f>IFERROR(__xludf.DUMMYFUNCTION("""COMPUTED_VALUE"""),1380069)</f>
        <v>1380069</v>
      </c>
      <c r="G30" s="16">
        <f>IFERROR(__xludf.DUMMYFUNCTION("""COMPUTED_VALUE"""),45785.6458333333)</f>
        <v>45785.6458333333</v>
      </c>
      <c r="H30" s="17">
        <f>IFERROR(__xludf.DUMMYFUNCTION("""COMPUTED_VALUE"""),2367.8)</f>
        <v>2367.8</v>
      </c>
      <c r="I30" s="16">
        <f>IFERROR(__xludf.DUMMYFUNCTION("""COMPUTED_VALUE"""),45785.6458333333)</f>
        <v>45785.6458333333</v>
      </c>
      <c r="J30" s="17">
        <f>IFERROR(__xludf.DUMMYFUNCTION("""COMPUTED_VALUE"""),2260)</f>
        <v>2260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IFERROR(__xludf.DUMMYFUNCTION("""COMPUTED_VALUE"""),2251)</f>
        <v>2251</v>
      </c>
      <c r="C31" s="16">
        <f>IFERROR(__xludf.DUMMYFUNCTION("""COMPUTED_VALUE"""),45786.6458333333)</f>
        <v>45786.6458333333</v>
      </c>
      <c r="D31" s="17">
        <f>IFERROR(__xludf.DUMMYFUNCTION("""COMPUTED_VALUE"""),2240)</f>
        <v>2240</v>
      </c>
      <c r="E31" s="16">
        <f>IFERROR(__xludf.DUMMYFUNCTION("""COMPUTED_VALUE"""),45786.6458333333)</f>
        <v>45786.6458333333</v>
      </c>
      <c r="F31" s="17">
        <f>IFERROR(__xludf.DUMMYFUNCTION("""COMPUTED_VALUE"""),1006000)</f>
        <v>1006000</v>
      </c>
      <c r="G31" s="16">
        <f>IFERROR(__xludf.DUMMYFUNCTION("""COMPUTED_VALUE"""),45786.6458333333)</f>
        <v>45786.6458333333</v>
      </c>
      <c r="H31" s="17">
        <f>IFERROR(__xludf.DUMMYFUNCTION("""COMPUTED_VALUE"""),2273.1)</f>
        <v>2273.1</v>
      </c>
      <c r="I31" s="16">
        <f>IFERROR(__xludf.DUMMYFUNCTION("""COMPUTED_VALUE"""),45786.6458333333)</f>
        <v>45786.6458333333</v>
      </c>
      <c r="J31" s="17">
        <f>IFERROR(__xludf.DUMMYFUNCTION("""COMPUTED_VALUE"""),2233)</f>
        <v>2233</v>
      </c>
      <c r="K31" s="3">
        <f t="shared" si="2"/>
        <v>0</v>
      </c>
      <c r="L31" s="3">
        <f t="shared" si="3"/>
        <v>2251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IFERROR(__xludf.DUMMYFUNCTION("""COMPUTED_VALUE"""),2425.3)</f>
        <v>2425.3</v>
      </c>
      <c r="C32" s="16">
        <f>IFERROR(__xludf.DUMMYFUNCTION("""COMPUTED_VALUE"""),45789.6458333333)</f>
        <v>45789.6458333333</v>
      </c>
      <c r="D32" s="17">
        <f>IFERROR(__xludf.DUMMYFUNCTION("""COMPUTED_VALUE"""),2350)</f>
        <v>2350</v>
      </c>
      <c r="E32" s="16">
        <f>IFERROR(__xludf.DUMMYFUNCTION("""COMPUTED_VALUE"""),45789.6458333333)</f>
        <v>45789.6458333333</v>
      </c>
      <c r="F32" s="17">
        <f>IFERROR(__xludf.DUMMYFUNCTION("""COMPUTED_VALUE"""),2147039)</f>
        <v>2147039</v>
      </c>
      <c r="G32" s="16">
        <f>IFERROR(__xludf.DUMMYFUNCTION("""COMPUTED_VALUE"""),45789.6458333333)</f>
        <v>45789.6458333333</v>
      </c>
      <c r="H32" s="17">
        <f>IFERROR(__xludf.DUMMYFUNCTION("""COMPUTED_VALUE"""),2433.3)</f>
        <v>2433.3</v>
      </c>
      <c r="I32" s="16">
        <f>IFERROR(__xludf.DUMMYFUNCTION("""COMPUTED_VALUE"""),45789.6458333333)</f>
        <v>45789.6458333333</v>
      </c>
      <c r="J32" s="17">
        <f>IFERROR(__xludf.DUMMYFUNCTION("""COMPUTED_VALUE"""),2315)</f>
        <v>2315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IFERROR(__xludf.DUMMYFUNCTION("""COMPUTED_VALUE"""),2441.2)</f>
        <v>2441.2</v>
      </c>
      <c r="C33" s="16">
        <f>IFERROR(__xludf.DUMMYFUNCTION("""COMPUTED_VALUE"""),45790.6458333333)</f>
        <v>45790.6458333333</v>
      </c>
      <c r="D33" s="17">
        <f>IFERROR(__xludf.DUMMYFUNCTION("""COMPUTED_VALUE"""),2425)</f>
        <v>2425</v>
      </c>
      <c r="E33" s="16">
        <f>IFERROR(__xludf.DUMMYFUNCTION("""COMPUTED_VALUE"""),45790.6458333333)</f>
        <v>45790.6458333333</v>
      </c>
      <c r="F33" s="17">
        <f>IFERROR(__xludf.DUMMYFUNCTION("""COMPUTED_VALUE"""),1815179)</f>
        <v>1815179</v>
      </c>
      <c r="G33" s="16">
        <f>IFERROR(__xludf.DUMMYFUNCTION("""COMPUTED_VALUE"""),45790.6458333333)</f>
        <v>45790.6458333333</v>
      </c>
      <c r="H33" s="17">
        <f>IFERROR(__xludf.DUMMYFUNCTION("""COMPUTED_VALUE"""),2454.9)</f>
        <v>2454.9</v>
      </c>
      <c r="I33" s="16">
        <f>IFERROR(__xludf.DUMMYFUNCTION("""COMPUTED_VALUE"""),45790.6458333333)</f>
        <v>45790.6458333333</v>
      </c>
      <c r="J33" s="17">
        <f>IFERROR(__xludf.DUMMYFUNCTION("""COMPUTED_VALUE"""),2405)</f>
        <v>2405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IFERROR(__xludf.DUMMYFUNCTION("""COMPUTED_VALUE"""),2461.9)</f>
        <v>2461.9</v>
      </c>
      <c r="C34" s="16">
        <f>IFERROR(__xludf.DUMMYFUNCTION("""COMPUTED_VALUE"""),45791.6458333333)</f>
        <v>45791.6458333333</v>
      </c>
      <c r="D34" s="17">
        <f>IFERROR(__xludf.DUMMYFUNCTION("""COMPUTED_VALUE"""),2444.9)</f>
        <v>2444.9</v>
      </c>
      <c r="E34" s="16">
        <f>IFERROR(__xludf.DUMMYFUNCTION("""COMPUTED_VALUE"""),45791.6458333333)</f>
        <v>45791.6458333333</v>
      </c>
      <c r="F34" s="17">
        <f>IFERROR(__xludf.DUMMYFUNCTION("""COMPUTED_VALUE"""),774441)</f>
        <v>774441</v>
      </c>
      <c r="G34" s="16">
        <f>IFERROR(__xludf.DUMMYFUNCTION("""COMPUTED_VALUE"""),45791.6458333333)</f>
        <v>45791.6458333333</v>
      </c>
      <c r="H34" s="17">
        <f>IFERROR(__xludf.DUMMYFUNCTION("""COMPUTED_VALUE"""),2481.9)</f>
        <v>2481.9</v>
      </c>
      <c r="I34" s="16">
        <f>IFERROR(__xludf.DUMMYFUNCTION("""COMPUTED_VALUE"""),45791.6458333333)</f>
        <v>45791.6458333333</v>
      </c>
      <c r="J34" s="17">
        <f>IFERROR(__xludf.DUMMYFUNCTION("""COMPUTED_VALUE"""),2430.1)</f>
        <v>2430.1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IFERROR(__xludf.DUMMYFUNCTION("""COMPUTED_VALUE"""),2520)</f>
        <v>2520</v>
      </c>
      <c r="C35" s="16">
        <f>IFERROR(__xludf.DUMMYFUNCTION("""COMPUTED_VALUE"""),45792.6458333333)</f>
        <v>45792.6458333333</v>
      </c>
      <c r="D35" s="17">
        <f>IFERROR(__xludf.DUMMYFUNCTION("""COMPUTED_VALUE"""),2463.4)</f>
        <v>2463.4</v>
      </c>
      <c r="E35" s="16">
        <f>IFERROR(__xludf.DUMMYFUNCTION("""COMPUTED_VALUE"""),45792.6458333333)</f>
        <v>45792.6458333333</v>
      </c>
      <c r="F35" s="17">
        <f>IFERROR(__xludf.DUMMYFUNCTION("""COMPUTED_VALUE"""),1554801)</f>
        <v>1554801</v>
      </c>
      <c r="G35" s="16">
        <f>IFERROR(__xludf.DUMMYFUNCTION("""COMPUTED_VALUE"""),45792.6458333333)</f>
        <v>45792.6458333333</v>
      </c>
      <c r="H35" s="17">
        <f>IFERROR(__xludf.DUMMYFUNCTION("""COMPUTED_VALUE"""),2526.8)</f>
        <v>2526.8</v>
      </c>
      <c r="I35" s="16">
        <f>IFERROR(__xludf.DUMMYFUNCTION("""COMPUTED_VALUE"""),45792.6458333333)</f>
        <v>45792.6458333333</v>
      </c>
      <c r="J35" s="17">
        <f>IFERROR(__xludf.DUMMYFUNCTION("""COMPUTED_VALUE"""),2450.7)</f>
        <v>2450.7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IFERROR(__xludf.DUMMYFUNCTION("""COMPUTED_VALUE"""),2555)</f>
        <v>2555</v>
      </c>
      <c r="C36" s="16">
        <f>IFERROR(__xludf.DUMMYFUNCTION("""COMPUTED_VALUE"""),45793.6458333333)</f>
        <v>45793.6458333333</v>
      </c>
      <c r="D36" s="17">
        <f>IFERROR(__xludf.DUMMYFUNCTION("""COMPUTED_VALUE"""),2529)</f>
        <v>2529</v>
      </c>
      <c r="E36" s="16">
        <f>IFERROR(__xludf.DUMMYFUNCTION("""COMPUTED_VALUE"""),45793.6458333333)</f>
        <v>45793.6458333333</v>
      </c>
      <c r="F36" s="17">
        <f>IFERROR(__xludf.DUMMYFUNCTION("""COMPUTED_VALUE"""),1641135)</f>
        <v>1641135</v>
      </c>
      <c r="G36" s="16">
        <f>IFERROR(__xludf.DUMMYFUNCTION("""COMPUTED_VALUE"""),45793.6458333333)</f>
        <v>45793.6458333333</v>
      </c>
      <c r="H36" s="17">
        <f>IFERROR(__xludf.DUMMYFUNCTION("""COMPUTED_VALUE"""),2584.2)</f>
        <v>2584.2</v>
      </c>
      <c r="I36" s="16">
        <f>IFERROR(__xludf.DUMMYFUNCTION("""COMPUTED_VALUE"""),45793.6458333333)</f>
        <v>45793.6458333333</v>
      </c>
      <c r="J36" s="17">
        <f>IFERROR(__xludf.DUMMYFUNCTION("""COMPUTED_VALUE"""),2516.2)</f>
        <v>2516.2</v>
      </c>
      <c r="K36" s="3">
        <f t="shared" si="2"/>
        <v>2555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IFERROR(__xludf.DUMMYFUNCTION("""COMPUTED_VALUE"""),2540.6)</f>
        <v>2540.6</v>
      </c>
      <c r="C37" s="16">
        <f>IFERROR(__xludf.DUMMYFUNCTION("""COMPUTED_VALUE"""),45796.6458333333)</f>
        <v>45796.6458333333</v>
      </c>
      <c r="D37" s="17">
        <f>IFERROR(__xludf.DUMMYFUNCTION("""COMPUTED_VALUE"""),2571.3)</f>
        <v>2571.3</v>
      </c>
      <c r="E37" s="16">
        <f>IFERROR(__xludf.DUMMYFUNCTION("""COMPUTED_VALUE"""),45796.6458333333)</f>
        <v>45796.6458333333</v>
      </c>
      <c r="F37" s="17">
        <f>IFERROR(__xludf.DUMMYFUNCTION("""COMPUTED_VALUE"""),681000)</f>
        <v>681000</v>
      </c>
      <c r="G37" s="16">
        <f>IFERROR(__xludf.DUMMYFUNCTION("""COMPUTED_VALUE"""),45796.6458333333)</f>
        <v>45796.6458333333</v>
      </c>
      <c r="H37" s="17">
        <f>IFERROR(__xludf.DUMMYFUNCTION("""COMPUTED_VALUE"""),2578.8)</f>
        <v>2578.8</v>
      </c>
      <c r="I37" s="16">
        <f>IFERROR(__xludf.DUMMYFUNCTION("""COMPUTED_VALUE"""),45796.6458333333)</f>
        <v>45796.6458333333</v>
      </c>
      <c r="J37" s="17">
        <f>IFERROR(__xludf.DUMMYFUNCTION("""COMPUTED_VALUE"""),2536)</f>
        <v>2536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IFERROR(__xludf.DUMMYFUNCTION("""COMPUTED_VALUE"""),2501.6)</f>
        <v>2501.6</v>
      </c>
      <c r="C38" s="16">
        <f>IFERROR(__xludf.DUMMYFUNCTION("""COMPUTED_VALUE"""),45797.6458333333)</f>
        <v>45797.6458333333</v>
      </c>
      <c r="D38" s="17">
        <f>IFERROR(__xludf.DUMMYFUNCTION("""COMPUTED_VALUE"""),2545)</f>
        <v>2545</v>
      </c>
      <c r="E38" s="16">
        <f>IFERROR(__xludf.DUMMYFUNCTION("""COMPUTED_VALUE"""),45797.6458333333)</f>
        <v>45797.6458333333</v>
      </c>
      <c r="F38" s="17">
        <f>IFERROR(__xludf.DUMMYFUNCTION("""COMPUTED_VALUE"""),628023)</f>
        <v>628023</v>
      </c>
      <c r="G38" s="16">
        <f>IFERROR(__xludf.DUMMYFUNCTION("""COMPUTED_VALUE"""),45797.6458333333)</f>
        <v>45797.6458333333</v>
      </c>
      <c r="H38" s="17">
        <f>IFERROR(__xludf.DUMMYFUNCTION("""COMPUTED_VALUE"""),2564.8)</f>
        <v>2564.8</v>
      </c>
      <c r="I38" s="16">
        <f>IFERROR(__xludf.DUMMYFUNCTION("""COMPUTED_VALUE"""),45797.6458333333)</f>
        <v>45797.6458333333</v>
      </c>
      <c r="J38" s="17">
        <f>IFERROR(__xludf.DUMMYFUNCTION("""COMPUTED_VALUE"""),2492.5)</f>
        <v>2492.5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IFERROR(__xludf.DUMMYFUNCTION("""COMPUTED_VALUE"""),2500.4)</f>
        <v>2500.4</v>
      </c>
      <c r="C39" s="16">
        <f>IFERROR(__xludf.DUMMYFUNCTION("""COMPUTED_VALUE"""),45798.6458333333)</f>
        <v>45798.6458333333</v>
      </c>
      <c r="D39" s="17">
        <f>IFERROR(__xludf.DUMMYFUNCTION("""COMPUTED_VALUE"""),2509.7)</f>
        <v>2509.7</v>
      </c>
      <c r="E39" s="16">
        <f>IFERROR(__xludf.DUMMYFUNCTION("""COMPUTED_VALUE"""),45798.6458333333)</f>
        <v>45798.6458333333</v>
      </c>
      <c r="F39" s="17">
        <f>IFERROR(__xludf.DUMMYFUNCTION("""COMPUTED_VALUE"""),529234)</f>
        <v>529234</v>
      </c>
      <c r="G39" s="16">
        <f>IFERROR(__xludf.DUMMYFUNCTION("""COMPUTED_VALUE"""),45798.6458333333)</f>
        <v>45798.6458333333</v>
      </c>
      <c r="H39" s="17">
        <f>IFERROR(__xludf.DUMMYFUNCTION("""COMPUTED_VALUE"""),2524.5)</f>
        <v>2524.5</v>
      </c>
      <c r="I39" s="16">
        <f>IFERROR(__xludf.DUMMYFUNCTION("""COMPUTED_VALUE"""),45798.6458333333)</f>
        <v>45798.6458333333</v>
      </c>
      <c r="J39" s="17">
        <f>IFERROR(__xludf.DUMMYFUNCTION("""COMPUTED_VALUE"""),2483.7)</f>
        <v>2483.7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IFERROR(__xludf.DUMMYFUNCTION("""COMPUTED_VALUE"""),2487.6)</f>
        <v>2487.6</v>
      </c>
      <c r="C40" s="16">
        <f>IFERROR(__xludf.DUMMYFUNCTION("""COMPUTED_VALUE"""),45799.6458333333)</f>
        <v>45799.6458333333</v>
      </c>
      <c r="D40" s="17">
        <f>IFERROR(__xludf.DUMMYFUNCTION("""COMPUTED_VALUE"""),2500.4)</f>
        <v>2500.4</v>
      </c>
      <c r="E40" s="16">
        <f>IFERROR(__xludf.DUMMYFUNCTION("""COMPUTED_VALUE"""),45799.6458333333)</f>
        <v>45799.6458333333</v>
      </c>
      <c r="F40" s="17">
        <f>IFERROR(__xludf.DUMMYFUNCTION("""COMPUTED_VALUE"""),906909)</f>
        <v>906909</v>
      </c>
      <c r="G40" s="16">
        <f>IFERROR(__xludf.DUMMYFUNCTION("""COMPUTED_VALUE"""),45799.6458333333)</f>
        <v>45799.6458333333</v>
      </c>
      <c r="H40" s="17">
        <f>IFERROR(__xludf.DUMMYFUNCTION("""COMPUTED_VALUE"""),2521.9)</f>
        <v>2521.9</v>
      </c>
      <c r="I40" s="16">
        <f>IFERROR(__xludf.DUMMYFUNCTION("""COMPUTED_VALUE"""),45799.6458333333)</f>
        <v>45799.6458333333</v>
      </c>
      <c r="J40" s="17">
        <f>IFERROR(__xludf.DUMMYFUNCTION("""COMPUTED_VALUE"""),2465.3)</f>
        <v>2465.3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IFERROR(__xludf.DUMMYFUNCTION("""COMPUTED_VALUE"""),2540)</f>
        <v>2540</v>
      </c>
      <c r="C41" s="16">
        <f>IFERROR(__xludf.DUMMYFUNCTION("""COMPUTED_VALUE"""),45800.6458333333)</f>
        <v>45800.6458333333</v>
      </c>
      <c r="D41" s="17">
        <f>IFERROR(__xludf.DUMMYFUNCTION("""COMPUTED_VALUE"""),2499)</f>
        <v>2499</v>
      </c>
      <c r="E41" s="16">
        <f>IFERROR(__xludf.DUMMYFUNCTION("""COMPUTED_VALUE"""),45800.6458333333)</f>
        <v>45800.6458333333</v>
      </c>
      <c r="F41" s="17">
        <f>IFERROR(__xludf.DUMMYFUNCTION("""COMPUTED_VALUE"""),968415)</f>
        <v>968415</v>
      </c>
      <c r="G41" s="16">
        <f>IFERROR(__xludf.DUMMYFUNCTION("""COMPUTED_VALUE"""),45800.6458333333)</f>
        <v>45800.6458333333</v>
      </c>
      <c r="H41" s="17">
        <f>IFERROR(__xludf.DUMMYFUNCTION("""COMPUTED_VALUE"""),2548.1)</f>
        <v>2548.1</v>
      </c>
      <c r="I41" s="16">
        <f>IFERROR(__xludf.DUMMYFUNCTION("""COMPUTED_VALUE"""),45800.6458333333)</f>
        <v>45800.6458333333</v>
      </c>
      <c r="J41" s="17">
        <f>IFERROR(__xludf.DUMMYFUNCTION("""COMPUTED_VALUE"""),2490.5)</f>
        <v>2490.5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IFERROR(__xludf.DUMMYFUNCTION("""COMPUTED_VALUE"""),2547.7)</f>
        <v>2547.7</v>
      </c>
      <c r="C42" s="16">
        <f>IFERROR(__xludf.DUMMYFUNCTION("""COMPUTED_VALUE"""),45803.6458333333)</f>
        <v>45803.6458333333</v>
      </c>
      <c r="D42" s="17">
        <f>IFERROR(__xludf.DUMMYFUNCTION("""COMPUTED_VALUE"""),2549.1)</f>
        <v>2549.1</v>
      </c>
      <c r="E42" s="16">
        <f>IFERROR(__xludf.DUMMYFUNCTION("""COMPUTED_VALUE"""),45803.6458333333)</f>
        <v>45803.6458333333</v>
      </c>
      <c r="F42" s="17">
        <f>IFERROR(__xludf.DUMMYFUNCTION("""COMPUTED_VALUE"""),552912)</f>
        <v>552912</v>
      </c>
      <c r="G42" s="16">
        <f>IFERROR(__xludf.DUMMYFUNCTION("""COMPUTED_VALUE"""),45803.6458333333)</f>
        <v>45803.6458333333</v>
      </c>
      <c r="H42" s="17">
        <f>IFERROR(__xludf.DUMMYFUNCTION("""COMPUTED_VALUE"""),2568.9)</f>
        <v>2568.9</v>
      </c>
      <c r="I42" s="16">
        <f>IFERROR(__xludf.DUMMYFUNCTION("""COMPUTED_VALUE"""),45803.6458333333)</f>
        <v>45803.6458333333</v>
      </c>
      <c r="J42" s="17">
        <f>IFERROR(__xludf.DUMMYFUNCTION("""COMPUTED_VALUE"""),2541.3)</f>
        <v>2541.3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IFERROR(__xludf.DUMMYFUNCTION("""COMPUTED_VALUE"""),2540.3)</f>
        <v>2540.3</v>
      </c>
      <c r="C43" s="16">
        <f>IFERROR(__xludf.DUMMYFUNCTION("""COMPUTED_VALUE"""),45804.6458333333)</f>
        <v>45804.6458333333</v>
      </c>
      <c r="D43" s="17">
        <f>IFERROR(__xludf.DUMMYFUNCTION("""COMPUTED_VALUE"""),2545.9)</f>
        <v>2545.9</v>
      </c>
      <c r="E43" s="16">
        <f>IFERROR(__xludf.DUMMYFUNCTION("""COMPUTED_VALUE"""),45804.6458333333)</f>
        <v>45804.6458333333</v>
      </c>
      <c r="F43" s="17">
        <f>IFERROR(__xludf.DUMMYFUNCTION("""COMPUTED_VALUE"""),514936)</f>
        <v>514936</v>
      </c>
      <c r="G43" s="16">
        <f>IFERROR(__xludf.DUMMYFUNCTION("""COMPUTED_VALUE"""),45804.6458333333)</f>
        <v>45804.6458333333</v>
      </c>
      <c r="H43" s="17">
        <f>IFERROR(__xludf.DUMMYFUNCTION("""COMPUTED_VALUE"""),2569.1)</f>
        <v>2569.1</v>
      </c>
      <c r="I43" s="16">
        <f>IFERROR(__xludf.DUMMYFUNCTION("""COMPUTED_VALUE"""),45804.6458333333)</f>
        <v>45804.6458333333</v>
      </c>
      <c r="J43" s="17">
        <f>IFERROR(__xludf.DUMMYFUNCTION("""COMPUTED_VALUE"""),2526.1)</f>
        <v>2526.1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IFERROR(__xludf.DUMMYFUNCTION("""COMPUTED_VALUE"""),2515)</f>
        <v>2515</v>
      </c>
      <c r="C44" s="16">
        <f>IFERROR(__xludf.DUMMYFUNCTION("""COMPUTED_VALUE"""),45805.6458333333)</f>
        <v>45805.6458333333</v>
      </c>
      <c r="D44" s="17">
        <f>IFERROR(__xludf.DUMMYFUNCTION("""COMPUTED_VALUE"""),2559)</f>
        <v>2559</v>
      </c>
      <c r="E44" s="16">
        <f>IFERROR(__xludf.DUMMYFUNCTION("""COMPUTED_VALUE"""),45805.6458333333)</f>
        <v>45805.6458333333</v>
      </c>
      <c r="F44" s="17">
        <f>IFERROR(__xludf.DUMMYFUNCTION("""COMPUTED_VALUE"""),575989)</f>
        <v>575989</v>
      </c>
      <c r="G44" s="16">
        <f>IFERROR(__xludf.DUMMYFUNCTION("""COMPUTED_VALUE"""),45805.6458333333)</f>
        <v>45805.6458333333</v>
      </c>
      <c r="H44" s="17">
        <f>IFERROR(__xludf.DUMMYFUNCTION("""COMPUTED_VALUE"""),2559)</f>
        <v>2559</v>
      </c>
      <c r="I44" s="16">
        <f>IFERROR(__xludf.DUMMYFUNCTION("""COMPUTED_VALUE"""),45805.6458333333)</f>
        <v>45805.6458333333</v>
      </c>
      <c r="J44" s="17">
        <f>IFERROR(__xludf.DUMMYFUNCTION("""COMPUTED_VALUE"""),2510)</f>
        <v>2510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IFERROR(__xludf.DUMMYFUNCTION("""COMPUTED_VALUE"""),2540.8)</f>
        <v>2540.8</v>
      </c>
      <c r="C45" s="16">
        <f>IFERROR(__xludf.DUMMYFUNCTION("""COMPUTED_VALUE"""),45806.6458333333)</f>
        <v>45806.6458333333</v>
      </c>
      <c r="D45" s="17">
        <f>IFERROR(__xludf.DUMMYFUNCTION("""COMPUTED_VALUE"""),2536.7)</f>
        <v>2536.7</v>
      </c>
      <c r="E45" s="16">
        <f>IFERROR(__xludf.DUMMYFUNCTION("""COMPUTED_VALUE"""),45806.6458333333)</f>
        <v>45806.6458333333</v>
      </c>
      <c r="F45" s="17">
        <f>IFERROR(__xludf.DUMMYFUNCTION("""COMPUTED_VALUE"""),802317)</f>
        <v>802317</v>
      </c>
      <c r="G45" s="16">
        <f>IFERROR(__xludf.DUMMYFUNCTION("""COMPUTED_VALUE"""),45806.6458333333)</f>
        <v>45806.6458333333</v>
      </c>
      <c r="H45" s="17">
        <f>IFERROR(__xludf.DUMMYFUNCTION("""COMPUTED_VALUE"""),2559)</f>
        <v>2559</v>
      </c>
      <c r="I45" s="16">
        <f>IFERROR(__xludf.DUMMYFUNCTION("""COMPUTED_VALUE"""),45806.6458333333)</f>
        <v>45806.6458333333</v>
      </c>
      <c r="J45" s="17">
        <f>IFERROR(__xludf.DUMMYFUNCTION("""COMPUTED_VALUE"""),2511)</f>
        <v>2511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IFERROR(__xludf.DUMMYFUNCTION("""COMPUTED_VALUE"""),2519.9)</f>
        <v>2519.9</v>
      </c>
      <c r="C46" s="16">
        <f>IFERROR(__xludf.DUMMYFUNCTION("""COMPUTED_VALUE"""),45807.6458333333)</f>
        <v>45807.6458333333</v>
      </c>
      <c r="D46" s="17">
        <f>IFERROR(__xludf.DUMMYFUNCTION("""COMPUTED_VALUE"""),2550)</f>
        <v>2550</v>
      </c>
      <c r="E46" s="16">
        <f>IFERROR(__xludf.DUMMYFUNCTION("""COMPUTED_VALUE"""),45807.6458333333)</f>
        <v>45807.6458333333</v>
      </c>
      <c r="F46" s="17">
        <f>IFERROR(__xludf.DUMMYFUNCTION("""COMPUTED_VALUE"""),684592)</f>
        <v>684592</v>
      </c>
      <c r="G46" s="16">
        <f>IFERROR(__xludf.DUMMYFUNCTION("""COMPUTED_VALUE"""),45807.6458333333)</f>
        <v>45807.6458333333</v>
      </c>
      <c r="H46" s="17">
        <f>IFERROR(__xludf.DUMMYFUNCTION("""COMPUTED_VALUE"""),2564)</f>
        <v>2564</v>
      </c>
      <c r="I46" s="16">
        <f>IFERROR(__xludf.DUMMYFUNCTION("""COMPUTED_VALUE"""),45807.6458333333)</f>
        <v>45807.6458333333</v>
      </c>
      <c r="J46" s="17">
        <f>IFERROR(__xludf.DUMMYFUNCTION("""COMPUTED_VALUE"""),2513.8)</f>
        <v>2513.8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IFERROR(__xludf.DUMMYFUNCTION("""COMPUTED_VALUE"""),2518.8)</f>
        <v>2518.8</v>
      </c>
      <c r="C47" s="16">
        <f>IFERROR(__xludf.DUMMYFUNCTION("""COMPUTED_VALUE"""),45810.6458333333)</f>
        <v>45810.6458333333</v>
      </c>
      <c r="D47" s="17">
        <f>IFERROR(__xludf.DUMMYFUNCTION("""COMPUTED_VALUE"""),2527)</f>
        <v>2527</v>
      </c>
      <c r="E47" s="16">
        <f>IFERROR(__xludf.DUMMYFUNCTION("""COMPUTED_VALUE"""),45810.6458333333)</f>
        <v>45810.6458333333</v>
      </c>
      <c r="F47" s="17">
        <f>IFERROR(__xludf.DUMMYFUNCTION("""COMPUTED_VALUE"""),1008716)</f>
        <v>1008716</v>
      </c>
      <c r="G47" s="16">
        <f>IFERROR(__xludf.DUMMYFUNCTION("""COMPUTED_VALUE"""),45810.6458333333)</f>
        <v>45810.6458333333</v>
      </c>
      <c r="H47" s="17">
        <f>IFERROR(__xludf.DUMMYFUNCTION("""COMPUTED_VALUE"""),2564)</f>
        <v>2564</v>
      </c>
      <c r="I47" s="16">
        <f>IFERROR(__xludf.DUMMYFUNCTION("""COMPUTED_VALUE"""),45810.6458333333)</f>
        <v>45810.6458333333</v>
      </c>
      <c r="J47" s="17">
        <f>IFERROR(__xludf.DUMMYFUNCTION("""COMPUTED_VALUE"""),2514.9)</f>
        <v>2514.9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IFERROR(__xludf.DUMMYFUNCTION("""COMPUTED_VALUE"""),2470.9)</f>
        <v>2470.9</v>
      </c>
      <c r="C48" s="16">
        <f>IFERROR(__xludf.DUMMYFUNCTION("""COMPUTED_VALUE"""),45811.6458333333)</f>
        <v>45811.6458333333</v>
      </c>
      <c r="D48" s="17">
        <f>IFERROR(__xludf.DUMMYFUNCTION("""COMPUTED_VALUE"""),2511)</f>
        <v>2511</v>
      </c>
      <c r="E48" s="16">
        <f>IFERROR(__xludf.DUMMYFUNCTION("""COMPUTED_VALUE"""),45811.6458333333)</f>
        <v>45811.6458333333</v>
      </c>
      <c r="F48" s="17">
        <f>IFERROR(__xludf.DUMMYFUNCTION("""COMPUTED_VALUE"""),962708)</f>
        <v>962708</v>
      </c>
      <c r="G48" s="16">
        <f>IFERROR(__xludf.DUMMYFUNCTION("""COMPUTED_VALUE"""),45811.6458333333)</f>
        <v>45811.6458333333</v>
      </c>
      <c r="H48" s="17">
        <f>IFERROR(__xludf.DUMMYFUNCTION("""COMPUTED_VALUE"""),2512.5)</f>
        <v>2512.5</v>
      </c>
      <c r="I48" s="16">
        <f>IFERROR(__xludf.DUMMYFUNCTION("""COMPUTED_VALUE"""),45811.6458333333)</f>
        <v>45811.6458333333</v>
      </c>
      <c r="J48" s="17">
        <f>IFERROR(__xludf.DUMMYFUNCTION("""COMPUTED_VALUE"""),2452)</f>
        <v>2452</v>
      </c>
      <c r="K48" s="3">
        <f t="shared" si="2"/>
        <v>0</v>
      </c>
      <c r="L48" s="3">
        <f t="shared" si="3"/>
        <v>2470.9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IFERROR(__xludf.DUMMYFUNCTION("""COMPUTED_VALUE"""),2489.4)</f>
        <v>2489.4</v>
      </c>
      <c r="C49" s="16">
        <f>IFERROR(__xludf.DUMMYFUNCTION("""COMPUTED_VALUE"""),45812.6458333333)</f>
        <v>45812.6458333333</v>
      </c>
      <c r="D49" s="17">
        <f>IFERROR(__xludf.DUMMYFUNCTION("""COMPUTED_VALUE"""),2480)</f>
        <v>2480</v>
      </c>
      <c r="E49" s="16">
        <f>IFERROR(__xludf.DUMMYFUNCTION("""COMPUTED_VALUE"""),45812.6458333333)</f>
        <v>45812.6458333333</v>
      </c>
      <c r="F49" s="17">
        <f>IFERROR(__xludf.DUMMYFUNCTION("""COMPUTED_VALUE"""),552667)</f>
        <v>552667</v>
      </c>
      <c r="G49" s="16">
        <f>IFERROR(__xludf.DUMMYFUNCTION("""COMPUTED_VALUE"""),45812.6458333333)</f>
        <v>45812.6458333333</v>
      </c>
      <c r="H49" s="17">
        <f>IFERROR(__xludf.DUMMYFUNCTION("""COMPUTED_VALUE"""),2503)</f>
        <v>2503</v>
      </c>
      <c r="I49" s="16">
        <f>IFERROR(__xludf.DUMMYFUNCTION("""COMPUTED_VALUE"""),45812.6458333333)</f>
        <v>45812.6458333333</v>
      </c>
      <c r="J49" s="17">
        <f>IFERROR(__xludf.DUMMYFUNCTION("""COMPUTED_VALUE"""),2441.1)</f>
        <v>2441.1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IFERROR(__xludf.DUMMYFUNCTION("""COMPUTED_VALUE"""),2504.4)</f>
        <v>2504.4</v>
      </c>
      <c r="C50" s="16">
        <f>IFERROR(__xludf.DUMMYFUNCTION("""COMPUTED_VALUE"""),45813.6458333333)</f>
        <v>45813.6458333333</v>
      </c>
      <c r="D50" s="17">
        <f>IFERROR(__xludf.DUMMYFUNCTION("""COMPUTED_VALUE"""),2495)</f>
        <v>2495</v>
      </c>
      <c r="E50" s="16">
        <f>IFERROR(__xludf.DUMMYFUNCTION("""COMPUTED_VALUE"""),45813.6458333333)</f>
        <v>45813.6458333333</v>
      </c>
      <c r="F50" s="17">
        <f>IFERROR(__xludf.DUMMYFUNCTION("""COMPUTED_VALUE"""),673209)</f>
        <v>673209</v>
      </c>
      <c r="G50" s="16">
        <f>IFERROR(__xludf.DUMMYFUNCTION("""COMPUTED_VALUE"""),45813.6458333333)</f>
        <v>45813.6458333333</v>
      </c>
      <c r="H50" s="17">
        <f>IFERROR(__xludf.DUMMYFUNCTION("""COMPUTED_VALUE"""),2530.1)</f>
        <v>2530.1</v>
      </c>
      <c r="I50" s="16">
        <f>IFERROR(__xludf.DUMMYFUNCTION("""COMPUTED_VALUE"""),45813.6458333333)</f>
        <v>45813.6458333333</v>
      </c>
      <c r="J50" s="17">
        <f>IFERROR(__xludf.DUMMYFUNCTION("""COMPUTED_VALUE"""),2487.5)</f>
        <v>2487.5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IFERROR(__xludf.DUMMYFUNCTION("""COMPUTED_VALUE"""),2534.2)</f>
        <v>2534.2</v>
      </c>
      <c r="C51" s="16">
        <f>IFERROR(__xludf.DUMMYFUNCTION("""COMPUTED_VALUE"""),45814.6458333333)</f>
        <v>45814.6458333333</v>
      </c>
      <c r="D51" s="17">
        <f>IFERROR(__xludf.DUMMYFUNCTION("""COMPUTED_VALUE"""),2514.9)</f>
        <v>2514.9</v>
      </c>
      <c r="E51" s="16">
        <f>IFERROR(__xludf.DUMMYFUNCTION("""COMPUTED_VALUE"""),45814.6458333333)</f>
        <v>45814.6458333333</v>
      </c>
      <c r="F51" s="17">
        <f>IFERROR(__xludf.DUMMYFUNCTION("""COMPUTED_VALUE"""),640680)</f>
        <v>640680</v>
      </c>
      <c r="G51" s="16">
        <f>IFERROR(__xludf.DUMMYFUNCTION("""COMPUTED_VALUE"""),45814.6458333333)</f>
        <v>45814.6458333333</v>
      </c>
      <c r="H51" s="17">
        <f>IFERROR(__xludf.DUMMYFUNCTION("""COMPUTED_VALUE"""),2553.3)</f>
        <v>2553.3</v>
      </c>
      <c r="I51" s="16">
        <f>IFERROR(__xludf.DUMMYFUNCTION("""COMPUTED_VALUE"""),45814.6458333333)</f>
        <v>45814.6458333333</v>
      </c>
      <c r="J51" s="17">
        <f>IFERROR(__xludf.DUMMYFUNCTION("""COMPUTED_VALUE"""),2504)</f>
        <v>2504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IFERROR(__xludf.DUMMYFUNCTION("""COMPUTED_VALUE"""),2582.1)</f>
        <v>2582.1</v>
      </c>
      <c r="C52" s="16">
        <f>IFERROR(__xludf.DUMMYFUNCTION("""COMPUTED_VALUE"""),45817.6458333333)</f>
        <v>45817.6458333333</v>
      </c>
      <c r="D52" s="17">
        <f>IFERROR(__xludf.DUMMYFUNCTION("""COMPUTED_VALUE"""),2545)</f>
        <v>2545</v>
      </c>
      <c r="E52" s="16">
        <f>IFERROR(__xludf.DUMMYFUNCTION("""COMPUTED_VALUE"""),45817.6458333333)</f>
        <v>45817.6458333333</v>
      </c>
      <c r="F52" s="17">
        <f>IFERROR(__xludf.DUMMYFUNCTION("""COMPUTED_VALUE"""),1711167)</f>
        <v>1711167</v>
      </c>
      <c r="G52" s="16">
        <f>IFERROR(__xludf.DUMMYFUNCTION("""COMPUTED_VALUE"""),45817.6458333333)</f>
        <v>45817.6458333333</v>
      </c>
      <c r="H52" s="17">
        <f>IFERROR(__xludf.DUMMYFUNCTION("""COMPUTED_VALUE"""),2604.1)</f>
        <v>2604.1</v>
      </c>
      <c r="I52" s="16">
        <f>IFERROR(__xludf.DUMMYFUNCTION("""COMPUTED_VALUE"""),45817.6458333333)</f>
        <v>45817.6458333333</v>
      </c>
      <c r="J52" s="17">
        <f>IFERROR(__xludf.DUMMYFUNCTION("""COMPUTED_VALUE"""),2524.5)</f>
        <v>2524.5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IFERROR(__xludf.DUMMYFUNCTION("""COMPUTED_VALUE"""),2613.1)</f>
        <v>2613.1</v>
      </c>
      <c r="C53" s="16">
        <f>IFERROR(__xludf.DUMMYFUNCTION("""COMPUTED_VALUE"""),45818.6458333333)</f>
        <v>45818.6458333333</v>
      </c>
      <c r="D53" s="17">
        <f>IFERROR(__xludf.DUMMYFUNCTION("""COMPUTED_VALUE"""),2600)</f>
        <v>2600</v>
      </c>
      <c r="E53" s="16">
        <f>IFERROR(__xludf.DUMMYFUNCTION("""COMPUTED_VALUE"""),45818.6458333333)</f>
        <v>45818.6458333333</v>
      </c>
      <c r="F53" s="17">
        <f>IFERROR(__xludf.DUMMYFUNCTION("""COMPUTED_VALUE"""),2084054)</f>
        <v>2084054</v>
      </c>
      <c r="G53" s="16">
        <f>IFERROR(__xludf.DUMMYFUNCTION("""COMPUTED_VALUE"""),45818.6458333333)</f>
        <v>45818.6458333333</v>
      </c>
      <c r="H53" s="17">
        <f>IFERROR(__xludf.DUMMYFUNCTION("""COMPUTED_VALUE"""),2663.2)</f>
        <v>2663.2</v>
      </c>
      <c r="I53" s="16">
        <f>IFERROR(__xludf.DUMMYFUNCTION("""COMPUTED_VALUE"""),45818.6458333333)</f>
        <v>45818.6458333333</v>
      </c>
      <c r="J53" s="17">
        <f>IFERROR(__xludf.DUMMYFUNCTION("""COMPUTED_VALUE"""),2577.7)</f>
        <v>2577.7</v>
      </c>
      <c r="K53" s="3">
        <f t="shared" si="2"/>
        <v>2613.1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IFERROR(__xludf.DUMMYFUNCTION("""COMPUTED_VALUE"""),2581.2)</f>
        <v>2581.2</v>
      </c>
      <c r="C54" s="16">
        <f>IFERROR(__xludf.DUMMYFUNCTION("""COMPUTED_VALUE"""),45819.6458333333)</f>
        <v>45819.6458333333</v>
      </c>
      <c r="D54" s="17">
        <f>IFERROR(__xludf.DUMMYFUNCTION("""COMPUTED_VALUE"""),2630)</f>
        <v>2630</v>
      </c>
      <c r="E54" s="16">
        <f>IFERROR(__xludf.DUMMYFUNCTION("""COMPUTED_VALUE"""),45819.6458333333)</f>
        <v>45819.6458333333</v>
      </c>
      <c r="F54" s="17">
        <f>IFERROR(__xludf.DUMMYFUNCTION("""COMPUTED_VALUE"""),745432)</f>
        <v>745432</v>
      </c>
      <c r="G54" s="16">
        <f>IFERROR(__xludf.DUMMYFUNCTION("""COMPUTED_VALUE"""),45819.6458333333)</f>
        <v>45819.6458333333</v>
      </c>
      <c r="H54" s="17">
        <f>IFERROR(__xludf.DUMMYFUNCTION("""COMPUTED_VALUE"""),2630.9)</f>
        <v>2630.9</v>
      </c>
      <c r="I54" s="16">
        <f>IFERROR(__xludf.DUMMYFUNCTION("""COMPUTED_VALUE"""),45819.6458333333)</f>
        <v>45819.6458333333</v>
      </c>
      <c r="J54" s="17">
        <f>IFERROR(__xludf.DUMMYFUNCTION("""COMPUTED_VALUE"""),2563.1)</f>
        <v>2563.1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IFERROR(__xludf.DUMMYFUNCTION("""COMPUTED_VALUE"""),2543.7)</f>
        <v>2543.7</v>
      </c>
      <c r="C55" s="16">
        <f>IFERROR(__xludf.DUMMYFUNCTION("""COMPUTED_VALUE"""),45820.6458333333)</f>
        <v>45820.6458333333</v>
      </c>
      <c r="D55" s="17">
        <f>IFERROR(__xludf.DUMMYFUNCTION("""COMPUTED_VALUE"""),2591.5)</f>
        <v>2591.5</v>
      </c>
      <c r="E55" s="16">
        <f>IFERROR(__xludf.DUMMYFUNCTION("""COMPUTED_VALUE"""),45820.6458333333)</f>
        <v>45820.6458333333</v>
      </c>
      <c r="F55" s="17">
        <f>IFERROR(__xludf.DUMMYFUNCTION("""COMPUTED_VALUE"""),955097)</f>
        <v>955097</v>
      </c>
      <c r="G55" s="16">
        <f>IFERROR(__xludf.DUMMYFUNCTION("""COMPUTED_VALUE"""),45820.6458333333)</f>
        <v>45820.6458333333</v>
      </c>
      <c r="H55" s="17">
        <f>IFERROR(__xludf.DUMMYFUNCTION("""COMPUTED_VALUE"""),2601.8)</f>
        <v>2601.8</v>
      </c>
      <c r="I55" s="16">
        <f>IFERROR(__xludf.DUMMYFUNCTION("""COMPUTED_VALUE"""),45820.6458333333)</f>
        <v>45820.6458333333</v>
      </c>
      <c r="J55" s="17">
        <f>IFERROR(__xludf.DUMMYFUNCTION("""COMPUTED_VALUE"""),2530)</f>
        <v>2530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IFERROR(__xludf.DUMMYFUNCTION("""COMPUTED_VALUE"""),2507.9)</f>
        <v>2507.9</v>
      </c>
      <c r="C56" s="16">
        <f>IFERROR(__xludf.DUMMYFUNCTION("""COMPUTED_VALUE"""),45821.6458333333)</f>
        <v>45821.6458333333</v>
      </c>
      <c r="D56" s="17">
        <f>IFERROR(__xludf.DUMMYFUNCTION("""COMPUTED_VALUE"""),2498)</f>
        <v>2498</v>
      </c>
      <c r="E56" s="16">
        <f>IFERROR(__xludf.DUMMYFUNCTION("""COMPUTED_VALUE"""),45821.6458333333)</f>
        <v>45821.6458333333</v>
      </c>
      <c r="F56" s="17">
        <f>IFERROR(__xludf.DUMMYFUNCTION("""COMPUTED_VALUE"""),695869)</f>
        <v>695869</v>
      </c>
      <c r="G56" s="16">
        <f>IFERROR(__xludf.DUMMYFUNCTION("""COMPUTED_VALUE"""),45821.6458333333)</f>
        <v>45821.6458333333</v>
      </c>
      <c r="H56" s="17">
        <f>IFERROR(__xludf.DUMMYFUNCTION("""COMPUTED_VALUE"""),2516)</f>
        <v>2516</v>
      </c>
      <c r="I56" s="16">
        <f>IFERROR(__xludf.DUMMYFUNCTION("""COMPUTED_VALUE"""),45821.6458333333)</f>
        <v>45821.6458333333</v>
      </c>
      <c r="J56" s="17">
        <f>IFERROR(__xludf.DUMMYFUNCTION("""COMPUTED_VALUE"""),2460)</f>
        <v>2460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IFERROR(__xludf.DUMMYFUNCTION("""COMPUTED_VALUE"""),2544)</f>
        <v>2544</v>
      </c>
      <c r="C57" s="16">
        <f>IFERROR(__xludf.DUMMYFUNCTION("""COMPUTED_VALUE"""),45824.6458333333)</f>
        <v>45824.6458333333</v>
      </c>
      <c r="D57" s="17">
        <f>IFERROR(__xludf.DUMMYFUNCTION("""COMPUTED_VALUE"""),2500)</f>
        <v>2500</v>
      </c>
      <c r="E57" s="16">
        <f>IFERROR(__xludf.DUMMYFUNCTION("""COMPUTED_VALUE"""),45824.6458333333)</f>
        <v>45824.6458333333</v>
      </c>
      <c r="F57" s="17">
        <f>IFERROR(__xludf.DUMMYFUNCTION("""COMPUTED_VALUE"""),956459)</f>
        <v>956459</v>
      </c>
      <c r="G57" s="16">
        <f>IFERROR(__xludf.DUMMYFUNCTION("""COMPUTED_VALUE"""),45824.6458333333)</f>
        <v>45824.6458333333</v>
      </c>
      <c r="H57" s="17">
        <f>IFERROR(__xludf.DUMMYFUNCTION("""COMPUTED_VALUE"""),2563.3)</f>
        <v>2563.3</v>
      </c>
      <c r="I57" s="16">
        <f>IFERROR(__xludf.DUMMYFUNCTION("""COMPUTED_VALUE"""),45824.6458333333)</f>
        <v>45824.6458333333</v>
      </c>
      <c r="J57" s="17">
        <f>IFERROR(__xludf.DUMMYFUNCTION("""COMPUTED_VALUE"""),2462)</f>
        <v>2462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IFERROR(__xludf.DUMMYFUNCTION("""COMPUTED_VALUE"""),2488.5)</f>
        <v>2488.5</v>
      </c>
      <c r="C58" s="16">
        <f>IFERROR(__xludf.DUMMYFUNCTION("""COMPUTED_VALUE"""),45825.6458333333)</f>
        <v>45825.6458333333</v>
      </c>
      <c r="D58" s="17">
        <f>IFERROR(__xludf.DUMMYFUNCTION("""COMPUTED_VALUE"""),2535)</f>
        <v>2535</v>
      </c>
      <c r="E58" s="16">
        <f>IFERROR(__xludf.DUMMYFUNCTION("""COMPUTED_VALUE"""),45825.6458333333)</f>
        <v>45825.6458333333</v>
      </c>
      <c r="F58" s="17">
        <f>IFERROR(__xludf.DUMMYFUNCTION("""COMPUTED_VALUE"""),703343)</f>
        <v>703343</v>
      </c>
      <c r="G58" s="16">
        <f>IFERROR(__xludf.DUMMYFUNCTION("""COMPUTED_VALUE"""),45825.6458333333)</f>
        <v>45825.6458333333</v>
      </c>
      <c r="H58" s="17">
        <f>IFERROR(__xludf.DUMMYFUNCTION("""COMPUTED_VALUE"""),2539.6)</f>
        <v>2539.6</v>
      </c>
      <c r="I58" s="16">
        <f>IFERROR(__xludf.DUMMYFUNCTION("""COMPUTED_VALUE"""),45825.6458333333)</f>
        <v>45825.6458333333</v>
      </c>
      <c r="J58" s="17">
        <f>IFERROR(__xludf.DUMMYFUNCTION("""COMPUTED_VALUE"""),2479)</f>
        <v>2479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IFERROR(__xludf.DUMMYFUNCTION("""COMPUTED_VALUE"""),2459.1)</f>
        <v>2459.1</v>
      </c>
      <c r="C59" s="16">
        <f>IFERROR(__xludf.DUMMYFUNCTION("""COMPUTED_VALUE"""),45826.6458333333)</f>
        <v>45826.6458333333</v>
      </c>
      <c r="D59" s="17">
        <f>IFERROR(__xludf.DUMMYFUNCTION("""COMPUTED_VALUE"""),2491.9)</f>
        <v>2491.9</v>
      </c>
      <c r="E59" s="16">
        <f>IFERROR(__xludf.DUMMYFUNCTION("""COMPUTED_VALUE"""),45826.6458333333)</f>
        <v>45826.6458333333</v>
      </c>
      <c r="F59" s="17">
        <f>IFERROR(__xludf.DUMMYFUNCTION("""COMPUTED_VALUE"""),667044)</f>
        <v>667044</v>
      </c>
      <c r="G59" s="16">
        <f>IFERROR(__xludf.DUMMYFUNCTION("""COMPUTED_VALUE"""),45826.6458333333)</f>
        <v>45826.6458333333</v>
      </c>
      <c r="H59" s="17">
        <f>IFERROR(__xludf.DUMMYFUNCTION("""COMPUTED_VALUE"""),2495.9)</f>
        <v>2495.9</v>
      </c>
      <c r="I59" s="16">
        <f>IFERROR(__xludf.DUMMYFUNCTION("""COMPUTED_VALUE"""),45826.6458333333)</f>
        <v>45826.6458333333</v>
      </c>
      <c r="J59" s="17">
        <f>IFERROR(__xludf.DUMMYFUNCTION("""COMPUTED_VALUE"""),2445.4)</f>
        <v>2445.4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IFERROR(__xludf.DUMMYFUNCTION("""COMPUTED_VALUE"""),2420.6)</f>
        <v>2420.6</v>
      </c>
      <c r="C60" s="16">
        <f>IFERROR(__xludf.DUMMYFUNCTION("""COMPUTED_VALUE"""),45827.6458333333)</f>
        <v>45827.6458333333</v>
      </c>
      <c r="D60" s="17">
        <f>IFERROR(__xludf.DUMMYFUNCTION("""COMPUTED_VALUE"""),2466.3)</f>
        <v>2466.3</v>
      </c>
      <c r="E60" s="16">
        <f>IFERROR(__xludf.DUMMYFUNCTION("""COMPUTED_VALUE"""),45827.6458333333)</f>
        <v>45827.6458333333</v>
      </c>
      <c r="F60" s="17">
        <f>IFERROR(__xludf.DUMMYFUNCTION("""COMPUTED_VALUE"""),688209)</f>
        <v>688209</v>
      </c>
      <c r="G60" s="16">
        <f>IFERROR(__xludf.DUMMYFUNCTION("""COMPUTED_VALUE"""),45827.6458333333)</f>
        <v>45827.6458333333</v>
      </c>
      <c r="H60" s="17">
        <f>IFERROR(__xludf.DUMMYFUNCTION("""COMPUTED_VALUE"""),2468.9)</f>
        <v>2468.9</v>
      </c>
      <c r="I60" s="16">
        <f>IFERROR(__xludf.DUMMYFUNCTION("""COMPUTED_VALUE"""),45827.6458333333)</f>
        <v>45827.6458333333</v>
      </c>
      <c r="J60" s="17">
        <f>IFERROR(__xludf.DUMMYFUNCTION("""COMPUTED_VALUE"""),2405.1)</f>
        <v>2405.1</v>
      </c>
      <c r="K60" s="3">
        <f t="shared" si="2"/>
        <v>0</v>
      </c>
      <c r="L60" s="3">
        <f t="shared" si="3"/>
        <v>2420.6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IFERROR(__xludf.DUMMYFUNCTION("""COMPUTED_VALUE"""),2448.4)</f>
        <v>2448.4</v>
      </c>
      <c r="C61" s="16">
        <f>IFERROR(__xludf.DUMMYFUNCTION("""COMPUTED_VALUE"""),45828.6458333333)</f>
        <v>45828.6458333333</v>
      </c>
      <c r="D61" s="17">
        <f>IFERROR(__xludf.DUMMYFUNCTION("""COMPUTED_VALUE"""),2428)</f>
        <v>2428</v>
      </c>
      <c r="E61" s="16">
        <f>IFERROR(__xludf.DUMMYFUNCTION("""COMPUTED_VALUE"""),45828.6458333333)</f>
        <v>45828.6458333333</v>
      </c>
      <c r="F61" s="17">
        <f>IFERROR(__xludf.DUMMYFUNCTION("""COMPUTED_VALUE"""),3002549)</f>
        <v>3002549</v>
      </c>
      <c r="G61" s="16">
        <f>IFERROR(__xludf.DUMMYFUNCTION("""COMPUTED_VALUE"""),45828.6458333333)</f>
        <v>45828.6458333333</v>
      </c>
      <c r="H61" s="17">
        <f>IFERROR(__xludf.DUMMYFUNCTION("""COMPUTED_VALUE"""),2461.3)</f>
        <v>2461.3</v>
      </c>
      <c r="I61" s="16">
        <f>IFERROR(__xludf.DUMMYFUNCTION("""COMPUTED_VALUE"""),45828.6458333333)</f>
        <v>45828.6458333333</v>
      </c>
      <c r="J61" s="17">
        <f>IFERROR(__xludf.DUMMYFUNCTION("""COMPUTED_VALUE"""),2415)</f>
        <v>2415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IFERROR(__xludf.DUMMYFUNCTION("""COMPUTED_VALUE"""),2472)</f>
        <v>2472</v>
      </c>
      <c r="C62" s="16">
        <f>IFERROR(__xludf.DUMMYFUNCTION("""COMPUTED_VALUE"""),45831.6458333333)</f>
        <v>45831.6458333333</v>
      </c>
      <c r="D62" s="17">
        <f>IFERROR(__xludf.DUMMYFUNCTION("""COMPUTED_VALUE"""),2438)</f>
        <v>2438</v>
      </c>
      <c r="E62" s="16">
        <f>IFERROR(__xludf.DUMMYFUNCTION("""COMPUTED_VALUE"""),45831.6458333333)</f>
        <v>45831.6458333333</v>
      </c>
      <c r="F62" s="17">
        <f>IFERROR(__xludf.DUMMYFUNCTION("""COMPUTED_VALUE"""),790535)</f>
        <v>790535</v>
      </c>
      <c r="G62" s="16">
        <f>IFERROR(__xludf.DUMMYFUNCTION("""COMPUTED_VALUE"""),45831.6458333333)</f>
        <v>45831.6458333333</v>
      </c>
      <c r="H62" s="17">
        <f>IFERROR(__xludf.DUMMYFUNCTION("""COMPUTED_VALUE"""),2492.6)</f>
        <v>2492.6</v>
      </c>
      <c r="I62" s="16">
        <f>IFERROR(__xludf.DUMMYFUNCTION("""COMPUTED_VALUE"""),45831.6458333333)</f>
        <v>45831.6458333333</v>
      </c>
      <c r="J62" s="17">
        <f>IFERROR(__xludf.DUMMYFUNCTION("""COMPUTED_VALUE"""),2421)</f>
        <v>2421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IFERROR(__xludf.DUMMYFUNCTION("""COMPUTED_VALUE"""),2505.6)</f>
        <v>2505.6</v>
      </c>
      <c r="C63" s="16">
        <f>IFERROR(__xludf.DUMMYFUNCTION("""COMPUTED_VALUE"""),45832.6458333333)</f>
        <v>45832.6458333333</v>
      </c>
      <c r="D63" s="17">
        <f>IFERROR(__xludf.DUMMYFUNCTION("""COMPUTED_VALUE"""),2504)</f>
        <v>2504</v>
      </c>
      <c r="E63" s="16">
        <f>IFERROR(__xludf.DUMMYFUNCTION("""COMPUTED_VALUE"""),45832.6458333333)</f>
        <v>45832.6458333333</v>
      </c>
      <c r="F63" s="17">
        <f>IFERROR(__xludf.DUMMYFUNCTION("""COMPUTED_VALUE"""),996405)</f>
        <v>996405</v>
      </c>
      <c r="G63" s="16">
        <f>IFERROR(__xludf.DUMMYFUNCTION("""COMPUTED_VALUE"""),45832.6458333333)</f>
        <v>45832.6458333333</v>
      </c>
      <c r="H63" s="17">
        <f>IFERROR(__xludf.DUMMYFUNCTION("""COMPUTED_VALUE"""),2544.6)</f>
        <v>2544.6</v>
      </c>
      <c r="I63" s="16">
        <f>IFERROR(__xludf.DUMMYFUNCTION("""COMPUTED_VALUE"""),45832.6458333333)</f>
        <v>45832.6458333333</v>
      </c>
      <c r="J63" s="17">
        <f>IFERROR(__xludf.DUMMYFUNCTION("""COMPUTED_VALUE"""),2500.2)</f>
        <v>2500.2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IFERROR(__xludf.DUMMYFUNCTION("""COMPUTED_VALUE"""),2527.2)</f>
        <v>2527.2</v>
      </c>
      <c r="C64" s="16">
        <f>IFERROR(__xludf.DUMMYFUNCTION("""COMPUTED_VALUE"""),45833.6458333333)</f>
        <v>45833.6458333333</v>
      </c>
      <c r="D64" s="17">
        <f>IFERROR(__xludf.DUMMYFUNCTION("""COMPUTED_VALUE"""),2519.9)</f>
        <v>2519.9</v>
      </c>
      <c r="E64" s="16">
        <f>IFERROR(__xludf.DUMMYFUNCTION("""COMPUTED_VALUE"""),45833.6458333333)</f>
        <v>45833.6458333333</v>
      </c>
      <c r="F64" s="17">
        <f>IFERROR(__xludf.DUMMYFUNCTION("""COMPUTED_VALUE"""),921346)</f>
        <v>921346</v>
      </c>
      <c r="G64" s="16">
        <f>IFERROR(__xludf.DUMMYFUNCTION("""COMPUTED_VALUE"""),45833.6458333333)</f>
        <v>45833.6458333333</v>
      </c>
      <c r="H64" s="17">
        <f>IFERROR(__xludf.DUMMYFUNCTION("""COMPUTED_VALUE"""),2541.6)</f>
        <v>2541.6</v>
      </c>
      <c r="I64" s="16">
        <f>IFERROR(__xludf.DUMMYFUNCTION("""COMPUTED_VALUE"""),45833.6458333333)</f>
        <v>45833.6458333333</v>
      </c>
      <c r="J64" s="17">
        <f>IFERROR(__xludf.DUMMYFUNCTION("""COMPUTED_VALUE"""),2512.1)</f>
        <v>2512.1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IFERROR(__xludf.DUMMYFUNCTION("""COMPUTED_VALUE"""),2586.2)</f>
        <v>2586.2</v>
      </c>
      <c r="C65" s="16">
        <f>IFERROR(__xludf.DUMMYFUNCTION("""COMPUTED_VALUE"""),45834.6458333333)</f>
        <v>45834.6458333333</v>
      </c>
      <c r="D65" s="17">
        <f>IFERROR(__xludf.DUMMYFUNCTION("""COMPUTED_VALUE"""),2535)</f>
        <v>2535</v>
      </c>
      <c r="E65" s="16">
        <f>IFERROR(__xludf.DUMMYFUNCTION("""COMPUTED_VALUE"""),45834.6458333333)</f>
        <v>45834.6458333333</v>
      </c>
      <c r="F65" s="17">
        <f>IFERROR(__xludf.DUMMYFUNCTION("""COMPUTED_VALUE"""),1339627)</f>
        <v>1339627</v>
      </c>
      <c r="G65" s="16">
        <f>IFERROR(__xludf.DUMMYFUNCTION("""COMPUTED_VALUE"""),45834.6458333333)</f>
        <v>45834.6458333333</v>
      </c>
      <c r="H65" s="17">
        <f>IFERROR(__xludf.DUMMYFUNCTION("""COMPUTED_VALUE"""),2593.6)</f>
        <v>2593.6</v>
      </c>
      <c r="I65" s="16">
        <f>IFERROR(__xludf.DUMMYFUNCTION("""COMPUTED_VALUE"""),45834.6458333333)</f>
        <v>45834.6458333333</v>
      </c>
      <c r="J65" s="17">
        <f>IFERROR(__xludf.DUMMYFUNCTION("""COMPUTED_VALUE"""),2522.2)</f>
        <v>2522.2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IFERROR(__xludf.DUMMYFUNCTION("""COMPUTED_VALUE"""),2646.3)</f>
        <v>2646.3</v>
      </c>
      <c r="C66" s="16">
        <f>IFERROR(__xludf.DUMMYFUNCTION("""COMPUTED_VALUE"""),45835.6458333333)</f>
        <v>45835.6458333333</v>
      </c>
      <c r="D66" s="17">
        <f>IFERROR(__xludf.DUMMYFUNCTION("""COMPUTED_VALUE"""),2587.7)</f>
        <v>2587.7</v>
      </c>
      <c r="E66" s="16">
        <f>IFERROR(__xludf.DUMMYFUNCTION("""COMPUTED_VALUE"""),45835.6458333333)</f>
        <v>45835.6458333333</v>
      </c>
      <c r="F66" s="17">
        <f>IFERROR(__xludf.DUMMYFUNCTION("""COMPUTED_VALUE"""),4049316)</f>
        <v>4049316</v>
      </c>
      <c r="G66" s="16">
        <f>IFERROR(__xludf.DUMMYFUNCTION("""COMPUTED_VALUE"""),45835.6458333333)</f>
        <v>45835.6458333333</v>
      </c>
      <c r="H66" s="17">
        <f>IFERROR(__xludf.DUMMYFUNCTION("""COMPUTED_VALUE"""),2681.6)</f>
        <v>2681.6</v>
      </c>
      <c r="I66" s="16">
        <f>IFERROR(__xludf.DUMMYFUNCTION("""COMPUTED_VALUE"""),45835.6458333333)</f>
        <v>45835.6458333333</v>
      </c>
      <c r="J66" s="17">
        <f>IFERROR(__xludf.DUMMYFUNCTION("""COMPUTED_VALUE"""),2582)</f>
        <v>2582</v>
      </c>
      <c r="K66" s="3">
        <f t="shared" si="2"/>
        <v>2646.3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IFERROR(__xludf.DUMMYFUNCTION("""COMPUTED_VALUE"""),2619.4)</f>
        <v>2619.4</v>
      </c>
      <c r="C67" s="16">
        <f>IFERROR(__xludf.DUMMYFUNCTION("""COMPUTED_VALUE"""),45838.6458333333)</f>
        <v>45838.6458333333</v>
      </c>
      <c r="D67" s="17">
        <f>IFERROR(__xludf.DUMMYFUNCTION("""COMPUTED_VALUE"""),2650)</f>
        <v>2650</v>
      </c>
      <c r="E67" s="16">
        <f>IFERROR(__xludf.DUMMYFUNCTION("""COMPUTED_VALUE"""),45838.6458333333)</f>
        <v>45838.6458333333</v>
      </c>
      <c r="F67" s="17">
        <f>IFERROR(__xludf.DUMMYFUNCTION("""COMPUTED_VALUE"""),694815)</f>
        <v>694815</v>
      </c>
      <c r="G67" s="16">
        <f>IFERROR(__xludf.DUMMYFUNCTION("""COMPUTED_VALUE"""),45838.6458333333)</f>
        <v>45838.6458333333</v>
      </c>
      <c r="H67" s="17">
        <f>IFERROR(__xludf.DUMMYFUNCTION("""COMPUTED_VALUE"""),2653.9)</f>
        <v>2653.9</v>
      </c>
      <c r="I67" s="16">
        <f>IFERROR(__xludf.DUMMYFUNCTION("""COMPUTED_VALUE"""),45838.6458333333)</f>
        <v>45838.6458333333</v>
      </c>
      <c r="J67" s="17">
        <f>IFERROR(__xludf.DUMMYFUNCTION("""COMPUTED_VALUE"""),2605.9)</f>
        <v>2605.9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IFERROR(__xludf.DUMMYFUNCTION("""COMPUTED_VALUE"""),2621.8)</f>
        <v>2621.8</v>
      </c>
      <c r="C68" s="16">
        <f>IFERROR(__xludf.DUMMYFUNCTION("""COMPUTED_VALUE"""),45839.6458333333)</f>
        <v>45839.6458333333</v>
      </c>
      <c r="D68" s="17">
        <f>IFERROR(__xludf.DUMMYFUNCTION("""COMPUTED_VALUE"""),2624.9)</f>
        <v>2624.9</v>
      </c>
      <c r="E68" s="16">
        <f>IFERROR(__xludf.DUMMYFUNCTION("""COMPUTED_VALUE"""),45839.6458333333)</f>
        <v>45839.6458333333</v>
      </c>
      <c r="F68" s="17">
        <f>IFERROR(__xludf.DUMMYFUNCTION("""COMPUTED_VALUE"""),729197)</f>
        <v>729197</v>
      </c>
      <c r="G68" s="16">
        <f>IFERROR(__xludf.DUMMYFUNCTION("""COMPUTED_VALUE"""),45839.6458333333)</f>
        <v>45839.6458333333</v>
      </c>
      <c r="H68" s="17">
        <f>IFERROR(__xludf.DUMMYFUNCTION("""COMPUTED_VALUE"""),2645)</f>
        <v>2645</v>
      </c>
      <c r="I68" s="16">
        <f>IFERROR(__xludf.DUMMYFUNCTION("""COMPUTED_VALUE"""),45839.6458333333)</f>
        <v>45839.6458333333</v>
      </c>
      <c r="J68" s="17">
        <f>IFERROR(__xludf.DUMMYFUNCTION("""COMPUTED_VALUE"""),2603)</f>
        <v>2603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IFERROR(__xludf.DUMMYFUNCTION("""COMPUTED_VALUE"""),2630.2)</f>
        <v>2630.2</v>
      </c>
      <c r="C69" s="16">
        <f>IFERROR(__xludf.DUMMYFUNCTION("""COMPUTED_VALUE"""),45840.6458333333)</f>
        <v>45840.6458333333</v>
      </c>
      <c r="D69" s="17">
        <f>IFERROR(__xludf.DUMMYFUNCTION("""COMPUTED_VALUE"""),2634)</f>
        <v>2634</v>
      </c>
      <c r="E69" s="16">
        <f>IFERROR(__xludf.DUMMYFUNCTION("""COMPUTED_VALUE"""),45840.6458333333)</f>
        <v>45840.6458333333</v>
      </c>
      <c r="F69" s="17">
        <f>IFERROR(__xludf.DUMMYFUNCTION("""COMPUTED_VALUE"""),621409)</f>
        <v>621409</v>
      </c>
      <c r="G69" s="16">
        <f>IFERROR(__xludf.DUMMYFUNCTION("""COMPUTED_VALUE"""),45840.6458333333)</f>
        <v>45840.6458333333</v>
      </c>
      <c r="H69" s="17">
        <f>IFERROR(__xludf.DUMMYFUNCTION("""COMPUTED_VALUE"""),2646)</f>
        <v>2646</v>
      </c>
      <c r="I69" s="16">
        <f>IFERROR(__xludf.DUMMYFUNCTION("""COMPUTED_VALUE"""),45840.6458333333)</f>
        <v>45840.6458333333</v>
      </c>
      <c r="J69" s="17">
        <f>IFERROR(__xludf.DUMMYFUNCTION("""COMPUTED_VALUE"""),2613.6)</f>
        <v>2613.6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IFERROR(__xludf.DUMMYFUNCTION("""COMPUTED_VALUE"""),2611.2)</f>
        <v>2611.2</v>
      </c>
      <c r="C70" s="16">
        <f>IFERROR(__xludf.DUMMYFUNCTION("""COMPUTED_VALUE"""),45841.6458333333)</f>
        <v>45841.6458333333</v>
      </c>
      <c r="D70" s="17">
        <f>IFERROR(__xludf.DUMMYFUNCTION("""COMPUTED_VALUE"""),2634)</f>
        <v>2634</v>
      </c>
      <c r="E70" s="16">
        <f>IFERROR(__xludf.DUMMYFUNCTION("""COMPUTED_VALUE"""),45841.6458333333)</f>
        <v>45841.6458333333</v>
      </c>
      <c r="F70" s="17">
        <f>IFERROR(__xludf.DUMMYFUNCTION("""COMPUTED_VALUE"""),502724)</f>
        <v>502724</v>
      </c>
      <c r="G70" s="16">
        <f>IFERROR(__xludf.DUMMYFUNCTION("""COMPUTED_VALUE"""),45841.6458333333)</f>
        <v>45841.6458333333</v>
      </c>
      <c r="H70" s="17">
        <f>IFERROR(__xludf.DUMMYFUNCTION("""COMPUTED_VALUE"""),2644)</f>
        <v>2644</v>
      </c>
      <c r="I70" s="16">
        <f>IFERROR(__xludf.DUMMYFUNCTION("""COMPUTED_VALUE"""),45841.6458333333)</f>
        <v>45841.6458333333</v>
      </c>
      <c r="J70" s="17">
        <f>IFERROR(__xludf.DUMMYFUNCTION("""COMPUTED_VALUE"""),2605.1)</f>
        <v>2605.1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IFERROR(__xludf.DUMMYFUNCTION("""COMPUTED_VALUE"""),2599.1)</f>
        <v>2599.1</v>
      </c>
      <c r="C71" s="16">
        <f>IFERROR(__xludf.DUMMYFUNCTION("""COMPUTED_VALUE"""),45842.6458333333)</f>
        <v>45842.6458333333</v>
      </c>
      <c r="D71" s="17">
        <f>IFERROR(__xludf.DUMMYFUNCTION("""COMPUTED_VALUE"""),2617)</f>
        <v>2617</v>
      </c>
      <c r="E71" s="16">
        <f>IFERROR(__xludf.DUMMYFUNCTION("""COMPUTED_VALUE"""),45842.6458333333)</f>
        <v>45842.6458333333</v>
      </c>
      <c r="F71" s="17">
        <f>IFERROR(__xludf.DUMMYFUNCTION("""COMPUTED_VALUE"""),370305)</f>
        <v>370305</v>
      </c>
      <c r="G71" s="16">
        <f>IFERROR(__xludf.DUMMYFUNCTION("""COMPUTED_VALUE"""),45842.6458333333)</f>
        <v>45842.6458333333</v>
      </c>
      <c r="H71" s="17">
        <f>IFERROR(__xludf.DUMMYFUNCTION("""COMPUTED_VALUE"""),2617)</f>
        <v>2617</v>
      </c>
      <c r="I71" s="16">
        <f>IFERROR(__xludf.DUMMYFUNCTION("""COMPUTED_VALUE"""),45842.6458333333)</f>
        <v>45842.6458333333</v>
      </c>
      <c r="J71" s="17">
        <f>IFERROR(__xludf.DUMMYFUNCTION("""COMPUTED_VALUE"""),2582.2)</f>
        <v>2582.2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IFERROR(__xludf.DUMMYFUNCTION("""COMPUTED_VALUE"""),2576.1)</f>
        <v>2576.1</v>
      </c>
      <c r="C72" s="16">
        <f>IFERROR(__xludf.DUMMYFUNCTION("""COMPUTED_VALUE"""),45845.6458333333)</f>
        <v>45845.6458333333</v>
      </c>
      <c r="D72" s="17">
        <f>IFERROR(__xludf.DUMMYFUNCTION("""COMPUTED_VALUE"""),2602)</f>
        <v>2602</v>
      </c>
      <c r="E72" s="16">
        <f>IFERROR(__xludf.DUMMYFUNCTION("""COMPUTED_VALUE"""),45845.6458333333)</f>
        <v>45845.6458333333</v>
      </c>
      <c r="F72" s="17">
        <f>IFERROR(__xludf.DUMMYFUNCTION("""COMPUTED_VALUE"""),412159)</f>
        <v>412159</v>
      </c>
      <c r="G72" s="16">
        <f>IFERROR(__xludf.DUMMYFUNCTION("""COMPUTED_VALUE"""),45845.6458333333)</f>
        <v>45845.6458333333</v>
      </c>
      <c r="H72" s="17">
        <f>IFERROR(__xludf.DUMMYFUNCTION("""COMPUTED_VALUE"""),2605.4)</f>
        <v>2605.4</v>
      </c>
      <c r="I72" s="16">
        <f>IFERROR(__xludf.DUMMYFUNCTION("""COMPUTED_VALUE"""),45845.6458333333)</f>
        <v>45845.6458333333</v>
      </c>
      <c r="J72" s="17">
        <f>IFERROR(__xludf.DUMMYFUNCTION("""COMPUTED_VALUE"""),2572)</f>
        <v>2572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IFERROR(__xludf.DUMMYFUNCTION("""COMPUTED_VALUE"""),2591.3)</f>
        <v>2591.3</v>
      </c>
      <c r="C73" s="16">
        <f>IFERROR(__xludf.DUMMYFUNCTION("""COMPUTED_VALUE"""),45846.6458333333)</f>
        <v>45846.6458333333</v>
      </c>
      <c r="D73" s="17">
        <f>IFERROR(__xludf.DUMMYFUNCTION("""COMPUTED_VALUE"""),2586)</f>
        <v>2586</v>
      </c>
      <c r="E73" s="16">
        <f>IFERROR(__xludf.DUMMYFUNCTION("""COMPUTED_VALUE"""),45846.6458333333)</f>
        <v>45846.6458333333</v>
      </c>
      <c r="F73" s="17">
        <f>IFERROR(__xludf.DUMMYFUNCTION("""COMPUTED_VALUE"""),357701)</f>
        <v>357701</v>
      </c>
      <c r="G73" s="16">
        <f>IFERROR(__xludf.DUMMYFUNCTION("""COMPUTED_VALUE"""),45846.6458333333)</f>
        <v>45846.6458333333</v>
      </c>
      <c r="H73" s="17">
        <f>IFERROR(__xludf.DUMMYFUNCTION("""COMPUTED_VALUE"""),2600)</f>
        <v>2600</v>
      </c>
      <c r="I73" s="16">
        <f>IFERROR(__xludf.DUMMYFUNCTION("""COMPUTED_VALUE"""),45846.6458333333)</f>
        <v>45846.6458333333</v>
      </c>
      <c r="J73" s="17">
        <f>IFERROR(__xludf.DUMMYFUNCTION("""COMPUTED_VALUE"""),2573)</f>
        <v>2573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IFERROR(__xludf.DUMMYFUNCTION("""COMPUTED_VALUE"""),2583)</f>
        <v>2583</v>
      </c>
      <c r="C74" s="16">
        <f>IFERROR(__xludf.DUMMYFUNCTION("""COMPUTED_VALUE"""),45847.6458333333)</f>
        <v>45847.6458333333</v>
      </c>
      <c r="D74" s="17">
        <f>IFERROR(__xludf.DUMMYFUNCTION("""COMPUTED_VALUE"""),2599)</f>
        <v>2599</v>
      </c>
      <c r="E74" s="16">
        <f>IFERROR(__xludf.DUMMYFUNCTION("""COMPUTED_VALUE"""),45847.6458333333)</f>
        <v>45847.6458333333</v>
      </c>
      <c r="F74" s="17">
        <f>IFERROR(__xludf.DUMMYFUNCTION("""COMPUTED_VALUE"""),396880)</f>
        <v>396880</v>
      </c>
      <c r="G74" s="16">
        <f>IFERROR(__xludf.DUMMYFUNCTION("""COMPUTED_VALUE"""),45847.6458333333)</f>
        <v>45847.6458333333</v>
      </c>
      <c r="H74" s="17">
        <f>IFERROR(__xludf.DUMMYFUNCTION("""COMPUTED_VALUE"""),2609.9)</f>
        <v>2609.9</v>
      </c>
      <c r="I74" s="16">
        <f>IFERROR(__xludf.DUMMYFUNCTION("""COMPUTED_VALUE"""),45847.6458333333)</f>
        <v>45847.6458333333</v>
      </c>
      <c r="J74" s="17">
        <f>IFERROR(__xludf.DUMMYFUNCTION("""COMPUTED_VALUE"""),2570)</f>
        <v>2570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IFERROR(__xludf.DUMMYFUNCTION("""COMPUTED_VALUE"""),2581)</f>
        <v>2581</v>
      </c>
      <c r="C75" s="16">
        <f>IFERROR(__xludf.DUMMYFUNCTION("""COMPUTED_VALUE"""),45848.6458333333)</f>
        <v>45848.6458333333</v>
      </c>
      <c r="D75" s="17">
        <f>IFERROR(__xludf.DUMMYFUNCTION("""COMPUTED_VALUE"""),2591)</f>
        <v>2591</v>
      </c>
      <c r="E75" s="16">
        <f>IFERROR(__xludf.DUMMYFUNCTION("""COMPUTED_VALUE"""),45848.6458333333)</f>
        <v>45848.6458333333</v>
      </c>
      <c r="F75" s="17">
        <f>IFERROR(__xludf.DUMMYFUNCTION("""COMPUTED_VALUE"""),306565)</f>
        <v>306565</v>
      </c>
      <c r="G75" s="16">
        <f>IFERROR(__xludf.DUMMYFUNCTION("""COMPUTED_VALUE"""),45848.6458333333)</f>
        <v>45848.6458333333</v>
      </c>
      <c r="H75" s="17">
        <f>IFERROR(__xludf.DUMMYFUNCTION("""COMPUTED_VALUE"""),2604)</f>
        <v>2604</v>
      </c>
      <c r="I75" s="16">
        <f>IFERROR(__xludf.DUMMYFUNCTION("""COMPUTED_VALUE"""),45848.6458333333)</f>
        <v>45848.6458333333</v>
      </c>
      <c r="J75" s="17">
        <f>IFERROR(__xludf.DUMMYFUNCTION("""COMPUTED_VALUE"""),2575)</f>
        <v>2575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IFERROR(__xludf.DUMMYFUNCTION("""COMPUTED_VALUE"""),2558.7)</f>
        <v>2558.7</v>
      </c>
      <c r="C76" s="16">
        <f>IFERROR(__xludf.DUMMYFUNCTION("""COMPUTED_VALUE"""),45849.6458333333)</f>
        <v>45849.6458333333</v>
      </c>
      <c r="D76" s="17">
        <f>IFERROR(__xludf.DUMMYFUNCTION("""COMPUTED_VALUE"""),2575)</f>
        <v>2575</v>
      </c>
      <c r="E76" s="16">
        <f>IFERROR(__xludf.DUMMYFUNCTION("""COMPUTED_VALUE"""),45849.6458333333)</f>
        <v>45849.6458333333</v>
      </c>
      <c r="F76" s="17">
        <f>IFERROR(__xludf.DUMMYFUNCTION("""COMPUTED_VALUE"""),390645)</f>
        <v>390645</v>
      </c>
      <c r="G76" s="16">
        <f>IFERROR(__xludf.DUMMYFUNCTION("""COMPUTED_VALUE"""),45849.6458333333)</f>
        <v>45849.6458333333</v>
      </c>
      <c r="H76" s="17">
        <f>IFERROR(__xludf.DUMMYFUNCTION("""COMPUTED_VALUE"""),2591.9)</f>
        <v>2591.9</v>
      </c>
      <c r="I76" s="16">
        <f>IFERROR(__xludf.DUMMYFUNCTION("""COMPUTED_VALUE"""),45849.6458333333)</f>
        <v>45849.6458333333</v>
      </c>
      <c r="J76" s="17">
        <f>IFERROR(__xludf.DUMMYFUNCTION("""COMPUTED_VALUE"""),2551.9)</f>
        <v>2551.9</v>
      </c>
      <c r="K76" s="3">
        <f t="shared" si="2"/>
        <v>0</v>
      </c>
      <c r="L76" s="3">
        <f t="shared" si="3"/>
        <v>2558.7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IFERROR(__xludf.DUMMYFUNCTION("""COMPUTED_VALUE"""),2581.3)</f>
        <v>2581.3</v>
      </c>
      <c r="C77" s="16">
        <f>IFERROR(__xludf.DUMMYFUNCTION("""COMPUTED_VALUE"""),45852.6458333333)</f>
        <v>45852.6458333333</v>
      </c>
      <c r="D77" s="17">
        <f>IFERROR(__xludf.DUMMYFUNCTION("""COMPUTED_VALUE"""),2555)</f>
        <v>2555</v>
      </c>
      <c r="E77" s="16">
        <f>IFERROR(__xludf.DUMMYFUNCTION("""COMPUTED_VALUE"""),45852.6458333333)</f>
        <v>45852.6458333333</v>
      </c>
      <c r="F77" s="17">
        <f>IFERROR(__xludf.DUMMYFUNCTION("""COMPUTED_VALUE"""),536585)</f>
        <v>536585</v>
      </c>
      <c r="G77" s="16">
        <f>IFERROR(__xludf.DUMMYFUNCTION("""COMPUTED_VALUE"""),45852.6458333333)</f>
        <v>45852.6458333333</v>
      </c>
      <c r="H77" s="17">
        <f>IFERROR(__xludf.DUMMYFUNCTION("""COMPUTED_VALUE"""),2604.8)</f>
        <v>2604.8</v>
      </c>
      <c r="I77" s="16">
        <f>IFERROR(__xludf.DUMMYFUNCTION("""COMPUTED_VALUE"""),45852.6458333333)</f>
        <v>45852.6458333333</v>
      </c>
      <c r="J77" s="17">
        <f>IFERROR(__xludf.DUMMYFUNCTION("""COMPUTED_VALUE"""),2543.5)</f>
        <v>2543.5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IFERROR(__xludf.DUMMYFUNCTION("""COMPUTED_VALUE"""),2598.2)</f>
        <v>2598.2</v>
      </c>
      <c r="C78" s="16">
        <f>IFERROR(__xludf.DUMMYFUNCTION("""COMPUTED_VALUE"""),45853.6458333333)</f>
        <v>45853.6458333333</v>
      </c>
      <c r="D78" s="17">
        <f>IFERROR(__xludf.DUMMYFUNCTION("""COMPUTED_VALUE"""),2588)</f>
        <v>2588</v>
      </c>
      <c r="E78" s="16">
        <f>IFERROR(__xludf.DUMMYFUNCTION("""COMPUTED_VALUE"""),45853.6458333333)</f>
        <v>45853.6458333333</v>
      </c>
      <c r="F78" s="17">
        <f>IFERROR(__xludf.DUMMYFUNCTION("""COMPUTED_VALUE"""),379425)</f>
        <v>379425</v>
      </c>
      <c r="G78" s="16">
        <f>IFERROR(__xludf.DUMMYFUNCTION("""COMPUTED_VALUE"""),45853.6458333333)</f>
        <v>45853.6458333333</v>
      </c>
      <c r="H78" s="17">
        <f>IFERROR(__xludf.DUMMYFUNCTION("""COMPUTED_VALUE"""),2606.9)</f>
        <v>2606.9</v>
      </c>
      <c r="I78" s="16">
        <f>IFERROR(__xludf.DUMMYFUNCTION("""COMPUTED_VALUE"""),45853.6458333333)</f>
        <v>45853.6458333333</v>
      </c>
      <c r="J78" s="17">
        <f>IFERROR(__xludf.DUMMYFUNCTION("""COMPUTED_VALUE"""),2576)</f>
        <v>2576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IFERROR(__xludf.DUMMYFUNCTION("""COMPUTED_VALUE"""),2608.5)</f>
        <v>2608.5</v>
      </c>
      <c r="C79" s="16">
        <f>IFERROR(__xludf.DUMMYFUNCTION("""COMPUTED_VALUE"""),45854.6458333333)</f>
        <v>45854.6458333333</v>
      </c>
      <c r="D79" s="17">
        <f>IFERROR(__xludf.DUMMYFUNCTION("""COMPUTED_VALUE"""),2602.5)</f>
        <v>2602.5</v>
      </c>
      <c r="E79" s="16">
        <f>IFERROR(__xludf.DUMMYFUNCTION("""COMPUTED_VALUE"""),45854.6458333333)</f>
        <v>45854.6458333333</v>
      </c>
      <c r="F79" s="17">
        <f>IFERROR(__xludf.DUMMYFUNCTION("""COMPUTED_VALUE"""),686644)</f>
        <v>686644</v>
      </c>
      <c r="G79" s="16">
        <f>IFERROR(__xludf.DUMMYFUNCTION("""COMPUTED_VALUE"""),45854.6458333333)</f>
        <v>45854.6458333333</v>
      </c>
      <c r="H79" s="17">
        <f>IFERROR(__xludf.DUMMYFUNCTION("""COMPUTED_VALUE"""),2619.5)</f>
        <v>2619.5</v>
      </c>
      <c r="I79" s="16">
        <f>IFERROR(__xludf.DUMMYFUNCTION("""COMPUTED_VALUE"""),45854.6458333333)</f>
        <v>45854.6458333333</v>
      </c>
      <c r="J79" s="17">
        <f>IFERROR(__xludf.DUMMYFUNCTION("""COMPUTED_VALUE"""),2595.5)</f>
        <v>2595.5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IFERROR(__xludf.DUMMYFUNCTION("""COMPUTED_VALUE"""),2616.6)</f>
        <v>2616.6</v>
      </c>
      <c r="C80" s="16">
        <f>IFERROR(__xludf.DUMMYFUNCTION("""COMPUTED_VALUE"""),45855.6458333333)</f>
        <v>45855.6458333333</v>
      </c>
      <c r="D80" s="17">
        <f>IFERROR(__xludf.DUMMYFUNCTION("""COMPUTED_VALUE"""),2612)</f>
        <v>2612</v>
      </c>
      <c r="E80" s="16">
        <f>IFERROR(__xludf.DUMMYFUNCTION("""COMPUTED_VALUE"""),45855.6458333333)</f>
        <v>45855.6458333333</v>
      </c>
      <c r="F80" s="17">
        <f>IFERROR(__xludf.DUMMYFUNCTION("""COMPUTED_VALUE"""),785771)</f>
        <v>785771</v>
      </c>
      <c r="G80" s="16">
        <f>IFERROR(__xludf.DUMMYFUNCTION("""COMPUTED_VALUE"""),45855.6458333333)</f>
        <v>45855.6458333333</v>
      </c>
      <c r="H80" s="17">
        <f>IFERROR(__xludf.DUMMYFUNCTION("""COMPUTED_VALUE"""),2654.5)</f>
        <v>2654.5</v>
      </c>
      <c r="I80" s="16">
        <f>IFERROR(__xludf.DUMMYFUNCTION("""COMPUTED_VALUE"""),45855.6458333333)</f>
        <v>45855.6458333333</v>
      </c>
      <c r="J80" s="17">
        <f>IFERROR(__xludf.DUMMYFUNCTION("""COMPUTED_VALUE"""),2605.3)</f>
        <v>2605.3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IFERROR(__xludf.DUMMYFUNCTION("""COMPUTED_VALUE"""),2596.1)</f>
        <v>2596.1</v>
      </c>
      <c r="C81" s="16">
        <f>IFERROR(__xludf.DUMMYFUNCTION("""COMPUTED_VALUE"""),45856.6458333333)</f>
        <v>45856.6458333333</v>
      </c>
      <c r="D81" s="17">
        <f>IFERROR(__xludf.DUMMYFUNCTION("""COMPUTED_VALUE"""),2612)</f>
        <v>2612</v>
      </c>
      <c r="E81" s="16">
        <f>IFERROR(__xludf.DUMMYFUNCTION("""COMPUTED_VALUE"""),45856.6458333333)</f>
        <v>45856.6458333333</v>
      </c>
      <c r="F81" s="17">
        <f>IFERROR(__xludf.DUMMYFUNCTION("""COMPUTED_VALUE"""),479942)</f>
        <v>479942</v>
      </c>
      <c r="G81" s="16">
        <f>IFERROR(__xludf.DUMMYFUNCTION("""COMPUTED_VALUE"""),45856.6458333333)</f>
        <v>45856.6458333333</v>
      </c>
      <c r="H81" s="17">
        <f>IFERROR(__xludf.DUMMYFUNCTION("""COMPUTED_VALUE"""),2626.7)</f>
        <v>2626.7</v>
      </c>
      <c r="I81" s="16">
        <f>IFERROR(__xludf.DUMMYFUNCTION("""COMPUTED_VALUE"""),45856.6458333333)</f>
        <v>45856.6458333333</v>
      </c>
      <c r="J81" s="17">
        <f>IFERROR(__xludf.DUMMYFUNCTION("""COMPUTED_VALUE"""),2584.2)</f>
        <v>2584.2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IFERROR(__xludf.DUMMYFUNCTION("""COMPUTED_VALUE"""),2619.5)</f>
        <v>2619.5</v>
      </c>
      <c r="C82" s="16">
        <f>IFERROR(__xludf.DUMMYFUNCTION("""COMPUTED_VALUE"""),45859.6458333333)</f>
        <v>45859.6458333333</v>
      </c>
      <c r="D82" s="17">
        <f>IFERROR(__xludf.DUMMYFUNCTION("""COMPUTED_VALUE"""),2596.3)</f>
        <v>2596.3</v>
      </c>
      <c r="E82" s="16">
        <f>IFERROR(__xludf.DUMMYFUNCTION("""COMPUTED_VALUE"""),45859.6458333333)</f>
        <v>45859.6458333333</v>
      </c>
      <c r="F82" s="17">
        <f>IFERROR(__xludf.DUMMYFUNCTION("""COMPUTED_VALUE"""),369782)</f>
        <v>369782</v>
      </c>
      <c r="G82" s="16">
        <f>IFERROR(__xludf.DUMMYFUNCTION("""COMPUTED_VALUE"""),45859.6458333333)</f>
        <v>45859.6458333333</v>
      </c>
      <c r="H82" s="17">
        <f>IFERROR(__xludf.DUMMYFUNCTION("""COMPUTED_VALUE"""),2624.9)</f>
        <v>2624.9</v>
      </c>
      <c r="I82" s="16">
        <f>IFERROR(__xludf.DUMMYFUNCTION("""COMPUTED_VALUE"""),45859.6458333333)</f>
        <v>45859.6458333333</v>
      </c>
      <c r="J82" s="17">
        <f>IFERROR(__xludf.DUMMYFUNCTION("""COMPUTED_VALUE"""),2585)</f>
        <v>2585</v>
      </c>
      <c r="K82" s="3">
        <f t="shared" si="2"/>
        <v>2619.5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IFERROR(__xludf.DUMMYFUNCTION("""COMPUTED_VALUE"""),2587.8)</f>
        <v>2587.8</v>
      </c>
      <c r="C83" s="16">
        <f>IFERROR(__xludf.DUMMYFUNCTION("""COMPUTED_VALUE"""),45860.6458333333)</f>
        <v>45860.6458333333</v>
      </c>
      <c r="D83" s="17">
        <f>IFERROR(__xludf.DUMMYFUNCTION("""COMPUTED_VALUE"""),2626)</f>
        <v>2626</v>
      </c>
      <c r="E83" s="16">
        <f>IFERROR(__xludf.DUMMYFUNCTION("""COMPUTED_VALUE"""),45860.6458333333)</f>
        <v>45860.6458333333</v>
      </c>
      <c r="F83" s="17">
        <f>IFERROR(__xludf.DUMMYFUNCTION("""COMPUTED_VALUE"""),387055)</f>
        <v>387055</v>
      </c>
      <c r="G83" s="16">
        <f>IFERROR(__xludf.DUMMYFUNCTION("""COMPUTED_VALUE"""),45860.6458333333)</f>
        <v>45860.6458333333</v>
      </c>
      <c r="H83" s="17">
        <f>IFERROR(__xludf.DUMMYFUNCTION("""COMPUTED_VALUE"""),2630)</f>
        <v>2630</v>
      </c>
      <c r="I83" s="16">
        <f>IFERROR(__xludf.DUMMYFUNCTION("""COMPUTED_VALUE"""),45860.6458333333)</f>
        <v>45860.6458333333</v>
      </c>
      <c r="J83" s="17">
        <f>IFERROR(__xludf.DUMMYFUNCTION("""COMPUTED_VALUE"""),2581.6)</f>
        <v>2581.6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IFERROR(__xludf.DUMMYFUNCTION("""COMPUTED_VALUE"""),2614.5)</f>
        <v>2614.5</v>
      </c>
      <c r="C84" s="16">
        <f>IFERROR(__xludf.DUMMYFUNCTION("""COMPUTED_VALUE"""),45861.6458333333)</f>
        <v>45861.6458333333</v>
      </c>
      <c r="D84" s="17">
        <f>IFERROR(__xludf.DUMMYFUNCTION("""COMPUTED_VALUE"""),2600.7)</f>
        <v>2600.7</v>
      </c>
      <c r="E84" s="16">
        <f>IFERROR(__xludf.DUMMYFUNCTION("""COMPUTED_VALUE"""),45861.6458333333)</f>
        <v>45861.6458333333</v>
      </c>
      <c r="F84" s="17">
        <f>IFERROR(__xludf.DUMMYFUNCTION("""COMPUTED_VALUE"""),316424)</f>
        <v>316424</v>
      </c>
      <c r="G84" s="16">
        <f>IFERROR(__xludf.DUMMYFUNCTION("""COMPUTED_VALUE"""),45861.6458333333)</f>
        <v>45861.6458333333</v>
      </c>
      <c r="H84" s="17">
        <f>IFERROR(__xludf.DUMMYFUNCTION("""COMPUTED_VALUE"""),2625.9)</f>
        <v>2625.9</v>
      </c>
      <c r="I84" s="16">
        <f>IFERROR(__xludf.DUMMYFUNCTION("""COMPUTED_VALUE"""),45861.6458333333)</f>
        <v>45861.6458333333</v>
      </c>
      <c r="J84" s="17">
        <f>IFERROR(__xludf.DUMMYFUNCTION("""COMPUTED_VALUE"""),2593.5)</f>
        <v>2593.5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IFERROR(__xludf.DUMMYFUNCTION("""COMPUTED_VALUE"""),2608.4)</f>
        <v>2608.4</v>
      </c>
      <c r="C85" s="16">
        <f>IFERROR(__xludf.DUMMYFUNCTION("""COMPUTED_VALUE"""),45862.6458333333)</f>
        <v>45862.6458333333</v>
      </c>
      <c r="D85" s="17">
        <f>IFERROR(__xludf.DUMMYFUNCTION("""COMPUTED_VALUE"""),2615.4)</f>
        <v>2615.4</v>
      </c>
      <c r="E85" s="16">
        <f>IFERROR(__xludf.DUMMYFUNCTION("""COMPUTED_VALUE"""),45862.6458333333)</f>
        <v>45862.6458333333</v>
      </c>
      <c r="F85" s="17">
        <f>IFERROR(__xludf.DUMMYFUNCTION("""COMPUTED_VALUE"""),253782)</f>
        <v>253782</v>
      </c>
      <c r="G85" s="16">
        <f>IFERROR(__xludf.DUMMYFUNCTION("""COMPUTED_VALUE"""),45862.6458333333)</f>
        <v>45862.6458333333</v>
      </c>
      <c r="H85" s="17">
        <f>IFERROR(__xludf.DUMMYFUNCTION("""COMPUTED_VALUE"""),2624.2)</f>
        <v>2624.2</v>
      </c>
      <c r="I85" s="16">
        <f>IFERROR(__xludf.DUMMYFUNCTION("""COMPUTED_VALUE"""),45862.6458333333)</f>
        <v>45862.6458333333</v>
      </c>
      <c r="J85" s="17">
        <f>IFERROR(__xludf.DUMMYFUNCTION("""COMPUTED_VALUE"""),2595)</f>
        <v>2595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IFERROR(__xludf.DUMMYFUNCTION("""COMPUTED_VALUE"""),2550.1)</f>
        <v>2550.1</v>
      </c>
      <c r="C86" s="16">
        <f>IFERROR(__xludf.DUMMYFUNCTION("""COMPUTED_VALUE"""),45863.6458333333)</f>
        <v>45863.6458333333</v>
      </c>
      <c r="D86" s="17">
        <f>IFERROR(__xludf.DUMMYFUNCTION("""COMPUTED_VALUE"""),2605)</f>
        <v>2605</v>
      </c>
      <c r="E86" s="16">
        <f>IFERROR(__xludf.DUMMYFUNCTION("""COMPUTED_VALUE"""),45863.6458333333)</f>
        <v>45863.6458333333</v>
      </c>
      <c r="F86" s="17">
        <f>IFERROR(__xludf.DUMMYFUNCTION("""COMPUTED_VALUE"""),424612)</f>
        <v>424612</v>
      </c>
      <c r="G86" s="16">
        <f>IFERROR(__xludf.DUMMYFUNCTION("""COMPUTED_VALUE"""),45863.6458333333)</f>
        <v>45863.6458333333</v>
      </c>
      <c r="H86" s="17">
        <f>IFERROR(__xludf.DUMMYFUNCTION("""COMPUTED_VALUE"""),2617)</f>
        <v>2617</v>
      </c>
      <c r="I86" s="16">
        <f>IFERROR(__xludf.DUMMYFUNCTION("""COMPUTED_VALUE"""),45863.6458333333)</f>
        <v>45863.6458333333</v>
      </c>
      <c r="J86" s="17">
        <f>IFERROR(__xludf.DUMMYFUNCTION("""COMPUTED_VALUE"""),2544.1)</f>
        <v>2544.1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IFERROR(__xludf.DUMMYFUNCTION("""COMPUTED_VALUE"""),2522.3)</f>
        <v>2522.3</v>
      </c>
      <c r="C87" s="16">
        <f>IFERROR(__xludf.DUMMYFUNCTION("""COMPUTED_VALUE"""),45866.6458333333)</f>
        <v>45866.6458333333</v>
      </c>
      <c r="D87" s="17">
        <f>IFERROR(__xludf.DUMMYFUNCTION("""COMPUTED_VALUE"""),2549)</f>
        <v>2549</v>
      </c>
      <c r="E87" s="16">
        <f>IFERROR(__xludf.DUMMYFUNCTION("""COMPUTED_VALUE"""),45866.6458333333)</f>
        <v>45866.6458333333</v>
      </c>
      <c r="F87" s="17">
        <f>IFERROR(__xludf.DUMMYFUNCTION("""COMPUTED_VALUE"""),428409)</f>
        <v>428409</v>
      </c>
      <c r="G87" s="16">
        <f>IFERROR(__xludf.DUMMYFUNCTION("""COMPUTED_VALUE"""),45866.6458333333)</f>
        <v>45866.6458333333</v>
      </c>
      <c r="H87" s="17">
        <f>IFERROR(__xludf.DUMMYFUNCTION("""COMPUTED_VALUE"""),2585)</f>
        <v>2585</v>
      </c>
      <c r="I87" s="16">
        <f>IFERROR(__xludf.DUMMYFUNCTION("""COMPUTED_VALUE"""),45866.6458333333)</f>
        <v>45866.6458333333</v>
      </c>
      <c r="J87" s="17">
        <f>IFERROR(__xludf.DUMMYFUNCTION("""COMPUTED_VALUE"""),2512.6)</f>
        <v>2512.6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IFERROR(__xludf.DUMMYFUNCTION("""COMPUTED_VALUE"""),2547.9)</f>
        <v>2547.9</v>
      </c>
      <c r="C88" s="16">
        <f>IFERROR(__xludf.DUMMYFUNCTION("""COMPUTED_VALUE"""),45867.6458333333)</f>
        <v>45867.6458333333</v>
      </c>
      <c r="D88" s="17">
        <f>IFERROR(__xludf.DUMMYFUNCTION("""COMPUTED_VALUE"""),2529)</f>
        <v>2529</v>
      </c>
      <c r="E88" s="16">
        <f>IFERROR(__xludf.DUMMYFUNCTION("""COMPUTED_VALUE"""),45867.6458333333)</f>
        <v>45867.6458333333</v>
      </c>
      <c r="F88" s="17">
        <f>IFERROR(__xludf.DUMMYFUNCTION("""COMPUTED_VALUE"""),424781)</f>
        <v>424781</v>
      </c>
      <c r="G88" s="16">
        <f>IFERROR(__xludf.DUMMYFUNCTION("""COMPUTED_VALUE"""),45867.6458333333)</f>
        <v>45867.6458333333</v>
      </c>
      <c r="H88" s="17">
        <f>IFERROR(__xludf.DUMMYFUNCTION("""COMPUTED_VALUE"""),2557.4)</f>
        <v>2557.4</v>
      </c>
      <c r="I88" s="16">
        <f>IFERROR(__xludf.DUMMYFUNCTION("""COMPUTED_VALUE"""),45867.6458333333)</f>
        <v>45867.6458333333</v>
      </c>
      <c r="J88" s="17">
        <f>IFERROR(__xludf.DUMMYFUNCTION("""COMPUTED_VALUE"""),2507.5)</f>
        <v>2507.5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IFERROR(__xludf.DUMMYFUNCTION("""COMPUTED_VALUE"""),2532.9)</f>
        <v>2532.9</v>
      </c>
      <c r="C89" s="16">
        <f>IFERROR(__xludf.DUMMYFUNCTION("""COMPUTED_VALUE"""),45868.6458333333)</f>
        <v>45868.6458333333</v>
      </c>
      <c r="D89" s="17">
        <f>IFERROR(__xludf.DUMMYFUNCTION("""COMPUTED_VALUE"""),2547.9)</f>
        <v>2547.9</v>
      </c>
      <c r="E89" s="16">
        <f>IFERROR(__xludf.DUMMYFUNCTION("""COMPUTED_VALUE"""),45868.6458333333)</f>
        <v>45868.6458333333</v>
      </c>
      <c r="F89" s="17">
        <f>IFERROR(__xludf.DUMMYFUNCTION("""COMPUTED_VALUE"""),262063)</f>
        <v>262063</v>
      </c>
      <c r="G89" s="16">
        <f>IFERROR(__xludf.DUMMYFUNCTION("""COMPUTED_VALUE"""),45868.6458333333)</f>
        <v>45868.6458333333</v>
      </c>
      <c r="H89" s="17">
        <f>IFERROR(__xludf.DUMMYFUNCTION("""COMPUTED_VALUE"""),2552.6)</f>
        <v>2552.6</v>
      </c>
      <c r="I89" s="16">
        <f>IFERROR(__xludf.DUMMYFUNCTION("""COMPUTED_VALUE"""),45868.6458333333)</f>
        <v>45868.6458333333</v>
      </c>
      <c r="J89" s="17">
        <f>IFERROR(__xludf.DUMMYFUNCTION("""COMPUTED_VALUE"""),2525)</f>
        <v>2525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IFERROR(__xludf.DUMMYFUNCTION("""COMPUTED_VALUE"""),2430.7)</f>
        <v>2430.7</v>
      </c>
      <c r="C90" s="16">
        <f>IFERROR(__xludf.DUMMYFUNCTION("""COMPUTED_VALUE"""),45869.6458333333)</f>
        <v>45869.6458333333</v>
      </c>
      <c r="D90" s="17">
        <f>IFERROR(__xludf.DUMMYFUNCTION("""COMPUTED_VALUE"""),2509.9)</f>
        <v>2509.9</v>
      </c>
      <c r="E90" s="16">
        <f>IFERROR(__xludf.DUMMYFUNCTION("""COMPUTED_VALUE"""),45869.6458333333)</f>
        <v>45869.6458333333</v>
      </c>
      <c r="F90" s="17">
        <f>IFERROR(__xludf.DUMMYFUNCTION("""COMPUTED_VALUE"""),1457616)</f>
        <v>1457616</v>
      </c>
      <c r="G90" s="16">
        <f>IFERROR(__xludf.DUMMYFUNCTION("""COMPUTED_VALUE"""),45869.6458333333)</f>
        <v>45869.6458333333</v>
      </c>
      <c r="H90" s="17">
        <f>IFERROR(__xludf.DUMMYFUNCTION("""COMPUTED_VALUE"""),2520)</f>
        <v>2520</v>
      </c>
      <c r="I90" s="16">
        <f>IFERROR(__xludf.DUMMYFUNCTION("""COMPUTED_VALUE"""),45869.6458333333)</f>
        <v>45869.6458333333</v>
      </c>
      <c r="J90" s="17">
        <f>IFERROR(__xludf.DUMMYFUNCTION("""COMPUTED_VALUE"""),2422.6)</f>
        <v>2422.6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IFERROR(__xludf.DUMMYFUNCTION("""COMPUTED_VALUE"""),2350.9)</f>
        <v>2350.9</v>
      </c>
      <c r="C91" s="16">
        <f>IFERROR(__xludf.DUMMYFUNCTION("""COMPUTED_VALUE"""),45870.6458333333)</f>
        <v>45870.6458333333</v>
      </c>
      <c r="D91" s="17">
        <f>IFERROR(__xludf.DUMMYFUNCTION("""COMPUTED_VALUE"""),2425)</f>
        <v>2425</v>
      </c>
      <c r="E91" s="16">
        <f>IFERROR(__xludf.DUMMYFUNCTION("""COMPUTED_VALUE"""),45870.6458333333)</f>
        <v>45870.6458333333</v>
      </c>
      <c r="F91" s="17">
        <f>IFERROR(__xludf.DUMMYFUNCTION("""COMPUTED_VALUE"""),976341)</f>
        <v>976341</v>
      </c>
      <c r="G91" s="16">
        <f>IFERROR(__xludf.DUMMYFUNCTION("""COMPUTED_VALUE"""),45870.6458333333)</f>
        <v>45870.6458333333</v>
      </c>
      <c r="H91" s="17">
        <f>IFERROR(__xludf.DUMMYFUNCTION("""COMPUTED_VALUE"""),2444.9)</f>
        <v>2444.9</v>
      </c>
      <c r="I91" s="16">
        <f>IFERROR(__xludf.DUMMYFUNCTION("""COMPUTED_VALUE"""),45870.6458333333)</f>
        <v>45870.6458333333</v>
      </c>
      <c r="J91" s="17">
        <f>IFERROR(__xludf.DUMMYFUNCTION("""COMPUTED_VALUE"""),2333)</f>
        <v>2333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IFERROR(__xludf.DUMMYFUNCTION("""COMPUTED_VALUE"""),2363.6)</f>
        <v>2363.6</v>
      </c>
      <c r="C92" s="16">
        <f>IFERROR(__xludf.DUMMYFUNCTION("""COMPUTED_VALUE"""),45873.6458333333)</f>
        <v>45873.6458333333</v>
      </c>
      <c r="D92" s="17">
        <f>IFERROR(__xludf.DUMMYFUNCTION("""COMPUTED_VALUE"""),2360)</f>
        <v>2360</v>
      </c>
      <c r="E92" s="16">
        <f>IFERROR(__xludf.DUMMYFUNCTION("""COMPUTED_VALUE"""),45873.6458333333)</f>
        <v>45873.6458333333</v>
      </c>
      <c r="F92" s="17">
        <f>IFERROR(__xludf.DUMMYFUNCTION("""COMPUTED_VALUE"""),576426)</f>
        <v>576426</v>
      </c>
      <c r="G92" s="16">
        <f>IFERROR(__xludf.DUMMYFUNCTION("""COMPUTED_VALUE"""),45873.6458333333)</f>
        <v>45873.6458333333</v>
      </c>
      <c r="H92" s="17">
        <f>IFERROR(__xludf.DUMMYFUNCTION("""COMPUTED_VALUE"""),2374.7)</f>
        <v>2374.7</v>
      </c>
      <c r="I92" s="16">
        <f>IFERROR(__xludf.DUMMYFUNCTION("""COMPUTED_VALUE"""),45873.6458333333)</f>
        <v>45873.6458333333</v>
      </c>
      <c r="J92" s="17">
        <f>IFERROR(__xludf.DUMMYFUNCTION("""COMPUTED_VALUE"""),2338.2)</f>
        <v>2338.2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IFERROR(__xludf.DUMMYFUNCTION("""COMPUTED_VALUE"""),2328.2)</f>
        <v>2328.2</v>
      </c>
      <c r="C93" s="16">
        <f>IFERROR(__xludf.DUMMYFUNCTION("""COMPUTED_VALUE"""),45874.6458333333)</f>
        <v>45874.6458333333</v>
      </c>
      <c r="D93" s="17">
        <f>IFERROR(__xludf.DUMMYFUNCTION("""COMPUTED_VALUE"""),2370)</f>
        <v>2370</v>
      </c>
      <c r="E93" s="16">
        <f>IFERROR(__xludf.DUMMYFUNCTION("""COMPUTED_VALUE"""),45874.6458333333)</f>
        <v>45874.6458333333</v>
      </c>
      <c r="F93" s="17">
        <f>IFERROR(__xludf.DUMMYFUNCTION("""COMPUTED_VALUE"""),576742)</f>
        <v>576742</v>
      </c>
      <c r="G93" s="16">
        <f>IFERROR(__xludf.DUMMYFUNCTION("""COMPUTED_VALUE"""),45874.6458333333)</f>
        <v>45874.6458333333</v>
      </c>
      <c r="H93" s="17">
        <f>IFERROR(__xludf.DUMMYFUNCTION("""COMPUTED_VALUE"""),2370)</f>
        <v>2370</v>
      </c>
      <c r="I93" s="16">
        <f>IFERROR(__xludf.DUMMYFUNCTION("""COMPUTED_VALUE"""),45874.6458333333)</f>
        <v>45874.6458333333</v>
      </c>
      <c r="J93" s="17">
        <f>IFERROR(__xludf.DUMMYFUNCTION("""COMPUTED_VALUE"""),2316)</f>
        <v>2316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IFERROR(__xludf.DUMMYFUNCTION("""COMPUTED_VALUE"""),2300.3)</f>
        <v>2300.3</v>
      </c>
      <c r="C94" s="16">
        <f>IFERROR(__xludf.DUMMYFUNCTION("""COMPUTED_VALUE"""),45875.6458333333)</f>
        <v>45875.6458333333</v>
      </c>
      <c r="D94" s="17">
        <f>IFERROR(__xludf.DUMMYFUNCTION("""COMPUTED_VALUE"""),2333.9)</f>
        <v>2333.9</v>
      </c>
      <c r="E94" s="16">
        <f>IFERROR(__xludf.DUMMYFUNCTION("""COMPUTED_VALUE"""),45875.6458333333)</f>
        <v>45875.6458333333</v>
      </c>
      <c r="F94" s="17">
        <f>IFERROR(__xludf.DUMMYFUNCTION("""COMPUTED_VALUE"""),631582)</f>
        <v>631582</v>
      </c>
      <c r="G94" s="16">
        <f>IFERROR(__xludf.DUMMYFUNCTION("""COMPUTED_VALUE"""),45875.6458333333)</f>
        <v>45875.6458333333</v>
      </c>
      <c r="H94" s="17">
        <f>IFERROR(__xludf.DUMMYFUNCTION("""COMPUTED_VALUE"""),2347.9)</f>
        <v>2347.9</v>
      </c>
      <c r="I94" s="16">
        <f>IFERROR(__xludf.DUMMYFUNCTION("""COMPUTED_VALUE"""),45875.6458333333)</f>
        <v>45875.6458333333</v>
      </c>
      <c r="J94" s="17">
        <f>IFERROR(__xludf.DUMMYFUNCTION("""COMPUTED_VALUE"""),2296)</f>
        <v>2296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IFERROR(__xludf.DUMMYFUNCTION("""COMPUTED_VALUE"""),2249.8)</f>
        <v>2249.8</v>
      </c>
      <c r="C95" s="16">
        <f>IFERROR(__xludf.DUMMYFUNCTION("""COMPUTED_VALUE"""),45876.6458333333)</f>
        <v>45876.6458333333</v>
      </c>
      <c r="D95" s="17">
        <f>IFERROR(__xludf.DUMMYFUNCTION("""COMPUTED_VALUE"""),2290)</f>
        <v>2290</v>
      </c>
      <c r="E95" s="16">
        <f>IFERROR(__xludf.DUMMYFUNCTION("""COMPUTED_VALUE"""),45876.6458333333)</f>
        <v>45876.6458333333</v>
      </c>
      <c r="F95" s="17">
        <f>IFERROR(__xludf.DUMMYFUNCTION("""COMPUTED_VALUE"""),1529410)</f>
        <v>1529410</v>
      </c>
      <c r="G95" s="16">
        <f>IFERROR(__xludf.DUMMYFUNCTION("""COMPUTED_VALUE"""),45876.6458333333)</f>
        <v>45876.6458333333</v>
      </c>
      <c r="H95" s="17">
        <f>IFERROR(__xludf.DUMMYFUNCTION("""COMPUTED_VALUE"""),2295)</f>
        <v>2295</v>
      </c>
      <c r="I95" s="16">
        <f>IFERROR(__xludf.DUMMYFUNCTION("""COMPUTED_VALUE"""),45876.6458333333)</f>
        <v>45876.6458333333</v>
      </c>
      <c r="J95" s="17">
        <f>IFERROR(__xludf.DUMMYFUNCTION("""COMPUTED_VALUE"""),2202.8)</f>
        <v>2202.8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IFERROR(__xludf.DUMMYFUNCTION("""COMPUTED_VALUE"""),2178.1)</f>
        <v>2178.1</v>
      </c>
      <c r="C96" s="16">
        <f>IFERROR(__xludf.DUMMYFUNCTION("""COMPUTED_VALUE"""),45877.6458333333)</f>
        <v>45877.6458333333</v>
      </c>
      <c r="D96" s="17">
        <f>IFERROR(__xludf.DUMMYFUNCTION("""COMPUTED_VALUE"""),2247)</f>
        <v>2247</v>
      </c>
      <c r="E96" s="16">
        <f>IFERROR(__xludf.DUMMYFUNCTION("""COMPUTED_VALUE"""),45877.6458333333)</f>
        <v>45877.6458333333</v>
      </c>
      <c r="F96" s="17">
        <f>IFERROR(__xludf.DUMMYFUNCTION("""COMPUTED_VALUE"""),2552736)</f>
        <v>2552736</v>
      </c>
      <c r="G96" s="16">
        <f>IFERROR(__xludf.DUMMYFUNCTION("""COMPUTED_VALUE"""),45877.6458333333)</f>
        <v>45877.6458333333</v>
      </c>
      <c r="H96" s="17">
        <f>IFERROR(__xludf.DUMMYFUNCTION("""COMPUTED_VALUE"""),2260.9)</f>
        <v>2260.9</v>
      </c>
      <c r="I96" s="16">
        <f>IFERROR(__xludf.DUMMYFUNCTION("""COMPUTED_VALUE"""),45877.6458333333)</f>
        <v>45877.6458333333</v>
      </c>
      <c r="J96" s="17">
        <f>IFERROR(__xludf.DUMMYFUNCTION("""COMPUTED_VALUE"""),2164.8)</f>
        <v>2164.8</v>
      </c>
      <c r="K96" s="3">
        <f t="shared" si="2"/>
        <v>0</v>
      </c>
      <c r="L96" s="3">
        <f t="shared" si="3"/>
        <v>2178.1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IFERROR(__xludf.DUMMYFUNCTION("""COMPUTED_VALUE"""),2283.4)</f>
        <v>2283.4</v>
      </c>
      <c r="C97" s="16">
        <f>IFERROR(__xludf.DUMMYFUNCTION("""COMPUTED_VALUE"""),45880.6458333333)</f>
        <v>45880.6458333333</v>
      </c>
      <c r="D97" s="17">
        <f>IFERROR(__xludf.DUMMYFUNCTION("""COMPUTED_VALUE"""),2196)</f>
        <v>2196</v>
      </c>
      <c r="E97" s="16">
        <f>IFERROR(__xludf.DUMMYFUNCTION("""COMPUTED_VALUE"""),45880.6458333333)</f>
        <v>45880.6458333333</v>
      </c>
      <c r="F97" s="17">
        <f>IFERROR(__xludf.DUMMYFUNCTION("""COMPUTED_VALUE"""),2376286)</f>
        <v>2376286</v>
      </c>
      <c r="G97" s="16">
        <f>IFERROR(__xludf.DUMMYFUNCTION("""COMPUTED_VALUE"""),45880.6458333333)</f>
        <v>45880.6458333333</v>
      </c>
      <c r="H97" s="17">
        <f>IFERROR(__xludf.DUMMYFUNCTION("""COMPUTED_VALUE"""),2302)</f>
        <v>2302</v>
      </c>
      <c r="I97" s="16">
        <f>IFERROR(__xludf.DUMMYFUNCTION("""COMPUTED_VALUE"""),45880.6458333333)</f>
        <v>45880.6458333333</v>
      </c>
      <c r="J97" s="17">
        <f>IFERROR(__xludf.DUMMYFUNCTION("""COMPUTED_VALUE"""),2183)</f>
        <v>2183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IFERROR(__xludf.DUMMYFUNCTION("""COMPUTED_VALUE"""),2288.2)</f>
        <v>2288.2</v>
      </c>
      <c r="C98" s="16">
        <f>IFERROR(__xludf.DUMMYFUNCTION("""COMPUTED_VALUE"""),45881.6458333333)</f>
        <v>45881.6458333333</v>
      </c>
      <c r="D98" s="17">
        <f>IFERROR(__xludf.DUMMYFUNCTION("""COMPUTED_VALUE"""),2280.1)</f>
        <v>2280.1</v>
      </c>
      <c r="E98" s="16">
        <f>IFERROR(__xludf.DUMMYFUNCTION("""COMPUTED_VALUE"""),45881.6458333333)</f>
        <v>45881.6458333333</v>
      </c>
      <c r="F98" s="17">
        <f>IFERROR(__xludf.DUMMYFUNCTION("""COMPUTED_VALUE"""),1075526)</f>
        <v>1075526</v>
      </c>
      <c r="G98" s="16">
        <f>IFERROR(__xludf.DUMMYFUNCTION("""COMPUTED_VALUE"""),45881.6458333333)</f>
        <v>45881.6458333333</v>
      </c>
      <c r="H98" s="17">
        <f>IFERROR(__xludf.DUMMYFUNCTION("""COMPUTED_VALUE"""),2314.7)</f>
        <v>2314.7</v>
      </c>
      <c r="I98" s="16">
        <f>IFERROR(__xludf.DUMMYFUNCTION("""COMPUTED_VALUE"""),45881.6458333333)</f>
        <v>45881.6458333333</v>
      </c>
      <c r="J98" s="17">
        <f>IFERROR(__xludf.DUMMYFUNCTION("""COMPUTED_VALUE"""),2267)</f>
        <v>2267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IFERROR(__xludf.DUMMYFUNCTION("""COMPUTED_VALUE"""),2280.1)</f>
        <v>2280.1</v>
      </c>
      <c r="C99" s="16">
        <f>IFERROR(__xludf.DUMMYFUNCTION("""COMPUTED_VALUE"""),45882.6458333333)</f>
        <v>45882.6458333333</v>
      </c>
      <c r="D99" s="17">
        <f>IFERROR(__xludf.DUMMYFUNCTION("""COMPUTED_VALUE"""),2299)</f>
        <v>2299</v>
      </c>
      <c r="E99" s="16">
        <f>IFERROR(__xludf.DUMMYFUNCTION("""COMPUTED_VALUE"""),45882.6458333333)</f>
        <v>45882.6458333333</v>
      </c>
      <c r="F99" s="17">
        <f>IFERROR(__xludf.DUMMYFUNCTION("""COMPUTED_VALUE"""),833679)</f>
        <v>833679</v>
      </c>
      <c r="G99" s="16">
        <f>IFERROR(__xludf.DUMMYFUNCTION("""COMPUTED_VALUE"""),45882.6458333333)</f>
        <v>45882.6458333333</v>
      </c>
      <c r="H99" s="17">
        <f>IFERROR(__xludf.DUMMYFUNCTION("""COMPUTED_VALUE"""),2314.9)</f>
        <v>2314.9</v>
      </c>
      <c r="I99" s="16">
        <f>IFERROR(__xludf.DUMMYFUNCTION("""COMPUTED_VALUE"""),45882.6458333333)</f>
        <v>45882.6458333333</v>
      </c>
      <c r="J99" s="17">
        <f>IFERROR(__xludf.DUMMYFUNCTION("""COMPUTED_VALUE"""),2245.4)</f>
        <v>2245.4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IFERROR(__xludf.DUMMYFUNCTION("""COMPUTED_VALUE"""),2281.6)</f>
        <v>2281.6</v>
      </c>
      <c r="C100" s="16">
        <f>IFERROR(__xludf.DUMMYFUNCTION("""COMPUTED_VALUE"""),45883.6458333333)</f>
        <v>45883.6458333333</v>
      </c>
      <c r="D100" s="17">
        <f>IFERROR(__xludf.DUMMYFUNCTION("""COMPUTED_VALUE"""),2288)</f>
        <v>2288</v>
      </c>
      <c r="E100" s="16">
        <f>IFERROR(__xludf.DUMMYFUNCTION("""COMPUTED_VALUE"""),45883.6458333333)</f>
        <v>45883.6458333333</v>
      </c>
      <c r="F100" s="17">
        <f>IFERROR(__xludf.DUMMYFUNCTION("""COMPUTED_VALUE"""),998109)</f>
        <v>998109</v>
      </c>
      <c r="G100" s="16">
        <f>IFERROR(__xludf.DUMMYFUNCTION("""COMPUTED_VALUE"""),45883.6458333333)</f>
        <v>45883.6458333333</v>
      </c>
      <c r="H100" s="17">
        <f>IFERROR(__xludf.DUMMYFUNCTION("""COMPUTED_VALUE"""),2304)</f>
        <v>2304</v>
      </c>
      <c r="I100" s="16">
        <f>IFERROR(__xludf.DUMMYFUNCTION("""COMPUTED_VALUE"""),45883.6458333333)</f>
        <v>45883.6458333333</v>
      </c>
      <c r="J100" s="17">
        <f>IFERROR(__xludf.DUMMYFUNCTION("""COMPUTED_VALUE"""),2267.7)</f>
        <v>2267.7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IFERROR(__xludf.DUMMYFUNCTION("""COMPUTED_VALUE"""),2333.6)</f>
        <v>2333.6</v>
      </c>
      <c r="C101" s="16">
        <f>IFERROR(__xludf.DUMMYFUNCTION("""COMPUTED_VALUE"""),45887.6458333333)</f>
        <v>45887.6458333333</v>
      </c>
      <c r="D101" s="17">
        <f>IFERROR(__xludf.DUMMYFUNCTION("""COMPUTED_VALUE"""),2309.6)</f>
        <v>2309.6</v>
      </c>
      <c r="E101" s="16">
        <f>IFERROR(__xludf.DUMMYFUNCTION("""COMPUTED_VALUE"""),45887.6458333333)</f>
        <v>45887.6458333333</v>
      </c>
      <c r="F101" s="17">
        <f>IFERROR(__xludf.DUMMYFUNCTION("""COMPUTED_VALUE"""),988629)</f>
        <v>988629</v>
      </c>
      <c r="G101" s="16">
        <f>IFERROR(__xludf.DUMMYFUNCTION("""COMPUTED_VALUE"""),45887.6458333333)</f>
        <v>45887.6458333333</v>
      </c>
      <c r="H101" s="17">
        <f>IFERROR(__xludf.DUMMYFUNCTION("""COMPUTED_VALUE"""),2360)</f>
        <v>2360</v>
      </c>
      <c r="I101" s="16">
        <f>IFERROR(__xludf.DUMMYFUNCTION("""COMPUTED_VALUE"""),45887.6458333333)</f>
        <v>45887.6458333333</v>
      </c>
      <c r="J101" s="17">
        <f>IFERROR(__xludf.DUMMYFUNCTION("""COMPUTED_VALUE"""),2300)</f>
        <v>2300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IFERROR(__xludf.DUMMYFUNCTION("""COMPUTED_VALUE"""),2388.4)</f>
        <v>2388.4</v>
      </c>
      <c r="C102" s="16">
        <f>IFERROR(__xludf.DUMMYFUNCTION("""COMPUTED_VALUE"""),45888.6458333333)</f>
        <v>45888.6458333333</v>
      </c>
      <c r="D102" s="17">
        <f>IFERROR(__xludf.DUMMYFUNCTION("""COMPUTED_VALUE"""),2339.9)</f>
        <v>2339.9</v>
      </c>
      <c r="E102" s="16">
        <f>IFERROR(__xludf.DUMMYFUNCTION("""COMPUTED_VALUE"""),45888.6458333333)</f>
        <v>45888.6458333333</v>
      </c>
      <c r="F102" s="17">
        <f>IFERROR(__xludf.DUMMYFUNCTION("""COMPUTED_VALUE"""),1069432)</f>
        <v>1069432</v>
      </c>
      <c r="G102" s="16">
        <f>IFERROR(__xludf.DUMMYFUNCTION("""COMPUTED_VALUE"""),45888.6458333333)</f>
        <v>45888.6458333333</v>
      </c>
      <c r="H102" s="17">
        <f>IFERROR(__xludf.DUMMYFUNCTION("""COMPUTED_VALUE"""),2395.6)</f>
        <v>2395.6</v>
      </c>
      <c r="I102" s="16">
        <f>IFERROR(__xludf.DUMMYFUNCTION("""COMPUTED_VALUE"""),45888.6458333333)</f>
        <v>45888.6458333333</v>
      </c>
      <c r="J102" s="17">
        <f>IFERROR(__xludf.DUMMYFUNCTION("""COMPUTED_VALUE"""),2314.1)</f>
        <v>2314.1</v>
      </c>
      <c r="K102" s="3">
        <f t="shared" si="2"/>
        <v>2388.4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IFERROR(__xludf.DUMMYFUNCTION("""COMPUTED_VALUE"""),2387.1)</f>
        <v>2387.1</v>
      </c>
      <c r="C103" s="16">
        <f>IFERROR(__xludf.DUMMYFUNCTION("""COMPUTED_VALUE"""),45889.6458333333)</f>
        <v>45889.6458333333</v>
      </c>
      <c r="D103" s="17">
        <f>IFERROR(__xludf.DUMMYFUNCTION("""COMPUTED_VALUE"""),2380)</f>
        <v>2380</v>
      </c>
      <c r="E103" s="16">
        <f>IFERROR(__xludf.DUMMYFUNCTION("""COMPUTED_VALUE"""),45889.6458333333)</f>
        <v>45889.6458333333</v>
      </c>
      <c r="F103" s="17">
        <f>IFERROR(__xludf.DUMMYFUNCTION("""COMPUTED_VALUE"""),780025)</f>
        <v>780025</v>
      </c>
      <c r="G103" s="16">
        <f>IFERROR(__xludf.DUMMYFUNCTION("""COMPUTED_VALUE"""),45889.6458333333)</f>
        <v>45889.6458333333</v>
      </c>
      <c r="H103" s="17">
        <f>IFERROR(__xludf.DUMMYFUNCTION("""COMPUTED_VALUE"""),2406)</f>
        <v>2406</v>
      </c>
      <c r="I103" s="16">
        <f>IFERROR(__xludf.DUMMYFUNCTION("""COMPUTED_VALUE"""),45889.6458333333)</f>
        <v>45889.6458333333</v>
      </c>
      <c r="J103" s="17">
        <f>IFERROR(__xludf.DUMMYFUNCTION("""COMPUTED_VALUE"""),2372.1)</f>
        <v>2372.1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IFERROR(__xludf.DUMMYFUNCTION("""COMPUTED_VALUE"""),2377.2)</f>
        <v>2377.2</v>
      </c>
      <c r="C104" s="16">
        <f>IFERROR(__xludf.DUMMYFUNCTION("""COMPUTED_VALUE"""),45890.6458333333)</f>
        <v>45890.6458333333</v>
      </c>
      <c r="D104" s="17">
        <f>IFERROR(__xludf.DUMMYFUNCTION("""COMPUTED_VALUE"""),2387.1)</f>
        <v>2387.1</v>
      </c>
      <c r="E104" s="16">
        <f>IFERROR(__xludf.DUMMYFUNCTION("""COMPUTED_VALUE"""),45890.6458333333)</f>
        <v>45890.6458333333</v>
      </c>
      <c r="F104" s="17">
        <f>IFERROR(__xludf.DUMMYFUNCTION("""COMPUTED_VALUE"""),441867)</f>
        <v>441867</v>
      </c>
      <c r="G104" s="16">
        <f>IFERROR(__xludf.DUMMYFUNCTION("""COMPUTED_VALUE"""),45890.6458333333)</f>
        <v>45890.6458333333</v>
      </c>
      <c r="H104" s="17">
        <f>IFERROR(__xludf.DUMMYFUNCTION("""COMPUTED_VALUE"""),2397)</f>
        <v>2397</v>
      </c>
      <c r="I104" s="16">
        <f>IFERROR(__xludf.DUMMYFUNCTION("""COMPUTED_VALUE"""),45890.6458333333)</f>
        <v>45890.6458333333</v>
      </c>
      <c r="J104" s="17">
        <f>IFERROR(__xludf.DUMMYFUNCTION("""COMPUTED_VALUE"""),2371.4)</f>
        <v>2371.4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IFERROR(__xludf.DUMMYFUNCTION("""COMPUTED_VALUE"""),2324.9)</f>
        <v>2324.9</v>
      </c>
      <c r="C105" s="16">
        <f>IFERROR(__xludf.DUMMYFUNCTION("""COMPUTED_VALUE"""),45891.6458333333)</f>
        <v>45891.6458333333</v>
      </c>
      <c r="D105" s="17">
        <f>IFERROR(__xludf.DUMMYFUNCTION("""COMPUTED_VALUE"""),2369.9)</f>
        <v>2369.9</v>
      </c>
      <c r="E105" s="16">
        <f>IFERROR(__xludf.DUMMYFUNCTION("""COMPUTED_VALUE"""),45891.6458333333)</f>
        <v>45891.6458333333</v>
      </c>
      <c r="F105" s="17">
        <f>IFERROR(__xludf.DUMMYFUNCTION("""COMPUTED_VALUE"""),584211)</f>
        <v>584211</v>
      </c>
      <c r="G105" s="16">
        <f>IFERROR(__xludf.DUMMYFUNCTION("""COMPUTED_VALUE"""),45891.6458333333)</f>
        <v>45891.6458333333</v>
      </c>
      <c r="H105" s="17">
        <f>IFERROR(__xludf.DUMMYFUNCTION("""COMPUTED_VALUE"""),2376.3)</f>
        <v>2376.3</v>
      </c>
      <c r="I105" s="16">
        <f>IFERROR(__xludf.DUMMYFUNCTION("""COMPUTED_VALUE"""),45891.6458333333)</f>
        <v>45891.6458333333</v>
      </c>
      <c r="J105" s="17">
        <f>IFERROR(__xludf.DUMMYFUNCTION("""COMPUTED_VALUE"""),2321)</f>
        <v>2321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IFERROR(__xludf.DUMMYFUNCTION("""COMPUTED_VALUE"""),2302.9)</f>
        <v>2302.9</v>
      </c>
      <c r="C106" s="16">
        <f>IFERROR(__xludf.DUMMYFUNCTION("""COMPUTED_VALUE"""),45894.6458333333)</f>
        <v>45894.6458333333</v>
      </c>
      <c r="D106" s="17">
        <f>IFERROR(__xludf.DUMMYFUNCTION("""COMPUTED_VALUE"""),2335.7)</f>
        <v>2335.7</v>
      </c>
      <c r="E106" s="16">
        <f>IFERROR(__xludf.DUMMYFUNCTION("""COMPUTED_VALUE"""),45894.6458333333)</f>
        <v>45894.6458333333</v>
      </c>
      <c r="F106" s="17">
        <f>IFERROR(__xludf.DUMMYFUNCTION("""COMPUTED_VALUE"""),542455)</f>
        <v>542455</v>
      </c>
      <c r="G106" s="16">
        <f>IFERROR(__xludf.DUMMYFUNCTION("""COMPUTED_VALUE"""),45894.6458333333)</f>
        <v>45894.6458333333</v>
      </c>
      <c r="H106" s="17">
        <f>IFERROR(__xludf.DUMMYFUNCTION("""COMPUTED_VALUE"""),2348.4)</f>
        <v>2348.4</v>
      </c>
      <c r="I106" s="16">
        <f>IFERROR(__xludf.DUMMYFUNCTION("""COMPUTED_VALUE"""),45894.6458333333)</f>
        <v>45894.6458333333</v>
      </c>
      <c r="J106" s="17">
        <f>IFERROR(__xludf.DUMMYFUNCTION("""COMPUTED_VALUE"""),2300)</f>
        <v>2300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IFERROR(__xludf.DUMMYFUNCTION("""COMPUTED_VALUE"""),2272)</f>
        <v>2272</v>
      </c>
      <c r="C107" s="16">
        <f>IFERROR(__xludf.DUMMYFUNCTION("""COMPUTED_VALUE"""),45895.6458333333)</f>
        <v>45895.6458333333</v>
      </c>
      <c r="D107" s="17">
        <f>IFERROR(__xludf.DUMMYFUNCTION("""COMPUTED_VALUE"""),2304)</f>
        <v>2304</v>
      </c>
      <c r="E107" s="16">
        <f>IFERROR(__xludf.DUMMYFUNCTION("""COMPUTED_VALUE"""),45895.6458333333)</f>
        <v>45895.6458333333</v>
      </c>
      <c r="F107" s="17">
        <f>IFERROR(__xludf.DUMMYFUNCTION("""COMPUTED_VALUE"""),1071550)</f>
        <v>1071550</v>
      </c>
      <c r="G107" s="16">
        <f>IFERROR(__xludf.DUMMYFUNCTION("""COMPUTED_VALUE"""),45895.6458333333)</f>
        <v>45895.6458333333</v>
      </c>
      <c r="H107" s="17">
        <f>IFERROR(__xludf.DUMMYFUNCTION("""COMPUTED_VALUE"""),2309.3)</f>
        <v>2309.3</v>
      </c>
      <c r="I107" s="16">
        <f>IFERROR(__xludf.DUMMYFUNCTION("""COMPUTED_VALUE"""),45895.6458333333)</f>
        <v>45895.6458333333</v>
      </c>
      <c r="J107" s="17">
        <f>IFERROR(__xludf.DUMMYFUNCTION("""COMPUTED_VALUE"""),2249.4)</f>
        <v>2249.4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IFERROR(__xludf.DUMMYFUNCTION("""COMPUTED_VALUE"""),2275.2)</f>
        <v>2275.2</v>
      </c>
      <c r="C108" s="16">
        <f>IFERROR(__xludf.DUMMYFUNCTION("""COMPUTED_VALUE"""),45897.6458333333)</f>
        <v>45897.6458333333</v>
      </c>
      <c r="D108" s="17">
        <f>IFERROR(__xludf.DUMMYFUNCTION("""COMPUTED_VALUE"""),2271.9)</f>
        <v>2271.9</v>
      </c>
      <c r="E108" s="16">
        <f>IFERROR(__xludf.DUMMYFUNCTION("""COMPUTED_VALUE"""),45897.6458333333)</f>
        <v>45897.6458333333</v>
      </c>
      <c r="F108" s="17">
        <f>IFERROR(__xludf.DUMMYFUNCTION("""COMPUTED_VALUE"""),907868)</f>
        <v>907868</v>
      </c>
      <c r="G108" s="16">
        <f>IFERROR(__xludf.DUMMYFUNCTION("""COMPUTED_VALUE"""),45897.6458333333)</f>
        <v>45897.6458333333</v>
      </c>
      <c r="H108" s="17">
        <f>IFERROR(__xludf.DUMMYFUNCTION("""COMPUTED_VALUE"""),2327.9)</f>
        <v>2327.9</v>
      </c>
      <c r="I108" s="16">
        <f>IFERROR(__xludf.DUMMYFUNCTION("""COMPUTED_VALUE"""),45897.6458333333)</f>
        <v>45897.6458333333</v>
      </c>
      <c r="J108" s="17">
        <f>IFERROR(__xludf.DUMMYFUNCTION("""COMPUTED_VALUE"""),2255)</f>
        <v>2255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IFERROR(__xludf.DUMMYFUNCTION("""COMPUTED_VALUE"""),2244.7)</f>
        <v>2244.7</v>
      </c>
      <c r="C109" s="16">
        <f>IFERROR(__xludf.DUMMYFUNCTION("""COMPUTED_VALUE"""),45898.6458333333)</f>
        <v>45898.6458333333</v>
      </c>
      <c r="D109" s="17">
        <f>IFERROR(__xludf.DUMMYFUNCTION("""COMPUTED_VALUE"""),2283)</f>
        <v>2283</v>
      </c>
      <c r="E109" s="16">
        <f>IFERROR(__xludf.DUMMYFUNCTION("""COMPUTED_VALUE"""),45898.6458333333)</f>
        <v>45898.6458333333</v>
      </c>
      <c r="F109" s="17">
        <f>IFERROR(__xludf.DUMMYFUNCTION("""COMPUTED_VALUE"""),795699)</f>
        <v>795699</v>
      </c>
      <c r="G109" s="16">
        <f>IFERROR(__xludf.DUMMYFUNCTION("""COMPUTED_VALUE"""),45898.6458333333)</f>
        <v>45898.6458333333</v>
      </c>
      <c r="H109" s="17">
        <f>IFERROR(__xludf.DUMMYFUNCTION("""COMPUTED_VALUE"""),2289.7)</f>
        <v>2289.7</v>
      </c>
      <c r="I109" s="16">
        <f>IFERROR(__xludf.DUMMYFUNCTION("""COMPUTED_VALUE"""),45898.6458333333)</f>
        <v>45898.6458333333</v>
      </c>
      <c r="J109" s="17">
        <f>IFERROR(__xludf.DUMMYFUNCTION("""COMPUTED_VALUE"""),2240)</f>
        <v>2240</v>
      </c>
      <c r="K109" s="3">
        <f t="shared" si="2"/>
        <v>0</v>
      </c>
      <c r="L109" s="3">
        <f t="shared" si="3"/>
        <v>2244.7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IFERROR(__xludf.DUMMYFUNCTION("""COMPUTED_VALUE"""),2284.2)</f>
        <v>2284.2</v>
      </c>
      <c r="C110" s="16">
        <f>IFERROR(__xludf.DUMMYFUNCTION("""COMPUTED_VALUE"""),45901.6458333333)</f>
        <v>45901.6458333333</v>
      </c>
      <c r="D110" s="17">
        <f>IFERROR(__xludf.DUMMYFUNCTION("""COMPUTED_VALUE"""),2259)</f>
        <v>2259</v>
      </c>
      <c r="E110" s="16">
        <f>IFERROR(__xludf.DUMMYFUNCTION("""COMPUTED_VALUE"""),45901.6458333333)</f>
        <v>45901.6458333333</v>
      </c>
      <c r="F110" s="17">
        <f>IFERROR(__xludf.DUMMYFUNCTION("""COMPUTED_VALUE"""),425639)</f>
        <v>425639</v>
      </c>
      <c r="G110" s="16">
        <f>IFERROR(__xludf.DUMMYFUNCTION("""COMPUTED_VALUE"""),45901.6458333333)</f>
        <v>45901.6458333333</v>
      </c>
      <c r="H110" s="17">
        <f>IFERROR(__xludf.DUMMYFUNCTION("""COMPUTED_VALUE"""),2288)</f>
        <v>2288</v>
      </c>
      <c r="I110" s="16">
        <f>IFERROR(__xludf.DUMMYFUNCTION("""COMPUTED_VALUE"""),45901.6458333333)</f>
        <v>45901.6458333333</v>
      </c>
      <c r="J110" s="17">
        <f>IFERROR(__xludf.DUMMYFUNCTION("""COMPUTED_VALUE"""),2252.1)</f>
        <v>2252.1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IFERROR(__xludf.DUMMYFUNCTION("""COMPUTED_VALUE"""),2274.2)</f>
        <v>2274.2</v>
      </c>
      <c r="C111" s="16">
        <f>IFERROR(__xludf.DUMMYFUNCTION("""COMPUTED_VALUE"""),45902.6458333333)</f>
        <v>45902.6458333333</v>
      </c>
      <c r="D111" s="17">
        <f>IFERROR(__xludf.DUMMYFUNCTION("""COMPUTED_VALUE"""),2291)</f>
        <v>2291</v>
      </c>
      <c r="E111" s="16">
        <f>IFERROR(__xludf.DUMMYFUNCTION("""COMPUTED_VALUE"""),45902.6458333333)</f>
        <v>45902.6458333333</v>
      </c>
      <c r="F111" s="17">
        <f>IFERROR(__xludf.DUMMYFUNCTION("""COMPUTED_VALUE"""),481894)</f>
        <v>481894</v>
      </c>
      <c r="G111" s="16">
        <f>IFERROR(__xludf.DUMMYFUNCTION("""COMPUTED_VALUE"""),45902.6458333333)</f>
        <v>45902.6458333333</v>
      </c>
      <c r="H111" s="17">
        <f>IFERROR(__xludf.DUMMYFUNCTION("""COMPUTED_VALUE"""),2302)</f>
        <v>2302</v>
      </c>
      <c r="I111" s="16">
        <f>IFERROR(__xludf.DUMMYFUNCTION("""COMPUTED_VALUE"""),45902.6458333333)</f>
        <v>45902.6458333333</v>
      </c>
      <c r="J111" s="17">
        <f>IFERROR(__xludf.DUMMYFUNCTION("""COMPUTED_VALUE"""),2264)</f>
        <v>2264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IFERROR(__xludf.DUMMYFUNCTION("""COMPUTED_VALUE"""),2288.7)</f>
        <v>2288.7</v>
      </c>
      <c r="C112" s="16">
        <f>IFERROR(__xludf.DUMMYFUNCTION("""COMPUTED_VALUE"""),45903.6458333333)</f>
        <v>45903.6458333333</v>
      </c>
      <c r="D112" s="17">
        <f>IFERROR(__xludf.DUMMYFUNCTION("""COMPUTED_VALUE"""),2285)</f>
        <v>2285</v>
      </c>
      <c r="E112" s="16">
        <f>IFERROR(__xludf.DUMMYFUNCTION("""COMPUTED_VALUE"""),45903.6458333333)</f>
        <v>45903.6458333333</v>
      </c>
      <c r="F112" s="17">
        <f>IFERROR(__xludf.DUMMYFUNCTION("""COMPUTED_VALUE"""),443629)</f>
        <v>443629</v>
      </c>
      <c r="G112" s="16">
        <f>IFERROR(__xludf.DUMMYFUNCTION("""COMPUTED_VALUE"""),45903.6458333333)</f>
        <v>45903.6458333333</v>
      </c>
      <c r="H112" s="17">
        <f>IFERROR(__xludf.DUMMYFUNCTION("""COMPUTED_VALUE"""),2293)</f>
        <v>2293</v>
      </c>
      <c r="I112" s="16">
        <f>IFERROR(__xludf.DUMMYFUNCTION("""COMPUTED_VALUE"""),45903.6458333333)</f>
        <v>45903.6458333333</v>
      </c>
      <c r="J112" s="17">
        <f>IFERROR(__xludf.DUMMYFUNCTION("""COMPUTED_VALUE"""),2263.1)</f>
        <v>2263.1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IFERROR(__xludf.DUMMYFUNCTION("""COMPUTED_VALUE"""),2278.8)</f>
        <v>2278.8</v>
      </c>
      <c r="C113" s="16">
        <f>IFERROR(__xludf.DUMMYFUNCTION("""COMPUTED_VALUE"""),45904.6458333333)</f>
        <v>45904.6458333333</v>
      </c>
      <c r="D113" s="17">
        <f>IFERROR(__xludf.DUMMYFUNCTION("""COMPUTED_VALUE"""),2309.9)</f>
        <v>2309.9</v>
      </c>
      <c r="E113" s="16">
        <f>IFERROR(__xludf.DUMMYFUNCTION("""COMPUTED_VALUE"""),45904.6458333333)</f>
        <v>45904.6458333333</v>
      </c>
      <c r="F113" s="17">
        <f>IFERROR(__xludf.DUMMYFUNCTION("""COMPUTED_VALUE"""),392697)</f>
        <v>392697</v>
      </c>
      <c r="G113" s="16">
        <f>IFERROR(__xludf.DUMMYFUNCTION("""COMPUTED_VALUE"""),45904.6458333333)</f>
        <v>45904.6458333333</v>
      </c>
      <c r="H113" s="17">
        <f>IFERROR(__xludf.DUMMYFUNCTION("""COMPUTED_VALUE"""),2317.3)</f>
        <v>2317.3</v>
      </c>
      <c r="I113" s="16">
        <f>IFERROR(__xludf.DUMMYFUNCTION("""COMPUTED_VALUE"""),45904.6458333333)</f>
        <v>45904.6458333333</v>
      </c>
      <c r="J113" s="17">
        <f>IFERROR(__xludf.DUMMYFUNCTION("""COMPUTED_VALUE"""),2275)</f>
        <v>2275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IFERROR(__xludf.DUMMYFUNCTION("""COMPUTED_VALUE"""),2281.4)</f>
        <v>2281.4</v>
      </c>
      <c r="C114" s="16">
        <f>IFERROR(__xludf.DUMMYFUNCTION("""COMPUTED_VALUE"""),45905.6458333333)</f>
        <v>45905.6458333333</v>
      </c>
      <c r="D114" s="17">
        <f>IFERROR(__xludf.DUMMYFUNCTION("""COMPUTED_VALUE"""),2275)</f>
        <v>2275</v>
      </c>
      <c r="E114" s="16">
        <f>IFERROR(__xludf.DUMMYFUNCTION("""COMPUTED_VALUE"""),45905.6458333333)</f>
        <v>45905.6458333333</v>
      </c>
      <c r="F114" s="17">
        <f>IFERROR(__xludf.DUMMYFUNCTION("""COMPUTED_VALUE"""),443010)</f>
        <v>443010</v>
      </c>
      <c r="G114" s="16">
        <f>IFERROR(__xludf.DUMMYFUNCTION("""COMPUTED_VALUE"""),45905.6458333333)</f>
        <v>45905.6458333333</v>
      </c>
      <c r="H114" s="17">
        <f>IFERROR(__xludf.DUMMYFUNCTION("""COMPUTED_VALUE"""),2293.5)</f>
        <v>2293.5</v>
      </c>
      <c r="I114" s="16">
        <f>IFERROR(__xludf.DUMMYFUNCTION("""COMPUTED_VALUE"""),45905.6458333333)</f>
        <v>45905.6458333333</v>
      </c>
      <c r="J114" s="17">
        <f>IFERROR(__xludf.DUMMYFUNCTION("""COMPUTED_VALUE"""),2248)</f>
        <v>2248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IFERROR(__xludf.DUMMYFUNCTION("""COMPUTED_VALUE"""),2310.9)</f>
        <v>2310.9</v>
      </c>
      <c r="C115" s="16">
        <f>IFERROR(__xludf.DUMMYFUNCTION("""COMPUTED_VALUE"""),45908.6458333333)</f>
        <v>45908.6458333333</v>
      </c>
      <c r="D115" s="17">
        <f>IFERROR(__xludf.DUMMYFUNCTION("""COMPUTED_VALUE"""),2290)</f>
        <v>2290</v>
      </c>
      <c r="E115" s="16">
        <f>IFERROR(__xludf.DUMMYFUNCTION("""COMPUTED_VALUE"""),45908.6458333333)</f>
        <v>45908.6458333333</v>
      </c>
      <c r="F115" s="17">
        <f>IFERROR(__xludf.DUMMYFUNCTION("""COMPUTED_VALUE"""),542811)</f>
        <v>542811</v>
      </c>
      <c r="G115" s="16">
        <f>IFERROR(__xludf.DUMMYFUNCTION("""COMPUTED_VALUE"""),45908.6458333333)</f>
        <v>45908.6458333333</v>
      </c>
      <c r="H115" s="17">
        <f>IFERROR(__xludf.DUMMYFUNCTION("""COMPUTED_VALUE"""),2333.9)</f>
        <v>2333.9</v>
      </c>
      <c r="I115" s="16">
        <f>IFERROR(__xludf.DUMMYFUNCTION("""COMPUTED_VALUE"""),45908.6458333333)</f>
        <v>45908.6458333333</v>
      </c>
      <c r="J115" s="17">
        <f>IFERROR(__xludf.DUMMYFUNCTION("""COMPUTED_VALUE"""),2286)</f>
        <v>2286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IFERROR(__xludf.DUMMYFUNCTION("""COMPUTED_VALUE"""),2311.6)</f>
        <v>2311.6</v>
      </c>
      <c r="C116" s="16">
        <f>IFERROR(__xludf.DUMMYFUNCTION("""COMPUTED_VALUE"""),45909.6458333333)</f>
        <v>45909.6458333333</v>
      </c>
      <c r="D116" s="17">
        <f>IFERROR(__xludf.DUMMYFUNCTION("""COMPUTED_VALUE"""),2320)</f>
        <v>2320</v>
      </c>
      <c r="E116" s="16">
        <f>IFERROR(__xludf.DUMMYFUNCTION("""COMPUTED_VALUE"""),45909.6458333333)</f>
        <v>45909.6458333333</v>
      </c>
      <c r="F116" s="17">
        <f>IFERROR(__xludf.DUMMYFUNCTION("""COMPUTED_VALUE"""),369431)</f>
        <v>369431</v>
      </c>
      <c r="G116" s="16">
        <f>IFERROR(__xludf.DUMMYFUNCTION("""COMPUTED_VALUE"""),45909.6458333333)</f>
        <v>45909.6458333333</v>
      </c>
      <c r="H116" s="17">
        <f>IFERROR(__xludf.DUMMYFUNCTION("""COMPUTED_VALUE"""),2325)</f>
        <v>2325</v>
      </c>
      <c r="I116" s="16">
        <f>IFERROR(__xludf.DUMMYFUNCTION("""COMPUTED_VALUE"""),45909.6458333333)</f>
        <v>45909.6458333333</v>
      </c>
      <c r="J116" s="17">
        <f>IFERROR(__xludf.DUMMYFUNCTION("""COMPUTED_VALUE"""),2297)</f>
        <v>2297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IFERROR(__xludf.DUMMYFUNCTION("""COMPUTED_VALUE"""),2340.2)</f>
        <v>2340.2</v>
      </c>
      <c r="C117" s="16">
        <f>IFERROR(__xludf.DUMMYFUNCTION("""COMPUTED_VALUE"""),45910.6458333333)</f>
        <v>45910.6458333333</v>
      </c>
      <c r="D117" s="17">
        <f>IFERROR(__xludf.DUMMYFUNCTION("""COMPUTED_VALUE"""),2330)</f>
        <v>2330</v>
      </c>
      <c r="E117" s="16">
        <f>IFERROR(__xludf.DUMMYFUNCTION("""COMPUTED_VALUE"""),45910.6458333333)</f>
        <v>45910.6458333333</v>
      </c>
      <c r="F117" s="17">
        <f>IFERROR(__xludf.DUMMYFUNCTION("""COMPUTED_VALUE"""),390490)</f>
        <v>390490</v>
      </c>
      <c r="G117" s="16">
        <f>IFERROR(__xludf.DUMMYFUNCTION("""COMPUTED_VALUE"""),45910.6458333333)</f>
        <v>45910.6458333333</v>
      </c>
      <c r="H117" s="17">
        <f>IFERROR(__xludf.DUMMYFUNCTION("""COMPUTED_VALUE"""),2345.9)</f>
        <v>2345.9</v>
      </c>
      <c r="I117" s="16">
        <f>IFERROR(__xludf.DUMMYFUNCTION("""COMPUTED_VALUE"""),45910.6458333333)</f>
        <v>45910.6458333333</v>
      </c>
      <c r="J117" s="17">
        <f>IFERROR(__xludf.DUMMYFUNCTION("""COMPUTED_VALUE"""),2325.1)</f>
        <v>2325.1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IFERROR(__xludf.DUMMYFUNCTION("""COMPUTED_VALUE"""),2398.8)</f>
        <v>2398.8</v>
      </c>
      <c r="C118" s="16">
        <f>IFERROR(__xludf.DUMMYFUNCTION("""COMPUTED_VALUE"""),45911.6458333333)</f>
        <v>45911.6458333333</v>
      </c>
      <c r="D118" s="17">
        <f>IFERROR(__xludf.DUMMYFUNCTION("""COMPUTED_VALUE"""),2348)</f>
        <v>2348</v>
      </c>
      <c r="E118" s="16">
        <f>IFERROR(__xludf.DUMMYFUNCTION("""COMPUTED_VALUE"""),45911.6458333333)</f>
        <v>45911.6458333333</v>
      </c>
      <c r="F118" s="17">
        <f>IFERROR(__xludf.DUMMYFUNCTION("""COMPUTED_VALUE"""),2111888)</f>
        <v>2111888</v>
      </c>
      <c r="G118" s="16">
        <f>IFERROR(__xludf.DUMMYFUNCTION("""COMPUTED_VALUE"""),45911.6458333333)</f>
        <v>45911.6458333333</v>
      </c>
      <c r="H118" s="17">
        <f>IFERROR(__xludf.DUMMYFUNCTION("""COMPUTED_VALUE"""),2418.7)</f>
        <v>2418.7</v>
      </c>
      <c r="I118" s="16">
        <f>IFERROR(__xludf.DUMMYFUNCTION("""COMPUTED_VALUE"""),45911.6458333333)</f>
        <v>45911.6458333333</v>
      </c>
      <c r="J118" s="17">
        <f>IFERROR(__xludf.DUMMYFUNCTION("""COMPUTED_VALUE"""),2340.2)</f>
        <v>2340.2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IFERROR(__xludf.DUMMYFUNCTION("""COMPUTED_VALUE"""),2392)</f>
        <v>2392</v>
      </c>
      <c r="C119" s="16">
        <f>IFERROR(__xludf.DUMMYFUNCTION("""COMPUTED_VALUE"""),45912.6458333333)</f>
        <v>45912.6458333333</v>
      </c>
      <c r="D119" s="17">
        <f>IFERROR(__xludf.DUMMYFUNCTION("""COMPUTED_VALUE"""),2416.9)</f>
        <v>2416.9</v>
      </c>
      <c r="E119" s="16">
        <f>IFERROR(__xludf.DUMMYFUNCTION("""COMPUTED_VALUE"""),45912.6458333333)</f>
        <v>45912.6458333333</v>
      </c>
      <c r="F119" s="17">
        <f>IFERROR(__xludf.DUMMYFUNCTION("""COMPUTED_VALUE"""),533971)</f>
        <v>533971</v>
      </c>
      <c r="G119" s="16">
        <f>IFERROR(__xludf.DUMMYFUNCTION("""COMPUTED_VALUE"""),45912.6458333333)</f>
        <v>45912.6458333333</v>
      </c>
      <c r="H119" s="17">
        <f>IFERROR(__xludf.DUMMYFUNCTION("""COMPUTED_VALUE"""),2421.6)</f>
        <v>2421.6</v>
      </c>
      <c r="I119" s="16">
        <f>IFERROR(__xludf.DUMMYFUNCTION("""COMPUTED_VALUE"""),45912.6458333333)</f>
        <v>45912.6458333333</v>
      </c>
      <c r="J119" s="17">
        <f>IFERROR(__xludf.DUMMYFUNCTION("""COMPUTED_VALUE"""),2387.1)</f>
        <v>2387.1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IFERROR(__xludf.DUMMYFUNCTION("""COMPUTED_VALUE"""),2383.4)</f>
        <v>2383.4</v>
      </c>
      <c r="C120" s="16">
        <f>IFERROR(__xludf.DUMMYFUNCTION("""COMPUTED_VALUE"""),45915.6458333333)</f>
        <v>45915.6458333333</v>
      </c>
      <c r="D120" s="17">
        <f>IFERROR(__xludf.DUMMYFUNCTION("""COMPUTED_VALUE"""),2392)</f>
        <v>2392</v>
      </c>
      <c r="E120" s="16">
        <f>IFERROR(__xludf.DUMMYFUNCTION("""COMPUTED_VALUE"""),45915.6458333333)</f>
        <v>45915.6458333333</v>
      </c>
      <c r="F120" s="17">
        <f>IFERROR(__xludf.DUMMYFUNCTION("""COMPUTED_VALUE"""),298129)</f>
        <v>298129</v>
      </c>
      <c r="G120" s="16">
        <f>IFERROR(__xludf.DUMMYFUNCTION("""COMPUTED_VALUE"""),45915.6458333333)</f>
        <v>45915.6458333333</v>
      </c>
      <c r="H120" s="17">
        <f>IFERROR(__xludf.DUMMYFUNCTION("""COMPUTED_VALUE"""),2402.8)</f>
        <v>2402.8</v>
      </c>
      <c r="I120" s="16">
        <f>IFERROR(__xludf.DUMMYFUNCTION("""COMPUTED_VALUE"""),45915.6458333333)</f>
        <v>45915.6458333333</v>
      </c>
      <c r="J120" s="17">
        <f>IFERROR(__xludf.DUMMYFUNCTION("""COMPUTED_VALUE"""),2378.1)</f>
        <v>2378.1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IFERROR(__xludf.DUMMYFUNCTION("""COMPUTED_VALUE"""),2399.4)</f>
        <v>2399.4</v>
      </c>
      <c r="C121" s="16">
        <f>IFERROR(__xludf.DUMMYFUNCTION("""COMPUTED_VALUE"""),45916.6458333333)</f>
        <v>45916.6458333333</v>
      </c>
      <c r="D121" s="17">
        <f>IFERROR(__xludf.DUMMYFUNCTION("""COMPUTED_VALUE"""),2410)</f>
        <v>2410</v>
      </c>
      <c r="E121" s="16">
        <f>IFERROR(__xludf.DUMMYFUNCTION("""COMPUTED_VALUE"""),45916.6458333333)</f>
        <v>45916.6458333333</v>
      </c>
      <c r="F121" s="17">
        <f>IFERROR(__xludf.DUMMYFUNCTION("""COMPUTED_VALUE"""),752979)</f>
        <v>752979</v>
      </c>
      <c r="G121" s="16">
        <f>IFERROR(__xludf.DUMMYFUNCTION("""COMPUTED_VALUE"""),45916.6458333333)</f>
        <v>45916.6458333333</v>
      </c>
      <c r="H121" s="17">
        <f>IFERROR(__xludf.DUMMYFUNCTION("""COMPUTED_VALUE"""),2415.8)</f>
        <v>2415.8</v>
      </c>
      <c r="I121" s="16">
        <f>IFERROR(__xludf.DUMMYFUNCTION("""COMPUTED_VALUE"""),45916.6458333333)</f>
        <v>45916.6458333333</v>
      </c>
      <c r="J121" s="17">
        <f>IFERROR(__xludf.DUMMYFUNCTION("""COMPUTED_VALUE"""),2388)</f>
        <v>2388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IFERROR(__xludf.DUMMYFUNCTION("""COMPUTED_VALUE"""),2402)</f>
        <v>2402</v>
      </c>
      <c r="C122" s="16">
        <f>IFERROR(__xludf.DUMMYFUNCTION("""COMPUTED_VALUE"""),45917.6458333333)</f>
        <v>45917.6458333333</v>
      </c>
      <c r="D122" s="17">
        <f>IFERROR(__xludf.DUMMYFUNCTION("""COMPUTED_VALUE"""),2417)</f>
        <v>2417</v>
      </c>
      <c r="E122" s="16">
        <f>IFERROR(__xludf.DUMMYFUNCTION("""COMPUTED_VALUE"""),45917.6458333333)</f>
        <v>45917.6458333333</v>
      </c>
      <c r="F122" s="17">
        <f>IFERROR(__xludf.DUMMYFUNCTION("""COMPUTED_VALUE"""),514354)</f>
        <v>514354</v>
      </c>
      <c r="G122" s="16">
        <f>IFERROR(__xludf.DUMMYFUNCTION("""COMPUTED_VALUE"""),45917.6458333333)</f>
        <v>45917.6458333333</v>
      </c>
      <c r="H122" s="17">
        <f>IFERROR(__xludf.DUMMYFUNCTION("""COMPUTED_VALUE"""),2417)</f>
        <v>2417</v>
      </c>
      <c r="I122" s="16">
        <f>IFERROR(__xludf.DUMMYFUNCTION("""COMPUTED_VALUE"""),45917.6458333333)</f>
        <v>45917.6458333333</v>
      </c>
      <c r="J122" s="17">
        <f>IFERROR(__xludf.DUMMYFUNCTION("""COMPUTED_VALUE"""),2391)</f>
        <v>2391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IFERROR(__xludf.DUMMYFUNCTION("""COMPUTED_VALUE"""),2402)</f>
        <v>2402</v>
      </c>
      <c r="C123" s="16">
        <f>IFERROR(__xludf.DUMMYFUNCTION("""COMPUTED_VALUE"""),45918.6458333333)</f>
        <v>45918.6458333333</v>
      </c>
      <c r="D123" s="17">
        <f>IFERROR(__xludf.DUMMYFUNCTION("""COMPUTED_VALUE"""),2414.5)</f>
        <v>2414.5</v>
      </c>
      <c r="E123" s="16">
        <f>IFERROR(__xludf.DUMMYFUNCTION("""COMPUTED_VALUE"""),45918.6458333333)</f>
        <v>45918.6458333333</v>
      </c>
      <c r="F123" s="17">
        <f>IFERROR(__xludf.DUMMYFUNCTION("""COMPUTED_VALUE"""),703730)</f>
        <v>703730</v>
      </c>
      <c r="G123" s="16">
        <f>IFERROR(__xludf.DUMMYFUNCTION("""COMPUTED_VALUE"""),45918.6458333333)</f>
        <v>45918.6458333333</v>
      </c>
      <c r="H123" s="17">
        <f>IFERROR(__xludf.DUMMYFUNCTION("""COMPUTED_VALUE"""),2438)</f>
        <v>2438</v>
      </c>
      <c r="I123" s="16">
        <f>IFERROR(__xludf.DUMMYFUNCTION("""COMPUTED_VALUE"""),45918.6458333333)</f>
        <v>45918.6458333333</v>
      </c>
      <c r="J123" s="17">
        <f>IFERROR(__xludf.DUMMYFUNCTION("""COMPUTED_VALUE"""),2388.4)</f>
        <v>2388.4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IFERROR(__xludf.DUMMYFUNCTION("""COMPUTED_VALUE"""),2524)</f>
        <v>2524</v>
      </c>
      <c r="C124" s="16">
        <f>IFERROR(__xludf.DUMMYFUNCTION("""COMPUTED_VALUE"""),45919.6458333333)</f>
        <v>45919.6458333333</v>
      </c>
      <c r="D124" s="17">
        <f>IFERROR(__xludf.DUMMYFUNCTION("""COMPUTED_VALUE"""),2495)</f>
        <v>2495</v>
      </c>
      <c r="E124" s="16">
        <f>IFERROR(__xludf.DUMMYFUNCTION("""COMPUTED_VALUE"""),45919.6458333333)</f>
        <v>45919.6458333333</v>
      </c>
      <c r="F124" s="17">
        <f>IFERROR(__xludf.DUMMYFUNCTION("""COMPUTED_VALUE"""),7965135)</f>
        <v>7965135</v>
      </c>
      <c r="G124" s="16">
        <f>IFERROR(__xludf.DUMMYFUNCTION("""COMPUTED_VALUE"""),45919.6458333333)</f>
        <v>45919.6458333333</v>
      </c>
      <c r="H124" s="17">
        <f>IFERROR(__xludf.DUMMYFUNCTION("""COMPUTED_VALUE"""),2579)</f>
        <v>2579</v>
      </c>
      <c r="I124" s="16">
        <f>IFERROR(__xludf.DUMMYFUNCTION("""COMPUTED_VALUE"""),45919.6458333333)</f>
        <v>45919.6458333333</v>
      </c>
      <c r="J124" s="17">
        <f>IFERROR(__xludf.DUMMYFUNCTION("""COMPUTED_VALUE"""),2466.1)</f>
        <v>2466.1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IFERROR(__xludf.DUMMYFUNCTION("""COMPUTED_VALUE"""),2629.5)</f>
        <v>2629.5</v>
      </c>
      <c r="C125" s="16">
        <f>IFERROR(__xludf.DUMMYFUNCTION("""COMPUTED_VALUE"""),45922.6458333333)</f>
        <v>45922.6458333333</v>
      </c>
      <c r="D125" s="17">
        <f>IFERROR(__xludf.DUMMYFUNCTION("""COMPUTED_VALUE"""),2535)</f>
        <v>2535</v>
      </c>
      <c r="E125" s="16">
        <f>IFERROR(__xludf.DUMMYFUNCTION("""COMPUTED_VALUE"""),45922.6458333333)</f>
        <v>45922.6458333333</v>
      </c>
      <c r="F125" s="17">
        <f>IFERROR(__xludf.DUMMYFUNCTION("""COMPUTED_VALUE"""),7022985)</f>
        <v>7022985</v>
      </c>
      <c r="G125" s="16">
        <f>IFERROR(__xludf.DUMMYFUNCTION("""COMPUTED_VALUE"""),45922.6458333333)</f>
        <v>45922.6458333333</v>
      </c>
      <c r="H125" s="17">
        <f>IFERROR(__xludf.DUMMYFUNCTION("""COMPUTED_VALUE"""),2659)</f>
        <v>2659</v>
      </c>
      <c r="I125" s="16">
        <f>IFERROR(__xludf.DUMMYFUNCTION("""COMPUTED_VALUE"""),45922.6458333333)</f>
        <v>45922.6458333333</v>
      </c>
      <c r="J125" s="17">
        <f>IFERROR(__xludf.DUMMYFUNCTION("""COMPUTED_VALUE"""),2522.1)</f>
        <v>2522.1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IFERROR(__xludf.DUMMYFUNCTION("""COMPUTED_VALUE"""),2676.4)</f>
        <v>2676.4</v>
      </c>
      <c r="C126" s="16">
        <f>IFERROR(__xludf.DUMMYFUNCTION("""COMPUTED_VALUE"""),45923.6458333333)</f>
        <v>45923.6458333333</v>
      </c>
      <c r="D126" s="17">
        <f>IFERROR(__xludf.DUMMYFUNCTION("""COMPUTED_VALUE"""),2642.6)</f>
        <v>2642.6</v>
      </c>
      <c r="E126" s="16">
        <f>IFERROR(__xludf.DUMMYFUNCTION("""COMPUTED_VALUE"""),45923.6458333333)</f>
        <v>45923.6458333333</v>
      </c>
      <c r="F126" s="17">
        <f>IFERROR(__xludf.DUMMYFUNCTION("""COMPUTED_VALUE"""),5610022)</f>
        <v>5610022</v>
      </c>
      <c r="G126" s="16">
        <f>IFERROR(__xludf.DUMMYFUNCTION("""COMPUTED_VALUE"""),45923.6458333333)</f>
        <v>45923.6458333333</v>
      </c>
      <c r="H126" s="17">
        <f>IFERROR(__xludf.DUMMYFUNCTION("""COMPUTED_VALUE"""),2695)</f>
        <v>2695</v>
      </c>
      <c r="I126" s="16">
        <f>IFERROR(__xludf.DUMMYFUNCTION("""COMPUTED_VALUE"""),45923.6458333333)</f>
        <v>45923.6458333333</v>
      </c>
      <c r="J126" s="17">
        <f>IFERROR(__xludf.DUMMYFUNCTION("""COMPUTED_VALUE"""),2593)</f>
        <v>2593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IFERROR(__xludf.DUMMYFUNCTION("""COMPUTED_VALUE"""),2619.8)</f>
        <v>2619.8</v>
      </c>
      <c r="C127" s="16">
        <f>IFERROR(__xludf.DUMMYFUNCTION("""COMPUTED_VALUE"""),45924.6458333333)</f>
        <v>45924.6458333333</v>
      </c>
      <c r="D127" s="17">
        <f>IFERROR(__xludf.DUMMYFUNCTION("""COMPUTED_VALUE"""),2655)</f>
        <v>2655</v>
      </c>
      <c r="E127" s="16">
        <f>IFERROR(__xludf.DUMMYFUNCTION("""COMPUTED_VALUE"""),45924.6458333333)</f>
        <v>45924.6458333333</v>
      </c>
      <c r="F127" s="17">
        <f>IFERROR(__xludf.DUMMYFUNCTION("""COMPUTED_VALUE"""),1720785)</f>
        <v>1720785</v>
      </c>
      <c r="G127" s="16">
        <f>IFERROR(__xludf.DUMMYFUNCTION("""COMPUTED_VALUE"""),45924.6458333333)</f>
        <v>45924.6458333333</v>
      </c>
      <c r="H127" s="17">
        <f>IFERROR(__xludf.DUMMYFUNCTION("""COMPUTED_VALUE"""),2676)</f>
        <v>2676</v>
      </c>
      <c r="I127" s="16">
        <f>IFERROR(__xludf.DUMMYFUNCTION("""COMPUTED_VALUE"""),45924.6458333333)</f>
        <v>45924.6458333333</v>
      </c>
      <c r="J127" s="17">
        <f>IFERROR(__xludf.DUMMYFUNCTION("""COMPUTED_VALUE"""),2614.4)</f>
        <v>2614.4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IFERROR(__xludf.DUMMYFUNCTION("""COMPUTED_VALUE"""),2576.4)</f>
        <v>2576.4</v>
      </c>
      <c r="C128" s="16">
        <f>IFERROR(__xludf.DUMMYFUNCTION("""COMPUTED_VALUE"""),45925.6458333333)</f>
        <v>45925.6458333333</v>
      </c>
      <c r="D128" s="17">
        <f>IFERROR(__xludf.DUMMYFUNCTION("""COMPUTED_VALUE"""),2625)</f>
        <v>2625</v>
      </c>
      <c r="E128" s="16">
        <f>IFERROR(__xludf.DUMMYFUNCTION("""COMPUTED_VALUE"""),45925.6458333333)</f>
        <v>45925.6458333333</v>
      </c>
      <c r="F128" s="17">
        <f>IFERROR(__xludf.DUMMYFUNCTION("""COMPUTED_VALUE"""),1489682)</f>
        <v>1489682</v>
      </c>
      <c r="G128" s="16">
        <f>IFERROR(__xludf.DUMMYFUNCTION("""COMPUTED_VALUE"""),45925.6458333333)</f>
        <v>45925.6458333333</v>
      </c>
      <c r="H128" s="17">
        <f>IFERROR(__xludf.DUMMYFUNCTION("""COMPUTED_VALUE"""),2647.9)</f>
        <v>2647.9</v>
      </c>
      <c r="I128" s="16">
        <f>IFERROR(__xludf.DUMMYFUNCTION("""COMPUTED_VALUE"""),45925.6458333333)</f>
        <v>45925.6458333333</v>
      </c>
      <c r="J128" s="17">
        <f>IFERROR(__xludf.DUMMYFUNCTION("""COMPUTED_VALUE"""),2567)</f>
        <v>2567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IFERROR(__xludf.DUMMYFUNCTION("""COMPUTED_VALUE"""),2543.7)</f>
        <v>2543.7</v>
      </c>
      <c r="C129" s="16">
        <f>IFERROR(__xludf.DUMMYFUNCTION("""COMPUTED_VALUE"""),45926.6458333333)</f>
        <v>45926.6458333333</v>
      </c>
      <c r="D129" s="17">
        <f>IFERROR(__xludf.DUMMYFUNCTION("""COMPUTED_VALUE"""),2572.8)</f>
        <v>2572.8</v>
      </c>
      <c r="E129" s="16">
        <f>IFERROR(__xludf.DUMMYFUNCTION("""COMPUTED_VALUE"""),45926.6458333333)</f>
        <v>45926.6458333333</v>
      </c>
      <c r="F129" s="17">
        <f>IFERROR(__xludf.DUMMYFUNCTION("""COMPUTED_VALUE"""),1037808)</f>
        <v>1037808</v>
      </c>
      <c r="G129" s="16">
        <f>IFERROR(__xludf.DUMMYFUNCTION("""COMPUTED_VALUE"""),45926.6458333333)</f>
        <v>45926.6458333333</v>
      </c>
      <c r="H129" s="17">
        <f>IFERROR(__xludf.DUMMYFUNCTION("""COMPUTED_VALUE"""),2605)</f>
        <v>2605</v>
      </c>
      <c r="I129" s="16">
        <f>IFERROR(__xludf.DUMMYFUNCTION("""COMPUTED_VALUE"""),45926.6458333333)</f>
        <v>45926.6458333333</v>
      </c>
      <c r="J129" s="17">
        <f>IFERROR(__xludf.DUMMYFUNCTION("""COMPUTED_VALUE"""),2535)</f>
        <v>2535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267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""price"")"),2535.6)</f>
        <v>2535.6</v>
      </c>
      <c r="I3" s="22" t="s">
        <v>269</v>
      </c>
      <c r="J3" s="23">
        <f>IFERROR(__xludf.DUMMYFUNCTION("GOOGLEFINANCE(L3, ""volume"")"),1037808)</f>
        <v>1037808</v>
      </c>
      <c r="K3" s="24" t="s">
        <v>270</v>
      </c>
      <c r="L3" s="25" t="str">
        <f>Mastersheet!B3</f>
        <v>ADANIENT</v>
      </c>
      <c r="M3" s="26">
        <f>IFERROR(__xludf.DUMMYFUNCTION("""COMPUTED_VALUE"""),45926.6458333333)</f>
        <v>45926.6458333333</v>
      </c>
      <c r="N3" s="27">
        <f>IFERROR(__xludf.DUMMYFUNCTION("""COMPUTED_VALUE"""),2543.7)</f>
        <v>2543.7</v>
      </c>
      <c r="O3" s="26">
        <f>IFERROR(__xludf.DUMMYFUNCTION("""COMPUTED_VALUE"""),45926.6458333333)</f>
        <v>45926.6458333333</v>
      </c>
      <c r="P3" s="27">
        <f>IFERROR(__xludf.DUMMYFUNCTION("""COMPUTED_VALUE"""),2572.8)</f>
        <v>2572.8</v>
      </c>
      <c r="Q3" s="16">
        <f>IFERROR(__xludf.DUMMYFUNCTION("""COMPUTED_VALUE"""),45926.6458333333)</f>
        <v>45926.6458333333</v>
      </c>
      <c r="R3" s="17">
        <f>IFERROR(__xludf.DUMMYFUNCTION("""COMPUTED_VALUE"""),2605)</f>
        <v>2605</v>
      </c>
      <c r="S3" s="16">
        <f>IFERROR(__xludf.DUMMYFUNCTION("""COMPUTED_VALUE"""),45926.6458333333)</f>
        <v>45926.6458333333</v>
      </c>
      <c r="T3" s="17">
        <f>IFERROR(__xludf.DUMMYFUNCTION("""COMPUTED_VALUE"""),2535)</f>
        <v>2535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IFERROR(__xludf.DUMMYFUNCTION("""COMPUTED_VALUE"""),2363.35)</f>
        <v>2363.35</v>
      </c>
      <c r="C5" s="14">
        <f>IFERROR(__xludf.DUMMYFUNCTION("""COMPUTED_VALUE"""),45743.6458333333)</f>
        <v>45743.6458333333</v>
      </c>
      <c r="D5" s="15">
        <f>IFERROR(__xludf.DUMMYFUNCTION("""COMPUTED_VALUE"""),2310)</f>
        <v>2310</v>
      </c>
      <c r="E5" s="14">
        <f>IFERROR(__xludf.DUMMYFUNCTION("""COMPUTED_VALUE"""),45743.6458333333)</f>
        <v>45743.6458333333</v>
      </c>
      <c r="F5" s="15">
        <f>IFERROR(__xludf.DUMMYFUNCTION("""COMPUTED_VALUE"""),1696042)</f>
        <v>1696042</v>
      </c>
      <c r="G5" s="14">
        <f>IFERROR(__xludf.DUMMYFUNCTION("""COMPUTED_VALUE"""),45743.6458333333)</f>
        <v>45743.6458333333</v>
      </c>
      <c r="H5" s="15">
        <f>IFERROR(__xludf.DUMMYFUNCTION("""COMPUTED_VALUE"""),2373.9)</f>
        <v>2373.9</v>
      </c>
      <c r="I5" s="30">
        <f>IFERROR(__xludf.DUMMYFUNCTION("""COMPUTED_VALUE"""),45743.6458333333)</f>
        <v>45743.6458333333</v>
      </c>
      <c r="J5" s="3">
        <f>IFERROR(__xludf.DUMMYFUNCTION("""COMPUTED_VALUE"""),2291.6)</f>
        <v>2291.6</v>
      </c>
      <c r="K5" s="5"/>
      <c r="L5" s="5"/>
      <c r="M5" s="3">
        <f t="array" ref="M5">INDEX(K11:K124,MATCH(SMALL(ABS(K11:K124-H3),1),ABS(K11:K124-H3),0))</f>
        <v>2555</v>
      </c>
      <c r="N5" s="3">
        <f t="array" ref="N5">INDEX(K11:K124,MATCH(SMALL(ABS(K11:K124-H3),2),ABS(K11:K124-H3),0))</f>
        <v>2613.1</v>
      </c>
      <c r="O5" s="3">
        <f t="array" ref="O5">INDEX(L11:L124,MATCH(SMALL(ABS(L11:L124-H3),1),ABS(L11:L124-H3),0))</f>
        <v>2558.7</v>
      </c>
      <c r="P5" s="3">
        <f t="array" ref="P5">INDEX(L11:L124,MATCH(SMALL(ABS(L11:L124-H3),2),ABS(L11:L124-H3),0))</f>
        <v>2470.9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2442.8</v>
      </c>
      <c r="T5" s="17">
        <f ca="1">IF(AND(H3&gt;=Mastersheet!I3*S5,H3&lt;=Mastersheet!J3*S5),1,0)</f>
        <v>0</v>
      </c>
      <c r="U5" s="36">
        <f>(N3+P3)/2</f>
        <v>2558.25</v>
      </c>
      <c r="V5" s="17">
        <f>(N3+P3+R3+T3)/4</f>
        <v>2564.125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IFERROR(__xludf.DUMMYFUNCTION("""COMPUTED_VALUE"""),2315.8)</f>
        <v>2315.8</v>
      </c>
      <c r="C6" s="16">
        <f>IFERROR(__xludf.DUMMYFUNCTION("""COMPUTED_VALUE"""),45744.6458333333)</f>
        <v>45744.6458333333</v>
      </c>
      <c r="D6" s="17">
        <f>IFERROR(__xludf.DUMMYFUNCTION("""COMPUTED_VALUE"""),2376)</f>
        <v>2376</v>
      </c>
      <c r="E6" s="16">
        <f>IFERROR(__xludf.DUMMYFUNCTION("""COMPUTED_VALUE"""),45744.6458333333)</f>
        <v>45744.6458333333</v>
      </c>
      <c r="F6" s="17">
        <f>IFERROR(__xludf.DUMMYFUNCTION("""COMPUTED_VALUE"""),1838836)</f>
        <v>1838836</v>
      </c>
      <c r="G6" s="16">
        <f>IFERROR(__xludf.DUMMYFUNCTION("""COMPUTED_VALUE"""),45744.6458333333)</f>
        <v>45744.6458333333</v>
      </c>
      <c r="H6" s="17">
        <f>IFERROR(__xludf.DUMMYFUNCTION("""COMPUTED_VALUE"""),2386.95)</f>
        <v>2386.95</v>
      </c>
      <c r="I6" s="16">
        <f>IFERROR(__xludf.DUMMYFUNCTION("""COMPUTED_VALUE"""),45744.6458333333)</f>
        <v>45744.6458333333</v>
      </c>
      <c r="J6" s="17">
        <f>IFERROR(__xludf.DUMMYFUNCTION("""COMPUTED_VALUE"""),2293.7)</f>
        <v>2293.7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IFERROR(__xludf.DUMMYFUNCTION("""COMPUTED_VALUE"""),2335.25)</f>
        <v>2335.25</v>
      </c>
      <c r="C7" s="16">
        <f>IFERROR(__xludf.DUMMYFUNCTION("""COMPUTED_VALUE"""),45748.6458333333)</f>
        <v>45748.6458333333</v>
      </c>
      <c r="D7" s="17">
        <f>IFERROR(__xludf.DUMMYFUNCTION("""COMPUTED_VALUE"""),2312)</f>
        <v>2312</v>
      </c>
      <c r="E7" s="16">
        <f>IFERROR(__xludf.DUMMYFUNCTION("""COMPUTED_VALUE"""),45748.6458333333)</f>
        <v>45748.6458333333</v>
      </c>
      <c r="F7" s="17">
        <f>IFERROR(__xludf.DUMMYFUNCTION("""COMPUTED_VALUE"""),501942)</f>
        <v>501942</v>
      </c>
      <c r="G7" s="16">
        <f>IFERROR(__xludf.DUMMYFUNCTION("""COMPUTED_VALUE"""),45748.6458333333)</f>
        <v>45748.6458333333</v>
      </c>
      <c r="H7" s="17">
        <f>IFERROR(__xludf.DUMMYFUNCTION("""COMPUTED_VALUE"""),2358.95)</f>
        <v>2358.95</v>
      </c>
      <c r="I7" s="16">
        <f>IFERROR(__xludf.DUMMYFUNCTION("""COMPUTED_VALUE"""),45748.6458333333)</f>
        <v>45748.6458333333</v>
      </c>
      <c r="J7" s="17">
        <f>IFERROR(__xludf.DUMMYFUNCTION("""COMPUTED_VALUE"""),2301)</f>
        <v>2301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IFERROR(__xludf.DUMMYFUNCTION("""COMPUTED_VALUE"""),2369.4)</f>
        <v>2369.4</v>
      </c>
      <c r="C8" s="16">
        <f>IFERROR(__xludf.DUMMYFUNCTION("""COMPUTED_VALUE"""),45749.6458333333)</f>
        <v>45749.6458333333</v>
      </c>
      <c r="D8" s="17">
        <f>IFERROR(__xludf.DUMMYFUNCTION("""COMPUTED_VALUE"""),2339.75)</f>
        <v>2339.75</v>
      </c>
      <c r="E8" s="16">
        <f>IFERROR(__xludf.DUMMYFUNCTION("""COMPUTED_VALUE"""),45749.6458333333)</f>
        <v>45749.6458333333</v>
      </c>
      <c r="F8" s="17">
        <f>IFERROR(__xludf.DUMMYFUNCTION("""COMPUTED_VALUE"""),573928)</f>
        <v>573928</v>
      </c>
      <c r="G8" s="16">
        <f>IFERROR(__xludf.DUMMYFUNCTION("""COMPUTED_VALUE"""),45749.6458333333)</f>
        <v>45749.6458333333</v>
      </c>
      <c r="H8" s="17">
        <f>IFERROR(__xludf.DUMMYFUNCTION("""COMPUTED_VALUE"""),2378.85)</f>
        <v>2378.85</v>
      </c>
      <c r="I8" s="16">
        <f>IFERROR(__xludf.DUMMYFUNCTION("""COMPUTED_VALUE"""),45749.6458333333)</f>
        <v>45749.6458333333</v>
      </c>
      <c r="J8" s="17">
        <f>IFERROR(__xludf.DUMMYFUNCTION("""COMPUTED_VALUE"""),2314.55)</f>
        <v>2314.55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IFERROR(__xludf.DUMMYFUNCTION("""COMPUTED_VALUE"""),2410.8)</f>
        <v>2410.8</v>
      </c>
      <c r="C9" s="16">
        <f>IFERROR(__xludf.DUMMYFUNCTION("""COMPUTED_VALUE"""),45750.6458333333)</f>
        <v>45750.6458333333</v>
      </c>
      <c r="D9" s="17">
        <f>IFERROR(__xludf.DUMMYFUNCTION("""COMPUTED_VALUE"""),2339.75)</f>
        <v>2339.75</v>
      </c>
      <c r="E9" s="16">
        <f>IFERROR(__xludf.DUMMYFUNCTION("""COMPUTED_VALUE"""),45750.6458333333)</f>
        <v>45750.6458333333</v>
      </c>
      <c r="F9" s="17">
        <f>IFERROR(__xludf.DUMMYFUNCTION("""COMPUTED_VALUE"""),1023200)</f>
        <v>1023200</v>
      </c>
      <c r="G9" s="16">
        <f>IFERROR(__xludf.DUMMYFUNCTION("""COMPUTED_VALUE"""),45750.6458333333)</f>
        <v>45750.6458333333</v>
      </c>
      <c r="H9" s="17">
        <f>IFERROR(__xludf.DUMMYFUNCTION("""COMPUTED_VALUE"""),2429.9)</f>
        <v>2429.9</v>
      </c>
      <c r="I9" s="16">
        <f>IFERROR(__xludf.DUMMYFUNCTION("""COMPUTED_VALUE"""),45750.6458333333)</f>
        <v>45750.6458333333</v>
      </c>
      <c r="J9" s="17">
        <f>IFERROR(__xludf.DUMMYFUNCTION("""COMPUTED_VALUE"""),2339.7)</f>
        <v>2339.7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IFERROR(__xludf.DUMMYFUNCTION("""COMPUTED_VALUE"""),2334.65)</f>
        <v>2334.65</v>
      </c>
      <c r="C10" s="16">
        <f>IFERROR(__xludf.DUMMYFUNCTION("""COMPUTED_VALUE"""),45751.6458333333)</f>
        <v>45751.6458333333</v>
      </c>
      <c r="D10" s="17">
        <f>IFERROR(__xludf.DUMMYFUNCTION("""COMPUTED_VALUE"""),2394.95)</f>
        <v>2394.95</v>
      </c>
      <c r="E10" s="16">
        <f>IFERROR(__xludf.DUMMYFUNCTION("""COMPUTED_VALUE"""),45751.6458333333)</f>
        <v>45751.6458333333</v>
      </c>
      <c r="F10" s="17">
        <f>IFERROR(__xludf.DUMMYFUNCTION("""COMPUTED_VALUE"""),1219733)</f>
        <v>1219733</v>
      </c>
      <c r="G10" s="16">
        <f>IFERROR(__xludf.DUMMYFUNCTION("""COMPUTED_VALUE"""),45751.6458333333)</f>
        <v>45751.6458333333</v>
      </c>
      <c r="H10" s="17">
        <f>IFERROR(__xludf.DUMMYFUNCTION("""COMPUTED_VALUE"""),2410.05)</f>
        <v>2410.05</v>
      </c>
      <c r="I10" s="16">
        <f>IFERROR(__xludf.DUMMYFUNCTION("""COMPUTED_VALUE"""),45751.6458333333)</f>
        <v>45751.6458333333</v>
      </c>
      <c r="J10" s="17">
        <f>IFERROR(__xludf.DUMMYFUNCTION("""COMPUTED_VALUE"""),2315.5)</f>
        <v>2315.5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IFERROR(__xludf.DUMMYFUNCTION("""COMPUTED_VALUE"""),2212.7)</f>
        <v>2212.7</v>
      </c>
      <c r="C11" s="16">
        <f>IFERROR(__xludf.DUMMYFUNCTION("""COMPUTED_VALUE"""),45754.6458333333)</f>
        <v>45754.6458333333</v>
      </c>
      <c r="D11" s="17">
        <f>IFERROR(__xludf.DUMMYFUNCTION("""COMPUTED_VALUE"""),2150.05)</f>
        <v>2150.05</v>
      </c>
      <c r="E11" s="16">
        <f>IFERROR(__xludf.DUMMYFUNCTION("""COMPUTED_VALUE"""),45754.6458333333)</f>
        <v>45754.6458333333</v>
      </c>
      <c r="F11" s="17">
        <f>IFERROR(__xludf.DUMMYFUNCTION("""COMPUTED_VALUE"""),1567177)</f>
        <v>1567177</v>
      </c>
      <c r="G11" s="16">
        <f>IFERROR(__xludf.DUMMYFUNCTION("""COMPUTED_VALUE"""),45754.6458333333)</f>
        <v>45754.6458333333</v>
      </c>
      <c r="H11" s="17">
        <f>IFERROR(__xludf.DUMMYFUNCTION("""COMPUTED_VALUE"""),2239)</f>
        <v>2239</v>
      </c>
      <c r="I11" s="16">
        <f>IFERROR(__xludf.DUMMYFUNCTION("""COMPUTED_VALUE"""),45754.6458333333)</f>
        <v>45754.6458333333</v>
      </c>
      <c r="J11" s="17">
        <f>IFERROR(__xludf.DUMMYFUNCTION("""COMPUTED_VALUE"""),2145)</f>
        <v>2145</v>
      </c>
      <c r="K11" s="3">
        <f t="shared" ref="K11:K125" si="2">IF(B11=MAX(B5:B17),B11,0)</f>
        <v>0</v>
      </c>
      <c r="L11" s="3">
        <f t="shared" ref="L11:L125" si="3">IF(B11=MIN(B5:B17),B11,0)</f>
        <v>2212.7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IFERROR(__xludf.DUMMYFUNCTION("""COMPUTED_VALUE"""),2285.7)</f>
        <v>2285.7</v>
      </c>
      <c r="C12" s="16">
        <f>IFERROR(__xludf.DUMMYFUNCTION("""COMPUTED_VALUE"""),45755.6458333333)</f>
        <v>45755.6458333333</v>
      </c>
      <c r="D12" s="17">
        <f>IFERROR(__xludf.DUMMYFUNCTION("""COMPUTED_VALUE"""),2270)</f>
        <v>2270</v>
      </c>
      <c r="E12" s="16">
        <f>IFERROR(__xludf.DUMMYFUNCTION("""COMPUTED_VALUE"""),45755.6458333333)</f>
        <v>45755.6458333333</v>
      </c>
      <c r="F12" s="17">
        <f>IFERROR(__xludf.DUMMYFUNCTION("""COMPUTED_VALUE"""),1224362)</f>
        <v>1224362</v>
      </c>
      <c r="G12" s="16">
        <f>IFERROR(__xludf.DUMMYFUNCTION("""COMPUTED_VALUE"""),45755.6458333333)</f>
        <v>45755.6458333333</v>
      </c>
      <c r="H12" s="17">
        <f>IFERROR(__xludf.DUMMYFUNCTION("""COMPUTED_VALUE"""),2301)</f>
        <v>2301</v>
      </c>
      <c r="I12" s="16">
        <f>IFERROR(__xludf.DUMMYFUNCTION("""COMPUTED_VALUE"""),45755.6458333333)</f>
        <v>45755.6458333333</v>
      </c>
      <c r="J12" s="17">
        <f>IFERROR(__xludf.DUMMYFUNCTION("""COMPUTED_VALUE"""),2225)</f>
        <v>2225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IFERROR(__xludf.DUMMYFUNCTION("""COMPUTED_VALUE"""),2236.9)</f>
        <v>2236.9</v>
      </c>
      <c r="C13" s="16">
        <f>IFERROR(__xludf.DUMMYFUNCTION("""COMPUTED_VALUE"""),45756.6458333333)</f>
        <v>45756.6458333333</v>
      </c>
      <c r="D13" s="17">
        <f>IFERROR(__xludf.DUMMYFUNCTION("""COMPUTED_VALUE"""),2265.7)</f>
        <v>2265.7</v>
      </c>
      <c r="E13" s="16">
        <f>IFERROR(__xludf.DUMMYFUNCTION("""COMPUTED_VALUE"""),45756.6458333333)</f>
        <v>45756.6458333333</v>
      </c>
      <c r="F13" s="17">
        <f>IFERROR(__xludf.DUMMYFUNCTION("""COMPUTED_VALUE"""),1001633)</f>
        <v>1001633</v>
      </c>
      <c r="G13" s="16">
        <f>IFERROR(__xludf.DUMMYFUNCTION("""COMPUTED_VALUE"""),45756.6458333333)</f>
        <v>45756.6458333333</v>
      </c>
      <c r="H13" s="17">
        <f>IFERROR(__xludf.DUMMYFUNCTION("""COMPUTED_VALUE"""),2279.55)</f>
        <v>2279.55</v>
      </c>
      <c r="I13" s="16">
        <f>IFERROR(__xludf.DUMMYFUNCTION("""COMPUTED_VALUE"""),45756.6458333333)</f>
        <v>45756.6458333333</v>
      </c>
      <c r="J13" s="17">
        <f>IFERROR(__xludf.DUMMYFUNCTION("""COMPUTED_VALUE"""),2215.2)</f>
        <v>2215.2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IFERROR(__xludf.DUMMYFUNCTION("""COMPUTED_VALUE"""),2321.4)</f>
        <v>2321.4</v>
      </c>
      <c r="C14" s="16">
        <f>IFERROR(__xludf.DUMMYFUNCTION("""COMPUTED_VALUE"""),45758.6458333333)</f>
        <v>45758.6458333333</v>
      </c>
      <c r="D14" s="17">
        <f>IFERROR(__xludf.DUMMYFUNCTION("""COMPUTED_VALUE"""),2303.05)</f>
        <v>2303.05</v>
      </c>
      <c r="E14" s="16">
        <f>IFERROR(__xludf.DUMMYFUNCTION("""COMPUTED_VALUE"""),45758.6458333333)</f>
        <v>45758.6458333333</v>
      </c>
      <c r="F14" s="17">
        <f>IFERROR(__xludf.DUMMYFUNCTION("""COMPUTED_VALUE"""),981463)</f>
        <v>981463</v>
      </c>
      <c r="G14" s="16">
        <f>IFERROR(__xludf.DUMMYFUNCTION("""COMPUTED_VALUE"""),45758.6458333333)</f>
        <v>45758.6458333333</v>
      </c>
      <c r="H14" s="17">
        <f>IFERROR(__xludf.DUMMYFUNCTION("""COMPUTED_VALUE"""),2343.5)</f>
        <v>2343.5</v>
      </c>
      <c r="I14" s="16">
        <f>IFERROR(__xludf.DUMMYFUNCTION("""COMPUTED_VALUE"""),45758.6458333333)</f>
        <v>45758.6458333333</v>
      </c>
      <c r="J14" s="17">
        <f>IFERROR(__xludf.DUMMYFUNCTION("""COMPUTED_VALUE"""),2281)</f>
        <v>2281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IFERROR(__xludf.DUMMYFUNCTION("""COMPUTED_VALUE"""),2418.2)</f>
        <v>2418.2</v>
      </c>
      <c r="C15" s="16">
        <f>IFERROR(__xludf.DUMMYFUNCTION("""COMPUTED_VALUE"""),45762.6458333333)</f>
        <v>45762.6458333333</v>
      </c>
      <c r="D15" s="17">
        <f>IFERROR(__xludf.DUMMYFUNCTION("""COMPUTED_VALUE"""),2375)</f>
        <v>2375</v>
      </c>
      <c r="E15" s="16">
        <f>IFERROR(__xludf.DUMMYFUNCTION("""COMPUTED_VALUE"""),45762.6458333333)</f>
        <v>45762.6458333333</v>
      </c>
      <c r="F15" s="17">
        <f>IFERROR(__xludf.DUMMYFUNCTION("""COMPUTED_VALUE"""),1145125)</f>
        <v>1145125</v>
      </c>
      <c r="G15" s="16">
        <f>IFERROR(__xludf.DUMMYFUNCTION("""COMPUTED_VALUE"""),45762.6458333333)</f>
        <v>45762.6458333333</v>
      </c>
      <c r="H15" s="17">
        <f>IFERROR(__xludf.DUMMYFUNCTION("""COMPUTED_VALUE"""),2440)</f>
        <v>2440</v>
      </c>
      <c r="I15" s="16">
        <f>IFERROR(__xludf.DUMMYFUNCTION("""COMPUTED_VALUE"""),45762.6458333333)</f>
        <v>45762.6458333333</v>
      </c>
      <c r="J15" s="17">
        <f>IFERROR(__xludf.DUMMYFUNCTION("""COMPUTED_VALUE"""),2359)</f>
        <v>2359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IFERROR(__xludf.DUMMYFUNCTION("""COMPUTED_VALUE"""),2415.6)</f>
        <v>2415.6</v>
      </c>
      <c r="C16" s="16">
        <f>IFERROR(__xludf.DUMMYFUNCTION("""COMPUTED_VALUE"""),45763.6458333333)</f>
        <v>45763.6458333333</v>
      </c>
      <c r="D16" s="17">
        <f>IFERROR(__xludf.DUMMYFUNCTION("""COMPUTED_VALUE"""),2400)</f>
        <v>2400</v>
      </c>
      <c r="E16" s="16">
        <f>IFERROR(__xludf.DUMMYFUNCTION("""COMPUTED_VALUE"""),45763.6458333333)</f>
        <v>45763.6458333333</v>
      </c>
      <c r="F16" s="17">
        <f>IFERROR(__xludf.DUMMYFUNCTION("""COMPUTED_VALUE"""),889949)</f>
        <v>889949</v>
      </c>
      <c r="G16" s="16">
        <f>IFERROR(__xludf.DUMMYFUNCTION("""COMPUTED_VALUE"""),45763.6458333333)</f>
        <v>45763.6458333333</v>
      </c>
      <c r="H16" s="17">
        <f>IFERROR(__xludf.DUMMYFUNCTION("""COMPUTED_VALUE"""),2428)</f>
        <v>2428</v>
      </c>
      <c r="I16" s="16">
        <f>IFERROR(__xludf.DUMMYFUNCTION("""COMPUTED_VALUE"""),45763.6458333333)</f>
        <v>45763.6458333333</v>
      </c>
      <c r="J16" s="17">
        <f>IFERROR(__xludf.DUMMYFUNCTION("""COMPUTED_VALUE"""),2382.9)</f>
        <v>2382.9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IFERROR(__xludf.DUMMYFUNCTION("""COMPUTED_VALUE"""),2418.1)</f>
        <v>2418.1</v>
      </c>
      <c r="C17" s="16">
        <f>IFERROR(__xludf.DUMMYFUNCTION("""COMPUTED_VALUE"""),45764.6458333333)</f>
        <v>45764.6458333333</v>
      </c>
      <c r="D17" s="17">
        <f>IFERROR(__xludf.DUMMYFUNCTION("""COMPUTED_VALUE"""),2418)</f>
        <v>2418</v>
      </c>
      <c r="E17" s="16">
        <f>IFERROR(__xludf.DUMMYFUNCTION("""COMPUTED_VALUE"""),45764.6458333333)</f>
        <v>45764.6458333333</v>
      </c>
      <c r="F17" s="17">
        <f>IFERROR(__xludf.DUMMYFUNCTION("""COMPUTED_VALUE"""),1054797)</f>
        <v>1054797</v>
      </c>
      <c r="G17" s="16">
        <f>IFERROR(__xludf.DUMMYFUNCTION("""COMPUTED_VALUE"""),45764.6458333333)</f>
        <v>45764.6458333333</v>
      </c>
      <c r="H17" s="17">
        <f>IFERROR(__xludf.DUMMYFUNCTION("""COMPUTED_VALUE"""),2448.6)</f>
        <v>2448.6</v>
      </c>
      <c r="I17" s="16">
        <f>IFERROR(__xludf.DUMMYFUNCTION("""COMPUTED_VALUE"""),45764.6458333333)</f>
        <v>45764.6458333333</v>
      </c>
      <c r="J17" s="17">
        <f>IFERROR(__xludf.DUMMYFUNCTION("""COMPUTED_VALUE"""),2392)</f>
        <v>2392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IFERROR(__xludf.DUMMYFUNCTION("""COMPUTED_VALUE"""),2442.7)</f>
        <v>2442.7</v>
      </c>
      <c r="C18" s="16">
        <f>IFERROR(__xludf.DUMMYFUNCTION("""COMPUTED_VALUE"""),45768.6458333333)</f>
        <v>45768.6458333333</v>
      </c>
      <c r="D18" s="17">
        <f>IFERROR(__xludf.DUMMYFUNCTION("""COMPUTED_VALUE"""),2426.1)</f>
        <v>2426.1</v>
      </c>
      <c r="E18" s="16">
        <f>IFERROR(__xludf.DUMMYFUNCTION("""COMPUTED_VALUE"""),45768.6458333333)</f>
        <v>45768.6458333333</v>
      </c>
      <c r="F18" s="17">
        <f>IFERROR(__xludf.DUMMYFUNCTION("""COMPUTED_VALUE"""),782559)</f>
        <v>782559</v>
      </c>
      <c r="G18" s="16">
        <f>IFERROR(__xludf.DUMMYFUNCTION("""COMPUTED_VALUE"""),45768.6458333333)</f>
        <v>45768.6458333333</v>
      </c>
      <c r="H18" s="17">
        <f>IFERROR(__xludf.DUMMYFUNCTION("""COMPUTED_VALUE"""),2464.9)</f>
        <v>2464.9</v>
      </c>
      <c r="I18" s="16">
        <f>IFERROR(__xludf.DUMMYFUNCTION("""COMPUTED_VALUE"""),45768.6458333333)</f>
        <v>45768.6458333333</v>
      </c>
      <c r="J18" s="17">
        <f>IFERROR(__xludf.DUMMYFUNCTION("""COMPUTED_VALUE"""),2395.5)</f>
        <v>2395.5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IFERROR(__xludf.DUMMYFUNCTION("""COMPUTED_VALUE"""),2445.5)</f>
        <v>2445.5</v>
      </c>
      <c r="C19" s="16">
        <f>IFERROR(__xludf.DUMMYFUNCTION("""COMPUTED_VALUE"""),45769.6458333333)</f>
        <v>45769.6458333333</v>
      </c>
      <c r="D19" s="17">
        <f>IFERROR(__xludf.DUMMYFUNCTION("""COMPUTED_VALUE"""),2458.9)</f>
        <v>2458.9</v>
      </c>
      <c r="E19" s="16">
        <f>IFERROR(__xludf.DUMMYFUNCTION("""COMPUTED_VALUE"""),45769.6458333333)</f>
        <v>45769.6458333333</v>
      </c>
      <c r="F19" s="17">
        <f>IFERROR(__xludf.DUMMYFUNCTION("""COMPUTED_VALUE"""),766567)</f>
        <v>766567</v>
      </c>
      <c r="G19" s="16">
        <f>IFERROR(__xludf.DUMMYFUNCTION("""COMPUTED_VALUE"""),45769.6458333333)</f>
        <v>45769.6458333333</v>
      </c>
      <c r="H19" s="17">
        <f>IFERROR(__xludf.DUMMYFUNCTION("""COMPUTED_VALUE"""),2483.4)</f>
        <v>2483.4</v>
      </c>
      <c r="I19" s="16">
        <f>IFERROR(__xludf.DUMMYFUNCTION("""COMPUTED_VALUE"""),45769.6458333333)</f>
        <v>45769.6458333333</v>
      </c>
      <c r="J19" s="17">
        <f>IFERROR(__xludf.DUMMYFUNCTION("""COMPUTED_VALUE"""),2441)</f>
        <v>2441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IFERROR(__xludf.DUMMYFUNCTION("""COMPUTED_VALUE"""),2453.6)</f>
        <v>2453.6</v>
      </c>
      <c r="C20" s="16">
        <f>IFERROR(__xludf.DUMMYFUNCTION("""COMPUTED_VALUE"""),45770.6458333333)</f>
        <v>45770.6458333333</v>
      </c>
      <c r="D20" s="17">
        <f>IFERROR(__xludf.DUMMYFUNCTION("""COMPUTED_VALUE"""),2460)</f>
        <v>2460</v>
      </c>
      <c r="E20" s="16">
        <f>IFERROR(__xludf.DUMMYFUNCTION("""COMPUTED_VALUE"""),45770.6458333333)</f>
        <v>45770.6458333333</v>
      </c>
      <c r="F20" s="17">
        <f>IFERROR(__xludf.DUMMYFUNCTION("""COMPUTED_VALUE"""),672262)</f>
        <v>672262</v>
      </c>
      <c r="G20" s="16">
        <f>IFERROR(__xludf.DUMMYFUNCTION("""COMPUTED_VALUE"""),45770.6458333333)</f>
        <v>45770.6458333333</v>
      </c>
      <c r="H20" s="17">
        <f>IFERROR(__xludf.DUMMYFUNCTION("""COMPUTED_VALUE"""),2473.8)</f>
        <v>2473.8</v>
      </c>
      <c r="I20" s="16">
        <f>IFERROR(__xludf.DUMMYFUNCTION("""COMPUTED_VALUE"""),45770.6458333333)</f>
        <v>45770.6458333333</v>
      </c>
      <c r="J20" s="17">
        <f>IFERROR(__xludf.DUMMYFUNCTION("""COMPUTED_VALUE"""),2421.2)</f>
        <v>2421.2</v>
      </c>
      <c r="K20" s="3">
        <f t="shared" si="2"/>
        <v>2453.6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IFERROR(__xludf.DUMMYFUNCTION("""COMPUTED_VALUE"""),2442.5)</f>
        <v>2442.5</v>
      </c>
      <c r="C21" s="16">
        <f>IFERROR(__xludf.DUMMYFUNCTION("""COMPUTED_VALUE"""),45771.6458333333)</f>
        <v>45771.6458333333</v>
      </c>
      <c r="D21" s="17">
        <f>IFERROR(__xludf.DUMMYFUNCTION("""COMPUTED_VALUE"""),2450)</f>
        <v>2450</v>
      </c>
      <c r="E21" s="16">
        <f>IFERROR(__xludf.DUMMYFUNCTION("""COMPUTED_VALUE"""),45771.6458333333)</f>
        <v>45771.6458333333</v>
      </c>
      <c r="F21" s="17">
        <f>IFERROR(__xludf.DUMMYFUNCTION("""COMPUTED_VALUE"""),596696)</f>
        <v>596696</v>
      </c>
      <c r="G21" s="16">
        <f>IFERROR(__xludf.DUMMYFUNCTION("""COMPUTED_VALUE"""),45771.6458333333)</f>
        <v>45771.6458333333</v>
      </c>
      <c r="H21" s="17">
        <f>IFERROR(__xludf.DUMMYFUNCTION("""COMPUTED_VALUE"""),2461.4)</f>
        <v>2461.4</v>
      </c>
      <c r="I21" s="16">
        <f>IFERROR(__xludf.DUMMYFUNCTION("""COMPUTED_VALUE"""),45771.6458333333)</f>
        <v>45771.6458333333</v>
      </c>
      <c r="J21" s="17">
        <f>IFERROR(__xludf.DUMMYFUNCTION("""COMPUTED_VALUE"""),2425.1)</f>
        <v>2425.1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IFERROR(__xludf.DUMMYFUNCTION("""COMPUTED_VALUE"""),2354.3)</f>
        <v>2354.3</v>
      </c>
      <c r="C22" s="16">
        <f>IFERROR(__xludf.DUMMYFUNCTION("""COMPUTED_VALUE"""),45772.6458333333)</f>
        <v>45772.6458333333</v>
      </c>
      <c r="D22" s="17">
        <f>IFERROR(__xludf.DUMMYFUNCTION("""COMPUTED_VALUE"""),2450.1)</f>
        <v>2450.1</v>
      </c>
      <c r="E22" s="16">
        <f>IFERROR(__xludf.DUMMYFUNCTION("""COMPUTED_VALUE"""),45772.6458333333)</f>
        <v>45772.6458333333</v>
      </c>
      <c r="F22" s="17">
        <f>IFERROR(__xludf.DUMMYFUNCTION("""COMPUTED_VALUE"""),1414809)</f>
        <v>1414809</v>
      </c>
      <c r="G22" s="16">
        <f>IFERROR(__xludf.DUMMYFUNCTION("""COMPUTED_VALUE"""),45772.6458333333)</f>
        <v>45772.6458333333</v>
      </c>
      <c r="H22" s="17">
        <f>IFERROR(__xludf.DUMMYFUNCTION("""COMPUTED_VALUE"""),2459.5)</f>
        <v>2459.5</v>
      </c>
      <c r="I22" s="16">
        <f>IFERROR(__xludf.DUMMYFUNCTION("""COMPUTED_VALUE"""),45772.6458333333)</f>
        <v>45772.6458333333</v>
      </c>
      <c r="J22" s="17">
        <f>IFERROR(__xludf.DUMMYFUNCTION("""COMPUTED_VALUE"""),2323.5)</f>
        <v>2323.5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IFERROR(__xludf.DUMMYFUNCTION("""COMPUTED_VALUE"""),2369.8)</f>
        <v>2369.8</v>
      </c>
      <c r="C23" s="16">
        <f>IFERROR(__xludf.DUMMYFUNCTION("""COMPUTED_VALUE"""),45775.6458333333)</f>
        <v>45775.6458333333</v>
      </c>
      <c r="D23" s="17">
        <f>IFERROR(__xludf.DUMMYFUNCTION("""COMPUTED_VALUE"""),2346)</f>
        <v>2346</v>
      </c>
      <c r="E23" s="16">
        <f>IFERROR(__xludf.DUMMYFUNCTION("""COMPUTED_VALUE"""),45775.6458333333)</f>
        <v>45775.6458333333</v>
      </c>
      <c r="F23" s="17">
        <f>IFERROR(__xludf.DUMMYFUNCTION("""COMPUTED_VALUE"""),681421)</f>
        <v>681421</v>
      </c>
      <c r="G23" s="16">
        <f>IFERROR(__xludf.DUMMYFUNCTION("""COMPUTED_VALUE"""),45775.6458333333)</f>
        <v>45775.6458333333</v>
      </c>
      <c r="H23" s="17">
        <f>IFERROR(__xludf.DUMMYFUNCTION("""COMPUTED_VALUE"""),2402)</f>
        <v>2402</v>
      </c>
      <c r="I23" s="16">
        <f>IFERROR(__xludf.DUMMYFUNCTION("""COMPUTED_VALUE"""),45775.6458333333)</f>
        <v>45775.6458333333</v>
      </c>
      <c r="J23" s="17">
        <f>IFERROR(__xludf.DUMMYFUNCTION("""COMPUTED_VALUE"""),2337.6)</f>
        <v>2337.6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IFERROR(__xludf.DUMMYFUNCTION("""COMPUTED_VALUE"""),2330.6)</f>
        <v>2330.6</v>
      </c>
      <c r="C24" s="16">
        <f>IFERROR(__xludf.DUMMYFUNCTION("""COMPUTED_VALUE"""),45776.6458333333)</f>
        <v>45776.6458333333</v>
      </c>
      <c r="D24" s="17">
        <f>IFERROR(__xludf.DUMMYFUNCTION("""COMPUTED_VALUE"""),2392)</f>
        <v>2392</v>
      </c>
      <c r="E24" s="16">
        <f>IFERROR(__xludf.DUMMYFUNCTION("""COMPUTED_VALUE"""),45776.6458333333)</f>
        <v>45776.6458333333</v>
      </c>
      <c r="F24" s="17">
        <f>IFERROR(__xludf.DUMMYFUNCTION("""COMPUTED_VALUE"""),670730)</f>
        <v>670730</v>
      </c>
      <c r="G24" s="16">
        <f>IFERROR(__xludf.DUMMYFUNCTION("""COMPUTED_VALUE"""),45776.6458333333)</f>
        <v>45776.6458333333</v>
      </c>
      <c r="H24" s="17">
        <f>IFERROR(__xludf.DUMMYFUNCTION("""COMPUTED_VALUE"""),2400)</f>
        <v>2400</v>
      </c>
      <c r="I24" s="16">
        <f>IFERROR(__xludf.DUMMYFUNCTION("""COMPUTED_VALUE"""),45776.6458333333)</f>
        <v>45776.6458333333</v>
      </c>
      <c r="J24" s="17">
        <f>IFERROR(__xludf.DUMMYFUNCTION("""COMPUTED_VALUE"""),2325.6)</f>
        <v>2325.6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IFERROR(__xludf.DUMMYFUNCTION("""COMPUTED_VALUE"""),2301.3)</f>
        <v>2301.3</v>
      </c>
      <c r="C25" s="16">
        <f>IFERROR(__xludf.DUMMYFUNCTION("""COMPUTED_VALUE"""),45777.6458333333)</f>
        <v>45777.6458333333</v>
      </c>
      <c r="D25" s="17">
        <f>IFERROR(__xludf.DUMMYFUNCTION("""COMPUTED_VALUE"""),2331.4)</f>
        <v>2331.4</v>
      </c>
      <c r="E25" s="16">
        <f>IFERROR(__xludf.DUMMYFUNCTION("""COMPUTED_VALUE"""),45777.6458333333)</f>
        <v>45777.6458333333</v>
      </c>
      <c r="F25" s="17">
        <f>IFERROR(__xludf.DUMMYFUNCTION("""COMPUTED_VALUE"""),837464)</f>
        <v>837464</v>
      </c>
      <c r="G25" s="16">
        <f>IFERROR(__xludf.DUMMYFUNCTION("""COMPUTED_VALUE"""),45777.6458333333)</f>
        <v>45777.6458333333</v>
      </c>
      <c r="H25" s="17">
        <f>IFERROR(__xludf.DUMMYFUNCTION("""COMPUTED_VALUE"""),2340)</f>
        <v>2340</v>
      </c>
      <c r="I25" s="16">
        <f>IFERROR(__xludf.DUMMYFUNCTION("""COMPUTED_VALUE"""),45777.6458333333)</f>
        <v>45777.6458333333</v>
      </c>
      <c r="J25" s="17">
        <f>IFERROR(__xludf.DUMMYFUNCTION("""COMPUTED_VALUE"""),2285)</f>
        <v>2285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IFERROR(__xludf.DUMMYFUNCTION("""COMPUTED_VALUE"""),2294.2)</f>
        <v>2294.2</v>
      </c>
      <c r="C26" s="16">
        <f>IFERROR(__xludf.DUMMYFUNCTION("""COMPUTED_VALUE"""),45779.6458333333)</f>
        <v>45779.6458333333</v>
      </c>
      <c r="D26" s="17">
        <f>IFERROR(__xludf.DUMMYFUNCTION("""COMPUTED_VALUE"""),2349.9)</f>
        <v>2349.9</v>
      </c>
      <c r="E26" s="16">
        <f>IFERROR(__xludf.DUMMYFUNCTION("""COMPUTED_VALUE"""),45779.6458333333)</f>
        <v>45779.6458333333</v>
      </c>
      <c r="F26" s="17">
        <f>IFERROR(__xludf.DUMMYFUNCTION("""COMPUTED_VALUE"""),1695797)</f>
        <v>1695797</v>
      </c>
      <c r="G26" s="16">
        <f>IFERROR(__xludf.DUMMYFUNCTION("""COMPUTED_VALUE"""),45779.6458333333)</f>
        <v>45779.6458333333</v>
      </c>
      <c r="H26" s="17">
        <f>IFERROR(__xludf.DUMMYFUNCTION("""COMPUTED_VALUE"""),2372.4)</f>
        <v>2372.4</v>
      </c>
      <c r="I26" s="16">
        <f>IFERROR(__xludf.DUMMYFUNCTION("""COMPUTED_VALUE"""),45779.6458333333)</f>
        <v>45779.6458333333</v>
      </c>
      <c r="J26" s="17">
        <f>IFERROR(__xludf.DUMMYFUNCTION("""COMPUTED_VALUE"""),2290)</f>
        <v>2290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IFERROR(__xludf.DUMMYFUNCTION("""COMPUTED_VALUE"""),2455.5)</f>
        <v>2455.5</v>
      </c>
      <c r="C27" s="16">
        <f>IFERROR(__xludf.DUMMYFUNCTION("""COMPUTED_VALUE"""),45782.6458333333)</f>
        <v>45782.6458333333</v>
      </c>
      <c r="D27" s="17">
        <f>IFERROR(__xludf.DUMMYFUNCTION("""COMPUTED_VALUE"""),2312.6)</f>
        <v>2312.6</v>
      </c>
      <c r="E27" s="16">
        <f>IFERROR(__xludf.DUMMYFUNCTION("""COMPUTED_VALUE"""),45782.6458333333)</f>
        <v>45782.6458333333</v>
      </c>
      <c r="F27" s="17">
        <f>IFERROR(__xludf.DUMMYFUNCTION("""COMPUTED_VALUE"""),4227194)</f>
        <v>4227194</v>
      </c>
      <c r="G27" s="16">
        <f>IFERROR(__xludf.DUMMYFUNCTION("""COMPUTED_VALUE"""),45782.6458333333)</f>
        <v>45782.6458333333</v>
      </c>
      <c r="H27" s="17">
        <f>IFERROR(__xludf.DUMMYFUNCTION("""COMPUTED_VALUE"""),2497)</f>
        <v>2497</v>
      </c>
      <c r="I27" s="16">
        <f>IFERROR(__xludf.DUMMYFUNCTION("""COMPUTED_VALUE"""),45782.6458333333)</f>
        <v>45782.6458333333</v>
      </c>
      <c r="J27" s="17">
        <f>IFERROR(__xludf.DUMMYFUNCTION("""COMPUTED_VALUE"""),2297.8)</f>
        <v>2297.8</v>
      </c>
      <c r="K27" s="3">
        <f t="shared" si="2"/>
        <v>2455.5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IFERROR(__xludf.DUMMYFUNCTION("""COMPUTED_VALUE"""),2354)</f>
        <v>2354</v>
      </c>
      <c r="C28" s="16">
        <f>IFERROR(__xludf.DUMMYFUNCTION("""COMPUTED_VALUE"""),45783.6458333333)</f>
        <v>45783.6458333333</v>
      </c>
      <c r="D28" s="17">
        <f>IFERROR(__xludf.DUMMYFUNCTION("""COMPUTED_VALUE"""),2454)</f>
        <v>2454</v>
      </c>
      <c r="E28" s="16">
        <f>IFERROR(__xludf.DUMMYFUNCTION("""COMPUTED_VALUE"""),45783.6458333333)</f>
        <v>45783.6458333333</v>
      </c>
      <c r="F28" s="17">
        <f>IFERROR(__xludf.DUMMYFUNCTION("""COMPUTED_VALUE"""),1524692)</f>
        <v>1524692</v>
      </c>
      <c r="G28" s="16">
        <f>IFERROR(__xludf.DUMMYFUNCTION("""COMPUTED_VALUE"""),45783.6458333333)</f>
        <v>45783.6458333333</v>
      </c>
      <c r="H28" s="17">
        <f>IFERROR(__xludf.DUMMYFUNCTION("""COMPUTED_VALUE"""),2463.2)</f>
        <v>2463.2</v>
      </c>
      <c r="I28" s="16">
        <f>IFERROR(__xludf.DUMMYFUNCTION("""COMPUTED_VALUE"""),45783.6458333333)</f>
        <v>45783.6458333333</v>
      </c>
      <c r="J28" s="17">
        <f>IFERROR(__xludf.DUMMYFUNCTION("""COMPUTED_VALUE"""),2343.5)</f>
        <v>2343.5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IFERROR(__xludf.DUMMYFUNCTION("""COMPUTED_VALUE"""),2353.1)</f>
        <v>2353.1</v>
      </c>
      <c r="C29" s="16">
        <f>IFERROR(__xludf.DUMMYFUNCTION("""COMPUTED_VALUE"""),45784.6458333333)</f>
        <v>45784.6458333333</v>
      </c>
      <c r="D29" s="17">
        <f>IFERROR(__xludf.DUMMYFUNCTION("""COMPUTED_VALUE"""),2315)</f>
        <v>2315</v>
      </c>
      <c r="E29" s="16">
        <f>IFERROR(__xludf.DUMMYFUNCTION("""COMPUTED_VALUE"""),45784.6458333333)</f>
        <v>45784.6458333333</v>
      </c>
      <c r="F29" s="17">
        <f>IFERROR(__xludf.DUMMYFUNCTION("""COMPUTED_VALUE"""),1012640)</f>
        <v>1012640</v>
      </c>
      <c r="G29" s="16">
        <f>IFERROR(__xludf.DUMMYFUNCTION("""COMPUTED_VALUE"""),45784.6458333333)</f>
        <v>45784.6458333333</v>
      </c>
      <c r="H29" s="17">
        <f>IFERROR(__xludf.DUMMYFUNCTION("""COMPUTED_VALUE"""),2379.5)</f>
        <v>2379.5</v>
      </c>
      <c r="I29" s="16">
        <f>IFERROR(__xludf.DUMMYFUNCTION("""COMPUTED_VALUE"""),45784.6458333333)</f>
        <v>45784.6458333333</v>
      </c>
      <c r="J29" s="17">
        <f>IFERROR(__xludf.DUMMYFUNCTION("""COMPUTED_VALUE"""),2315)</f>
        <v>2315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IFERROR(__xludf.DUMMYFUNCTION("""COMPUTED_VALUE"""),2285.3)</f>
        <v>2285.3</v>
      </c>
      <c r="C30" s="16">
        <f>IFERROR(__xludf.DUMMYFUNCTION("""COMPUTED_VALUE"""),45785.6458333333)</f>
        <v>45785.6458333333</v>
      </c>
      <c r="D30" s="17">
        <f>IFERROR(__xludf.DUMMYFUNCTION("""COMPUTED_VALUE"""),2362)</f>
        <v>2362</v>
      </c>
      <c r="E30" s="16">
        <f>IFERROR(__xludf.DUMMYFUNCTION("""COMPUTED_VALUE"""),45785.6458333333)</f>
        <v>45785.6458333333</v>
      </c>
      <c r="F30" s="17">
        <f>IFERROR(__xludf.DUMMYFUNCTION("""COMPUTED_VALUE"""),1380069)</f>
        <v>1380069</v>
      </c>
      <c r="G30" s="16">
        <f>IFERROR(__xludf.DUMMYFUNCTION("""COMPUTED_VALUE"""),45785.6458333333)</f>
        <v>45785.6458333333</v>
      </c>
      <c r="H30" s="17">
        <f>IFERROR(__xludf.DUMMYFUNCTION("""COMPUTED_VALUE"""),2367.8)</f>
        <v>2367.8</v>
      </c>
      <c r="I30" s="16">
        <f>IFERROR(__xludf.DUMMYFUNCTION("""COMPUTED_VALUE"""),45785.6458333333)</f>
        <v>45785.6458333333</v>
      </c>
      <c r="J30" s="17">
        <f>IFERROR(__xludf.DUMMYFUNCTION("""COMPUTED_VALUE"""),2260)</f>
        <v>2260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IFERROR(__xludf.DUMMYFUNCTION("""COMPUTED_VALUE"""),2251)</f>
        <v>2251</v>
      </c>
      <c r="C31" s="16">
        <f>IFERROR(__xludf.DUMMYFUNCTION("""COMPUTED_VALUE"""),45786.6458333333)</f>
        <v>45786.6458333333</v>
      </c>
      <c r="D31" s="17">
        <f>IFERROR(__xludf.DUMMYFUNCTION("""COMPUTED_VALUE"""),2240)</f>
        <v>2240</v>
      </c>
      <c r="E31" s="16">
        <f>IFERROR(__xludf.DUMMYFUNCTION("""COMPUTED_VALUE"""),45786.6458333333)</f>
        <v>45786.6458333333</v>
      </c>
      <c r="F31" s="17">
        <f>IFERROR(__xludf.DUMMYFUNCTION("""COMPUTED_VALUE"""),1006000)</f>
        <v>1006000</v>
      </c>
      <c r="G31" s="16">
        <f>IFERROR(__xludf.DUMMYFUNCTION("""COMPUTED_VALUE"""),45786.6458333333)</f>
        <v>45786.6458333333</v>
      </c>
      <c r="H31" s="17">
        <f>IFERROR(__xludf.DUMMYFUNCTION("""COMPUTED_VALUE"""),2273.1)</f>
        <v>2273.1</v>
      </c>
      <c r="I31" s="16">
        <f>IFERROR(__xludf.DUMMYFUNCTION("""COMPUTED_VALUE"""),45786.6458333333)</f>
        <v>45786.6458333333</v>
      </c>
      <c r="J31" s="17">
        <f>IFERROR(__xludf.DUMMYFUNCTION("""COMPUTED_VALUE"""),2233)</f>
        <v>2233</v>
      </c>
      <c r="K31" s="3">
        <f t="shared" si="2"/>
        <v>0</v>
      </c>
      <c r="L31" s="3">
        <f t="shared" si="3"/>
        <v>2251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IFERROR(__xludf.DUMMYFUNCTION("""COMPUTED_VALUE"""),2425.3)</f>
        <v>2425.3</v>
      </c>
      <c r="C32" s="16">
        <f>IFERROR(__xludf.DUMMYFUNCTION("""COMPUTED_VALUE"""),45789.6458333333)</f>
        <v>45789.6458333333</v>
      </c>
      <c r="D32" s="17">
        <f>IFERROR(__xludf.DUMMYFUNCTION("""COMPUTED_VALUE"""),2350)</f>
        <v>2350</v>
      </c>
      <c r="E32" s="16">
        <f>IFERROR(__xludf.DUMMYFUNCTION("""COMPUTED_VALUE"""),45789.6458333333)</f>
        <v>45789.6458333333</v>
      </c>
      <c r="F32" s="17">
        <f>IFERROR(__xludf.DUMMYFUNCTION("""COMPUTED_VALUE"""),2147039)</f>
        <v>2147039</v>
      </c>
      <c r="G32" s="16">
        <f>IFERROR(__xludf.DUMMYFUNCTION("""COMPUTED_VALUE"""),45789.6458333333)</f>
        <v>45789.6458333333</v>
      </c>
      <c r="H32" s="17">
        <f>IFERROR(__xludf.DUMMYFUNCTION("""COMPUTED_VALUE"""),2433.3)</f>
        <v>2433.3</v>
      </c>
      <c r="I32" s="16">
        <f>IFERROR(__xludf.DUMMYFUNCTION("""COMPUTED_VALUE"""),45789.6458333333)</f>
        <v>45789.6458333333</v>
      </c>
      <c r="J32" s="17">
        <f>IFERROR(__xludf.DUMMYFUNCTION("""COMPUTED_VALUE"""),2315)</f>
        <v>2315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IFERROR(__xludf.DUMMYFUNCTION("""COMPUTED_VALUE"""),2441.2)</f>
        <v>2441.2</v>
      </c>
      <c r="C33" s="16">
        <f>IFERROR(__xludf.DUMMYFUNCTION("""COMPUTED_VALUE"""),45790.6458333333)</f>
        <v>45790.6458333333</v>
      </c>
      <c r="D33" s="17">
        <f>IFERROR(__xludf.DUMMYFUNCTION("""COMPUTED_VALUE"""),2425)</f>
        <v>2425</v>
      </c>
      <c r="E33" s="16">
        <f>IFERROR(__xludf.DUMMYFUNCTION("""COMPUTED_VALUE"""),45790.6458333333)</f>
        <v>45790.6458333333</v>
      </c>
      <c r="F33" s="17">
        <f>IFERROR(__xludf.DUMMYFUNCTION("""COMPUTED_VALUE"""),1815179)</f>
        <v>1815179</v>
      </c>
      <c r="G33" s="16">
        <f>IFERROR(__xludf.DUMMYFUNCTION("""COMPUTED_VALUE"""),45790.6458333333)</f>
        <v>45790.6458333333</v>
      </c>
      <c r="H33" s="17">
        <f>IFERROR(__xludf.DUMMYFUNCTION("""COMPUTED_VALUE"""),2454.9)</f>
        <v>2454.9</v>
      </c>
      <c r="I33" s="16">
        <f>IFERROR(__xludf.DUMMYFUNCTION("""COMPUTED_VALUE"""),45790.6458333333)</f>
        <v>45790.6458333333</v>
      </c>
      <c r="J33" s="17">
        <f>IFERROR(__xludf.DUMMYFUNCTION("""COMPUTED_VALUE"""),2405)</f>
        <v>2405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IFERROR(__xludf.DUMMYFUNCTION("""COMPUTED_VALUE"""),2461.9)</f>
        <v>2461.9</v>
      </c>
      <c r="C34" s="16">
        <f>IFERROR(__xludf.DUMMYFUNCTION("""COMPUTED_VALUE"""),45791.6458333333)</f>
        <v>45791.6458333333</v>
      </c>
      <c r="D34" s="17">
        <f>IFERROR(__xludf.DUMMYFUNCTION("""COMPUTED_VALUE"""),2444.9)</f>
        <v>2444.9</v>
      </c>
      <c r="E34" s="16">
        <f>IFERROR(__xludf.DUMMYFUNCTION("""COMPUTED_VALUE"""),45791.6458333333)</f>
        <v>45791.6458333333</v>
      </c>
      <c r="F34" s="17">
        <f>IFERROR(__xludf.DUMMYFUNCTION("""COMPUTED_VALUE"""),774441)</f>
        <v>774441</v>
      </c>
      <c r="G34" s="16">
        <f>IFERROR(__xludf.DUMMYFUNCTION("""COMPUTED_VALUE"""),45791.6458333333)</f>
        <v>45791.6458333333</v>
      </c>
      <c r="H34" s="17">
        <f>IFERROR(__xludf.DUMMYFUNCTION("""COMPUTED_VALUE"""),2481.9)</f>
        <v>2481.9</v>
      </c>
      <c r="I34" s="16">
        <f>IFERROR(__xludf.DUMMYFUNCTION("""COMPUTED_VALUE"""),45791.6458333333)</f>
        <v>45791.6458333333</v>
      </c>
      <c r="J34" s="17">
        <f>IFERROR(__xludf.DUMMYFUNCTION("""COMPUTED_VALUE"""),2430.1)</f>
        <v>2430.1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IFERROR(__xludf.DUMMYFUNCTION("""COMPUTED_VALUE"""),2520)</f>
        <v>2520</v>
      </c>
      <c r="C35" s="16">
        <f>IFERROR(__xludf.DUMMYFUNCTION("""COMPUTED_VALUE"""),45792.6458333333)</f>
        <v>45792.6458333333</v>
      </c>
      <c r="D35" s="17">
        <f>IFERROR(__xludf.DUMMYFUNCTION("""COMPUTED_VALUE"""),2463.4)</f>
        <v>2463.4</v>
      </c>
      <c r="E35" s="16">
        <f>IFERROR(__xludf.DUMMYFUNCTION("""COMPUTED_VALUE"""),45792.6458333333)</f>
        <v>45792.6458333333</v>
      </c>
      <c r="F35" s="17">
        <f>IFERROR(__xludf.DUMMYFUNCTION("""COMPUTED_VALUE"""),1554801)</f>
        <v>1554801</v>
      </c>
      <c r="G35" s="16">
        <f>IFERROR(__xludf.DUMMYFUNCTION("""COMPUTED_VALUE"""),45792.6458333333)</f>
        <v>45792.6458333333</v>
      </c>
      <c r="H35" s="17">
        <f>IFERROR(__xludf.DUMMYFUNCTION("""COMPUTED_VALUE"""),2526.8)</f>
        <v>2526.8</v>
      </c>
      <c r="I35" s="16">
        <f>IFERROR(__xludf.DUMMYFUNCTION("""COMPUTED_VALUE"""),45792.6458333333)</f>
        <v>45792.6458333333</v>
      </c>
      <c r="J35" s="17">
        <f>IFERROR(__xludf.DUMMYFUNCTION("""COMPUTED_VALUE"""),2450.7)</f>
        <v>2450.7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IFERROR(__xludf.DUMMYFUNCTION("""COMPUTED_VALUE"""),2555)</f>
        <v>2555</v>
      </c>
      <c r="C36" s="16">
        <f>IFERROR(__xludf.DUMMYFUNCTION("""COMPUTED_VALUE"""),45793.6458333333)</f>
        <v>45793.6458333333</v>
      </c>
      <c r="D36" s="17">
        <f>IFERROR(__xludf.DUMMYFUNCTION("""COMPUTED_VALUE"""),2529)</f>
        <v>2529</v>
      </c>
      <c r="E36" s="16">
        <f>IFERROR(__xludf.DUMMYFUNCTION("""COMPUTED_VALUE"""),45793.6458333333)</f>
        <v>45793.6458333333</v>
      </c>
      <c r="F36" s="17">
        <f>IFERROR(__xludf.DUMMYFUNCTION("""COMPUTED_VALUE"""),1641135)</f>
        <v>1641135</v>
      </c>
      <c r="G36" s="16">
        <f>IFERROR(__xludf.DUMMYFUNCTION("""COMPUTED_VALUE"""),45793.6458333333)</f>
        <v>45793.6458333333</v>
      </c>
      <c r="H36" s="17">
        <f>IFERROR(__xludf.DUMMYFUNCTION("""COMPUTED_VALUE"""),2584.2)</f>
        <v>2584.2</v>
      </c>
      <c r="I36" s="16">
        <f>IFERROR(__xludf.DUMMYFUNCTION("""COMPUTED_VALUE"""),45793.6458333333)</f>
        <v>45793.6458333333</v>
      </c>
      <c r="J36" s="17">
        <f>IFERROR(__xludf.DUMMYFUNCTION("""COMPUTED_VALUE"""),2516.2)</f>
        <v>2516.2</v>
      </c>
      <c r="K36" s="3">
        <f t="shared" si="2"/>
        <v>2555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IFERROR(__xludf.DUMMYFUNCTION("""COMPUTED_VALUE"""),2540.6)</f>
        <v>2540.6</v>
      </c>
      <c r="C37" s="16">
        <f>IFERROR(__xludf.DUMMYFUNCTION("""COMPUTED_VALUE"""),45796.6458333333)</f>
        <v>45796.6458333333</v>
      </c>
      <c r="D37" s="17">
        <f>IFERROR(__xludf.DUMMYFUNCTION("""COMPUTED_VALUE"""),2571.3)</f>
        <v>2571.3</v>
      </c>
      <c r="E37" s="16">
        <f>IFERROR(__xludf.DUMMYFUNCTION("""COMPUTED_VALUE"""),45796.6458333333)</f>
        <v>45796.6458333333</v>
      </c>
      <c r="F37" s="17">
        <f>IFERROR(__xludf.DUMMYFUNCTION("""COMPUTED_VALUE"""),681000)</f>
        <v>681000</v>
      </c>
      <c r="G37" s="16">
        <f>IFERROR(__xludf.DUMMYFUNCTION("""COMPUTED_VALUE"""),45796.6458333333)</f>
        <v>45796.6458333333</v>
      </c>
      <c r="H37" s="17">
        <f>IFERROR(__xludf.DUMMYFUNCTION("""COMPUTED_VALUE"""),2578.8)</f>
        <v>2578.8</v>
      </c>
      <c r="I37" s="16">
        <f>IFERROR(__xludf.DUMMYFUNCTION("""COMPUTED_VALUE"""),45796.6458333333)</f>
        <v>45796.6458333333</v>
      </c>
      <c r="J37" s="17">
        <f>IFERROR(__xludf.DUMMYFUNCTION("""COMPUTED_VALUE"""),2536)</f>
        <v>2536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IFERROR(__xludf.DUMMYFUNCTION("""COMPUTED_VALUE"""),2501.6)</f>
        <v>2501.6</v>
      </c>
      <c r="C38" s="16">
        <f>IFERROR(__xludf.DUMMYFUNCTION("""COMPUTED_VALUE"""),45797.6458333333)</f>
        <v>45797.6458333333</v>
      </c>
      <c r="D38" s="17">
        <f>IFERROR(__xludf.DUMMYFUNCTION("""COMPUTED_VALUE"""),2545)</f>
        <v>2545</v>
      </c>
      <c r="E38" s="16">
        <f>IFERROR(__xludf.DUMMYFUNCTION("""COMPUTED_VALUE"""),45797.6458333333)</f>
        <v>45797.6458333333</v>
      </c>
      <c r="F38" s="17">
        <f>IFERROR(__xludf.DUMMYFUNCTION("""COMPUTED_VALUE"""),628023)</f>
        <v>628023</v>
      </c>
      <c r="G38" s="16">
        <f>IFERROR(__xludf.DUMMYFUNCTION("""COMPUTED_VALUE"""),45797.6458333333)</f>
        <v>45797.6458333333</v>
      </c>
      <c r="H38" s="17">
        <f>IFERROR(__xludf.DUMMYFUNCTION("""COMPUTED_VALUE"""),2564.8)</f>
        <v>2564.8</v>
      </c>
      <c r="I38" s="16">
        <f>IFERROR(__xludf.DUMMYFUNCTION("""COMPUTED_VALUE"""),45797.6458333333)</f>
        <v>45797.6458333333</v>
      </c>
      <c r="J38" s="17">
        <f>IFERROR(__xludf.DUMMYFUNCTION("""COMPUTED_VALUE"""),2492.5)</f>
        <v>2492.5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IFERROR(__xludf.DUMMYFUNCTION("""COMPUTED_VALUE"""),2500.4)</f>
        <v>2500.4</v>
      </c>
      <c r="C39" s="16">
        <f>IFERROR(__xludf.DUMMYFUNCTION("""COMPUTED_VALUE"""),45798.6458333333)</f>
        <v>45798.6458333333</v>
      </c>
      <c r="D39" s="17">
        <f>IFERROR(__xludf.DUMMYFUNCTION("""COMPUTED_VALUE"""),2509.7)</f>
        <v>2509.7</v>
      </c>
      <c r="E39" s="16">
        <f>IFERROR(__xludf.DUMMYFUNCTION("""COMPUTED_VALUE"""),45798.6458333333)</f>
        <v>45798.6458333333</v>
      </c>
      <c r="F39" s="17">
        <f>IFERROR(__xludf.DUMMYFUNCTION("""COMPUTED_VALUE"""),529234)</f>
        <v>529234</v>
      </c>
      <c r="G39" s="16">
        <f>IFERROR(__xludf.DUMMYFUNCTION("""COMPUTED_VALUE"""),45798.6458333333)</f>
        <v>45798.6458333333</v>
      </c>
      <c r="H39" s="17">
        <f>IFERROR(__xludf.DUMMYFUNCTION("""COMPUTED_VALUE"""),2524.5)</f>
        <v>2524.5</v>
      </c>
      <c r="I39" s="16">
        <f>IFERROR(__xludf.DUMMYFUNCTION("""COMPUTED_VALUE"""),45798.6458333333)</f>
        <v>45798.6458333333</v>
      </c>
      <c r="J39" s="17">
        <f>IFERROR(__xludf.DUMMYFUNCTION("""COMPUTED_VALUE"""),2483.7)</f>
        <v>2483.7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IFERROR(__xludf.DUMMYFUNCTION("""COMPUTED_VALUE"""),2487.6)</f>
        <v>2487.6</v>
      </c>
      <c r="C40" s="16">
        <f>IFERROR(__xludf.DUMMYFUNCTION("""COMPUTED_VALUE"""),45799.6458333333)</f>
        <v>45799.6458333333</v>
      </c>
      <c r="D40" s="17">
        <f>IFERROR(__xludf.DUMMYFUNCTION("""COMPUTED_VALUE"""),2500.4)</f>
        <v>2500.4</v>
      </c>
      <c r="E40" s="16">
        <f>IFERROR(__xludf.DUMMYFUNCTION("""COMPUTED_VALUE"""),45799.6458333333)</f>
        <v>45799.6458333333</v>
      </c>
      <c r="F40" s="17">
        <f>IFERROR(__xludf.DUMMYFUNCTION("""COMPUTED_VALUE"""),906909)</f>
        <v>906909</v>
      </c>
      <c r="G40" s="16">
        <f>IFERROR(__xludf.DUMMYFUNCTION("""COMPUTED_VALUE"""),45799.6458333333)</f>
        <v>45799.6458333333</v>
      </c>
      <c r="H40" s="17">
        <f>IFERROR(__xludf.DUMMYFUNCTION("""COMPUTED_VALUE"""),2521.9)</f>
        <v>2521.9</v>
      </c>
      <c r="I40" s="16">
        <f>IFERROR(__xludf.DUMMYFUNCTION("""COMPUTED_VALUE"""),45799.6458333333)</f>
        <v>45799.6458333333</v>
      </c>
      <c r="J40" s="17">
        <f>IFERROR(__xludf.DUMMYFUNCTION("""COMPUTED_VALUE"""),2465.3)</f>
        <v>2465.3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IFERROR(__xludf.DUMMYFUNCTION("""COMPUTED_VALUE"""),2540)</f>
        <v>2540</v>
      </c>
      <c r="C41" s="16">
        <f>IFERROR(__xludf.DUMMYFUNCTION("""COMPUTED_VALUE"""),45800.6458333333)</f>
        <v>45800.6458333333</v>
      </c>
      <c r="D41" s="17">
        <f>IFERROR(__xludf.DUMMYFUNCTION("""COMPUTED_VALUE"""),2499)</f>
        <v>2499</v>
      </c>
      <c r="E41" s="16">
        <f>IFERROR(__xludf.DUMMYFUNCTION("""COMPUTED_VALUE"""),45800.6458333333)</f>
        <v>45800.6458333333</v>
      </c>
      <c r="F41" s="17">
        <f>IFERROR(__xludf.DUMMYFUNCTION("""COMPUTED_VALUE"""),968415)</f>
        <v>968415</v>
      </c>
      <c r="G41" s="16">
        <f>IFERROR(__xludf.DUMMYFUNCTION("""COMPUTED_VALUE"""),45800.6458333333)</f>
        <v>45800.6458333333</v>
      </c>
      <c r="H41" s="17">
        <f>IFERROR(__xludf.DUMMYFUNCTION("""COMPUTED_VALUE"""),2548.1)</f>
        <v>2548.1</v>
      </c>
      <c r="I41" s="16">
        <f>IFERROR(__xludf.DUMMYFUNCTION("""COMPUTED_VALUE"""),45800.6458333333)</f>
        <v>45800.6458333333</v>
      </c>
      <c r="J41" s="17">
        <f>IFERROR(__xludf.DUMMYFUNCTION("""COMPUTED_VALUE"""),2490.5)</f>
        <v>2490.5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IFERROR(__xludf.DUMMYFUNCTION("""COMPUTED_VALUE"""),2547.7)</f>
        <v>2547.7</v>
      </c>
      <c r="C42" s="16">
        <f>IFERROR(__xludf.DUMMYFUNCTION("""COMPUTED_VALUE"""),45803.6458333333)</f>
        <v>45803.6458333333</v>
      </c>
      <c r="D42" s="17">
        <f>IFERROR(__xludf.DUMMYFUNCTION("""COMPUTED_VALUE"""),2549.1)</f>
        <v>2549.1</v>
      </c>
      <c r="E42" s="16">
        <f>IFERROR(__xludf.DUMMYFUNCTION("""COMPUTED_VALUE"""),45803.6458333333)</f>
        <v>45803.6458333333</v>
      </c>
      <c r="F42" s="17">
        <f>IFERROR(__xludf.DUMMYFUNCTION("""COMPUTED_VALUE"""),552912)</f>
        <v>552912</v>
      </c>
      <c r="G42" s="16">
        <f>IFERROR(__xludf.DUMMYFUNCTION("""COMPUTED_VALUE"""),45803.6458333333)</f>
        <v>45803.6458333333</v>
      </c>
      <c r="H42" s="17">
        <f>IFERROR(__xludf.DUMMYFUNCTION("""COMPUTED_VALUE"""),2568.9)</f>
        <v>2568.9</v>
      </c>
      <c r="I42" s="16">
        <f>IFERROR(__xludf.DUMMYFUNCTION("""COMPUTED_VALUE"""),45803.6458333333)</f>
        <v>45803.6458333333</v>
      </c>
      <c r="J42" s="17">
        <f>IFERROR(__xludf.DUMMYFUNCTION("""COMPUTED_VALUE"""),2541.3)</f>
        <v>2541.3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IFERROR(__xludf.DUMMYFUNCTION("""COMPUTED_VALUE"""),2540.3)</f>
        <v>2540.3</v>
      </c>
      <c r="C43" s="16">
        <f>IFERROR(__xludf.DUMMYFUNCTION("""COMPUTED_VALUE"""),45804.6458333333)</f>
        <v>45804.6458333333</v>
      </c>
      <c r="D43" s="17">
        <f>IFERROR(__xludf.DUMMYFUNCTION("""COMPUTED_VALUE"""),2545.9)</f>
        <v>2545.9</v>
      </c>
      <c r="E43" s="16">
        <f>IFERROR(__xludf.DUMMYFUNCTION("""COMPUTED_VALUE"""),45804.6458333333)</f>
        <v>45804.6458333333</v>
      </c>
      <c r="F43" s="17">
        <f>IFERROR(__xludf.DUMMYFUNCTION("""COMPUTED_VALUE"""),514936)</f>
        <v>514936</v>
      </c>
      <c r="G43" s="16">
        <f>IFERROR(__xludf.DUMMYFUNCTION("""COMPUTED_VALUE"""),45804.6458333333)</f>
        <v>45804.6458333333</v>
      </c>
      <c r="H43" s="17">
        <f>IFERROR(__xludf.DUMMYFUNCTION("""COMPUTED_VALUE"""),2569.1)</f>
        <v>2569.1</v>
      </c>
      <c r="I43" s="16">
        <f>IFERROR(__xludf.DUMMYFUNCTION("""COMPUTED_VALUE"""),45804.6458333333)</f>
        <v>45804.6458333333</v>
      </c>
      <c r="J43" s="17">
        <f>IFERROR(__xludf.DUMMYFUNCTION("""COMPUTED_VALUE"""),2526.1)</f>
        <v>2526.1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IFERROR(__xludf.DUMMYFUNCTION("""COMPUTED_VALUE"""),2515)</f>
        <v>2515</v>
      </c>
      <c r="C44" s="16">
        <f>IFERROR(__xludf.DUMMYFUNCTION("""COMPUTED_VALUE"""),45805.6458333333)</f>
        <v>45805.6458333333</v>
      </c>
      <c r="D44" s="17">
        <f>IFERROR(__xludf.DUMMYFUNCTION("""COMPUTED_VALUE"""),2559)</f>
        <v>2559</v>
      </c>
      <c r="E44" s="16">
        <f>IFERROR(__xludf.DUMMYFUNCTION("""COMPUTED_VALUE"""),45805.6458333333)</f>
        <v>45805.6458333333</v>
      </c>
      <c r="F44" s="17">
        <f>IFERROR(__xludf.DUMMYFUNCTION("""COMPUTED_VALUE"""),575989)</f>
        <v>575989</v>
      </c>
      <c r="G44" s="16">
        <f>IFERROR(__xludf.DUMMYFUNCTION("""COMPUTED_VALUE"""),45805.6458333333)</f>
        <v>45805.6458333333</v>
      </c>
      <c r="H44" s="17">
        <f>IFERROR(__xludf.DUMMYFUNCTION("""COMPUTED_VALUE"""),2559)</f>
        <v>2559</v>
      </c>
      <c r="I44" s="16">
        <f>IFERROR(__xludf.DUMMYFUNCTION("""COMPUTED_VALUE"""),45805.6458333333)</f>
        <v>45805.6458333333</v>
      </c>
      <c r="J44" s="17">
        <f>IFERROR(__xludf.DUMMYFUNCTION("""COMPUTED_VALUE"""),2510)</f>
        <v>2510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IFERROR(__xludf.DUMMYFUNCTION("""COMPUTED_VALUE"""),2540.8)</f>
        <v>2540.8</v>
      </c>
      <c r="C45" s="16">
        <f>IFERROR(__xludf.DUMMYFUNCTION("""COMPUTED_VALUE"""),45806.6458333333)</f>
        <v>45806.6458333333</v>
      </c>
      <c r="D45" s="17">
        <f>IFERROR(__xludf.DUMMYFUNCTION("""COMPUTED_VALUE"""),2536.7)</f>
        <v>2536.7</v>
      </c>
      <c r="E45" s="16">
        <f>IFERROR(__xludf.DUMMYFUNCTION("""COMPUTED_VALUE"""),45806.6458333333)</f>
        <v>45806.6458333333</v>
      </c>
      <c r="F45" s="17">
        <f>IFERROR(__xludf.DUMMYFUNCTION("""COMPUTED_VALUE"""),802317)</f>
        <v>802317</v>
      </c>
      <c r="G45" s="16">
        <f>IFERROR(__xludf.DUMMYFUNCTION("""COMPUTED_VALUE"""),45806.6458333333)</f>
        <v>45806.6458333333</v>
      </c>
      <c r="H45" s="17">
        <f>IFERROR(__xludf.DUMMYFUNCTION("""COMPUTED_VALUE"""),2559)</f>
        <v>2559</v>
      </c>
      <c r="I45" s="16">
        <f>IFERROR(__xludf.DUMMYFUNCTION("""COMPUTED_VALUE"""),45806.6458333333)</f>
        <v>45806.6458333333</v>
      </c>
      <c r="J45" s="17">
        <f>IFERROR(__xludf.DUMMYFUNCTION("""COMPUTED_VALUE"""),2511)</f>
        <v>2511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IFERROR(__xludf.DUMMYFUNCTION("""COMPUTED_VALUE"""),2519.9)</f>
        <v>2519.9</v>
      </c>
      <c r="C46" s="16">
        <f>IFERROR(__xludf.DUMMYFUNCTION("""COMPUTED_VALUE"""),45807.6458333333)</f>
        <v>45807.6458333333</v>
      </c>
      <c r="D46" s="17">
        <f>IFERROR(__xludf.DUMMYFUNCTION("""COMPUTED_VALUE"""),2550)</f>
        <v>2550</v>
      </c>
      <c r="E46" s="16">
        <f>IFERROR(__xludf.DUMMYFUNCTION("""COMPUTED_VALUE"""),45807.6458333333)</f>
        <v>45807.6458333333</v>
      </c>
      <c r="F46" s="17">
        <f>IFERROR(__xludf.DUMMYFUNCTION("""COMPUTED_VALUE"""),684592)</f>
        <v>684592</v>
      </c>
      <c r="G46" s="16">
        <f>IFERROR(__xludf.DUMMYFUNCTION("""COMPUTED_VALUE"""),45807.6458333333)</f>
        <v>45807.6458333333</v>
      </c>
      <c r="H46" s="17">
        <f>IFERROR(__xludf.DUMMYFUNCTION("""COMPUTED_VALUE"""),2564)</f>
        <v>2564</v>
      </c>
      <c r="I46" s="16">
        <f>IFERROR(__xludf.DUMMYFUNCTION("""COMPUTED_VALUE"""),45807.6458333333)</f>
        <v>45807.6458333333</v>
      </c>
      <c r="J46" s="17">
        <f>IFERROR(__xludf.DUMMYFUNCTION("""COMPUTED_VALUE"""),2513.8)</f>
        <v>2513.8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IFERROR(__xludf.DUMMYFUNCTION("""COMPUTED_VALUE"""),2518.8)</f>
        <v>2518.8</v>
      </c>
      <c r="C47" s="16">
        <f>IFERROR(__xludf.DUMMYFUNCTION("""COMPUTED_VALUE"""),45810.6458333333)</f>
        <v>45810.6458333333</v>
      </c>
      <c r="D47" s="17">
        <f>IFERROR(__xludf.DUMMYFUNCTION("""COMPUTED_VALUE"""),2527)</f>
        <v>2527</v>
      </c>
      <c r="E47" s="16">
        <f>IFERROR(__xludf.DUMMYFUNCTION("""COMPUTED_VALUE"""),45810.6458333333)</f>
        <v>45810.6458333333</v>
      </c>
      <c r="F47" s="17">
        <f>IFERROR(__xludf.DUMMYFUNCTION("""COMPUTED_VALUE"""),1008716)</f>
        <v>1008716</v>
      </c>
      <c r="G47" s="16">
        <f>IFERROR(__xludf.DUMMYFUNCTION("""COMPUTED_VALUE"""),45810.6458333333)</f>
        <v>45810.6458333333</v>
      </c>
      <c r="H47" s="17">
        <f>IFERROR(__xludf.DUMMYFUNCTION("""COMPUTED_VALUE"""),2564)</f>
        <v>2564</v>
      </c>
      <c r="I47" s="16">
        <f>IFERROR(__xludf.DUMMYFUNCTION("""COMPUTED_VALUE"""),45810.6458333333)</f>
        <v>45810.6458333333</v>
      </c>
      <c r="J47" s="17">
        <f>IFERROR(__xludf.DUMMYFUNCTION("""COMPUTED_VALUE"""),2514.9)</f>
        <v>2514.9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IFERROR(__xludf.DUMMYFUNCTION("""COMPUTED_VALUE"""),2470.9)</f>
        <v>2470.9</v>
      </c>
      <c r="C48" s="16">
        <f>IFERROR(__xludf.DUMMYFUNCTION("""COMPUTED_VALUE"""),45811.6458333333)</f>
        <v>45811.6458333333</v>
      </c>
      <c r="D48" s="17">
        <f>IFERROR(__xludf.DUMMYFUNCTION("""COMPUTED_VALUE"""),2511)</f>
        <v>2511</v>
      </c>
      <c r="E48" s="16">
        <f>IFERROR(__xludf.DUMMYFUNCTION("""COMPUTED_VALUE"""),45811.6458333333)</f>
        <v>45811.6458333333</v>
      </c>
      <c r="F48" s="17">
        <f>IFERROR(__xludf.DUMMYFUNCTION("""COMPUTED_VALUE"""),962708)</f>
        <v>962708</v>
      </c>
      <c r="G48" s="16">
        <f>IFERROR(__xludf.DUMMYFUNCTION("""COMPUTED_VALUE"""),45811.6458333333)</f>
        <v>45811.6458333333</v>
      </c>
      <c r="H48" s="17">
        <f>IFERROR(__xludf.DUMMYFUNCTION("""COMPUTED_VALUE"""),2512.5)</f>
        <v>2512.5</v>
      </c>
      <c r="I48" s="16">
        <f>IFERROR(__xludf.DUMMYFUNCTION("""COMPUTED_VALUE"""),45811.6458333333)</f>
        <v>45811.6458333333</v>
      </c>
      <c r="J48" s="17">
        <f>IFERROR(__xludf.DUMMYFUNCTION("""COMPUTED_VALUE"""),2452)</f>
        <v>2452</v>
      </c>
      <c r="K48" s="3">
        <f t="shared" si="2"/>
        <v>0</v>
      </c>
      <c r="L48" s="3">
        <f t="shared" si="3"/>
        <v>2470.9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IFERROR(__xludf.DUMMYFUNCTION("""COMPUTED_VALUE"""),2489.4)</f>
        <v>2489.4</v>
      </c>
      <c r="C49" s="16">
        <f>IFERROR(__xludf.DUMMYFUNCTION("""COMPUTED_VALUE"""),45812.6458333333)</f>
        <v>45812.6458333333</v>
      </c>
      <c r="D49" s="17">
        <f>IFERROR(__xludf.DUMMYFUNCTION("""COMPUTED_VALUE"""),2480)</f>
        <v>2480</v>
      </c>
      <c r="E49" s="16">
        <f>IFERROR(__xludf.DUMMYFUNCTION("""COMPUTED_VALUE"""),45812.6458333333)</f>
        <v>45812.6458333333</v>
      </c>
      <c r="F49" s="17">
        <f>IFERROR(__xludf.DUMMYFUNCTION("""COMPUTED_VALUE"""),552667)</f>
        <v>552667</v>
      </c>
      <c r="G49" s="16">
        <f>IFERROR(__xludf.DUMMYFUNCTION("""COMPUTED_VALUE"""),45812.6458333333)</f>
        <v>45812.6458333333</v>
      </c>
      <c r="H49" s="17">
        <f>IFERROR(__xludf.DUMMYFUNCTION("""COMPUTED_VALUE"""),2503)</f>
        <v>2503</v>
      </c>
      <c r="I49" s="16">
        <f>IFERROR(__xludf.DUMMYFUNCTION("""COMPUTED_VALUE"""),45812.6458333333)</f>
        <v>45812.6458333333</v>
      </c>
      <c r="J49" s="17">
        <f>IFERROR(__xludf.DUMMYFUNCTION("""COMPUTED_VALUE"""),2441.1)</f>
        <v>2441.1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IFERROR(__xludf.DUMMYFUNCTION("""COMPUTED_VALUE"""),2504.4)</f>
        <v>2504.4</v>
      </c>
      <c r="C50" s="16">
        <f>IFERROR(__xludf.DUMMYFUNCTION("""COMPUTED_VALUE"""),45813.6458333333)</f>
        <v>45813.6458333333</v>
      </c>
      <c r="D50" s="17">
        <f>IFERROR(__xludf.DUMMYFUNCTION("""COMPUTED_VALUE"""),2495)</f>
        <v>2495</v>
      </c>
      <c r="E50" s="16">
        <f>IFERROR(__xludf.DUMMYFUNCTION("""COMPUTED_VALUE"""),45813.6458333333)</f>
        <v>45813.6458333333</v>
      </c>
      <c r="F50" s="17">
        <f>IFERROR(__xludf.DUMMYFUNCTION("""COMPUTED_VALUE"""),673209)</f>
        <v>673209</v>
      </c>
      <c r="G50" s="16">
        <f>IFERROR(__xludf.DUMMYFUNCTION("""COMPUTED_VALUE"""),45813.6458333333)</f>
        <v>45813.6458333333</v>
      </c>
      <c r="H50" s="17">
        <f>IFERROR(__xludf.DUMMYFUNCTION("""COMPUTED_VALUE"""),2530.1)</f>
        <v>2530.1</v>
      </c>
      <c r="I50" s="16">
        <f>IFERROR(__xludf.DUMMYFUNCTION("""COMPUTED_VALUE"""),45813.6458333333)</f>
        <v>45813.6458333333</v>
      </c>
      <c r="J50" s="17">
        <f>IFERROR(__xludf.DUMMYFUNCTION("""COMPUTED_VALUE"""),2487.5)</f>
        <v>2487.5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IFERROR(__xludf.DUMMYFUNCTION("""COMPUTED_VALUE"""),2534.2)</f>
        <v>2534.2</v>
      </c>
      <c r="C51" s="16">
        <f>IFERROR(__xludf.DUMMYFUNCTION("""COMPUTED_VALUE"""),45814.6458333333)</f>
        <v>45814.6458333333</v>
      </c>
      <c r="D51" s="17">
        <f>IFERROR(__xludf.DUMMYFUNCTION("""COMPUTED_VALUE"""),2514.9)</f>
        <v>2514.9</v>
      </c>
      <c r="E51" s="16">
        <f>IFERROR(__xludf.DUMMYFUNCTION("""COMPUTED_VALUE"""),45814.6458333333)</f>
        <v>45814.6458333333</v>
      </c>
      <c r="F51" s="17">
        <f>IFERROR(__xludf.DUMMYFUNCTION("""COMPUTED_VALUE"""),640680)</f>
        <v>640680</v>
      </c>
      <c r="G51" s="16">
        <f>IFERROR(__xludf.DUMMYFUNCTION("""COMPUTED_VALUE"""),45814.6458333333)</f>
        <v>45814.6458333333</v>
      </c>
      <c r="H51" s="17">
        <f>IFERROR(__xludf.DUMMYFUNCTION("""COMPUTED_VALUE"""),2553.3)</f>
        <v>2553.3</v>
      </c>
      <c r="I51" s="16">
        <f>IFERROR(__xludf.DUMMYFUNCTION("""COMPUTED_VALUE"""),45814.6458333333)</f>
        <v>45814.6458333333</v>
      </c>
      <c r="J51" s="17">
        <f>IFERROR(__xludf.DUMMYFUNCTION("""COMPUTED_VALUE"""),2504)</f>
        <v>2504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IFERROR(__xludf.DUMMYFUNCTION("""COMPUTED_VALUE"""),2582.1)</f>
        <v>2582.1</v>
      </c>
      <c r="C52" s="16">
        <f>IFERROR(__xludf.DUMMYFUNCTION("""COMPUTED_VALUE"""),45817.6458333333)</f>
        <v>45817.6458333333</v>
      </c>
      <c r="D52" s="17">
        <f>IFERROR(__xludf.DUMMYFUNCTION("""COMPUTED_VALUE"""),2545)</f>
        <v>2545</v>
      </c>
      <c r="E52" s="16">
        <f>IFERROR(__xludf.DUMMYFUNCTION("""COMPUTED_VALUE"""),45817.6458333333)</f>
        <v>45817.6458333333</v>
      </c>
      <c r="F52" s="17">
        <f>IFERROR(__xludf.DUMMYFUNCTION("""COMPUTED_VALUE"""),1711167)</f>
        <v>1711167</v>
      </c>
      <c r="G52" s="16">
        <f>IFERROR(__xludf.DUMMYFUNCTION("""COMPUTED_VALUE"""),45817.6458333333)</f>
        <v>45817.6458333333</v>
      </c>
      <c r="H52" s="17">
        <f>IFERROR(__xludf.DUMMYFUNCTION("""COMPUTED_VALUE"""),2604.1)</f>
        <v>2604.1</v>
      </c>
      <c r="I52" s="16">
        <f>IFERROR(__xludf.DUMMYFUNCTION("""COMPUTED_VALUE"""),45817.6458333333)</f>
        <v>45817.6458333333</v>
      </c>
      <c r="J52" s="17">
        <f>IFERROR(__xludf.DUMMYFUNCTION("""COMPUTED_VALUE"""),2524.5)</f>
        <v>2524.5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IFERROR(__xludf.DUMMYFUNCTION("""COMPUTED_VALUE"""),2613.1)</f>
        <v>2613.1</v>
      </c>
      <c r="C53" s="16">
        <f>IFERROR(__xludf.DUMMYFUNCTION("""COMPUTED_VALUE"""),45818.6458333333)</f>
        <v>45818.6458333333</v>
      </c>
      <c r="D53" s="17">
        <f>IFERROR(__xludf.DUMMYFUNCTION("""COMPUTED_VALUE"""),2600)</f>
        <v>2600</v>
      </c>
      <c r="E53" s="16">
        <f>IFERROR(__xludf.DUMMYFUNCTION("""COMPUTED_VALUE"""),45818.6458333333)</f>
        <v>45818.6458333333</v>
      </c>
      <c r="F53" s="17">
        <f>IFERROR(__xludf.DUMMYFUNCTION("""COMPUTED_VALUE"""),2084054)</f>
        <v>2084054</v>
      </c>
      <c r="G53" s="16">
        <f>IFERROR(__xludf.DUMMYFUNCTION("""COMPUTED_VALUE"""),45818.6458333333)</f>
        <v>45818.6458333333</v>
      </c>
      <c r="H53" s="17">
        <f>IFERROR(__xludf.DUMMYFUNCTION("""COMPUTED_VALUE"""),2663.2)</f>
        <v>2663.2</v>
      </c>
      <c r="I53" s="16">
        <f>IFERROR(__xludf.DUMMYFUNCTION("""COMPUTED_VALUE"""),45818.6458333333)</f>
        <v>45818.6458333333</v>
      </c>
      <c r="J53" s="17">
        <f>IFERROR(__xludf.DUMMYFUNCTION("""COMPUTED_VALUE"""),2577.7)</f>
        <v>2577.7</v>
      </c>
      <c r="K53" s="3">
        <f t="shared" si="2"/>
        <v>2613.1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IFERROR(__xludf.DUMMYFUNCTION("""COMPUTED_VALUE"""),2581.2)</f>
        <v>2581.2</v>
      </c>
      <c r="C54" s="16">
        <f>IFERROR(__xludf.DUMMYFUNCTION("""COMPUTED_VALUE"""),45819.6458333333)</f>
        <v>45819.6458333333</v>
      </c>
      <c r="D54" s="17">
        <f>IFERROR(__xludf.DUMMYFUNCTION("""COMPUTED_VALUE"""),2630)</f>
        <v>2630</v>
      </c>
      <c r="E54" s="16">
        <f>IFERROR(__xludf.DUMMYFUNCTION("""COMPUTED_VALUE"""),45819.6458333333)</f>
        <v>45819.6458333333</v>
      </c>
      <c r="F54" s="17">
        <f>IFERROR(__xludf.DUMMYFUNCTION("""COMPUTED_VALUE"""),745432)</f>
        <v>745432</v>
      </c>
      <c r="G54" s="16">
        <f>IFERROR(__xludf.DUMMYFUNCTION("""COMPUTED_VALUE"""),45819.6458333333)</f>
        <v>45819.6458333333</v>
      </c>
      <c r="H54" s="17">
        <f>IFERROR(__xludf.DUMMYFUNCTION("""COMPUTED_VALUE"""),2630.9)</f>
        <v>2630.9</v>
      </c>
      <c r="I54" s="16">
        <f>IFERROR(__xludf.DUMMYFUNCTION("""COMPUTED_VALUE"""),45819.6458333333)</f>
        <v>45819.6458333333</v>
      </c>
      <c r="J54" s="17">
        <f>IFERROR(__xludf.DUMMYFUNCTION("""COMPUTED_VALUE"""),2563.1)</f>
        <v>2563.1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IFERROR(__xludf.DUMMYFUNCTION("""COMPUTED_VALUE"""),2543.7)</f>
        <v>2543.7</v>
      </c>
      <c r="C55" s="16">
        <f>IFERROR(__xludf.DUMMYFUNCTION("""COMPUTED_VALUE"""),45820.6458333333)</f>
        <v>45820.6458333333</v>
      </c>
      <c r="D55" s="17">
        <f>IFERROR(__xludf.DUMMYFUNCTION("""COMPUTED_VALUE"""),2591.5)</f>
        <v>2591.5</v>
      </c>
      <c r="E55" s="16">
        <f>IFERROR(__xludf.DUMMYFUNCTION("""COMPUTED_VALUE"""),45820.6458333333)</f>
        <v>45820.6458333333</v>
      </c>
      <c r="F55" s="17">
        <f>IFERROR(__xludf.DUMMYFUNCTION("""COMPUTED_VALUE"""),955097)</f>
        <v>955097</v>
      </c>
      <c r="G55" s="16">
        <f>IFERROR(__xludf.DUMMYFUNCTION("""COMPUTED_VALUE"""),45820.6458333333)</f>
        <v>45820.6458333333</v>
      </c>
      <c r="H55" s="17">
        <f>IFERROR(__xludf.DUMMYFUNCTION("""COMPUTED_VALUE"""),2601.8)</f>
        <v>2601.8</v>
      </c>
      <c r="I55" s="16">
        <f>IFERROR(__xludf.DUMMYFUNCTION("""COMPUTED_VALUE"""),45820.6458333333)</f>
        <v>45820.6458333333</v>
      </c>
      <c r="J55" s="17">
        <f>IFERROR(__xludf.DUMMYFUNCTION("""COMPUTED_VALUE"""),2530)</f>
        <v>2530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IFERROR(__xludf.DUMMYFUNCTION("""COMPUTED_VALUE"""),2507.9)</f>
        <v>2507.9</v>
      </c>
      <c r="C56" s="16">
        <f>IFERROR(__xludf.DUMMYFUNCTION("""COMPUTED_VALUE"""),45821.6458333333)</f>
        <v>45821.6458333333</v>
      </c>
      <c r="D56" s="17">
        <f>IFERROR(__xludf.DUMMYFUNCTION("""COMPUTED_VALUE"""),2498)</f>
        <v>2498</v>
      </c>
      <c r="E56" s="16">
        <f>IFERROR(__xludf.DUMMYFUNCTION("""COMPUTED_VALUE"""),45821.6458333333)</f>
        <v>45821.6458333333</v>
      </c>
      <c r="F56" s="17">
        <f>IFERROR(__xludf.DUMMYFUNCTION("""COMPUTED_VALUE"""),695869)</f>
        <v>695869</v>
      </c>
      <c r="G56" s="16">
        <f>IFERROR(__xludf.DUMMYFUNCTION("""COMPUTED_VALUE"""),45821.6458333333)</f>
        <v>45821.6458333333</v>
      </c>
      <c r="H56" s="17">
        <f>IFERROR(__xludf.DUMMYFUNCTION("""COMPUTED_VALUE"""),2516)</f>
        <v>2516</v>
      </c>
      <c r="I56" s="16">
        <f>IFERROR(__xludf.DUMMYFUNCTION("""COMPUTED_VALUE"""),45821.6458333333)</f>
        <v>45821.6458333333</v>
      </c>
      <c r="J56" s="17">
        <f>IFERROR(__xludf.DUMMYFUNCTION("""COMPUTED_VALUE"""),2460)</f>
        <v>2460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IFERROR(__xludf.DUMMYFUNCTION("""COMPUTED_VALUE"""),2544)</f>
        <v>2544</v>
      </c>
      <c r="C57" s="16">
        <f>IFERROR(__xludf.DUMMYFUNCTION("""COMPUTED_VALUE"""),45824.6458333333)</f>
        <v>45824.6458333333</v>
      </c>
      <c r="D57" s="17">
        <f>IFERROR(__xludf.DUMMYFUNCTION("""COMPUTED_VALUE"""),2500)</f>
        <v>2500</v>
      </c>
      <c r="E57" s="16">
        <f>IFERROR(__xludf.DUMMYFUNCTION("""COMPUTED_VALUE"""),45824.6458333333)</f>
        <v>45824.6458333333</v>
      </c>
      <c r="F57" s="17">
        <f>IFERROR(__xludf.DUMMYFUNCTION("""COMPUTED_VALUE"""),956459)</f>
        <v>956459</v>
      </c>
      <c r="G57" s="16">
        <f>IFERROR(__xludf.DUMMYFUNCTION("""COMPUTED_VALUE"""),45824.6458333333)</f>
        <v>45824.6458333333</v>
      </c>
      <c r="H57" s="17">
        <f>IFERROR(__xludf.DUMMYFUNCTION("""COMPUTED_VALUE"""),2563.3)</f>
        <v>2563.3</v>
      </c>
      <c r="I57" s="16">
        <f>IFERROR(__xludf.DUMMYFUNCTION("""COMPUTED_VALUE"""),45824.6458333333)</f>
        <v>45824.6458333333</v>
      </c>
      <c r="J57" s="17">
        <f>IFERROR(__xludf.DUMMYFUNCTION("""COMPUTED_VALUE"""),2462)</f>
        <v>2462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IFERROR(__xludf.DUMMYFUNCTION("""COMPUTED_VALUE"""),2488.5)</f>
        <v>2488.5</v>
      </c>
      <c r="C58" s="16">
        <f>IFERROR(__xludf.DUMMYFUNCTION("""COMPUTED_VALUE"""),45825.6458333333)</f>
        <v>45825.6458333333</v>
      </c>
      <c r="D58" s="17">
        <f>IFERROR(__xludf.DUMMYFUNCTION("""COMPUTED_VALUE"""),2535)</f>
        <v>2535</v>
      </c>
      <c r="E58" s="16">
        <f>IFERROR(__xludf.DUMMYFUNCTION("""COMPUTED_VALUE"""),45825.6458333333)</f>
        <v>45825.6458333333</v>
      </c>
      <c r="F58" s="17">
        <f>IFERROR(__xludf.DUMMYFUNCTION("""COMPUTED_VALUE"""),703343)</f>
        <v>703343</v>
      </c>
      <c r="G58" s="16">
        <f>IFERROR(__xludf.DUMMYFUNCTION("""COMPUTED_VALUE"""),45825.6458333333)</f>
        <v>45825.6458333333</v>
      </c>
      <c r="H58" s="17">
        <f>IFERROR(__xludf.DUMMYFUNCTION("""COMPUTED_VALUE"""),2539.6)</f>
        <v>2539.6</v>
      </c>
      <c r="I58" s="16">
        <f>IFERROR(__xludf.DUMMYFUNCTION("""COMPUTED_VALUE"""),45825.6458333333)</f>
        <v>45825.6458333333</v>
      </c>
      <c r="J58" s="17">
        <f>IFERROR(__xludf.DUMMYFUNCTION("""COMPUTED_VALUE"""),2479)</f>
        <v>2479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IFERROR(__xludf.DUMMYFUNCTION("""COMPUTED_VALUE"""),2459.1)</f>
        <v>2459.1</v>
      </c>
      <c r="C59" s="16">
        <f>IFERROR(__xludf.DUMMYFUNCTION("""COMPUTED_VALUE"""),45826.6458333333)</f>
        <v>45826.6458333333</v>
      </c>
      <c r="D59" s="17">
        <f>IFERROR(__xludf.DUMMYFUNCTION("""COMPUTED_VALUE"""),2491.9)</f>
        <v>2491.9</v>
      </c>
      <c r="E59" s="16">
        <f>IFERROR(__xludf.DUMMYFUNCTION("""COMPUTED_VALUE"""),45826.6458333333)</f>
        <v>45826.6458333333</v>
      </c>
      <c r="F59" s="17">
        <f>IFERROR(__xludf.DUMMYFUNCTION("""COMPUTED_VALUE"""),667044)</f>
        <v>667044</v>
      </c>
      <c r="G59" s="16">
        <f>IFERROR(__xludf.DUMMYFUNCTION("""COMPUTED_VALUE"""),45826.6458333333)</f>
        <v>45826.6458333333</v>
      </c>
      <c r="H59" s="17">
        <f>IFERROR(__xludf.DUMMYFUNCTION("""COMPUTED_VALUE"""),2495.9)</f>
        <v>2495.9</v>
      </c>
      <c r="I59" s="16">
        <f>IFERROR(__xludf.DUMMYFUNCTION("""COMPUTED_VALUE"""),45826.6458333333)</f>
        <v>45826.6458333333</v>
      </c>
      <c r="J59" s="17">
        <f>IFERROR(__xludf.DUMMYFUNCTION("""COMPUTED_VALUE"""),2445.4)</f>
        <v>2445.4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IFERROR(__xludf.DUMMYFUNCTION("""COMPUTED_VALUE"""),2420.6)</f>
        <v>2420.6</v>
      </c>
      <c r="C60" s="16">
        <f>IFERROR(__xludf.DUMMYFUNCTION("""COMPUTED_VALUE"""),45827.6458333333)</f>
        <v>45827.6458333333</v>
      </c>
      <c r="D60" s="17">
        <f>IFERROR(__xludf.DUMMYFUNCTION("""COMPUTED_VALUE"""),2466.3)</f>
        <v>2466.3</v>
      </c>
      <c r="E60" s="16">
        <f>IFERROR(__xludf.DUMMYFUNCTION("""COMPUTED_VALUE"""),45827.6458333333)</f>
        <v>45827.6458333333</v>
      </c>
      <c r="F60" s="17">
        <f>IFERROR(__xludf.DUMMYFUNCTION("""COMPUTED_VALUE"""),688209)</f>
        <v>688209</v>
      </c>
      <c r="G60" s="16">
        <f>IFERROR(__xludf.DUMMYFUNCTION("""COMPUTED_VALUE"""),45827.6458333333)</f>
        <v>45827.6458333333</v>
      </c>
      <c r="H60" s="17">
        <f>IFERROR(__xludf.DUMMYFUNCTION("""COMPUTED_VALUE"""),2468.9)</f>
        <v>2468.9</v>
      </c>
      <c r="I60" s="16">
        <f>IFERROR(__xludf.DUMMYFUNCTION("""COMPUTED_VALUE"""),45827.6458333333)</f>
        <v>45827.6458333333</v>
      </c>
      <c r="J60" s="17">
        <f>IFERROR(__xludf.DUMMYFUNCTION("""COMPUTED_VALUE"""),2405.1)</f>
        <v>2405.1</v>
      </c>
      <c r="K60" s="3">
        <f t="shared" si="2"/>
        <v>0</v>
      </c>
      <c r="L60" s="3">
        <f t="shared" si="3"/>
        <v>2420.6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IFERROR(__xludf.DUMMYFUNCTION("""COMPUTED_VALUE"""),2448.4)</f>
        <v>2448.4</v>
      </c>
      <c r="C61" s="16">
        <f>IFERROR(__xludf.DUMMYFUNCTION("""COMPUTED_VALUE"""),45828.6458333333)</f>
        <v>45828.6458333333</v>
      </c>
      <c r="D61" s="17">
        <f>IFERROR(__xludf.DUMMYFUNCTION("""COMPUTED_VALUE"""),2428)</f>
        <v>2428</v>
      </c>
      <c r="E61" s="16">
        <f>IFERROR(__xludf.DUMMYFUNCTION("""COMPUTED_VALUE"""),45828.6458333333)</f>
        <v>45828.6458333333</v>
      </c>
      <c r="F61" s="17">
        <f>IFERROR(__xludf.DUMMYFUNCTION("""COMPUTED_VALUE"""),3002549)</f>
        <v>3002549</v>
      </c>
      <c r="G61" s="16">
        <f>IFERROR(__xludf.DUMMYFUNCTION("""COMPUTED_VALUE"""),45828.6458333333)</f>
        <v>45828.6458333333</v>
      </c>
      <c r="H61" s="17">
        <f>IFERROR(__xludf.DUMMYFUNCTION("""COMPUTED_VALUE"""),2461.3)</f>
        <v>2461.3</v>
      </c>
      <c r="I61" s="16">
        <f>IFERROR(__xludf.DUMMYFUNCTION("""COMPUTED_VALUE"""),45828.6458333333)</f>
        <v>45828.6458333333</v>
      </c>
      <c r="J61" s="17">
        <f>IFERROR(__xludf.DUMMYFUNCTION("""COMPUTED_VALUE"""),2415)</f>
        <v>2415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IFERROR(__xludf.DUMMYFUNCTION("""COMPUTED_VALUE"""),2472)</f>
        <v>2472</v>
      </c>
      <c r="C62" s="16">
        <f>IFERROR(__xludf.DUMMYFUNCTION("""COMPUTED_VALUE"""),45831.6458333333)</f>
        <v>45831.6458333333</v>
      </c>
      <c r="D62" s="17">
        <f>IFERROR(__xludf.DUMMYFUNCTION("""COMPUTED_VALUE"""),2438)</f>
        <v>2438</v>
      </c>
      <c r="E62" s="16">
        <f>IFERROR(__xludf.DUMMYFUNCTION("""COMPUTED_VALUE"""),45831.6458333333)</f>
        <v>45831.6458333333</v>
      </c>
      <c r="F62" s="17">
        <f>IFERROR(__xludf.DUMMYFUNCTION("""COMPUTED_VALUE"""),790535)</f>
        <v>790535</v>
      </c>
      <c r="G62" s="16">
        <f>IFERROR(__xludf.DUMMYFUNCTION("""COMPUTED_VALUE"""),45831.6458333333)</f>
        <v>45831.6458333333</v>
      </c>
      <c r="H62" s="17">
        <f>IFERROR(__xludf.DUMMYFUNCTION("""COMPUTED_VALUE"""),2492.6)</f>
        <v>2492.6</v>
      </c>
      <c r="I62" s="16">
        <f>IFERROR(__xludf.DUMMYFUNCTION("""COMPUTED_VALUE"""),45831.6458333333)</f>
        <v>45831.6458333333</v>
      </c>
      <c r="J62" s="17">
        <f>IFERROR(__xludf.DUMMYFUNCTION("""COMPUTED_VALUE"""),2421)</f>
        <v>2421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IFERROR(__xludf.DUMMYFUNCTION("""COMPUTED_VALUE"""),2505.6)</f>
        <v>2505.6</v>
      </c>
      <c r="C63" s="16">
        <f>IFERROR(__xludf.DUMMYFUNCTION("""COMPUTED_VALUE"""),45832.6458333333)</f>
        <v>45832.6458333333</v>
      </c>
      <c r="D63" s="17">
        <f>IFERROR(__xludf.DUMMYFUNCTION("""COMPUTED_VALUE"""),2504)</f>
        <v>2504</v>
      </c>
      <c r="E63" s="16">
        <f>IFERROR(__xludf.DUMMYFUNCTION("""COMPUTED_VALUE"""),45832.6458333333)</f>
        <v>45832.6458333333</v>
      </c>
      <c r="F63" s="17">
        <f>IFERROR(__xludf.DUMMYFUNCTION("""COMPUTED_VALUE"""),996405)</f>
        <v>996405</v>
      </c>
      <c r="G63" s="16">
        <f>IFERROR(__xludf.DUMMYFUNCTION("""COMPUTED_VALUE"""),45832.6458333333)</f>
        <v>45832.6458333333</v>
      </c>
      <c r="H63" s="17">
        <f>IFERROR(__xludf.DUMMYFUNCTION("""COMPUTED_VALUE"""),2544.6)</f>
        <v>2544.6</v>
      </c>
      <c r="I63" s="16">
        <f>IFERROR(__xludf.DUMMYFUNCTION("""COMPUTED_VALUE"""),45832.6458333333)</f>
        <v>45832.6458333333</v>
      </c>
      <c r="J63" s="17">
        <f>IFERROR(__xludf.DUMMYFUNCTION("""COMPUTED_VALUE"""),2500.2)</f>
        <v>2500.2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IFERROR(__xludf.DUMMYFUNCTION("""COMPUTED_VALUE"""),2527.2)</f>
        <v>2527.2</v>
      </c>
      <c r="C64" s="16">
        <f>IFERROR(__xludf.DUMMYFUNCTION("""COMPUTED_VALUE"""),45833.6458333333)</f>
        <v>45833.6458333333</v>
      </c>
      <c r="D64" s="17">
        <f>IFERROR(__xludf.DUMMYFUNCTION("""COMPUTED_VALUE"""),2519.9)</f>
        <v>2519.9</v>
      </c>
      <c r="E64" s="16">
        <f>IFERROR(__xludf.DUMMYFUNCTION("""COMPUTED_VALUE"""),45833.6458333333)</f>
        <v>45833.6458333333</v>
      </c>
      <c r="F64" s="17">
        <f>IFERROR(__xludf.DUMMYFUNCTION("""COMPUTED_VALUE"""),921346)</f>
        <v>921346</v>
      </c>
      <c r="G64" s="16">
        <f>IFERROR(__xludf.DUMMYFUNCTION("""COMPUTED_VALUE"""),45833.6458333333)</f>
        <v>45833.6458333333</v>
      </c>
      <c r="H64" s="17">
        <f>IFERROR(__xludf.DUMMYFUNCTION("""COMPUTED_VALUE"""),2541.6)</f>
        <v>2541.6</v>
      </c>
      <c r="I64" s="16">
        <f>IFERROR(__xludf.DUMMYFUNCTION("""COMPUTED_VALUE"""),45833.6458333333)</f>
        <v>45833.6458333333</v>
      </c>
      <c r="J64" s="17">
        <f>IFERROR(__xludf.DUMMYFUNCTION("""COMPUTED_VALUE"""),2512.1)</f>
        <v>2512.1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IFERROR(__xludf.DUMMYFUNCTION("""COMPUTED_VALUE"""),2586.2)</f>
        <v>2586.2</v>
      </c>
      <c r="C65" s="16">
        <f>IFERROR(__xludf.DUMMYFUNCTION("""COMPUTED_VALUE"""),45834.6458333333)</f>
        <v>45834.6458333333</v>
      </c>
      <c r="D65" s="17">
        <f>IFERROR(__xludf.DUMMYFUNCTION("""COMPUTED_VALUE"""),2535)</f>
        <v>2535</v>
      </c>
      <c r="E65" s="16">
        <f>IFERROR(__xludf.DUMMYFUNCTION("""COMPUTED_VALUE"""),45834.6458333333)</f>
        <v>45834.6458333333</v>
      </c>
      <c r="F65" s="17">
        <f>IFERROR(__xludf.DUMMYFUNCTION("""COMPUTED_VALUE"""),1339627)</f>
        <v>1339627</v>
      </c>
      <c r="G65" s="16">
        <f>IFERROR(__xludf.DUMMYFUNCTION("""COMPUTED_VALUE"""),45834.6458333333)</f>
        <v>45834.6458333333</v>
      </c>
      <c r="H65" s="17">
        <f>IFERROR(__xludf.DUMMYFUNCTION("""COMPUTED_VALUE"""),2593.6)</f>
        <v>2593.6</v>
      </c>
      <c r="I65" s="16">
        <f>IFERROR(__xludf.DUMMYFUNCTION("""COMPUTED_VALUE"""),45834.6458333333)</f>
        <v>45834.6458333333</v>
      </c>
      <c r="J65" s="17">
        <f>IFERROR(__xludf.DUMMYFUNCTION("""COMPUTED_VALUE"""),2522.2)</f>
        <v>2522.2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IFERROR(__xludf.DUMMYFUNCTION("""COMPUTED_VALUE"""),2646.3)</f>
        <v>2646.3</v>
      </c>
      <c r="C66" s="16">
        <f>IFERROR(__xludf.DUMMYFUNCTION("""COMPUTED_VALUE"""),45835.6458333333)</f>
        <v>45835.6458333333</v>
      </c>
      <c r="D66" s="17">
        <f>IFERROR(__xludf.DUMMYFUNCTION("""COMPUTED_VALUE"""),2587.7)</f>
        <v>2587.7</v>
      </c>
      <c r="E66" s="16">
        <f>IFERROR(__xludf.DUMMYFUNCTION("""COMPUTED_VALUE"""),45835.6458333333)</f>
        <v>45835.6458333333</v>
      </c>
      <c r="F66" s="17">
        <f>IFERROR(__xludf.DUMMYFUNCTION("""COMPUTED_VALUE"""),4049316)</f>
        <v>4049316</v>
      </c>
      <c r="G66" s="16">
        <f>IFERROR(__xludf.DUMMYFUNCTION("""COMPUTED_VALUE"""),45835.6458333333)</f>
        <v>45835.6458333333</v>
      </c>
      <c r="H66" s="17">
        <f>IFERROR(__xludf.DUMMYFUNCTION("""COMPUTED_VALUE"""),2681.6)</f>
        <v>2681.6</v>
      </c>
      <c r="I66" s="16">
        <f>IFERROR(__xludf.DUMMYFUNCTION("""COMPUTED_VALUE"""),45835.6458333333)</f>
        <v>45835.6458333333</v>
      </c>
      <c r="J66" s="17">
        <f>IFERROR(__xludf.DUMMYFUNCTION("""COMPUTED_VALUE"""),2582)</f>
        <v>2582</v>
      </c>
      <c r="K66" s="3">
        <f t="shared" si="2"/>
        <v>2646.3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IFERROR(__xludf.DUMMYFUNCTION("""COMPUTED_VALUE"""),2619.4)</f>
        <v>2619.4</v>
      </c>
      <c r="C67" s="16">
        <f>IFERROR(__xludf.DUMMYFUNCTION("""COMPUTED_VALUE"""),45838.6458333333)</f>
        <v>45838.6458333333</v>
      </c>
      <c r="D67" s="17">
        <f>IFERROR(__xludf.DUMMYFUNCTION("""COMPUTED_VALUE"""),2650)</f>
        <v>2650</v>
      </c>
      <c r="E67" s="16">
        <f>IFERROR(__xludf.DUMMYFUNCTION("""COMPUTED_VALUE"""),45838.6458333333)</f>
        <v>45838.6458333333</v>
      </c>
      <c r="F67" s="17">
        <f>IFERROR(__xludf.DUMMYFUNCTION("""COMPUTED_VALUE"""),694815)</f>
        <v>694815</v>
      </c>
      <c r="G67" s="16">
        <f>IFERROR(__xludf.DUMMYFUNCTION("""COMPUTED_VALUE"""),45838.6458333333)</f>
        <v>45838.6458333333</v>
      </c>
      <c r="H67" s="17">
        <f>IFERROR(__xludf.DUMMYFUNCTION("""COMPUTED_VALUE"""),2653.9)</f>
        <v>2653.9</v>
      </c>
      <c r="I67" s="16">
        <f>IFERROR(__xludf.DUMMYFUNCTION("""COMPUTED_VALUE"""),45838.6458333333)</f>
        <v>45838.6458333333</v>
      </c>
      <c r="J67" s="17">
        <f>IFERROR(__xludf.DUMMYFUNCTION("""COMPUTED_VALUE"""),2605.9)</f>
        <v>2605.9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IFERROR(__xludf.DUMMYFUNCTION("""COMPUTED_VALUE"""),2621.8)</f>
        <v>2621.8</v>
      </c>
      <c r="C68" s="16">
        <f>IFERROR(__xludf.DUMMYFUNCTION("""COMPUTED_VALUE"""),45839.6458333333)</f>
        <v>45839.6458333333</v>
      </c>
      <c r="D68" s="17">
        <f>IFERROR(__xludf.DUMMYFUNCTION("""COMPUTED_VALUE"""),2624.9)</f>
        <v>2624.9</v>
      </c>
      <c r="E68" s="16">
        <f>IFERROR(__xludf.DUMMYFUNCTION("""COMPUTED_VALUE"""),45839.6458333333)</f>
        <v>45839.6458333333</v>
      </c>
      <c r="F68" s="17">
        <f>IFERROR(__xludf.DUMMYFUNCTION("""COMPUTED_VALUE"""),729197)</f>
        <v>729197</v>
      </c>
      <c r="G68" s="16">
        <f>IFERROR(__xludf.DUMMYFUNCTION("""COMPUTED_VALUE"""),45839.6458333333)</f>
        <v>45839.6458333333</v>
      </c>
      <c r="H68" s="17">
        <f>IFERROR(__xludf.DUMMYFUNCTION("""COMPUTED_VALUE"""),2645)</f>
        <v>2645</v>
      </c>
      <c r="I68" s="16">
        <f>IFERROR(__xludf.DUMMYFUNCTION("""COMPUTED_VALUE"""),45839.6458333333)</f>
        <v>45839.6458333333</v>
      </c>
      <c r="J68" s="17">
        <f>IFERROR(__xludf.DUMMYFUNCTION("""COMPUTED_VALUE"""),2603)</f>
        <v>2603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IFERROR(__xludf.DUMMYFUNCTION("""COMPUTED_VALUE"""),2630.2)</f>
        <v>2630.2</v>
      </c>
      <c r="C69" s="16">
        <f>IFERROR(__xludf.DUMMYFUNCTION("""COMPUTED_VALUE"""),45840.6458333333)</f>
        <v>45840.6458333333</v>
      </c>
      <c r="D69" s="17">
        <f>IFERROR(__xludf.DUMMYFUNCTION("""COMPUTED_VALUE"""),2634)</f>
        <v>2634</v>
      </c>
      <c r="E69" s="16">
        <f>IFERROR(__xludf.DUMMYFUNCTION("""COMPUTED_VALUE"""),45840.6458333333)</f>
        <v>45840.6458333333</v>
      </c>
      <c r="F69" s="17">
        <f>IFERROR(__xludf.DUMMYFUNCTION("""COMPUTED_VALUE"""),621409)</f>
        <v>621409</v>
      </c>
      <c r="G69" s="16">
        <f>IFERROR(__xludf.DUMMYFUNCTION("""COMPUTED_VALUE"""),45840.6458333333)</f>
        <v>45840.6458333333</v>
      </c>
      <c r="H69" s="17">
        <f>IFERROR(__xludf.DUMMYFUNCTION("""COMPUTED_VALUE"""),2646)</f>
        <v>2646</v>
      </c>
      <c r="I69" s="16">
        <f>IFERROR(__xludf.DUMMYFUNCTION("""COMPUTED_VALUE"""),45840.6458333333)</f>
        <v>45840.6458333333</v>
      </c>
      <c r="J69" s="17">
        <f>IFERROR(__xludf.DUMMYFUNCTION("""COMPUTED_VALUE"""),2613.6)</f>
        <v>2613.6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IFERROR(__xludf.DUMMYFUNCTION("""COMPUTED_VALUE"""),2611.2)</f>
        <v>2611.2</v>
      </c>
      <c r="C70" s="16">
        <f>IFERROR(__xludf.DUMMYFUNCTION("""COMPUTED_VALUE"""),45841.6458333333)</f>
        <v>45841.6458333333</v>
      </c>
      <c r="D70" s="17">
        <f>IFERROR(__xludf.DUMMYFUNCTION("""COMPUTED_VALUE"""),2634)</f>
        <v>2634</v>
      </c>
      <c r="E70" s="16">
        <f>IFERROR(__xludf.DUMMYFUNCTION("""COMPUTED_VALUE"""),45841.6458333333)</f>
        <v>45841.6458333333</v>
      </c>
      <c r="F70" s="17">
        <f>IFERROR(__xludf.DUMMYFUNCTION("""COMPUTED_VALUE"""),502724)</f>
        <v>502724</v>
      </c>
      <c r="G70" s="16">
        <f>IFERROR(__xludf.DUMMYFUNCTION("""COMPUTED_VALUE"""),45841.6458333333)</f>
        <v>45841.6458333333</v>
      </c>
      <c r="H70" s="17">
        <f>IFERROR(__xludf.DUMMYFUNCTION("""COMPUTED_VALUE"""),2644)</f>
        <v>2644</v>
      </c>
      <c r="I70" s="16">
        <f>IFERROR(__xludf.DUMMYFUNCTION("""COMPUTED_VALUE"""),45841.6458333333)</f>
        <v>45841.6458333333</v>
      </c>
      <c r="J70" s="17">
        <f>IFERROR(__xludf.DUMMYFUNCTION("""COMPUTED_VALUE"""),2605.1)</f>
        <v>2605.1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IFERROR(__xludf.DUMMYFUNCTION("""COMPUTED_VALUE"""),2599.1)</f>
        <v>2599.1</v>
      </c>
      <c r="C71" s="16">
        <f>IFERROR(__xludf.DUMMYFUNCTION("""COMPUTED_VALUE"""),45842.6458333333)</f>
        <v>45842.6458333333</v>
      </c>
      <c r="D71" s="17">
        <f>IFERROR(__xludf.DUMMYFUNCTION("""COMPUTED_VALUE"""),2617)</f>
        <v>2617</v>
      </c>
      <c r="E71" s="16">
        <f>IFERROR(__xludf.DUMMYFUNCTION("""COMPUTED_VALUE"""),45842.6458333333)</f>
        <v>45842.6458333333</v>
      </c>
      <c r="F71" s="17">
        <f>IFERROR(__xludf.DUMMYFUNCTION("""COMPUTED_VALUE"""),370305)</f>
        <v>370305</v>
      </c>
      <c r="G71" s="16">
        <f>IFERROR(__xludf.DUMMYFUNCTION("""COMPUTED_VALUE"""),45842.6458333333)</f>
        <v>45842.6458333333</v>
      </c>
      <c r="H71" s="17">
        <f>IFERROR(__xludf.DUMMYFUNCTION("""COMPUTED_VALUE"""),2617)</f>
        <v>2617</v>
      </c>
      <c r="I71" s="16">
        <f>IFERROR(__xludf.DUMMYFUNCTION("""COMPUTED_VALUE"""),45842.6458333333)</f>
        <v>45842.6458333333</v>
      </c>
      <c r="J71" s="17">
        <f>IFERROR(__xludf.DUMMYFUNCTION("""COMPUTED_VALUE"""),2582.2)</f>
        <v>2582.2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IFERROR(__xludf.DUMMYFUNCTION("""COMPUTED_VALUE"""),2576.1)</f>
        <v>2576.1</v>
      </c>
      <c r="C72" s="16">
        <f>IFERROR(__xludf.DUMMYFUNCTION("""COMPUTED_VALUE"""),45845.6458333333)</f>
        <v>45845.6458333333</v>
      </c>
      <c r="D72" s="17">
        <f>IFERROR(__xludf.DUMMYFUNCTION("""COMPUTED_VALUE"""),2602)</f>
        <v>2602</v>
      </c>
      <c r="E72" s="16">
        <f>IFERROR(__xludf.DUMMYFUNCTION("""COMPUTED_VALUE"""),45845.6458333333)</f>
        <v>45845.6458333333</v>
      </c>
      <c r="F72" s="17">
        <f>IFERROR(__xludf.DUMMYFUNCTION("""COMPUTED_VALUE"""),412159)</f>
        <v>412159</v>
      </c>
      <c r="G72" s="16">
        <f>IFERROR(__xludf.DUMMYFUNCTION("""COMPUTED_VALUE"""),45845.6458333333)</f>
        <v>45845.6458333333</v>
      </c>
      <c r="H72" s="17">
        <f>IFERROR(__xludf.DUMMYFUNCTION("""COMPUTED_VALUE"""),2605.4)</f>
        <v>2605.4</v>
      </c>
      <c r="I72" s="16">
        <f>IFERROR(__xludf.DUMMYFUNCTION("""COMPUTED_VALUE"""),45845.6458333333)</f>
        <v>45845.6458333333</v>
      </c>
      <c r="J72" s="17">
        <f>IFERROR(__xludf.DUMMYFUNCTION("""COMPUTED_VALUE"""),2572)</f>
        <v>2572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IFERROR(__xludf.DUMMYFUNCTION("""COMPUTED_VALUE"""),2591.3)</f>
        <v>2591.3</v>
      </c>
      <c r="C73" s="16">
        <f>IFERROR(__xludf.DUMMYFUNCTION("""COMPUTED_VALUE"""),45846.6458333333)</f>
        <v>45846.6458333333</v>
      </c>
      <c r="D73" s="17">
        <f>IFERROR(__xludf.DUMMYFUNCTION("""COMPUTED_VALUE"""),2586)</f>
        <v>2586</v>
      </c>
      <c r="E73" s="16">
        <f>IFERROR(__xludf.DUMMYFUNCTION("""COMPUTED_VALUE"""),45846.6458333333)</f>
        <v>45846.6458333333</v>
      </c>
      <c r="F73" s="17">
        <f>IFERROR(__xludf.DUMMYFUNCTION("""COMPUTED_VALUE"""),357701)</f>
        <v>357701</v>
      </c>
      <c r="G73" s="16">
        <f>IFERROR(__xludf.DUMMYFUNCTION("""COMPUTED_VALUE"""),45846.6458333333)</f>
        <v>45846.6458333333</v>
      </c>
      <c r="H73" s="17">
        <f>IFERROR(__xludf.DUMMYFUNCTION("""COMPUTED_VALUE"""),2600)</f>
        <v>2600</v>
      </c>
      <c r="I73" s="16">
        <f>IFERROR(__xludf.DUMMYFUNCTION("""COMPUTED_VALUE"""),45846.6458333333)</f>
        <v>45846.6458333333</v>
      </c>
      <c r="J73" s="17">
        <f>IFERROR(__xludf.DUMMYFUNCTION("""COMPUTED_VALUE"""),2573)</f>
        <v>2573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IFERROR(__xludf.DUMMYFUNCTION("""COMPUTED_VALUE"""),2583)</f>
        <v>2583</v>
      </c>
      <c r="C74" s="16">
        <f>IFERROR(__xludf.DUMMYFUNCTION("""COMPUTED_VALUE"""),45847.6458333333)</f>
        <v>45847.6458333333</v>
      </c>
      <c r="D74" s="17">
        <f>IFERROR(__xludf.DUMMYFUNCTION("""COMPUTED_VALUE"""),2599)</f>
        <v>2599</v>
      </c>
      <c r="E74" s="16">
        <f>IFERROR(__xludf.DUMMYFUNCTION("""COMPUTED_VALUE"""),45847.6458333333)</f>
        <v>45847.6458333333</v>
      </c>
      <c r="F74" s="17">
        <f>IFERROR(__xludf.DUMMYFUNCTION("""COMPUTED_VALUE"""),396880)</f>
        <v>396880</v>
      </c>
      <c r="G74" s="16">
        <f>IFERROR(__xludf.DUMMYFUNCTION("""COMPUTED_VALUE"""),45847.6458333333)</f>
        <v>45847.6458333333</v>
      </c>
      <c r="H74" s="17">
        <f>IFERROR(__xludf.DUMMYFUNCTION("""COMPUTED_VALUE"""),2609.9)</f>
        <v>2609.9</v>
      </c>
      <c r="I74" s="16">
        <f>IFERROR(__xludf.DUMMYFUNCTION("""COMPUTED_VALUE"""),45847.6458333333)</f>
        <v>45847.6458333333</v>
      </c>
      <c r="J74" s="17">
        <f>IFERROR(__xludf.DUMMYFUNCTION("""COMPUTED_VALUE"""),2570)</f>
        <v>2570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IFERROR(__xludf.DUMMYFUNCTION("""COMPUTED_VALUE"""),2581)</f>
        <v>2581</v>
      </c>
      <c r="C75" s="16">
        <f>IFERROR(__xludf.DUMMYFUNCTION("""COMPUTED_VALUE"""),45848.6458333333)</f>
        <v>45848.6458333333</v>
      </c>
      <c r="D75" s="17">
        <f>IFERROR(__xludf.DUMMYFUNCTION("""COMPUTED_VALUE"""),2591)</f>
        <v>2591</v>
      </c>
      <c r="E75" s="16">
        <f>IFERROR(__xludf.DUMMYFUNCTION("""COMPUTED_VALUE"""),45848.6458333333)</f>
        <v>45848.6458333333</v>
      </c>
      <c r="F75" s="17">
        <f>IFERROR(__xludf.DUMMYFUNCTION("""COMPUTED_VALUE"""),306565)</f>
        <v>306565</v>
      </c>
      <c r="G75" s="16">
        <f>IFERROR(__xludf.DUMMYFUNCTION("""COMPUTED_VALUE"""),45848.6458333333)</f>
        <v>45848.6458333333</v>
      </c>
      <c r="H75" s="17">
        <f>IFERROR(__xludf.DUMMYFUNCTION("""COMPUTED_VALUE"""),2604)</f>
        <v>2604</v>
      </c>
      <c r="I75" s="16">
        <f>IFERROR(__xludf.DUMMYFUNCTION("""COMPUTED_VALUE"""),45848.6458333333)</f>
        <v>45848.6458333333</v>
      </c>
      <c r="J75" s="17">
        <f>IFERROR(__xludf.DUMMYFUNCTION("""COMPUTED_VALUE"""),2575)</f>
        <v>2575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IFERROR(__xludf.DUMMYFUNCTION("""COMPUTED_VALUE"""),2558.7)</f>
        <v>2558.7</v>
      </c>
      <c r="C76" s="16">
        <f>IFERROR(__xludf.DUMMYFUNCTION("""COMPUTED_VALUE"""),45849.6458333333)</f>
        <v>45849.6458333333</v>
      </c>
      <c r="D76" s="17">
        <f>IFERROR(__xludf.DUMMYFUNCTION("""COMPUTED_VALUE"""),2575)</f>
        <v>2575</v>
      </c>
      <c r="E76" s="16">
        <f>IFERROR(__xludf.DUMMYFUNCTION("""COMPUTED_VALUE"""),45849.6458333333)</f>
        <v>45849.6458333333</v>
      </c>
      <c r="F76" s="17">
        <f>IFERROR(__xludf.DUMMYFUNCTION("""COMPUTED_VALUE"""),390645)</f>
        <v>390645</v>
      </c>
      <c r="G76" s="16">
        <f>IFERROR(__xludf.DUMMYFUNCTION("""COMPUTED_VALUE"""),45849.6458333333)</f>
        <v>45849.6458333333</v>
      </c>
      <c r="H76" s="17">
        <f>IFERROR(__xludf.DUMMYFUNCTION("""COMPUTED_VALUE"""),2591.9)</f>
        <v>2591.9</v>
      </c>
      <c r="I76" s="16">
        <f>IFERROR(__xludf.DUMMYFUNCTION("""COMPUTED_VALUE"""),45849.6458333333)</f>
        <v>45849.6458333333</v>
      </c>
      <c r="J76" s="17">
        <f>IFERROR(__xludf.DUMMYFUNCTION("""COMPUTED_VALUE"""),2551.9)</f>
        <v>2551.9</v>
      </c>
      <c r="K76" s="3">
        <f t="shared" si="2"/>
        <v>0</v>
      </c>
      <c r="L76" s="3">
        <f t="shared" si="3"/>
        <v>2558.7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IFERROR(__xludf.DUMMYFUNCTION("""COMPUTED_VALUE"""),2581.3)</f>
        <v>2581.3</v>
      </c>
      <c r="C77" s="16">
        <f>IFERROR(__xludf.DUMMYFUNCTION("""COMPUTED_VALUE"""),45852.6458333333)</f>
        <v>45852.6458333333</v>
      </c>
      <c r="D77" s="17">
        <f>IFERROR(__xludf.DUMMYFUNCTION("""COMPUTED_VALUE"""),2555)</f>
        <v>2555</v>
      </c>
      <c r="E77" s="16">
        <f>IFERROR(__xludf.DUMMYFUNCTION("""COMPUTED_VALUE"""),45852.6458333333)</f>
        <v>45852.6458333333</v>
      </c>
      <c r="F77" s="17">
        <f>IFERROR(__xludf.DUMMYFUNCTION("""COMPUTED_VALUE"""),536585)</f>
        <v>536585</v>
      </c>
      <c r="G77" s="16">
        <f>IFERROR(__xludf.DUMMYFUNCTION("""COMPUTED_VALUE"""),45852.6458333333)</f>
        <v>45852.6458333333</v>
      </c>
      <c r="H77" s="17">
        <f>IFERROR(__xludf.DUMMYFUNCTION("""COMPUTED_VALUE"""),2604.8)</f>
        <v>2604.8</v>
      </c>
      <c r="I77" s="16">
        <f>IFERROR(__xludf.DUMMYFUNCTION("""COMPUTED_VALUE"""),45852.6458333333)</f>
        <v>45852.6458333333</v>
      </c>
      <c r="J77" s="17">
        <f>IFERROR(__xludf.DUMMYFUNCTION("""COMPUTED_VALUE"""),2543.5)</f>
        <v>2543.5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IFERROR(__xludf.DUMMYFUNCTION("""COMPUTED_VALUE"""),2598.2)</f>
        <v>2598.2</v>
      </c>
      <c r="C78" s="16">
        <f>IFERROR(__xludf.DUMMYFUNCTION("""COMPUTED_VALUE"""),45853.6458333333)</f>
        <v>45853.6458333333</v>
      </c>
      <c r="D78" s="17">
        <f>IFERROR(__xludf.DUMMYFUNCTION("""COMPUTED_VALUE"""),2588)</f>
        <v>2588</v>
      </c>
      <c r="E78" s="16">
        <f>IFERROR(__xludf.DUMMYFUNCTION("""COMPUTED_VALUE"""),45853.6458333333)</f>
        <v>45853.6458333333</v>
      </c>
      <c r="F78" s="17">
        <f>IFERROR(__xludf.DUMMYFUNCTION("""COMPUTED_VALUE"""),379425)</f>
        <v>379425</v>
      </c>
      <c r="G78" s="16">
        <f>IFERROR(__xludf.DUMMYFUNCTION("""COMPUTED_VALUE"""),45853.6458333333)</f>
        <v>45853.6458333333</v>
      </c>
      <c r="H78" s="17">
        <f>IFERROR(__xludf.DUMMYFUNCTION("""COMPUTED_VALUE"""),2606.9)</f>
        <v>2606.9</v>
      </c>
      <c r="I78" s="16">
        <f>IFERROR(__xludf.DUMMYFUNCTION("""COMPUTED_VALUE"""),45853.6458333333)</f>
        <v>45853.6458333333</v>
      </c>
      <c r="J78" s="17">
        <f>IFERROR(__xludf.DUMMYFUNCTION("""COMPUTED_VALUE"""),2576)</f>
        <v>2576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IFERROR(__xludf.DUMMYFUNCTION("""COMPUTED_VALUE"""),2608.5)</f>
        <v>2608.5</v>
      </c>
      <c r="C79" s="16">
        <f>IFERROR(__xludf.DUMMYFUNCTION("""COMPUTED_VALUE"""),45854.6458333333)</f>
        <v>45854.6458333333</v>
      </c>
      <c r="D79" s="17">
        <f>IFERROR(__xludf.DUMMYFUNCTION("""COMPUTED_VALUE"""),2602.5)</f>
        <v>2602.5</v>
      </c>
      <c r="E79" s="16">
        <f>IFERROR(__xludf.DUMMYFUNCTION("""COMPUTED_VALUE"""),45854.6458333333)</f>
        <v>45854.6458333333</v>
      </c>
      <c r="F79" s="17">
        <f>IFERROR(__xludf.DUMMYFUNCTION("""COMPUTED_VALUE"""),686644)</f>
        <v>686644</v>
      </c>
      <c r="G79" s="16">
        <f>IFERROR(__xludf.DUMMYFUNCTION("""COMPUTED_VALUE"""),45854.6458333333)</f>
        <v>45854.6458333333</v>
      </c>
      <c r="H79" s="17">
        <f>IFERROR(__xludf.DUMMYFUNCTION("""COMPUTED_VALUE"""),2619.5)</f>
        <v>2619.5</v>
      </c>
      <c r="I79" s="16">
        <f>IFERROR(__xludf.DUMMYFUNCTION("""COMPUTED_VALUE"""),45854.6458333333)</f>
        <v>45854.6458333333</v>
      </c>
      <c r="J79" s="17">
        <f>IFERROR(__xludf.DUMMYFUNCTION("""COMPUTED_VALUE"""),2595.5)</f>
        <v>2595.5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IFERROR(__xludf.DUMMYFUNCTION("""COMPUTED_VALUE"""),2616.6)</f>
        <v>2616.6</v>
      </c>
      <c r="C80" s="16">
        <f>IFERROR(__xludf.DUMMYFUNCTION("""COMPUTED_VALUE"""),45855.6458333333)</f>
        <v>45855.6458333333</v>
      </c>
      <c r="D80" s="17">
        <f>IFERROR(__xludf.DUMMYFUNCTION("""COMPUTED_VALUE"""),2612)</f>
        <v>2612</v>
      </c>
      <c r="E80" s="16">
        <f>IFERROR(__xludf.DUMMYFUNCTION("""COMPUTED_VALUE"""),45855.6458333333)</f>
        <v>45855.6458333333</v>
      </c>
      <c r="F80" s="17">
        <f>IFERROR(__xludf.DUMMYFUNCTION("""COMPUTED_VALUE"""),785771)</f>
        <v>785771</v>
      </c>
      <c r="G80" s="16">
        <f>IFERROR(__xludf.DUMMYFUNCTION("""COMPUTED_VALUE"""),45855.6458333333)</f>
        <v>45855.6458333333</v>
      </c>
      <c r="H80" s="17">
        <f>IFERROR(__xludf.DUMMYFUNCTION("""COMPUTED_VALUE"""),2654.5)</f>
        <v>2654.5</v>
      </c>
      <c r="I80" s="16">
        <f>IFERROR(__xludf.DUMMYFUNCTION("""COMPUTED_VALUE"""),45855.6458333333)</f>
        <v>45855.6458333333</v>
      </c>
      <c r="J80" s="17">
        <f>IFERROR(__xludf.DUMMYFUNCTION("""COMPUTED_VALUE"""),2605.3)</f>
        <v>2605.3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IFERROR(__xludf.DUMMYFUNCTION("""COMPUTED_VALUE"""),2596.1)</f>
        <v>2596.1</v>
      </c>
      <c r="C81" s="16">
        <f>IFERROR(__xludf.DUMMYFUNCTION("""COMPUTED_VALUE"""),45856.6458333333)</f>
        <v>45856.6458333333</v>
      </c>
      <c r="D81" s="17">
        <f>IFERROR(__xludf.DUMMYFUNCTION("""COMPUTED_VALUE"""),2612)</f>
        <v>2612</v>
      </c>
      <c r="E81" s="16">
        <f>IFERROR(__xludf.DUMMYFUNCTION("""COMPUTED_VALUE"""),45856.6458333333)</f>
        <v>45856.6458333333</v>
      </c>
      <c r="F81" s="17">
        <f>IFERROR(__xludf.DUMMYFUNCTION("""COMPUTED_VALUE"""),479942)</f>
        <v>479942</v>
      </c>
      <c r="G81" s="16">
        <f>IFERROR(__xludf.DUMMYFUNCTION("""COMPUTED_VALUE"""),45856.6458333333)</f>
        <v>45856.6458333333</v>
      </c>
      <c r="H81" s="17">
        <f>IFERROR(__xludf.DUMMYFUNCTION("""COMPUTED_VALUE"""),2626.7)</f>
        <v>2626.7</v>
      </c>
      <c r="I81" s="16">
        <f>IFERROR(__xludf.DUMMYFUNCTION("""COMPUTED_VALUE"""),45856.6458333333)</f>
        <v>45856.6458333333</v>
      </c>
      <c r="J81" s="17">
        <f>IFERROR(__xludf.DUMMYFUNCTION("""COMPUTED_VALUE"""),2584.2)</f>
        <v>2584.2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IFERROR(__xludf.DUMMYFUNCTION("""COMPUTED_VALUE"""),2619.5)</f>
        <v>2619.5</v>
      </c>
      <c r="C82" s="16">
        <f>IFERROR(__xludf.DUMMYFUNCTION("""COMPUTED_VALUE"""),45859.6458333333)</f>
        <v>45859.6458333333</v>
      </c>
      <c r="D82" s="17">
        <f>IFERROR(__xludf.DUMMYFUNCTION("""COMPUTED_VALUE"""),2596.3)</f>
        <v>2596.3</v>
      </c>
      <c r="E82" s="16">
        <f>IFERROR(__xludf.DUMMYFUNCTION("""COMPUTED_VALUE"""),45859.6458333333)</f>
        <v>45859.6458333333</v>
      </c>
      <c r="F82" s="17">
        <f>IFERROR(__xludf.DUMMYFUNCTION("""COMPUTED_VALUE"""),369782)</f>
        <v>369782</v>
      </c>
      <c r="G82" s="16">
        <f>IFERROR(__xludf.DUMMYFUNCTION("""COMPUTED_VALUE"""),45859.6458333333)</f>
        <v>45859.6458333333</v>
      </c>
      <c r="H82" s="17">
        <f>IFERROR(__xludf.DUMMYFUNCTION("""COMPUTED_VALUE"""),2624.9)</f>
        <v>2624.9</v>
      </c>
      <c r="I82" s="16">
        <f>IFERROR(__xludf.DUMMYFUNCTION("""COMPUTED_VALUE"""),45859.6458333333)</f>
        <v>45859.6458333333</v>
      </c>
      <c r="J82" s="17">
        <f>IFERROR(__xludf.DUMMYFUNCTION("""COMPUTED_VALUE"""),2585)</f>
        <v>2585</v>
      </c>
      <c r="K82" s="3">
        <f t="shared" si="2"/>
        <v>2619.5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IFERROR(__xludf.DUMMYFUNCTION("""COMPUTED_VALUE"""),2587.8)</f>
        <v>2587.8</v>
      </c>
      <c r="C83" s="16">
        <f>IFERROR(__xludf.DUMMYFUNCTION("""COMPUTED_VALUE"""),45860.6458333333)</f>
        <v>45860.6458333333</v>
      </c>
      <c r="D83" s="17">
        <f>IFERROR(__xludf.DUMMYFUNCTION("""COMPUTED_VALUE"""),2626)</f>
        <v>2626</v>
      </c>
      <c r="E83" s="16">
        <f>IFERROR(__xludf.DUMMYFUNCTION("""COMPUTED_VALUE"""),45860.6458333333)</f>
        <v>45860.6458333333</v>
      </c>
      <c r="F83" s="17">
        <f>IFERROR(__xludf.DUMMYFUNCTION("""COMPUTED_VALUE"""),387055)</f>
        <v>387055</v>
      </c>
      <c r="G83" s="16">
        <f>IFERROR(__xludf.DUMMYFUNCTION("""COMPUTED_VALUE"""),45860.6458333333)</f>
        <v>45860.6458333333</v>
      </c>
      <c r="H83" s="17">
        <f>IFERROR(__xludf.DUMMYFUNCTION("""COMPUTED_VALUE"""),2630)</f>
        <v>2630</v>
      </c>
      <c r="I83" s="16">
        <f>IFERROR(__xludf.DUMMYFUNCTION("""COMPUTED_VALUE"""),45860.6458333333)</f>
        <v>45860.6458333333</v>
      </c>
      <c r="J83" s="17">
        <f>IFERROR(__xludf.DUMMYFUNCTION("""COMPUTED_VALUE"""),2581.6)</f>
        <v>2581.6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IFERROR(__xludf.DUMMYFUNCTION("""COMPUTED_VALUE"""),2614.5)</f>
        <v>2614.5</v>
      </c>
      <c r="C84" s="16">
        <f>IFERROR(__xludf.DUMMYFUNCTION("""COMPUTED_VALUE"""),45861.6458333333)</f>
        <v>45861.6458333333</v>
      </c>
      <c r="D84" s="17">
        <f>IFERROR(__xludf.DUMMYFUNCTION("""COMPUTED_VALUE"""),2600.7)</f>
        <v>2600.7</v>
      </c>
      <c r="E84" s="16">
        <f>IFERROR(__xludf.DUMMYFUNCTION("""COMPUTED_VALUE"""),45861.6458333333)</f>
        <v>45861.6458333333</v>
      </c>
      <c r="F84" s="17">
        <f>IFERROR(__xludf.DUMMYFUNCTION("""COMPUTED_VALUE"""),316424)</f>
        <v>316424</v>
      </c>
      <c r="G84" s="16">
        <f>IFERROR(__xludf.DUMMYFUNCTION("""COMPUTED_VALUE"""),45861.6458333333)</f>
        <v>45861.6458333333</v>
      </c>
      <c r="H84" s="17">
        <f>IFERROR(__xludf.DUMMYFUNCTION("""COMPUTED_VALUE"""),2625.9)</f>
        <v>2625.9</v>
      </c>
      <c r="I84" s="16">
        <f>IFERROR(__xludf.DUMMYFUNCTION("""COMPUTED_VALUE"""),45861.6458333333)</f>
        <v>45861.6458333333</v>
      </c>
      <c r="J84" s="17">
        <f>IFERROR(__xludf.DUMMYFUNCTION("""COMPUTED_VALUE"""),2593.5)</f>
        <v>2593.5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IFERROR(__xludf.DUMMYFUNCTION("""COMPUTED_VALUE"""),2608.4)</f>
        <v>2608.4</v>
      </c>
      <c r="C85" s="16">
        <f>IFERROR(__xludf.DUMMYFUNCTION("""COMPUTED_VALUE"""),45862.6458333333)</f>
        <v>45862.6458333333</v>
      </c>
      <c r="D85" s="17">
        <f>IFERROR(__xludf.DUMMYFUNCTION("""COMPUTED_VALUE"""),2615.4)</f>
        <v>2615.4</v>
      </c>
      <c r="E85" s="16">
        <f>IFERROR(__xludf.DUMMYFUNCTION("""COMPUTED_VALUE"""),45862.6458333333)</f>
        <v>45862.6458333333</v>
      </c>
      <c r="F85" s="17">
        <f>IFERROR(__xludf.DUMMYFUNCTION("""COMPUTED_VALUE"""),253782)</f>
        <v>253782</v>
      </c>
      <c r="G85" s="16">
        <f>IFERROR(__xludf.DUMMYFUNCTION("""COMPUTED_VALUE"""),45862.6458333333)</f>
        <v>45862.6458333333</v>
      </c>
      <c r="H85" s="17">
        <f>IFERROR(__xludf.DUMMYFUNCTION("""COMPUTED_VALUE"""),2624.2)</f>
        <v>2624.2</v>
      </c>
      <c r="I85" s="16">
        <f>IFERROR(__xludf.DUMMYFUNCTION("""COMPUTED_VALUE"""),45862.6458333333)</f>
        <v>45862.6458333333</v>
      </c>
      <c r="J85" s="17">
        <f>IFERROR(__xludf.DUMMYFUNCTION("""COMPUTED_VALUE"""),2595)</f>
        <v>2595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IFERROR(__xludf.DUMMYFUNCTION("""COMPUTED_VALUE"""),2550.1)</f>
        <v>2550.1</v>
      </c>
      <c r="C86" s="16">
        <f>IFERROR(__xludf.DUMMYFUNCTION("""COMPUTED_VALUE"""),45863.6458333333)</f>
        <v>45863.6458333333</v>
      </c>
      <c r="D86" s="17">
        <f>IFERROR(__xludf.DUMMYFUNCTION("""COMPUTED_VALUE"""),2605)</f>
        <v>2605</v>
      </c>
      <c r="E86" s="16">
        <f>IFERROR(__xludf.DUMMYFUNCTION("""COMPUTED_VALUE"""),45863.6458333333)</f>
        <v>45863.6458333333</v>
      </c>
      <c r="F86" s="17">
        <f>IFERROR(__xludf.DUMMYFUNCTION("""COMPUTED_VALUE"""),424612)</f>
        <v>424612</v>
      </c>
      <c r="G86" s="16">
        <f>IFERROR(__xludf.DUMMYFUNCTION("""COMPUTED_VALUE"""),45863.6458333333)</f>
        <v>45863.6458333333</v>
      </c>
      <c r="H86" s="17">
        <f>IFERROR(__xludf.DUMMYFUNCTION("""COMPUTED_VALUE"""),2617)</f>
        <v>2617</v>
      </c>
      <c r="I86" s="16">
        <f>IFERROR(__xludf.DUMMYFUNCTION("""COMPUTED_VALUE"""),45863.6458333333)</f>
        <v>45863.6458333333</v>
      </c>
      <c r="J86" s="17">
        <f>IFERROR(__xludf.DUMMYFUNCTION("""COMPUTED_VALUE"""),2544.1)</f>
        <v>2544.1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IFERROR(__xludf.DUMMYFUNCTION("""COMPUTED_VALUE"""),2522.3)</f>
        <v>2522.3</v>
      </c>
      <c r="C87" s="16">
        <f>IFERROR(__xludf.DUMMYFUNCTION("""COMPUTED_VALUE"""),45866.6458333333)</f>
        <v>45866.6458333333</v>
      </c>
      <c r="D87" s="17">
        <f>IFERROR(__xludf.DUMMYFUNCTION("""COMPUTED_VALUE"""),2549)</f>
        <v>2549</v>
      </c>
      <c r="E87" s="16">
        <f>IFERROR(__xludf.DUMMYFUNCTION("""COMPUTED_VALUE"""),45866.6458333333)</f>
        <v>45866.6458333333</v>
      </c>
      <c r="F87" s="17">
        <f>IFERROR(__xludf.DUMMYFUNCTION("""COMPUTED_VALUE"""),428409)</f>
        <v>428409</v>
      </c>
      <c r="G87" s="16">
        <f>IFERROR(__xludf.DUMMYFUNCTION("""COMPUTED_VALUE"""),45866.6458333333)</f>
        <v>45866.6458333333</v>
      </c>
      <c r="H87" s="17">
        <f>IFERROR(__xludf.DUMMYFUNCTION("""COMPUTED_VALUE"""),2585)</f>
        <v>2585</v>
      </c>
      <c r="I87" s="16">
        <f>IFERROR(__xludf.DUMMYFUNCTION("""COMPUTED_VALUE"""),45866.6458333333)</f>
        <v>45866.6458333333</v>
      </c>
      <c r="J87" s="17">
        <f>IFERROR(__xludf.DUMMYFUNCTION("""COMPUTED_VALUE"""),2512.6)</f>
        <v>2512.6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IFERROR(__xludf.DUMMYFUNCTION("""COMPUTED_VALUE"""),2547.9)</f>
        <v>2547.9</v>
      </c>
      <c r="C88" s="16">
        <f>IFERROR(__xludf.DUMMYFUNCTION("""COMPUTED_VALUE"""),45867.6458333333)</f>
        <v>45867.6458333333</v>
      </c>
      <c r="D88" s="17">
        <f>IFERROR(__xludf.DUMMYFUNCTION("""COMPUTED_VALUE"""),2529)</f>
        <v>2529</v>
      </c>
      <c r="E88" s="16">
        <f>IFERROR(__xludf.DUMMYFUNCTION("""COMPUTED_VALUE"""),45867.6458333333)</f>
        <v>45867.6458333333</v>
      </c>
      <c r="F88" s="17">
        <f>IFERROR(__xludf.DUMMYFUNCTION("""COMPUTED_VALUE"""),424781)</f>
        <v>424781</v>
      </c>
      <c r="G88" s="16">
        <f>IFERROR(__xludf.DUMMYFUNCTION("""COMPUTED_VALUE"""),45867.6458333333)</f>
        <v>45867.6458333333</v>
      </c>
      <c r="H88" s="17">
        <f>IFERROR(__xludf.DUMMYFUNCTION("""COMPUTED_VALUE"""),2557.4)</f>
        <v>2557.4</v>
      </c>
      <c r="I88" s="16">
        <f>IFERROR(__xludf.DUMMYFUNCTION("""COMPUTED_VALUE"""),45867.6458333333)</f>
        <v>45867.6458333333</v>
      </c>
      <c r="J88" s="17">
        <f>IFERROR(__xludf.DUMMYFUNCTION("""COMPUTED_VALUE"""),2507.5)</f>
        <v>2507.5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IFERROR(__xludf.DUMMYFUNCTION("""COMPUTED_VALUE"""),2532.9)</f>
        <v>2532.9</v>
      </c>
      <c r="C89" s="16">
        <f>IFERROR(__xludf.DUMMYFUNCTION("""COMPUTED_VALUE"""),45868.6458333333)</f>
        <v>45868.6458333333</v>
      </c>
      <c r="D89" s="17">
        <f>IFERROR(__xludf.DUMMYFUNCTION("""COMPUTED_VALUE"""),2547.9)</f>
        <v>2547.9</v>
      </c>
      <c r="E89" s="16">
        <f>IFERROR(__xludf.DUMMYFUNCTION("""COMPUTED_VALUE"""),45868.6458333333)</f>
        <v>45868.6458333333</v>
      </c>
      <c r="F89" s="17">
        <f>IFERROR(__xludf.DUMMYFUNCTION("""COMPUTED_VALUE"""),262063)</f>
        <v>262063</v>
      </c>
      <c r="G89" s="16">
        <f>IFERROR(__xludf.DUMMYFUNCTION("""COMPUTED_VALUE"""),45868.6458333333)</f>
        <v>45868.6458333333</v>
      </c>
      <c r="H89" s="17">
        <f>IFERROR(__xludf.DUMMYFUNCTION("""COMPUTED_VALUE"""),2552.6)</f>
        <v>2552.6</v>
      </c>
      <c r="I89" s="16">
        <f>IFERROR(__xludf.DUMMYFUNCTION("""COMPUTED_VALUE"""),45868.6458333333)</f>
        <v>45868.6458333333</v>
      </c>
      <c r="J89" s="17">
        <f>IFERROR(__xludf.DUMMYFUNCTION("""COMPUTED_VALUE"""),2525)</f>
        <v>2525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IFERROR(__xludf.DUMMYFUNCTION("""COMPUTED_VALUE"""),2430.7)</f>
        <v>2430.7</v>
      </c>
      <c r="C90" s="16">
        <f>IFERROR(__xludf.DUMMYFUNCTION("""COMPUTED_VALUE"""),45869.6458333333)</f>
        <v>45869.6458333333</v>
      </c>
      <c r="D90" s="17">
        <f>IFERROR(__xludf.DUMMYFUNCTION("""COMPUTED_VALUE"""),2509.9)</f>
        <v>2509.9</v>
      </c>
      <c r="E90" s="16">
        <f>IFERROR(__xludf.DUMMYFUNCTION("""COMPUTED_VALUE"""),45869.6458333333)</f>
        <v>45869.6458333333</v>
      </c>
      <c r="F90" s="17">
        <f>IFERROR(__xludf.DUMMYFUNCTION("""COMPUTED_VALUE"""),1457616)</f>
        <v>1457616</v>
      </c>
      <c r="G90" s="16">
        <f>IFERROR(__xludf.DUMMYFUNCTION("""COMPUTED_VALUE"""),45869.6458333333)</f>
        <v>45869.6458333333</v>
      </c>
      <c r="H90" s="17">
        <f>IFERROR(__xludf.DUMMYFUNCTION("""COMPUTED_VALUE"""),2520)</f>
        <v>2520</v>
      </c>
      <c r="I90" s="16">
        <f>IFERROR(__xludf.DUMMYFUNCTION("""COMPUTED_VALUE"""),45869.6458333333)</f>
        <v>45869.6458333333</v>
      </c>
      <c r="J90" s="17">
        <f>IFERROR(__xludf.DUMMYFUNCTION("""COMPUTED_VALUE"""),2422.6)</f>
        <v>2422.6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IFERROR(__xludf.DUMMYFUNCTION("""COMPUTED_VALUE"""),2350.9)</f>
        <v>2350.9</v>
      </c>
      <c r="C91" s="16">
        <f>IFERROR(__xludf.DUMMYFUNCTION("""COMPUTED_VALUE"""),45870.6458333333)</f>
        <v>45870.6458333333</v>
      </c>
      <c r="D91" s="17">
        <f>IFERROR(__xludf.DUMMYFUNCTION("""COMPUTED_VALUE"""),2425)</f>
        <v>2425</v>
      </c>
      <c r="E91" s="16">
        <f>IFERROR(__xludf.DUMMYFUNCTION("""COMPUTED_VALUE"""),45870.6458333333)</f>
        <v>45870.6458333333</v>
      </c>
      <c r="F91" s="17">
        <f>IFERROR(__xludf.DUMMYFUNCTION("""COMPUTED_VALUE"""),976341)</f>
        <v>976341</v>
      </c>
      <c r="G91" s="16">
        <f>IFERROR(__xludf.DUMMYFUNCTION("""COMPUTED_VALUE"""),45870.6458333333)</f>
        <v>45870.6458333333</v>
      </c>
      <c r="H91" s="17">
        <f>IFERROR(__xludf.DUMMYFUNCTION("""COMPUTED_VALUE"""),2444.9)</f>
        <v>2444.9</v>
      </c>
      <c r="I91" s="16">
        <f>IFERROR(__xludf.DUMMYFUNCTION("""COMPUTED_VALUE"""),45870.6458333333)</f>
        <v>45870.6458333333</v>
      </c>
      <c r="J91" s="17">
        <f>IFERROR(__xludf.DUMMYFUNCTION("""COMPUTED_VALUE"""),2333)</f>
        <v>2333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IFERROR(__xludf.DUMMYFUNCTION("""COMPUTED_VALUE"""),2363.6)</f>
        <v>2363.6</v>
      </c>
      <c r="C92" s="16">
        <f>IFERROR(__xludf.DUMMYFUNCTION("""COMPUTED_VALUE"""),45873.6458333333)</f>
        <v>45873.6458333333</v>
      </c>
      <c r="D92" s="17">
        <f>IFERROR(__xludf.DUMMYFUNCTION("""COMPUTED_VALUE"""),2360)</f>
        <v>2360</v>
      </c>
      <c r="E92" s="16">
        <f>IFERROR(__xludf.DUMMYFUNCTION("""COMPUTED_VALUE"""),45873.6458333333)</f>
        <v>45873.6458333333</v>
      </c>
      <c r="F92" s="17">
        <f>IFERROR(__xludf.DUMMYFUNCTION("""COMPUTED_VALUE"""),576426)</f>
        <v>576426</v>
      </c>
      <c r="G92" s="16">
        <f>IFERROR(__xludf.DUMMYFUNCTION("""COMPUTED_VALUE"""),45873.6458333333)</f>
        <v>45873.6458333333</v>
      </c>
      <c r="H92" s="17">
        <f>IFERROR(__xludf.DUMMYFUNCTION("""COMPUTED_VALUE"""),2374.7)</f>
        <v>2374.7</v>
      </c>
      <c r="I92" s="16">
        <f>IFERROR(__xludf.DUMMYFUNCTION("""COMPUTED_VALUE"""),45873.6458333333)</f>
        <v>45873.6458333333</v>
      </c>
      <c r="J92" s="17">
        <f>IFERROR(__xludf.DUMMYFUNCTION("""COMPUTED_VALUE"""),2338.2)</f>
        <v>2338.2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IFERROR(__xludf.DUMMYFUNCTION("""COMPUTED_VALUE"""),2328.2)</f>
        <v>2328.2</v>
      </c>
      <c r="C93" s="16">
        <f>IFERROR(__xludf.DUMMYFUNCTION("""COMPUTED_VALUE"""),45874.6458333333)</f>
        <v>45874.6458333333</v>
      </c>
      <c r="D93" s="17">
        <f>IFERROR(__xludf.DUMMYFUNCTION("""COMPUTED_VALUE"""),2370)</f>
        <v>2370</v>
      </c>
      <c r="E93" s="16">
        <f>IFERROR(__xludf.DUMMYFUNCTION("""COMPUTED_VALUE"""),45874.6458333333)</f>
        <v>45874.6458333333</v>
      </c>
      <c r="F93" s="17">
        <f>IFERROR(__xludf.DUMMYFUNCTION("""COMPUTED_VALUE"""),576742)</f>
        <v>576742</v>
      </c>
      <c r="G93" s="16">
        <f>IFERROR(__xludf.DUMMYFUNCTION("""COMPUTED_VALUE"""),45874.6458333333)</f>
        <v>45874.6458333333</v>
      </c>
      <c r="H93" s="17">
        <f>IFERROR(__xludf.DUMMYFUNCTION("""COMPUTED_VALUE"""),2370)</f>
        <v>2370</v>
      </c>
      <c r="I93" s="16">
        <f>IFERROR(__xludf.DUMMYFUNCTION("""COMPUTED_VALUE"""),45874.6458333333)</f>
        <v>45874.6458333333</v>
      </c>
      <c r="J93" s="17">
        <f>IFERROR(__xludf.DUMMYFUNCTION("""COMPUTED_VALUE"""),2316)</f>
        <v>2316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IFERROR(__xludf.DUMMYFUNCTION("""COMPUTED_VALUE"""),2300.3)</f>
        <v>2300.3</v>
      </c>
      <c r="C94" s="16">
        <f>IFERROR(__xludf.DUMMYFUNCTION("""COMPUTED_VALUE"""),45875.6458333333)</f>
        <v>45875.6458333333</v>
      </c>
      <c r="D94" s="17">
        <f>IFERROR(__xludf.DUMMYFUNCTION("""COMPUTED_VALUE"""),2333.9)</f>
        <v>2333.9</v>
      </c>
      <c r="E94" s="16">
        <f>IFERROR(__xludf.DUMMYFUNCTION("""COMPUTED_VALUE"""),45875.6458333333)</f>
        <v>45875.6458333333</v>
      </c>
      <c r="F94" s="17">
        <f>IFERROR(__xludf.DUMMYFUNCTION("""COMPUTED_VALUE"""),631582)</f>
        <v>631582</v>
      </c>
      <c r="G94" s="16">
        <f>IFERROR(__xludf.DUMMYFUNCTION("""COMPUTED_VALUE"""),45875.6458333333)</f>
        <v>45875.6458333333</v>
      </c>
      <c r="H94" s="17">
        <f>IFERROR(__xludf.DUMMYFUNCTION("""COMPUTED_VALUE"""),2347.9)</f>
        <v>2347.9</v>
      </c>
      <c r="I94" s="16">
        <f>IFERROR(__xludf.DUMMYFUNCTION("""COMPUTED_VALUE"""),45875.6458333333)</f>
        <v>45875.6458333333</v>
      </c>
      <c r="J94" s="17">
        <f>IFERROR(__xludf.DUMMYFUNCTION("""COMPUTED_VALUE"""),2296)</f>
        <v>2296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IFERROR(__xludf.DUMMYFUNCTION("""COMPUTED_VALUE"""),2249.8)</f>
        <v>2249.8</v>
      </c>
      <c r="C95" s="16">
        <f>IFERROR(__xludf.DUMMYFUNCTION("""COMPUTED_VALUE"""),45876.6458333333)</f>
        <v>45876.6458333333</v>
      </c>
      <c r="D95" s="17">
        <f>IFERROR(__xludf.DUMMYFUNCTION("""COMPUTED_VALUE"""),2290)</f>
        <v>2290</v>
      </c>
      <c r="E95" s="16">
        <f>IFERROR(__xludf.DUMMYFUNCTION("""COMPUTED_VALUE"""),45876.6458333333)</f>
        <v>45876.6458333333</v>
      </c>
      <c r="F95" s="17">
        <f>IFERROR(__xludf.DUMMYFUNCTION("""COMPUTED_VALUE"""),1529410)</f>
        <v>1529410</v>
      </c>
      <c r="G95" s="16">
        <f>IFERROR(__xludf.DUMMYFUNCTION("""COMPUTED_VALUE"""),45876.6458333333)</f>
        <v>45876.6458333333</v>
      </c>
      <c r="H95" s="17">
        <f>IFERROR(__xludf.DUMMYFUNCTION("""COMPUTED_VALUE"""),2295)</f>
        <v>2295</v>
      </c>
      <c r="I95" s="16">
        <f>IFERROR(__xludf.DUMMYFUNCTION("""COMPUTED_VALUE"""),45876.6458333333)</f>
        <v>45876.6458333333</v>
      </c>
      <c r="J95" s="17">
        <f>IFERROR(__xludf.DUMMYFUNCTION("""COMPUTED_VALUE"""),2202.8)</f>
        <v>2202.8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IFERROR(__xludf.DUMMYFUNCTION("""COMPUTED_VALUE"""),2178.1)</f>
        <v>2178.1</v>
      </c>
      <c r="C96" s="16">
        <f>IFERROR(__xludf.DUMMYFUNCTION("""COMPUTED_VALUE"""),45877.6458333333)</f>
        <v>45877.6458333333</v>
      </c>
      <c r="D96" s="17">
        <f>IFERROR(__xludf.DUMMYFUNCTION("""COMPUTED_VALUE"""),2247)</f>
        <v>2247</v>
      </c>
      <c r="E96" s="16">
        <f>IFERROR(__xludf.DUMMYFUNCTION("""COMPUTED_VALUE"""),45877.6458333333)</f>
        <v>45877.6458333333</v>
      </c>
      <c r="F96" s="17">
        <f>IFERROR(__xludf.DUMMYFUNCTION("""COMPUTED_VALUE"""),2552736)</f>
        <v>2552736</v>
      </c>
      <c r="G96" s="16">
        <f>IFERROR(__xludf.DUMMYFUNCTION("""COMPUTED_VALUE"""),45877.6458333333)</f>
        <v>45877.6458333333</v>
      </c>
      <c r="H96" s="17">
        <f>IFERROR(__xludf.DUMMYFUNCTION("""COMPUTED_VALUE"""),2260.9)</f>
        <v>2260.9</v>
      </c>
      <c r="I96" s="16">
        <f>IFERROR(__xludf.DUMMYFUNCTION("""COMPUTED_VALUE"""),45877.6458333333)</f>
        <v>45877.6458333333</v>
      </c>
      <c r="J96" s="17">
        <f>IFERROR(__xludf.DUMMYFUNCTION("""COMPUTED_VALUE"""),2164.8)</f>
        <v>2164.8</v>
      </c>
      <c r="K96" s="3">
        <f t="shared" si="2"/>
        <v>0</v>
      </c>
      <c r="L96" s="3">
        <f t="shared" si="3"/>
        <v>2178.1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IFERROR(__xludf.DUMMYFUNCTION("""COMPUTED_VALUE"""),2283.4)</f>
        <v>2283.4</v>
      </c>
      <c r="C97" s="16">
        <f>IFERROR(__xludf.DUMMYFUNCTION("""COMPUTED_VALUE"""),45880.6458333333)</f>
        <v>45880.6458333333</v>
      </c>
      <c r="D97" s="17">
        <f>IFERROR(__xludf.DUMMYFUNCTION("""COMPUTED_VALUE"""),2196)</f>
        <v>2196</v>
      </c>
      <c r="E97" s="16">
        <f>IFERROR(__xludf.DUMMYFUNCTION("""COMPUTED_VALUE"""),45880.6458333333)</f>
        <v>45880.6458333333</v>
      </c>
      <c r="F97" s="17">
        <f>IFERROR(__xludf.DUMMYFUNCTION("""COMPUTED_VALUE"""),2376286)</f>
        <v>2376286</v>
      </c>
      <c r="G97" s="16">
        <f>IFERROR(__xludf.DUMMYFUNCTION("""COMPUTED_VALUE"""),45880.6458333333)</f>
        <v>45880.6458333333</v>
      </c>
      <c r="H97" s="17">
        <f>IFERROR(__xludf.DUMMYFUNCTION("""COMPUTED_VALUE"""),2302)</f>
        <v>2302</v>
      </c>
      <c r="I97" s="16">
        <f>IFERROR(__xludf.DUMMYFUNCTION("""COMPUTED_VALUE"""),45880.6458333333)</f>
        <v>45880.6458333333</v>
      </c>
      <c r="J97" s="17">
        <f>IFERROR(__xludf.DUMMYFUNCTION("""COMPUTED_VALUE"""),2183)</f>
        <v>2183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IFERROR(__xludf.DUMMYFUNCTION("""COMPUTED_VALUE"""),2288.2)</f>
        <v>2288.2</v>
      </c>
      <c r="C98" s="16">
        <f>IFERROR(__xludf.DUMMYFUNCTION("""COMPUTED_VALUE"""),45881.6458333333)</f>
        <v>45881.6458333333</v>
      </c>
      <c r="D98" s="17">
        <f>IFERROR(__xludf.DUMMYFUNCTION("""COMPUTED_VALUE"""),2280.1)</f>
        <v>2280.1</v>
      </c>
      <c r="E98" s="16">
        <f>IFERROR(__xludf.DUMMYFUNCTION("""COMPUTED_VALUE"""),45881.6458333333)</f>
        <v>45881.6458333333</v>
      </c>
      <c r="F98" s="17">
        <f>IFERROR(__xludf.DUMMYFUNCTION("""COMPUTED_VALUE"""),1075526)</f>
        <v>1075526</v>
      </c>
      <c r="G98" s="16">
        <f>IFERROR(__xludf.DUMMYFUNCTION("""COMPUTED_VALUE"""),45881.6458333333)</f>
        <v>45881.6458333333</v>
      </c>
      <c r="H98" s="17">
        <f>IFERROR(__xludf.DUMMYFUNCTION("""COMPUTED_VALUE"""),2314.7)</f>
        <v>2314.7</v>
      </c>
      <c r="I98" s="16">
        <f>IFERROR(__xludf.DUMMYFUNCTION("""COMPUTED_VALUE"""),45881.6458333333)</f>
        <v>45881.6458333333</v>
      </c>
      <c r="J98" s="17">
        <f>IFERROR(__xludf.DUMMYFUNCTION("""COMPUTED_VALUE"""),2267)</f>
        <v>2267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IFERROR(__xludf.DUMMYFUNCTION("""COMPUTED_VALUE"""),2280.1)</f>
        <v>2280.1</v>
      </c>
      <c r="C99" s="16">
        <f>IFERROR(__xludf.DUMMYFUNCTION("""COMPUTED_VALUE"""),45882.6458333333)</f>
        <v>45882.6458333333</v>
      </c>
      <c r="D99" s="17">
        <f>IFERROR(__xludf.DUMMYFUNCTION("""COMPUTED_VALUE"""),2299)</f>
        <v>2299</v>
      </c>
      <c r="E99" s="16">
        <f>IFERROR(__xludf.DUMMYFUNCTION("""COMPUTED_VALUE"""),45882.6458333333)</f>
        <v>45882.6458333333</v>
      </c>
      <c r="F99" s="17">
        <f>IFERROR(__xludf.DUMMYFUNCTION("""COMPUTED_VALUE"""),833679)</f>
        <v>833679</v>
      </c>
      <c r="G99" s="16">
        <f>IFERROR(__xludf.DUMMYFUNCTION("""COMPUTED_VALUE"""),45882.6458333333)</f>
        <v>45882.6458333333</v>
      </c>
      <c r="H99" s="17">
        <f>IFERROR(__xludf.DUMMYFUNCTION("""COMPUTED_VALUE"""),2314.9)</f>
        <v>2314.9</v>
      </c>
      <c r="I99" s="16">
        <f>IFERROR(__xludf.DUMMYFUNCTION("""COMPUTED_VALUE"""),45882.6458333333)</f>
        <v>45882.6458333333</v>
      </c>
      <c r="J99" s="17">
        <f>IFERROR(__xludf.DUMMYFUNCTION("""COMPUTED_VALUE"""),2245.4)</f>
        <v>2245.4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IFERROR(__xludf.DUMMYFUNCTION("""COMPUTED_VALUE"""),2281.6)</f>
        <v>2281.6</v>
      </c>
      <c r="C100" s="16">
        <f>IFERROR(__xludf.DUMMYFUNCTION("""COMPUTED_VALUE"""),45883.6458333333)</f>
        <v>45883.6458333333</v>
      </c>
      <c r="D100" s="17">
        <f>IFERROR(__xludf.DUMMYFUNCTION("""COMPUTED_VALUE"""),2288)</f>
        <v>2288</v>
      </c>
      <c r="E100" s="16">
        <f>IFERROR(__xludf.DUMMYFUNCTION("""COMPUTED_VALUE"""),45883.6458333333)</f>
        <v>45883.6458333333</v>
      </c>
      <c r="F100" s="17">
        <f>IFERROR(__xludf.DUMMYFUNCTION("""COMPUTED_VALUE"""),998109)</f>
        <v>998109</v>
      </c>
      <c r="G100" s="16">
        <f>IFERROR(__xludf.DUMMYFUNCTION("""COMPUTED_VALUE"""),45883.6458333333)</f>
        <v>45883.6458333333</v>
      </c>
      <c r="H100" s="17">
        <f>IFERROR(__xludf.DUMMYFUNCTION("""COMPUTED_VALUE"""),2304)</f>
        <v>2304</v>
      </c>
      <c r="I100" s="16">
        <f>IFERROR(__xludf.DUMMYFUNCTION("""COMPUTED_VALUE"""),45883.6458333333)</f>
        <v>45883.6458333333</v>
      </c>
      <c r="J100" s="17">
        <f>IFERROR(__xludf.DUMMYFUNCTION("""COMPUTED_VALUE"""),2267.7)</f>
        <v>2267.7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IFERROR(__xludf.DUMMYFUNCTION("""COMPUTED_VALUE"""),2333.6)</f>
        <v>2333.6</v>
      </c>
      <c r="C101" s="16">
        <f>IFERROR(__xludf.DUMMYFUNCTION("""COMPUTED_VALUE"""),45887.6458333333)</f>
        <v>45887.6458333333</v>
      </c>
      <c r="D101" s="17">
        <f>IFERROR(__xludf.DUMMYFUNCTION("""COMPUTED_VALUE"""),2309.6)</f>
        <v>2309.6</v>
      </c>
      <c r="E101" s="16">
        <f>IFERROR(__xludf.DUMMYFUNCTION("""COMPUTED_VALUE"""),45887.6458333333)</f>
        <v>45887.6458333333</v>
      </c>
      <c r="F101" s="17">
        <f>IFERROR(__xludf.DUMMYFUNCTION("""COMPUTED_VALUE"""),988629)</f>
        <v>988629</v>
      </c>
      <c r="G101" s="16">
        <f>IFERROR(__xludf.DUMMYFUNCTION("""COMPUTED_VALUE"""),45887.6458333333)</f>
        <v>45887.6458333333</v>
      </c>
      <c r="H101" s="17">
        <f>IFERROR(__xludf.DUMMYFUNCTION("""COMPUTED_VALUE"""),2360)</f>
        <v>2360</v>
      </c>
      <c r="I101" s="16">
        <f>IFERROR(__xludf.DUMMYFUNCTION("""COMPUTED_VALUE"""),45887.6458333333)</f>
        <v>45887.6458333333</v>
      </c>
      <c r="J101" s="17">
        <f>IFERROR(__xludf.DUMMYFUNCTION("""COMPUTED_VALUE"""),2300)</f>
        <v>2300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IFERROR(__xludf.DUMMYFUNCTION("""COMPUTED_VALUE"""),2388.4)</f>
        <v>2388.4</v>
      </c>
      <c r="C102" s="16">
        <f>IFERROR(__xludf.DUMMYFUNCTION("""COMPUTED_VALUE"""),45888.6458333333)</f>
        <v>45888.6458333333</v>
      </c>
      <c r="D102" s="17">
        <f>IFERROR(__xludf.DUMMYFUNCTION("""COMPUTED_VALUE"""),2339.9)</f>
        <v>2339.9</v>
      </c>
      <c r="E102" s="16">
        <f>IFERROR(__xludf.DUMMYFUNCTION("""COMPUTED_VALUE"""),45888.6458333333)</f>
        <v>45888.6458333333</v>
      </c>
      <c r="F102" s="17">
        <f>IFERROR(__xludf.DUMMYFUNCTION("""COMPUTED_VALUE"""),1069432)</f>
        <v>1069432</v>
      </c>
      <c r="G102" s="16">
        <f>IFERROR(__xludf.DUMMYFUNCTION("""COMPUTED_VALUE"""),45888.6458333333)</f>
        <v>45888.6458333333</v>
      </c>
      <c r="H102" s="17">
        <f>IFERROR(__xludf.DUMMYFUNCTION("""COMPUTED_VALUE"""),2395.6)</f>
        <v>2395.6</v>
      </c>
      <c r="I102" s="16">
        <f>IFERROR(__xludf.DUMMYFUNCTION("""COMPUTED_VALUE"""),45888.6458333333)</f>
        <v>45888.6458333333</v>
      </c>
      <c r="J102" s="17">
        <f>IFERROR(__xludf.DUMMYFUNCTION("""COMPUTED_VALUE"""),2314.1)</f>
        <v>2314.1</v>
      </c>
      <c r="K102" s="3">
        <f t="shared" si="2"/>
        <v>2388.4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IFERROR(__xludf.DUMMYFUNCTION("""COMPUTED_VALUE"""),2387.1)</f>
        <v>2387.1</v>
      </c>
      <c r="C103" s="16">
        <f>IFERROR(__xludf.DUMMYFUNCTION("""COMPUTED_VALUE"""),45889.6458333333)</f>
        <v>45889.6458333333</v>
      </c>
      <c r="D103" s="17">
        <f>IFERROR(__xludf.DUMMYFUNCTION("""COMPUTED_VALUE"""),2380)</f>
        <v>2380</v>
      </c>
      <c r="E103" s="16">
        <f>IFERROR(__xludf.DUMMYFUNCTION("""COMPUTED_VALUE"""),45889.6458333333)</f>
        <v>45889.6458333333</v>
      </c>
      <c r="F103" s="17">
        <f>IFERROR(__xludf.DUMMYFUNCTION("""COMPUTED_VALUE"""),780025)</f>
        <v>780025</v>
      </c>
      <c r="G103" s="16">
        <f>IFERROR(__xludf.DUMMYFUNCTION("""COMPUTED_VALUE"""),45889.6458333333)</f>
        <v>45889.6458333333</v>
      </c>
      <c r="H103" s="17">
        <f>IFERROR(__xludf.DUMMYFUNCTION("""COMPUTED_VALUE"""),2406)</f>
        <v>2406</v>
      </c>
      <c r="I103" s="16">
        <f>IFERROR(__xludf.DUMMYFUNCTION("""COMPUTED_VALUE"""),45889.6458333333)</f>
        <v>45889.6458333333</v>
      </c>
      <c r="J103" s="17">
        <f>IFERROR(__xludf.DUMMYFUNCTION("""COMPUTED_VALUE"""),2372.1)</f>
        <v>2372.1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IFERROR(__xludf.DUMMYFUNCTION("""COMPUTED_VALUE"""),2377.2)</f>
        <v>2377.2</v>
      </c>
      <c r="C104" s="16">
        <f>IFERROR(__xludf.DUMMYFUNCTION("""COMPUTED_VALUE"""),45890.6458333333)</f>
        <v>45890.6458333333</v>
      </c>
      <c r="D104" s="17">
        <f>IFERROR(__xludf.DUMMYFUNCTION("""COMPUTED_VALUE"""),2387.1)</f>
        <v>2387.1</v>
      </c>
      <c r="E104" s="16">
        <f>IFERROR(__xludf.DUMMYFUNCTION("""COMPUTED_VALUE"""),45890.6458333333)</f>
        <v>45890.6458333333</v>
      </c>
      <c r="F104" s="17">
        <f>IFERROR(__xludf.DUMMYFUNCTION("""COMPUTED_VALUE"""),441867)</f>
        <v>441867</v>
      </c>
      <c r="G104" s="16">
        <f>IFERROR(__xludf.DUMMYFUNCTION("""COMPUTED_VALUE"""),45890.6458333333)</f>
        <v>45890.6458333333</v>
      </c>
      <c r="H104" s="17">
        <f>IFERROR(__xludf.DUMMYFUNCTION("""COMPUTED_VALUE"""),2397)</f>
        <v>2397</v>
      </c>
      <c r="I104" s="16">
        <f>IFERROR(__xludf.DUMMYFUNCTION("""COMPUTED_VALUE"""),45890.6458333333)</f>
        <v>45890.6458333333</v>
      </c>
      <c r="J104" s="17">
        <f>IFERROR(__xludf.DUMMYFUNCTION("""COMPUTED_VALUE"""),2371.4)</f>
        <v>2371.4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IFERROR(__xludf.DUMMYFUNCTION("""COMPUTED_VALUE"""),2324.9)</f>
        <v>2324.9</v>
      </c>
      <c r="C105" s="16">
        <f>IFERROR(__xludf.DUMMYFUNCTION("""COMPUTED_VALUE"""),45891.6458333333)</f>
        <v>45891.6458333333</v>
      </c>
      <c r="D105" s="17">
        <f>IFERROR(__xludf.DUMMYFUNCTION("""COMPUTED_VALUE"""),2369.9)</f>
        <v>2369.9</v>
      </c>
      <c r="E105" s="16">
        <f>IFERROR(__xludf.DUMMYFUNCTION("""COMPUTED_VALUE"""),45891.6458333333)</f>
        <v>45891.6458333333</v>
      </c>
      <c r="F105" s="17">
        <f>IFERROR(__xludf.DUMMYFUNCTION("""COMPUTED_VALUE"""),584211)</f>
        <v>584211</v>
      </c>
      <c r="G105" s="16">
        <f>IFERROR(__xludf.DUMMYFUNCTION("""COMPUTED_VALUE"""),45891.6458333333)</f>
        <v>45891.6458333333</v>
      </c>
      <c r="H105" s="17">
        <f>IFERROR(__xludf.DUMMYFUNCTION("""COMPUTED_VALUE"""),2376.3)</f>
        <v>2376.3</v>
      </c>
      <c r="I105" s="16">
        <f>IFERROR(__xludf.DUMMYFUNCTION("""COMPUTED_VALUE"""),45891.6458333333)</f>
        <v>45891.6458333333</v>
      </c>
      <c r="J105" s="17">
        <f>IFERROR(__xludf.DUMMYFUNCTION("""COMPUTED_VALUE"""),2321)</f>
        <v>2321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IFERROR(__xludf.DUMMYFUNCTION("""COMPUTED_VALUE"""),2302.9)</f>
        <v>2302.9</v>
      </c>
      <c r="C106" s="16">
        <f>IFERROR(__xludf.DUMMYFUNCTION("""COMPUTED_VALUE"""),45894.6458333333)</f>
        <v>45894.6458333333</v>
      </c>
      <c r="D106" s="17">
        <f>IFERROR(__xludf.DUMMYFUNCTION("""COMPUTED_VALUE"""),2335.7)</f>
        <v>2335.7</v>
      </c>
      <c r="E106" s="16">
        <f>IFERROR(__xludf.DUMMYFUNCTION("""COMPUTED_VALUE"""),45894.6458333333)</f>
        <v>45894.6458333333</v>
      </c>
      <c r="F106" s="17">
        <f>IFERROR(__xludf.DUMMYFUNCTION("""COMPUTED_VALUE"""),542455)</f>
        <v>542455</v>
      </c>
      <c r="G106" s="16">
        <f>IFERROR(__xludf.DUMMYFUNCTION("""COMPUTED_VALUE"""),45894.6458333333)</f>
        <v>45894.6458333333</v>
      </c>
      <c r="H106" s="17">
        <f>IFERROR(__xludf.DUMMYFUNCTION("""COMPUTED_VALUE"""),2348.4)</f>
        <v>2348.4</v>
      </c>
      <c r="I106" s="16">
        <f>IFERROR(__xludf.DUMMYFUNCTION("""COMPUTED_VALUE"""),45894.6458333333)</f>
        <v>45894.6458333333</v>
      </c>
      <c r="J106" s="17">
        <f>IFERROR(__xludf.DUMMYFUNCTION("""COMPUTED_VALUE"""),2300)</f>
        <v>2300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IFERROR(__xludf.DUMMYFUNCTION("""COMPUTED_VALUE"""),2272)</f>
        <v>2272</v>
      </c>
      <c r="C107" s="16">
        <f>IFERROR(__xludf.DUMMYFUNCTION("""COMPUTED_VALUE"""),45895.6458333333)</f>
        <v>45895.6458333333</v>
      </c>
      <c r="D107" s="17">
        <f>IFERROR(__xludf.DUMMYFUNCTION("""COMPUTED_VALUE"""),2304)</f>
        <v>2304</v>
      </c>
      <c r="E107" s="16">
        <f>IFERROR(__xludf.DUMMYFUNCTION("""COMPUTED_VALUE"""),45895.6458333333)</f>
        <v>45895.6458333333</v>
      </c>
      <c r="F107" s="17">
        <f>IFERROR(__xludf.DUMMYFUNCTION("""COMPUTED_VALUE"""),1071550)</f>
        <v>1071550</v>
      </c>
      <c r="G107" s="16">
        <f>IFERROR(__xludf.DUMMYFUNCTION("""COMPUTED_VALUE"""),45895.6458333333)</f>
        <v>45895.6458333333</v>
      </c>
      <c r="H107" s="17">
        <f>IFERROR(__xludf.DUMMYFUNCTION("""COMPUTED_VALUE"""),2309.3)</f>
        <v>2309.3</v>
      </c>
      <c r="I107" s="16">
        <f>IFERROR(__xludf.DUMMYFUNCTION("""COMPUTED_VALUE"""),45895.6458333333)</f>
        <v>45895.6458333333</v>
      </c>
      <c r="J107" s="17">
        <f>IFERROR(__xludf.DUMMYFUNCTION("""COMPUTED_VALUE"""),2249.4)</f>
        <v>2249.4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IFERROR(__xludf.DUMMYFUNCTION("""COMPUTED_VALUE"""),2275.2)</f>
        <v>2275.2</v>
      </c>
      <c r="C108" s="16">
        <f>IFERROR(__xludf.DUMMYFUNCTION("""COMPUTED_VALUE"""),45897.6458333333)</f>
        <v>45897.6458333333</v>
      </c>
      <c r="D108" s="17">
        <f>IFERROR(__xludf.DUMMYFUNCTION("""COMPUTED_VALUE"""),2271.9)</f>
        <v>2271.9</v>
      </c>
      <c r="E108" s="16">
        <f>IFERROR(__xludf.DUMMYFUNCTION("""COMPUTED_VALUE"""),45897.6458333333)</f>
        <v>45897.6458333333</v>
      </c>
      <c r="F108" s="17">
        <f>IFERROR(__xludf.DUMMYFUNCTION("""COMPUTED_VALUE"""),907868)</f>
        <v>907868</v>
      </c>
      <c r="G108" s="16">
        <f>IFERROR(__xludf.DUMMYFUNCTION("""COMPUTED_VALUE"""),45897.6458333333)</f>
        <v>45897.6458333333</v>
      </c>
      <c r="H108" s="17">
        <f>IFERROR(__xludf.DUMMYFUNCTION("""COMPUTED_VALUE"""),2327.9)</f>
        <v>2327.9</v>
      </c>
      <c r="I108" s="16">
        <f>IFERROR(__xludf.DUMMYFUNCTION("""COMPUTED_VALUE"""),45897.6458333333)</f>
        <v>45897.6458333333</v>
      </c>
      <c r="J108" s="17">
        <f>IFERROR(__xludf.DUMMYFUNCTION("""COMPUTED_VALUE"""),2255)</f>
        <v>2255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IFERROR(__xludf.DUMMYFUNCTION("""COMPUTED_VALUE"""),2244.7)</f>
        <v>2244.7</v>
      </c>
      <c r="C109" s="16">
        <f>IFERROR(__xludf.DUMMYFUNCTION("""COMPUTED_VALUE"""),45898.6458333333)</f>
        <v>45898.6458333333</v>
      </c>
      <c r="D109" s="17">
        <f>IFERROR(__xludf.DUMMYFUNCTION("""COMPUTED_VALUE"""),2283)</f>
        <v>2283</v>
      </c>
      <c r="E109" s="16">
        <f>IFERROR(__xludf.DUMMYFUNCTION("""COMPUTED_VALUE"""),45898.6458333333)</f>
        <v>45898.6458333333</v>
      </c>
      <c r="F109" s="17">
        <f>IFERROR(__xludf.DUMMYFUNCTION("""COMPUTED_VALUE"""),795699)</f>
        <v>795699</v>
      </c>
      <c r="G109" s="16">
        <f>IFERROR(__xludf.DUMMYFUNCTION("""COMPUTED_VALUE"""),45898.6458333333)</f>
        <v>45898.6458333333</v>
      </c>
      <c r="H109" s="17">
        <f>IFERROR(__xludf.DUMMYFUNCTION("""COMPUTED_VALUE"""),2289.7)</f>
        <v>2289.7</v>
      </c>
      <c r="I109" s="16">
        <f>IFERROR(__xludf.DUMMYFUNCTION("""COMPUTED_VALUE"""),45898.6458333333)</f>
        <v>45898.6458333333</v>
      </c>
      <c r="J109" s="17">
        <f>IFERROR(__xludf.DUMMYFUNCTION("""COMPUTED_VALUE"""),2240)</f>
        <v>2240</v>
      </c>
      <c r="K109" s="3">
        <f t="shared" si="2"/>
        <v>0</v>
      </c>
      <c r="L109" s="3">
        <f t="shared" si="3"/>
        <v>2244.7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IFERROR(__xludf.DUMMYFUNCTION("""COMPUTED_VALUE"""),2284.2)</f>
        <v>2284.2</v>
      </c>
      <c r="C110" s="16">
        <f>IFERROR(__xludf.DUMMYFUNCTION("""COMPUTED_VALUE"""),45901.6458333333)</f>
        <v>45901.6458333333</v>
      </c>
      <c r="D110" s="17">
        <f>IFERROR(__xludf.DUMMYFUNCTION("""COMPUTED_VALUE"""),2259)</f>
        <v>2259</v>
      </c>
      <c r="E110" s="16">
        <f>IFERROR(__xludf.DUMMYFUNCTION("""COMPUTED_VALUE"""),45901.6458333333)</f>
        <v>45901.6458333333</v>
      </c>
      <c r="F110" s="17">
        <f>IFERROR(__xludf.DUMMYFUNCTION("""COMPUTED_VALUE"""),425639)</f>
        <v>425639</v>
      </c>
      <c r="G110" s="16">
        <f>IFERROR(__xludf.DUMMYFUNCTION("""COMPUTED_VALUE"""),45901.6458333333)</f>
        <v>45901.6458333333</v>
      </c>
      <c r="H110" s="17">
        <f>IFERROR(__xludf.DUMMYFUNCTION("""COMPUTED_VALUE"""),2288)</f>
        <v>2288</v>
      </c>
      <c r="I110" s="16">
        <f>IFERROR(__xludf.DUMMYFUNCTION("""COMPUTED_VALUE"""),45901.6458333333)</f>
        <v>45901.6458333333</v>
      </c>
      <c r="J110" s="17">
        <f>IFERROR(__xludf.DUMMYFUNCTION("""COMPUTED_VALUE"""),2252.1)</f>
        <v>2252.1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IFERROR(__xludf.DUMMYFUNCTION("""COMPUTED_VALUE"""),2274.2)</f>
        <v>2274.2</v>
      </c>
      <c r="C111" s="16">
        <f>IFERROR(__xludf.DUMMYFUNCTION("""COMPUTED_VALUE"""),45902.6458333333)</f>
        <v>45902.6458333333</v>
      </c>
      <c r="D111" s="17">
        <f>IFERROR(__xludf.DUMMYFUNCTION("""COMPUTED_VALUE"""),2291)</f>
        <v>2291</v>
      </c>
      <c r="E111" s="16">
        <f>IFERROR(__xludf.DUMMYFUNCTION("""COMPUTED_VALUE"""),45902.6458333333)</f>
        <v>45902.6458333333</v>
      </c>
      <c r="F111" s="17">
        <f>IFERROR(__xludf.DUMMYFUNCTION("""COMPUTED_VALUE"""),481894)</f>
        <v>481894</v>
      </c>
      <c r="G111" s="16">
        <f>IFERROR(__xludf.DUMMYFUNCTION("""COMPUTED_VALUE"""),45902.6458333333)</f>
        <v>45902.6458333333</v>
      </c>
      <c r="H111" s="17">
        <f>IFERROR(__xludf.DUMMYFUNCTION("""COMPUTED_VALUE"""),2302)</f>
        <v>2302</v>
      </c>
      <c r="I111" s="16">
        <f>IFERROR(__xludf.DUMMYFUNCTION("""COMPUTED_VALUE"""),45902.6458333333)</f>
        <v>45902.6458333333</v>
      </c>
      <c r="J111" s="17">
        <f>IFERROR(__xludf.DUMMYFUNCTION("""COMPUTED_VALUE"""),2264)</f>
        <v>2264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IFERROR(__xludf.DUMMYFUNCTION("""COMPUTED_VALUE"""),2288.7)</f>
        <v>2288.7</v>
      </c>
      <c r="C112" s="16">
        <f>IFERROR(__xludf.DUMMYFUNCTION("""COMPUTED_VALUE"""),45903.6458333333)</f>
        <v>45903.6458333333</v>
      </c>
      <c r="D112" s="17">
        <f>IFERROR(__xludf.DUMMYFUNCTION("""COMPUTED_VALUE"""),2285)</f>
        <v>2285</v>
      </c>
      <c r="E112" s="16">
        <f>IFERROR(__xludf.DUMMYFUNCTION("""COMPUTED_VALUE"""),45903.6458333333)</f>
        <v>45903.6458333333</v>
      </c>
      <c r="F112" s="17">
        <f>IFERROR(__xludf.DUMMYFUNCTION("""COMPUTED_VALUE"""),443629)</f>
        <v>443629</v>
      </c>
      <c r="G112" s="16">
        <f>IFERROR(__xludf.DUMMYFUNCTION("""COMPUTED_VALUE"""),45903.6458333333)</f>
        <v>45903.6458333333</v>
      </c>
      <c r="H112" s="17">
        <f>IFERROR(__xludf.DUMMYFUNCTION("""COMPUTED_VALUE"""),2293)</f>
        <v>2293</v>
      </c>
      <c r="I112" s="16">
        <f>IFERROR(__xludf.DUMMYFUNCTION("""COMPUTED_VALUE"""),45903.6458333333)</f>
        <v>45903.6458333333</v>
      </c>
      <c r="J112" s="17">
        <f>IFERROR(__xludf.DUMMYFUNCTION("""COMPUTED_VALUE"""),2263.1)</f>
        <v>2263.1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IFERROR(__xludf.DUMMYFUNCTION("""COMPUTED_VALUE"""),2278.8)</f>
        <v>2278.8</v>
      </c>
      <c r="C113" s="16">
        <f>IFERROR(__xludf.DUMMYFUNCTION("""COMPUTED_VALUE"""),45904.6458333333)</f>
        <v>45904.6458333333</v>
      </c>
      <c r="D113" s="17">
        <f>IFERROR(__xludf.DUMMYFUNCTION("""COMPUTED_VALUE"""),2309.9)</f>
        <v>2309.9</v>
      </c>
      <c r="E113" s="16">
        <f>IFERROR(__xludf.DUMMYFUNCTION("""COMPUTED_VALUE"""),45904.6458333333)</f>
        <v>45904.6458333333</v>
      </c>
      <c r="F113" s="17">
        <f>IFERROR(__xludf.DUMMYFUNCTION("""COMPUTED_VALUE"""),392697)</f>
        <v>392697</v>
      </c>
      <c r="G113" s="16">
        <f>IFERROR(__xludf.DUMMYFUNCTION("""COMPUTED_VALUE"""),45904.6458333333)</f>
        <v>45904.6458333333</v>
      </c>
      <c r="H113" s="17">
        <f>IFERROR(__xludf.DUMMYFUNCTION("""COMPUTED_VALUE"""),2317.3)</f>
        <v>2317.3</v>
      </c>
      <c r="I113" s="16">
        <f>IFERROR(__xludf.DUMMYFUNCTION("""COMPUTED_VALUE"""),45904.6458333333)</f>
        <v>45904.6458333333</v>
      </c>
      <c r="J113" s="17">
        <f>IFERROR(__xludf.DUMMYFUNCTION("""COMPUTED_VALUE"""),2275)</f>
        <v>2275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IFERROR(__xludf.DUMMYFUNCTION("""COMPUTED_VALUE"""),2281.4)</f>
        <v>2281.4</v>
      </c>
      <c r="C114" s="16">
        <f>IFERROR(__xludf.DUMMYFUNCTION("""COMPUTED_VALUE"""),45905.6458333333)</f>
        <v>45905.6458333333</v>
      </c>
      <c r="D114" s="17">
        <f>IFERROR(__xludf.DUMMYFUNCTION("""COMPUTED_VALUE"""),2275)</f>
        <v>2275</v>
      </c>
      <c r="E114" s="16">
        <f>IFERROR(__xludf.DUMMYFUNCTION("""COMPUTED_VALUE"""),45905.6458333333)</f>
        <v>45905.6458333333</v>
      </c>
      <c r="F114" s="17">
        <f>IFERROR(__xludf.DUMMYFUNCTION("""COMPUTED_VALUE"""),443010)</f>
        <v>443010</v>
      </c>
      <c r="G114" s="16">
        <f>IFERROR(__xludf.DUMMYFUNCTION("""COMPUTED_VALUE"""),45905.6458333333)</f>
        <v>45905.6458333333</v>
      </c>
      <c r="H114" s="17">
        <f>IFERROR(__xludf.DUMMYFUNCTION("""COMPUTED_VALUE"""),2293.5)</f>
        <v>2293.5</v>
      </c>
      <c r="I114" s="16">
        <f>IFERROR(__xludf.DUMMYFUNCTION("""COMPUTED_VALUE"""),45905.6458333333)</f>
        <v>45905.6458333333</v>
      </c>
      <c r="J114" s="17">
        <f>IFERROR(__xludf.DUMMYFUNCTION("""COMPUTED_VALUE"""),2248)</f>
        <v>2248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IFERROR(__xludf.DUMMYFUNCTION("""COMPUTED_VALUE"""),2310.9)</f>
        <v>2310.9</v>
      </c>
      <c r="C115" s="16">
        <f>IFERROR(__xludf.DUMMYFUNCTION("""COMPUTED_VALUE"""),45908.6458333333)</f>
        <v>45908.6458333333</v>
      </c>
      <c r="D115" s="17">
        <f>IFERROR(__xludf.DUMMYFUNCTION("""COMPUTED_VALUE"""),2290)</f>
        <v>2290</v>
      </c>
      <c r="E115" s="16">
        <f>IFERROR(__xludf.DUMMYFUNCTION("""COMPUTED_VALUE"""),45908.6458333333)</f>
        <v>45908.6458333333</v>
      </c>
      <c r="F115" s="17">
        <f>IFERROR(__xludf.DUMMYFUNCTION("""COMPUTED_VALUE"""),542811)</f>
        <v>542811</v>
      </c>
      <c r="G115" s="16">
        <f>IFERROR(__xludf.DUMMYFUNCTION("""COMPUTED_VALUE"""),45908.6458333333)</f>
        <v>45908.6458333333</v>
      </c>
      <c r="H115" s="17">
        <f>IFERROR(__xludf.DUMMYFUNCTION("""COMPUTED_VALUE"""),2333.9)</f>
        <v>2333.9</v>
      </c>
      <c r="I115" s="16">
        <f>IFERROR(__xludf.DUMMYFUNCTION("""COMPUTED_VALUE"""),45908.6458333333)</f>
        <v>45908.6458333333</v>
      </c>
      <c r="J115" s="17">
        <f>IFERROR(__xludf.DUMMYFUNCTION("""COMPUTED_VALUE"""),2286)</f>
        <v>2286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IFERROR(__xludf.DUMMYFUNCTION("""COMPUTED_VALUE"""),2311.6)</f>
        <v>2311.6</v>
      </c>
      <c r="C116" s="16">
        <f>IFERROR(__xludf.DUMMYFUNCTION("""COMPUTED_VALUE"""),45909.6458333333)</f>
        <v>45909.6458333333</v>
      </c>
      <c r="D116" s="17">
        <f>IFERROR(__xludf.DUMMYFUNCTION("""COMPUTED_VALUE"""),2320)</f>
        <v>2320</v>
      </c>
      <c r="E116" s="16">
        <f>IFERROR(__xludf.DUMMYFUNCTION("""COMPUTED_VALUE"""),45909.6458333333)</f>
        <v>45909.6458333333</v>
      </c>
      <c r="F116" s="17">
        <f>IFERROR(__xludf.DUMMYFUNCTION("""COMPUTED_VALUE"""),369431)</f>
        <v>369431</v>
      </c>
      <c r="G116" s="16">
        <f>IFERROR(__xludf.DUMMYFUNCTION("""COMPUTED_VALUE"""),45909.6458333333)</f>
        <v>45909.6458333333</v>
      </c>
      <c r="H116" s="17">
        <f>IFERROR(__xludf.DUMMYFUNCTION("""COMPUTED_VALUE"""),2325)</f>
        <v>2325</v>
      </c>
      <c r="I116" s="16">
        <f>IFERROR(__xludf.DUMMYFUNCTION("""COMPUTED_VALUE"""),45909.6458333333)</f>
        <v>45909.6458333333</v>
      </c>
      <c r="J116" s="17">
        <f>IFERROR(__xludf.DUMMYFUNCTION("""COMPUTED_VALUE"""),2297)</f>
        <v>2297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IFERROR(__xludf.DUMMYFUNCTION("""COMPUTED_VALUE"""),2340.2)</f>
        <v>2340.2</v>
      </c>
      <c r="C117" s="16">
        <f>IFERROR(__xludf.DUMMYFUNCTION("""COMPUTED_VALUE"""),45910.6458333333)</f>
        <v>45910.6458333333</v>
      </c>
      <c r="D117" s="17">
        <f>IFERROR(__xludf.DUMMYFUNCTION("""COMPUTED_VALUE"""),2330)</f>
        <v>2330</v>
      </c>
      <c r="E117" s="16">
        <f>IFERROR(__xludf.DUMMYFUNCTION("""COMPUTED_VALUE"""),45910.6458333333)</f>
        <v>45910.6458333333</v>
      </c>
      <c r="F117" s="17">
        <f>IFERROR(__xludf.DUMMYFUNCTION("""COMPUTED_VALUE"""),390490)</f>
        <v>390490</v>
      </c>
      <c r="G117" s="16">
        <f>IFERROR(__xludf.DUMMYFUNCTION("""COMPUTED_VALUE"""),45910.6458333333)</f>
        <v>45910.6458333333</v>
      </c>
      <c r="H117" s="17">
        <f>IFERROR(__xludf.DUMMYFUNCTION("""COMPUTED_VALUE"""),2345.9)</f>
        <v>2345.9</v>
      </c>
      <c r="I117" s="16">
        <f>IFERROR(__xludf.DUMMYFUNCTION("""COMPUTED_VALUE"""),45910.6458333333)</f>
        <v>45910.6458333333</v>
      </c>
      <c r="J117" s="17">
        <f>IFERROR(__xludf.DUMMYFUNCTION("""COMPUTED_VALUE"""),2325.1)</f>
        <v>2325.1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IFERROR(__xludf.DUMMYFUNCTION("""COMPUTED_VALUE"""),2398.8)</f>
        <v>2398.8</v>
      </c>
      <c r="C118" s="16">
        <f>IFERROR(__xludf.DUMMYFUNCTION("""COMPUTED_VALUE"""),45911.6458333333)</f>
        <v>45911.6458333333</v>
      </c>
      <c r="D118" s="17">
        <f>IFERROR(__xludf.DUMMYFUNCTION("""COMPUTED_VALUE"""),2348)</f>
        <v>2348</v>
      </c>
      <c r="E118" s="16">
        <f>IFERROR(__xludf.DUMMYFUNCTION("""COMPUTED_VALUE"""),45911.6458333333)</f>
        <v>45911.6458333333</v>
      </c>
      <c r="F118" s="17">
        <f>IFERROR(__xludf.DUMMYFUNCTION("""COMPUTED_VALUE"""),2111888)</f>
        <v>2111888</v>
      </c>
      <c r="G118" s="16">
        <f>IFERROR(__xludf.DUMMYFUNCTION("""COMPUTED_VALUE"""),45911.6458333333)</f>
        <v>45911.6458333333</v>
      </c>
      <c r="H118" s="17">
        <f>IFERROR(__xludf.DUMMYFUNCTION("""COMPUTED_VALUE"""),2418.7)</f>
        <v>2418.7</v>
      </c>
      <c r="I118" s="16">
        <f>IFERROR(__xludf.DUMMYFUNCTION("""COMPUTED_VALUE"""),45911.6458333333)</f>
        <v>45911.6458333333</v>
      </c>
      <c r="J118" s="17">
        <f>IFERROR(__xludf.DUMMYFUNCTION("""COMPUTED_VALUE"""),2340.2)</f>
        <v>2340.2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IFERROR(__xludf.DUMMYFUNCTION("""COMPUTED_VALUE"""),2392)</f>
        <v>2392</v>
      </c>
      <c r="C119" s="16">
        <f>IFERROR(__xludf.DUMMYFUNCTION("""COMPUTED_VALUE"""),45912.6458333333)</f>
        <v>45912.6458333333</v>
      </c>
      <c r="D119" s="17">
        <f>IFERROR(__xludf.DUMMYFUNCTION("""COMPUTED_VALUE"""),2416.9)</f>
        <v>2416.9</v>
      </c>
      <c r="E119" s="16">
        <f>IFERROR(__xludf.DUMMYFUNCTION("""COMPUTED_VALUE"""),45912.6458333333)</f>
        <v>45912.6458333333</v>
      </c>
      <c r="F119" s="17">
        <f>IFERROR(__xludf.DUMMYFUNCTION("""COMPUTED_VALUE"""),533971)</f>
        <v>533971</v>
      </c>
      <c r="G119" s="16">
        <f>IFERROR(__xludf.DUMMYFUNCTION("""COMPUTED_VALUE"""),45912.6458333333)</f>
        <v>45912.6458333333</v>
      </c>
      <c r="H119" s="17">
        <f>IFERROR(__xludf.DUMMYFUNCTION("""COMPUTED_VALUE"""),2421.6)</f>
        <v>2421.6</v>
      </c>
      <c r="I119" s="16">
        <f>IFERROR(__xludf.DUMMYFUNCTION("""COMPUTED_VALUE"""),45912.6458333333)</f>
        <v>45912.6458333333</v>
      </c>
      <c r="J119" s="17">
        <f>IFERROR(__xludf.DUMMYFUNCTION("""COMPUTED_VALUE"""),2387.1)</f>
        <v>2387.1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IFERROR(__xludf.DUMMYFUNCTION("""COMPUTED_VALUE"""),2383.4)</f>
        <v>2383.4</v>
      </c>
      <c r="C120" s="16">
        <f>IFERROR(__xludf.DUMMYFUNCTION("""COMPUTED_VALUE"""),45915.6458333333)</f>
        <v>45915.6458333333</v>
      </c>
      <c r="D120" s="17">
        <f>IFERROR(__xludf.DUMMYFUNCTION("""COMPUTED_VALUE"""),2392)</f>
        <v>2392</v>
      </c>
      <c r="E120" s="16">
        <f>IFERROR(__xludf.DUMMYFUNCTION("""COMPUTED_VALUE"""),45915.6458333333)</f>
        <v>45915.6458333333</v>
      </c>
      <c r="F120" s="17">
        <f>IFERROR(__xludf.DUMMYFUNCTION("""COMPUTED_VALUE"""),298129)</f>
        <v>298129</v>
      </c>
      <c r="G120" s="16">
        <f>IFERROR(__xludf.DUMMYFUNCTION("""COMPUTED_VALUE"""),45915.6458333333)</f>
        <v>45915.6458333333</v>
      </c>
      <c r="H120" s="17">
        <f>IFERROR(__xludf.DUMMYFUNCTION("""COMPUTED_VALUE"""),2402.8)</f>
        <v>2402.8</v>
      </c>
      <c r="I120" s="16">
        <f>IFERROR(__xludf.DUMMYFUNCTION("""COMPUTED_VALUE"""),45915.6458333333)</f>
        <v>45915.6458333333</v>
      </c>
      <c r="J120" s="17">
        <f>IFERROR(__xludf.DUMMYFUNCTION("""COMPUTED_VALUE"""),2378.1)</f>
        <v>2378.1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IFERROR(__xludf.DUMMYFUNCTION("""COMPUTED_VALUE"""),2399.4)</f>
        <v>2399.4</v>
      </c>
      <c r="C121" s="16">
        <f>IFERROR(__xludf.DUMMYFUNCTION("""COMPUTED_VALUE"""),45916.6458333333)</f>
        <v>45916.6458333333</v>
      </c>
      <c r="D121" s="17">
        <f>IFERROR(__xludf.DUMMYFUNCTION("""COMPUTED_VALUE"""),2410)</f>
        <v>2410</v>
      </c>
      <c r="E121" s="16">
        <f>IFERROR(__xludf.DUMMYFUNCTION("""COMPUTED_VALUE"""),45916.6458333333)</f>
        <v>45916.6458333333</v>
      </c>
      <c r="F121" s="17">
        <f>IFERROR(__xludf.DUMMYFUNCTION("""COMPUTED_VALUE"""),752979)</f>
        <v>752979</v>
      </c>
      <c r="G121" s="16">
        <f>IFERROR(__xludf.DUMMYFUNCTION("""COMPUTED_VALUE"""),45916.6458333333)</f>
        <v>45916.6458333333</v>
      </c>
      <c r="H121" s="17">
        <f>IFERROR(__xludf.DUMMYFUNCTION("""COMPUTED_VALUE"""),2415.8)</f>
        <v>2415.8</v>
      </c>
      <c r="I121" s="16">
        <f>IFERROR(__xludf.DUMMYFUNCTION("""COMPUTED_VALUE"""),45916.6458333333)</f>
        <v>45916.6458333333</v>
      </c>
      <c r="J121" s="17">
        <f>IFERROR(__xludf.DUMMYFUNCTION("""COMPUTED_VALUE"""),2388)</f>
        <v>2388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IFERROR(__xludf.DUMMYFUNCTION("""COMPUTED_VALUE"""),2402)</f>
        <v>2402</v>
      </c>
      <c r="C122" s="16">
        <f>IFERROR(__xludf.DUMMYFUNCTION("""COMPUTED_VALUE"""),45917.6458333333)</f>
        <v>45917.6458333333</v>
      </c>
      <c r="D122" s="17">
        <f>IFERROR(__xludf.DUMMYFUNCTION("""COMPUTED_VALUE"""),2417)</f>
        <v>2417</v>
      </c>
      <c r="E122" s="16">
        <f>IFERROR(__xludf.DUMMYFUNCTION("""COMPUTED_VALUE"""),45917.6458333333)</f>
        <v>45917.6458333333</v>
      </c>
      <c r="F122" s="17">
        <f>IFERROR(__xludf.DUMMYFUNCTION("""COMPUTED_VALUE"""),514354)</f>
        <v>514354</v>
      </c>
      <c r="G122" s="16">
        <f>IFERROR(__xludf.DUMMYFUNCTION("""COMPUTED_VALUE"""),45917.6458333333)</f>
        <v>45917.6458333333</v>
      </c>
      <c r="H122" s="17">
        <f>IFERROR(__xludf.DUMMYFUNCTION("""COMPUTED_VALUE"""),2417)</f>
        <v>2417</v>
      </c>
      <c r="I122" s="16">
        <f>IFERROR(__xludf.DUMMYFUNCTION("""COMPUTED_VALUE"""),45917.6458333333)</f>
        <v>45917.6458333333</v>
      </c>
      <c r="J122" s="17">
        <f>IFERROR(__xludf.DUMMYFUNCTION("""COMPUTED_VALUE"""),2391)</f>
        <v>2391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IFERROR(__xludf.DUMMYFUNCTION("""COMPUTED_VALUE"""),2402)</f>
        <v>2402</v>
      </c>
      <c r="C123" s="16">
        <f>IFERROR(__xludf.DUMMYFUNCTION("""COMPUTED_VALUE"""),45918.6458333333)</f>
        <v>45918.6458333333</v>
      </c>
      <c r="D123" s="17">
        <f>IFERROR(__xludf.DUMMYFUNCTION("""COMPUTED_VALUE"""),2414.5)</f>
        <v>2414.5</v>
      </c>
      <c r="E123" s="16">
        <f>IFERROR(__xludf.DUMMYFUNCTION("""COMPUTED_VALUE"""),45918.6458333333)</f>
        <v>45918.6458333333</v>
      </c>
      <c r="F123" s="17">
        <f>IFERROR(__xludf.DUMMYFUNCTION("""COMPUTED_VALUE"""),703730)</f>
        <v>703730</v>
      </c>
      <c r="G123" s="16">
        <f>IFERROR(__xludf.DUMMYFUNCTION("""COMPUTED_VALUE"""),45918.6458333333)</f>
        <v>45918.6458333333</v>
      </c>
      <c r="H123" s="17">
        <f>IFERROR(__xludf.DUMMYFUNCTION("""COMPUTED_VALUE"""),2438)</f>
        <v>2438</v>
      </c>
      <c r="I123" s="16">
        <f>IFERROR(__xludf.DUMMYFUNCTION("""COMPUTED_VALUE"""),45918.6458333333)</f>
        <v>45918.6458333333</v>
      </c>
      <c r="J123" s="17">
        <f>IFERROR(__xludf.DUMMYFUNCTION("""COMPUTED_VALUE"""),2388.4)</f>
        <v>2388.4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IFERROR(__xludf.DUMMYFUNCTION("""COMPUTED_VALUE"""),2524)</f>
        <v>2524</v>
      </c>
      <c r="C124" s="16">
        <f>IFERROR(__xludf.DUMMYFUNCTION("""COMPUTED_VALUE"""),45919.6458333333)</f>
        <v>45919.6458333333</v>
      </c>
      <c r="D124" s="17">
        <f>IFERROR(__xludf.DUMMYFUNCTION("""COMPUTED_VALUE"""),2495)</f>
        <v>2495</v>
      </c>
      <c r="E124" s="16">
        <f>IFERROR(__xludf.DUMMYFUNCTION("""COMPUTED_VALUE"""),45919.6458333333)</f>
        <v>45919.6458333333</v>
      </c>
      <c r="F124" s="17">
        <f>IFERROR(__xludf.DUMMYFUNCTION("""COMPUTED_VALUE"""),7965135)</f>
        <v>7965135</v>
      </c>
      <c r="G124" s="16">
        <f>IFERROR(__xludf.DUMMYFUNCTION("""COMPUTED_VALUE"""),45919.6458333333)</f>
        <v>45919.6458333333</v>
      </c>
      <c r="H124" s="17">
        <f>IFERROR(__xludf.DUMMYFUNCTION("""COMPUTED_VALUE"""),2579)</f>
        <v>2579</v>
      </c>
      <c r="I124" s="16">
        <f>IFERROR(__xludf.DUMMYFUNCTION("""COMPUTED_VALUE"""),45919.6458333333)</f>
        <v>45919.6458333333</v>
      </c>
      <c r="J124" s="17">
        <f>IFERROR(__xludf.DUMMYFUNCTION("""COMPUTED_VALUE"""),2466.1)</f>
        <v>2466.1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IFERROR(__xludf.DUMMYFUNCTION("""COMPUTED_VALUE"""),2629.5)</f>
        <v>2629.5</v>
      </c>
      <c r="C125" s="16">
        <f>IFERROR(__xludf.DUMMYFUNCTION("""COMPUTED_VALUE"""),45922.6458333333)</f>
        <v>45922.6458333333</v>
      </c>
      <c r="D125" s="17">
        <f>IFERROR(__xludf.DUMMYFUNCTION("""COMPUTED_VALUE"""),2535)</f>
        <v>2535</v>
      </c>
      <c r="E125" s="16">
        <f>IFERROR(__xludf.DUMMYFUNCTION("""COMPUTED_VALUE"""),45922.6458333333)</f>
        <v>45922.6458333333</v>
      </c>
      <c r="F125" s="17">
        <f>IFERROR(__xludf.DUMMYFUNCTION("""COMPUTED_VALUE"""),7022985)</f>
        <v>7022985</v>
      </c>
      <c r="G125" s="16">
        <f>IFERROR(__xludf.DUMMYFUNCTION("""COMPUTED_VALUE"""),45922.6458333333)</f>
        <v>45922.6458333333</v>
      </c>
      <c r="H125" s="17">
        <f>IFERROR(__xludf.DUMMYFUNCTION("""COMPUTED_VALUE"""),2659)</f>
        <v>2659</v>
      </c>
      <c r="I125" s="16">
        <f>IFERROR(__xludf.DUMMYFUNCTION("""COMPUTED_VALUE"""),45922.6458333333)</f>
        <v>45922.6458333333</v>
      </c>
      <c r="J125" s="17">
        <f>IFERROR(__xludf.DUMMYFUNCTION("""COMPUTED_VALUE"""),2522.1)</f>
        <v>2522.1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IFERROR(__xludf.DUMMYFUNCTION("""COMPUTED_VALUE"""),2676.4)</f>
        <v>2676.4</v>
      </c>
      <c r="C126" s="16">
        <f>IFERROR(__xludf.DUMMYFUNCTION("""COMPUTED_VALUE"""),45923.6458333333)</f>
        <v>45923.6458333333</v>
      </c>
      <c r="D126" s="17">
        <f>IFERROR(__xludf.DUMMYFUNCTION("""COMPUTED_VALUE"""),2642.6)</f>
        <v>2642.6</v>
      </c>
      <c r="E126" s="16">
        <f>IFERROR(__xludf.DUMMYFUNCTION("""COMPUTED_VALUE"""),45923.6458333333)</f>
        <v>45923.6458333333</v>
      </c>
      <c r="F126" s="17">
        <f>IFERROR(__xludf.DUMMYFUNCTION("""COMPUTED_VALUE"""),5610022)</f>
        <v>5610022</v>
      </c>
      <c r="G126" s="16">
        <f>IFERROR(__xludf.DUMMYFUNCTION("""COMPUTED_VALUE"""),45923.6458333333)</f>
        <v>45923.6458333333</v>
      </c>
      <c r="H126" s="17">
        <f>IFERROR(__xludf.DUMMYFUNCTION("""COMPUTED_VALUE"""),2695)</f>
        <v>2695</v>
      </c>
      <c r="I126" s="16">
        <f>IFERROR(__xludf.DUMMYFUNCTION("""COMPUTED_VALUE"""),45923.6458333333)</f>
        <v>45923.6458333333</v>
      </c>
      <c r="J126" s="17">
        <f>IFERROR(__xludf.DUMMYFUNCTION("""COMPUTED_VALUE"""),2593)</f>
        <v>2593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IFERROR(__xludf.DUMMYFUNCTION("""COMPUTED_VALUE"""),2619.8)</f>
        <v>2619.8</v>
      </c>
      <c r="C127" s="16">
        <f>IFERROR(__xludf.DUMMYFUNCTION("""COMPUTED_VALUE"""),45924.6458333333)</f>
        <v>45924.6458333333</v>
      </c>
      <c r="D127" s="17">
        <f>IFERROR(__xludf.DUMMYFUNCTION("""COMPUTED_VALUE"""),2655)</f>
        <v>2655</v>
      </c>
      <c r="E127" s="16">
        <f>IFERROR(__xludf.DUMMYFUNCTION("""COMPUTED_VALUE"""),45924.6458333333)</f>
        <v>45924.6458333333</v>
      </c>
      <c r="F127" s="17">
        <f>IFERROR(__xludf.DUMMYFUNCTION("""COMPUTED_VALUE"""),1720785)</f>
        <v>1720785</v>
      </c>
      <c r="G127" s="16">
        <f>IFERROR(__xludf.DUMMYFUNCTION("""COMPUTED_VALUE"""),45924.6458333333)</f>
        <v>45924.6458333333</v>
      </c>
      <c r="H127" s="17">
        <f>IFERROR(__xludf.DUMMYFUNCTION("""COMPUTED_VALUE"""),2676)</f>
        <v>2676</v>
      </c>
      <c r="I127" s="16">
        <f>IFERROR(__xludf.DUMMYFUNCTION("""COMPUTED_VALUE"""),45924.6458333333)</f>
        <v>45924.6458333333</v>
      </c>
      <c r="J127" s="17">
        <f>IFERROR(__xludf.DUMMYFUNCTION("""COMPUTED_VALUE"""),2614.4)</f>
        <v>2614.4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IFERROR(__xludf.DUMMYFUNCTION("""COMPUTED_VALUE"""),2576.4)</f>
        <v>2576.4</v>
      </c>
      <c r="C128" s="16">
        <f>IFERROR(__xludf.DUMMYFUNCTION("""COMPUTED_VALUE"""),45925.6458333333)</f>
        <v>45925.6458333333</v>
      </c>
      <c r="D128" s="17">
        <f>IFERROR(__xludf.DUMMYFUNCTION("""COMPUTED_VALUE"""),2625)</f>
        <v>2625</v>
      </c>
      <c r="E128" s="16">
        <f>IFERROR(__xludf.DUMMYFUNCTION("""COMPUTED_VALUE"""),45925.6458333333)</f>
        <v>45925.6458333333</v>
      </c>
      <c r="F128" s="17">
        <f>IFERROR(__xludf.DUMMYFUNCTION("""COMPUTED_VALUE"""),1489682)</f>
        <v>1489682</v>
      </c>
      <c r="G128" s="16">
        <f>IFERROR(__xludf.DUMMYFUNCTION("""COMPUTED_VALUE"""),45925.6458333333)</f>
        <v>45925.6458333333</v>
      </c>
      <c r="H128" s="17">
        <f>IFERROR(__xludf.DUMMYFUNCTION("""COMPUTED_VALUE"""),2647.9)</f>
        <v>2647.9</v>
      </c>
      <c r="I128" s="16">
        <f>IFERROR(__xludf.DUMMYFUNCTION("""COMPUTED_VALUE"""),45925.6458333333)</f>
        <v>45925.6458333333</v>
      </c>
      <c r="J128" s="17">
        <f>IFERROR(__xludf.DUMMYFUNCTION("""COMPUTED_VALUE"""),2567)</f>
        <v>2567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IFERROR(__xludf.DUMMYFUNCTION("""COMPUTED_VALUE"""),2543.7)</f>
        <v>2543.7</v>
      </c>
      <c r="C129" s="16">
        <f>IFERROR(__xludf.DUMMYFUNCTION("""COMPUTED_VALUE"""),45926.6458333333)</f>
        <v>45926.6458333333</v>
      </c>
      <c r="D129" s="17">
        <f>IFERROR(__xludf.DUMMYFUNCTION("""COMPUTED_VALUE"""),2572.8)</f>
        <v>2572.8</v>
      </c>
      <c r="E129" s="16">
        <f>IFERROR(__xludf.DUMMYFUNCTION("""COMPUTED_VALUE"""),45926.6458333333)</f>
        <v>45926.6458333333</v>
      </c>
      <c r="F129" s="17">
        <f>IFERROR(__xludf.DUMMYFUNCTION("""COMPUTED_VALUE"""),1037808)</f>
        <v>1037808</v>
      </c>
      <c r="G129" s="16">
        <f>IFERROR(__xludf.DUMMYFUNCTION("""COMPUTED_VALUE"""),45926.6458333333)</f>
        <v>45926.6458333333</v>
      </c>
      <c r="H129" s="17">
        <f>IFERROR(__xludf.DUMMYFUNCTION("""COMPUTED_VALUE"""),2605)</f>
        <v>2605</v>
      </c>
      <c r="I129" s="16">
        <f>IFERROR(__xludf.DUMMYFUNCTION("""COMPUTED_VALUE"""),45926.6458333333)</f>
        <v>45926.6458333333</v>
      </c>
      <c r="J129" s="17">
        <f>IFERROR(__xludf.DUMMYFUNCTION("""COMPUTED_VALUE"""),2535)</f>
        <v>2535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267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""price"")"),2535.6)</f>
        <v>2535.6</v>
      </c>
      <c r="I3" s="22" t="s">
        <v>269</v>
      </c>
      <c r="J3" s="23">
        <f>IFERROR(__xludf.DUMMYFUNCTION("GOOGLEFINANCE(L3, ""volume"")"),1037808)</f>
        <v>1037808</v>
      </c>
      <c r="K3" s="24" t="s">
        <v>270</v>
      </c>
      <c r="L3" s="25" t="str">
        <f>Mastersheet!B3</f>
        <v>ADANIENT</v>
      </c>
      <c r="M3" s="26">
        <f>IFERROR(__xludf.DUMMYFUNCTION("""COMPUTED_VALUE"""),45926.6458333333)</f>
        <v>45926.6458333333</v>
      </c>
      <c r="N3" s="27">
        <f>IFERROR(__xludf.DUMMYFUNCTION("""COMPUTED_VALUE"""),2543.7)</f>
        <v>2543.7</v>
      </c>
      <c r="O3" s="26">
        <f>IFERROR(__xludf.DUMMYFUNCTION("""COMPUTED_VALUE"""),45926.6458333333)</f>
        <v>45926.6458333333</v>
      </c>
      <c r="P3" s="27">
        <f>IFERROR(__xludf.DUMMYFUNCTION("""COMPUTED_VALUE"""),2572.8)</f>
        <v>2572.8</v>
      </c>
      <c r="Q3" s="16">
        <f>IFERROR(__xludf.DUMMYFUNCTION("""COMPUTED_VALUE"""),45926.6458333333)</f>
        <v>45926.6458333333</v>
      </c>
      <c r="R3" s="17">
        <f>IFERROR(__xludf.DUMMYFUNCTION("""COMPUTED_VALUE"""),2605)</f>
        <v>2605</v>
      </c>
      <c r="S3" s="16">
        <f>IFERROR(__xludf.DUMMYFUNCTION("""COMPUTED_VALUE"""),45926.6458333333)</f>
        <v>45926.6458333333</v>
      </c>
      <c r="T3" s="17">
        <f>IFERROR(__xludf.DUMMYFUNCTION("""COMPUTED_VALUE"""),2535)</f>
        <v>2535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IFERROR(__xludf.DUMMYFUNCTION("""COMPUTED_VALUE"""),2363.35)</f>
        <v>2363.35</v>
      </c>
      <c r="C5" s="14">
        <f>IFERROR(__xludf.DUMMYFUNCTION("""COMPUTED_VALUE"""),45743.6458333333)</f>
        <v>45743.6458333333</v>
      </c>
      <c r="D5" s="15">
        <f>IFERROR(__xludf.DUMMYFUNCTION("""COMPUTED_VALUE"""),2310)</f>
        <v>2310</v>
      </c>
      <c r="E5" s="14">
        <f>IFERROR(__xludf.DUMMYFUNCTION("""COMPUTED_VALUE"""),45743.6458333333)</f>
        <v>45743.6458333333</v>
      </c>
      <c r="F5" s="15">
        <f>IFERROR(__xludf.DUMMYFUNCTION("""COMPUTED_VALUE"""),1696042)</f>
        <v>1696042</v>
      </c>
      <c r="G5" s="14">
        <f>IFERROR(__xludf.DUMMYFUNCTION("""COMPUTED_VALUE"""),45743.6458333333)</f>
        <v>45743.6458333333</v>
      </c>
      <c r="H5" s="15">
        <f>IFERROR(__xludf.DUMMYFUNCTION("""COMPUTED_VALUE"""),2373.9)</f>
        <v>2373.9</v>
      </c>
      <c r="I5" s="30">
        <f>IFERROR(__xludf.DUMMYFUNCTION("""COMPUTED_VALUE"""),45743.6458333333)</f>
        <v>45743.6458333333</v>
      </c>
      <c r="J5" s="3">
        <f>IFERROR(__xludf.DUMMYFUNCTION("""COMPUTED_VALUE"""),2291.6)</f>
        <v>2291.6</v>
      </c>
      <c r="K5" s="5"/>
      <c r="L5" s="5"/>
      <c r="M5" s="3">
        <f t="array" ref="M5">INDEX(K11:K124,MATCH(SMALL(ABS(K11:K124-H3),1),ABS(K11:K124-H3),0))</f>
        <v>2555</v>
      </c>
      <c r="N5" s="3">
        <f t="array" ref="N5">INDEX(K11:K124,MATCH(SMALL(ABS(K11:K124-H3),2),ABS(K11:K124-H3),0))</f>
        <v>2613.1</v>
      </c>
      <c r="O5" s="3">
        <f t="array" ref="O5">INDEX(L11:L124,MATCH(SMALL(ABS(L11:L124-H3),1),ABS(L11:L124-H3),0))</f>
        <v>2558.7</v>
      </c>
      <c r="P5" s="3">
        <f t="array" ref="P5">INDEX(L11:L124,MATCH(SMALL(ABS(L11:L124-H3),2),ABS(L11:L124-H3),0))</f>
        <v>2470.9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2442.8</v>
      </c>
      <c r="T5" s="17">
        <f ca="1">IF(AND(H3&gt;=Mastersheet!I3*S5,H3&lt;=Mastersheet!J3*S5),1,0)</f>
        <v>0</v>
      </c>
      <c r="U5" s="36">
        <f>(N3+P3)/2</f>
        <v>2558.25</v>
      </c>
      <c r="V5" s="17">
        <f>(N3+P3+R3+T3)/4</f>
        <v>2564.125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IFERROR(__xludf.DUMMYFUNCTION("""COMPUTED_VALUE"""),2315.8)</f>
        <v>2315.8</v>
      </c>
      <c r="C6" s="16">
        <f>IFERROR(__xludf.DUMMYFUNCTION("""COMPUTED_VALUE"""),45744.6458333333)</f>
        <v>45744.6458333333</v>
      </c>
      <c r="D6" s="17">
        <f>IFERROR(__xludf.DUMMYFUNCTION("""COMPUTED_VALUE"""),2376)</f>
        <v>2376</v>
      </c>
      <c r="E6" s="16">
        <f>IFERROR(__xludf.DUMMYFUNCTION("""COMPUTED_VALUE"""),45744.6458333333)</f>
        <v>45744.6458333333</v>
      </c>
      <c r="F6" s="17">
        <f>IFERROR(__xludf.DUMMYFUNCTION("""COMPUTED_VALUE"""),1838836)</f>
        <v>1838836</v>
      </c>
      <c r="G6" s="16">
        <f>IFERROR(__xludf.DUMMYFUNCTION("""COMPUTED_VALUE"""),45744.6458333333)</f>
        <v>45744.6458333333</v>
      </c>
      <c r="H6" s="17">
        <f>IFERROR(__xludf.DUMMYFUNCTION("""COMPUTED_VALUE"""),2386.95)</f>
        <v>2386.95</v>
      </c>
      <c r="I6" s="16">
        <f>IFERROR(__xludf.DUMMYFUNCTION("""COMPUTED_VALUE"""),45744.6458333333)</f>
        <v>45744.6458333333</v>
      </c>
      <c r="J6" s="17">
        <f>IFERROR(__xludf.DUMMYFUNCTION("""COMPUTED_VALUE"""),2293.7)</f>
        <v>2293.7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IFERROR(__xludf.DUMMYFUNCTION("""COMPUTED_VALUE"""),2335.25)</f>
        <v>2335.25</v>
      </c>
      <c r="C7" s="16">
        <f>IFERROR(__xludf.DUMMYFUNCTION("""COMPUTED_VALUE"""),45748.6458333333)</f>
        <v>45748.6458333333</v>
      </c>
      <c r="D7" s="17">
        <f>IFERROR(__xludf.DUMMYFUNCTION("""COMPUTED_VALUE"""),2312)</f>
        <v>2312</v>
      </c>
      <c r="E7" s="16">
        <f>IFERROR(__xludf.DUMMYFUNCTION("""COMPUTED_VALUE"""),45748.6458333333)</f>
        <v>45748.6458333333</v>
      </c>
      <c r="F7" s="17">
        <f>IFERROR(__xludf.DUMMYFUNCTION("""COMPUTED_VALUE"""),501942)</f>
        <v>501942</v>
      </c>
      <c r="G7" s="16">
        <f>IFERROR(__xludf.DUMMYFUNCTION("""COMPUTED_VALUE"""),45748.6458333333)</f>
        <v>45748.6458333333</v>
      </c>
      <c r="H7" s="17">
        <f>IFERROR(__xludf.DUMMYFUNCTION("""COMPUTED_VALUE"""),2358.95)</f>
        <v>2358.95</v>
      </c>
      <c r="I7" s="16">
        <f>IFERROR(__xludf.DUMMYFUNCTION("""COMPUTED_VALUE"""),45748.6458333333)</f>
        <v>45748.6458333333</v>
      </c>
      <c r="J7" s="17">
        <f>IFERROR(__xludf.DUMMYFUNCTION("""COMPUTED_VALUE"""),2301)</f>
        <v>2301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IFERROR(__xludf.DUMMYFUNCTION("""COMPUTED_VALUE"""),2369.4)</f>
        <v>2369.4</v>
      </c>
      <c r="C8" s="16">
        <f>IFERROR(__xludf.DUMMYFUNCTION("""COMPUTED_VALUE"""),45749.6458333333)</f>
        <v>45749.6458333333</v>
      </c>
      <c r="D8" s="17">
        <f>IFERROR(__xludf.DUMMYFUNCTION("""COMPUTED_VALUE"""),2339.75)</f>
        <v>2339.75</v>
      </c>
      <c r="E8" s="16">
        <f>IFERROR(__xludf.DUMMYFUNCTION("""COMPUTED_VALUE"""),45749.6458333333)</f>
        <v>45749.6458333333</v>
      </c>
      <c r="F8" s="17">
        <f>IFERROR(__xludf.DUMMYFUNCTION("""COMPUTED_VALUE"""),573928)</f>
        <v>573928</v>
      </c>
      <c r="G8" s="16">
        <f>IFERROR(__xludf.DUMMYFUNCTION("""COMPUTED_VALUE"""),45749.6458333333)</f>
        <v>45749.6458333333</v>
      </c>
      <c r="H8" s="17">
        <f>IFERROR(__xludf.DUMMYFUNCTION("""COMPUTED_VALUE"""),2378.85)</f>
        <v>2378.85</v>
      </c>
      <c r="I8" s="16">
        <f>IFERROR(__xludf.DUMMYFUNCTION("""COMPUTED_VALUE"""),45749.6458333333)</f>
        <v>45749.6458333333</v>
      </c>
      <c r="J8" s="17">
        <f>IFERROR(__xludf.DUMMYFUNCTION("""COMPUTED_VALUE"""),2314.55)</f>
        <v>2314.55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IFERROR(__xludf.DUMMYFUNCTION("""COMPUTED_VALUE"""),2410.8)</f>
        <v>2410.8</v>
      </c>
      <c r="C9" s="16">
        <f>IFERROR(__xludf.DUMMYFUNCTION("""COMPUTED_VALUE"""),45750.6458333333)</f>
        <v>45750.6458333333</v>
      </c>
      <c r="D9" s="17">
        <f>IFERROR(__xludf.DUMMYFUNCTION("""COMPUTED_VALUE"""),2339.75)</f>
        <v>2339.75</v>
      </c>
      <c r="E9" s="16">
        <f>IFERROR(__xludf.DUMMYFUNCTION("""COMPUTED_VALUE"""),45750.6458333333)</f>
        <v>45750.6458333333</v>
      </c>
      <c r="F9" s="17">
        <f>IFERROR(__xludf.DUMMYFUNCTION("""COMPUTED_VALUE"""),1023200)</f>
        <v>1023200</v>
      </c>
      <c r="G9" s="16">
        <f>IFERROR(__xludf.DUMMYFUNCTION("""COMPUTED_VALUE"""),45750.6458333333)</f>
        <v>45750.6458333333</v>
      </c>
      <c r="H9" s="17">
        <f>IFERROR(__xludf.DUMMYFUNCTION("""COMPUTED_VALUE"""),2429.9)</f>
        <v>2429.9</v>
      </c>
      <c r="I9" s="16">
        <f>IFERROR(__xludf.DUMMYFUNCTION("""COMPUTED_VALUE"""),45750.6458333333)</f>
        <v>45750.6458333333</v>
      </c>
      <c r="J9" s="17">
        <f>IFERROR(__xludf.DUMMYFUNCTION("""COMPUTED_VALUE"""),2339.7)</f>
        <v>2339.7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IFERROR(__xludf.DUMMYFUNCTION("""COMPUTED_VALUE"""),2334.65)</f>
        <v>2334.65</v>
      </c>
      <c r="C10" s="16">
        <f>IFERROR(__xludf.DUMMYFUNCTION("""COMPUTED_VALUE"""),45751.6458333333)</f>
        <v>45751.6458333333</v>
      </c>
      <c r="D10" s="17">
        <f>IFERROR(__xludf.DUMMYFUNCTION("""COMPUTED_VALUE"""),2394.95)</f>
        <v>2394.95</v>
      </c>
      <c r="E10" s="16">
        <f>IFERROR(__xludf.DUMMYFUNCTION("""COMPUTED_VALUE"""),45751.6458333333)</f>
        <v>45751.6458333333</v>
      </c>
      <c r="F10" s="17">
        <f>IFERROR(__xludf.DUMMYFUNCTION("""COMPUTED_VALUE"""),1219733)</f>
        <v>1219733</v>
      </c>
      <c r="G10" s="16">
        <f>IFERROR(__xludf.DUMMYFUNCTION("""COMPUTED_VALUE"""),45751.6458333333)</f>
        <v>45751.6458333333</v>
      </c>
      <c r="H10" s="17">
        <f>IFERROR(__xludf.DUMMYFUNCTION("""COMPUTED_VALUE"""),2410.05)</f>
        <v>2410.05</v>
      </c>
      <c r="I10" s="16">
        <f>IFERROR(__xludf.DUMMYFUNCTION("""COMPUTED_VALUE"""),45751.6458333333)</f>
        <v>45751.6458333333</v>
      </c>
      <c r="J10" s="17">
        <f>IFERROR(__xludf.DUMMYFUNCTION("""COMPUTED_VALUE"""),2315.5)</f>
        <v>2315.5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IFERROR(__xludf.DUMMYFUNCTION("""COMPUTED_VALUE"""),2212.7)</f>
        <v>2212.7</v>
      </c>
      <c r="C11" s="16">
        <f>IFERROR(__xludf.DUMMYFUNCTION("""COMPUTED_VALUE"""),45754.6458333333)</f>
        <v>45754.6458333333</v>
      </c>
      <c r="D11" s="17">
        <f>IFERROR(__xludf.DUMMYFUNCTION("""COMPUTED_VALUE"""),2150.05)</f>
        <v>2150.05</v>
      </c>
      <c r="E11" s="16">
        <f>IFERROR(__xludf.DUMMYFUNCTION("""COMPUTED_VALUE"""),45754.6458333333)</f>
        <v>45754.6458333333</v>
      </c>
      <c r="F11" s="17">
        <f>IFERROR(__xludf.DUMMYFUNCTION("""COMPUTED_VALUE"""),1567177)</f>
        <v>1567177</v>
      </c>
      <c r="G11" s="16">
        <f>IFERROR(__xludf.DUMMYFUNCTION("""COMPUTED_VALUE"""),45754.6458333333)</f>
        <v>45754.6458333333</v>
      </c>
      <c r="H11" s="17">
        <f>IFERROR(__xludf.DUMMYFUNCTION("""COMPUTED_VALUE"""),2239)</f>
        <v>2239</v>
      </c>
      <c r="I11" s="16">
        <f>IFERROR(__xludf.DUMMYFUNCTION("""COMPUTED_VALUE"""),45754.6458333333)</f>
        <v>45754.6458333333</v>
      </c>
      <c r="J11" s="17">
        <f>IFERROR(__xludf.DUMMYFUNCTION("""COMPUTED_VALUE"""),2145)</f>
        <v>2145</v>
      </c>
      <c r="K11" s="3">
        <f t="shared" ref="K11:K125" si="2">IF(B11=MAX(B5:B17),B11,0)</f>
        <v>0</v>
      </c>
      <c r="L11" s="3">
        <f t="shared" ref="L11:L125" si="3">IF(B11=MIN(B5:B17),B11,0)</f>
        <v>2212.7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IFERROR(__xludf.DUMMYFUNCTION("""COMPUTED_VALUE"""),2285.7)</f>
        <v>2285.7</v>
      </c>
      <c r="C12" s="16">
        <f>IFERROR(__xludf.DUMMYFUNCTION("""COMPUTED_VALUE"""),45755.6458333333)</f>
        <v>45755.6458333333</v>
      </c>
      <c r="D12" s="17">
        <f>IFERROR(__xludf.DUMMYFUNCTION("""COMPUTED_VALUE"""),2270)</f>
        <v>2270</v>
      </c>
      <c r="E12" s="16">
        <f>IFERROR(__xludf.DUMMYFUNCTION("""COMPUTED_VALUE"""),45755.6458333333)</f>
        <v>45755.6458333333</v>
      </c>
      <c r="F12" s="17">
        <f>IFERROR(__xludf.DUMMYFUNCTION("""COMPUTED_VALUE"""),1224362)</f>
        <v>1224362</v>
      </c>
      <c r="G12" s="16">
        <f>IFERROR(__xludf.DUMMYFUNCTION("""COMPUTED_VALUE"""),45755.6458333333)</f>
        <v>45755.6458333333</v>
      </c>
      <c r="H12" s="17">
        <f>IFERROR(__xludf.DUMMYFUNCTION("""COMPUTED_VALUE"""),2301)</f>
        <v>2301</v>
      </c>
      <c r="I12" s="16">
        <f>IFERROR(__xludf.DUMMYFUNCTION("""COMPUTED_VALUE"""),45755.6458333333)</f>
        <v>45755.6458333333</v>
      </c>
      <c r="J12" s="17">
        <f>IFERROR(__xludf.DUMMYFUNCTION("""COMPUTED_VALUE"""),2225)</f>
        <v>2225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IFERROR(__xludf.DUMMYFUNCTION("""COMPUTED_VALUE"""),2236.9)</f>
        <v>2236.9</v>
      </c>
      <c r="C13" s="16">
        <f>IFERROR(__xludf.DUMMYFUNCTION("""COMPUTED_VALUE"""),45756.6458333333)</f>
        <v>45756.6458333333</v>
      </c>
      <c r="D13" s="17">
        <f>IFERROR(__xludf.DUMMYFUNCTION("""COMPUTED_VALUE"""),2265.7)</f>
        <v>2265.7</v>
      </c>
      <c r="E13" s="16">
        <f>IFERROR(__xludf.DUMMYFUNCTION("""COMPUTED_VALUE"""),45756.6458333333)</f>
        <v>45756.6458333333</v>
      </c>
      <c r="F13" s="17">
        <f>IFERROR(__xludf.DUMMYFUNCTION("""COMPUTED_VALUE"""),1001633)</f>
        <v>1001633</v>
      </c>
      <c r="G13" s="16">
        <f>IFERROR(__xludf.DUMMYFUNCTION("""COMPUTED_VALUE"""),45756.6458333333)</f>
        <v>45756.6458333333</v>
      </c>
      <c r="H13" s="17">
        <f>IFERROR(__xludf.DUMMYFUNCTION("""COMPUTED_VALUE"""),2279.55)</f>
        <v>2279.55</v>
      </c>
      <c r="I13" s="16">
        <f>IFERROR(__xludf.DUMMYFUNCTION("""COMPUTED_VALUE"""),45756.6458333333)</f>
        <v>45756.6458333333</v>
      </c>
      <c r="J13" s="17">
        <f>IFERROR(__xludf.DUMMYFUNCTION("""COMPUTED_VALUE"""),2215.2)</f>
        <v>2215.2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IFERROR(__xludf.DUMMYFUNCTION("""COMPUTED_VALUE"""),2321.4)</f>
        <v>2321.4</v>
      </c>
      <c r="C14" s="16">
        <f>IFERROR(__xludf.DUMMYFUNCTION("""COMPUTED_VALUE"""),45758.6458333333)</f>
        <v>45758.6458333333</v>
      </c>
      <c r="D14" s="17">
        <f>IFERROR(__xludf.DUMMYFUNCTION("""COMPUTED_VALUE"""),2303.05)</f>
        <v>2303.05</v>
      </c>
      <c r="E14" s="16">
        <f>IFERROR(__xludf.DUMMYFUNCTION("""COMPUTED_VALUE"""),45758.6458333333)</f>
        <v>45758.6458333333</v>
      </c>
      <c r="F14" s="17">
        <f>IFERROR(__xludf.DUMMYFUNCTION("""COMPUTED_VALUE"""),981463)</f>
        <v>981463</v>
      </c>
      <c r="G14" s="16">
        <f>IFERROR(__xludf.DUMMYFUNCTION("""COMPUTED_VALUE"""),45758.6458333333)</f>
        <v>45758.6458333333</v>
      </c>
      <c r="H14" s="17">
        <f>IFERROR(__xludf.DUMMYFUNCTION("""COMPUTED_VALUE"""),2343.5)</f>
        <v>2343.5</v>
      </c>
      <c r="I14" s="16">
        <f>IFERROR(__xludf.DUMMYFUNCTION("""COMPUTED_VALUE"""),45758.6458333333)</f>
        <v>45758.6458333333</v>
      </c>
      <c r="J14" s="17">
        <f>IFERROR(__xludf.DUMMYFUNCTION("""COMPUTED_VALUE"""),2281)</f>
        <v>2281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IFERROR(__xludf.DUMMYFUNCTION("""COMPUTED_VALUE"""),2418.2)</f>
        <v>2418.2</v>
      </c>
      <c r="C15" s="16">
        <f>IFERROR(__xludf.DUMMYFUNCTION("""COMPUTED_VALUE"""),45762.6458333333)</f>
        <v>45762.6458333333</v>
      </c>
      <c r="D15" s="17">
        <f>IFERROR(__xludf.DUMMYFUNCTION("""COMPUTED_VALUE"""),2375)</f>
        <v>2375</v>
      </c>
      <c r="E15" s="16">
        <f>IFERROR(__xludf.DUMMYFUNCTION("""COMPUTED_VALUE"""),45762.6458333333)</f>
        <v>45762.6458333333</v>
      </c>
      <c r="F15" s="17">
        <f>IFERROR(__xludf.DUMMYFUNCTION("""COMPUTED_VALUE"""),1145125)</f>
        <v>1145125</v>
      </c>
      <c r="G15" s="16">
        <f>IFERROR(__xludf.DUMMYFUNCTION("""COMPUTED_VALUE"""),45762.6458333333)</f>
        <v>45762.6458333333</v>
      </c>
      <c r="H15" s="17">
        <f>IFERROR(__xludf.DUMMYFUNCTION("""COMPUTED_VALUE"""),2440)</f>
        <v>2440</v>
      </c>
      <c r="I15" s="16">
        <f>IFERROR(__xludf.DUMMYFUNCTION("""COMPUTED_VALUE"""),45762.6458333333)</f>
        <v>45762.6458333333</v>
      </c>
      <c r="J15" s="17">
        <f>IFERROR(__xludf.DUMMYFUNCTION("""COMPUTED_VALUE"""),2359)</f>
        <v>2359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IFERROR(__xludf.DUMMYFUNCTION("""COMPUTED_VALUE"""),2415.6)</f>
        <v>2415.6</v>
      </c>
      <c r="C16" s="16">
        <f>IFERROR(__xludf.DUMMYFUNCTION("""COMPUTED_VALUE"""),45763.6458333333)</f>
        <v>45763.6458333333</v>
      </c>
      <c r="D16" s="17">
        <f>IFERROR(__xludf.DUMMYFUNCTION("""COMPUTED_VALUE"""),2400)</f>
        <v>2400</v>
      </c>
      <c r="E16" s="16">
        <f>IFERROR(__xludf.DUMMYFUNCTION("""COMPUTED_VALUE"""),45763.6458333333)</f>
        <v>45763.6458333333</v>
      </c>
      <c r="F16" s="17">
        <f>IFERROR(__xludf.DUMMYFUNCTION("""COMPUTED_VALUE"""),889949)</f>
        <v>889949</v>
      </c>
      <c r="G16" s="16">
        <f>IFERROR(__xludf.DUMMYFUNCTION("""COMPUTED_VALUE"""),45763.6458333333)</f>
        <v>45763.6458333333</v>
      </c>
      <c r="H16" s="17">
        <f>IFERROR(__xludf.DUMMYFUNCTION("""COMPUTED_VALUE"""),2428)</f>
        <v>2428</v>
      </c>
      <c r="I16" s="16">
        <f>IFERROR(__xludf.DUMMYFUNCTION("""COMPUTED_VALUE"""),45763.6458333333)</f>
        <v>45763.6458333333</v>
      </c>
      <c r="J16" s="17">
        <f>IFERROR(__xludf.DUMMYFUNCTION("""COMPUTED_VALUE"""),2382.9)</f>
        <v>2382.9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IFERROR(__xludf.DUMMYFUNCTION("""COMPUTED_VALUE"""),2418.1)</f>
        <v>2418.1</v>
      </c>
      <c r="C17" s="16">
        <f>IFERROR(__xludf.DUMMYFUNCTION("""COMPUTED_VALUE"""),45764.6458333333)</f>
        <v>45764.6458333333</v>
      </c>
      <c r="D17" s="17">
        <f>IFERROR(__xludf.DUMMYFUNCTION("""COMPUTED_VALUE"""),2418)</f>
        <v>2418</v>
      </c>
      <c r="E17" s="16">
        <f>IFERROR(__xludf.DUMMYFUNCTION("""COMPUTED_VALUE"""),45764.6458333333)</f>
        <v>45764.6458333333</v>
      </c>
      <c r="F17" s="17">
        <f>IFERROR(__xludf.DUMMYFUNCTION("""COMPUTED_VALUE"""),1054797)</f>
        <v>1054797</v>
      </c>
      <c r="G17" s="16">
        <f>IFERROR(__xludf.DUMMYFUNCTION("""COMPUTED_VALUE"""),45764.6458333333)</f>
        <v>45764.6458333333</v>
      </c>
      <c r="H17" s="17">
        <f>IFERROR(__xludf.DUMMYFUNCTION("""COMPUTED_VALUE"""),2448.6)</f>
        <v>2448.6</v>
      </c>
      <c r="I17" s="16">
        <f>IFERROR(__xludf.DUMMYFUNCTION("""COMPUTED_VALUE"""),45764.6458333333)</f>
        <v>45764.6458333333</v>
      </c>
      <c r="J17" s="17">
        <f>IFERROR(__xludf.DUMMYFUNCTION("""COMPUTED_VALUE"""),2392)</f>
        <v>2392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IFERROR(__xludf.DUMMYFUNCTION("""COMPUTED_VALUE"""),2442.7)</f>
        <v>2442.7</v>
      </c>
      <c r="C18" s="16">
        <f>IFERROR(__xludf.DUMMYFUNCTION("""COMPUTED_VALUE"""),45768.6458333333)</f>
        <v>45768.6458333333</v>
      </c>
      <c r="D18" s="17">
        <f>IFERROR(__xludf.DUMMYFUNCTION("""COMPUTED_VALUE"""),2426.1)</f>
        <v>2426.1</v>
      </c>
      <c r="E18" s="16">
        <f>IFERROR(__xludf.DUMMYFUNCTION("""COMPUTED_VALUE"""),45768.6458333333)</f>
        <v>45768.6458333333</v>
      </c>
      <c r="F18" s="17">
        <f>IFERROR(__xludf.DUMMYFUNCTION("""COMPUTED_VALUE"""),782559)</f>
        <v>782559</v>
      </c>
      <c r="G18" s="16">
        <f>IFERROR(__xludf.DUMMYFUNCTION("""COMPUTED_VALUE"""),45768.6458333333)</f>
        <v>45768.6458333333</v>
      </c>
      <c r="H18" s="17">
        <f>IFERROR(__xludf.DUMMYFUNCTION("""COMPUTED_VALUE"""),2464.9)</f>
        <v>2464.9</v>
      </c>
      <c r="I18" s="16">
        <f>IFERROR(__xludf.DUMMYFUNCTION("""COMPUTED_VALUE"""),45768.6458333333)</f>
        <v>45768.6458333333</v>
      </c>
      <c r="J18" s="17">
        <f>IFERROR(__xludf.DUMMYFUNCTION("""COMPUTED_VALUE"""),2395.5)</f>
        <v>2395.5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IFERROR(__xludf.DUMMYFUNCTION("""COMPUTED_VALUE"""),2445.5)</f>
        <v>2445.5</v>
      </c>
      <c r="C19" s="16">
        <f>IFERROR(__xludf.DUMMYFUNCTION("""COMPUTED_VALUE"""),45769.6458333333)</f>
        <v>45769.6458333333</v>
      </c>
      <c r="D19" s="17">
        <f>IFERROR(__xludf.DUMMYFUNCTION("""COMPUTED_VALUE"""),2458.9)</f>
        <v>2458.9</v>
      </c>
      <c r="E19" s="16">
        <f>IFERROR(__xludf.DUMMYFUNCTION("""COMPUTED_VALUE"""),45769.6458333333)</f>
        <v>45769.6458333333</v>
      </c>
      <c r="F19" s="17">
        <f>IFERROR(__xludf.DUMMYFUNCTION("""COMPUTED_VALUE"""),766567)</f>
        <v>766567</v>
      </c>
      <c r="G19" s="16">
        <f>IFERROR(__xludf.DUMMYFUNCTION("""COMPUTED_VALUE"""),45769.6458333333)</f>
        <v>45769.6458333333</v>
      </c>
      <c r="H19" s="17">
        <f>IFERROR(__xludf.DUMMYFUNCTION("""COMPUTED_VALUE"""),2483.4)</f>
        <v>2483.4</v>
      </c>
      <c r="I19" s="16">
        <f>IFERROR(__xludf.DUMMYFUNCTION("""COMPUTED_VALUE"""),45769.6458333333)</f>
        <v>45769.6458333333</v>
      </c>
      <c r="J19" s="17">
        <f>IFERROR(__xludf.DUMMYFUNCTION("""COMPUTED_VALUE"""),2441)</f>
        <v>2441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IFERROR(__xludf.DUMMYFUNCTION("""COMPUTED_VALUE"""),2453.6)</f>
        <v>2453.6</v>
      </c>
      <c r="C20" s="16">
        <f>IFERROR(__xludf.DUMMYFUNCTION("""COMPUTED_VALUE"""),45770.6458333333)</f>
        <v>45770.6458333333</v>
      </c>
      <c r="D20" s="17">
        <f>IFERROR(__xludf.DUMMYFUNCTION("""COMPUTED_VALUE"""),2460)</f>
        <v>2460</v>
      </c>
      <c r="E20" s="16">
        <f>IFERROR(__xludf.DUMMYFUNCTION("""COMPUTED_VALUE"""),45770.6458333333)</f>
        <v>45770.6458333333</v>
      </c>
      <c r="F20" s="17">
        <f>IFERROR(__xludf.DUMMYFUNCTION("""COMPUTED_VALUE"""),672262)</f>
        <v>672262</v>
      </c>
      <c r="G20" s="16">
        <f>IFERROR(__xludf.DUMMYFUNCTION("""COMPUTED_VALUE"""),45770.6458333333)</f>
        <v>45770.6458333333</v>
      </c>
      <c r="H20" s="17">
        <f>IFERROR(__xludf.DUMMYFUNCTION("""COMPUTED_VALUE"""),2473.8)</f>
        <v>2473.8</v>
      </c>
      <c r="I20" s="16">
        <f>IFERROR(__xludf.DUMMYFUNCTION("""COMPUTED_VALUE"""),45770.6458333333)</f>
        <v>45770.6458333333</v>
      </c>
      <c r="J20" s="17">
        <f>IFERROR(__xludf.DUMMYFUNCTION("""COMPUTED_VALUE"""),2421.2)</f>
        <v>2421.2</v>
      </c>
      <c r="K20" s="3">
        <f t="shared" si="2"/>
        <v>2453.6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IFERROR(__xludf.DUMMYFUNCTION("""COMPUTED_VALUE"""),2442.5)</f>
        <v>2442.5</v>
      </c>
      <c r="C21" s="16">
        <f>IFERROR(__xludf.DUMMYFUNCTION("""COMPUTED_VALUE"""),45771.6458333333)</f>
        <v>45771.6458333333</v>
      </c>
      <c r="D21" s="17">
        <f>IFERROR(__xludf.DUMMYFUNCTION("""COMPUTED_VALUE"""),2450)</f>
        <v>2450</v>
      </c>
      <c r="E21" s="16">
        <f>IFERROR(__xludf.DUMMYFUNCTION("""COMPUTED_VALUE"""),45771.6458333333)</f>
        <v>45771.6458333333</v>
      </c>
      <c r="F21" s="17">
        <f>IFERROR(__xludf.DUMMYFUNCTION("""COMPUTED_VALUE"""),596696)</f>
        <v>596696</v>
      </c>
      <c r="G21" s="16">
        <f>IFERROR(__xludf.DUMMYFUNCTION("""COMPUTED_VALUE"""),45771.6458333333)</f>
        <v>45771.6458333333</v>
      </c>
      <c r="H21" s="17">
        <f>IFERROR(__xludf.DUMMYFUNCTION("""COMPUTED_VALUE"""),2461.4)</f>
        <v>2461.4</v>
      </c>
      <c r="I21" s="16">
        <f>IFERROR(__xludf.DUMMYFUNCTION("""COMPUTED_VALUE"""),45771.6458333333)</f>
        <v>45771.6458333333</v>
      </c>
      <c r="J21" s="17">
        <f>IFERROR(__xludf.DUMMYFUNCTION("""COMPUTED_VALUE"""),2425.1)</f>
        <v>2425.1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IFERROR(__xludf.DUMMYFUNCTION("""COMPUTED_VALUE"""),2354.3)</f>
        <v>2354.3</v>
      </c>
      <c r="C22" s="16">
        <f>IFERROR(__xludf.DUMMYFUNCTION("""COMPUTED_VALUE"""),45772.6458333333)</f>
        <v>45772.6458333333</v>
      </c>
      <c r="D22" s="17">
        <f>IFERROR(__xludf.DUMMYFUNCTION("""COMPUTED_VALUE"""),2450.1)</f>
        <v>2450.1</v>
      </c>
      <c r="E22" s="16">
        <f>IFERROR(__xludf.DUMMYFUNCTION("""COMPUTED_VALUE"""),45772.6458333333)</f>
        <v>45772.6458333333</v>
      </c>
      <c r="F22" s="17">
        <f>IFERROR(__xludf.DUMMYFUNCTION("""COMPUTED_VALUE"""),1414809)</f>
        <v>1414809</v>
      </c>
      <c r="G22" s="16">
        <f>IFERROR(__xludf.DUMMYFUNCTION("""COMPUTED_VALUE"""),45772.6458333333)</f>
        <v>45772.6458333333</v>
      </c>
      <c r="H22" s="17">
        <f>IFERROR(__xludf.DUMMYFUNCTION("""COMPUTED_VALUE"""),2459.5)</f>
        <v>2459.5</v>
      </c>
      <c r="I22" s="16">
        <f>IFERROR(__xludf.DUMMYFUNCTION("""COMPUTED_VALUE"""),45772.6458333333)</f>
        <v>45772.6458333333</v>
      </c>
      <c r="J22" s="17">
        <f>IFERROR(__xludf.DUMMYFUNCTION("""COMPUTED_VALUE"""),2323.5)</f>
        <v>2323.5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IFERROR(__xludf.DUMMYFUNCTION("""COMPUTED_VALUE"""),2369.8)</f>
        <v>2369.8</v>
      </c>
      <c r="C23" s="16">
        <f>IFERROR(__xludf.DUMMYFUNCTION("""COMPUTED_VALUE"""),45775.6458333333)</f>
        <v>45775.6458333333</v>
      </c>
      <c r="D23" s="17">
        <f>IFERROR(__xludf.DUMMYFUNCTION("""COMPUTED_VALUE"""),2346)</f>
        <v>2346</v>
      </c>
      <c r="E23" s="16">
        <f>IFERROR(__xludf.DUMMYFUNCTION("""COMPUTED_VALUE"""),45775.6458333333)</f>
        <v>45775.6458333333</v>
      </c>
      <c r="F23" s="17">
        <f>IFERROR(__xludf.DUMMYFUNCTION("""COMPUTED_VALUE"""),681421)</f>
        <v>681421</v>
      </c>
      <c r="G23" s="16">
        <f>IFERROR(__xludf.DUMMYFUNCTION("""COMPUTED_VALUE"""),45775.6458333333)</f>
        <v>45775.6458333333</v>
      </c>
      <c r="H23" s="17">
        <f>IFERROR(__xludf.DUMMYFUNCTION("""COMPUTED_VALUE"""),2402)</f>
        <v>2402</v>
      </c>
      <c r="I23" s="16">
        <f>IFERROR(__xludf.DUMMYFUNCTION("""COMPUTED_VALUE"""),45775.6458333333)</f>
        <v>45775.6458333333</v>
      </c>
      <c r="J23" s="17">
        <f>IFERROR(__xludf.DUMMYFUNCTION("""COMPUTED_VALUE"""),2337.6)</f>
        <v>2337.6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IFERROR(__xludf.DUMMYFUNCTION("""COMPUTED_VALUE"""),2330.6)</f>
        <v>2330.6</v>
      </c>
      <c r="C24" s="16">
        <f>IFERROR(__xludf.DUMMYFUNCTION("""COMPUTED_VALUE"""),45776.6458333333)</f>
        <v>45776.6458333333</v>
      </c>
      <c r="D24" s="17">
        <f>IFERROR(__xludf.DUMMYFUNCTION("""COMPUTED_VALUE"""),2392)</f>
        <v>2392</v>
      </c>
      <c r="E24" s="16">
        <f>IFERROR(__xludf.DUMMYFUNCTION("""COMPUTED_VALUE"""),45776.6458333333)</f>
        <v>45776.6458333333</v>
      </c>
      <c r="F24" s="17">
        <f>IFERROR(__xludf.DUMMYFUNCTION("""COMPUTED_VALUE"""),670730)</f>
        <v>670730</v>
      </c>
      <c r="G24" s="16">
        <f>IFERROR(__xludf.DUMMYFUNCTION("""COMPUTED_VALUE"""),45776.6458333333)</f>
        <v>45776.6458333333</v>
      </c>
      <c r="H24" s="17">
        <f>IFERROR(__xludf.DUMMYFUNCTION("""COMPUTED_VALUE"""),2400)</f>
        <v>2400</v>
      </c>
      <c r="I24" s="16">
        <f>IFERROR(__xludf.DUMMYFUNCTION("""COMPUTED_VALUE"""),45776.6458333333)</f>
        <v>45776.6458333333</v>
      </c>
      <c r="J24" s="17">
        <f>IFERROR(__xludf.DUMMYFUNCTION("""COMPUTED_VALUE"""),2325.6)</f>
        <v>2325.6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IFERROR(__xludf.DUMMYFUNCTION("""COMPUTED_VALUE"""),2301.3)</f>
        <v>2301.3</v>
      </c>
      <c r="C25" s="16">
        <f>IFERROR(__xludf.DUMMYFUNCTION("""COMPUTED_VALUE"""),45777.6458333333)</f>
        <v>45777.6458333333</v>
      </c>
      <c r="D25" s="17">
        <f>IFERROR(__xludf.DUMMYFUNCTION("""COMPUTED_VALUE"""),2331.4)</f>
        <v>2331.4</v>
      </c>
      <c r="E25" s="16">
        <f>IFERROR(__xludf.DUMMYFUNCTION("""COMPUTED_VALUE"""),45777.6458333333)</f>
        <v>45777.6458333333</v>
      </c>
      <c r="F25" s="17">
        <f>IFERROR(__xludf.DUMMYFUNCTION("""COMPUTED_VALUE"""),837464)</f>
        <v>837464</v>
      </c>
      <c r="G25" s="16">
        <f>IFERROR(__xludf.DUMMYFUNCTION("""COMPUTED_VALUE"""),45777.6458333333)</f>
        <v>45777.6458333333</v>
      </c>
      <c r="H25" s="17">
        <f>IFERROR(__xludf.DUMMYFUNCTION("""COMPUTED_VALUE"""),2340)</f>
        <v>2340</v>
      </c>
      <c r="I25" s="16">
        <f>IFERROR(__xludf.DUMMYFUNCTION("""COMPUTED_VALUE"""),45777.6458333333)</f>
        <v>45777.6458333333</v>
      </c>
      <c r="J25" s="17">
        <f>IFERROR(__xludf.DUMMYFUNCTION("""COMPUTED_VALUE"""),2285)</f>
        <v>2285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IFERROR(__xludf.DUMMYFUNCTION("""COMPUTED_VALUE"""),2294.2)</f>
        <v>2294.2</v>
      </c>
      <c r="C26" s="16">
        <f>IFERROR(__xludf.DUMMYFUNCTION("""COMPUTED_VALUE"""),45779.6458333333)</f>
        <v>45779.6458333333</v>
      </c>
      <c r="D26" s="17">
        <f>IFERROR(__xludf.DUMMYFUNCTION("""COMPUTED_VALUE"""),2349.9)</f>
        <v>2349.9</v>
      </c>
      <c r="E26" s="16">
        <f>IFERROR(__xludf.DUMMYFUNCTION("""COMPUTED_VALUE"""),45779.6458333333)</f>
        <v>45779.6458333333</v>
      </c>
      <c r="F26" s="17">
        <f>IFERROR(__xludf.DUMMYFUNCTION("""COMPUTED_VALUE"""),1695797)</f>
        <v>1695797</v>
      </c>
      <c r="G26" s="16">
        <f>IFERROR(__xludf.DUMMYFUNCTION("""COMPUTED_VALUE"""),45779.6458333333)</f>
        <v>45779.6458333333</v>
      </c>
      <c r="H26" s="17">
        <f>IFERROR(__xludf.DUMMYFUNCTION("""COMPUTED_VALUE"""),2372.4)</f>
        <v>2372.4</v>
      </c>
      <c r="I26" s="16">
        <f>IFERROR(__xludf.DUMMYFUNCTION("""COMPUTED_VALUE"""),45779.6458333333)</f>
        <v>45779.6458333333</v>
      </c>
      <c r="J26" s="17">
        <f>IFERROR(__xludf.DUMMYFUNCTION("""COMPUTED_VALUE"""),2290)</f>
        <v>2290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IFERROR(__xludf.DUMMYFUNCTION("""COMPUTED_VALUE"""),2455.5)</f>
        <v>2455.5</v>
      </c>
      <c r="C27" s="16">
        <f>IFERROR(__xludf.DUMMYFUNCTION("""COMPUTED_VALUE"""),45782.6458333333)</f>
        <v>45782.6458333333</v>
      </c>
      <c r="D27" s="17">
        <f>IFERROR(__xludf.DUMMYFUNCTION("""COMPUTED_VALUE"""),2312.6)</f>
        <v>2312.6</v>
      </c>
      <c r="E27" s="16">
        <f>IFERROR(__xludf.DUMMYFUNCTION("""COMPUTED_VALUE"""),45782.6458333333)</f>
        <v>45782.6458333333</v>
      </c>
      <c r="F27" s="17">
        <f>IFERROR(__xludf.DUMMYFUNCTION("""COMPUTED_VALUE"""),4227194)</f>
        <v>4227194</v>
      </c>
      <c r="G27" s="16">
        <f>IFERROR(__xludf.DUMMYFUNCTION("""COMPUTED_VALUE"""),45782.6458333333)</f>
        <v>45782.6458333333</v>
      </c>
      <c r="H27" s="17">
        <f>IFERROR(__xludf.DUMMYFUNCTION("""COMPUTED_VALUE"""),2497)</f>
        <v>2497</v>
      </c>
      <c r="I27" s="16">
        <f>IFERROR(__xludf.DUMMYFUNCTION("""COMPUTED_VALUE"""),45782.6458333333)</f>
        <v>45782.6458333333</v>
      </c>
      <c r="J27" s="17">
        <f>IFERROR(__xludf.DUMMYFUNCTION("""COMPUTED_VALUE"""),2297.8)</f>
        <v>2297.8</v>
      </c>
      <c r="K27" s="3">
        <f t="shared" si="2"/>
        <v>2455.5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IFERROR(__xludf.DUMMYFUNCTION("""COMPUTED_VALUE"""),2354)</f>
        <v>2354</v>
      </c>
      <c r="C28" s="16">
        <f>IFERROR(__xludf.DUMMYFUNCTION("""COMPUTED_VALUE"""),45783.6458333333)</f>
        <v>45783.6458333333</v>
      </c>
      <c r="D28" s="17">
        <f>IFERROR(__xludf.DUMMYFUNCTION("""COMPUTED_VALUE"""),2454)</f>
        <v>2454</v>
      </c>
      <c r="E28" s="16">
        <f>IFERROR(__xludf.DUMMYFUNCTION("""COMPUTED_VALUE"""),45783.6458333333)</f>
        <v>45783.6458333333</v>
      </c>
      <c r="F28" s="17">
        <f>IFERROR(__xludf.DUMMYFUNCTION("""COMPUTED_VALUE"""),1524692)</f>
        <v>1524692</v>
      </c>
      <c r="G28" s="16">
        <f>IFERROR(__xludf.DUMMYFUNCTION("""COMPUTED_VALUE"""),45783.6458333333)</f>
        <v>45783.6458333333</v>
      </c>
      <c r="H28" s="17">
        <f>IFERROR(__xludf.DUMMYFUNCTION("""COMPUTED_VALUE"""),2463.2)</f>
        <v>2463.2</v>
      </c>
      <c r="I28" s="16">
        <f>IFERROR(__xludf.DUMMYFUNCTION("""COMPUTED_VALUE"""),45783.6458333333)</f>
        <v>45783.6458333333</v>
      </c>
      <c r="J28" s="17">
        <f>IFERROR(__xludf.DUMMYFUNCTION("""COMPUTED_VALUE"""),2343.5)</f>
        <v>2343.5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IFERROR(__xludf.DUMMYFUNCTION("""COMPUTED_VALUE"""),2353.1)</f>
        <v>2353.1</v>
      </c>
      <c r="C29" s="16">
        <f>IFERROR(__xludf.DUMMYFUNCTION("""COMPUTED_VALUE"""),45784.6458333333)</f>
        <v>45784.6458333333</v>
      </c>
      <c r="D29" s="17">
        <f>IFERROR(__xludf.DUMMYFUNCTION("""COMPUTED_VALUE"""),2315)</f>
        <v>2315</v>
      </c>
      <c r="E29" s="16">
        <f>IFERROR(__xludf.DUMMYFUNCTION("""COMPUTED_VALUE"""),45784.6458333333)</f>
        <v>45784.6458333333</v>
      </c>
      <c r="F29" s="17">
        <f>IFERROR(__xludf.DUMMYFUNCTION("""COMPUTED_VALUE"""),1012640)</f>
        <v>1012640</v>
      </c>
      <c r="G29" s="16">
        <f>IFERROR(__xludf.DUMMYFUNCTION("""COMPUTED_VALUE"""),45784.6458333333)</f>
        <v>45784.6458333333</v>
      </c>
      <c r="H29" s="17">
        <f>IFERROR(__xludf.DUMMYFUNCTION("""COMPUTED_VALUE"""),2379.5)</f>
        <v>2379.5</v>
      </c>
      <c r="I29" s="16">
        <f>IFERROR(__xludf.DUMMYFUNCTION("""COMPUTED_VALUE"""),45784.6458333333)</f>
        <v>45784.6458333333</v>
      </c>
      <c r="J29" s="17">
        <f>IFERROR(__xludf.DUMMYFUNCTION("""COMPUTED_VALUE"""),2315)</f>
        <v>2315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IFERROR(__xludf.DUMMYFUNCTION("""COMPUTED_VALUE"""),2285.3)</f>
        <v>2285.3</v>
      </c>
      <c r="C30" s="16">
        <f>IFERROR(__xludf.DUMMYFUNCTION("""COMPUTED_VALUE"""),45785.6458333333)</f>
        <v>45785.6458333333</v>
      </c>
      <c r="D30" s="17">
        <f>IFERROR(__xludf.DUMMYFUNCTION("""COMPUTED_VALUE"""),2362)</f>
        <v>2362</v>
      </c>
      <c r="E30" s="16">
        <f>IFERROR(__xludf.DUMMYFUNCTION("""COMPUTED_VALUE"""),45785.6458333333)</f>
        <v>45785.6458333333</v>
      </c>
      <c r="F30" s="17">
        <f>IFERROR(__xludf.DUMMYFUNCTION("""COMPUTED_VALUE"""),1380069)</f>
        <v>1380069</v>
      </c>
      <c r="G30" s="16">
        <f>IFERROR(__xludf.DUMMYFUNCTION("""COMPUTED_VALUE"""),45785.6458333333)</f>
        <v>45785.6458333333</v>
      </c>
      <c r="H30" s="17">
        <f>IFERROR(__xludf.DUMMYFUNCTION("""COMPUTED_VALUE"""),2367.8)</f>
        <v>2367.8</v>
      </c>
      <c r="I30" s="16">
        <f>IFERROR(__xludf.DUMMYFUNCTION("""COMPUTED_VALUE"""),45785.6458333333)</f>
        <v>45785.6458333333</v>
      </c>
      <c r="J30" s="17">
        <f>IFERROR(__xludf.DUMMYFUNCTION("""COMPUTED_VALUE"""),2260)</f>
        <v>2260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IFERROR(__xludf.DUMMYFUNCTION("""COMPUTED_VALUE"""),2251)</f>
        <v>2251</v>
      </c>
      <c r="C31" s="16">
        <f>IFERROR(__xludf.DUMMYFUNCTION("""COMPUTED_VALUE"""),45786.6458333333)</f>
        <v>45786.6458333333</v>
      </c>
      <c r="D31" s="17">
        <f>IFERROR(__xludf.DUMMYFUNCTION("""COMPUTED_VALUE"""),2240)</f>
        <v>2240</v>
      </c>
      <c r="E31" s="16">
        <f>IFERROR(__xludf.DUMMYFUNCTION("""COMPUTED_VALUE"""),45786.6458333333)</f>
        <v>45786.6458333333</v>
      </c>
      <c r="F31" s="17">
        <f>IFERROR(__xludf.DUMMYFUNCTION("""COMPUTED_VALUE"""),1006000)</f>
        <v>1006000</v>
      </c>
      <c r="G31" s="16">
        <f>IFERROR(__xludf.DUMMYFUNCTION("""COMPUTED_VALUE"""),45786.6458333333)</f>
        <v>45786.6458333333</v>
      </c>
      <c r="H31" s="17">
        <f>IFERROR(__xludf.DUMMYFUNCTION("""COMPUTED_VALUE"""),2273.1)</f>
        <v>2273.1</v>
      </c>
      <c r="I31" s="16">
        <f>IFERROR(__xludf.DUMMYFUNCTION("""COMPUTED_VALUE"""),45786.6458333333)</f>
        <v>45786.6458333333</v>
      </c>
      <c r="J31" s="17">
        <f>IFERROR(__xludf.DUMMYFUNCTION("""COMPUTED_VALUE"""),2233)</f>
        <v>2233</v>
      </c>
      <c r="K31" s="3">
        <f t="shared" si="2"/>
        <v>0</v>
      </c>
      <c r="L31" s="3">
        <f t="shared" si="3"/>
        <v>2251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IFERROR(__xludf.DUMMYFUNCTION("""COMPUTED_VALUE"""),2425.3)</f>
        <v>2425.3</v>
      </c>
      <c r="C32" s="16">
        <f>IFERROR(__xludf.DUMMYFUNCTION("""COMPUTED_VALUE"""),45789.6458333333)</f>
        <v>45789.6458333333</v>
      </c>
      <c r="D32" s="17">
        <f>IFERROR(__xludf.DUMMYFUNCTION("""COMPUTED_VALUE"""),2350)</f>
        <v>2350</v>
      </c>
      <c r="E32" s="16">
        <f>IFERROR(__xludf.DUMMYFUNCTION("""COMPUTED_VALUE"""),45789.6458333333)</f>
        <v>45789.6458333333</v>
      </c>
      <c r="F32" s="17">
        <f>IFERROR(__xludf.DUMMYFUNCTION("""COMPUTED_VALUE"""),2147039)</f>
        <v>2147039</v>
      </c>
      <c r="G32" s="16">
        <f>IFERROR(__xludf.DUMMYFUNCTION("""COMPUTED_VALUE"""),45789.6458333333)</f>
        <v>45789.6458333333</v>
      </c>
      <c r="H32" s="17">
        <f>IFERROR(__xludf.DUMMYFUNCTION("""COMPUTED_VALUE"""),2433.3)</f>
        <v>2433.3</v>
      </c>
      <c r="I32" s="16">
        <f>IFERROR(__xludf.DUMMYFUNCTION("""COMPUTED_VALUE"""),45789.6458333333)</f>
        <v>45789.6458333333</v>
      </c>
      <c r="J32" s="17">
        <f>IFERROR(__xludf.DUMMYFUNCTION("""COMPUTED_VALUE"""),2315)</f>
        <v>2315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IFERROR(__xludf.DUMMYFUNCTION("""COMPUTED_VALUE"""),2441.2)</f>
        <v>2441.2</v>
      </c>
      <c r="C33" s="16">
        <f>IFERROR(__xludf.DUMMYFUNCTION("""COMPUTED_VALUE"""),45790.6458333333)</f>
        <v>45790.6458333333</v>
      </c>
      <c r="D33" s="17">
        <f>IFERROR(__xludf.DUMMYFUNCTION("""COMPUTED_VALUE"""),2425)</f>
        <v>2425</v>
      </c>
      <c r="E33" s="16">
        <f>IFERROR(__xludf.DUMMYFUNCTION("""COMPUTED_VALUE"""),45790.6458333333)</f>
        <v>45790.6458333333</v>
      </c>
      <c r="F33" s="17">
        <f>IFERROR(__xludf.DUMMYFUNCTION("""COMPUTED_VALUE"""),1815179)</f>
        <v>1815179</v>
      </c>
      <c r="G33" s="16">
        <f>IFERROR(__xludf.DUMMYFUNCTION("""COMPUTED_VALUE"""),45790.6458333333)</f>
        <v>45790.6458333333</v>
      </c>
      <c r="H33" s="17">
        <f>IFERROR(__xludf.DUMMYFUNCTION("""COMPUTED_VALUE"""),2454.9)</f>
        <v>2454.9</v>
      </c>
      <c r="I33" s="16">
        <f>IFERROR(__xludf.DUMMYFUNCTION("""COMPUTED_VALUE"""),45790.6458333333)</f>
        <v>45790.6458333333</v>
      </c>
      <c r="J33" s="17">
        <f>IFERROR(__xludf.DUMMYFUNCTION("""COMPUTED_VALUE"""),2405)</f>
        <v>2405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IFERROR(__xludf.DUMMYFUNCTION("""COMPUTED_VALUE"""),2461.9)</f>
        <v>2461.9</v>
      </c>
      <c r="C34" s="16">
        <f>IFERROR(__xludf.DUMMYFUNCTION("""COMPUTED_VALUE"""),45791.6458333333)</f>
        <v>45791.6458333333</v>
      </c>
      <c r="D34" s="17">
        <f>IFERROR(__xludf.DUMMYFUNCTION("""COMPUTED_VALUE"""),2444.9)</f>
        <v>2444.9</v>
      </c>
      <c r="E34" s="16">
        <f>IFERROR(__xludf.DUMMYFUNCTION("""COMPUTED_VALUE"""),45791.6458333333)</f>
        <v>45791.6458333333</v>
      </c>
      <c r="F34" s="17">
        <f>IFERROR(__xludf.DUMMYFUNCTION("""COMPUTED_VALUE"""),774441)</f>
        <v>774441</v>
      </c>
      <c r="G34" s="16">
        <f>IFERROR(__xludf.DUMMYFUNCTION("""COMPUTED_VALUE"""),45791.6458333333)</f>
        <v>45791.6458333333</v>
      </c>
      <c r="H34" s="17">
        <f>IFERROR(__xludf.DUMMYFUNCTION("""COMPUTED_VALUE"""),2481.9)</f>
        <v>2481.9</v>
      </c>
      <c r="I34" s="16">
        <f>IFERROR(__xludf.DUMMYFUNCTION("""COMPUTED_VALUE"""),45791.6458333333)</f>
        <v>45791.6458333333</v>
      </c>
      <c r="J34" s="17">
        <f>IFERROR(__xludf.DUMMYFUNCTION("""COMPUTED_VALUE"""),2430.1)</f>
        <v>2430.1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IFERROR(__xludf.DUMMYFUNCTION("""COMPUTED_VALUE"""),2520)</f>
        <v>2520</v>
      </c>
      <c r="C35" s="16">
        <f>IFERROR(__xludf.DUMMYFUNCTION("""COMPUTED_VALUE"""),45792.6458333333)</f>
        <v>45792.6458333333</v>
      </c>
      <c r="D35" s="17">
        <f>IFERROR(__xludf.DUMMYFUNCTION("""COMPUTED_VALUE"""),2463.4)</f>
        <v>2463.4</v>
      </c>
      <c r="E35" s="16">
        <f>IFERROR(__xludf.DUMMYFUNCTION("""COMPUTED_VALUE"""),45792.6458333333)</f>
        <v>45792.6458333333</v>
      </c>
      <c r="F35" s="17">
        <f>IFERROR(__xludf.DUMMYFUNCTION("""COMPUTED_VALUE"""),1554801)</f>
        <v>1554801</v>
      </c>
      <c r="G35" s="16">
        <f>IFERROR(__xludf.DUMMYFUNCTION("""COMPUTED_VALUE"""),45792.6458333333)</f>
        <v>45792.6458333333</v>
      </c>
      <c r="H35" s="17">
        <f>IFERROR(__xludf.DUMMYFUNCTION("""COMPUTED_VALUE"""),2526.8)</f>
        <v>2526.8</v>
      </c>
      <c r="I35" s="16">
        <f>IFERROR(__xludf.DUMMYFUNCTION("""COMPUTED_VALUE"""),45792.6458333333)</f>
        <v>45792.6458333333</v>
      </c>
      <c r="J35" s="17">
        <f>IFERROR(__xludf.DUMMYFUNCTION("""COMPUTED_VALUE"""),2450.7)</f>
        <v>2450.7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IFERROR(__xludf.DUMMYFUNCTION("""COMPUTED_VALUE"""),2555)</f>
        <v>2555</v>
      </c>
      <c r="C36" s="16">
        <f>IFERROR(__xludf.DUMMYFUNCTION("""COMPUTED_VALUE"""),45793.6458333333)</f>
        <v>45793.6458333333</v>
      </c>
      <c r="D36" s="17">
        <f>IFERROR(__xludf.DUMMYFUNCTION("""COMPUTED_VALUE"""),2529)</f>
        <v>2529</v>
      </c>
      <c r="E36" s="16">
        <f>IFERROR(__xludf.DUMMYFUNCTION("""COMPUTED_VALUE"""),45793.6458333333)</f>
        <v>45793.6458333333</v>
      </c>
      <c r="F36" s="17">
        <f>IFERROR(__xludf.DUMMYFUNCTION("""COMPUTED_VALUE"""),1641135)</f>
        <v>1641135</v>
      </c>
      <c r="G36" s="16">
        <f>IFERROR(__xludf.DUMMYFUNCTION("""COMPUTED_VALUE"""),45793.6458333333)</f>
        <v>45793.6458333333</v>
      </c>
      <c r="H36" s="17">
        <f>IFERROR(__xludf.DUMMYFUNCTION("""COMPUTED_VALUE"""),2584.2)</f>
        <v>2584.2</v>
      </c>
      <c r="I36" s="16">
        <f>IFERROR(__xludf.DUMMYFUNCTION("""COMPUTED_VALUE"""),45793.6458333333)</f>
        <v>45793.6458333333</v>
      </c>
      <c r="J36" s="17">
        <f>IFERROR(__xludf.DUMMYFUNCTION("""COMPUTED_VALUE"""),2516.2)</f>
        <v>2516.2</v>
      </c>
      <c r="K36" s="3">
        <f t="shared" si="2"/>
        <v>2555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IFERROR(__xludf.DUMMYFUNCTION("""COMPUTED_VALUE"""),2540.6)</f>
        <v>2540.6</v>
      </c>
      <c r="C37" s="16">
        <f>IFERROR(__xludf.DUMMYFUNCTION("""COMPUTED_VALUE"""),45796.6458333333)</f>
        <v>45796.6458333333</v>
      </c>
      <c r="D37" s="17">
        <f>IFERROR(__xludf.DUMMYFUNCTION("""COMPUTED_VALUE"""),2571.3)</f>
        <v>2571.3</v>
      </c>
      <c r="E37" s="16">
        <f>IFERROR(__xludf.DUMMYFUNCTION("""COMPUTED_VALUE"""),45796.6458333333)</f>
        <v>45796.6458333333</v>
      </c>
      <c r="F37" s="17">
        <f>IFERROR(__xludf.DUMMYFUNCTION("""COMPUTED_VALUE"""),681000)</f>
        <v>681000</v>
      </c>
      <c r="G37" s="16">
        <f>IFERROR(__xludf.DUMMYFUNCTION("""COMPUTED_VALUE"""),45796.6458333333)</f>
        <v>45796.6458333333</v>
      </c>
      <c r="H37" s="17">
        <f>IFERROR(__xludf.DUMMYFUNCTION("""COMPUTED_VALUE"""),2578.8)</f>
        <v>2578.8</v>
      </c>
      <c r="I37" s="16">
        <f>IFERROR(__xludf.DUMMYFUNCTION("""COMPUTED_VALUE"""),45796.6458333333)</f>
        <v>45796.6458333333</v>
      </c>
      <c r="J37" s="17">
        <f>IFERROR(__xludf.DUMMYFUNCTION("""COMPUTED_VALUE"""),2536)</f>
        <v>2536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IFERROR(__xludf.DUMMYFUNCTION("""COMPUTED_VALUE"""),2501.6)</f>
        <v>2501.6</v>
      </c>
      <c r="C38" s="16">
        <f>IFERROR(__xludf.DUMMYFUNCTION("""COMPUTED_VALUE"""),45797.6458333333)</f>
        <v>45797.6458333333</v>
      </c>
      <c r="D38" s="17">
        <f>IFERROR(__xludf.DUMMYFUNCTION("""COMPUTED_VALUE"""),2545)</f>
        <v>2545</v>
      </c>
      <c r="E38" s="16">
        <f>IFERROR(__xludf.DUMMYFUNCTION("""COMPUTED_VALUE"""),45797.6458333333)</f>
        <v>45797.6458333333</v>
      </c>
      <c r="F38" s="17">
        <f>IFERROR(__xludf.DUMMYFUNCTION("""COMPUTED_VALUE"""),628023)</f>
        <v>628023</v>
      </c>
      <c r="G38" s="16">
        <f>IFERROR(__xludf.DUMMYFUNCTION("""COMPUTED_VALUE"""),45797.6458333333)</f>
        <v>45797.6458333333</v>
      </c>
      <c r="H38" s="17">
        <f>IFERROR(__xludf.DUMMYFUNCTION("""COMPUTED_VALUE"""),2564.8)</f>
        <v>2564.8</v>
      </c>
      <c r="I38" s="16">
        <f>IFERROR(__xludf.DUMMYFUNCTION("""COMPUTED_VALUE"""),45797.6458333333)</f>
        <v>45797.6458333333</v>
      </c>
      <c r="J38" s="17">
        <f>IFERROR(__xludf.DUMMYFUNCTION("""COMPUTED_VALUE"""),2492.5)</f>
        <v>2492.5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IFERROR(__xludf.DUMMYFUNCTION("""COMPUTED_VALUE"""),2500.4)</f>
        <v>2500.4</v>
      </c>
      <c r="C39" s="16">
        <f>IFERROR(__xludf.DUMMYFUNCTION("""COMPUTED_VALUE"""),45798.6458333333)</f>
        <v>45798.6458333333</v>
      </c>
      <c r="D39" s="17">
        <f>IFERROR(__xludf.DUMMYFUNCTION("""COMPUTED_VALUE"""),2509.7)</f>
        <v>2509.7</v>
      </c>
      <c r="E39" s="16">
        <f>IFERROR(__xludf.DUMMYFUNCTION("""COMPUTED_VALUE"""),45798.6458333333)</f>
        <v>45798.6458333333</v>
      </c>
      <c r="F39" s="17">
        <f>IFERROR(__xludf.DUMMYFUNCTION("""COMPUTED_VALUE"""),529234)</f>
        <v>529234</v>
      </c>
      <c r="G39" s="16">
        <f>IFERROR(__xludf.DUMMYFUNCTION("""COMPUTED_VALUE"""),45798.6458333333)</f>
        <v>45798.6458333333</v>
      </c>
      <c r="H39" s="17">
        <f>IFERROR(__xludf.DUMMYFUNCTION("""COMPUTED_VALUE"""),2524.5)</f>
        <v>2524.5</v>
      </c>
      <c r="I39" s="16">
        <f>IFERROR(__xludf.DUMMYFUNCTION("""COMPUTED_VALUE"""),45798.6458333333)</f>
        <v>45798.6458333333</v>
      </c>
      <c r="J39" s="17">
        <f>IFERROR(__xludf.DUMMYFUNCTION("""COMPUTED_VALUE"""),2483.7)</f>
        <v>2483.7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IFERROR(__xludf.DUMMYFUNCTION("""COMPUTED_VALUE"""),2487.6)</f>
        <v>2487.6</v>
      </c>
      <c r="C40" s="16">
        <f>IFERROR(__xludf.DUMMYFUNCTION("""COMPUTED_VALUE"""),45799.6458333333)</f>
        <v>45799.6458333333</v>
      </c>
      <c r="D40" s="17">
        <f>IFERROR(__xludf.DUMMYFUNCTION("""COMPUTED_VALUE"""),2500.4)</f>
        <v>2500.4</v>
      </c>
      <c r="E40" s="16">
        <f>IFERROR(__xludf.DUMMYFUNCTION("""COMPUTED_VALUE"""),45799.6458333333)</f>
        <v>45799.6458333333</v>
      </c>
      <c r="F40" s="17">
        <f>IFERROR(__xludf.DUMMYFUNCTION("""COMPUTED_VALUE"""),906909)</f>
        <v>906909</v>
      </c>
      <c r="G40" s="16">
        <f>IFERROR(__xludf.DUMMYFUNCTION("""COMPUTED_VALUE"""),45799.6458333333)</f>
        <v>45799.6458333333</v>
      </c>
      <c r="H40" s="17">
        <f>IFERROR(__xludf.DUMMYFUNCTION("""COMPUTED_VALUE"""),2521.9)</f>
        <v>2521.9</v>
      </c>
      <c r="I40" s="16">
        <f>IFERROR(__xludf.DUMMYFUNCTION("""COMPUTED_VALUE"""),45799.6458333333)</f>
        <v>45799.6458333333</v>
      </c>
      <c r="J40" s="17">
        <f>IFERROR(__xludf.DUMMYFUNCTION("""COMPUTED_VALUE"""),2465.3)</f>
        <v>2465.3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IFERROR(__xludf.DUMMYFUNCTION("""COMPUTED_VALUE"""),2540)</f>
        <v>2540</v>
      </c>
      <c r="C41" s="16">
        <f>IFERROR(__xludf.DUMMYFUNCTION("""COMPUTED_VALUE"""),45800.6458333333)</f>
        <v>45800.6458333333</v>
      </c>
      <c r="D41" s="17">
        <f>IFERROR(__xludf.DUMMYFUNCTION("""COMPUTED_VALUE"""),2499)</f>
        <v>2499</v>
      </c>
      <c r="E41" s="16">
        <f>IFERROR(__xludf.DUMMYFUNCTION("""COMPUTED_VALUE"""),45800.6458333333)</f>
        <v>45800.6458333333</v>
      </c>
      <c r="F41" s="17">
        <f>IFERROR(__xludf.DUMMYFUNCTION("""COMPUTED_VALUE"""),968415)</f>
        <v>968415</v>
      </c>
      <c r="G41" s="16">
        <f>IFERROR(__xludf.DUMMYFUNCTION("""COMPUTED_VALUE"""),45800.6458333333)</f>
        <v>45800.6458333333</v>
      </c>
      <c r="H41" s="17">
        <f>IFERROR(__xludf.DUMMYFUNCTION("""COMPUTED_VALUE"""),2548.1)</f>
        <v>2548.1</v>
      </c>
      <c r="I41" s="16">
        <f>IFERROR(__xludf.DUMMYFUNCTION("""COMPUTED_VALUE"""),45800.6458333333)</f>
        <v>45800.6458333333</v>
      </c>
      <c r="J41" s="17">
        <f>IFERROR(__xludf.DUMMYFUNCTION("""COMPUTED_VALUE"""),2490.5)</f>
        <v>2490.5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IFERROR(__xludf.DUMMYFUNCTION("""COMPUTED_VALUE"""),2547.7)</f>
        <v>2547.7</v>
      </c>
      <c r="C42" s="16">
        <f>IFERROR(__xludf.DUMMYFUNCTION("""COMPUTED_VALUE"""),45803.6458333333)</f>
        <v>45803.6458333333</v>
      </c>
      <c r="D42" s="17">
        <f>IFERROR(__xludf.DUMMYFUNCTION("""COMPUTED_VALUE"""),2549.1)</f>
        <v>2549.1</v>
      </c>
      <c r="E42" s="16">
        <f>IFERROR(__xludf.DUMMYFUNCTION("""COMPUTED_VALUE"""),45803.6458333333)</f>
        <v>45803.6458333333</v>
      </c>
      <c r="F42" s="17">
        <f>IFERROR(__xludf.DUMMYFUNCTION("""COMPUTED_VALUE"""),552912)</f>
        <v>552912</v>
      </c>
      <c r="G42" s="16">
        <f>IFERROR(__xludf.DUMMYFUNCTION("""COMPUTED_VALUE"""),45803.6458333333)</f>
        <v>45803.6458333333</v>
      </c>
      <c r="H42" s="17">
        <f>IFERROR(__xludf.DUMMYFUNCTION("""COMPUTED_VALUE"""),2568.9)</f>
        <v>2568.9</v>
      </c>
      <c r="I42" s="16">
        <f>IFERROR(__xludf.DUMMYFUNCTION("""COMPUTED_VALUE"""),45803.6458333333)</f>
        <v>45803.6458333333</v>
      </c>
      <c r="J42" s="17">
        <f>IFERROR(__xludf.DUMMYFUNCTION("""COMPUTED_VALUE"""),2541.3)</f>
        <v>2541.3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IFERROR(__xludf.DUMMYFUNCTION("""COMPUTED_VALUE"""),2540.3)</f>
        <v>2540.3</v>
      </c>
      <c r="C43" s="16">
        <f>IFERROR(__xludf.DUMMYFUNCTION("""COMPUTED_VALUE"""),45804.6458333333)</f>
        <v>45804.6458333333</v>
      </c>
      <c r="D43" s="17">
        <f>IFERROR(__xludf.DUMMYFUNCTION("""COMPUTED_VALUE"""),2545.9)</f>
        <v>2545.9</v>
      </c>
      <c r="E43" s="16">
        <f>IFERROR(__xludf.DUMMYFUNCTION("""COMPUTED_VALUE"""),45804.6458333333)</f>
        <v>45804.6458333333</v>
      </c>
      <c r="F43" s="17">
        <f>IFERROR(__xludf.DUMMYFUNCTION("""COMPUTED_VALUE"""),514936)</f>
        <v>514936</v>
      </c>
      <c r="G43" s="16">
        <f>IFERROR(__xludf.DUMMYFUNCTION("""COMPUTED_VALUE"""),45804.6458333333)</f>
        <v>45804.6458333333</v>
      </c>
      <c r="H43" s="17">
        <f>IFERROR(__xludf.DUMMYFUNCTION("""COMPUTED_VALUE"""),2569.1)</f>
        <v>2569.1</v>
      </c>
      <c r="I43" s="16">
        <f>IFERROR(__xludf.DUMMYFUNCTION("""COMPUTED_VALUE"""),45804.6458333333)</f>
        <v>45804.6458333333</v>
      </c>
      <c r="J43" s="17">
        <f>IFERROR(__xludf.DUMMYFUNCTION("""COMPUTED_VALUE"""),2526.1)</f>
        <v>2526.1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IFERROR(__xludf.DUMMYFUNCTION("""COMPUTED_VALUE"""),2515)</f>
        <v>2515</v>
      </c>
      <c r="C44" s="16">
        <f>IFERROR(__xludf.DUMMYFUNCTION("""COMPUTED_VALUE"""),45805.6458333333)</f>
        <v>45805.6458333333</v>
      </c>
      <c r="D44" s="17">
        <f>IFERROR(__xludf.DUMMYFUNCTION("""COMPUTED_VALUE"""),2559)</f>
        <v>2559</v>
      </c>
      <c r="E44" s="16">
        <f>IFERROR(__xludf.DUMMYFUNCTION("""COMPUTED_VALUE"""),45805.6458333333)</f>
        <v>45805.6458333333</v>
      </c>
      <c r="F44" s="17">
        <f>IFERROR(__xludf.DUMMYFUNCTION("""COMPUTED_VALUE"""),575989)</f>
        <v>575989</v>
      </c>
      <c r="G44" s="16">
        <f>IFERROR(__xludf.DUMMYFUNCTION("""COMPUTED_VALUE"""),45805.6458333333)</f>
        <v>45805.6458333333</v>
      </c>
      <c r="H44" s="17">
        <f>IFERROR(__xludf.DUMMYFUNCTION("""COMPUTED_VALUE"""),2559)</f>
        <v>2559</v>
      </c>
      <c r="I44" s="16">
        <f>IFERROR(__xludf.DUMMYFUNCTION("""COMPUTED_VALUE"""),45805.6458333333)</f>
        <v>45805.6458333333</v>
      </c>
      <c r="J44" s="17">
        <f>IFERROR(__xludf.DUMMYFUNCTION("""COMPUTED_VALUE"""),2510)</f>
        <v>2510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IFERROR(__xludf.DUMMYFUNCTION("""COMPUTED_VALUE"""),2540.8)</f>
        <v>2540.8</v>
      </c>
      <c r="C45" s="16">
        <f>IFERROR(__xludf.DUMMYFUNCTION("""COMPUTED_VALUE"""),45806.6458333333)</f>
        <v>45806.6458333333</v>
      </c>
      <c r="D45" s="17">
        <f>IFERROR(__xludf.DUMMYFUNCTION("""COMPUTED_VALUE"""),2536.7)</f>
        <v>2536.7</v>
      </c>
      <c r="E45" s="16">
        <f>IFERROR(__xludf.DUMMYFUNCTION("""COMPUTED_VALUE"""),45806.6458333333)</f>
        <v>45806.6458333333</v>
      </c>
      <c r="F45" s="17">
        <f>IFERROR(__xludf.DUMMYFUNCTION("""COMPUTED_VALUE"""),802317)</f>
        <v>802317</v>
      </c>
      <c r="G45" s="16">
        <f>IFERROR(__xludf.DUMMYFUNCTION("""COMPUTED_VALUE"""),45806.6458333333)</f>
        <v>45806.6458333333</v>
      </c>
      <c r="H45" s="17">
        <f>IFERROR(__xludf.DUMMYFUNCTION("""COMPUTED_VALUE"""),2559)</f>
        <v>2559</v>
      </c>
      <c r="I45" s="16">
        <f>IFERROR(__xludf.DUMMYFUNCTION("""COMPUTED_VALUE"""),45806.6458333333)</f>
        <v>45806.6458333333</v>
      </c>
      <c r="J45" s="17">
        <f>IFERROR(__xludf.DUMMYFUNCTION("""COMPUTED_VALUE"""),2511)</f>
        <v>2511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IFERROR(__xludf.DUMMYFUNCTION("""COMPUTED_VALUE"""),2519.9)</f>
        <v>2519.9</v>
      </c>
      <c r="C46" s="16">
        <f>IFERROR(__xludf.DUMMYFUNCTION("""COMPUTED_VALUE"""),45807.6458333333)</f>
        <v>45807.6458333333</v>
      </c>
      <c r="D46" s="17">
        <f>IFERROR(__xludf.DUMMYFUNCTION("""COMPUTED_VALUE"""),2550)</f>
        <v>2550</v>
      </c>
      <c r="E46" s="16">
        <f>IFERROR(__xludf.DUMMYFUNCTION("""COMPUTED_VALUE"""),45807.6458333333)</f>
        <v>45807.6458333333</v>
      </c>
      <c r="F46" s="17">
        <f>IFERROR(__xludf.DUMMYFUNCTION("""COMPUTED_VALUE"""),684592)</f>
        <v>684592</v>
      </c>
      <c r="G46" s="16">
        <f>IFERROR(__xludf.DUMMYFUNCTION("""COMPUTED_VALUE"""),45807.6458333333)</f>
        <v>45807.6458333333</v>
      </c>
      <c r="H46" s="17">
        <f>IFERROR(__xludf.DUMMYFUNCTION("""COMPUTED_VALUE"""),2564)</f>
        <v>2564</v>
      </c>
      <c r="I46" s="16">
        <f>IFERROR(__xludf.DUMMYFUNCTION("""COMPUTED_VALUE"""),45807.6458333333)</f>
        <v>45807.6458333333</v>
      </c>
      <c r="J46" s="17">
        <f>IFERROR(__xludf.DUMMYFUNCTION("""COMPUTED_VALUE"""),2513.8)</f>
        <v>2513.8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IFERROR(__xludf.DUMMYFUNCTION("""COMPUTED_VALUE"""),2518.8)</f>
        <v>2518.8</v>
      </c>
      <c r="C47" s="16">
        <f>IFERROR(__xludf.DUMMYFUNCTION("""COMPUTED_VALUE"""),45810.6458333333)</f>
        <v>45810.6458333333</v>
      </c>
      <c r="D47" s="17">
        <f>IFERROR(__xludf.DUMMYFUNCTION("""COMPUTED_VALUE"""),2527)</f>
        <v>2527</v>
      </c>
      <c r="E47" s="16">
        <f>IFERROR(__xludf.DUMMYFUNCTION("""COMPUTED_VALUE"""),45810.6458333333)</f>
        <v>45810.6458333333</v>
      </c>
      <c r="F47" s="17">
        <f>IFERROR(__xludf.DUMMYFUNCTION("""COMPUTED_VALUE"""),1008716)</f>
        <v>1008716</v>
      </c>
      <c r="G47" s="16">
        <f>IFERROR(__xludf.DUMMYFUNCTION("""COMPUTED_VALUE"""),45810.6458333333)</f>
        <v>45810.6458333333</v>
      </c>
      <c r="H47" s="17">
        <f>IFERROR(__xludf.DUMMYFUNCTION("""COMPUTED_VALUE"""),2564)</f>
        <v>2564</v>
      </c>
      <c r="I47" s="16">
        <f>IFERROR(__xludf.DUMMYFUNCTION("""COMPUTED_VALUE"""),45810.6458333333)</f>
        <v>45810.6458333333</v>
      </c>
      <c r="J47" s="17">
        <f>IFERROR(__xludf.DUMMYFUNCTION("""COMPUTED_VALUE"""),2514.9)</f>
        <v>2514.9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IFERROR(__xludf.DUMMYFUNCTION("""COMPUTED_VALUE"""),2470.9)</f>
        <v>2470.9</v>
      </c>
      <c r="C48" s="16">
        <f>IFERROR(__xludf.DUMMYFUNCTION("""COMPUTED_VALUE"""),45811.6458333333)</f>
        <v>45811.6458333333</v>
      </c>
      <c r="D48" s="17">
        <f>IFERROR(__xludf.DUMMYFUNCTION("""COMPUTED_VALUE"""),2511)</f>
        <v>2511</v>
      </c>
      <c r="E48" s="16">
        <f>IFERROR(__xludf.DUMMYFUNCTION("""COMPUTED_VALUE"""),45811.6458333333)</f>
        <v>45811.6458333333</v>
      </c>
      <c r="F48" s="17">
        <f>IFERROR(__xludf.DUMMYFUNCTION("""COMPUTED_VALUE"""),962708)</f>
        <v>962708</v>
      </c>
      <c r="G48" s="16">
        <f>IFERROR(__xludf.DUMMYFUNCTION("""COMPUTED_VALUE"""),45811.6458333333)</f>
        <v>45811.6458333333</v>
      </c>
      <c r="H48" s="17">
        <f>IFERROR(__xludf.DUMMYFUNCTION("""COMPUTED_VALUE"""),2512.5)</f>
        <v>2512.5</v>
      </c>
      <c r="I48" s="16">
        <f>IFERROR(__xludf.DUMMYFUNCTION("""COMPUTED_VALUE"""),45811.6458333333)</f>
        <v>45811.6458333333</v>
      </c>
      <c r="J48" s="17">
        <f>IFERROR(__xludf.DUMMYFUNCTION("""COMPUTED_VALUE"""),2452)</f>
        <v>2452</v>
      </c>
      <c r="K48" s="3">
        <f t="shared" si="2"/>
        <v>0</v>
      </c>
      <c r="L48" s="3">
        <f t="shared" si="3"/>
        <v>2470.9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IFERROR(__xludf.DUMMYFUNCTION("""COMPUTED_VALUE"""),2489.4)</f>
        <v>2489.4</v>
      </c>
      <c r="C49" s="16">
        <f>IFERROR(__xludf.DUMMYFUNCTION("""COMPUTED_VALUE"""),45812.6458333333)</f>
        <v>45812.6458333333</v>
      </c>
      <c r="D49" s="17">
        <f>IFERROR(__xludf.DUMMYFUNCTION("""COMPUTED_VALUE"""),2480)</f>
        <v>2480</v>
      </c>
      <c r="E49" s="16">
        <f>IFERROR(__xludf.DUMMYFUNCTION("""COMPUTED_VALUE"""),45812.6458333333)</f>
        <v>45812.6458333333</v>
      </c>
      <c r="F49" s="17">
        <f>IFERROR(__xludf.DUMMYFUNCTION("""COMPUTED_VALUE"""),552667)</f>
        <v>552667</v>
      </c>
      <c r="G49" s="16">
        <f>IFERROR(__xludf.DUMMYFUNCTION("""COMPUTED_VALUE"""),45812.6458333333)</f>
        <v>45812.6458333333</v>
      </c>
      <c r="H49" s="17">
        <f>IFERROR(__xludf.DUMMYFUNCTION("""COMPUTED_VALUE"""),2503)</f>
        <v>2503</v>
      </c>
      <c r="I49" s="16">
        <f>IFERROR(__xludf.DUMMYFUNCTION("""COMPUTED_VALUE"""),45812.6458333333)</f>
        <v>45812.6458333333</v>
      </c>
      <c r="J49" s="17">
        <f>IFERROR(__xludf.DUMMYFUNCTION("""COMPUTED_VALUE"""),2441.1)</f>
        <v>2441.1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IFERROR(__xludf.DUMMYFUNCTION("""COMPUTED_VALUE"""),2504.4)</f>
        <v>2504.4</v>
      </c>
      <c r="C50" s="16">
        <f>IFERROR(__xludf.DUMMYFUNCTION("""COMPUTED_VALUE"""),45813.6458333333)</f>
        <v>45813.6458333333</v>
      </c>
      <c r="D50" s="17">
        <f>IFERROR(__xludf.DUMMYFUNCTION("""COMPUTED_VALUE"""),2495)</f>
        <v>2495</v>
      </c>
      <c r="E50" s="16">
        <f>IFERROR(__xludf.DUMMYFUNCTION("""COMPUTED_VALUE"""),45813.6458333333)</f>
        <v>45813.6458333333</v>
      </c>
      <c r="F50" s="17">
        <f>IFERROR(__xludf.DUMMYFUNCTION("""COMPUTED_VALUE"""),673209)</f>
        <v>673209</v>
      </c>
      <c r="G50" s="16">
        <f>IFERROR(__xludf.DUMMYFUNCTION("""COMPUTED_VALUE"""),45813.6458333333)</f>
        <v>45813.6458333333</v>
      </c>
      <c r="H50" s="17">
        <f>IFERROR(__xludf.DUMMYFUNCTION("""COMPUTED_VALUE"""),2530.1)</f>
        <v>2530.1</v>
      </c>
      <c r="I50" s="16">
        <f>IFERROR(__xludf.DUMMYFUNCTION("""COMPUTED_VALUE"""),45813.6458333333)</f>
        <v>45813.6458333333</v>
      </c>
      <c r="J50" s="17">
        <f>IFERROR(__xludf.DUMMYFUNCTION("""COMPUTED_VALUE"""),2487.5)</f>
        <v>2487.5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IFERROR(__xludf.DUMMYFUNCTION("""COMPUTED_VALUE"""),2534.2)</f>
        <v>2534.2</v>
      </c>
      <c r="C51" s="16">
        <f>IFERROR(__xludf.DUMMYFUNCTION("""COMPUTED_VALUE"""),45814.6458333333)</f>
        <v>45814.6458333333</v>
      </c>
      <c r="D51" s="17">
        <f>IFERROR(__xludf.DUMMYFUNCTION("""COMPUTED_VALUE"""),2514.9)</f>
        <v>2514.9</v>
      </c>
      <c r="E51" s="16">
        <f>IFERROR(__xludf.DUMMYFUNCTION("""COMPUTED_VALUE"""),45814.6458333333)</f>
        <v>45814.6458333333</v>
      </c>
      <c r="F51" s="17">
        <f>IFERROR(__xludf.DUMMYFUNCTION("""COMPUTED_VALUE"""),640680)</f>
        <v>640680</v>
      </c>
      <c r="G51" s="16">
        <f>IFERROR(__xludf.DUMMYFUNCTION("""COMPUTED_VALUE"""),45814.6458333333)</f>
        <v>45814.6458333333</v>
      </c>
      <c r="H51" s="17">
        <f>IFERROR(__xludf.DUMMYFUNCTION("""COMPUTED_VALUE"""),2553.3)</f>
        <v>2553.3</v>
      </c>
      <c r="I51" s="16">
        <f>IFERROR(__xludf.DUMMYFUNCTION("""COMPUTED_VALUE"""),45814.6458333333)</f>
        <v>45814.6458333333</v>
      </c>
      <c r="J51" s="17">
        <f>IFERROR(__xludf.DUMMYFUNCTION("""COMPUTED_VALUE"""),2504)</f>
        <v>2504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IFERROR(__xludf.DUMMYFUNCTION("""COMPUTED_VALUE"""),2582.1)</f>
        <v>2582.1</v>
      </c>
      <c r="C52" s="16">
        <f>IFERROR(__xludf.DUMMYFUNCTION("""COMPUTED_VALUE"""),45817.6458333333)</f>
        <v>45817.6458333333</v>
      </c>
      <c r="D52" s="17">
        <f>IFERROR(__xludf.DUMMYFUNCTION("""COMPUTED_VALUE"""),2545)</f>
        <v>2545</v>
      </c>
      <c r="E52" s="16">
        <f>IFERROR(__xludf.DUMMYFUNCTION("""COMPUTED_VALUE"""),45817.6458333333)</f>
        <v>45817.6458333333</v>
      </c>
      <c r="F52" s="17">
        <f>IFERROR(__xludf.DUMMYFUNCTION("""COMPUTED_VALUE"""),1711167)</f>
        <v>1711167</v>
      </c>
      <c r="G52" s="16">
        <f>IFERROR(__xludf.DUMMYFUNCTION("""COMPUTED_VALUE"""),45817.6458333333)</f>
        <v>45817.6458333333</v>
      </c>
      <c r="H52" s="17">
        <f>IFERROR(__xludf.DUMMYFUNCTION("""COMPUTED_VALUE"""),2604.1)</f>
        <v>2604.1</v>
      </c>
      <c r="I52" s="16">
        <f>IFERROR(__xludf.DUMMYFUNCTION("""COMPUTED_VALUE"""),45817.6458333333)</f>
        <v>45817.6458333333</v>
      </c>
      <c r="J52" s="17">
        <f>IFERROR(__xludf.DUMMYFUNCTION("""COMPUTED_VALUE"""),2524.5)</f>
        <v>2524.5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IFERROR(__xludf.DUMMYFUNCTION("""COMPUTED_VALUE"""),2613.1)</f>
        <v>2613.1</v>
      </c>
      <c r="C53" s="16">
        <f>IFERROR(__xludf.DUMMYFUNCTION("""COMPUTED_VALUE"""),45818.6458333333)</f>
        <v>45818.6458333333</v>
      </c>
      <c r="D53" s="17">
        <f>IFERROR(__xludf.DUMMYFUNCTION("""COMPUTED_VALUE"""),2600)</f>
        <v>2600</v>
      </c>
      <c r="E53" s="16">
        <f>IFERROR(__xludf.DUMMYFUNCTION("""COMPUTED_VALUE"""),45818.6458333333)</f>
        <v>45818.6458333333</v>
      </c>
      <c r="F53" s="17">
        <f>IFERROR(__xludf.DUMMYFUNCTION("""COMPUTED_VALUE"""),2084054)</f>
        <v>2084054</v>
      </c>
      <c r="G53" s="16">
        <f>IFERROR(__xludf.DUMMYFUNCTION("""COMPUTED_VALUE"""),45818.6458333333)</f>
        <v>45818.6458333333</v>
      </c>
      <c r="H53" s="17">
        <f>IFERROR(__xludf.DUMMYFUNCTION("""COMPUTED_VALUE"""),2663.2)</f>
        <v>2663.2</v>
      </c>
      <c r="I53" s="16">
        <f>IFERROR(__xludf.DUMMYFUNCTION("""COMPUTED_VALUE"""),45818.6458333333)</f>
        <v>45818.6458333333</v>
      </c>
      <c r="J53" s="17">
        <f>IFERROR(__xludf.DUMMYFUNCTION("""COMPUTED_VALUE"""),2577.7)</f>
        <v>2577.7</v>
      </c>
      <c r="K53" s="3">
        <f t="shared" si="2"/>
        <v>2613.1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IFERROR(__xludf.DUMMYFUNCTION("""COMPUTED_VALUE"""),2581.2)</f>
        <v>2581.2</v>
      </c>
      <c r="C54" s="16">
        <f>IFERROR(__xludf.DUMMYFUNCTION("""COMPUTED_VALUE"""),45819.6458333333)</f>
        <v>45819.6458333333</v>
      </c>
      <c r="D54" s="17">
        <f>IFERROR(__xludf.DUMMYFUNCTION("""COMPUTED_VALUE"""),2630)</f>
        <v>2630</v>
      </c>
      <c r="E54" s="16">
        <f>IFERROR(__xludf.DUMMYFUNCTION("""COMPUTED_VALUE"""),45819.6458333333)</f>
        <v>45819.6458333333</v>
      </c>
      <c r="F54" s="17">
        <f>IFERROR(__xludf.DUMMYFUNCTION("""COMPUTED_VALUE"""),745432)</f>
        <v>745432</v>
      </c>
      <c r="G54" s="16">
        <f>IFERROR(__xludf.DUMMYFUNCTION("""COMPUTED_VALUE"""),45819.6458333333)</f>
        <v>45819.6458333333</v>
      </c>
      <c r="H54" s="17">
        <f>IFERROR(__xludf.DUMMYFUNCTION("""COMPUTED_VALUE"""),2630.9)</f>
        <v>2630.9</v>
      </c>
      <c r="I54" s="16">
        <f>IFERROR(__xludf.DUMMYFUNCTION("""COMPUTED_VALUE"""),45819.6458333333)</f>
        <v>45819.6458333333</v>
      </c>
      <c r="J54" s="17">
        <f>IFERROR(__xludf.DUMMYFUNCTION("""COMPUTED_VALUE"""),2563.1)</f>
        <v>2563.1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IFERROR(__xludf.DUMMYFUNCTION("""COMPUTED_VALUE"""),2543.7)</f>
        <v>2543.7</v>
      </c>
      <c r="C55" s="16">
        <f>IFERROR(__xludf.DUMMYFUNCTION("""COMPUTED_VALUE"""),45820.6458333333)</f>
        <v>45820.6458333333</v>
      </c>
      <c r="D55" s="17">
        <f>IFERROR(__xludf.DUMMYFUNCTION("""COMPUTED_VALUE"""),2591.5)</f>
        <v>2591.5</v>
      </c>
      <c r="E55" s="16">
        <f>IFERROR(__xludf.DUMMYFUNCTION("""COMPUTED_VALUE"""),45820.6458333333)</f>
        <v>45820.6458333333</v>
      </c>
      <c r="F55" s="17">
        <f>IFERROR(__xludf.DUMMYFUNCTION("""COMPUTED_VALUE"""),955097)</f>
        <v>955097</v>
      </c>
      <c r="G55" s="16">
        <f>IFERROR(__xludf.DUMMYFUNCTION("""COMPUTED_VALUE"""),45820.6458333333)</f>
        <v>45820.6458333333</v>
      </c>
      <c r="H55" s="17">
        <f>IFERROR(__xludf.DUMMYFUNCTION("""COMPUTED_VALUE"""),2601.8)</f>
        <v>2601.8</v>
      </c>
      <c r="I55" s="16">
        <f>IFERROR(__xludf.DUMMYFUNCTION("""COMPUTED_VALUE"""),45820.6458333333)</f>
        <v>45820.6458333333</v>
      </c>
      <c r="J55" s="17">
        <f>IFERROR(__xludf.DUMMYFUNCTION("""COMPUTED_VALUE"""),2530)</f>
        <v>2530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IFERROR(__xludf.DUMMYFUNCTION("""COMPUTED_VALUE"""),2507.9)</f>
        <v>2507.9</v>
      </c>
      <c r="C56" s="16">
        <f>IFERROR(__xludf.DUMMYFUNCTION("""COMPUTED_VALUE"""),45821.6458333333)</f>
        <v>45821.6458333333</v>
      </c>
      <c r="D56" s="17">
        <f>IFERROR(__xludf.DUMMYFUNCTION("""COMPUTED_VALUE"""),2498)</f>
        <v>2498</v>
      </c>
      <c r="E56" s="16">
        <f>IFERROR(__xludf.DUMMYFUNCTION("""COMPUTED_VALUE"""),45821.6458333333)</f>
        <v>45821.6458333333</v>
      </c>
      <c r="F56" s="17">
        <f>IFERROR(__xludf.DUMMYFUNCTION("""COMPUTED_VALUE"""),695869)</f>
        <v>695869</v>
      </c>
      <c r="G56" s="16">
        <f>IFERROR(__xludf.DUMMYFUNCTION("""COMPUTED_VALUE"""),45821.6458333333)</f>
        <v>45821.6458333333</v>
      </c>
      <c r="H56" s="17">
        <f>IFERROR(__xludf.DUMMYFUNCTION("""COMPUTED_VALUE"""),2516)</f>
        <v>2516</v>
      </c>
      <c r="I56" s="16">
        <f>IFERROR(__xludf.DUMMYFUNCTION("""COMPUTED_VALUE"""),45821.6458333333)</f>
        <v>45821.6458333333</v>
      </c>
      <c r="J56" s="17">
        <f>IFERROR(__xludf.DUMMYFUNCTION("""COMPUTED_VALUE"""),2460)</f>
        <v>2460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IFERROR(__xludf.DUMMYFUNCTION("""COMPUTED_VALUE"""),2544)</f>
        <v>2544</v>
      </c>
      <c r="C57" s="16">
        <f>IFERROR(__xludf.DUMMYFUNCTION("""COMPUTED_VALUE"""),45824.6458333333)</f>
        <v>45824.6458333333</v>
      </c>
      <c r="D57" s="17">
        <f>IFERROR(__xludf.DUMMYFUNCTION("""COMPUTED_VALUE"""),2500)</f>
        <v>2500</v>
      </c>
      <c r="E57" s="16">
        <f>IFERROR(__xludf.DUMMYFUNCTION("""COMPUTED_VALUE"""),45824.6458333333)</f>
        <v>45824.6458333333</v>
      </c>
      <c r="F57" s="17">
        <f>IFERROR(__xludf.DUMMYFUNCTION("""COMPUTED_VALUE"""),956459)</f>
        <v>956459</v>
      </c>
      <c r="G57" s="16">
        <f>IFERROR(__xludf.DUMMYFUNCTION("""COMPUTED_VALUE"""),45824.6458333333)</f>
        <v>45824.6458333333</v>
      </c>
      <c r="H57" s="17">
        <f>IFERROR(__xludf.DUMMYFUNCTION("""COMPUTED_VALUE"""),2563.3)</f>
        <v>2563.3</v>
      </c>
      <c r="I57" s="16">
        <f>IFERROR(__xludf.DUMMYFUNCTION("""COMPUTED_VALUE"""),45824.6458333333)</f>
        <v>45824.6458333333</v>
      </c>
      <c r="J57" s="17">
        <f>IFERROR(__xludf.DUMMYFUNCTION("""COMPUTED_VALUE"""),2462)</f>
        <v>2462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IFERROR(__xludf.DUMMYFUNCTION("""COMPUTED_VALUE"""),2488.5)</f>
        <v>2488.5</v>
      </c>
      <c r="C58" s="16">
        <f>IFERROR(__xludf.DUMMYFUNCTION("""COMPUTED_VALUE"""),45825.6458333333)</f>
        <v>45825.6458333333</v>
      </c>
      <c r="D58" s="17">
        <f>IFERROR(__xludf.DUMMYFUNCTION("""COMPUTED_VALUE"""),2535)</f>
        <v>2535</v>
      </c>
      <c r="E58" s="16">
        <f>IFERROR(__xludf.DUMMYFUNCTION("""COMPUTED_VALUE"""),45825.6458333333)</f>
        <v>45825.6458333333</v>
      </c>
      <c r="F58" s="17">
        <f>IFERROR(__xludf.DUMMYFUNCTION("""COMPUTED_VALUE"""),703343)</f>
        <v>703343</v>
      </c>
      <c r="G58" s="16">
        <f>IFERROR(__xludf.DUMMYFUNCTION("""COMPUTED_VALUE"""),45825.6458333333)</f>
        <v>45825.6458333333</v>
      </c>
      <c r="H58" s="17">
        <f>IFERROR(__xludf.DUMMYFUNCTION("""COMPUTED_VALUE"""),2539.6)</f>
        <v>2539.6</v>
      </c>
      <c r="I58" s="16">
        <f>IFERROR(__xludf.DUMMYFUNCTION("""COMPUTED_VALUE"""),45825.6458333333)</f>
        <v>45825.6458333333</v>
      </c>
      <c r="J58" s="17">
        <f>IFERROR(__xludf.DUMMYFUNCTION("""COMPUTED_VALUE"""),2479)</f>
        <v>2479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IFERROR(__xludf.DUMMYFUNCTION("""COMPUTED_VALUE"""),2459.1)</f>
        <v>2459.1</v>
      </c>
      <c r="C59" s="16">
        <f>IFERROR(__xludf.DUMMYFUNCTION("""COMPUTED_VALUE"""),45826.6458333333)</f>
        <v>45826.6458333333</v>
      </c>
      <c r="D59" s="17">
        <f>IFERROR(__xludf.DUMMYFUNCTION("""COMPUTED_VALUE"""),2491.9)</f>
        <v>2491.9</v>
      </c>
      <c r="E59" s="16">
        <f>IFERROR(__xludf.DUMMYFUNCTION("""COMPUTED_VALUE"""),45826.6458333333)</f>
        <v>45826.6458333333</v>
      </c>
      <c r="F59" s="17">
        <f>IFERROR(__xludf.DUMMYFUNCTION("""COMPUTED_VALUE"""),667044)</f>
        <v>667044</v>
      </c>
      <c r="G59" s="16">
        <f>IFERROR(__xludf.DUMMYFUNCTION("""COMPUTED_VALUE"""),45826.6458333333)</f>
        <v>45826.6458333333</v>
      </c>
      <c r="H59" s="17">
        <f>IFERROR(__xludf.DUMMYFUNCTION("""COMPUTED_VALUE"""),2495.9)</f>
        <v>2495.9</v>
      </c>
      <c r="I59" s="16">
        <f>IFERROR(__xludf.DUMMYFUNCTION("""COMPUTED_VALUE"""),45826.6458333333)</f>
        <v>45826.6458333333</v>
      </c>
      <c r="J59" s="17">
        <f>IFERROR(__xludf.DUMMYFUNCTION("""COMPUTED_VALUE"""),2445.4)</f>
        <v>2445.4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IFERROR(__xludf.DUMMYFUNCTION("""COMPUTED_VALUE"""),2420.6)</f>
        <v>2420.6</v>
      </c>
      <c r="C60" s="16">
        <f>IFERROR(__xludf.DUMMYFUNCTION("""COMPUTED_VALUE"""),45827.6458333333)</f>
        <v>45827.6458333333</v>
      </c>
      <c r="D60" s="17">
        <f>IFERROR(__xludf.DUMMYFUNCTION("""COMPUTED_VALUE"""),2466.3)</f>
        <v>2466.3</v>
      </c>
      <c r="E60" s="16">
        <f>IFERROR(__xludf.DUMMYFUNCTION("""COMPUTED_VALUE"""),45827.6458333333)</f>
        <v>45827.6458333333</v>
      </c>
      <c r="F60" s="17">
        <f>IFERROR(__xludf.DUMMYFUNCTION("""COMPUTED_VALUE"""),688209)</f>
        <v>688209</v>
      </c>
      <c r="G60" s="16">
        <f>IFERROR(__xludf.DUMMYFUNCTION("""COMPUTED_VALUE"""),45827.6458333333)</f>
        <v>45827.6458333333</v>
      </c>
      <c r="H60" s="17">
        <f>IFERROR(__xludf.DUMMYFUNCTION("""COMPUTED_VALUE"""),2468.9)</f>
        <v>2468.9</v>
      </c>
      <c r="I60" s="16">
        <f>IFERROR(__xludf.DUMMYFUNCTION("""COMPUTED_VALUE"""),45827.6458333333)</f>
        <v>45827.6458333333</v>
      </c>
      <c r="J60" s="17">
        <f>IFERROR(__xludf.DUMMYFUNCTION("""COMPUTED_VALUE"""),2405.1)</f>
        <v>2405.1</v>
      </c>
      <c r="K60" s="3">
        <f t="shared" si="2"/>
        <v>0</v>
      </c>
      <c r="L60" s="3">
        <f t="shared" si="3"/>
        <v>2420.6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IFERROR(__xludf.DUMMYFUNCTION("""COMPUTED_VALUE"""),2448.4)</f>
        <v>2448.4</v>
      </c>
      <c r="C61" s="16">
        <f>IFERROR(__xludf.DUMMYFUNCTION("""COMPUTED_VALUE"""),45828.6458333333)</f>
        <v>45828.6458333333</v>
      </c>
      <c r="D61" s="17">
        <f>IFERROR(__xludf.DUMMYFUNCTION("""COMPUTED_VALUE"""),2428)</f>
        <v>2428</v>
      </c>
      <c r="E61" s="16">
        <f>IFERROR(__xludf.DUMMYFUNCTION("""COMPUTED_VALUE"""),45828.6458333333)</f>
        <v>45828.6458333333</v>
      </c>
      <c r="F61" s="17">
        <f>IFERROR(__xludf.DUMMYFUNCTION("""COMPUTED_VALUE"""),3002549)</f>
        <v>3002549</v>
      </c>
      <c r="G61" s="16">
        <f>IFERROR(__xludf.DUMMYFUNCTION("""COMPUTED_VALUE"""),45828.6458333333)</f>
        <v>45828.6458333333</v>
      </c>
      <c r="H61" s="17">
        <f>IFERROR(__xludf.DUMMYFUNCTION("""COMPUTED_VALUE"""),2461.3)</f>
        <v>2461.3</v>
      </c>
      <c r="I61" s="16">
        <f>IFERROR(__xludf.DUMMYFUNCTION("""COMPUTED_VALUE"""),45828.6458333333)</f>
        <v>45828.6458333333</v>
      </c>
      <c r="J61" s="17">
        <f>IFERROR(__xludf.DUMMYFUNCTION("""COMPUTED_VALUE"""),2415)</f>
        <v>2415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IFERROR(__xludf.DUMMYFUNCTION("""COMPUTED_VALUE"""),2472)</f>
        <v>2472</v>
      </c>
      <c r="C62" s="16">
        <f>IFERROR(__xludf.DUMMYFUNCTION("""COMPUTED_VALUE"""),45831.6458333333)</f>
        <v>45831.6458333333</v>
      </c>
      <c r="D62" s="17">
        <f>IFERROR(__xludf.DUMMYFUNCTION("""COMPUTED_VALUE"""),2438)</f>
        <v>2438</v>
      </c>
      <c r="E62" s="16">
        <f>IFERROR(__xludf.DUMMYFUNCTION("""COMPUTED_VALUE"""),45831.6458333333)</f>
        <v>45831.6458333333</v>
      </c>
      <c r="F62" s="17">
        <f>IFERROR(__xludf.DUMMYFUNCTION("""COMPUTED_VALUE"""),790535)</f>
        <v>790535</v>
      </c>
      <c r="G62" s="16">
        <f>IFERROR(__xludf.DUMMYFUNCTION("""COMPUTED_VALUE"""),45831.6458333333)</f>
        <v>45831.6458333333</v>
      </c>
      <c r="H62" s="17">
        <f>IFERROR(__xludf.DUMMYFUNCTION("""COMPUTED_VALUE"""),2492.6)</f>
        <v>2492.6</v>
      </c>
      <c r="I62" s="16">
        <f>IFERROR(__xludf.DUMMYFUNCTION("""COMPUTED_VALUE"""),45831.6458333333)</f>
        <v>45831.6458333333</v>
      </c>
      <c r="J62" s="17">
        <f>IFERROR(__xludf.DUMMYFUNCTION("""COMPUTED_VALUE"""),2421)</f>
        <v>2421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IFERROR(__xludf.DUMMYFUNCTION("""COMPUTED_VALUE"""),2505.6)</f>
        <v>2505.6</v>
      </c>
      <c r="C63" s="16">
        <f>IFERROR(__xludf.DUMMYFUNCTION("""COMPUTED_VALUE"""),45832.6458333333)</f>
        <v>45832.6458333333</v>
      </c>
      <c r="D63" s="17">
        <f>IFERROR(__xludf.DUMMYFUNCTION("""COMPUTED_VALUE"""),2504)</f>
        <v>2504</v>
      </c>
      <c r="E63" s="16">
        <f>IFERROR(__xludf.DUMMYFUNCTION("""COMPUTED_VALUE"""),45832.6458333333)</f>
        <v>45832.6458333333</v>
      </c>
      <c r="F63" s="17">
        <f>IFERROR(__xludf.DUMMYFUNCTION("""COMPUTED_VALUE"""),996405)</f>
        <v>996405</v>
      </c>
      <c r="G63" s="16">
        <f>IFERROR(__xludf.DUMMYFUNCTION("""COMPUTED_VALUE"""),45832.6458333333)</f>
        <v>45832.6458333333</v>
      </c>
      <c r="H63" s="17">
        <f>IFERROR(__xludf.DUMMYFUNCTION("""COMPUTED_VALUE"""),2544.6)</f>
        <v>2544.6</v>
      </c>
      <c r="I63" s="16">
        <f>IFERROR(__xludf.DUMMYFUNCTION("""COMPUTED_VALUE"""),45832.6458333333)</f>
        <v>45832.6458333333</v>
      </c>
      <c r="J63" s="17">
        <f>IFERROR(__xludf.DUMMYFUNCTION("""COMPUTED_VALUE"""),2500.2)</f>
        <v>2500.2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IFERROR(__xludf.DUMMYFUNCTION("""COMPUTED_VALUE"""),2527.2)</f>
        <v>2527.2</v>
      </c>
      <c r="C64" s="16">
        <f>IFERROR(__xludf.DUMMYFUNCTION("""COMPUTED_VALUE"""),45833.6458333333)</f>
        <v>45833.6458333333</v>
      </c>
      <c r="D64" s="17">
        <f>IFERROR(__xludf.DUMMYFUNCTION("""COMPUTED_VALUE"""),2519.9)</f>
        <v>2519.9</v>
      </c>
      <c r="E64" s="16">
        <f>IFERROR(__xludf.DUMMYFUNCTION("""COMPUTED_VALUE"""),45833.6458333333)</f>
        <v>45833.6458333333</v>
      </c>
      <c r="F64" s="17">
        <f>IFERROR(__xludf.DUMMYFUNCTION("""COMPUTED_VALUE"""),921346)</f>
        <v>921346</v>
      </c>
      <c r="G64" s="16">
        <f>IFERROR(__xludf.DUMMYFUNCTION("""COMPUTED_VALUE"""),45833.6458333333)</f>
        <v>45833.6458333333</v>
      </c>
      <c r="H64" s="17">
        <f>IFERROR(__xludf.DUMMYFUNCTION("""COMPUTED_VALUE"""),2541.6)</f>
        <v>2541.6</v>
      </c>
      <c r="I64" s="16">
        <f>IFERROR(__xludf.DUMMYFUNCTION("""COMPUTED_VALUE"""),45833.6458333333)</f>
        <v>45833.6458333333</v>
      </c>
      <c r="J64" s="17">
        <f>IFERROR(__xludf.DUMMYFUNCTION("""COMPUTED_VALUE"""),2512.1)</f>
        <v>2512.1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IFERROR(__xludf.DUMMYFUNCTION("""COMPUTED_VALUE"""),2586.2)</f>
        <v>2586.2</v>
      </c>
      <c r="C65" s="16">
        <f>IFERROR(__xludf.DUMMYFUNCTION("""COMPUTED_VALUE"""),45834.6458333333)</f>
        <v>45834.6458333333</v>
      </c>
      <c r="D65" s="17">
        <f>IFERROR(__xludf.DUMMYFUNCTION("""COMPUTED_VALUE"""),2535)</f>
        <v>2535</v>
      </c>
      <c r="E65" s="16">
        <f>IFERROR(__xludf.DUMMYFUNCTION("""COMPUTED_VALUE"""),45834.6458333333)</f>
        <v>45834.6458333333</v>
      </c>
      <c r="F65" s="17">
        <f>IFERROR(__xludf.DUMMYFUNCTION("""COMPUTED_VALUE"""),1339627)</f>
        <v>1339627</v>
      </c>
      <c r="G65" s="16">
        <f>IFERROR(__xludf.DUMMYFUNCTION("""COMPUTED_VALUE"""),45834.6458333333)</f>
        <v>45834.6458333333</v>
      </c>
      <c r="H65" s="17">
        <f>IFERROR(__xludf.DUMMYFUNCTION("""COMPUTED_VALUE"""),2593.6)</f>
        <v>2593.6</v>
      </c>
      <c r="I65" s="16">
        <f>IFERROR(__xludf.DUMMYFUNCTION("""COMPUTED_VALUE"""),45834.6458333333)</f>
        <v>45834.6458333333</v>
      </c>
      <c r="J65" s="17">
        <f>IFERROR(__xludf.DUMMYFUNCTION("""COMPUTED_VALUE"""),2522.2)</f>
        <v>2522.2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IFERROR(__xludf.DUMMYFUNCTION("""COMPUTED_VALUE"""),2646.3)</f>
        <v>2646.3</v>
      </c>
      <c r="C66" s="16">
        <f>IFERROR(__xludf.DUMMYFUNCTION("""COMPUTED_VALUE"""),45835.6458333333)</f>
        <v>45835.6458333333</v>
      </c>
      <c r="D66" s="17">
        <f>IFERROR(__xludf.DUMMYFUNCTION("""COMPUTED_VALUE"""),2587.7)</f>
        <v>2587.7</v>
      </c>
      <c r="E66" s="16">
        <f>IFERROR(__xludf.DUMMYFUNCTION("""COMPUTED_VALUE"""),45835.6458333333)</f>
        <v>45835.6458333333</v>
      </c>
      <c r="F66" s="17">
        <f>IFERROR(__xludf.DUMMYFUNCTION("""COMPUTED_VALUE"""),4049316)</f>
        <v>4049316</v>
      </c>
      <c r="G66" s="16">
        <f>IFERROR(__xludf.DUMMYFUNCTION("""COMPUTED_VALUE"""),45835.6458333333)</f>
        <v>45835.6458333333</v>
      </c>
      <c r="H66" s="17">
        <f>IFERROR(__xludf.DUMMYFUNCTION("""COMPUTED_VALUE"""),2681.6)</f>
        <v>2681.6</v>
      </c>
      <c r="I66" s="16">
        <f>IFERROR(__xludf.DUMMYFUNCTION("""COMPUTED_VALUE"""),45835.6458333333)</f>
        <v>45835.6458333333</v>
      </c>
      <c r="J66" s="17">
        <f>IFERROR(__xludf.DUMMYFUNCTION("""COMPUTED_VALUE"""),2582)</f>
        <v>2582</v>
      </c>
      <c r="K66" s="3">
        <f t="shared" si="2"/>
        <v>2646.3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IFERROR(__xludf.DUMMYFUNCTION("""COMPUTED_VALUE"""),2619.4)</f>
        <v>2619.4</v>
      </c>
      <c r="C67" s="16">
        <f>IFERROR(__xludf.DUMMYFUNCTION("""COMPUTED_VALUE"""),45838.6458333333)</f>
        <v>45838.6458333333</v>
      </c>
      <c r="D67" s="17">
        <f>IFERROR(__xludf.DUMMYFUNCTION("""COMPUTED_VALUE"""),2650)</f>
        <v>2650</v>
      </c>
      <c r="E67" s="16">
        <f>IFERROR(__xludf.DUMMYFUNCTION("""COMPUTED_VALUE"""),45838.6458333333)</f>
        <v>45838.6458333333</v>
      </c>
      <c r="F67" s="17">
        <f>IFERROR(__xludf.DUMMYFUNCTION("""COMPUTED_VALUE"""),694815)</f>
        <v>694815</v>
      </c>
      <c r="G67" s="16">
        <f>IFERROR(__xludf.DUMMYFUNCTION("""COMPUTED_VALUE"""),45838.6458333333)</f>
        <v>45838.6458333333</v>
      </c>
      <c r="H67" s="17">
        <f>IFERROR(__xludf.DUMMYFUNCTION("""COMPUTED_VALUE"""),2653.9)</f>
        <v>2653.9</v>
      </c>
      <c r="I67" s="16">
        <f>IFERROR(__xludf.DUMMYFUNCTION("""COMPUTED_VALUE"""),45838.6458333333)</f>
        <v>45838.6458333333</v>
      </c>
      <c r="J67" s="17">
        <f>IFERROR(__xludf.DUMMYFUNCTION("""COMPUTED_VALUE"""),2605.9)</f>
        <v>2605.9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IFERROR(__xludf.DUMMYFUNCTION("""COMPUTED_VALUE"""),2621.8)</f>
        <v>2621.8</v>
      </c>
      <c r="C68" s="16">
        <f>IFERROR(__xludf.DUMMYFUNCTION("""COMPUTED_VALUE"""),45839.6458333333)</f>
        <v>45839.6458333333</v>
      </c>
      <c r="D68" s="17">
        <f>IFERROR(__xludf.DUMMYFUNCTION("""COMPUTED_VALUE"""),2624.9)</f>
        <v>2624.9</v>
      </c>
      <c r="E68" s="16">
        <f>IFERROR(__xludf.DUMMYFUNCTION("""COMPUTED_VALUE"""),45839.6458333333)</f>
        <v>45839.6458333333</v>
      </c>
      <c r="F68" s="17">
        <f>IFERROR(__xludf.DUMMYFUNCTION("""COMPUTED_VALUE"""),729197)</f>
        <v>729197</v>
      </c>
      <c r="G68" s="16">
        <f>IFERROR(__xludf.DUMMYFUNCTION("""COMPUTED_VALUE"""),45839.6458333333)</f>
        <v>45839.6458333333</v>
      </c>
      <c r="H68" s="17">
        <f>IFERROR(__xludf.DUMMYFUNCTION("""COMPUTED_VALUE"""),2645)</f>
        <v>2645</v>
      </c>
      <c r="I68" s="16">
        <f>IFERROR(__xludf.DUMMYFUNCTION("""COMPUTED_VALUE"""),45839.6458333333)</f>
        <v>45839.6458333333</v>
      </c>
      <c r="J68" s="17">
        <f>IFERROR(__xludf.DUMMYFUNCTION("""COMPUTED_VALUE"""),2603)</f>
        <v>2603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IFERROR(__xludf.DUMMYFUNCTION("""COMPUTED_VALUE"""),2630.2)</f>
        <v>2630.2</v>
      </c>
      <c r="C69" s="16">
        <f>IFERROR(__xludf.DUMMYFUNCTION("""COMPUTED_VALUE"""),45840.6458333333)</f>
        <v>45840.6458333333</v>
      </c>
      <c r="D69" s="17">
        <f>IFERROR(__xludf.DUMMYFUNCTION("""COMPUTED_VALUE"""),2634)</f>
        <v>2634</v>
      </c>
      <c r="E69" s="16">
        <f>IFERROR(__xludf.DUMMYFUNCTION("""COMPUTED_VALUE"""),45840.6458333333)</f>
        <v>45840.6458333333</v>
      </c>
      <c r="F69" s="17">
        <f>IFERROR(__xludf.DUMMYFUNCTION("""COMPUTED_VALUE"""),621409)</f>
        <v>621409</v>
      </c>
      <c r="G69" s="16">
        <f>IFERROR(__xludf.DUMMYFUNCTION("""COMPUTED_VALUE"""),45840.6458333333)</f>
        <v>45840.6458333333</v>
      </c>
      <c r="H69" s="17">
        <f>IFERROR(__xludf.DUMMYFUNCTION("""COMPUTED_VALUE"""),2646)</f>
        <v>2646</v>
      </c>
      <c r="I69" s="16">
        <f>IFERROR(__xludf.DUMMYFUNCTION("""COMPUTED_VALUE"""),45840.6458333333)</f>
        <v>45840.6458333333</v>
      </c>
      <c r="J69" s="17">
        <f>IFERROR(__xludf.DUMMYFUNCTION("""COMPUTED_VALUE"""),2613.6)</f>
        <v>2613.6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IFERROR(__xludf.DUMMYFUNCTION("""COMPUTED_VALUE"""),2611.2)</f>
        <v>2611.2</v>
      </c>
      <c r="C70" s="16">
        <f>IFERROR(__xludf.DUMMYFUNCTION("""COMPUTED_VALUE"""),45841.6458333333)</f>
        <v>45841.6458333333</v>
      </c>
      <c r="D70" s="17">
        <f>IFERROR(__xludf.DUMMYFUNCTION("""COMPUTED_VALUE"""),2634)</f>
        <v>2634</v>
      </c>
      <c r="E70" s="16">
        <f>IFERROR(__xludf.DUMMYFUNCTION("""COMPUTED_VALUE"""),45841.6458333333)</f>
        <v>45841.6458333333</v>
      </c>
      <c r="F70" s="17">
        <f>IFERROR(__xludf.DUMMYFUNCTION("""COMPUTED_VALUE"""),502724)</f>
        <v>502724</v>
      </c>
      <c r="G70" s="16">
        <f>IFERROR(__xludf.DUMMYFUNCTION("""COMPUTED_VALUE"""),45841.6458333333)</f>
        <v>45841.6458333333</v>
      </c>
      <c r="H70" s="17">
        <f>IFERROR(__xludf.DUMMYFUNCTION("""COMPUTED_VALUE"""),2644)</f>
        <v>2644</v>
      </c>
      <c r="I70" s="16">
        <f>IFERROR(__xludf.DUMMYFUNCTION("""COMPUTED_VALUE"""),45841.6458333333)</f>
        <v>45841.6458333333</v>
      </c>
      <c r="J70" s="17">
        <f>IFERROR(__xludf.DUMMYFUNCTION("""COMPUTED_VALUE"""),2605.1)</f>
        <v>2605.1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IFERROR(__xludf.DUMMYFUNCTION("""COMPUTED_VALUE"""),2599.1)</f>
        <v>2599.1</v>
      </c>
      <c r="C71" s="16">
        <f>IFERROR(__xludf.DUMMYFUNCTION("""COMPUTED_VALUE"""),45842.6458333333)</f>
        <v>45842.6458333333</v>
      </c>
      <c r="D71" s="17">
        <f>IFERROR(__xludf.DUMMYFUNCTION("""COMPUTED_VALUE"""),2617)</f>
        <v>2617</v>
      </c>
      <c r="E71" s="16">
        <f>IFERROR(__xludf.DUMMYFUNCTION("""COMPUTED_VALUE"""),45842.6458333333)</f>
        <v>45842.6458333333</v>
      </c>
      <c r="F71" s="17">
        <f>IFERROR(__xludf.DUMMYFUNCTION("""COMPUTED_VALUE"""),370305)</f>
        <v>370305</v>
      </c>
      <c r="G71" s="16">
        <f>IFERROR(__xludf.DUMMYFUNCTION("""COMPUTED_VALUE"""),45842.6458333333)</f>
        <v>45842.6458333333</v>
      </c>
      <c r="H71" s="17">
        <f>IFERROR(__xludf.DUMMYFUNCTION("""COMPUTED_VALUE"""),2617)</f>
        <v>2617</v>
      </c>
      <c r="I71" s="16">
        <f>IFERROR(__xludf.DUMMYFUNCTION("""COMPUTED_VALUE"""),45842.6458333333)</f>
        <v>45842.6458333333</v>
      </c>
      <c r="J71" s="17">
        <f>IFERROR(__xludf.DUMMYFUNCTION("""COMPUTED_VALUE"""),2582.2)</f>
        <v>2582.2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IFERROR(__xludf.DUMMYFUNCTION("""COMPUTED_VALUE"""),2576.1)</f>
        <v>2576.1</v>
      </c>
      <c r="C72" s="16">
        <f>IFERROR(__xludf.DUMMYFUNCTION("""COMPUTED_VALUE"""),45845.6458333333)</f>
        <v>45845.6458333333</v>
      </c>
      <c r="D72" s="17">
        <f>IFERROR(__xludf.DUMMYFUNCTION("""COMPUTED_VALUE"""),2602)</f>
        <v>2602</v>
      </c>
      <c r="E72" s="16">
        <f>IFERROR(__xludf.DUMMYFUNCTION("""COMPUTED_VALUE"""),45845.6458333333)</f>
        <v>45845.6458333333</v>
      </c>
      <c r="F72" s="17">
        <f>IFERROR(__xludf.DUMMYFUNCTION("""COMPUTED_VALUE"""),412159)</f>
        <v>412159</v>
      </c>
      <c r="G72" s="16">
        <f>IFERROR(__xludf.DUMMYFUNCTION("""COMPUTED_VALUE"""),45845.6458333333)</f>
        <v>45845.6458333333</v>
      </c>
      <c r="H72" s="17">
        <f>IFERROR(__xludf.DUMMYFUNCTION("""COMPUTED_VALUE"""),2605.4)</f>
        <v>2605.4</v>
      </c>
      <c r="I72" s="16">
        <f>IFERROR(__xludf.DUMMYFUNCTION("""COMPUTED_VALUE"""),45845.6458333333)</f>
        <v>45845.6458333333</v>
      </c>
      <c r="J72" s="17">
        <f>IFERROR(__xludf.DUMMYFUNCTION("""COMPUTED_VALUE"""),2572)</f>
        <v>2572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IFERROR(__xludf.DUMMYFUNCTION("""COMPUTED_VALUE"""),2591.3)</f>
        <v>2591.3</v>
      </c>
      <c r="C73" s="16">
        <f>IFERROR(__xludf.DUMMYFUNCTION("""COMPUTED_VALUE"""),45846.6458333333)</f>
        <v>45846.6458333333</v>
      </c>
      <c r="D73" s="17">
        <f>IFERROR(__xludf.DUMMYFUNCTION("""COMPUTED_VALUE"""),2586)</f>
        <v>2586</v>
      </c>
      <c r="E73" s="16">
        <f>IFERROR(__xludf.DUMMYFUNCTION("""COMPUTED_VALUE"""),45846.6458333333)</f>
        <v>45846.6458333333</v>
      </c>
      <c r="F73" s="17">
        <f>IFERROR(__xludf.DUMMYFUNCTION("""COMPUTED_VALUE"""),357701)</f>
        <v>357701</v>
      </c>
      <c r="G73" s="16">
        <f>IFERROR(__xludf.DUMMYFUNCTION("""COMPUTED_VALUE"""),45846.6458333333)</f>
        <v>45846.6458333333</v>
      </c>
      <c r="H73" s="17">
        <f>IFERROR(__xludf.DUMMYFUNCTION("""COMPUTED_VALUE"""),2600)</f>
        <v>2600</v>
      </c>
      <c r="I73" s="16">
        <f>IFERROR(__xludf.DUMMYFUNCTION("""COMPUTED_VALUE"""),45846.6458333333)</f>
        <v>45846.6458333333</v>
      </c>
      <c r="J73" s="17">
        <f>IFERROR(__xludf.DUMMYFUNCTION("""COMPUTED_VALUE"""),2573)</f>
        <v>2573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IFERROR(__xludf.DUMMYFUNCTION("""COMPUTED_VALUE"""),2583)</f>
        <v>2583</v>
      </c>
      <c r="C74" s="16">
        <f>IFERROR(__xludf.DUMMYFUNCTION("""COMPUTED_VALUE"""),45847.6458333333)</f>
        <v>45847.6458333333</v>
      </c>
      <c r="D74" s="17">
        <f>IFERROR(__xludf.DUMMYFUNCTION("""COMPUTED_VALUE"""),2599)</f>
        <v>2599</v>
      </c>
      <c r="E74" s="16">
        <f>IFERROR(__xludf.DUMMYFUNCTION("""COMPUTED_VALUE"""),45847.6458333333)</f>
        <v>45847.6458333333</v>
      </c>
      <c r="F74" s="17">
        <f>IFERROR(__xludf.DUMMYFUNCTION("""COMPUTED_VALUE"""),396880)</f>
        <v>396880</v>
      </c>
      <c r="G74" s="16">
        <f>IFERROR(__xludf.DUMMYFUNCTION("""COMPUTED_VALUE"""),45847.6458333333)</f>
        <v>45847.6458333333</v>
      </c>
      <c r="H74" s="17">
        <f>IFERROR(__xludf.DUMMYFUNCTION("""COMPUTED_VALUE"""),2609.9)</f>
        <v>2609.9</v>
      </c>
      <c r="I74" s="16">
        <f>IFERROR(__xludf.DUMMYFUNCTION("""COMPUTED_VALUE"""),45847.6458333333)</f>
        <v>45847.6458333333</v>
      </c>
      <c r="J74" s="17">
        <f>IFERROR(__xludf.DUMMYFUNCTION("""COMPUTED_VALUE"""),2570)</f>
        <v>2570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IFERROR(__xludf.DUMMYFUNCTION("""COMPUTED_VALUE"""),2581)</f>
        <v>2581</v>
      </c>
      <c r="C75" s="16">
        <f>IFERROR(__xludf.DUMMYFUNCTION("""COMPUTED_VALUE"""),45848.6458333333)</f>
        <v>45848.6458333333</v>
      </c>
      <c r="D75" s="17">
        <f>IFERROR(__xludf.DUMMYFUNCTION("""COMPUTED_VALUE"""),2591)</f>
        <v>2591</v>
      </c>
      <c r="E75" s="16">
        <f>IFERROR(__xludf.DUMMYFUNCTION("""COMPUTED_VALUE"""),45848.6458333333)</f>
        <v>45848.6458333333</v>
      </c>
      <c r="F75" s="17">
        <f>IFERROR(__xludf.DUMMYFUNCTION("""COMPUTED_VALUE"""),306565)</f>
        <v>306565</v>
      </c>
      <c r="G75" s="16">
        <f>IFERROR(__xludf.DUMMYFUNCTION("""COMPUTED_VALUE"""),45848.6458333333)</f>
        <v>45848.6458333333</v>
      </c>
      <c r="H75" s="17">
        <f>IFERROR(__xludf.DUMMYFUNCTION("""COMPUTED_VALUE"""),2604)</f>
        <v>2604</v>
      </c>
      <c r="I75" s="16">
        <f>IFERROR(__xludf.DUMMYFUNCTION("""COMPUTED_VALUE"""),45848.6458333333)</f>
        <v>45848.6458333333</v>
      </c>
      <c r="J75" s="17">
        <f>IFERROR(__xludf.DUMMYFUNCTION("""COMPUTED_VALUE"""),2575)</f>
        <v>2575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IFERROR(__xludf.DUMMYFUNCTION("""COMPUTED_VALUE"""),2558.7)</f>
        <v>2558.7</v>
      </c>
      <c r="C76" s="16">
        <f>IFERROR(__xludf.DUMMYFUNCTION("""COMPUTED_VALUE"""),45849.6458333333)</f>
        <v>45849.6458333333</v>
      </c>
      <c r="D76" s="17">
        <f>IFERROR(__xludf.DUMMYFUNCTION("""COMPUTED_VALUE"""),2575)</f>
        <v>2575</v>
      </c>
      <c r="E76" s="16">
        <f>IFERROR(__xludf.DUMMYFUNCTION("""COMPUTED_VALUE"""),45849.6458333333)</f>
        <v>45849.6458333333</v>
      </c>
      <c r="F76" s="17">
        <f>IFERROR(__xludf.DUMMYFUNCTION("""COMPUTED_VALUE"""),390645)</f>
        <v>390645</v>
      </c>
      <c r="G76" s="16">
        <f>IFERROR(__xludf.DUMMYFUNCTION("""COMPUTED_VALUE"""),45849.6458333333)</f>
        <v>45849.6458333333</v>
      </c>
      <c r="H76" s="17">
        <f>IFERROR(__xludf.DUMMYFUNCTION("""COMPUTED_VALUE"""),2591.9)</f>
        <v>2591.9</v>
      </c>
      <c r="I76" s="16">
        <f>IFERROR(__xludf.DUMMYFUNCTION("""COMPUTED_VALUE"""),45849.6458333333)</f>
        <v>45849.6458333333</v>
      </c>
      <c r="J76" s="17">
        <f>IFERROR(__xludf.DUMMYFUNCTION("""COMPUTED_VALUE"""),2551.9)</f>
        <v>2551.9</v>
      </c>
      <c r="K76" s="3">
        <f t="shared" si="2"/>
        <v>0</v>
      </c>
      <c r="L76" s="3">
        <f t="shared" si="3"/>
        <v>2558.7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IFERROR(__xludf.DUMMYFUNCTION("""COMPUTED_VALUE"""),2581.3)</f>
        <v>2581.3</v>
      </c>
      <c r="C77" s="16">
        <f>IFERROR(__xludf.DUMMYFUNCTION("""COMPUTED_VALUE"""),45852.6458333333)</f>
        <v>45852.6458333333</v>
      </c>
      <c r="D77" s="17">
        <f>IFERROR(__xludf.DUMMYFUNCTION("""COMPUTED_VALUE"""),2555)</f>
        <v>2555</v>
      </c>
      <c r="E77" s="16">
        <f>IFERROR(__xludf.DUMMYFUNCTION("""COMPUTED_VALUE"""),45852.6458333333)</f>
        <v>45852.6458333333</v>
      </c>
      <c r="F77" s="17">
        <f>IFERROR(__xludf.DUMMYFUNCTION("""COMPUTED_VALUE"""),536585)</f>
        <v>536585</v>
      </c>
      <c r="G77" s="16">
        <f>IFERROR(__xludf.DUMMYFUNCTION("""COMPUTED_VALUE"""),45852.6458333333)</f>
        <v>45852.6458333333</v>
      </c>
      <c r="H77" s="17">
        <f>IFERROR(__xludf.DUMMYFUNCTION("""COMPUTED_VALUE"""),2604.8)</f>
        <v>2604.8</v>
      </c>
      <c r="I77" s="16">
        <f>IFERROR(__xludf.DUMMYFUNCTION("""COMPUTED_VALUE"""),45852.6458333333)</f>
        <v>45852.6458333333</v>
      </c>
      <c r="J77" s="17">
        <f>IFERROR(__xludf.DUMMYFUNCTION("""COMPUTED_VALUE"""),2543.5)</f>
        <v>2543.5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IFERROR(__xludf.DUMMYFUNCTION("""COMPUTED_VALUE"""),2598.2)</f>
        <v>2598.2</v>
      </c>
      <c r="C78" s="16">
        <f>IFERROR(__xludf.DUMMYFUNCTION("""COMPUTED_VALUE"""),45853.6458333333)</f>
        <v>45853.6458333333</v>
      </c>
      <c r="D78" s="17">
        <f>IFERROR(__xludf.DUMMYFUNCTION("""COMPUTED_VALUE"""),2588)</f>
        <v>2588</v>
      </c>
      <c r="E78" s="16">
        <f>IFERROR(__xludf.DUMMYFUNCTION("""COMPUTED_VALUE"""),45853.6458333333)</f>
        <v>45853.6458333333</v>
      </c>
      <c r="F78" s="17">
        <f>IFERROR(__xludf.DUMMYFUNCTION("""COMPUTED_VALUE"""),379425)</f>
        <v>379425</v>
      </c>
      <c r="G78" s="16">
        <f>IFERROR(__xludf.DUMMYFUNCTION("""COMPUTED_VALUE"""),45853.6458333333)</f>
        <v>45853.6458333333</v>
      </c>
      <c r="H78" s="17">
        <f>IFERROR(__xludf.DUMMYFUNCTION("""COMPUTED_VALUE"""),2606.9)</f>
        <v>2606.9</v>
      </c>
      <c r="I78" s="16">
        <f>IFERROR(__xludf.DUMMYFUNCTION("""COMPUTED_VALUE"""),45853.6458333333)</f>
        <v>45853.6458333333</v>
      </c>
      <c r="J78" s="17">
        <f>IFERROR(__xludf.DUMMYFUNCTION("""COMPUTED_VALUE"""),2576)</f>
        <v>2576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IFERROR(__xludf.DUMMYFUNCTION("""COMPUTED_VALUE"""),2608.5)</f>
        <v>2608.5</v>
      </c>
      <c r="C79" s="16">
        <f>IFERROR(__xludf.DUMMYFUNCTION("""COMPUTED_VALUE"""),45854.6458333333)</f>
        <v>45854.6458333333</v>
      </c>
      <c r="D79" s="17">
        <f>IFERROR(__xludf.DUMMYFUNCTION("""COMPUTED_VALUE"""),2602.5)</f>
        <v>2602.5</v>
      </c>
      <c r="E79" s="16">
        <f>IFERROR(__xludf.DUMMYFUNCTION("""COMPUTED_VALUE"""),45854.6458333333)</f>
        <v>45854.6458333333</v>
      </c>
      <c r="F79" s="17">
        <f>IFERROR(__xludf.DUMMYFUNCTION("""COMPUTED_VALUE"""),686644)</f>
        <v>686644</v>
      </c>
      <c r="G79" s="16">
        <f>IFERROR(__xludf.DUMMYFUNCTION("""COMPUTED_VALUE"""),45854.6458333333)</f>
        <v>45854.6458333333</v>
      </c>
      <c r="H79" s="17">
        <f>IFERROR(__xludf.DUMMYFUNCTION("""COMPUTED_VALUE"""),2619.5)</f>
        <v>2619.5</v>
      </c>
      <c r="I79" s="16">
        <f>IFERROR(__xludf.DUMMYFUNCTION("""COMPUTED_VALUE"""),45854.6458333333)</f>
        <v>45854.6458333333</v>
      </c>
      <c r="J79" s="17">
        <f>IFERROR(__xludf.DUMMYFUNCTION("""COMPUTED_VALUE"""),2595.5)</f>
        <v>2595.5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IFERROR(__xludf.DUMMYFUNCTION("""COMPUTED_VALUE"""),2616.6)</f>
        <v>2616.6</v>
      </c>
      <c r="C80" s="16">
        <f>IFERROR(__xludf.DUMMYFUNCTION("""COMPUTED_VALUE"""),45855.6458333333)</f>
        <v>45855.6458333333</v>
      </c>
      <c r="D80" s="17">
        <f>IFERROR(__xludf.DUMMYFUNCTION("""COMPUTED_VALUE"""),2612)</f>
        <v>2612</v>
      </c>
      <c r="E80" s="16">
        <f>IFERROR(__xludf.DUMMYFUNCTION("""COMPUTED_VALUE"""),45855.6458333333)</f>
        <v>45855.6458333333</v>
      </c>
      <c r="F80" s="17">
        <f>IFERROR(__xludf.DUMMYFUNCTION("""COMPUTED_VALUE"""),785771)</f>
        <v>785771</v>
      </c>
      <c r="G80" s="16">
        <f>IFERROR(__xludf.DUMMYFUNCTION("""COMPUTED_VALUE"""),45855.6458333333)</f>
        <v>45855.6458333333</v>
      </c>
      <c r="H80" s="17">
        <f>IFERROR(__xludf.DUMMYFUNCTION("""COMPUTED_VALUE"""),2654.5)</f>
        <v>2654.5</v>
      </c>
      <c r="I80" s="16">
        <f>IFERROR(__xludf.DUMMYFUNCTION("""COMPUTED_VALUE"""),45855.6458333333)</f>
        <v>45855.6458333333</v>
      </c>
      <c r="J80" s="17">
        <f>IFERROR(__xludf.DUMMYFUNCTION("""COMPUTED_VALUE"""),2605.3)</f>
        <v>2605.3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IFERROR(__xludf.DUMMYFUNCTION("""COMPUTED_VALUE"""),2596.1)</f>
        <v>2596.1</v>
      </c>
      <c r="C81" s="16">
        <f>IFERROR(__xludf.DUMMYFUNCTION("""COMPUTED_VALUE"""),45856.6458333333)</f>
        <v>45856.6458333333</v>
      </c>
      <c r="D81" s="17">
        <f>IFERROR(__xludf.DUMMYFUNCTION("""COMPUTED_VALUE"""),2612)</f>
        <v>2612</v>
      </c>
      <c r="E81" s="16">
        <f>IFERROR(__xludf.DUMMYFUNCTION("""COMPUTED_VALUE"""),45856.6458333333)</f>
        <v>45856.6458333333</v>
      </c>
      <c r="F81" s="17">
        <f>IFERROR(__xludf.DUMMYFUNCTION("""COMPUTED_VALUE"""),479942)</f>
        <v>479942</v>
      </c>
      <c r="G81" s="16">
        <f>IFERROR(__xludf.DUMMYFUNCTION("""COMPUTED_VALUE"""),45856.6458333333)</f>
        <v>45856.6458333333</v>
      </c>
      <c r="H81" s="17">
        <f>IFERROR(__xludf.DUMMYFUNCTION("""COMPUTED_VALUE"""),2626.7)</f>
        <v>2626.7</v>
      </c>
      <c r="I81" s="16">
        <f>IFERROR(__xludf.DUMMYFUNCTION("""COMPUTED_VALUE"""),45856.6458333333)</f>
        <v>45856.6458333333</v>
      </c>
      <c r="J81" s="17">
        <f>IFERROR(__xludf.DUMMYFUNCTION("""COMPUTED_VALUE"""),2584.2)</f>
        <v>2584.2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IFERROR(__xludf.DUMMYFUNCTION("""COMPUTED_VALUE"""),2619.5)</f>
        <v>2619.5</v>
      </c>
      <c r="C82" s="16">
        <f>IFERROR(__xludf.DUMMYFUNCTION("""COMPUTED_VALUE"""),45859.6458333333)</f>
        <v>45859.6458333333</v>
      </c>
      <c r="D82" s="17">
        <f>IFERROR(__xludf.DUMMYFUNCTION("""COMPUTED_VALUE"""),2596.3)</f>
        <v>2596.3</v>
      </c>
      <c r="E82" s="16">
        <f>IFERROR(__xludf.DUMMYFUNCTION("""COMPUTED_VALUE"""),45859.6458333333)</f>
        <v>45859.6458333333</v>
      </c>
      <c r="F82" s="17">
        <f>IFERROR(__xludf.DUMMYFUNCTION("""COMPUTED_VALUE"""),369782)</f>
        <v>369782</v>
      </c>
      <c r="G82" s="16">
        <f>IFERROR(__xludf.DUMMYFUNCTION("""COMPUTED_VALUE"""),45859.6458333333)</f>
        <v>45859.6458333333</v>
      </c>
      <c r="H82" s="17">
        <f>IFERROR(__xludf.DUMMYFUNCTION("""COMPUTED_VALUE"""),2624.9)</f>
        <v>2624.9</v>
      </c>
      <c r="I82" s="16">
        <f>IFERROR(__xludf.DUMMYFUNCTION("""COMPUTED_VALUE"""),45859.6458333333)</f>
        <v>45859.6458333333</v>
      </c>
      <c r="J82" s="17">
        <f>IFERROR(__xludf.DUMMYFUNCTION("""COMPUTED_VALUE"""),2585)</f>
        <v>2585</v>
      </c>
      <c r="K82" s="3">
        <f t="shared" si="2"/>
        <v>2619.5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IFERROR(__xludf.DUMMYFUNCTION("""COMPUTED_VALUE"""),2587.8)</f>
        <v>2587.8</v>
      </c>
      <c r="C83" s="16">
        <f>IFERROR(__xludf.DUMMYFUNCTION("""COMPUTED_VALUE"""),45860.6458333333)</f>
        <v>45860.6458333333</v>
      </c>
      <c r="D83" s="17">
        <f>IFERROR(__xludf.DUMMYFUNCTION("""COMPUTED_VALUE"""),2626)</f>
        <v>2626</v>
      </c>
      <c r="E83" s="16">
        <f>IFERROR(__xludf.DUMMYFUNCTION("""COMPUTED_VALUE"""),45860.6458333333)</f>
        <v>45860.6458333333</v>
      </c>
      <c r="F83" s="17">
        <f>IFERROR(__xludf.DUMMYFUNCTION("""COMPUTED_VALUE"""),387055)</f>
        <v>387055</v>
      </c>
      <c r="G83" s="16">
        <f>IFERROR(__xludf.DUMMYFUNCTION("""COMPUTED_VALUE"""),45860.6458333333)</f>
        <v>45860.6458333333</v>
      </c>
      <c r="H83" s="17">
        <f>IFERROR(__xludf.DUMMYFUNCTION("""COMPUTED_VALUE"""),2630)</f>
        <v>2630</v>
      </c>
      <c r="I83" s="16">
        <f>IFERROR(__xludf.DUMMYFUNCTION("""COMPUTED_VALUE"""),45860.6458333333)</f>
        <v>45860.6458333333</v>
      </c>
      <c r="J83" s="17">
        <f>IFERROR(__xludf.DUMMYFUNCTION("""COMPUTED_VALUE"""),2581.6)</f>
        <v>2581.6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IFERROR(__xludf.DUMMYFUNCTION("""COMPUTED_VALUE"""),2614.5)</f>
        <v>2614.5</v>
      </c>
      <c r="C84" s="16">
        <f>IFERROR(__xludf.DUMMYFUNCTION("""COMPUTED_VALUE"""),45861.6458333333)</f>
        <v>45861.6458333333</v>
      </c>
      <c r="D84" s="17">
        <f>IFERROR(__xludf.DUMMYFUNCTION("""COMPUTED_VALUE"""),2600.7)</f>
        <v>2600.7</v>
      </c>
      <c r="E84" s="16">
        <f>IFERROR(__xludf.DUMMYFUNCTION("""COMPUTED_VALUE"""),45861.6458333333)</f>
        <v>45861.6458333333</v>
      </c>
      <c r="F84" s="17">
        <f>IFERROR(__xludf.DUMMYFUNCTION("""COMPUTED_VALUE"""),316424)</f>
        <v>316424</v>
      </c>
      <c r="G84" s="16">
        <f>IFERROR(__xludf.DUMMYFUNCTION("""COMPUTED_VALUE"""),45861.6458333333)</f>
        <v>45861.6458333333</v>
      </c>
      <c r="H84" s="17">
        <f>IFERROR(__xludf.DUMMYFUNCTION("""COMPUTED_VALUE"""),2625.9)</f>
        <v>2625.9</v>
      </c>
      <c r="I84" s="16">
        <f>IFERROR(__xludf.DUMMYFUNCTION("""COMPUTED_VALUE"""),45861.6458333333)</f>
        <v>45861.6458333333</v>
      </c>
      <c r="J84" s="17">
        <f>IFERROR(__xludf.DUMMYFUNCTION("""COMPUTED_VALUE"""),2593.5)</f>
        <v>2593.5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IFERROR(__xludf.DUMMYFUNCTION("""COMPUTED_VALUE"""),2608.4)</f>
        <v>2608.4</v>
      </c>
      <c r="C85" s="16">
        <f>IFERROR(__xludf.DUMMYFUNCTION("""COMPUTED_VALUE"""),45862.6458333333)</f>
        <v>45862.6458333333</v>
      </c>
      <c r="D85" s="17">
        <f>IFERROR(__xludf.DUMMYFUNCTION("""COMPUTED_VALUE"""),2615.4)</f>
        <v>2615.4</v>
      </c>
      <c r="E85" s="16">
        <f>IFERROR(__xludf.DUMMYFUNCTION("""COMPUTED_VALUE"""),45862.6458333333)</f>
        <v>45862.6458333333</v>
      </c>
      <c r="F85" s="17">
        <f>IFERROR(__xludf.DUMMYFUNCTION("""COMPUTED_VALUE"""),253782)</f>
        <v>253782</v>
      </c>
      <c r="G85" s="16">
        <f>IFERROR(__xludf.DUMMYFUNCTION("""COMPUTED_VALUE"""),45862.6458333333)</f>
        <v>45862.6458333333</v>
      </c>
      <c r="H85" s="17">
        <f>IFERROR(__xludf.DUMMYFUNCTION("""COMPUTED_VALUE"""),2624.2)</f>
        <v>2624.2</v>
      </c>
      <c r="I85" s="16">
        <f>IFERROR(__xludf.DUMMYFUNCTION("""COMPUTED_VALUE"""),45862.6458333333)</f>
        <v>45862.6458333333</v>
      </c>
      <c r="J85" s="17">
        <f>IFERROR(__xludf.DUMMYFUNCTION("""COMPUTED_VALUE"""),2595)</f>
        <v>2595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IFERROR(__xludf.DUMMYFUNCTION("""COMPUTED_VALUE"""),2550.1)</f>
        <v>2550.1</v>
      </c>
      <c r="C86" s="16">
        <f>IFERROR(__xludf.DUMMYFUNCTION("""COMPUTED_VALUE"""),45863.6458333333)</f>
        <v>45863.6458333333</v>
      </c>
      <c r="D86" s="17">
        <f>IFERROR(__xludf.DUMMYFUNCTION("""COMPUTED_VALUE"""),2605)</f>
        <v>2605</v>
      </c>
      <c r="E86" s="16">
        <f>IFERROR(__xludf.DUMMYFUNCTION("""COMPUTED_VALUE"""),45863.6458333333)</f>
        <v>45863.6458333333</v>
      </c>
      <c r="F86" s="17">
        <f>IFERROR(__xludf.DUMMYFUNCTION("""COMPUTED_VALUE"""),424612)</f>
        <v>424612</v>
      </c>
      <c r="G86" s="16">
        <f>IFERROR(__xludf.DUMMYFUNCTION("""COMPUTED_VALUE"""),45863.6458333333)</f>
        <v>45863.6458333333</v>
      </c>
      <c r="H86" s="17">
        <f>IFERROR(__xludf.DUMMYFUNCTION("""COMPUTED_VALUE"""),2617)</f>
        <v>2617</v>
      </c>
      <c r="I86" s="16">
        <f>IFERROR(__xludf.DUMMYFUNCTION("""COMPUTED_VALUE"""),45863.6458333333)</f>
        <v>45863.6458333333</v>
      </c>
      <c r="J86" s="17">
        <f>IFERROR(__xludf.DUMMYFUNCTION("""COMPUTED_VALUE"""),2544.1)</f>
        <v>2544.1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IFERROR(__xludf.DUMMYFUNCTION("""COMPUTED_VALUE"""),2522.3)</f>
        <v>2522.3</v>
      </c>
      <c r="C87" s="16">
        <f>IFERROR(__xludf.DUMMYFUNCTION("""COMPUTED_VALUE"""),45866.6458333333)</f>
        <v>45866.6458333333</v>
      </c>
      <c r="D87" s="17">
        <f>IFERROR(__xludf.DUMMYFUNCTION("""COMPUTED_VALUE"""),2549)</f>
        <v>2549</v>
      </c>
      <c r="E87" s="16">
        <f>IFERROR(__xludf.DUMMYFUNCTION("""COMPUTED_VALUE"""),45866.6458333333)</f>
        <v>45866.6458333333</v>
      </c>
      <c r="F87" s="17">
        <f>IFERROR(__xludf.DUMMYFUNCTION("""COMPUTED_VALUE"""),428409)</f>
        <v>428409</v>
      </c>
      <c r="G87" s="16">
        <f>IFERROR(__xludf.DUMMYFUNCTION("""COMPUTED_VALUE"""),45866.6458333333)</f>
        <v>45866.6458333333</v>
      </c>
      <c r="H87" s="17">
        <f>IFERROR(__xludf.DUMMYFUNCTION("""COMPUTED_VALUE"""),2585)</f>
        <v>2585</v>
      </c>
      <c r="I87" s="16">
        <f>IFERROR(__xludf.DUMMYFUNCTION("""COMPUTED_VALUE"""),45866.6458333333)</f>
        <v>45866.6458333333</v>
      </c>
      <c r="J87" s="17">
        <f>IFERROR(__xludf.DUMMYFUNCTION("""COMPUTED_VALUE"""),2512.6)</f>
        <v>2512.6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IFERROR(__xludf.DUMMYFUNCTION("""COMPUTED_VALUE"""),2547.9)</f>
        <v>2547.9</v>
      </c>
      <c r="C88" s="16">
        <f>IFERROR(__xludf.DUMMYFUNCTION("""COMPUTED_VALUE"""),45867.6458333333)</f>
        <v>45867.6458333333</v>
      </c>
      <c r="D88" s="17">
        <f>IFERROR(__xludf.DUMMYFUNCTION("""COMPUTED_VALUE"""),2529)</f>
        <v>2529</v>
      </c>
      <c r="E88" s="16">
        <f>IFERROR(__xludf.DUMMYFUNCTION("""COMPUTED_VALUE"""),45867.6458333333)</f>
        <v>45867.6458333333</v>
      </c>
      <c r="F88" s="17">
        <f>IFERROR(__xludf.DUMMYFUNCTION("""COMPUTED_VALUE"""),424781)</f>
        <v>424781</v>
      </c>
      <c r="G88" s="16">
        <f>IFERROR(__xludf.DUMMYFUNCTION("""COMPUTED_VALUE"""),45867.6458333333)</f>
        <v>45867.6458333333</v>
      </c>
      <c r="H88" s="17">
        <f>IFERROR(__xludf.DUMMYFUNCTION("""COMPUTED_VALUE"""),2557.4)</f>
        <v>2557.4</v>
      </c>
      <c r="I88" s="16">
        <f>IFERROR(__xludf.DUMMYFUNCTION("""COMPUTED_VALUE"""),45867.6458333333)</f>
        <v>45867.6458333333</v>
      </c>
      <c r="J88" s="17">
        <f>IFERROR(__xludf.DUMMYFUNCTION("""COMPUTED_VALUE"""),2507.5)</f>
        <v>2507.5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IFERROR(__xludf.DUMMYFUNCTION("""COMPUTED_VALUE"""),2532.9)</f>
        <v>2532.9</v>
      </c>
      <c r="C89" s="16">
        <f>IFERROR(__xludf.DUMMYFUNCTION("""COMPUTED_VALUE"""),45868.6458333333)</f>
        <v>45868.6458333333</v>
      </c>
      <c r="D89" s="17">
        <f>IFERROR(__xludf.DUMMYFUNCTION("""COMPUTED_VALUE"""),2547.9)</f>
        <v>2547.9</v>
      </c>
      <c r="E89" s="16">
        <f>IFERROR(__xludf.DUMMYFUNCTION("""COMPUTED_VALUE"""),45868.6458333333)</f>
        <v>45868.6458333333</v>
      </c>
      <c r="F89" s="17">
        <f>IFERROR(__xludf.DUMMYFUNCTION("""COMPUTED_VALUE"""),262063)</f>
        <v>262063</v>
      </c>
      <c r="G89" s="16">
        <f>IFERROR(__xludf.DUMMYFUNCTION("""COMPUTED_VALUE"""),45868.6458333333)</f>
        <v>45868.6458333333</v>
      </c>
      <c r="H89" s="17">
        <f>IFERROR(__xludf.DUMMYFUNCTION("""COMPUTED_VALUE"""),2552.6)</f>
        <v>2552.6</v>
      </c>
      <c r="I89" s="16">
        <f>IFERROR(__xludf.DUMMYFUNCTION("""COMPUTED_VALUE"""),45868.6458333333)</f>
        <v>45868.6458333333</v>
      </c>
      <c r="J89" s="17">
        <f>IFERROR(__xludf.DUMMYFUNCTION("""COMPUTED_VALUE"""),2525)</f>
        <v>2525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IFERROR(__xludf.DUMMYFUNCTION("""COMPUTED_VALUE"""),2430.7)</f>
        <v>2430.7</v>
      </c>
      <c r="C90" s="16">
        <f>IFERROR(__xludf.DUMMYFUNCTION("""COMPUTED_VALUE"""),45869.6458333333)</f>
        <v>45869.6458333333</v>
      </c>
      <c r="D90" s="17">
        <f>IFERROR(__xludf.DUMMYFUNCTION("""COMPUTED_VALUE"""),2509.9)</f>
        <v>2509.9</v>
      </c>
      <c r="E90" s="16">
        <f>IFERROR(__xludf.DUMMYFUNCTION("""COMPUTED_VALUE"""),45869.6458333333)</f>
        <v>45869.6458333333</v>
      </c>
      <c r="F90" s="17">
        <f>IFERROR(__xludf.DUMMYFUNCTION("""COMPUTED_VALUE"""),1457616)</f>
        <v>1457616</v>
      </c>
      <c r="G90" s="16">
        <f>IFERROR(__xludf.DUMMYFUNCTION("""COMPUTED_VALUE"""),45869.6458333333)</f>
        <v>45869.6458333333</v>
      </c>
      <c r="H90" s="17">
        <f>IFERROR(__xludf.DUMMYFUNCTION("""COMPUTED_VALUE"""),2520)</f>
        <v>2520</v>
      </c>
      <c r="I90" s="16">
        <f>IFERROR(__xludf.DUMMYFUNCTION("""COMPUTED_VALUE"""),45869.6458333333)</f>
        <v>45869.6458333333</v>
      </c>
      <c r="J90" s="17">
        <f>IFERROR(__xludf.DUMMYFUNCTION("""COMPUTED_VALUE"""),2422.6)</f>
        <v>2422.6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IFERROR(__xludf.DUMMYFUNCTION("""COMPUTED_VALUE"""),2350.9)</f>
        <v>2350.9</v>
      </c>
      <c r="C91" s="16">
        <f>IFERROR(__xludf.DUMMYFUNCTION("""COMPUTED_VALUE"""),45870.6458333333)</f>
        <v>45870.6458333333</v>
      </c>
      <c r="D91" s="17">
        <f>IFERROR(__xludf.DUMMYFUNCTION("""COMPUTED_VALUE"""),2425)</f>
        <v>2425</v>
      </c>
      <c r="E91" s="16">
        <f>IFERROR(__xludf.DUMMYFUNCTION("""COMPUTED_VALUE"""),45870.6458333333)</f>
        <v>45870.6458333333</v>
      </c>
      <c r="F91" s="17">
        <f>IFERROR(__xludf.DUMMYFUNCTION("""COMPUTED_VALUE"""),976341)</f>
        <v>976341</v>
      </c>
      <c r="G91" s="16">
        <f>IFERROR(__xludf.DUMMYFUNCTION("""COMPUTED_VALUE"""),45870.6458333333)</f>
        <v>45870.6458333333</v>
      </c>
      <c r="H91" s="17">
        <f>IFERROR(__xludf.DUMMYFUNCTION("""COMPUTED_VALUE"""),2444.9)</f>
        <v>2444.9</v>
      </c>
      <c r="I91" s="16">
        <f>IFERROR(__xludf.DUMMYFUNCTION("""COMPUTED_VALUE"""),45870.6458333333)</f>
        <v>45870.6458333333</v>
      </c>
      <c r="J91" s="17">
        <f>IFERROR(__xludf.DUMMYFUNCTION("""COMPUTED_VALUE"""),2333)</f>
        <v>2333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IFERROR(__xludf.DUMMYFUNCTION("""COMPUTED_VALUE"""),2363.6)</f>
        <v>2363.6</v>
      </c>
      <c r="C92" s="16">
        <f>IFERROR(__xludf.DUMMYFUNCTION("""COMPUTED_VALUE"""),45873.6458333333)</f>
        <v>45873.6458333333</v>
      </c>
      <c r="D92" s="17">
        <f>IFERROR(__xludf.DUMMYFUNCTION("""COMPUTED_VALUE"""),2360)</f>
        <v>2360</v>
      </c>
      <c r="E92" s="16">
        <f>IFERROR(__xludf.DUMMYFUNCTION("""COMPUTED_VALUE"""),45873.6458333333)</f>
        <v>45873.6458333333</v>
      </c>
      <c r="F92" s="17">
        <f>IFERROR(__xludf.DUMMYFUNCTION("""COMPUTED_VALUE"""),576426)</f>
        <v>576426</v>
      </c>
      <c r="G92" s="16">
        <f>IFERROR(__xludf.DUMMYFUNCTION("""COMPUTED_VALUE"""),45873.6458333333)</f>
        <v>45873.6458333333</v>
      </c>
      <c r="H92" s="17">
        <f>IFERROR(__xludf.DUMMYFUNCTION("""COMPUTED_VALUE"""),2374.7)</f>
        <v>2374.7</v>
      </c>
      <c r="I92" s="16">
        <f>IFERROR(__xludf.DUMMYFUNCTION("""COMPUTED_VALUE"""),45873.6458333333)</f>
        <v>45873.6458333333</v>
      </c>
      <c r="J92" s="17">
        <f>IFERROR(__xludf.DUMMYFUNCTION("""COMPUTED_VALUE"""),2338.2)</f>
        <v>2338.2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IFERROR(__xludf.DUMMYFUNCTION("""COMPUTED_VALUE"""),2328.2)</f>
        <v>2328.2</v>
      </c>
      <c r="C93" s="16">
        <f>IFERROR(__xludf.DUMMYFUNCTION("""COMPUTED_VALUE"""),45874.6458333333)</f>
        <v>45874.6458333333</v>
      </c>
      <c r="D93" s="17">
        <f>IFERROR(__xludf.DUMMYFUNCTION("""COMPUTED_VALUE"""),2370)</f>
        <v>2370</v>
      </c>
      <c r="E93" s="16">
        <f>IFERROR(__xludf.DUMMYFUNCTION("""COMPUTED_VALUE"""),45874.6458333333)</f>
        <v>45874.6458333333</v>
      </c>
      <c r="F93" s="17">
        <f>IFERROR(__xludf.DUMMYFUNCTION("""COMPUTED_VALUE"""),576742)</f>
        <v>576742</v>
      </c>
      <c r="G93" s="16">
        <f>IFERROR(__xludf.DUMMYFUNCTION("""COMPUTED_VALUE"""),45874.6458333333)</f>
        <v>45874.6458333333</v>
      </c>
      <c r="H93" s="17">
        <f>IFERROR(__xludf.DUMMYFUNCTION("""COMPUTED_VALUE"""),2370)</f>
        <v>2370</v>
      </c>
      <c r="I93" s="16">
        <f>IFERROR(__xludf.DUMMYFUNCTION("""COMPUTED_VALUE"""),45874.6458333333)</f>
        <v>45874.6458333333</v>
      </c>
      <c r="J93" s="17">
        <f>IFERROR(__xludf.DUMMYFUNCTION("""COMPUTED_VALUE"""),2316)</f>
        <v>2316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IFERROR(__xludf.DUMMYFUNCTION("""COMPUTED_VALUE"""),2300.3)</f>
        <v>2300.3</v>
      </c>
      <c r="C94" s="16">
        <f>IFERROR(__xludf.DUMMYFUNCTION("""COMPUTED_VALUE"""),45875.6458333333)</f>
        <v>45875.6458333333</v>
      </c>
      <c r="D94" s="17">
        <f>IFERROR(__xludf.DUMMYFUNCTION("""COMPUTED_VALUE"""),2333.9)</f>
        <v>2333.9</v>
      </c>
      <c r="E94" s="16">
        <f>IFERROR(__xludf.DUMMYFUNCTION("""COMPUTED_VALUE"""),45875.6458333333)</f>
        <v>45875.6458333333</v>
      </c>
      <c r="F94" s="17">
        <f>IFERROR(__xludf.DUMMYFUNCTION("""COMPUTED_VALUE"""),631582)</f>
        <v>631582</v>
      </c>
      <c r="G94" s="16">
        <f>IFERROR(__xludf.DUMMYFUNCTION("""COMPUTED_VALUE"""),45875.6458333333)</f>
        <v>45875.6458333333</v>
      </c>
      <c r="H94" s="17">
        <f>IFERROR(__xludf.DUMMYFUNCTION("""COMPUTED_VALUE"""),2347.9)</f>
        <v>2347.9</v>
      </c>
      <c r="I94" s="16">
        <f>IFERROR(__xludf.DUMMYFUNCTION("""COMPUTED_VALUE"""),45875.6458333333)</f>
        <v>45875.6458333333</v>
      </c>
      <c r="J94" s="17">
        <f>IFERROR(__xludf.DUMMYFUNCTION("""COMPUTED_VALUE"""),2296)</f>
        <v>2296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IFERROR(__xludf.DUMMYFUNCTION("""COMPUTED_VALUE"""),2249.8)</f>
        <v>2249.8</v>
      </c>
      <c r="C95" s="16">
        <f>IFERROR(__xludf.DUMMYFUNCTION("""COMPUTED_VALUE"""),45876.6458333333)</f>
        <v>45876.6458333333</v>
      </c>
      <c r="D95" s="17">
        <f>IFERROR(__xludf.DUMMYFUNCTION("""COMPUTED_VALUE"""),2290)</f>
        <v>2290</v>
      </c>
      <c r="E95" s="16">
        <f>IFERROR(__xludf.DUMMYFUNCTION("""COMPUTED_VALUE"""),45876.6458333333)</f>
        <v>45876.6458333333</v>
      </c>
      <c r="F95" s="17">
        <f>IFERROR(__xludf.DUMMYFUNCTION("""COMPUTED_VALUE"""),1529410)</f>
        <v>1529410</v>
      </c>
      <c r="G95" s="16">
        <f>IFERROR(__xludf.DUMMYFUNCTION("""COMPUTED_VALUE"""),45876.6458333333)</f>
        <v>45876.6458333333</v>
      </c>
      <c r="H95" s="17">
        <f>IFERROR(__xludf.DUMMYFUNCTION("""COMPUTED_VALUE"""),2295)</f>
        <v>2295</v>
      </c>
      <c r="I95" s="16">
        <f>IFERROR(__xludf.DUMMYFUNCTION("""COMPUTED_VALUE"""),45876.6458333333)</f>
        <v>45876.6458333333</v>
      </c>
      <c r="J95" s="17">
        <f>IFERROR(__xludf.DUMMYFUNCTION("""COMPUTED_VALUE"""),2202.8)</f>
        <v>2202.8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IFERROR(__xludf.DUMMYFUNCTION("""COMPUTED_VALUE"""),2178.1)</f>
        <v>2178.1</v>
      </c>
      <c r="C96" s="16">
        <f>IFERROR(__xludf.DUMMYFUNCTION("""COMPUTED_VALUE"""),45877.6458333333)</f>
        <v>45877.6458333333</v>
      </c>
      <c r="D96" s="17">
        <f>IFERROR(__xludf.DUMMYFUNCTION("""COMPUTED_VALUE"""),2247)</f>
        <v>2247</v>
      </c>
      <c r="E96" s="16">
        <f>IFERROR(__xludf.DUMMYFUNCTION("""COMPUTED_VALUE"""),45877.6458333333)</f>
        <v>45877.6458333333</v>
      </c>
      <c r="F96" s="17">
        <f>IFERROR(__xludf.DUMMYFUNCTION("""COMPUTED_VALUE"""),2552736)</f>
        <v>2552736</v>
      </c>
      <c r="G96" s="16">
        <f>IFERROR(__xludf.DUMMYFUNCTION("""COMPUTED_VALUE"""),45877.6458333333)</f>
        <v>45877.6458333333</v>
      </c>
      <c r="H96" s="17">
        <f>IFERROR(__xludf.DUMMYFUNCTION("""COMPUTED_VALUE"""),2260.9)</f>
        <v>2260.9</v>
      </c>
      <c r="I96" s="16">
        <f>IFERROR(__xludf.DUMMYFUNCTION("""COMPUTED_VALUE"""),45877.6458333333)</f>
        <v>45877.6458333333</v>
      </c>
      <c r="J96" s="17">
        <f>IFERROR(__xludf.DUMMYFUNCTION("""COMPUTED_VALUE"""),2164.8)</f>
        <v>2164.8</v>
      </c>
      <c r="K96" s="3">
        <f t="shared" si="2"/>
        <v>0</v>
      </c>
      <c r="L96" s="3">
        <f t="shared" si="3"/>
        <v>2178.1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IFERROR(__xludf.DUMMYFUNCTION("""COMPUTED_VALUE"""),2283.4)</f>
        <v>2283.4</v>
      </c>
      <c r="C97" s="16">
        <f>IFERROR(__xludf.DUMMYFUNCTION("""COMPUTED_VALUE"""),45880.6458333333)</f>
        <v>45880.6458333333</v>
      </c>
      <c r="D97" s="17">
        <f>IFERROR(__xludf.DUMMYFUNCTION("""COMPUTED_VALUE"""),2196)</f>
        <v>2196</v>
      </c>
      <c r="E97" s="16">
        <f>IFERROR(__xludf.DUMMYFUNCTION("""COMPUTED_VALUE"""),45880.6458333333)</f>
        <v>45880.6458333333</v>
      </c>
      <c r="F97" s="17">
        <f>IFERROR(__xludf.DUMMYFUNCTION("""COMPUTED_VALUE"""),2376286)</f>
        <v>2376286</v>
      </c>
      <c r="G97" s="16">
        <f>IFERROR(__xludf.DUMMYFUNCTION("""COMPUTED_VALUE"""),45880.6458333333)</f>
        <v>45880.6458333333</v>
      </c>
      <c r="H97" s="17">
        <f>IFERROR(__xludf.DUMMYFUNCTION("""COMPUTED_VALUE"""),2302)</f>
        <v>2302</v>
      </c>
      <c r="I97" s="16">
        <f>IFERROR(__xludf.DUMMYFUNCTION("""COMPUTED_VALUE"""),45880.6458333333)</f>
        <v>45880.6458333333</v>
      </c>
      <c r="J97" s="17">
        <f>IFERROR(__xludf.DUMMYFUNCTION("""COMPUTED_VALUE"""),2183)</f>
        <v>2183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IFERROR(__xludf.DUMMYFUNCTION("""COMPUTED_VALUE"""),2288.2)</f>
        <v>2288.2</v>
      </c>
      <c r="C98" s="16">
        <f>IFERROR(__xludf.DUMMYFUNCTION("""COMPUTED_VALUE"""),45881.6458333333)</f>
        <v>45881.6458333333</v>
      </c>
      <c r="D98" s="17">
        <f>IFERROR(__xludf.DUMMYFUNCTION("""COMPUTED_VALUE"""),2280.1)</f>
        <v>2280.1</v>
      </c>
      <c r="E98" s="16">
        <f>IFERROR(__xludf.DUMMYFUNCTION("""COMPUTED_VALUE"""),45881.6458333333)</f>
        <v>45881.6458333333</v>
      </c>
      <c r="F98" s="17">
        <f>IFERROR(__xludf.DUMMYFUNCTION("""COMPUTED_VALUE"""),1075526)</f>
        <v>1075526</v>
      </c>
      <c r="G98" s="16">
        <f>IFERROR(__xludf.DUMMYFUNCTION("""COMPUTED_VALUE"""),45881.6458333333)</f>
        <v>45881.6458333333</v>
      </c>
      <c r="H98" s="17">
        <f>IFERROR(__xludf.DUMMYFUNCTION("""COMPUTED_VALUE"""),2314.7)</f>
        <v>2314.7</v>
      </c>
      <c r="I98" s="16">
        <f>IFERROR(__xludf.DUMMYFUNCTION("""COMPUTED_VALUE"""),45881.6458333333)</f>
        <v>45881.6458333333</v>
      </c>
      <c r="J98" s="17">
        <f>IFERROR(__xludf.DUMMYFUNCTION("""COMPUTED_VALUE"""),2267)</f>
        <v>2267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IFERROR(__xludf.DUMMYFUNCTION("""COMPUTED_VALUE"""),2280.1)</f>
        <v>2280.1</v>
      </c>
      <c r="C99" s="16">
        <f>IFERROR(__xludf.DUMMYFUNCTION("""COMPUTED_VALUE"""),45882.6458333333)</f>
        <v>45882.6458333333</v>
      </c>
      <c r="D99" s="17">
        <f>IFERROR(__xludf.DUMMYFUNCTION("""COMPUTED_VALUE"""),2299)</f>
        <v>2299</v>
      </c>
      <c r="E99" s="16">
        <f>IFERROR(__xludf.DUMMYFUNCTION("""COMPUTED_VALUE"""),45882.6458333333)</f>
        <v>45882.6458333333</v>
      </c>
      <c r="F99" s="17">
        <f>IFERROR(__xludf.DUMMYFUNCTION("""COMPUTED_VALUE"""),833679)</f>
        <v>833679</v>
      </c>
      <c r="G99" s="16">
        <f>IFERROR(__xludf.DUMMYFUNCTION("""COMPUTED_VALUE"""),45882.6458333333)</f>
        <v>45882.6458333333</v>
      </c>
      <c r="H99" s="17">
        <f>IFERROR(__xludf.DUMMYFUNCTION("""COMPUTED_VALUE"""),2314.9)</f>
        <v>2314.9</v>
      </c>
      <c r="I99" s="16">
        <f>IFERROR(__xludf.DUMMYFUNCTION("""COMPUTED_VALUE"""),45882.6458333333)</f>
        <v>45882.6458333333</v>
      </c>
      <c r="J99" s="17">
        <f>IFERROR(__xludf.DUMMYFUNCTION("""COMPUTED_VALUE"""),2245.4)</f>
        <v>2245.4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IFERROR(__xludf.DUMMYFUNCTION("""COMPUTED_VALUE"""),2281.6)</f>
        <v>2281.6</v>
      </c>
      <c r="C100" s="16">
        <f>IFERROR(__xludf.DUMMYFUNCTION("""COMPUTED_VALUE"""),45883.6458333333)</f>
        <v>45883.6458333333</v>
      </c>
      <c r="D100" s="17">
        <f>IFERROR(__xludf.DUMMYFUNCTION("""COMPUTED_VALUE"""),2288)</f>
        <v>2288</v>
      </c>
      <c r="E100" s="16">
        <f>IFERROR(__xludf.DUMMYFUNCTION("""COMPUTED_VALUE"""),45883.6458333333)</f>
        <v>45883.6458333333</v>
      </c>
      <c r="F100" s="17">
        <f>IFERROR(__xludf.DUMMYFUNCTION("""COMPUTED_VALUE"""),998109)</f>
        <v>998109</v>
      </c>
      <c r="G100" s="16">
        <f>IFERROR(__xludf.DUMMYFUNCTION("""COMPUTED_VALUE"""),45883.6458333333)</f>
        <v>45883.6458333333</v>
      </c>
      <c r="H100" s="17">
        <f>IFERROR(__xludf.DUMMYFUNCTION("""COMPUTED_VALUE"""),2304)</f>
        <v>2304</v>
      </c>
      <c r="I100" s="16">
        <f>IFERROR(__xludf.DUMMYFUNCTION("""COMPUTED_VALUE"""),45883.6458333333)</f>
        <v>45883.6458333333</v>
      </c>
      <c r="J100" s="17">
        <f>IFERROR(__xludf.DUMMYFUNCTION("""COMPUTED_VALUE"""),2267.7)</f>
        <v>2267.7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IFERROR(__xludf.DUMMYFUNCTION("""COMPUTED_VALUE"""),2333.6)</f>
        <v>2333.6</v>
      </c>
      <c r="C101" s="16">
        <f>IFERROR(__xludf.DUMMYFUNCTION("""COMPUTED_VALUE"""),45887.6458333333)</f>
        <v>45887.6458333333</v>
      </c>
      <c r="D101" s="17">
        <f>IFERROR(__xludf.DUMMYFUNCTION("""COMPUTED_VALUE"""),2309.6)</f>
        <v>2309.6</v>
      </c>
      <c r="E101" s="16">
        <f>IFERROR(__xludf.DUMMYFUNCTION("""COMPUTED_VALUE"""),45887.6458333333)</f>
        <v>45887.6458333333</v>
      </c>
      <c r="F101" s="17">
        <f>IFERROR(__xludf.DUMMYFUNCTION("""COMPUTED_VALUE"""),988629)</f>
        <v>988629</v>
      </c>
      <c r="G101" s="16">
        <f>IFERROR(__xludf.DUMMYFUNCTION("""COMPUTED_VALUE"""),45887.6458333333)</f>
        <v>45887.6458333333</v>
      </c>
      <c r="H101" s="17">
        <f>IFERROR(__xludf.DUMMYFUNCTION("""COMPUTED_VALUE"""),2360)</f>
        <v>2360</v>
      </c>
      <c r="I101" s="16">
        <f>IFERROR(__xludf.DUMMYFUNCTION("""COMPUTED_VALUE"""),45887.6458333333)</f>
        <v>45887.6458333333</v>
      </c>
      <c r="J101" s="17">
        <f>IFERROR(__xludf.DUMMYFUNCTION("""COMPUTED_VALUE"""),2300)</f>
        <v>2300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IFERROR(__xludf.DUMMYFUNCTION("""COMPUTED_VALUE"""),2388.4)</f>
        <v>2388.4</v>
      </c>
      <c r="C102" s="16">
        <f>IFERROR(__xludf.DUMMYFUNCTION("""COMPUTED_VALUE"""),45888.6458333333)</f>
        <v>45888.6458333333</v>
      </c>
      <c r="D102" s="17">
        <f>IFERROR(__xludf.DUMMYFUNCTION("""COMPUTED_VALUE"""),2339.9)</f>
        <v>2339.9</v>
      </c>
      <c r="E102" s="16">
        <f>IFERROR(__xludf.DUMMYFUNCTION("""COMPUTED_VALUE"""),45888.6458333333)</f>
        <v>45888.6458333333</v>
      </c>
      <c r="F102" s="17">
        <f>IFERROR(__xludf.DUMMYFUNCTION("""COMPUTED_VALUE"""),1069432)</f>
        <v>1069432</v>
      </c>
      <c r="G102" s="16">
        <f>IFERROR(__xludf.DUMMYFUNCTION("""COMPUTED_VALUE"""),45888.6458333333)</f>
        <v>45888.6458333333</v>
      </c>
      <c r="H102" s="17">
        <f>IFERROR(__xludf.DUMMYFUNCTION("""COMPUTED_VALUE"""),2395.6)</f>
        <v>2395.6</v>
      </c>
      <c r="I102" s="16">
        <f>IFERROR(__xludf.DUMMYFUNCTION("""COMPUTED_VALUE"""),45888.6458333333)</f>
        <v>45888.6458333333</v>
      </c>
      <c r="J102" s="17">
        <f>IFERROR(__xludf.DUMMYFUNCTION("""COMPUTED_VALUE"""),2314.1)</f>
        <v>2314.1</v>
      </c>
      <c r="K102" s="3">
        <f t="shared" si="2"/>
        <v>2388.4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IFERROR(__xludf.DUMMYFUNCTION("""COMPUTED_VALUE"""),2387.1)</f>
        <v>2387.1</v>
      </c>
      <c r="C103" s="16">
        <f>IFERROR(__xludf.DUMMYFUNCTION("""COMPUTED_VALUE"""),45889.6458333333)</f>
        <v>45889.6458333333</v>
      </c>
      <c r="D103" s="17">
        <f>IFERROR(__xludf.DUMMYFUNCTION("""COMPUTED_VALUE"""),2380)</f>
        <v>2380</v>
      </c>
      <c r="E103" s="16">
        <f>IFERROR(__xludf.DUMMYFUNCTION("""COMPUTED_VALUE"""),45889.6458333333)</f>
        <v>45889.6458333333</v>
      </c>
      <c r="F103" s="17">
        <f>IFERROR(__xludf.DUMMYFUNCTION("""COMPUTED_VALUE"""),780025)</f>
        <v>780025</v>
      </c>
      <c r="G103" s="16">
        <f>IFERROR(__xludf.DUMMYFUNCTION("""COMPUTED_VALUE"""),45889.6458333333)</f>
        <v>45889.6458333333</v>
      </c>
      <c r="H103" s="17">
        <f>IFERROR(__xludf.DUMMYFUNCTION("""COMPUTED_VALUE"""),2406)</f>
        <v>2406</v>
      </c>
      <c r="I103" s="16">
        <f>IFERROR(__xludf.DUMMYFUNCTION("""COMPUTED_VALUE"""),45889.6458333333)</f>
        <v>45889.6458333333</v>
      </c>
      <c r="J103" s="17">
        <f>IFERROR(__xludf.DUMMYFUNCTION("""COMPUTED_VALUE"""),2372.1)</f>
        <v>2372.1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IFERROR(__xludf.DUMMYFUNCTION("""COMPUTED_VALUE"""),2377.2)</f>
        <v>2377.2</v>
      </c>
      <c r="C104" s="16">
        <f>IFERROR(__xludf.DUMMYFUNCTION("""COMPUTED_VALUE"""),45890.6458333333)</f>
        <v>45890.6458333333</v>
      </c>
      <c r="D104" s="17">
        <f>IFERROR(__xludf.DUMMYFUNCTION("""COMPUTED_VALUE"""),2387.1)</f>
        <v>2387.1</v>
      </c>
      <c r="E104" s="16">
        <f>IFERROR(__xludf.DUMMYFUNCTION("""COMPUTED_VALUE"""),45890.6458333333)</f>
        <v>45890.6458333333</v>
      </c>
      <c r="F104" s="17">
        <f>IFERROR(__xludf.DUMMYFUNCTION("""COMPUTED_VALUE"""),441867)</f>
        <v>441867</v>
      </c>
      <c r="G104" s="16">
        <f>IFERROR(__xludf.DUMMYFUNCTION("""COMPUTED_VALUE"""),45890.6458333333)</f>
        <v>45890.6458333333</v>
      </c>
      <c r="H104" s="17">
        <f>IFERROR(__xludf.DUMMYFUNCTION("""COMPUTED_VALUE"""),2397)</f>
        <v>2397</v>
      </c>
      <c r="I104" s="16">
        <f>IFERROR(__xludf.DUMMYFUNCTION("""COMPUTED_VALUE"""),45890.6458333333)</f>
        <v>45890.6458333333</v>
      </c>
      <c r="J104" s="17">
        <f>IFERROR(__xludf.DUMMYFUNCTION("""COMPUTED_VALUE"""),2371.4)</f>
        <v>2371.4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IFERROR(__xludf.DUMMYFUNCTION("""COMPUTED_VALUE"""),2324.9)</f>
        <v>2324.9</v>
      </c>
      <c r="C105" s="16">
        <f>IFERROR(__xludf.DUMMYFUNCTION("""COMPUTED_VALUE"""),45891.6458333333)</f>
        <v>45891.6458333333</v>
      </c>
      <c r="D105" s="17">
        <f>IFERROR(__xludf.DUMMYFUNCTION("""COMPUTED_VALUE"""),2369.9)</f>
        <v>2369.9</v>
      </c>
      <c r="E105" s="16">
        <f>IFERROR(__xludf.DUMMYFUNCTION("""COMPUTED_VALUE"""),45891.6458333333)</f>
        <v>45891.6458333333</v>
      </c>
      <c r="F105" s="17">
        <f>IFERROR(__xludf.DUMMYFUNCTION("""COMPUTED_VALUE"""),584211)</f>
        <v>584211</v>
      </c>
      <c r="G105" s="16">
        <f>IFERROR(__xludf.DUMMYFUNCTION("""COMPUTED_VALUE"""),45891.6458333333)</f>
        <v>45891.6458333333</v>
      </c>
      <c r="H105" s="17">
        <f>IFERROR(__xludf.DUMMYFUNCTION("""COMPUTED_VALUE"""),2376.3)</f>
        <v>2376.3</v>
      </c>
      <c r="I105" s="16">
        <f>IFERROR(__xludf.DUMMYFUNCTION("""COMPUTED_VALUE"""),45891.6458333333)</f>
        <v>45891.6458333333</v>
      </c>
      <c r="J105" s="17">
        <f>IFERROR(__xludf.DUMMYFUNCTION("""COMPUTED_VALUE"""),2321)</f>
        <v>2321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IFERROR(__xludf.DUMMYFUNCTION("""COMPUTED_VALUE"""),2302.9)</f>
        <v>2302.9</v>
      </c>
      <c r="C106" s="16">
        <f>IFERROR(__xludf.DUMMYFUNCTION("""COMPUTED_VALUE"""),45894.6458333333)</f>
        <v>45894.6458333333</v>
      </c>
      <c r="D106" s="17">
        <f>IFERROR(__xludf.DUMMYFUNCTION("""COMPUTED_VALUE"""),2335.7)</f>
        <v>2335.7</v>
      </c>
      <c r="E106" s="16">
        <f>IFERROR(__xludf.DUMMYFUNCTION("""COMPUTED_VALUE"""),45894.6458333333)</f>
        <v>45894.6458333333</v>
      </c>
      <c r="F106" s="17">
        <f>IFERROR(__xludf.DUMMYFUNCTION("""COMPUTED_VALUE"""),542455)</f>
        <v>542455</v>
      </c>
      <c r="G106" s="16">
        <f>IFERROR(__xludf.DUMMYFUNCTION("""COMPUTED_VALUE"""),45894.6458333333)</f>
        <v>45894.6458333333</v>
      </c>
      <c r="H106" s="17">
        <f>IFERROR(__xludf.DUMMYFUNCTION("""COMPUTED_VALUE"""),2348.4)</f>
        <v>2348.4</v>
      </c>
      <c r="I106" s="16">
        <f>IFERROR(__xludf.DUMMYFUNCTION("""COMPUTED_VALUE"""),45894.6458333333)</f>
        <v>45894.6458333333</v>
      </c>
      <c r="J106" s="17">
        <f>IFERROR(__xludf.DUMMYFUNCTION("""COMPUTED_VALUE"""),2300)</f>
        <v>2300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IFERROR(__xludf.DUMMYFUNCTION("""COMPUTED_VALUE"""),2272)</f>
        <v>2272</v>
      </c>
      <c r="C107" s="16">
        <f>IFERROR(__xludf.DUMMYFUNCTION("""COMPUTED_VALUE"""),45895.6458333333)</f>
        <v>45895.6458333333</v>
      </c>
      <c r="D107" s="17">
        <f>IFERROR(__xludf.DUMMYFUNCTION("""COMPUTED_VALUE"""),2304)</f>
        <v>2304</v>
      </c>
      <c r="E107" s="16">
        <f>IFERROR(__xludf.DUMMYFUNCTION("""COMPUTED_VALUE"""),45895.6458333333)</f>
        <v>45895.6458333333</v>
      </c>
      <c r="F107" s="17">
        <f>IFERROR(__xludf.DUMMYFUNCTION("""COMPUTED_VALUE"""),1071550)</f>
        <v>1071550</v>
      </c>
      <c r="G107" s="16">
        <f>IFERROR(__xludf.DUMMYFUNCTION("""COMPUTED_VALUE"""),45895.6458333333)</f>
        <v>45895.6458333333</v>
      </c>
      <c r="H107" s="17">
        <f>IFERROR(__xludf.DUMMYFUNCTION("""COMPUTED_VALUE"""),2309.3)</f>
        <v>2309.3</v>
      </c>
      <c r="I107" s="16">
        <f>IFERROR(__xludf.DUMMYFUNCTION("""COMPUTED_VALUE"""),45895.6458333333)</f>
        <v>45895.6458333333</v>
      </c>
      <c r="J107" s="17">
        <f>IFERROR(__xludf.DUMMYFUNCTION("""COMPUTED_VALUE"""),2249.4)</f>
        <v>2249.4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IFERROR(__xludf.DUMMYFUNCTION("""COMPUTED_VALUE"""),2275.2)</f>
        <v>2275.2</v>
      </c>
      <c r="C108" s="16">
        <f>IFERROR(__xludf.DUMMYFUNCTION("""COMPUTED_VALUE"""),45897.6458333333)</f>
        <v>45897.6458333333</v>
      </c>
      <c r="D108" s="17">
        <f>IFERROR(__xludf.DUMMYFUNCTION("""COMPUTED_VALUE"""),2271.9)</f>
        <v>2271.9</v>
      </c>
      <c r="E108" s="16">
        <f>IFERROR(__xludf.DUMMYFUNCTION("""COMPUTED_VALUE"""),45897.6458333333)</f>
        <v>45897.6458333333</v>
      </c>
      <c r="F108" s="17">
        <f>IFERROR(__xludf.DUMMYFUNCTION("""COMPUTED_VALUE"""),907868)</f>
        <v>907868</v>
      </c>
      <c r="G108" s="16">
        <f>IFERROR(__xludf.DUMMYFUNCTION("""COMPUTED_VALUE"""),45897.6458333333)</f>
        <v>45897.6458333333</v>
      </c>
      <c r="H108" s="17">
        <f>IFERROR(__xludf.DUMMYFUNCTION("""COMPUTED_VALUE"""),2327.9)</f>
        <v>2327.9</v>
      </c>
      <c r="I108" s="16">
        <f>IFERROR(__xludf.DUMMYFUNCTION("""COMPUTED_VALUE"""),45897.6458333333)</f>
        <v>45897.6458333333</v>
      </c>
      <c r="J108" s="17">
        <f>IFERROR(__xludf.DUMMYFUNCTION("""COMPUTED_VALUE"""),2255)</f>
        <v>2255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IFERROR(__xludf.DUMMYFUNCTION("""COMPUTED_VALUE"""),2244.7)</f>
        <v>2244.7</v>
      </c>
      <c r="C109" s="16">
        <f>IFERROR(__xludf.DUMMYFUNCTION("""COMPUTED_VALUE"""),45898.6458333333)</f>
        <v>45898.6458333333</v>
      </c>
      <c r="D109" s="17">
        <f>IFERROR(__xludf.DUMMYFUNCTION("""COMPUTED_VALUE"""),2283)</f>
        <v>2283</v>
      </c>
      <c r="E109" s="16">
        <f>IFERROR(__xludf.DUMMYFUNCTION("""COMPUTED_VALUE"""),45898.6458333333)</f>
        <v>45898.6458333333</v>
      </c>
      <c r="F109" s="17">
        <f>IFERROR(__xludf.DUMMYFUNCTION("""COMPUTED_VALUE"""),795699)</f>
        <v>795699</v>
      </c>
      <c r="G109" s="16">
        <f>IFERROR(__xludf.DUMMYFUNCTION("""COMPUTED_VALUE"""),45898.6458333333)</f>
        <v>45898.6458333333</v>
      </c>
      <c r="H109" s="17">
        <f>IFERROR(__xludf.DUMMYFUNCTION("""COMPUTED_VALUE"""),2289.7)</f>
        <v>2289.7</v>
      </c>
      <c r="I109" s="16">
        <f>IFERROR(__xludf.DUMMYFUNCTION("""COMPUTED_VALUE"""),45898.6458333333)</f>
        <v>45898.6458333333</v>
      </c>
      <c r="J109" s="17">
        <f>IFERROR(__xludf.DUMMYFUNCTION("""COMPUTED_VALUE"""),2240)</f>
        <v>2240</v>
      </c>
      <c r="K109" s="3">
        <f t="shared" si="2"/>
        <v>0</v>
      </c>
      <c r="L109" s="3">
        <f t="shared" si="3"/>
        <v>2244.7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IFERROR(__xludf.DUMMYFUNCTION("""COMPUTED_VALUE"""),2284.2)</f>
        <v>2284.2</v>
      </c>
      <c r="C110" s="16">
        <f>IFERROR(__xludf.DUMMYFUNCTION("""COMPUTED_VALUE"""),45901.6458333333)</f>
        <v>45901.6458333333</v>
      </c>
      <c r="D110" s="17">
        <f>IFERROR(__xludf.DUMMYFUNCTION("""COMPUTED_VALUE"""),2259)</f>
        <v>2259</v>
      </c>
      <c r="E110" s="16">
        <f>IFERROR(__xludf.DUMMYFUNCTION("""COMPUTED_VALUE"""),45901.6458333333)</f>
        <v>45901.6458333333</v>
      </c>
      <c r="F110" s="17">
        <f>IFERROR(__xludf.DUMMYFUNCTION("""COMPUTED_VALUE"""),425639)</f>
        <v>425639</v>
      </c>
      <c r="G110" s="16">
        <f>IFERROR(__xludf.DUMMYFUNCTION("""COMPUTED_VALUE"""),45901.6458333333)</f>
        <v>45901.6458333333</v>
      </c>
      <c r="H110" s="17">
        <f>IFERROR(__xludf.DUMMYFUNCTION("""COMPUTED_VALUE"""),2288)</f>
        <v>2288</v>
      </c>
      <c r="I110" s="16">
        <f>IFERROR(__xludf.DUMMYFUNCTION("""COMPUTED_VALUE"""),45901.6458333333)</f>
        <v>45901.6458333333</v>
      </c>
      <c r="J110" s="17">
        <f>IFERROR(__xludf.DUMMYFUNCTION("""COMPUTED_VALUE"""),2252.1)</f>
        <v>2252.1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IFERROR(__xludf.DUMMYFUNCTION("""COMPUTED_VALUE"""),2274.2)</f>
        <v>2274.2</v>
      </c>
      <c r="C111" s="16">
        <f>IFERROR(__xludf.DUMMYFUNCTION("""COMPUTED_VALUE"""),45902.6458333333)</f>
        <v>45902.6458333333</v>
      </c>
      <c r="D111" s="17">
        <f>IFERROR(__xludf.DUMMYFUNCTION("""COMPUTED_VALUE"""),2291)</f>
        <v>2291</v>
      </c>
      <c r="E111" s="16">
        <f>IFERROR(__xludf.DUMMYFUNCTION("""COMPUTED_VALUE"""),45902.6458333333)</f>
        <v>45902.6458333333</v>
      </c>
      <c r="F111" s="17">
        <f>IFERROR(__xludf.DUMMYFUNCTION("""COMPUTED_VALUE"""),481894)</f>
        <v>481894</v>
      </c>
      <c r="G111" s="16">
        <f>IFERROR(__xludf.DUMMYFUNCTION("""COMPUTED_VALUE"""),45902.6458333333)</f>
        <v>45902.6458333333</v>
      </c>
      <c r="H111" s="17">
        <f>IFERROR(__xludf.DUMMYFUNCTION("""COMPUTED_VALUE"""),2302)</f>
        <v>2302</v>
      </c>
      <c r="I111" s="16">
        <f>IFERROR(__xludf.DUMMYFUNCTION("""COMPUTED_VALUE"""),45902.6458333333)</f>
        <v>45902.6458333333</v>
      </c>
      <c r="J111" s="17">
        <f>IFERROR(__xludf.DUMMYFUNCTION("""COMPUTED_VALUE"""),2264)</f>
        <v>2264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IFERROR(__xludf.DUMMYFUNCTION("""COMPUTED_VALUE"""),2288.7)</f>
        <v>2288.7</v>
      </c>
      <c r="C112" s="16">
        <f>IFERROR(__xludf.DUMMYFUNCTION("""COMPUTED_VALUE"""),45903.6458333333)</f>
        <v>45903.6458333333</v>
      </c>
      <c r="D112" s="17">
        <f>IFERROR(__xludf.DUMMYFUNCTION("""COMPUTED_VALUE"""),2285)</f>
        <v>2285</v>
      </c>
      <c r="E112" s="16">
        <f>IFERROR(__xludf.DUMMYFUNCTION("""COMPUTED_VALUE"""),45903.6458333333)</f>
        <v>45903.6458333333</v>
      </c>
      <c r="F112" s="17">
        <f>IFERROR(__xludf.DUMMYFUNCTION("""COMPUTED_VALUE"""),443629)</f>
        <v>443629</v>
      </c>
      <c r="G112" s="16">
        <f>IFERROR(__xludf.DUMMYFUNCTION("""COMPUTED_VALUE"""),45903.6458333333)</f>
        <v>45903.6458333333</v>
      </c>
      <c r="H112" s="17">
        <f>IFERROR(__xludf.DUMMYFUNCTION("""COMPUTED_VALUE"""),2293)</f>
        <v>2293</v>
      </c>
      <c r="I112" s="16">
        <f>IFERROR(__xludf.DUMMYFUNCTION("""COMPUTED_VALUE"""),45903.6458333333)</f>
        <v>45903.6458333333</v>
      </c>
      <c r="J112" s="17">
        <f>IFERROR(__xludf.DUMMYFUNCTION("""COMPUTED_VALUE"""),2263.1)</f>
        <v>2263.1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IFERROR(__xludf.DUMMYFUNCTION("""COMPUTED_VALUE"""),2278.8)</f>
        <v>2278.8</v>
      </c>
      <c r="C113" s="16">
        <f>IFERROR(__xludf.DUMMYFUNCTION("""COMPUTED_VALUE"""),45904.6458333333)</f>
        <v>45904.6458333333</v>
      </c>
      <c r="D113" s="17">
        <f>IFERROR(__xludf.DUMMYFUNCTION("""COMPUTED_VALUE"""),2309.9)</f>
        <v>2309.9</v>
      </c>
      <c r="E113" s="16">
        <f>IFERROR(__xludf.DUMMYFUNCTION("""COMPUTED_VALUE"""),45904.6458333333)</f>
        <v>45904.6458333333</v>
      </c>
      <c r="F113" s="17">
        <f>IFERROR(__xludf.DUMMYFUNCTION("""COMPUTED_VALUE"""),392697)</f>
        <v>392697</v>
      </c>
      <c r="G113" s="16">
        <f>IFERROR(__xludf.DUMMYFUNCTION("""COMPUTED_VALUE"""),45904.6458333333)</f>
        <v>45904.6458333333</v>
      </c>
      <c r="H113" s="17">
        <f>IFERROR(__xludf.DUMMYFUNCTION("""COMPUTED_VALUE"""),2317.3)</f>
        <v>2317.3</v>
      </c>
      <c r="I113" s="16">
        <f>IFERROR(__xludf.DUMMYFUNCTION("""COMPUTED_VALUE"""),45904.6458333333)</f>
        <v>45904.6458333333</v>
      </c>
      <c r="J113" s="17">
        <f>IFERROR(__xludf.DUMMYFUNCTION("""COMPUTED_VALUE"""),2275)</f>
        <v>2275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IFERROR(__xludf.DUMMYFUNCTION("""COMPUTED_VALUE"""),2281.4)</f>
        <v>2281.4</v>
      </c>
      <c r="C114" s="16">
        <f>IFERROR(__xludf.DUMMYFUNCTION("""COMPUTED_VALUE"""),45905.6458333333)</f>
        <v>45905.6458333333</v>
      </c>
      <c r="D114" s="17">
        <f>IFERROR(__xludf.DUMMYFUNCTION("""COMPUTED_VALUE"""),2275)</f>
        <v>2275</v>
      </c>
      <c r="E114" s="16">
        <f>IFERROR(__xludf.DUMMYFUNCTION("""COMPUTED_VALUE"""),45905.6458333333)</f>
        <v>45905.6458333333</v>
      </c>
      <c r="F114" s="17">
        <f>IFERROR(__xludf.DUMMYFUNCTION("""COMPUTED_VALUE"""),443010)</f>
        <v>443010</v>
      </c>
      <c r="G114" s="16">
        <f>IFERROR(__xludf.DUMMYFUNCTION("""COMPUTED_VALUE"""),45905.6458333333)</f>
        <v>45905.6458333333</v>
      </c>
      <c r="H114" s="17">
        <f>IFERROR(__xludf.DUMMYFUNCTION("""COMPUTED_VALUE"""),2293.5)</f>
        <v>2293.5</v>
      </c>
      <c r="I114" s="16">
        <f>IFERROR(__xludf.DUMMYFUNCTION("""COMPUTED_VALUE"""),45905.6458333333)</f>
        <v>45905.6458333333</v>
      </c>
      <c r="J114" s="17">
        <f>IFERROR(__xludf.DUMMYFUNCTION("""COMPUTED_VALUE"""),2248)</f>
        <v>2248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IFERROR(__xludf.DUMMYFUNCTION("""COMPUTED_VALUE"""),2310.9)</f>
        <v>2310.9</v>
      </c>
      <c r="C115" s="16">
        <f>IFERROR(__xludf.DUMMYFUNCTION("""COMPUTED_VALUE"""),45908.6458333333)</f>
        <v>45908.6458333333</v>
      </c>
      <c r="D115" s="17">
        <f>IFERROR(__xludf.DUMMYFUNCTION("""COMPUTED_VALUE"""),2290)</f>
        <v>2290</v>
      </c>
      <c r="E115" s="16">
        <f>IFERROR(__xludf.DUMMYFUNCTION("""COMPUTED_VALUE"""),45908.6458333333)</f>
        <v>45908.6458333333</v>
      </c>
      <c r="F115" s="17">
        <f>IFERROR(__xludf.DUMMYFUNCTION("""COMPUTED_VALUE"""),542811)</f>
        <v>542811</v>
      </c>
      <c r="G115" s="16">
        <f>IFERROR(__xludf.DUMMYFUNCTION("""COMPUTED_VALUE"""),45908.6458333333)</f>
        <v>45908.6458333333</v>
      </c>
      <c r="H115" s="17">
        <f>IFERROR(__xludf.DUMMYFUNCTION("""COMPUTED_VALUE"""),2333.9)</f>
        <v>2333.9</v>
      </c>
      <c r="I115" s="16">
        <f>IFERROR(__xludf.DUMMYFUNCTION("""COMPUTED_VALUE"""),45908.6458333333)</f>
        <v>45908.6458333333</v>
      </c>
      <c r="J115" s="17">
        <f>IFERROR(__xludf.DUMMYFUNCTION("""COMPUTED_VALUE"""),2286)</f>
        <v>2286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IFERROR(__xludf.DUMMYFUNCTION("""COMPUTED_VALUE"""),2311.6)</f>
        <v>2311.6</v>
      </c>
      <c r="C116" s="16">
        <f>IFERROR(__xludf.DUMMYFUNCTION("""COMPUTED_VALUE"""),45909.6458333333)</f>
        <v>45909.6458333333</v>
      </c>
      <c r="D116" s="17">
        <f>IFERROR(__xludf.DUMMYFUNCTION("""COMPUTED_VALUE"""),2320)</f>
        <v>2320</v>
      </c>
      <c r="E116" s="16">
        <f>IFERROR(__xludf.DUMMYFUNCTION("""COMPUTED_VALUE"""),45909.6458333333)</f>
        <v>45909.6458333333</v>
      </c>
      <c r="F116" s="17">
        <f>IFERROR(__xludf.DUMMYFUNCTION("""COMPUTED_VALUE"""),369431)</f>
        <v>369431</v>
      </c>
      <c r="G116" s="16">
        <f>IFERROR(__xludf.DUMMYFUNCTION("""COMPUTED_VALUE"""),45909.6458333333)</f>
        <v>45909.6458333333</v>
      </c>
      <c r="H116" s="17">
        <f>IFERROR(__xludf.DUMMYFUNCTION("""COMPUTED_VALUE"""),2325)</f>
        <v>2325</v>
      </c>
      <c r="I116" s="16">
        <f>IFERROR(__xludf.DUMMYFUNCTION("""COMPUTED_VALUE"""),45909.6458333333)</f>
        <v>45909.6458333333</v>
      </c>
      <c r="J116" s="17">
        <f>IFERROR(__xludf.DUMMYFUNCTION("""COMPUTED_VALUE"""),2297)</f>
        <v>2297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IFERROR(__xludf.DUMMYFUNCTION("""COMPUTED_VALUE"""),2340.2)</f>
        <v>2340.2</v>
      </c>
      <c r="C117" s="16">
        <f>IFERROR(__xludf.DUMMYFUNCTION("""COMPUTED_VALUE"""),45910.6458333333)</f>
        <v>45910.6458333333</v>
      </c>
      <c r="D117" s="17">
        <f>IFERROR(__xludf.DUMMYFUNCTION("""COMPUTED_VALUE"""),2330)</f>
        <v>2330</v>
      </c>
      <c r="E117" s="16">
        <f>IFERROR(__xludf.DUMMYFUNCTION("""COMPUTED_VALUE"""),45910.6458333333)</f>
        <v>45910.6458333333</v>
      </c>
      <c r="F117" s="17">
        <f>IFERROR(__xludf.DUMMYFUNCTION("""COMPUTED_VALUE"""),390490)</f>
        <v>390490</v>
      </c>
      <c r="G117" s="16">
        <f>IFERROR(__xludf.DUMMYFUNCTION("""COMPUTED_VALUE"""),45910.6458333333)</f>
        <v>45910.6458333333</v>
      </c>
      <c r="H117" s="17">
        <f>IFERROR(__xludf.DUMMYFUNCTION("""COMPUTED_VALUE"""),2345.9)</f>
        <v>2345.9</v>
      </c>
      <c r="I117" s="16">
        <f>IFERROR(__xludf.DUMMYFUNCTION("""COMPUTED_VALUE"""),45910.6458333333)</f>
        <v>45910.6458333333</v>
      </c>
      <c r="J117" s="17">
        <f>IFERROR(__xludf.DUMMYFUNCTION("""COMPUTED_VALUE"""),2325.1)</f>
        <v>2325.1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IFERROR(__xludf.DUMMYFUNCTION("""COMPUTED_VALUE"""),2398.8)</f>
        <v>2398.8</v>
      </c>
      <c r="C118" s="16">
        <f>IFERROR(__xludf.DUMMYFUNCTION("""COMPUTED_VALUE"""),45911.6458333333)</f>
        <v>45911.6458333333</v>
      </c>
      <c r="D118" s="17">
        <f>IFERROR(__xludf.DUMMYFUNCTION("""COMPUTED_VALUE"""),2348)</f>
        <v>2348</v>
      </c>
      <c r="E118" s="16">
        <f>IFERROR(__xludf.DUMMYFUNCTION("""COMPUTED_VALUE"""),45911.6458333333)</f>
        <v>45911.6458333333</v>
      </c>
      <c r="F118" s="17">
        <f>IFERROR(__xludf.DUMMYFUNCTION("""COMPUTED_VALUE"""),2111888)</f>
        <v>2111888</v>
      </c>
      <c r="G118" s="16">
        <f>IFERROR(__xludf.DUMMYFUNCTION("""COMPUTED_VALUE"""),45911.6458333333)</f>
        <v>45911.6458333333</v>
      </c>
      <c r="H118" s="17">
        <f>IFERROR(__xludf.DUMMYFUNCTION("""COMPUTED_VALUE"""),2418.7)</f>
        <v>2418.7</v>
      </c>
      <c r="I118" s="16">
        <f>IFERROR(__xludf.DUMMYFUNCTION("""COMPUTED_VALUE"""),45911.6458333333)</f>
        <v>45911.6458333333</v>
      </c>
      <c r="J118" s="17">
        <f>IFERROR(__xludf.DUMMYFUNCTION("""COMPUTED_VALUE"""),2340.2)</f>
        <v>2340.2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IFERROR(__xludf.DUMMYFUNCTION("""COMPUTED_VALUE"""),2392)</f>
        <v>2392</v>
      </c>
      <c r="C119" s="16">
        <f>IFERROR(__xludf.DUMMYFUNCTION("""COMPUTED_VALUE"""),45912.6458333333)</f>
        <v>45912.6458333333</v>
      </c>
      <c r="D119" s="17">
        <f>IFERROR(__xludf.DUMMYFUNCTION("""COMPUTED_VALUE"""),2416.9)</f>
        <v>2416.9</v>
      </c>
      <c r="E119" s="16">
        <f>IFERROR(__xludf.DUMMYFUNCTION("""COMPUTED_VALUE"""),45912.6458333333)</f>
        <v>45912.6458333333</v>
      </c>
      <c r="F119" s="17">
        <f>IFERROR(__xludf.DUMMYFUNCTION("""COMPUTED_VALUE"""),533971)</f>
        <v>533971</v>
      </c>
      <c r="G119" s="16">
        <f>IFERROR(__xludf.DUMMYFUNCTION("""COMPUTED_VALUE"""),45912.6458333333)</f>
        <v>45912.6458333333</v>
      </c>
      <c r="H119" s="17">
        <f>IFERROR(__xludf.DUMMYFUNCTION("""COMPUTED_VALUE"""),2421.6)</f>
        <v>2421.6</v>
      </c>
      <c r="I119" s="16">
        <f>IFERROR(__xludf.DUMMYFUNCTION("""COMPUTED_VALUE"""),45912.6458333333)</f>
        <v>45912.6458333333</v>
      </c>
      <c r="J119" s="17">
        <f>IFERROR(__xludf.DUMMYFUNCTION("""COMPUTED_VALUE"""),2387.1)</f>
        <v>2387.1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IFERROR(__xludf.DUMMYFUNCTION("""COMPUTED_VALUE"""),2383.4)</f>
        <v>2383.4</v>
      </c>
      <c r="C120" s="16">
        <f>IFERROR(__xludf.DUMMYFUNCTION("""COMPUTED_VALUE"""),45915.6458333333)</f>
        <v>45915.6458333333</v>
      </c>
      <c r="D120" s="17">
        <f>IFERROR(__xludf.DUMMYFUNCTION("""COMPUTED_VALUE"""),2392)</f>
        <v>2392</v>
      </c>
      <c r="E120" s="16">
        <f>IFERROR(__xludf.DUMMYFUNCTION("""COMPUTED_VALUE"""),45915.6458333333)</f>
        <v>45915.6458333333</v>
      </c>
      <c r="F120" s="17">
        <f>IFERROR(__xludf.DUMMYFUNCTION("""COMPUTED_VALUE"""),298129)</f>
        <v>298129</v>
      </c>
      <c r="G120" s="16">
        <f>IFERROR(__xludf.DUMMYFUNCTION("""COMPUTED_VALUE"""),45915.6458333333)</f>
        <v>45915.6458333333</v>
      </c>
      <c r="H120" s="17">
        <f>IFERROR(__xludf.DUMMYFUNCTION("""COMPUTED_VALUE"""),2402.8)</f>
        <v>2402.8</v>
      </c>
      <c r="I120" s="16">
        <f>IFERROR(__xludf.DUMMYFUNCTION("""COMPUTED_VALUE"""),45915.6458333333)</f>
        <v>45915.6458333333</v>
      </c>
      <c r="J120" s="17">
        <f>IFERROR(__xludf.DUMMYFUNCTION("""COMPUTED_VALUE"""),2378.1)</f>
        <v>2378.1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IFERROR(__xludf.DUMMYFUNCTION("""COMPUTED_VALUE"""),2399.4)</f>
        <v>2399.4</v>
      </c>
      <c r="C121" s="16">
        <f>IFERROR(__xludf.DUMMYFUNCTION("""COMPUTED_VALUE"""),45916.6458333333)</f>
        <v>45916.6458333333</v>
      </c>
      <c r="D121" s="17">
        <f>IFERROR(__xludf.DUMMYFUNCTION("""COMPUTED_VALUE"""),2410)</f>
        <v>2410</v>
      </c>
      <c r="E121" s="16">
        <f>IFERROR(__xludf.DUMMYFUNCTION("""COMPUTED_VALUE"""),45916.6458333333)</f>
        <v>45916.6458333333</v>
      </c>
      <c r="F121" s="17">
        <f>IFERROR(__xludf.DUMMYFUNCTION("""COMPUTED_VALUE"""),752979)</f>
        <v>752979</v>
      </c>
      <c r="G121" s="16">
        <f>IFERROR(__xludf.DUMMYFUNCTION("""COMPUTED_VALUE"""),45916.6458333333)</f>
        <v>45916.6458333333</v>
      </c>
      <c r="H121" s="17">
        <f>IFERROR(__xludf.DUMMYFUNCTION("""COMPUTED_VALUE"""),2415.8)</f>
        <v>2415.8</v>
      </c>
      <c r="I121" s="16">
        <f>IFERROR(__xludf.DUMMYFUNCTION("""COMPUTED_VALUE"""),45916.6458333333)</f>
        <v>45916.6458333333</v>
      </c>
      <c r="J121" s="17">
        <f>IFERROR(__xludf.DUMMYFUNCTION("""COMPUTED_VALUE"""),2388)</f>
        <v>2388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IFERROR(__xludf.DUMMYFUNCTION("""COMPUTED_VALUE"""),2402)</f>
        <v>2402</v>
      </c>
      <c r="C122" s="16">
        <f>IFERROR(__xludf.DUMMYFUNCTION("""COMPUTED_VALUE"""),45917.6458333333)</f>
        <v>45917.6458333333</v>
      </c>
      <c r="D122" s="17">
        <f>IFERROR(__xludf.DUMMYFUNCTION("""COMPUTED_VALUE"""),2417)</f>
        <v>2417</v>
      </c>
      <c r="E122" s="16">
        <f>IFERROR(__xludf.DUMMYFUNCTION("""COMPUTED_VALUE"""),45917.6458333333)</f>
        <v>45917.6458333333</v>
      </c>
      <c r="F122" s="17">
        <f>IFERROR(__xludf.DUMMYFUNCTION("""COMPUTED_VALUE"""),514354)</f>
        <v>514354</v>
      </c>
      <c r="G122" s="16">
        <f>IFERROR(__xludf.DUMMYFUNCTION("""COMPUTED_VALUE"""),45917.6458333333)</f>
        <v>45917.6458333333</v>
      </c>
      <c r="H122" s="17">
        <f>IFERROR(__xludf.DUMMYFUNCTION("""COMPUTED_VALUE"""),2417)</f>
        <v>2417</v>
      </c>
      <c r="I122" s="16">
        <f>IFERROR(__xludf.DUMMYFUNCTION("""COMPUTED_VALUE"""),45917.6458333333)</f>
        <v>45917.6458333333</v>
      </c>
      <c r="J122" s="17">
        <f>IFERROR(__xludf.DUMMYFUNCTION("""COMPUTED_VALUE"""),2391)</f>
        <v>2391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IFERROR(__xludf.DUMMYFUNCTION("""COMPUTED_VALUE"""),2402)</f>
        <v>2402</v>
      </c>
      <c r="C123" s="16">
        <f>IFERROR(__xludf.DUMMYFUNCTION("""COMPUTED_VALUE"""),45918.6458333333)</f>
        <v>45918.6458333333</v>
      </c>
      <c r="D123" s="17">
        <f>IFERROR(__xludf.DUMMYFUNCTION("""COMPUTED_VALUE"""),2414.5)</f>
        <v>2414.5</v>
      </c>
      <c r="E123" s="16">
        <f>IFERROR(__xludf.DUMMYFUNCTION("""COMPUTED_VALUE"""),45918.6458333333)</f>
        <v>45918.6458333333</v>
      </c>
      <c r="F123" s="17">
        <f>IFERROR(__xludf.DUMMYFUNCTION("""COMPUTED_VALUE"""),703730)</f>
        <v>703730</v>
      </c>
      <c r="G123" s="16">
        <f>IFERROR(__xludf.DUMMYFUNCTION("""COMPUTED_VALUE"""),45918.6458333333)</f>
        <v>45918.6458333333</v>
      </c>
      <c r="H123" s="17">
        <f>IFERROR(__xludf.DUMMYFUNCTION("""COMPUTED_VALUE"""),2438)</f>
        <v>2438</v>
      </c>
      <c r="I123" s="16">
        <f>IFERROR(__xludf.DUMMYFUNCTION("""COMPUTED_VALUE"""),45918.6458333333)</f>
        <v>45918.6458333333</v>
      </c>
      <c r="J123" s="17">
        <f>IFERROR(__xludf.DUMMYFUNCTION("""COMPUTED_VALUE"""),2388.4)</f>
        <v>2388.4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IFERROR(__xludf.DUMMYFUNCTION("""COMPUTED_VALUE"""),2524)</f>
        <v>2524</v>
      </c>
      <c r="C124" s="16">
        <f>IFERROR(__xludf.DUMMYFUNCTION("""COMPUTED_VALUE"""),45919.6458333333)</f>
        <v>45919.6458333333</v>
      </c>
      <c r="D124" s="17">
        <f>IFERROR(__xludf.DUMMYFUNCTION("""COMPUTED_VALUE"""),2495)</f>
        <v>2495</v>
      </c>
      <c r="E124" s="16">
        <f>IFERROR(__xludf.DUMMYFUNCTION("""COMPUTED_VALUE"""),45919.6458333333)</f>
        <v>45919.6458333333</v>
      </c>
      <c r="F124" s="17">
        <f>IFERROR(__xludf.DUMMYFUNCTION("""COMPUTED_VALUE"""),7965135)</f>
        <v>7965135</v>
      </c>
      <c r="G124" s="16">
        <f>IFERROR(__xludf.DUMMYFUNCTION("""COMPUTED_VALUE"""),45919.6458333333)</f>
        <v>45919.6458333333</v>
      </c>
      <c r="H124" s="17">
        <f>IFERROR(__xludf.DUMMYFUNCTION("""COMPUTED_VALUE"""),2579)</f>
        <v>2579</v>
      </c>
      <c r="I124" s="16">
        <f>IFERROR(__xludf.DUMMYFUNCTION("""COMPUTED_VALUE"""),45919.6458333333)</f>
        <v>45919.6458333333</v>
      </c>
      <c r="J124" s="17">
        <f>IFERROR(__xludf.DUMMYFUNCTION("""COMPUTED_VALUE"""),2466.1)</f>
        <v>2466.1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IFERROR(__xludf.DUMMYFUNCTION("""COMPUTED_VALUE"""),2629.5)</f>
        <v>2629.5</v>
      </c>
      <c r="C125" s="16">
        <f>IFERROR(__xludf.DUMMYFUNCTION("""COMPUTED_VALUE"""),45922.6458333333)</f>
        <v>45922.6458333333</v>
      </c>
      <c r="D125" s="17">
        <f>IFERROR(__xludf.DUMMYFUNCTION("""COMPUTED_VALUE"""),2535)</f>
        <v>2535</v>
      </c>
      <c r="E125" s="16">
        <f>IFERROR(__xludf.DUMMYFUNCTION("""COMPUTED_VALUE"""),45922.6458333333)</f>
        <v>45922.6458333333</v>
      </c>
      <c r="F125" s="17">
        <f>IFERROR(__xludf.DUMMYFUNCTION("""COMPUTED_VALUE"""),7022985)</f>
        <v>7022985</v>
      </c>
      <c r="G125" s="16">
        <f>IFERROR(__xludf.DUMMYFUNCTION("""COMPUTED_VALUE"""),45922.6458333333)</f>
        <v>45922.6458333333</v>
      </c>
      <c r="H125" s="17">
        <f>IFERROR(__xludf.DUMMYFUNCTION("""COMPUTED_VALUE"""),2659)</f>
        <v>2659</v>
      </c>
      <c r="I125" s="16">
        <f>IFERROR(__xludf.DUMMYFUNCTION("""COMPUTED_VALUE"""),45922.6458333333)</f>
        <v>45922.6458333333</v>
      </c>
      <c r="J125" s="17">
        <f>IFERROR(__xludf.DUMMYFUNCTION("""COMPUTED_VALUE"""),2522.1)</f>
        <v>2522.1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IFERROR(__xludf.DUMMYFUNCTION("""COMPUTED_VALUE"""),2676.4)</f>
        <v>2676.4</v>
      </c>
      <c r="C126" s="16">
        <f>IFERROR(__xludf.DUMMYFUNCTION("""COMPUTED_VALUE"""),45923.6458333333)</f>
        <v>45923.6458333333</v>
      </c>
      <c r="D126" s="17">
        <f>IFERROR(__xludf.DUMMYFUNCTION("""COMPUTED_VALUE"""),2642.6)</f>
        <v>2642.6</v>
      </c>
      <c r="E126" s="16">
        <f>IFERROR(__xludf.DUMMYFUNCTION("""COMPUTED_VALUE"""),45923.6458333333)</f>
        <v>45923.6458333333</v>
      </c>
      <c r="F126" s="17">
        <f>IFERROR(__xludf.DUMMYFUNCTION("""COMPUTED_VALUE"""),5610022)</f>
        <v>5610022</v>
      </c>
      <c r="G126" s="16">
        <f>IFERROR(__xludf.DUMMYFUNCTION("""COMPUTED_VALUE"""),45923.6458333333)</f>
        <v>45923.6458333333</v>
      </c>
      <c r="H126" s="17">
        <f>IFERROR(__xludf.DUMMYFUNCTION("""COMPUTED_VALUE"""),2695)</f>
        <v>2695</v>
      </c>
      <c r="I126" s="16">
        <f>IFERROR(__xludf.DUMMYFUNCTION("""COMPUTED_VALUE"""),45923.6458333333)</f>
        <v>45923.6458333333</v>
      </c>
      <c r="J126" s="17">
        <f>IFERROR(__xludf.DUMMYFUNCTION("""COMPUTED_VALUE"""),2593)</f>
        <v>2593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IFERROR(__xludf.DUMMYFUNCTION("""COMPUTED_VALUE"""),2619.8)</f>
        <v>2619.8</v>
      </c>
      <c r="C127" s="16">
        <f>IFERROR(__xludf.DUMMYFUNCTION("""COMPUTED_VALUE"""),45924.6458333333)</f>
        <v>45924.6458333333</v>
      </c>
      <c r="D127" s="17">
        <f>IFERROR(__xludf.DUMMYFUNCTION("""COMPUTED_VALUE"""),2655)</f>
        <v>2655</v>
      </c>
      <c r="E127" s="16">
        <f>IFERROR(__xludf.DUMMYFUNCTION("""COMPUTED_VALUE"""),45924.6458333333)</f>
        <v>45924.6458333333</v>
      </c>
      <c r="F127" s="17">
        <f>IFERROR(__xludf.DUMMYFUNCTION("""COMPUTED_VALUE"""),1720785)</f>
        <v>1720785</v>
      </c>
      <c r="G127" s="16">
        <f>IFERROR(__xludf.DUMMYFUNCTION("""COMPUTED_VALUE"""),45924.6458333333)</f>
        <v>45924.6458333333</v>
      </c>
      <c r="H127" s="17">
        <f>IFERROR(__xludf.DUMMYFUNCTION("""COMPUTED_VALUE"""),2676)</f>
        <v>2676</v>
      </c>
      <c r="I127" s="16">
        <f>IFERROR(__xludf.DUMMYFUNCTION("""COMPUTED_VALUE"""),45924.6458333333)</f>
        <v>45924.6458333333</v>
      </c>
      <c r="J127" s="17">
        <f>IFERROR(__xludf.DUMMYFUNCTION("""COMPUTED_VALUE"""),2614.4)</f>
        <v>2614.4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IFERROR(__xludf.DUMMYFUNCTION("""COMPUTED_VALUE"""),2576.4)</f>
        <v>2576.4</v>
      </c>
      <c r="C128" s="16">
        <f>IFERROR(__xludf.DUMMYFUNCTION("""COMPUTED_VALUE"""),45925.6458333333)</f>
        <v>45925.6458333333</v>
      </c>
      <c r="D128" s="17">
        <f>IFERROR(__xludf.DUMMYFUNCTION("""COMPUTED_VALUE"""),2625)</f>
        <v>2625</v>
      </c>
      <c r="E128" s="16">
        <f>IFERROR(__xludf.DUMMYFUNCTION("""COMPUTED_VALUE"""),45925.6458333333)</f>
        <v>45925.6458333333</v>
      </c>
      <c r="F128" s="17">
        <f>IFERROR(__xludf.DUMMYFUNCTION("""COMPUTED_VALUE"""),1489682)</f>
        <v>1489682</v>
      </c>
      <c r="G128" s="16">
        <f>IFERROR(__xludf.DUMMYFUNCTION("""COMPUTED_VALUE"""),45925.6458333333)</f>
        <v>45925.6458333333</v>
      </c>
      <c r="H128" s="17">
        <f>IFERROR(__xludf.DUMMYFUNCTION("""COMPUTED_VALUE"""),2647.9)</f>
        <v>2647.9</v>
      </c>
      <c r="I128" s="16">
        <f>IFERROR(__xludf.DUMMYFUNCTION("""COMPUTED_VALUE"""),45925.6458333333)</f>
        <v>45925.6458333333</v>
      </c>
      <c r="J128" s="17">
        <f>IFERROR(__xludf.DUMMYFUNCTION("""COMPUTED_VALUE"""),2567)</f>
        <v>2567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IFERROR(__xludf.DUMMYFUNCTION("""COMPUTED_VALUE"""),2543.7)</f>
        <v>2543.7</v>
      </c>
      <c r="C129" s="16">
        <f>IFERROR(__xludf.DUMMYFUNCTION("""COMPUTED_VALUE"""),45926.6458333333)</f>
        <v>45926.6458333333</v>
      </c>
      <c r="D129" s="17">
        <f>IFERROR(__xludf.DUMMYFUNCTION("""COMPUTED_VALUE"""),2572.8)</f>
        <v>2572.8</v>
      </c>
      <c r="E129" s="16">
        <f>IFERROR(__xludf.DUMMYFUNCTION("""COMPUTED_VALUE"""),45926.6458333333)</f>
        <v>45926.6458333333</v>
      </c>
      <c r="F129" s="17">
        <f>IFERROR(__xludf.DUMMYFUNCTION("""COMPUTED_VALUE"""),1037808)</f>
        <v>1037808</v>
      </c>
      <c r="G129" s="16">
        <f>IFERROR(__xludf.DUMMYFUNCTION("""COMPUTED_VALUE"""),45926.6458333333)</f>
        <v>45926.6458333333</v>
      </c>
      <c r="H129" s="17">
        <f>IFERROR(__xludf.DUMMYFUNCTION("""COMPUTED_VALUE"""),2605)</f>
        <v>2605</v>
      </c>
      <c r="I129" s="16">
        <f>IFERROR(__xludf.DUMMYFUNCTION("""COMPUTED_VALUE"""),45926.6458333333)</f>
        <v>45926.6458333333</v>
      </c>
      <c r="J129" s="17">
        <f>IFERROR(__xludf.DUMMYFUNCTION("""COMPUTED_VALUE"""),2535)</f>
        <v>2535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267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""price"")"),2535.6)</f>
        <v>2535.6</v>
      </c>
      <c r="I3" s="22" t="s">
        <v>269</v>
      </c>
      <c r="J3" s="23">
        <f>IFERROR(__xludf.DUMMYFUNCTION("GOOGLEFINANCE(L3, ""volume"")"),1037808)</f>
        <v>1037808</v>
      </c>
      <c r="K3" s="24" t="s">
        <v>270</v>
      </c>
      <c r="L3" s="25" t="str">
        <f>Mastersheet!B3</f>
        <v>ADANIENT</v>
      </c>
      <c r="M3" s="26">
        <f>IFERROR(__xludf.DUMMYFUNCTION("""COMPUTED_VALUE"""),45926.6458333333)</f>
        <v>45926.6458333333</v>
      </c>
      <c r="N3" s="27">
        <f>IFERROR(__xludf.DUMMYFUNCTION("""COMPUTED_VALUE"""),2543.7)</f>
        <v>2543.7</v>
      </c>
      <c r="O3" s="26">
        <f>IFERROR(__xludf.DUMMYFUNCTION("""COMPUTED_VALUE"""),45926.6458333333)</f>
        <v>45926.6458333333</v>
      </c>
      <c r="P3" s="27">
        <f>IFERROR(__xludf.DUMMYFUNCTION("""COMPUTED_VALUE"""),2572.8)</f>
        <v>2572.8</v>
      </c>
      <c r="Q3" s="16">
        <f>IFERROR(__xludf.DUMMYFUNCTION("""COMPUTED_VALUE"""),45926.6458333333)</f>
        <v>45926.6458333333</v>
      </c>
      <c r="R3" s="17">
        <f>IFERROR(__xludf.DUMMYFUNCTION("""COMPUTED_VALUE"""),2605)</f>
        <v>2605</v>
      </c>
      <c r="S3" s="16">
        <f>IFERROR(__xludf.DUMMYFUNCTION("""COMPUTED_VALUE"""),45926.6458333333)</f>
        <v>45926.6458333333</v>
      </c>
      <c r="T3" s="17">
        <f>IFERROR(__xludf.DUMMYFUNCTION("""COMPUTED_VALUE"""),2535)</f>
        <v>2535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IFERROR(__xludf.DUMMYFUNCTION("""COMPUTED_VALUE"""),2363.35)</f>
        <v>2363.35</v>
      </c>
      <c r="C5" s="14">
        <f>IFERROR(__xludf.DUMMYFUNCTION("""COMPUTED_VALUE"""),45743.6458333333)</f>
        <v>45743.6458333333</v>
      </c>
      <c r="D5" s="15">
        <f>IFERROR(__xludf.DUMMYFUNCTION("""COMPUTED_VALUE"""),2310)</f>
        <v>2310</v>
      </c>
      <c r="E5" s="14">
        <f>IFERROR(__xludf.DUMMYFUNCTION("""COMPUTED_VALUE"""),45743.6458333333)</f>
        <v>45743.6458333333</v>
      </c>
      <c r="F5" s="15">
        <f>IFERROR(__xludf.DUMMYFUNCTION("""COMPUTED_VALUE"""),1696042)</f>
        <v>1696042</v>
      </c>
      <c r="G5" s="14">
        <f>IFERROR(__xludf.DUMMYFUNCTION("""COMPUTED_VALUE"""),45743.6458333333)</f>
        <v>45743.6458333333</v>
      </c>
      <c r="H5" s="15">
        <f>IFERROR(__xludf.DUMMYFUNCTION("""COMPUTED_VALUE"""),2373.9)</f>
        <v>2373.9</v>
      </c>
      <c r="I5" s="30">
        <f>IFERROR(__xludf.DUMMYFUNCTION("""COMPUTED_VALUE"""),45743.6458333333)</f>
        <v>45743.6458333333</v>
      </c>
      <c r="J5" s="3">
        <f>IFERROR(__xludf.DUMMYFUNCTION("""COMPUTED_VALUE"""),2291.6)</f>
        <v>2291.6</v>
      </c>
      <c r="K5" s="5"/>
      <c r="L5" s="5"/>
      <c r="M5" s="3">
        <f t="array" ref="M5">INDEX(K11:K124,MATCH(SMALL(ABS(K11:K124-H3),1),ABS(K11:K124-H3),0))</f>
        <v>2555</v>
      </c>
      <c r="N5" s="3">
        <f t="array" ref="N5">INDEX(K11:K124,MATCH(SMALL(ABS(K11:K124-H3),2),ABS(K11:K124-H3),0))</f>
        <v>2613.1</v>
      </c>
      <c r="O5" s="3">
        <f t="array" ref="O5">INDEX(L11:L124,MATCH(SMALL(ABS(L11:L124-H3),1),ABS(L11:L124-H3),0))</f>
        <v>2558.7</v>
      </c>
      <c r="P5" s="3">
        <f t="array" ref="P5">INDEX(L11:L124,MATCH(SMALL(ABS(L11:L124-H3),2),ABS(L11:L124-H3),0))</f>
        <v>2470.9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2442.8</v>
      </c>
      <c r="T5" s="17">
        <f ca="1">IF(AND(H3&gt;=Mastersheet!I3*S5,H3&lt;=Mastersheet!J3*S5),1,0)</f>
        <v>0</v>
      </c>
      <c r="U5" s="36">
        <f>(N3+P3)/2</f>
        <v>2558.25</v>
      </c>
      <c r="V5" s="17">
        <f>(N3+P3+R3+T3)/4</f>
        <v>2564.125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IFERROR(__xludf.DUMMYFUNCTION("""COMPUTED_VALUE"""),2315.8)</f>
        <v>2315.8</v>
      </c>
      <c r="C6" s="16">
        <f>IFERROR(__xludf.DUMMYFUNCTION("""COMPUTED_VALUE"""),45744.6458333333)</f>
        <v>45744.6458333333</v>
      </c>
      <c r="D6" s="17">
        <f>IFERROR(__xludf.DUMMYFUNCTION("""COMPUTED_VALUE"""),2376)</f>
        <v>2376</v>
      </c>
      <c r="E6" s="16">
        <f>IFERROR(__xludf.DUMMYFUNCTION("""COMPUTED_VALUE"""),45744.6458333333)</f>
        <v>45744.6458333333</v>
      </c>
      <c r="F6" s="17">
        <f>IFERROR(__xludf.DUMMYFUNCTION("""COMPUTED_VALUE"""),1838836)</f>
        <v>1838836</v>
      </c>
      <c r="G6" s="16">
        <f>IFERROR(__xludf.DUMMYFUNCTION("""COMPUTED_VALUE"""),45744.6458333333)</f>
        <v>45744.6458333333</v>
      </c>
      <c r="H6" s="17">
        <f>IFERROR(__xludf.DUMMYFUNCTION("""COMPUTED_VALUE"""),2386.95)</f>
        <v>2386.95</v>
      </c>
      <c r="I6" s="16">
        <f>IFERROR(__xludf.DUMMYFUNCTION("""COMPUTED_VALUE"""),45744.6458333333)</f>
        <v>45744.6458333333</v>
      </c>
      <c r="J6" s="17">
        <f>IFERROR(__xludf.DUMMYFUNCTION("""COMPUTED_VALUE"""),2293.7)</f>
        <v>2293.7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IFERROR(__xludf.DUMMYFUNCTION("""COMPUTED_VALUE"""),2335.25)</f>
        <v>2335.25</v>
      </c>
      <c r="C7" s="16">
        <f>IFERROR(__xludf.DUMMYFUNCTION("""COMPUTED_VALUE"""),45748.6458333333)</f>
        <v>45748.6458333333</v>
      </c>
      <c r="D7" s="17">
        <f>IFERROR(__xludf.DUMMYFUNCTION("""COMPUTED_VALUE"""),2312)</f>
        <v>2312</v>
      </c>
      <c r="E7" s="16">
        <f>IFERROR(__xludf.DUMMYFUNCTION("""COMPUTED_VALUE"""),45748.6458333333)</f>
        <v>45748.6458333333</v>
      </c>
      <c r="F7" s="17">
        <f>IFERROR(__xludf.DUMMYFUNCTION("""COMPUTED_VALUE"""),501942)</f>
        <v>501942</v>
      </c>
      <c r="G7" s="16">
        <f>IFERROR(__xludf.DUMMYFUNCTION("""COMPUTED_VALUE"""),45748.6458333333)</f>
        <v>45748.6458333333</v>
      </c>
      <c r="H7" s="17">
        <f>IFERROR(__xludf.DUMMYFUNCTION("""COMPUTED_VALUE"""),2358.95)</f>
        <v>2358.95</v>
      </c>
      <c r="I7" s="16">
        <f>IFERROR(__xludf.DUMMYFUNCTION("""COMPUTED_VALUE"""),45748.6458333333)</f>
        <v>45748.6458333333</v>
      </c>
      <c r="J7" s="17">
        <f>IFERROR(__xludf.DUMMYFUNCTION("""COMPUTED_VALUE"""),2301)</f>
        <v>2301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IFERROR(__xludf.DUMMYFUNCTION("""COMPUTED_VALUE"""),2369.4)</f>
        <v>2369.4</v>
      </c>
      <c r="C8" s="16">
        <f>IFERROR(__xludf.DUMMYFUNCTION("""COMPUTED_VALUE"""),45749.6458333333)</f>
        <v>45749.6458333333</v>
      </c>
      <c r="D8" s="17">
        <f>IFERROR(__xludf.DUMMYFUNCTION("""COMPUTED_VALUE"""),2339.75)</f>
        <v>2339.75</v>
      </c>
      <c r="E8" s="16">
        <f>IFERROR(__xludf.DUMMYFUNCTION("""COMPUTED_VALUE"""),45749.6458333333)</f>
        <v>45749.6458333333</v>
      </c>
      <c r="F8" s="17">
        <f>IFERROR(__xludf.DUMMYFUNCTION("""COMPUTED_VALUE"""),573928)</f>
        <v>573928</v>
      </c>
      <c r="G8" s="16">
        <f>IFERROR(__xludf.DUMMYFUNCTION("""COMPUTED_VALUE"""),45749.6458333333)</f>
        <v>45749.6458333333</v>
      </c>
      <c r="H8" s="17">
        <f>IFERROR(__xludf.DUMMYFUNCTION("""COMPUTED_VALUE"""),2378.85)</f>
        <v>2378.85</v>
      </c>
      <c r="I8" s="16">
        <f>IFERROR(__xludf.DUMMYFUNCTION("""COMPUTED_VALUE"""),45749.6458333333)</f>
        <v>45749.6458333333</v>
      </c>
      <c r="J8" s="17">
        <f>IFERROR(__xludf.DUMMYFUNCTION("""COMPUTED_VALUE"""),2314.55)</f>
        <v>2314.55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IFERROR(__xludf.DUMMYFUNCTION("""COMPUTED_VALUE"""),2410.8)</f>
        <v>2410.8</v>
      </c>
      <c r="C9" s="16">
        <f>IFERROR(__xludf.DUMMYFUNCTION("""COMPUTED_VALUE"""),45750.6458333333)</f>
        <v>45750.6458333333</v>
      </c>
      <c r="D9" s="17">
        <f>IFERROR(__xludf.DUMMYFUNCTION("""COMPUTED_VALUE"""),2339.75)</f>
        <v>2339.75</v>
      </c>
      <c r="E9" s="16">
        <f>IFERROR(__xludf.DUMMYFUNCTION("""COMPUTED_VALUE"""),45750.6458333333)</f>
        <v>45750.6458333333</v>
      </c>
      <c r="F9" s="17">
        <f>IFERROR(__xludf.DUMMYFUNCTION("""COMPUTED_VALUE"""),1023200)</f>
        <v>1023200</v>
      </c>
      <c r="G9" s="16">
        <f>IFERROR(__xludf.DUMMYFUNCTION("""COMPUTED_VALUE"""),45750.6458333333)</f>
        <v>45750.6458333333</v>
      </c>
      <c r="H9" s="17">
        <f>IFERROR(__xludf.DUMMYFUNCTION("""COMPUTED_VALUE"""),2429.9)</f>
        <v>2429.9</v>
      </c>
      <c r="I9" s="16">
        <f>IFERROR(__xludf.DUMMYFUNCTION("""COMPUTED_VALUE"""),45750.6458333333)</f>
        <v>45750.6458333333</v>
      </c>
      <c r="J9" s="17">
        <f>IFERROR(__xludf.DUMMYFUNCTION("""COMPUTED_VALUE"""),2339.7)</f>
        <v>2339.7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IFERROR(__xludf.DUMMYFUNCTION("""COMPUTED_VALUE"""),2334.65)</f>
        <v>2334.65</v>
      </c>
      <c r="C10" s="16">
        <f>IFERROR(__xludf.DUMMYFUNCTION("""COMPUTED_VALUE"""),45751.6458333333)</f>
        <v>45751.6458333333</v>
      </c>
      <c r="D10" s="17">
        <f>IFERROR(__xludf.DUMMYFUNCTION("""COMPUTED_VALUE"""),2394.95)</f>
        <v>2394.95</v>
      </c>
      <c r="E10" s="16">
        <f>IFERROR(__xludf.DUMMYFUNCTION("""COMPUTED_VALUE"""),45751.6458333333)</f>
        <v>45751.6458333333</v>
      </c>
      <c r="F10" s="17">
        <f>IFERROR(__xludf.DUMMYFUNCTION("""COMPUTED_VALUE"""),1219733)</f>
        <v>1219733</v>
      </c>
      <c r="G10" s="16">
        <f>IFERROR(__xludf.DUMMYFUNCTION("""COMPUTED_VALUE"""),45751.6458333333)</f>
        <v>45751.6458333333</v>
      </c>
      <c r="H10" s="17">
        <f>IFERROR(__xludf.DUMMYFUNCTION("""COMPUTED_VALUE"""),2410.05)</f>
        <v>2410.05</v>
      </c>
      <c r="I10" s="16">
        <f>IFERROR(__xludf.DUMMYFUNCTION("""COMPUTED_VALUE"""),45751.6458333333)</f>
        <v>45751.6458333333</v>
      </c>
      <c r="J10" s="17">
        <f>IFERROR(__xludf.DUMMYFUNCTION("""COMPUTED_VALUE"""),2315.5)</f>
        <v>2315.5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IFERROR(__xludf.DUMMYFUNCTION("""COMPUTED_VALUE"""),2212.7)</f>
        <v>2212.7</v>
      </c>
      <c r="C11" s="16">
        <f>IFERROR(__xludf.DUMMYFUNCTION("""COMPUTED_VALUE"""),45754.6458333333)</f>
        <v>45754.6458333333</v>
      </c>
      <c r="D11" s="17">
        <f>IFERROR(__xludf.DUMMYFUNCTION("""COMPUTED_VALUE"""),2150.05)</f>
        <v>2150.05</v>
      </c>
      <c r="E11" s="16">
        <f>IFERROR(__xludf.DUMMYFUNCTION("""COMPUTED_VALUE"""),45754.6458333333)</f>
        <v>45754.6458333333</v>
      </c>
      <c r="F11" s="17">
        <f>IFERROR(__xludf.DUMMYFUNCTION("""COMPUTED_VALUE"""),1567177)</f>
        <v>1567177</v>
      </c>
      <c r="G11" s="16">
        <f>IFERROR(__xludf.DUMMYFUNCTION("""COMPUTED_VALUE"""),45754.6458333333)</f>
        <v>45754.6458333333</v>
      </c>
      <c r="H11" s="17">
        <f>IFERROR(__xludf.DUMMYFUNCTION("""COMPUTED_VALUE"""),2239)</f>
        <v>2239</v>
      </c>
      <c r="I11" s="16">
        <f>IFERROR(__xludf.DUMMYFUNCTION("""COMPUTED_VALUE"""),45754.6458333333)</f>
        <v>45754.6458333333</v>
      </c>
      <c r="J11" s="17">
        <f>IFERROR(__xludf.DUMMYFUNCTION("""COMPUTED_VALUE"""),2145)</f>
        <v>2145</v>
      </c>
      <c r="K11" s="3">
        <f t="shared" ref="K11:K125" si="2">IF(B11=MAX(B5:B17),B11,0)</f>
        <v>0</v>
      </c>
      <c r="L11" s="3">
        <f t="shared" ref="L11:L125" si="3">IF(B11=MIN(B5:B17),B11,0)</f>
        <v>2212.7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IFERROR(__xludf.DUMMYFUNCTION("""COMPUTED_VALUE"""),2285.7)</f>
        <v>2285.7</v>
      </c>
      <c r="C12" s="16">
        <f>IFERROR(__xludf.DUMMYFUNCTION("""COMPUTED_VALUE"""),45755.6458333333)</f>
        <v>45755.6458333333</v>
      </c>
      <c r="D12" s="17">
        <f>IFERROR(__xludf.DUMMYFUNCTION("""COMPUTED_VALUE"""),2270)</f>
        <v>2270</v>
      </c>
      <c r="E12" s="16">
        <f>IFERROR(__xludf.DUMMYFUNCTION("""COMPUTED_VALUE"""),45755.6458333333)</f>
        <v>45755.6458333333</v>
      </c>
      <c r="F12" s="17">
        <f>IFERROR(__xludf.DUMMYFUNCTION("""COMPUTED_VALUE"""),1224362)</f>
        <v>1224362</v>
      </c>
      <c r="G12" s="16">
        <f>IFERROR(__xludf.DUMMYFUNCTION("""COMPUTED_VALUE"""),45755.6458333333)</f>
        <v>45755.6458333333</v>
      </c>
      <c r="H12" s="17">
        <f>IFERROR(__xludf.DUMMYFUNCTION("""COMPUTED_VALUE"""),2301)</f>
        <v>2301</v>
      </c>
      <c r="I12" s="16">
        <f>IFERROR(__xludf.DUMMYFUNCTION("""COMPUTED_VALUE"""),45755.6458333333)</f>
        <v>45755.6458333333</v>
      </c>
      <c r="J12" s="17">
        <f>IFERROR(__xludf.DUMMYFUNCTION("""COMPUTED_VALUE"""),2225)</f>
        <v>2225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IFERROR(__xludf.DUMMYFUNCTION("""COMPUTED_VALUE"""),2236.9)</f>
        <v>2236.9</v>
      </c>
      <c r="C13" s="16">
        <f>IFERROR(__xludf.DUMMYFUNCTION("""COMPUTED_VALUE"""),45756.6458333333)</f>
        <v>45756.6458333333</v>
      </c>
      <c r="D13" s="17">
        <f>IFERROR(__xludf.DUMMYFUNCTION("""COMPUTED_VALUE"""),2265.7)</f>
        <v>2265.7</v>
      </c>
      <c r="E13" s="16">
        <f>IFERROR(__xludf.DUMMYFUNCTION("""COMPUTED_VALUE"""),45756.6458333333)</f>
        <v>45756.6458333333</v>
      </c>
      <c r="F13" s="17">
        <f>IFERROR(__xludf.DUMMYFUNCTION("""COMPUTED_VALUE"""),1001633)</f>
        <v>1001633</v>
      </c>
      <c r="G13" s="16">
        <f>IFERROR(__xludf.DUMMYFUNCTION("""COMPUTED_VALUE"""),45756.6458333333)</f>
        <v>45756.6458333333</v>
      </c>
      <c r="H13" s="17">
        <f>IFERROR(__xludf.DUMMYFUNCTION("""COMPUTED_VALUE"""),2279.55)</f>
        <v>2279.55</v>
      </c>
      <c r="I13" s="16">
        <f>IFERROR(__xludf.DUMMYFUNCTION("""COMPUTED_VALUE"""),45756.6458333333)</f>
        <v>45756.6458333333</v>
      </c>
      <c r="J13" s="17">
        <f>IFERROR(__xludf.DUMMYFUNCTION("""COMPUTED_VALUE"""),2215.2)</f>
        <v>2215.2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IFERROR(__xludf.DUMMYFUNCTION("""COMPUTED_VALUE"""),2321.4)</f>
        <v>2321.4</v>
      </c>
      <c r="C14" s="16">
        <f>IFERROR(__xludf.DUMMYFUNCTION("""COMPUTED_VALUE"""),45758.6458333333)</f>
        <v>45758.6458333333</v>
      </c>
      <c r="D14" s="17">
        <f>IFERROR(__xludf.DUMMYFUNCTION("""COMPUTED_VALUE"""),2303.05)</f>
        <v>2303.05</v>
      </c>
      <c r="E14" s="16">
        <f>IFERROR(__xludf.DUMMYFUNCTION("""COMPUTED_VALUE"""),45758.6458333333)</f>
        <v>45758.6458333333</v>
      </c>
      <c r="F14" s="17">
        <f>IFERROR(__xludf.DUMMYFUNCTION("""COMPUTED_VALUE"""),981463)</f>
        <v>981463</v>
      </c>
      <c r="G14" s="16">
        <f>IFERROR(__xludf.DUMMYFUNCTION("""COMPUTED_VALUE"""),45758.6458333333)</f>
        <v>45758.6458333333</v>
      </c>
      <c r="H14" s="17">
        <f>IFERROR(__xludf.DUMMYFUNCTION("""COMPUTED_VALUE"""),2343.5)</f>
        <v>2343.5</v>
      </c>
      <c r="I14" s="16">
        <f>IFERROR(__xludf.DUMMYFUNCTION("""COMPUTED_VALUE"""),45758.6458333333)</f>
        <v>45758.6458333333</v>
      </c>
      <c r="J14" s="17">
        <f>IFERROR(__xludf.DUMMYFUNCTION("""COMPUTED_VALUE"""),2281)</f>
        <v>2281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IFERROR(__xludf.DUMMYFUNCTION("""COMPUTED_VALUE"""),2418.2)</f>
        <v>2418.2</v>
      </c>
      <c r="C15" s="16">
        <f>IFERROR(__xludf.DUMMYFUNCTION("""COMPUTED_VALUE"""),45762.6458333333)</f>
        <v>45762.6458333333</v>
      </c>
      <c r="D15" s="17">
        <f>IFERROR(__xludf.DUMMYFUNCTION("""COMPUTED_VALUE"""),2375)</f>
        <v>2375</v>
      </c>
      <c r="E15" s="16">
        <f>IFERROR(__xludf.DUMMYFUNCTION("""COMPUTED_VALUE"""),45762.6458333333)</f>
        <v>45762.6458333333</v>
      </c>
      <c r="F15" s="17">
        <f>IFERROR(__xludf.DUMMYFUNCTION("""COMPUTED_VALUE"""),1145125)</f>
        <v>1145125</v>
      </c>
      <c r="G15" s="16">
        <f>IFERROR(__xludf.DUMMYFUNCTION("""COMPUTED_VALUE"""),45762.6458333333)</f>
        <v>45762.6458333333</v>
      </c>
      <c r="H15" s="17">
        <f>IFERROR(__xludf.DUMMYFUNCTION("""COMPUTED_VALUE"""),2440)</f>
        <v>2440</v>
      </c>
      <c r="I15" s="16">
        <f>IFERROR(__xludf.DUMMYFUNCTION("""COMPUTED_VALUE"""),45762.6458333333)</f>
        <v>45762.6458333333</v>
      </c>
      <c r="J15" s="17">
        <f>IFERROR(__xludf.DUMMYFUNCTION("""COMPUTED_VALUE"""),2359)</f>
        <v>2359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IFERROR(__xludf.DUMMYFUNCTION("""COMPUTED_VALUE"""),2415.6)</f>
        <v>2415.6</v>
      </c>
      <c r="C16" s="16">
        <f>IFERROR(__xludf.DUMMYFUNCTION("""COMPUTED_VALUE"""),45763.6458333333)</f>
        <v>45763.6458333333</v>
      </c>
      <c r="D16" s="17">
        <f>IFERROR(__xludf.DUMMYFUNCTION("""COMPUTED_VALUE"""),2400)</f>
        <v>2400</v>
      </c>
      <c r="E16" s="16">
        <f>IFERROR(__xludf.DUMMYFUNCTION("""COMPUTED_VALUE"""),45763.6458333333)</f>
        <v>45763.6458333333</v>
      </c>
      <c r="F16" s="17">
        <f>IFERROR(__xludf.DUMMYFUNCTION("""COMPUTED_VALUE"""),889949)</f>
        <v>889949</v>
      </c>
      <c r="G16" s="16">
        <f>IFERROR(__xludf.DUMMYFUNCTION("""COMPUTED_VALUE"""),45763.6458333333)</f>
        <v>45763.6458333333</v>
      </c>
      <c r="H16" s="17">
        <f>IFERROR(__xludf.DUMMYFUNCTION("""COMPUTED_VALUE"""),2428)</f>
        <v>2428</v>
      </c>
      <c r="I16" s="16">
        <f>IFERROR(__xludf.DUMMYFUNCTION("""COMPUTED_VALUE"""),45763.6458333333)</f>
        <v>45763.6458333333</v>
      </c>
      <c r="J16" s="17">
        <f>IFERROR(__xludf.DUMMYFUNCTION("""COMPUTED_VALUE"""),2382.9)</f>
        <v>2382.9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IFERROR(__xludf.DUMMYFUNCTION("""COMPUTED_VALUE"""),2418.1)</f>
        <v>2418.1</v>
      </c>
      <c r="C17" s="16">
        <f>IFERROR(__xludf.DUMMYFUNCTION("""COMPUTED_VALUE"""),45764.6458333333)</f>
        <v>45764.6458333333</v>
      </c>
      <c r="D17" s="17">
        <f>IFERROR(__xludf.DUMMYFUNCTION("""COMPUTED_VALUE"""),2418)</f>
        <v>2418</v>
      </c>
      <c r="E17" s="16">
        <f>IFERROR(__xludf.DUMMYFUNCTION("""COMPUTED_VALUE"""),45764.6458333333)</f>
        <v>45764.6458333333</v>
      </c>
      <c r="F17" s="17">
        <f>IFERROR(__xludf.DUMMYFUNCTION("""COMPUTED_VALUE"""),1054797)</f>
        <v>1054797</v>
      </c>
      <c r="G17" s="16">
        <f>IFERROR(__xludf.DUMMYFUNCTION("""COMPUTED_VALUE"""),45764.6458333333)</f>
        <v>45764.6458333333</v>
      </c>
      <c r="H17" s="17">
        <f>IFERROR(__xludf.DUMMYFUNCTION("""COMPUTED_VALUE"""),2448.6)</f>
        <v>2448.6</v>
      </c>
      <c r="I17" s="16">
        <f>IFERROR(__xludf.DUMMYFUNCTION("""COMPUTED_VALUE"""),45764.6458333333)</f>
        <v>45764.6458333333</v>
      </c>
      <c r="J17" s="17">
        <f>IFERROR(__xludf.DUMMYFUNCTION("""COMPUTED_VALUE"""),2392)</f>
        <v>2392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IFERROR(__xludf.DUMMYFUNCTION("""COMPUTED_VALUE"""),2442.7)</f>
        <v>2442.7</v>
      </c>
      <c r="C18" s="16">
        <f>IFERROR(__xludf.DUMMYFUNCTION("""COMPUTED_VALUE"""),45768.6458333333)</f>
        <v>45768.6458333333</v>
      </c>
      <c r="D18" s="17">
        <f>IFERROR(__xludf.DUMMYFUNCTION("""COMPUTED_VALUE"""),2426.1)</f>
        <v>2426.1</v>
      </c>
      <c r="E18" s="16">
        <f>IFERROR(__xludf.DUMMYFUNCTION("""COMPUTED_VALUE"""),45768.6458333333)</f>
        <v>45768.6458333333</v>
      </c>
      <c r="F18" s="17">
        <f>IFERROR(__xludf.DUMMYFUNCTION("""COMPUTED_VALUE"""),782559)</f>
        <v>782559</v>
      </c>
      <c r="G18" s="16">
        <f>IFERROR(__xludf.DUMMYFUNCTION("""COMPUTED_VALUE"""),45768.6458333333)</f>
        <v>45768.6458333333</v>
      </c>
      <c r="H18" s="17">
        <f>IFERROR(__xludf.DUMMYFUNCTION("""COMPUTED_VALUE"""),2464.9)</f>
        <v>2464.9</v>
      </c>
      <c r="I18" s="16">
        <f>IFERROR(__xludf.DUMMYFUNCTION("""COMPUTED_VALUE"""),45768.6458333333)</f>
        <v>45768.6458333333</v>
      </c>
      <c r="J18" s="17">
        <f>IFERROR(__xludf.DUMMYFUNCTION("""COMPUTED_VALUE"""),2395.5)</f>
        <v>2395.5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IFERROR(__xludf.DUMMYFUNCTION("""COMPUTED_VALUE"""),2445.5)</f>
        <v>2445.5</v>
      </c>
      <c r="C19" s="16">
        <f>IFERROR(__xludf.DUMMYFUNCTION("""COMPUTED_VALUE"""),45769.6458333333)</f>
        <v>45769.6458333333</v>
      </c>
      <c r="D19" s="17">
        <f>IFERROR(__xludf.DUMMYFUNCTION("""COMPUTED_VALUE"""),2458.9)</f>
        <v>2458.9</v>
      </c>
      <c r="E19" s="16">
        <f>IFERROR(__xludf.DUMMYFUNCTION("""COMPUTED_VALUE"""),45769.6458333333)</f>
        <v>45769.6458333333</v>
      </c>
      <c r="F19" s="17">
        <f>IFERROR(__xludf.DUMMYFUNCTION("""COMPUTED_VALUE"""),766567)</f>
        <v>766567</v>
      </c>
      <c r="G19" s="16">
        <f>IFERROR(__xludf.DUMMYFUNCTION("""COMPUTED_VALUE"""),45769.6458333333)</f>
        <v>45769.6458333333</v>
      </c>
      <c r="H19" s="17">
        <f>IFERROR(__xludf.DUMMYFUNCTION("""COMPUTED_VALUE"""),2483.4)</f>
        <v>2483.4</v>
      </c>
      <c r="I19" s="16">
        <f>IFERROR(__xludf.DUMMYFUNCTION("""COMPUTED_VALUE"""),45769.6458333333)</f>
        <v>45769.6458333333</v>
      </c>
      <c r="J19" s="17">
        <f>IFERROR(__xludf.DUMMYFUNCTION("""COMPUTED_VALUE"""),2441)</f>
        <v>2441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IFERROR(__xludf.DUMMYFUNCTION("""COMPUTED_VALUE"""),2453.6)</f>
        <v>2453.6</v>
      </c>
      <c r="C20" s="16">
        <f>IFERROR(__xludf.DUMMYFUNCTION("""COMPUTED_VALUE"""),45770.6458333333)</f>
        <v>45770.6458333333</v>
      </c>
      <c r="D20" s="17">
        <f>IFERROR(__xludf.DUMMYFUNCTION("""COMPUTED_VALUE"""),2460)</f>
        <v>2460</v>
      </c>
      <c r="E20" s="16">
        <f>IFERROR(__xludf.DUMMYFUNCTION("""COMPUTED_VALUE"""),45770.6458333333)</f>
        <v>45770.6458333333</v>
      </c>
      <c r="F20" s="17">
        <f>IFERROR(__xludf.DUMMYFUNCTION("""COMPUTED_VALUE"""),672262)</f>
        <v>672262</v>
      </c>
      <c r="G20" s="16">
        <f>IFERROR(__xludf.DUMMYFUNCTION("""COMPUTED_VALUE"""),45770.6458333333)</f>
        <v>45770.6458333333</v>
      </c>
      <c r="H20" s="17">
        <f>IFERROR(__xludf.DUMMYFUNCTION("""COMPUTED_VALUE"""),2473.8)</f>
        <v>2473.8</v>
      </c>
      <c r="I20" s="16">
        <f>IFERROR(__xludf.DUMMYFUNCTION("""COMPUTED_VALUE"""),45770.6458333333)</f>
        <v>45770.6458333333</v>
      </c>
      <c r="J20" s="17">
        <f>IFERROR(__xludf.DUMMYFUNCTION("""COMPUTED_VALUE"""),2421.2)</f>
        <v>2421.2</v>
      </c>
      <c r="K20" s="3">
        <f t="shared" si="2"/>
        <v>2453.6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IFERROR(__xludf.DUMMYFUNCTION("""COMPUTED_VALUE"""),2442.5)</f>
        <v>2442.5</v>
      </c>
      <c r="C21" s="16">
        <f>IFERROR(__xludf.DUMMYFUNCTION("""COMPUTED_VALUE"""),45771.6458333333)</f>
        <v>45771.6458333333</v>
      </c>
      <c r="D21" s="17">
        <f>IFERROR(__xludf.DUMMYFUNCTION("""COMPUTED_VALUE"""),2450)</f>
        <v>2450</v>
      </c>
      <c r="E21" s="16">
        <f>IFERROR(__xludf.DUMMYFUNCTION("""COMPUTED_VALUE"""),45771.6458333333)</f>
        <v>45771.6458333333</v>
      </c>
      <c r="F21" s="17">
        <f>IFERROR(__xludf.DUMMYFUNCTION("""COMPUTED_VALUE"""),596696)</f>
        <v>596696</v>
      </c>
      <c r="G21" s="16">
        <f>IFERROR(__xludf.DUMMYFUNCTION("""COMPUTED_VALUE"""),45771.6458333333)</f>
        <v>45771.6458333333</v>
      </c>
      <c r="H21" s="17">
        <f>IFERROR(__xludf.DUMMYFUNCTION("""COMPUTED_VALUE"""),2461.4)</f>
        <v>2461.4</v>
      </c>
      <c r="I21" s="16">
        <f>IFERROR(__xludf.DUMMYFUNCTION("""COMPUTED_VALUE"""),45771.6458333333)</f>
        <v>45771.6458333333</v>
      </c>
      <c r="J21" s="17">
        <f>IFERROR(__xludf.DUMMYFUNCTION("""COMPUTED_VALUE"""),2425.1)</f>
        <v>2425.1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IFERROR(__xludf.DUMMYFUNCTION("""COMPUTED_VALUE"""),2354.3)</f>
        <v>2354.3</v>
      </c>
      <c r="C22" s="16">
        <f>IFERROR(__xludf.DUMMYFUNCTION("""COMPUTED_VALUE"""),45772.6458333333)</f>
        <v>45772.6458333333</v>
      </c>
      <c r="D22" s="17">
        <f>IFERROR(__xludf.DUMMYFUNCTION("""COMPUTED_VALUE"""),2450.1)</f>
        <v>2450.1</v>
      </c>
      <c r="E22" s="16">
        <f>IFERROR(__xludf.DUMMYFUNCTION("""COMPUTED_VALUE"""),45772.6458333333)</f>
        <v>45772.6458333333</v>
      </c>
      <c r="F22" s="17">
        <f>IFERROR(__xludf.DUMMYFUNCTION("""COMPUTED_VALUE"""),1414809)</f>
        <v>1414809</v>
      </c>
      <c r="G22" s="16">
        <f>IFERROR(__xludf.DUMMYFUNCTION("""COMPUTED_VALUE"""),45772.6458333333)</f>
        <v>45772.6458333333</v>
      </c>
      <c r="H22" s="17">
        <f>IFERROR(__xludf.DUMMYFUNCTION("""COMPUTED_VALUE"""),2459.5)</f>
        <v>2459.5</v>
      </c>
      <c r="I22" s="16">
        <f>IFERROR(__xludf.DUMMYFUNCTION("""COMPUTED_VALUE"""),45772.6458333333)</f>
        <v>45772.6458333333</v>
      </c>
      <c r="J22" s="17">
        <f>IFERROR(__xludf.DUMMYFUNCTION("""COMPUTED_VALUE"""),2323.5)</f>
        <v>2323.5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IFERROR(__xludf.DUMMYFUNCTION("""COMPUTED_VALUE"""),2369.8)</f>
        <v>2369.8</v>
      </c>
      <c r="C23" s="16">
        <f>IFERROR(__xludf.DUMMYFUNCTION("""COMPUTED_VALUE"""),45775.6458333333)</f>
        <v>45775.6458333333</v>
      </c>
      <c r="D23" s="17">
        <f>IFERROR(__xludf.DUMMYFUNCTION("""COMPUTED_VALUE"""),2346)</f>
        <v>2346</v>
      </c>
      <c r="E23" s="16">
        <f>IFERROR(__xludf.DUMMYFUNCTION("""COMPUTED_VALUE"""),45775.6458333333)</f>
        <v>45775.6458333333</v>
      </c>
      <c r="F23" s="17">
        <f>IFERROR(__xludf.DUMMYFUNCTION("""COMPUTED_VALUE"""),681421)</f>
        <v>681421</v>
      </c>
      <c r="G23" s="16">
        <f>IFERROR(__xludf.DUMMYFUNCTION("""COMPUTED_VALUE"""),45775.6458333333)</f>
        <v>45775.6458333333</v>
      </c>
      <c r="H23" s="17">
        <f>IFERROR(__xludf.DUMMYFUNCTION("""COMPUTED_VALUE"""),2402)</f>
        <v>2402</v>
      </c>
      <c r="I23" s="16">
        <f>IFERROR(__xludf.DUMMYFUNCTION("""COMPUTED_VALUE"""),45775.6458333333)</f>
        <v>45775.6458333333</v>
      </c>
      <c r="J23" s="17">
        <f>IFERROR(__xludf.DUMMYFUNCTION("""COMPUTED_VALUE"""),2337.6)</f>
        <v>2337.6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IFERROR(__xludf.DUMMYFUNCTION("""COMPUTED_VALUE"""),2330.6)</f>
        <v>2330.6</v>
      </c>
      <c r="C24" s="16">
        <f>IFERROR(__xludf.DUMMYFUNCTION("""COMPUTED_VALUE"""),45776.6458333333)</f>
        <v>45776.6458333333</v>
      </c>
      <c r="D24" s="17">
        <f>IFERROR(__xludf.DUMMYFUNCTION("""COMPUTED_VALUE"""),2392)</f>
        <v>2392</v>
      </c>
      <c r="E24" s="16">
        <f>IFERROR(__xludf.DUMMYFUNCTION("""COMPUTED_VALUE"""),45776.6458333333)</f>
        <v>45776.6458333333</v>
      </c>
      <c r="F24" s="17">
        <f>IFERROR(__xludf.DUMMYFUNCTION("""COMPUTED_VALUE"""),670730)</f>
        <v>670730</v>
      </c>
      <c r="G24" s="16">
        <f>IFERROR(__xludf.DUMMYFUNCTION("""COMPUTED_VALUE"""),45776.6458333333)</f>
        <v>45776.6458333333</v>
      </c>
      <c r="H24" s="17">
        <f>IFERROR(__xludf.DUMMYFUNCTION("""COMPUTED_VALUE"""),2400)</f>
        <v>2400</v>
      </c>
      <c r="I24" s="16">
        <f>IFERROR(__xludf.DUMMYFUNCTION("""COMPUTED_VALUE"""),45776.6458333333)</f>
        <v>45776.6458333333</v>
      </c>
      <c r="J24" s="17">
        <f>IFERROR(__xludf.DUMMYFUNCTION("""COMPUTED_VALUE"""),2325.6)</f>
        <v>2325.6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IFERROR(__xludf.DUMMYFUNCTION("""COMPUTED_VALUE"""),2301.3)</f>
        <v>2301.3</v>
      </c>
      <c r="C25" s="16">
        <f>IFERROR(__xludf.DUMMYFUNCTION("""COMPUTED_VALUE"""),45777.6458333333)</f>
        <v>45777.6458333333</v>
      </c>
      <c r="D25" s="17">
        <f>IFERROR(__xludf.DUMMYFUNCTION("""COMPUTED_VALUE"""),2331.4)</f>
        <v>2331.4</v>
      </c>
      <c r="E25" s="16">
        <f>IFERROR(__xludf.DUMMYFUNCTION("""COMPUTED_VALUE"""),45777.6458333333)</f>
        <v>45777.6458333333</v>
      </c>
      <c r="F25" s="17">
        <f>IFERROR(__xludf.DUMMYFUNCTION("""COMPUTED_VALUE"""),837464)</f>
        <v>837464</v>
      </c>
      <c r="G25" s="16">
        <f>IFERROR(__xludf.DUMMYFUNCTION("""COMPUTED_VALUE"""),45777.6458333333)</f>
        <v>45777.6458333333</v>
      </c>
      <c r="H25" s="17">
        <f>IFERROR(__xludf.DUMMYFUNCTION("""COMPUTED_VALUE"""),2340)</f>
        <v>2340</v>
      </c>
      <c r="I25" s="16">
        <f>IFERROR(__xludf.DUMMYFUNCTION("""COMPUTED_VALUE"""),45777.6458333333)</f>
        <v>45777.6458333333</v>
      </c>
      <c r="J25" s="17">
        <f>IFERROR(__xludf.DUMMYFUNCTION("""COMPUTED_VALUE"""),2285)</f>
        <v>2285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IFERROR(__xludf.DUMMYFUNCTION("""COMPUTED_VALUE"""),2294.2)</f>
        <v>2294.2</v>
      </c>
      <c r="C26" s="16">
        <f>IFERROR(__xludf.DUMMYFUNCTION("""COMPUTED_VALUE"""),45779.6458333333)</f>
        <v>45779.6458333333</v>
      </c>
      <c r="D26" s="17">
        <f>IFERROR(__xludf.DUMMYFUNCTION("""COMPUTED_VALUE"""),2349.9)</f>
        <v>2349.9</v>
      </c>
      <c r="E26" s="16">
        <f>IFERROR(__xludf.DUMMYFUNCTION("""COMPUTED_VALUE"""),45779.6458333333)</f>
        <v>45779.6458333333</v>
      </c>
      <c r="F26" s="17">
        <f>IFERROR(__xludf.DUMMYFUNCTION("""COMPUTED_VALUE"""),1695797)</f>
        <v>1695797</v>
      </c>
      <c r="G26" s="16">
        <f>IFERROR(__xludf.DUMMYFUNCTION("""COMPUTED_VALUE"""),45779.6458333333)</f>
        <v>45779.6458333333</v>
      </c>
      <c r="H26" s="17">
        <f>IFERROR(__xludf.DUMMYFUNCTION("""COMPUTED_VALUE"""),2372.4)</f>
        <v>2372.4</v>
      </c>
      <c r="I26" s="16">
        <f>IFERROR(__xludf.DUMMYFUNCTION("""COMPUTED_VALUE"""),45779.6458333333)</f>
        <v>45779.6458333333</v>
      </c>
      <c r="J26" s="17">
        <f>IFERROR(__xludf.DUMMYFUNCTION("""COMPUTED_VALUE"""),2290)</f>
        <v>2290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IFERROR(__xludf.DUMMYFUNCTION("""COMPUTED_VALUE"""),2455.5)</f>
        <v>2455.5</v>
      </c>
      <c r="C27" s="16">
        <f>IFERROR(__xludf.DUMMYFUNCTION("""COMPUTED_VALUE"""),45782.6458333333)</f>
        <v>45782.6458333333</v>
      </c>
      <c r="D27" s="17">
        <f>IFERROR(__xludf.DUMMYFUNCTION("""COMPUTED_VALUE"""),2312.6)</f>
        <v>2312.6</v>
      </c>
      <c r="E27" s="16">
        <f>IFERROR(__xludf.DUMMYFUNCTION("""COMPUTED_VALUE"""),45782.6458333333)</f>
        <v>45782.6458333333</v>
      </c>
      <c r="F27" s="17">
        <f>IFERROR(__xludf.DUMMYFUNCTION("""COMPUTED_VALUE"""),4227194)</f>
        <v>4227194</v>
      </c>
      <c r="G27" s="16">
        <f>IFERROR(__xludf.DUMMYFUNCTION("""COMPUTED_VALUE"""),45782.6458333333)</f>
        <v>45782.6458333333</v>
      </c>
      <c r="H27" s="17">
        <f>IFERROR(__xludf.DUMMYFUNCTION("""COMPUTED_VALUE"""),2497)</f>
        <v>2497</v>
      </c>
      <c r="I27" s="16">
        <f>IFERROR(__xludf.DUMMYFUNCTION("""COMPUTED_VALUE"""),45782.6458333333)</f>
        <v>45782.6458333333</v>
      </c>
      <c r="J27" s="17">
        <f>IFERROR(__xludf.DUMMYFUNCTION("""COMPUTED_VALUE"""),2297.8)</f>
        <v>2297.8</v>
      </c>
      <c r="K27" s="3">
        <f t="shared" si="2"/>
        <v>2455.5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IFERROR(__xludf.DUMMYFUNCTION("""COMPUTED_VALUE"""),2354)</f>
        <v>2354</v>
      </c>
      <c r="C28" s="16">
        <f>IFERROR(__xludf.DUMMYFUNCTION("""COMPUTED_VALUE"""),45783.6458333333)</f>
        <v>45783.6458333333</v>
      </c>
      <c r="D28" s="17">
        <f>IFERROR(__xludf.DUMMYFUNCTION("""COMPUTED_VALUE"""),2454)</f>
        <v>2454</v>
      </c>
      <c r="E28" s="16">
        <f>IFERROR(__xludf.DUMMYFUNCTION("""COMPUTED_VALUE"""),45783.6458333333)</f>
        <v>45783.6458333333</v>
      </c>
      <c r="F28" s="17">
        <f>IFERROR(__xludf.DUMMYFUNCTION("""COMPUTED_VALUE"""),1524692)</f>
        <v>1524692</v>
      </c>
      <c r="G28" s="16">
        <f>IFERROR(__xludf.DUMMYFUNCTION("""COMPUTED_VALUE"""),45783.6458333333)</f>
        <v>45783.6458333333</v>
      </c>
      <c r="H28" s="17">
        <f>IFERROR(__xludf.DUMMYFUNCTION("""COMPUTED_VALUE"""),2463.2)</f>
        <v>2463.2</v>
      </c>
      <c r="I28" s="16">
        <f>IFERROR(__xludf.DUMMYFUNCTION("""COMPUTED_VALUE"""),45783.6458333333)</f>
        <v>45783.6458333333</v>
      </c>
      <c r="J28" s="17">
        <f>IFERROR(__xludf.DUMMYFUNCTION("""COMPUTED_VALUE"""),2343.5)</f>
        <v>2343.5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IFERROR(__xludf.DUMMYFUNCTION("""COMPUTED_VALUE"""),2353.1)</f>
        <v>2353.1</v>
      </c>
      <c r="C29" s="16">
        <f>IFERROR(__xludf.DUMMYFUNCTION("""COMPUTED_VALUE"""),45784.6458333333)</f>
        <v>45784.6458333333</v>
      </c>
      <c r="D29" s="17">
        <f>IFERROR(__xludf.DUMMYFUNCTION("""COMPUTED_VALUE"""),2315)</f>
        <v>2315</v>
      </c>
      <c r="E29" s="16">
        <f>IFERROR(__xludf.DUMMYFUNCTION("""COMPUTED_VALUE"""),45784.6458333333)</f>
        <v>45784.6458333333</v>
      </c>
      <c r="F29" s="17">
        <f>IFERROR(__xludf.DUMMYFUNCTION("""COMPUTED_VALUE"""),1012640)</f>
        <v>1012640</v>
      </c>
      <c r="G29" s="16">
        <f>IFERROR(__xludf.DUMMYFUNCTION("""COMPUTED_VALUE"""),45784.6458333333)</f>
        <v>45784.6458333333</v>
      </c>
      <c r="H29" s="17">
        <f>IFERROR(__xludf.DUMMYFUNCTION("""COMPUTED_VALUE"""),2379.5)</f>
        <v>2379.5</v>
      </c>
      <c r="I29" s="16">
        <f>IFERROR(__xludf.DUMMYFUNCTION("""COMPUTED_VALUE"""),45784.6458333333)</f>
        <v>45784.6458333333</v>
      </c>
      <c r="J29" s="17">
        <f>IFERROR(__xludf.DUMMYFUNCTION("""COMPUTED_VALUE"""),2315)</f>
        <v>2315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IFERROR(__xludf.DUMMYFUNCTION("""COMPUTED_VALUE"""),2285.3)</f>
        <v>2285.3</v>
      </c>
      <c r="C30" s="16">
        <f>IFERROR(__xludf.DUMMYFUNCTION("""COMPUTED_VALUE"""),45785.6458333333)</f>
        <v>45785.6458333333</v>
      </c>
      <c r="D30" s="17">
        <f>IFERROR(__xludf.DUMMYFUNCTION("""COMPUTED_VALUE"""),2362)</f>
        <v>2362</v>
      </c>
      <c r="E30" s="16">
        <f>IFERROR(__xludf.DUMMYFUNCTION("""COMPUTED_VALUE"""),45785.6458333333)</f>
        <v>45785.6458333333</v>
      </c>
      <c r="F30" s="17">
        <f>IFERROR(__xludf.DUMMYFUNCTION("""COMPUTED_VALUE"""),1380069)</f>
        <v>1380069</v>
      </c>
      <c r="G30" s="16">
        <f>IFERROR(__xludf.DUMMYFUNCTION("""COMPUTED_VALUE"""),45785.6458333333)</f>
        <v>45785.6458333333</v>
      </c>
      <c r="H30" s="17">
        <f>IFERROR(__xludf.DUMMYFUNCTION("""COMPUTED_VALUE"""),2367.8)</f>
        <v>2367.8</v>
      </c>
      <c r="I30" s="16">
        <f>IFERROR(__xludf.DUMMYFUNCTION("""COMPUTED_VALUE"""),45785.6458333333)</f>
        <v>45785.6458333333</v>
      </c>
      <c r="J30" s="17">
        <f>IFERROR(__xludf.DUMMYFUNCTION("""COMPUTED_VALUE"""),2260)</f>
        <v>2260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IFERROR(__xludf.DUMMYFUNCTION("""COMPUTED_VALUE"""),2251)</f>
        <v>2251</v>
      </c>
      <c r="C31" s="16">
        <f>IFERROR(__xludf.DUMMYFUNCTION("""COMPUTED_VALUE"""),45786.6458333333)</f>
        <v>45786.6458333333</v>
      </c>
      <c r="D31" s="17">
        <f>IFERROR(__xludf.DUMMYFUNCTION("""COMPUTED_VALUE"""),2240)</f>
        <v>2240</v>
      </c>
      <c r="E31" s="16">
        <f>IFERROR(__xludf.DUMMYFUNCTION("""COMPUTED_VALUE"""),45786.6458333333)</f>
        <v>45786.6458333333</v>
      </c>
      <c r="F31" s="17">
        <f>IFERROR(__xludf.DUMMYFUNCTION("""COMPUTED_VALUE"""),1006000)</f>
        <v>1006000</v>
      </c>
      <c r="G31" s="16">
        <f>IFERROR(__xludf.DUMMYFUNCTION("""COMPUTED_VALUE"""),45786.6458333333)</f>
        <v>45786.6458333333</v>
      </c>
      <c r="H31" s="17">
        <f>IFERROR(__xludf.DUMMYFUNCTION("""COMPUTED_VALUE"""),2273.1)</f>
        <v>2273.1</v>
      </c>
      <c r="I31" s="16">
        <f>IFERROR(__xludf.DUMMYFUNCTION("""COMPUTED_VALUE"""),45786.6458333333)</f>
        <v>45786.6458333333</v>
      </c>
      <c r="J31" s="17">
        <f>IFERROR(__xludf.DUMMYFUNCTION("""COMPUTED_VALUE"""),2233)</f>
        <v>2233</v>
      </c>
      <c r="K31" s="3">
        <f t="shared" si="2"/>
        <v>0</v>
      </c>
      <c r="L31" s="3">
        <f t="shared" si="3"/>
        <v>2251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IFERROR(__xludf.DUMMYFUNCTION("""COMPUTED_VALUE"""),2425.3)</f>
        <v>2425.3</v>
      </c>
      <c r="C32" s="16">
        <f>IFERROR(__xludf.DUMMYFUNCTION("""COMPUTED_VALUE"""),45789.6458333333)</f>
        <v>45789.6458333333</v>
      </c>
      <c r="D32" s="17">
        <f>IFERROR(__xludf.DUMMYFUNCTION("""COMPUTED_VALUE"""),2350)</f>
        <v>2350</v>
      </c>
      <c r="E32" s="16">
        <f>IFERROR(__xludf.DUMMYFUNCTION("""COMPUTED_VALUE"""),45789.6458333333)</f>
        <v>45789.6458333333</v>
      </c>
      <c r="F32" s="17">
        <f>IFERROR(__xludf.DUMMYFUNCTION("""COMPUTED_VALUE"""),2147039)</f>
        <v>2147039</v>
      </c>
      <c r="G32" s="16">
        <f>IFERROR(__xludf.DUMMYFUNCTION("""COMPUTED_VALUE"""),45789.6458333333)</f>
        <v>45789.6458333333</v>
      </c>
      <c r="H32" s="17">
        <f>IFERROR(__xludf.DUMMYFUNCTION("""COMPUTED_VALUE"""),2433.3)</f>
        <v>2433.3</v>
      </c>
      <c r="I32" s="16">
        <f>IFERROR(__xludf.DUMMYFUNCTION("""COMPUTED_VALUE"""),45789.6458333333)</f>
        <v>45789.6458333333</v>
      </c>
      <c r="J32" s="17">
        <f>IFERROR(__xludf.DUMMYFUNCTION("""COMPUTED_VALUE"""),2315)</f>
        <v>2315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IFERROR(__xludf.DUMMYFUNCTION("""COMPUTED_VALUE"""),2441.2)</f>
        <v>2441.2</v>
      </c>
      <c r="C33" s="16">
        <f>IFERROR(__xludf.DUMMYFUNCTION("""COMPUTED_VALUE"""),45790.6458333333)</f>
        <v>45790.6458333333</v>
      </c>
      <c r="D33" s="17">
        <f>IFERROR(__xludf.DUMMYFUNCTION("""COMPUTED_VALUE"""),2425)</f>
        <v>2425</v>
      </c>
      <c r="E33" s="16">
        <f>IFERROR(__xludf.DUMMYFUNCTION("""COMPUTED_VALUE"""),45790.6458333333)</f>
        <v>45790.6458333333</v>
      </c>
      <c r="F33" s="17">
        <f>IFERROR(__xludf.DUMMYFUNCTION("""COMPUTED_VALUE"""),1815179)</f>
        <v>1815179</v>
      </c>
      <c r="G33" s="16">
        <f>IFERROR(__xludf.DUMMYFUNCTION("""COMPUTED_VALUE"""),45790.6458333333)</f>
        <v>45790.6458333333</v>
      </c>
      <c r="H33" s="17">
        <f>IFERROR(__xludf.DUMMYFUNCTION("""COMPUTED_VALUE"""),2454.9)</f>
        <v>2454.9</v>
      </c>
      <c r="I33" s="16">
        <f>IFERROR(__xludf.DUMMYFUNCTION("""COMPUTED_VALUE"""),45790.6458333333)</f>
        <v>45790.6458333333</v>
      </c>
      <c r="J33" s="17">
        <f>IFERROR(__xludf.DUMMYFUNCTION("""COMPUTED_VALUE"""),2405)</f>
        <v>2405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IFERROR(__xludf.DUMMYFUNCTION("""COMPUTED_VALUE"""),2461.9)</f>
        <v>2461.9</v>
      </c>
      <c r="C34" s="16">
        <f>IFERROR(__xludf.DUMMYFUNCTION("""COMPUTED_VALUE"""),45791.6458333333)</f>
        <v>45791.6458333333</v>
      </c>
      <c r="D34" s="17">
        <f>IFERROR(__xludf.DUMMYFUNCTION("""COMPUTED_VALUE"""),2444.9)</f>
        <v>2444.9</v>
      </c>
      <c r="E34" s="16">
        <f>IFERROR(__xludf.DUMMYFUNCTION("""COMPUTED_VALUE"""),45791.6458333333)</f>
        <v>45791.6458333333</v>
      </c>
      <c r="F34" s="17">
        <f>IFERROR(__xludf.DUMMYFUNCTION("""COMPUTED_VALUE"""),774441)</f>
        <v>774441</v>
      </c>
      <c r="G34" s="16">
        <f>IFERROR(__xludf.DUMMYFUNCTION("""COMPUTED_VALUE"""),45791.6458333333)</f>
        <v>45791.6458333333</v>
      </c>
      <c r="H34" s="17">
        <f>IFERROR(__xludf.DUMMYFUNCTION("""COMPUTED_VALUE"""),2481.9)</f>
        <v>2481.9</v>
      </c>
      <c r="I34" s="16">
        <f>IFERROR(__xludf.DUMMYFUNCTION("""COMPUTED_VALUE"""),45791.6458333333)</f>
        <v>45791.6458333333</v>
      </c>
      <c r="J34" s="17">
        <f>IFERROR(__xludf.DUMMYFUNCTION("""COMPUTED_VALUE"""),2430.1)</f>
        <v>2430.1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IFERROR(__xludf.DUMMYFUNCTION("""COMPUTED_VALUE"""),2520)</f>
        <v>2520</v>
      </c>
      <c r="C35" s="16">
        <f>IFERROR(__xludf.DUMMYFUNCTION("""COMPUTED_VALUE"""),45792.6458333333)</f>
        <v>45792.6458333333</v>
      </c>
      <c r="D35" s="17">
        <f>IFERROR(__xludf.DUMMYFUNCTION("""COMPUTED_VALUE"""),2463.4)</f>
        <v>2463.4</v>
      </c>
      <c r="E35" s="16">
        <f>IFERROR(__xludf.DUMMYFUNCTION("""COMPUTED_VALUE"""),45792.6458333333)</f>
        <v>45792.6458333333</v>
      </c>
      <c r="F35" s="17">
        <f>IFERROR(__xludf.DUMMYFUNCTION("""COMPUTED_VALUE"""),1554801)</f>
        <v>1554801</v>
      </c>
      <c r="G35" s="16">
        <f>IFERROR(__xludf.DUMMYFUNCTION("""COMPUTED_VALUE"""),45792.6458333333)</f>
        <v>45792.6458333333</v>
      </c>
      <c r="H35" s="17">
        <f>IFERROR(__xludf.DUMMYFUNCTION("""COMPUTED_VALUE"""),2526.8)</f>
        <v>2526.8</v>
      </c>
      <c r="I35" s="16">
        <f>IFERROR(__xludf.DUMMYFUNCTION("""COMPUTED_VALUE"""),45792.6458333333)</f>
        <v>45792.6458333333</v>
      </c>
      <c r="J35" s="17">
        <f>IFERROR(__xludf.DUMMYFUNCTION("""COMPUTED_VALUE"""),2450.7)</f>
        <v>2450.7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IFERROR(__xludf.DUMMYFUNCTION("""COMPUTED_VALUE"""),2555)</f>
        <v>2555</v>
      </c>
      <c r="C36" s="16">
        <f>IFERROR(__xludf.DUMMYFUNCTION("""COMPUTED_VALUE"""),45793.6458333333)</f>
        <v>45793.6458333333</v>
      </c>
      <c r="D36" s="17">
        <f>IFERROR(__xludf.DUMMYFUNCTION("""COMPUTED_VALUE"""),2529)</f>
        <v>2529</v>
      </c>
      <c r="E36" s="16">
        <f>IFERROR(__xludf.DUMMYFUNCTION("""COMPUTED_VALUE"""),45793.6458333333)</f>
        <v>45793.6458333333</v>
      </c>
      <c r="F36" s="17">
        <f>IFERROR(__xludf.DUMMYFUNCTION("""COMPUTED_VALUE"""),1641135)</f>
        <v>1641135</v>
      </c>
      <c r="G36" s="16">
        <f>IFERROR(__xludf.DUMMYFUNCTION("""COMPUTED_VALUE"""),45793.6458333333)</f>
        <v>45793.6458333333</v>
      </c>
      <c r="H36" s="17">
        <f>IFERROR(__xludf.DUMMYFUNCTION("""COMPUTED_VALUE"""),2584.2)</f>
        <v>2584.2</v>
      </c>
      <c r="I36" s="16">
        <f>IFERROR(__xludf.DUMMYFUNCTION("""COMPUTED_VALUE"""),45793.6458333333)</f>
        <v>45793.6458333333</v>
      </c>
      <c r="J36" s="17">
        <f>IFERROR(__xludf.DUMMYFUNCTION("""COMPUTED_VALUE"""),2516.2)</f>
        <v>2516.2</v>
      </c>
      <c r="K36" s="3">
        <f t="shared" si="2"/>
        <v>2555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IFERROR(__xludf.DUMMYFUNCTION("""COMPUTED_VALUE"""),2540.6)</f>
        <v>2540.6</v>
      </c>
      <c r="C37" s="16">
        <f>IFERROR(__xludf.DUMMYFUNCTION("""COMPUTED_VALUE"""),45796.6458333333)</f>
        <v>45796.6458333333</v>
      </c>
      <c r="D37" s="17">
        <f>IFERROR(__xludf.DUMMYFUNCTION("""COMPUTED_VALUE"""),2571.3)</f>
        <v>2571.3</v>
      </c>
      <c r="E37" s="16">
        <f>IFERROR(__xludf.DUMMYFUNCTION("""COMPUTED_VALUE"""),45796.6458333333)</f>
        <v>45796.6458333333</v>
      </c>
      <c r="F37" s="17">
        <f>IFERROR(__xludf.DUMMYFUNCTION("""COMPUTED_VALUE"""),681000)</f>
        <v>681000</v>
      </c>
      <c r="G37" s="16">
        <f>IFERROR(__xludf.DUMMYFUNCTION("""COMPUTED_VALUE"""),45796.6458333333)</f>
        <v>45796.6458333333</v>
      </c>
      <c r="H37" s="17">
        <f>IFERROR(__xludf.DUMMYFUNCTION("""COMPUTED_VALUE"""),2578.8)</f>
        <v>2578.8</v>
      </c>
      <c r="I37" s="16">
        <f>IFERROR(__xludf.DUMMYFUNCTION("""COMPUTED_VALUE"""),45796.6458333333)</f>
        <v>45796.6458333333</v>
      </c>
      <c r="J37" s="17">
        <f>IFERROR(__xludf.DUMMYFUNCTION("""COMPUTED_VALUE"""),2536)</f>
        <v>2536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IFERROR(__xludf.DUMMYFUNCTION("""COMPUTED_VALUE"""),2501.6)</f>
        <v>2501.6</v>
      </c>
      <c r="C38" s="16">
        <f>IFERROR(__xludf.DUMMYFUNCTION("""COMPUTED_VALUE"""),45797.6458333333)</f>
        <v>45797.6458333333</v>
      </c>
      <c r="D38" s="17">
        <f>IFERROR(__xludf.DUMMYFUNCTION("""COMPUTED_VALUE"""),2545)</f>
        <v>2545</v>
      </c>
      <c r="E38" s="16">
        <f>IFERROR(__xludf.DUMMYFUNCTION("""COMPUTED_VALUE"""),45797.6458333333)</f>
        <v>45797.6458333333</v>
      </c>
      <c r="F38" s="17">
        <f>IFERROR(__xludf.DUMMYFUNCTION("""COMPUTED_VALUE"""),628023)</f>
        <v>628023</v>
      </c>
      <c r="G38" s="16">
        <f>IFERROR(__xludf.DUMMYFUNCTION("""COMPUTED_VALUE"""),45797.6458333333)</f>
        <v>45797.6458333333</v>
      </c>
      <c r="H38" s="17">
        <f>IFERROR(__xludf.DUMMYFUNCTION("""COMPUTED_VALUE"""),2564.8)</f>
        <v>2564.8</v>
      </c>
      <c r="I38" s="16">
        <f>IFERROR(__xludf.DUMMYFUNCTION("""COMPUTED_VALUE"""),45797.6458333333)</f>
        <v>45797.6458333333</v>
      </c>
      <c r="J38" s="17">
        <f>IFERROR(__xludf.DUMMYFUNCTION("""COMPUTED_VALUE"""),2492.5)</f>
        <v>2492.5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IFERROR(__xludf.DUMMYFUNCTION("""COMPUTED_VALUE"""),2500.4)</f>
        <v>2500.4</v>
      </c>
      <c r="C39" s="16">
        <f>IFERROR(__xludf.DUMMYFUNCTION("""COMPUTED_VALUE"""),45798.6458333333)</f>
        <v>45798.6458333333</v>
      </c>
      <c r="D39" s="17">
        <f>IFERROR(__xludf.DUMMYFUNCTION("""COMPUTED_VALUE"""),2509.7)</f>
        <v>2509.7</v>
      </c>
      <c r="E39" s="16">
        <f>IFERROR(__xludf.DUMMYFUNCTION("""COMPUTED_VALUE"""),45798.6458333333)</f>
        <v>45798.6458333333</v>
      </c>
      <c r="F39" s="17">
        <f>IFERROR(__xludf.DUMMYFUNCTION("""COMPUTED_VALUE"""),529234)</f>
        <v>529234</v>
      </c>
      <c r="G39" s="16">
        <f>IFERROR(__xludf.DUMMYFUNCTION("""COMPUTED_VALUE"""),45798.6458333333)</f>
        <v>45798.6458333333</v>
      </c>
      <c r="H39" s="17">
        <f>IFERROR(__xludf.DUMMYFUNCTION("""COMPUTED_VALUE"""),2524.5)</f>
        <v>2524.5</v>
      </c>
      <c r="I39" s="16">
        <f>IFERROR(__xludf.DUMMYFUNCTION("""COMPUTED_VALUE"""),45798.6458333333)</f>
        <v>45798.6458333333</v>
      </c>
      <c r="J39" s="17">
        <f>IFERROR(__xludf.DUMMYFUNCTION("""COMPUTED_VALUE"""),2483.7)</f>
        <v>2483.7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IFERROR(__xludf.DUMMYFUNCTION("""COMPUTED_VALUE"""),2487.6)</f>
        <v>2487.6</v>
      </c>
      <c r="C40" s="16">
        <f>IFERROR(__xludf.DUMMYFUNCTION("""COMPUTED_VALUE"""),45799.6458333333)</f>
        <v>45799.6458333333</v>
      </c>
      <c r="D40" s="17">
        <f>IFERROR(__xludf.DUMMYFUNCTION("""COMPUTED_VALUE"""),2500.4)</f>
        <v>2500.4</v>
      </c>
      <c r="E40" s="16">
        <f>IFERROR(__xludf.DUMMYFUNCTION("""COMPUTED_VALUE"""),45799.6458333333)</f>
        <v>45799.6458333333</v>
      </c>
      <c r="F40" s="17">
        <f>IFERROR(__xludf.DUMMYFUNCTION("""COMPUTED_VALUE"""),906909)</f>
        <v>906909</v>
      </c>
      <c r="G40" s="16">
        <f>IFERROR(__xludf.DUMMYFUNCTION("""COMPUTED_VALUE"""),45799.6458333333)</f>
        <v>45799.6458333333</v>
      </c>
      <c r="H40" s="17">
        <f>IFERROR(__xludf.DUMMYFUNCTION("""COMPUTED_VALUE"""),2521.9)</f>
        <v>2521.9</v>
      </c>
      <c r="I40" s="16">
        <f>IFERROR(__xludf.DUMMYFUNCTION("""COMPUTED_VALUE"""),45799.6458333333)</f>
        <v>45799.6458333333</v>
      </c>
      <c r="J40" s="17">
        <f>IFERROR(__xludf.DUMMYFUNCTION("""COMPUTED_VALUE"""),2465.3)</f>
        <v>2465.3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IFERROR(__xludf.DUMMYFUNCTION("""COMPUTED_VALUE"""),2540)</f>
        <v>2540</v>
      </c>
      <c r="C41" s="16">
        <f>IFERROR(__xludf.DUMMYFUNCTION("""COMPUTED_VALUE"""),45800.6458333333)</f>
        <v>45800.6458333333</v>
      </c>
      <c r="D41" s="17">
        <f>IFERROR(__xludf.DUMMYFUNCTION("""COMPUTED_VALUE"""),2499)</f>
        <v>2499</v>
      </c>
      <c r="E41" s="16">
        <f>IFERROR(__xludf.DUMMYFUNCTION("""COMPUTED_VALUE"""),45800.6458333333)</f>
        <v>45800.6458333333</v>
      </c>
      <c r="F41" s="17">
        <f>IFERROR(__xludf.DUMMYFUNCTION("""COMPUTED_VALUE"""),968415)</f>
        <v>968415</v>
      </c>
      <c r="G41" s="16">
        <f>IFERROR(__xludf.DUMMYFUNCTION("""COMPUTED_VALUE"""),45800.6458333333)</f>
        <v>45800.6458333333</v>
      </c>
      <c r="H41" s="17">
        <f>IFERROR(__xludf.DUMMYFUNCTION("""COMPUTED_VALUE"""),2548.1)</f>
        <v>2548.1</v>
      </c>
      <c r="I41" s="16">
        <f>IFERROR(__xludf.DUMMYFUNCTION("""COMPUTED_VALUE"""),45800.6458333333)</f>
        <v>45800.6458333333</v>
      </c>
      <c r="J41" s="17">
        <f>IFERROR(__xludf.DUMMYFUNCTION("""COMPUTED_VALUE"""),2490.5)</f>
        <v>2490.5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IFERROR(__xludf.DUMMYFUNCTION("""COMPUTED_VALUE"""),2547.7)</f>
        <v>2547.7</v>
      </c>
      <c r="C42" s="16">
        <f>IFERROR(__xludf.DUMMYFUNCTION("""COMPUTED_VALUE"""),45803.6458333333)</f>
        <v>45803.6458333333</v>
      </c>
      <c r="D42" s="17">
        <f>IFERROR(__xludf.DUMMYFUNCTION("""COMPUTED_VALUE"""),2549.1)</f>
        <v>2549.1</v>
      </c>
      <c r="E42" s="16">
        <f>IFERROR(__xludf.DUMMYFUNCTION("""COMPUTED_VALUE"""),45803.6458333333)</f>
        <v>45803.6458333333</v>
      </c>
      <c r="F42" s="17">
        <f>IFERROR(__xludf.DUMMYFUNCTION("""COMPUTED_VALUE"""),552912)</f>
        <v>552912</v>
      </c>
      <c r="G42" s="16">
        <f>IFERROR(__xludf.DUMMYFUNCTION("""COMPUTED_VALUE"""),45803.6458333333)</f>
        <v>45803.6458333333</v>
      </c>
      <c r="H42" s="17">
        <f>IFERROR(__xludf.DUMMYFUNCTION("""COMPUTED_VALUE"""),2568.9)</f>
        <v>2568.9</v>
      </c>
      <c r="I42" s="16">
        <f>IFERROR(__xludf.DUMMYFUNCTION("""COMPUTED_VALUE"""),45803.6458333333)</f>
        <v>45803.6458333333</v>
      </c>
      <c r="J42" s="17">
        <f>IFERROR(__xludf.DUMMYFUNCTION("""COMPUTED_VALUE"""),2541.3)</f>
        <v>2541.3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IFERROR(__xludf.DUMMYFUNCTION("""COMPUTED_VALUE"""),2540.3)</f>
        <v>2540.3</v>
      </c>
      <c r="C43" s="16">
        <f>IFERROR(__xludf.DUMMYFUNCTION("""COMPUTED_VALUE"""),45804.6458333333)</f>
        <v>45804.6458333333</v>
      </c>
      <c r="D43" s="17">
        <f>IFERROR(__xludf.DUMMYFUNCTION("""COMPUTED_VALUE"""),2545.9)</f>
        <v>2545.9</v>
      </c>
      <c r="E43" s="16">
        <f>IFERROR(__xludf.DUMMYFUNCTION("""COMPUTED_VALUE"""),45804.6458333333)</f>
        <v>45804.6458333333</v>
      </c>
      <c r="F43" s="17">
        <f>IFERROR(__xludf.DUMMYFUNCTION("""COMPUTED_VALUE"""),514936)</f>
        <v>514936</v>
      </c>
      <c r="G43" s="16">
        <f>IFERROR(__xludf.DUMMYFUNCTION("""COMPUTED_VALUE"""),45804.6458333333)</f>
        <v>45804.6458333333</v>
      </c>
      <c r="H43" s="17">
        <f>IFERROR(__xludf.DUMMYFUNCTION("""COMPUTED_VALUE"""),2569.1)</f>
        <v>2569.1</v>
      </c>
      <c r="I43" s="16">
        <f>IFERROR(__xludf.DUMMYFUNCTION("""COMPUTED_VALUE"""),45804.6458333333)</f>
        <v>45804.6458333333</v>
      </c>
      <c r="J43" s="17">
        <f>IFERROR(__xludf.DUMMYFUNCTION("""COMPUTED_VALUE"""),2526.1)</f>
        <v>2526.1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IFERROR(__xludf.DUMMYFUNCTION("""COMPUTED_VALUE"""),2515)</f>
        <v>2515</v>
      </c>
      <c r="C44" s="16">
        <f>IFERROR(__xludf.DUMMYFUNCTION("""COMPUTED_VALUE"""),45805.6458333333)</f>
        <v>45805.6458333333</v>
      </c>
      <c r="D44" s="17">
        <f>IFERROR(__xludf.DUMMYFUNCTION("""COMPUTED_VALUE"""),2559)</f>
        <v>2559</v>
      </c>
      <c r="E44" s="16">
        <f>IFERROR(__xludf.DUMMYFUNCTION("""COMPUTED_VALUE"""),45805.6458333333)</f>
        <v>45805.6458333333</v>
      </c>
      <c r="F44" s="17">
        <f>IFERROR(__xludf.DUMMYFUNCTION("""COMPUTED_VALUE"""),575989)</f>
        <v>575989</v>
      </c>
      <c r="G44" s="16">
        <f>IFERROR(__xludf.DUMMYFUNCTION("""COMPUTED_VALUE"""),45805.6458333333)</f>
        <v>45805.6458333333</v>
      </c>
      <c r="H44" s="17">
        <f>IFERROR(__xludf.DUMMYFUNCTION("""COMPUTED_VALUE"""),2559)</f>
        <v>2559</v>
      </c>
      <c r="I44" s="16">
        <f>IFERROR(__xludf.DUMMYFUNCTION("""COMPUTED_VALUE"""),45805.6458333333)</f>
        <v>45805.6458333333</v>
      </c>
      <c r="J44" s="17">
        <f>IFERROR(__xludf.DUMMYFUNCTION("""COMPUTED_VALUE"""),2510)</f>
        <v>2510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IFERROR(__xludf.DUMMYFUNCTION("""COMPUTED_VALUE"""),2540.8)</f>
        <v>2540.8</v>
      </c>
      <c r="C45" s="16">
        <f>IFERROR(__xludf.DUMMYFUNCTION("""COMPUTED_VALUE"""),45806.6458333333)</f>
        <v>45806.6458333333</v>
      </c>
      <c r="D45" s="17">
        <f>IFERROR(__xludf.DUMMYFUNCTION("""COMPUTED_VALUE"""),2536.7)</f>
        <v>2536.7</v>
      </c>
      <c r="E45" s="16">
        <f>IFERROR(__xludf.DUMMYFUNCTION("""COMPUTED_VALUE"""),45806.6458333333)</f>
        <v>45806.6458333333</v>
      </c>
      <c r="F45" s="17">
        <f>IFERROR(__xludf.DUMMYFUNCTION("""COMPUTED_VALUE"""),802317)</f>
        <v>802317</v>
      </c>
      <c r="G45" s="16">
        <f>IFERROR(__xludf.DUMMYFUNCTION("""COMPUTED_VALUE"""),45806.6458333333)</f>
        <v>45806.6458333333</v>
      </c>
      <c r="H45" s="17">
        <f>IFERROR(__xludf.DUMMYFUNCTION("""COMPUTED_VALUE"""),2559)</f>
        <v>2559</v>
      </c>
      <c r="I45" s="16">
        <f>IFERROR(__xludf.DUMMYFUNCTION("""COMPUTED_VALUE"""),45806.6458333333)</f>
        <v>45806.6458333333</v>
      </c>
      <c r="J45" s="17">
        <f>IFERROR(__xludf.DUMMYFUNCTION("""COMPUTED_VALUE"""),2511)</f>
        <v>2511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IFERROR(__xludf.DUMMYFUNCTION("""COMPUTED_VALUE"""),2519.9)</f>
        <v>2519.9</v>
      </c>
      <c r="C46" s="16">
        <f>IFERROR(__xludf.DUMMYFUNCTION("""COMPUTED_VALUE"""),45807.6458333333)</f>
        <v>45807.6458333333</v>
      </c>
      <c r="D46" s="17">
        <f>IFERROR(__xludf.DUMMYFUNCTION("""COMPUTED_VALUE"""),2550)</f>
        <v>2550</v>
      </c>
      <c r="E46" s="16">
        <f>IFERROR(__xludf.DUMMYFUNCTION("""COMPUTED_VALUE"""),45807.6458333333)</f>
        <v>45807.6458333333</v>
      </c>
      <c r="F46" s="17">
        <f>IFERROR(__xludf.DUMMYFUNCTION("""COMPUTED_VALUE"""),684592)</f>
        <v>684592</v>
      </c>
      <c r="G46" s="16">
        <f>IFERROR(__xludf.DUMMYFUNCTION("""COMPUTED_VALUE"""),45807.6458333333)</f>
        <v>45807.6458333333</v>
      </c>
      <c r="H46" s="17">
        <f>IFERROR(__xludf.DUMMYFUNCTION("""COMPUTED_VALUE"""),2564)</f>
        <v>2564</v>
      </c>
      <c r="I46" s="16">
        <f>IFERROR(__xludf.DUMMYFUNCTION("""COMPUTED_VALUE"""),45807.6458333333)</f>
        <v>45807.6458333333</v>
      </c>
      <c r="J46" s="17">
        <f>IFERROR(__xludf.DUMMYFUNCTION("""COMPUTED_VALUE"""),2513.8)</f>
        <v>2513.8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IFERROR(__xludf.DUMMYFUNCTION("""COMPUTED_VALUE"""),2518.8)</f>
        <v>2518.8</v>
      </c>
      <c r="C47" s="16">
        <f>IFERROR(__xludf.DUMMYFUNCTION("""COMPUTED_VALUE"""),45810.6458333333)</f>
        <v>45810.6458333333</v>
      </c>
      <c r="D47" s="17">
        <f>IFERROR(__xludf.DUMMYFUNCTION("""COMPUTED_VALUE"""),2527)</f>
        <v>2527</v>
      </c>
      <c r="E47" s="16">
        <f>IFERROR(__xludf.DUMMYFUNCTION("""COMPUTED_VALUE"""),45810.6458333333)</f>
        <v>45810.6458333333</v>
      </c>
      <c r="F47" s="17">
        <f>IFERROR(__xludf.DUMMYFUNCTION("""COMPUTED_VALUE"""),1008716)</f>
        <v>1008716</v>
      </c>
      <c r="G47" s="16">
        <f>IFERROR(__xludf.DUMMYFUNCTION("""COMPUTED_VALUE"""),45810.6458333333)</f>
        <v>45810.6458333333</v>
      </c>
      <c r="H47" s="17">
        <f>IFERROR(__xludf.DUMMYFUNCTION("""COMPUTED_VALUE"""),2564)</f>
        <v>2564</v>
      </c>
      <c r="I47" s="16">
        <f>IFERROR(__xludf.DUMMYFUNCTION("""COMPUTED_VALUE"""),45810.6458333333)</f>
        <v>45810.6458333333</v>
      </c>
      <c r="J47" s="17">
        <f>IFERROR(__xludf.DUMMYFUNCTION("""COMPUTED_VALUE"""),2514.9)</f>
        <v>2514.9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IFERROR(__xludf.DUMMYFUNCTION("""COMPUTED_VALUE"""),2470.9)</f>
        <v>2470.9</v>
      </c>
      <c r="C48" s="16">
        <f>IFERROR(__xludf.DUMMYFUNCTION("""COMPUTED_VALUE"""),45811.6458333333)</f>
        <v>45811.6458333333</v>
      </c>
      <c r="D48" s="17">
        <f>IFERROR(__xludf.DUMMYFUNCTION("""COMPUTED_VALUE"""),2511)</f>
        <v>2511</v>
      </c>
      <c r="E48" s="16">
        <f>IFERROR(__xludf.DUMMYFUNCTION("""COMPUTED_VALUE"""),45811.6458333333)</f>
        <v>45811.6458333333</v>
      </c>
      <c r="F48" s="17">
        <f>IFERROR(__xludf.DUMMYFUNCTION("""COMPUTED_VALUE"""),962708)</f>
        <v>962708</v>
      </c>
      <c r="G48" s="16">
        <f>IFERROR(__xludf.DUMMYFUNCTION("""COMPUTED_VALUE"""),45811.6458333333)</f>
        <v>45811.6458333333</v>
      </c>
      <c r="H48" s="17">
        <f>IFERROR(__xludf.DUMMYFUNCTION("""COMPUTED_VALUE"""),2512.5)</f>
        <v>2512.5</v>
      </c>
      <c r="I48" s="16">
        <f>IFERROR(__xludf.DUMMYFUNCTION("""COMPUTED_VALUE"""),45811.6458333333)</f>
        <v>45811.6458333333</v>
      </c>
      <c r="J48" s="17">
        <f>IFERROR(__xludf.DUMMYFUNCTION("""COMPUTED_VALUE"""),2452)</f>
        <v>2452</v>
      </c>
      <c r="K48" s="3">
        <f t="shared" si="2"/>
        <v>0</v>
      </c>
      <c r="L48" s="3">
        <f t="shared" si="3"/>
        <v>2470.9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IFERROR(__xludf.DUMMYFUNCTION("""COMPUTED_VALUE"""),2489.4)</f>
        <v>2489.4</v>
      </c>
      <c r="C49" s="16">
        <f>IFERROR(__xludf.DUMMYFUNCTION("""COMPUTED_VALUE"""),45812.6458333333)</f>
        <v>45812.6458333333</v>
      </c>
      <c r="D49" s="17">
        <f>IFERROR(__xludf.DUMMYFUNCTION("""COMPUTED_VALUE"""),2480)</f>
        <v>2480</v>
      </c>
      <c r="E49" s="16">
        <f>IFERROR(__xludf.DUMMYFUNCTION("""COMPUTED_VALUE"""),45812.6458333333)</f>
        <v>45812.6458333333</v>
      </c>
      <c r="F49" s="17">
        <f>IFERROR(__xludf.DUMMYFUNCTION("""COMPUTED_VALUE"""),552667)</f>
        <v>552667</v>
      </c>
      <c r="G49" s="16">
        <f>IFERROR(__xludf.DUMMYFUNCTION("""COMPUTED_VALUE"""),45812.6458333333)</f>
        <v>45812.6458333333</v>
      </c>
      <c r="H49" s="17">
        <f>IFERROR(__xludf.DUMMYFUNCTION("""COMPUTED_VALUE"""),2503)</f>
        <v>2503</v>
      </c>
      <c r="I49" s="16">
        <f>IFERROR(__xludf.DUMMYFUNCTION("""COMPUTED_VALUE"""),45812.6458333333)</f>
        <v>45812.6458333333</v>
      </c>
      <c r="J49" s="17">
        <f>IFERROR(__xludf.DUMMYFUNCTION("""COMPUTED_VALUE"""),2441.1)</f>
        <v>2441.1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IFERROR(__xludf.DUMMYFUNCTION("""COMPUTED_VALUE"""),2504.4)</f>
        <v>2504.4</v>
      </c>
      <c r="C50" s="16">
        <f>IFERROR(__xludf.DUMMYFUNCTION("""COMPUTED_VALUE"""),45813.6458333333)</f>
        <v>45813.6458333333</v>
      </c>
      <c r="D50" s="17">
        <f>IFERROR(__xludf.DUMMYFUNCTION("""COMPUTED_VALUE"""),2495)</f>
        <v>2495</v>
      </c>
      <c r="E50" s="16">
        <f>IFERROR(__xludf.DUMMYFUNCTION("""COMPUTED_VALUE"""),45813.6458333333)</f>
        <v>45813.6458333333</v>
      </c>
      <c r="F50" s="17">
        <f>IFERROR(__xludf.DUMMYFUNCTION("""COMPUTED_VALUE"""),673209)</f>
        <v>673209</v>
      </c>
      <c r="G50" s="16">
        <f>IFERROR(__xludf.DUMMYFUNCTION("""COMPUTED_VALUE"""),45813.6458333333)</f>
        <v>45813.6458333333</v>
      </c>
      <c r="H50" s="17">
        <f>IFERROR(__xludf.DUMMYFUNCTION("""COMPUTED_VALUE"""),2530.1)</f>
        <v>2530.1</v>
      </c>
      <c r="I50" s="16">
        <f>IFERROR(__xludf.DUMMYFUNCTION("""COMPUTED_VALUE"""),45813.6458333333)</f>
        <v>45813.6458333333</v>
      </c>
      <c r="J50" s="17">
        <f>IFERROR(__xludf.DUMMYFUNCTION("""COMPUTED_VALUE"""),2487.5)</f>
        <v>2487.5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IFERROR(__xludf.DUMMYFUNCTION("""COMPUTED_VALUE"""),2534.2)</f>
        <v>2534.2</v>
      </c>
      <c r="C51" s="16">
        <f>IFERROR(__xludf.DUMMYFUNCTION("""COMPUTED_VALUE"""),45814.6458333333)</f>
        <v>45814.6458333333</v>
      </c>
      <c r="D51" s="17">
        <f>IFERROR(__xludf.DUMMYFUNCTION("""COMPUTED_VALUE"""),2514.9)</f>
        <v>2514.9</v>
      </c>
      <c r="E51" s="16">
        <f>IFERROR(__xludf.DUMMYFUNCTION("""COMPUTED_VALUE"""),45814.6458333333)</f>
        <v>45814.6458333333</v>
      </c>
      <c r="F51" s="17">
        <f>IFERROR(__xludf.DUMMYFUNCTION("""COMPUTED_VALUE"""),640680)</f>
        <v>640680</v>
      </c>
      <c r="G51" s="16">
        <f>IFERROR(__xludf.DUMMYFUNCTION("""COMPUTED_VALUE"""),45814.6458333333)</f>
        <v>45814.6458333333</v>
      </c>
      <c r="H51" s="17">
        <f>IFERROR(__xludf.DUMMYFUNCTION("""COMPUTED_VALUE"""),2553.3)</f>
        <v>2553.3</v>
      </c>
      <c r="I51" s="16">
        <f>IFERROR(__xludf.DUMMYFUNCTION("""COMPUTED_VALUE"""),45814.6458333333)</f>
        <v>45814.6458333333</v>
      </c>
      <c r="J51" s="17">
        <f>IFERROR(__xludf.DUMMYFUNCTION("""COMPUTED_VALUE"""),2504)</f>
        <v>2504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IFERROR(__xludf.DUMMYFUNCTION("""COMPUTED_VALUE"""),2582.1)</f>
        <v>2582.1</v>
      </c>
      <c r="C52" s="16">
        <f>IFERROR(__xludf.DUMMYFUNCTION("""COMPUTED_VALUE"""),45817.6458333333)</f>
        <v>45817.6458333333</v>
      </c>
      <c r="D52" s="17">
        <f>IFERROR(__xludf.DUMMYFUNCTION("""COMPUTED_VALUE"""),2545)</f>
        <v>2545</v>
      </c>
      <c r="E52" s="16">
        <f>IFERROR(__xludf.DUMMYFUNCTION("""COMPUTED_VALUE"""),45817.6458333333)</f>
        <v>45817.6458333333</v>
      </c>
      <c r="F52" s="17">
        <f>IFERROR(__xludf.DUMMYFUNCTION("""COMPUTED_VALUE"""),1711167)</f>
        <v>1711167</v>
      </c>
      <c r="G52" s="16">
        <f>IFERROR(__xludf.DUMMYFUNCTION("""COMPUTED_VALUE"""),45817.6458333333)</f>
        <v>45817.6458333333</v>
      </c>
      <c r="H52" s="17">
        <f>IFERROR(__xludf.DUMMYFUNCTION("""COMPUTED_VALUE"""),2604.1)</f>
        <v>2604.1</v>
      </c>
      <c r="I52" s="16">
        <f>IFERROR(__xludf.DUMMYFUNCTION("""COMPUTED_VALUE"""),45817.6458333333)</f>
        <v>45817.6458333333</v>
      </c>
      <c r="J52" s="17">
        <f>IFERROR(__xludf.DUMMYFUNCTION("""COMPUTED_VALUE"""),2524.5)</f>
        <v>2524.5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IFERROR(__xludf.DUMMYFUNCTION("""COMPUTED_VALUE"""),2613.1)</f>
        <v>2613.1</v>
      </c>
      <c r="C53" s="16">
        <f>IFERROR(__xludf.DUMMYFUNCTION("""COMPUTED_VALUE"""),45818.6458333333)</f>
        <v>45818.6458333333</v>
      </c>
      <c r="D53" s="17">
        <f>IFERROR(__xludf.DUMMYFUNCTION("""COMPUTED_VALUE"""),2600)</f>
        <v>2600</v>
      </c>
      <c r="E53" s="16">
        <f>IFERROR(__xludf.DUMMYFUNCTION("""COMPUTED_VALUE"""),45818.6458333333)</f>
        <v>45818.6458333333</v>
      </c>
      <c r="F53" s="17">
        <f>IFERROR(__xludf.DUMMYFUNCTION("""COMPUTED_VALUE"""),2084054)</f>
        <v>2084054</v>
      </c>
      <c r="G53" s="16">
        <f>IFERROR(__xludf.DUMMYFUNCTION("""COMPUTED_VALUE"""),45818.6458333333)</f>
        <v>45818.6458333333</v>
      </c>
      <c r="H53" s="17">
        <f>IFERROR(__xludf.DUMMYFUNCTION("""COMPUTED_VALUE"""),2663.2)</f>
        <v>2663.2</v>
      </c>
      <c r="I53" s="16">
        <f>IFERROR(__xludf.DUMMYFUNCTION("""COMPUTED_VALUE"""),45818.6458333333)</f>
        <v>45818.6458333333</v>
      </c>
      <c r="J53" s="17">
        <f>IFERROR(__xludf.DUMMYFUNCTION("""COMPUTED_VALUE"""),2577.7)</f>
        <v>2577.7</v>
      </c>
      <c r="K53" s="3">
        <f t="shared" si="2"/>
        <v>2613.1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IFERROR(__xludf.DUMMYFUNCTION("""COMPUTED_VALUE"""),2581.2)</f>
        <v>2581.2</v>
      </c>
      <c r="C54" s="16">
        <f>IFERROR(__xludf.DUMMYFUNCTION("""COMPUTED_VALUE"""),45819.6458333333)</f>
        <v>45819.6458333333</v>
      </c>
      <c r="D54" s="17">
        <f>IFERROR(__xludf.DUMMYFUNCTION("""COMPUTED_VALUE"""),2630)</f>
        <v>2630</v>
      </c>
      <c r="E54" s="16">
        <f>IFERROR(__xludf.DUMMYFUNCTION("""COMPUTED_VALUE"""),45819.6458333333)</f>
        <v>45819.6458333333</v>
      </c>
      <c r="F54" s="17">
        <f>IFERROR(__xludf.DUMMYFUNCTION("""COMPUTED_VALUE"""),745432)</f>
        <v>745432</v>
      </c>
      <c r="G54" s="16">
        <f>IFERROR(__xludf.DUMMYFUNCTION("""COMPUTED_VALUE"""),45819.6458333333)</f>
        <v>45819.6458333333</v>
      </c>
      <c r="H54" s="17">
        <f>IFERROR(__xludf.DUMMYFUNCTION("""COMPUTED_VALUE"""),2630.9)</f>
        <v>2630.9</v>
      </c>
      <c r="I54" s="16">
        <f>IFERROR(__xludf.DUMMYFUNCTION("""COMPUTED_VALUE"""),45819.6458333333)</f>
        <v>45819.6458333333</v>
      </c>
      <c r="J54" s="17">
        <f>IFERROR(__xludf.DUMMYFUNCTION("""COMPUTED_VALUE"""),2563.1)</f>
        <v>2563.1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IFERROR(__xludf.DUMMYFUNCTION("""COMPUTED_VALUE"""),2543.7)</f>
        <v>2543.7</v>
      </c>
      <c r="C55" s="16">
        <f>IFERROR(__xludf.DUMMYFUNCTION("""COMPUTED_VALUE"""),45820.6458333333)</f>
        <v>45820.6458333333</v>
      </c>
      <c r="D55" s="17">
        <f>IFERROR(__xludf.DUMMYFUNCTION("""COMPUTED_VALUE"""),2591.5)</f>
        <v>2591.5</v>
      </c>
      <c r="E55" s="16">
        <f>IFERROR(__xludf.DUMMYFUNCTION("""COMPUTED_VALUE"""),45820.6458333333)</f>
        <v>45820.6458333333</v>
      </c>
      <c r="F55" s="17">
        <f>IFERROR(__xludf.DUMMYFUNCTION("""COMPUTED_VALUE"""),955097)</f>
        <v>955097</v>
      </c>
      <c r="G55" s="16">
        <f>IFERROR(__xludf.DUMMYFUNCTION("""COMPUTED_VALUE"""),45820.6458333333)</f>
        <v>45820.6458333333</v>
      </c>
      <c r="H55" s="17">
        <f>IFERROR(__xludf.DUMMYFUNCTION("""COMPUTED_VALUE"""),2601.8)</f>
        <v>2601.8</v>
      </c>
      <c r="I55" s="16">
        <f>IFERROR(__xludf.DUMMYFUNCTION("""COMPUTED_VALUE"""),45820.6458333333)</f>
        <v>45820.6458333333</v>
      </c>
      <c r="J55" s="17">
        <f>IFERROR(__xludf.DUMMYFUNCTION("""COMPUTED_VALUE"""),2530)</f>
        <v>2530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IFERROR(__xludf.DUMMYFUNCTION("""COMPUTED_VALUE"""),2507.9)</f>
        <v>2507.9</v>
      </c>
      <c r="C56" s="16">
        <f>IFERROR(__xludf.DUMMYFUNCTION("""COMPUTED_VALUE"""),45821.6458333333)</f>
        <v>45821.6458333333</v>
      </c>
      <c r="D56" s="17">
        <f>IFERROR(__xludf.DUMMYFUNCTION("""COMPUTED_VALUE"""),2498)</f>
        <v>2498</v>
      </c>
      <c r="E56" s="16">
        <f>IFERROR(__xludf.DUMMYFUNCTION("""COMPUTED_VALUE"""),45821.6458333333)</f>
        <v>45821.6458333333</v>
      </c>
      <c r="F56" s="17">
        <f>IFERROR(__xludf.DUMMYFUNCTION("""COMPUTED_VALUE"""),695869)</f>
        <v>695869</v>
      </c>
      <c r="G56" s="16">
        <f>IFERROR(__xludf.DUMMYFUNCTION("""COMPUTED_VALUE"""),45821.6458333333)</f>
        <v>45821.6458333333</v>
      </c>
      <c r="H56" s="17">
        <f>IFERROR(__xludf.DUMMYFUNCTION("""COMPUTED_VALUE"""),2516)</f>
        <v>2516</v>
      </c>
      <c r="I56" s="16">
        <f>IFERROR(__xludf.DUMMYFUNCTION("""COMPUTED_VALUE"""),45821.6458333333)</f>
        <v>45821.6458333333</v>
      </c>
      <c r="J56" s="17">
        <f>IFERROR(__xludf.DUMMYFUNCTION("""COMPUTED_VALUE"""),2460)</f>
        <v>2460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IFERROR(__xludf.DUMMYFUNCTION("""COMPUTED_VALUE"""),2544)</f>
        <v>2544</v>
      </c>
      <c r="C57" s="16">
        <f>IFERROR(__xludf.DUMMYFUNCTION("""COMPUTED_VALUE"""),45824.6458333333)</f>
        <v>45824.6458333333</v>
      </c>
      <c r="D57" s="17">
        <f>IFERROR(__xludf.DUMMYFUNCTION("""COMPUTED_VALUE"""),2500)</f>
        <v>2500</v>
      </c>
      <c r="E57" s="16">
        <f>IFERROR(__xludf.DUMMYFUNCTION("""COMPUTED_VALUE"""),45824.6458333333)</f>
        <v>45824.6458333333</v>
      </c>
      <c r="F57" s="17">
        <f>IFERROR(__xludf.DUMMYFUNCTION("""COMPUTED_VALUE"""),956459)</f>
        <v>956459</v>
      </c>
      <c r="G57" s="16">
        <f>IFERROR(__xludf.DUMMYFUNCTION("""COMPUTED_VALUE"""),45824.6458333333)</f>
        <v>45824.6458333333</v>
      </c>
      <c r="H57" s="17">
        <f>IFERROR(__xludf.DUMMYFUNCTION("""COMPUTED_VALUE"""),2563.3)</f>
        <v>2563.3</v>
      </c>
      <c r="I57" s="16">
        <f>IFERROR(__xludf.DUMMYFUNCTION("""COMPUTED_VALUE"""),45824.6458333333)</f>
        <v>45824.6458333333</v>
      </c>
      <c r="J57" s="17">
        <f>IFERROR(__xludf.DUMMYFUNCTION("""COMPUTED_VALUE"""),2462)</f>
        <v>2462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IFERROR(__xludf.DUMMYFUNCTION("""COMPUTED_VALUE"""),2488.5)</f>
        <v>2488.5</v>
      </c>
      <c r="C58" s="16">
        <f>IFERROR(__xludf.DUMMYFUNCTION("""COMPUTED_VALUE"""),45825.6458333333)</f>
        <v>45825.6458333333</v>
      </c>
      <c r="D58" s="17">
        <f>IFERROR(__xludf.DUMMYFUNCTION("""COMPUTED_VALUE"""),2535)</f>
        <v>2535</v>
      </c>
      <c r="E58" s="16">
        <f>IFERROR(__xludf.DUMMYFUNCTION("""COMPUTED_VALUE"""),45825.6458333333)</f>
        <v>45825.6458333333</v>
      </c>
      <c r="F58" s="17">
        <f>IFERROR(__xludf.DUMMYFUNCTION("""COMPUTED_VALUE"""),703343)</f>
        <v>703343</v>
      </c>
      <c r="G58" s="16">
        <f>IFERROR(__xludf.DUMMYFUNCTION("""COMPUTED_VALUE"""),45825.6458333333)</f>
        <v>45825.6458333333</v>
      </c>
      <c r="H58" s="17">
        <f>IFERROR(__xludf.DUMMYFUNCTION("""COMPUTED_VALUE"""),2539.6)</f>
        <v>2539.6</v>
      </c>
      <c r="I58" s="16">
        <f>IFERROR(__xludf.DUMMYFUNCTION("""COMPUTED_VALUE"""),45825.6458333333)</f>
        <v>45825.6458333333</v>
      </c>
      <c r="J58" s="17">
        <f>IFERROR(__xludf.DUMMYFUNCTION("""COMPUTED_VALUE"""),2479)</f>
        <v>2479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IFERROR(__xludf.DUMMYFUNCTION("""COMPUTED_VALUE"""),2459.1)</f>
        <v>2459.1</v>
      </c>
      <c r="C59" s="16">
        <f>IFERROR(__xludf.DUMMYFUNCTION("""COMPUTED_VALUE"""),45826.6458333333)</f>
        <v>45826.6458333333</v>
      </c>
      <c r="D59" s="17">
        <f>IFERROR(__xludf.DUMMYFUNCTION("""COMPUTED_VALUE"""),2491.9)</f>
        <v>2491.9</v>
      </c>
      <c r="E59" s="16">
        <f>IFERROR(__xludf.DUMMYFUNCTION("""COMPUTED_VALUE"""),45826.6458333333)</f>
        <v>45826.6458333333</v>
      </c>
      <c r="F59" s="17">
        <f>IFERROR(__xludf.DUMMYFUNCTION("""COMPUTED_VALUE"""),667044)</f>
        <v>667044</v>
      </c>
      <c r="G59" s="16">
        <f>IFERROR(__xludf.DUMMYFUNCTION("""COMPUTED_VALUE"""),45826.6458333333)</f>
        <v>45826.6458333333</v>
      </c>
      <c r="H59" s="17">
        <f>IFERROR(__xludf.DUMMYFUNCTION("""COMPUTED_VALUE"""),2495.9)</f>
        <v>2495.9</v>
      </c>
      <c r="I59" s="16">
        <f>IFERROR(__xludf.DUMMYFUNCTION("""COMPUTED_VALUE"""),45826.6458333333)</f>
        <v>45826.6458333333</v>
      </c>
      <c r="J59" s="17">
        <f>IFERROR(__xludf.DUMMYFUNCTION("""COMPUTED_VALUE"""),2445.4)</f>
        <v>2445.4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IFERROR(__xludf.DUMMYFUNCTION("""COMPUTED_VALUE"""),2420.6)</f>
        <v>2420.6</v>
      </c>
      <c r="C60" s="16">
        <f>IFERROR(__xludf.DUMMYFUNCTION("""COMPUTED_VALUE"""),45827.6458333333)</f>
        <v>45827.6458333333</v>
      </c>
      <c r="D60" s="17">
        <f>IFERROR(__xludf.DUMMYFUNCTION("""COMPUTED_VALUE"""),2466.3)</f>
        <v>2466.3</v>
      </c>
      <c r="E60" s="16">
        <f>IFERROR(__xludf.DUMMYFUNCTION("""COMPUTED_VALUE"""),45827.6458333333)</f>
        <v>45827.6458333333</v>
      </c>
      <c r="F60" s="17">
        <f>IFERROR(__xludf.DUMMYFUNCTION("""COMPUTED_VALUE"""),688209)</f>
        <v>688209</v>
      </c>
      <c r="G60" s="16">
        <f>IFERROR(__xludf.DUMMYFUNCTION("""COMPUTED_VALUE"""),45827.6458333333)</f>
        <v>45827.6458333333</v>
      </c>
      <c r="H60" s="17">
        <f>IFERROR(__xludf.DUMMYFUNCTION("""COMPUTED_VALUE"""),2468.9)</f>
        <v>2468.9</v>
      </c>
      <c r="I60" s="16">
        <f>IFERROR(__xludf.DUMMYFUNCTION("""COMPUTED_VALUE"""),45827.6458333333)</f>
        <v>45827.6458333333</v>
      </c>
      <c r="J60" s="17">
        <f>IFERROR(__xludf.DUMMYFUNCTION("""COMPUTED_VALUE"""),2405.1)</f>
        <v>2405.1</v>
      </c>
      <c r="K60" s="3">
        <f t="shared" si="2"/>
        <v>0</v>
      </c>
      <c r="L60" s="3">
        <f t="shared" si="3"/>
        <v>2420.6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IFERROR(__xludf.DUMMYFUNCTION("""COMPUTED_VALUE"""),2448.4)</f>
        <v>2448.4</v>
      </c>
      <c r="C61" s="16">
        <f>IFERROR(__xludf.DUMMYFUNCTION("""COMPUTED_VALUE"""),45828.6458333333)</f>
        <v>45828.6458333333</v>
      </c>
      <c r="D61" s="17">
        <f>IFERROR(__xludf.DUMMYFUNCTION("""COMPUTED_VALUE"""),2428)</f>
        <v>2428</v>
      </c>
      <c r="E61" s="16">
        <f>IFERROR(__xludf.DUMMYFUNCTION("""COMPUTED_VALUE"""),45828.6458333333)</f>
        <v>45828.6458333333</v>
      </c>
      <c r="F61" s="17">
        <f>IFERROR(__xludf.DUMMYFUNCTION("""COMPUTED_VALUE"""),3002549)</f>
        <v>3002549</v>
      </c>
      <c r="G61" s="16">
        <f>IFERROR(__xludf.DUMMYFUNCTION("""COMPUTED_VALUE"""),45828.6458333333)</f>
        <v>45828.6458333333</v>
      </c>
      <c r="H61" s="17">
        <f>IFERROR(__xludf.DUMMYFUNCTION("""COMPUTED_VALUE"""),2461.3)</f>
        <v>2461.3</v>
      </c>
      <c r="I61" s="16">
        <f>IFERROR(__xludf.DUMMYFUNCTION("""COMPUTED_VALUE"""),45828.6458333333)</f>
        <v>45828.6458333333</v>
      </c>
      <c r="J61" s="17">
        <f>IFERROR(__xludf.DUMMYFUNCTION("""COMPUTED_VALUE"""),2415)</f>
        <v>2415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IFERROR(__xludf.DUMMYFUNCTION("""COMPUTED_VALUE"""),2472)</f>
        <v>2472</v>
      </c>
      <c r="C62" s="16">
        <f>IFERROR(__xludf.DUMMYFUNCTION("""COMPUTED_VALUE"""),45831.6458333333)</f>
        <v>45831.6458333333</v>
      </c>
      <c r="D62" s="17">
        <f>IFERROR(__xludf.DUMMYFUNCTION("""COMPUTED_VALUE"""),2438)</f>
        <v>2438</v>
      </c>
      <c r="E62" s="16">
        <f>IFERROR(__xludf.DUMMYFUNCTION("""COMPUTED_VALUE"""),45831.6458333333)</f>
        <v>45831.6458333333</v>
      </c>
      <c r="F62" s="17">
        <f>IFERROR(__xludf.DUMMYFUNCTION("""COMPUTED_VALUE"""),790535)</f>
        <v>790535</v>
      </c>
      <c r="G62" s="16">
        <f>IFERROR(__xludf.DUMMYFUNCTION("""COMPUTED_VALUE"""),45831.6458333333)</f>
        <v>45831.6458333333</v>
      </c>
      <c r="H62" s="17">
        <f>IFERROR(__xludf.DUMMYFUNCTION("""COMPUTED_VALUE"""),2492.6)</f>
        <v>2492.6</v>
      </c>
      <c r="I62" s="16">
        <f>IFERROR(__xludf.DUMMYFUNCTION("""COMPUTED_VALUE"""),45831.6458333333)</f>
        <v>45831.6458333333</v>
      </c>
      <c r="J62" s="17">
        <f>IFERROR(__xludf.DUMMYFUNCTION("""COMPUTED_VALUE"""),2421)</f>
        <v>2421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IFERROR(__xludf.DUMMYFUNCTION("""COMPUTED_VALUE"""),2505.6)</f>
        <v>2505.6</v>
      </c>
      <c r="C63" s="16">
        <f>IFERROR(__xludf.DUMMYFUNCTION("""COMPUTED_VALUE"""),45832.6458333333)</f>
        <v>45832.6458333333</v>
      </c>
      <c r="D63" s="17">
        <f>IFERROR(__xludf.DUMMYFUNCTION("""COMPUTED_VALUE"""),2504)</f>
        <v>2504</v>
      </c>
      <c r="E63" s="16">
        <f>IFERROR(__xludf.DUMMYFUNCTION("""COMPUTED_VALUE"""),45832.6458333333)</f>
        <v>45832.6458333333</v>
      </c>
      <c r="F63" s="17">
        <f>IFERROR(__xludf.DUMMYFUNCTION("""COMPUTED_VALUE"""),996405)</f>
        <v>996405</v>
      </c>
      <c r="G63" s="16">
        <f>IFERROR(__xludf.DUMMYFUNCTION("""COMPUTED_VALUE"""),45832.6458333333)</f>
        <v>45832.6458333333</v>
      </c>
      <c r="H63" s="17">
        <f>IFERROR(__xludf.DUMMYFUNCTION("""COMPUTED_VALUE"""),2544.6)</f>
        <v>2544.6</v>
      </c>
      <c r="I63" s="16">
        <f>IFERROR(__xludf.DUMMYFUNCTION("""COMPUTED_VALUE"""),45832.6458333333)</f>
        <v>45832.6458333333</v>
      </c>
      <c r="J63" s="17">
        <f>IFERROR(__xludf.DUMMYFUNCTION("""COMPUTED_VALUE"""),2500.2)</f>
        <v>2500.2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IFERROR(__xludf.DUMMYFUNCTION("""COMPUTED_VALUE"""),2527.2)</f>
        <v>2527.2</v>
      </c>
      <c r="C64" s="16">
        <f>IFERROR(__xludf.DUMMYFUNCTION("""COMPUTED_VALUE"""),45833.6458333333)</f>
        <v>45833.6458333333</v>
      </c>
      <c r="D64" s="17">
        <f>IFERROR(__xludf.DUMMYFUNCTION("""COMPUTED_VALUE"""),2519.9)</f>
        <v>2519.9</v>
      </c>
      <c r="E64" s="16">
        <f>IFERROR(__xludf.DUMMYFUNCTION("""COMPUTED_VALUE"""),45833.6458333333)</f>
        <v>45833.6458333333</v>
      </c>
      <c r="F64" s="17">
        <f>IFERROR(__xludf.DUMMYFUNCTION("""COMPUTED_VALUE"""),921346)</f>
        <v>921346</v>
      </c>
      <c r="G64" s="16">
        <f>IFERROR(__xludf.DUMMYFUNCTION("""COMPUTED_VALUE"""),45833.6458333333)</f>
        <v>45833.6458333333</v>
      </c>
      <c r="H64" s="17">
        <f>IFERROR(__xludf.DUMMYFUNCTION("""COMPUTED_VALUE"""),2541.6)</f>
        <v>2541.6</v>
      </c>
      <c r="I64" s="16">
        <f>IFERROR(__xludf.DUMMYFUNCTION("""COMPUTED_VALUE"""),45833.6458333333)</f>
        <v>45833.6458333333</v>
      </c>
      <c r="J64" s="17">
        <f>IFERROR(__xludf.DUMMYFUNCTION("""COMPUTED_VALUE"""),2512.1)</f>
        <v>2512.1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IFERROR(__xludf.DUMMYFUNCTION("""COMPUTED_VALUE"""),2586.2)</f>
        <v>2586.2</v>
      </c>
      <c r="C65" s="16">
        <f>IFERROR(__xludf.DUMMYFUNCTION("""COMPUTED_VALUE"""),45834.6458333333)</f>
        <v>45834.6458333333</v>
      </c>
      <c r="D65" s="17">
        <f>IFERROR(__xludf.DUMMYFUNCTION("""COMPUTED_VALUE"""),2535)</f>
        <v>2535</v>
      </c>
      <c r="E65" s="16">
        <f>IFERROR(__xludf.DUMMYFUNCTION("""COMPUTED_VALUE"""),45834.6458333333)</f>
        <v>45834.6458333333</v>
      </c>
      <c r="F65" s="17">
        <f>IFERROR(__xludf.DUMMYFUNCTION("""COMPUTED_VALUE"""),1339627)</f>
        <v>1339627</v>
      </c>
      <c r="G65" s="16">
        <f>IFERROR(__xludf.DUMMYFUNCTION("""COMPUTED_VALUE"""),45834.6458333333)</f>
        <v>45834.6458333333</v>
      </c>
      <c r="H65" s="17">
        <f>IFERROR(__xludf.DUMMYFUNCTION("""COMPUTED_VALUE"""),2593.6)</f>
        <v>2593.6</v>
      </c>
      <c r="I65" s="16">
        <f>IFERROR(__xludf.DUMMYFUNCTION("""COMPUTED_VALUE"""),45834.6458333333)</f>
        <v>45834.6458333333</v>
      </c>
      <c r="J65" s="17">
        <f>IFERROR(__xludf.DUMMYFUNCTION("""COMPUTED_VALUE"""),2522.2)</f>
        <v>2522.2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IFERROR(__xludf.DUMMYFUNCTION("""COMPUTED_VALUE"""),2646.3)</f>
        <v>2646.3</v>
      </c>
      <c r="C66" s="16">
        <f>IFERROR(__xludf.DUMMYFUNCTION("""COMPUTED_VALUE"""),45835.6458333333)</f>
        <v>45835.6458333333</v>
      </c>
      <c r="D66" s="17">
        <f>IFERROR(__xludf.DUMMYFUNCTION("""COMPUTED_VALUE"""),2587.7)</f>
        <v>2587.7</v>
      </c>
      <c r="E66" s="16">
        <f>IFERROR(__xludf.DUMMYFUNCTION("""COMPUTED_VALUE"""),45835.6458333333)</f>
        <v>45835.6458333333</v>
      </c>
      <c r="F66" s="17">
        <f>IFERROR(__xludf.DUMMYFUNCTION("""COMPUTED_VALUE"""),4049316)</f>
        <v>4049316</v>
      </c>
      <c r="G66" s="16">
        <f>IFERROR(__xludf.DUMMYFUNCTION("""COMPUTED_VALUE"""),45835.6458333333)</f>
        <v>45835.6458333333</v>
      </c>
      <c r="H66" s="17">
        <f>IFERROR(__xludf.DUMMYFUNCTION("""COMPUTED_VALUE"""),2681.6)</f>
        <v>2681.6</v>
      </c>
      <c r="I66" s="16">
        <f>IFERROR(__xludf.DUMMYFUNCTION("""COMPUTED_VALUE"""),45835.6458333333)</f>
        <v>45835.6458333333</v>
      </c>
      <c r="J66" s="17">
        <f>IFERROR(__xludf.DUMMYFUNCTION("""COMPUTED_VALUE"""),2582)</f>
        <v>2582</v>
      </c>
      <c r="K66" s="3">
        <f t="shared" si="2"/>
        <v>2646.3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IFERROR(__xludf.DUMMYFUNCTION("""COMPUTED_VALUE"""),2619.4)</f>
        <v>2619.4</v>
      </c>
      <c r="C67" s="16">
        <f>IFERROR(__xludf.DUMMYFUNCTION("""COMPUTED_VALUE"""),45838.6458333333)</f>
        <v>45838.6458333333</v>
      </c>
      <c r="D67" s="17">
        <f>IFERROR(__xludf.DUMMYFUNCTION("""COMPUTED_VALUE"""),2650)</f>
        <v>2650</v>
      </c>
      <c r="E67" s="16">
        <f>IFERROR(__xludf.DUMMYFUNCTION("""COMPUTED_VALUE"""),45838.6458333333)</f>
        <v>45838.6458333333</v>
      </c>
      <c r="F67" s="17">
        <f>IFERROR(__xludf.DUMMYFUNCTION("""COMPUTED_VALUE"""),694815)</f>
        <v>694815</v>
      </c>
      <c r="G67" s="16">
        <f>IFERROR(__xludf.DUMMYFUNCTION("""COMPUTED_VALUE"""),45838.6458333333)</f>
        <v>45838.6458333333</v>
      </c>
      <c r="H67" s="17">
        <f>IFERROR(__xludf.DUMMYFUNCTION("""COMPUTED_VALUE"""),2653.9)</f>
        <v>2653.9</v>
      </c>
      <c r="I67" s="16">
        <f>IFERROR(__xludf.DUMMYFUNCTION("""COMPUTED_VALUE"""),45838.6458333333)</f>
        <v>45838.6458333333</v>
      </c>
      <c r="J67" s="17">
        <f>IFERROR(__xludf.DUMMYFUNCTION("""COMPUTED_VALUE"""),2605.9)</f>
        <v>2605.9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IFERROR(__xludf.DUMMYFUNCTION("""COMPUTED_VALUE"""),2621.8)</f>
        <v>2621.8</v>
      </c>
      <c r="C68" s="16">
        <f>IFERROR(__xludf.DUMMYFUNCTION("""COMPUTED_VALUE"""),45839.6458333333)</f>
        <v>45839.6458333333</v>
      </c>
      <c r="D68" s="17">
        <f>IFERROR(__xludf.DUMMYFUNCTION("""COMPUTED_VALUE"""),2624.9)</f>
        <v>2624.9</v>
      </c>
      <c r="E68" s="16">
        <f>IFERROR(__xludf.DUMMYFUNCTION("""COMPUTED_VALUE"""),45839.6458333333)</f>
        <v>45839.6458333333</v>
      </c>
      <c r="F68" s="17">
        <f>IFERROR(__xludf.DUMMYFUNCTION("""COMPUTED_VALUE"""),729197)</f>
        <v>729197</v>
      </c>
      <c r="G68" s="16">
        <f>IFERROR(__xludf.DUMMYFUNCTION("""COMPUTED_VALUE"""),45839.6458333333)</f>
        <v>45839.6458333333</v>
      </c>
      <c r="H68" s="17">
        <f>IFERROR(__xludf.DUMMYFUNCTION("""COMPUTED_VALUE"""),2645)</f>
        <v>2645</v>
      </c>
      <c r="I68" s="16">
        <f>IFERROR(__xludf.DUMMYFUNCTION("""COMPUTED_VALUE"""),45839.6458333333)</f>
        <v>45839.6458333333</v>
      </c>
      <c r="J68" s="17">
        <f>IFERROR(__xludf.DUMMYFUNCTION("""COMPUTED_VALUE"""),2603)</f>
        <v>2603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IFERROR(__xludf.DUMMYFUNCTION("""COMPUTED_VALUE"""),2630.2)</f>
        <v>2630.2</v>
      </c>
      <c r="C69" s="16">
        <f>IFERROR(__xludf.DUMMYFUNCTION("""COMPUTED_VALUE"""),45840.6458333333)</f>
        <v>45840.6458333333</v>
      </c>
      <c r="D69" s="17">
        <f>IFERROR(__xludf.DUMMYFUNCTION("""COMPUTED_VALUE"""),2634)</f>
        <v>2634</v>
      </c>
      <c r="E69" s="16">
        <f>IFERROR(__xludf.DUMMYFUNCTION("""COMPUTED_VALUE"""),45840.6458333333)</f>
        <v>45840.6458333333</v>
      </c>
      <c r="F69" s="17">
        <f>IFERROR(__xludf.DUMMYFUNCTION("""COMPUTED_VALUE"""),621409)</f>
        <v>621409</v>
      </c>
      <c r="G69" s="16">
        <f>IFERROR(__xludf.DUMMYFUNCTION("""COMPUTED_VALUE"""),45840.6458333333)</f>
        <v>45840.6458333333</v>
      </c>
      <c r="H69" s="17">
        <f>IFERROR(__xludf.DUMMYFUNCTION("""COMPUTED_VALUE"""),2646)</f>
        <v>2646</v>
      </c>
      <c r="I69" s="16">
        <f>IFERROR(__xludf.DUMMYFUNCTION("""COMPUTED_VALUE"""),45840.6458333333)</f>
        <v>45840.6458333333</v>
      </c>
      <c r="J69" s="17">
        <f>IFERROR(__xludf.DUMMYFUNCTION("""COMPUTED_VALUE"""),2613.6)</f>
        <v>2613.6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IFERROR(__xludf.DUMMYFUNCTION("""COMPUTED_VALUE"""),2611.2)</f>
        <v>2611.2</v>
      </c>
      <c r="C70" s="16">
        <f>IFERROR(__xludf.DUMMYFUNCTION("""COMPUTED_VALUE"""),45841.6458333333)</f>
        <v>45841.6458333333</v>
      </c>
      <c r="D70" s="17">
        <f>IFERROR(__xludf.DUMMYFUNCTION("""COMPUTED_VALUE"""),2634)</f>
        <v>2634</v>
      </c>
      <c r="E70" s="16">
        <f>IFERROR(__xludf.DUMMYFUNCTION("""COMPUTED_VALUE"""),45841.6458333333)</f>
        <v>45841.6458333333</v>
      </c>
      <c r="F70" s="17">
        <f>IFERROR(__xludf.DUMMYFUNCTION("""COMPUTED_VALUE"""),502724)</f>
        <v>502724</v>
      </c>
      <c r="G70" s="16">
        <f>IFERROR(__xludf.DUMMYFUNCTION("""COMPUTED_VALUE"""),45841.6458333333)</f>
        <v>45841.6458333333</v>
      </c>
      <c r="H70" s="17">
        <f>IFERROR(__xludf.DUMMYFUNCTION("""COMPUTED_VALUE"""),2644)</f>
        <v>2644</v>
      </c>
      <c r="I70" s="16">
        <f>IFERROR(__xludf.DUMMYFUNCTION("""COMPUTED_VALUE"""),45841.6458333333)</f>
        <v>45841.6458333333</v>
      </c>
      <c r="J70" s="17">
        <f>IFERROR(__xludf.DUMMYFUNCTION("""COMPUTED_VALUE"""),2605.1)</f>
        <v>2605.1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IFERROR(__xludf.DUMMYFUNCTION("""COMPUTED_VALUE"""),2599.1)</f>
        <v>2599.1</v>
      </c>
      <c r="C71" s="16">
        <f>IFERROR(__xludf.DUMMYFUNCTION("""COMPUTED_VALUE"""),45842.6458333333)</f>
        <v>45842.6458333333</v>
      </c>
      <c r="D71" s="17">
        <f>IFERROR(__xludf.DUMMYFUNCTION("""COMPUTED_VALUE"""),2617)</f>
        <v>2617</v>
      </c>
      <c r="E71" s="16">
        <f>IFERROR(__xludf.DUMMYFUNCTION("""COMPUTED_VALUE"""),45842.6458333333)</f>
        <v>45842.6458333333</v>
      </c>
      <c r="F71" s="17">
        <f>IFERROR(__xludf.DUMMYFUNCTION("""COMPUTED_VALUE"""),370305)</f>
        <v>370305</v>
      </c>
      <c r="G71" s="16">
        <f>IFERROR(__xludf.DUMMYFUNCTION("""COMPUTED_VALUE"""),45842.6458333333)</f>
        <v>45842.6458333333</v>
      </c>
      <c r="H71" s="17">
        <f>IFERROR(__xludf.DUMMYFUNCTION("""COMPUTED_VALUE"""),2617)</f>
        <v>2617</v>
      </c>
      <c r="I71" s="16">
        <f>IFERROR(__xludf.DUMMYFUNCTION("""COMPUTED_VALUE"""),45842.6458333333)</f>
        <v>45842.6458333333</v>
      </c>
      <c r="J71" s="17">
        <f>IFERROR(__xludf.DUMMYFUNCTION("""COMPUTED_VALUE"""),2582.2)</f>
        <v>2582.2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IFERROR(__xludf.DUMMYFUNCTION("""COMPUTED_VALUE"""),2576.1)</f>
        <v>2576.1</v>
      </c>
      <c r="C72" s="16">
        <f>IFERROR(__xludf.DUMMYFUNCTION("""COMPUTED_VALUE"""),45845.6458333333)</f>
        <v>45845.6458333333</v>
      </c>
      <c r="D72" s="17">
        <f>IFERROR(__xludf.DUMMYFUNCTION("""COMPUTED_VALUE"""),2602)</f>
        <v>2602</v>
      </c>
      <c r="E72" s="16">
        <f>IFERROR(__xludf.DUMMYFUNCTION("""COMPUTED_VALUE"""),45845.6458333333)</f>
        <v>45845.6458333333</v>
      </c>
      <c r="F72" s="17">
        <f>IFERROR(__xludf.DUMMYFUNCTION("""COMPUTED_VALUE"""),412159)</f>
        <v>412159</v>
      </c>
      <c r="G72" s="16">
        <f>IFERROR(__xludf.DUMMYFUNCTION("""COMPUTED_VALUE"""),45845.6458333333)</f>
        <v>45845.6458333333</v>
      </c>
      <c r="H72" s="17">
        <f>IFERROR(__xludf.DUMMYFUNCTION("""COMPUTED_VALUE"""),2605.4)</f>
        <v>2605.4</v>
      </c>
      <c r="I72" s="16">
        <f>IFERROR(__xludf.DUMMYFUNCTION("""COMPUTED_VALUE"""),45845.6458333333)</f>
        <v>45845.6458333333</v>
      </c>
      <c r="J72" s="17">
        <f>IFERROR(__xludf.DUMMYFUNCTION("""COMPUTED_VALUE"""),2572)</f>
        <v>2572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IFERROR(__xludf.DUMMYFUNCTION("""COMPUTED_VALUE"""),2591.3)</f>
        <v>2591.3</v>
      </c>
      <c r="C73" s="16">
        <f>IFERROR(__xludf.DUMMYFUNCTION("""COMPUTED_VALUE"""),45846.6458333333)</f>
        <v>45846.6458333333</v>
      </c>
      <c r="D73" s="17">
        <f>IFERROR(__xludf.DUMMYFUNCTION("""COMPUTED_VALUE"""),2586)</f>
        <v>2586</v>
      </c>
      <c r="E73" s="16">
        <f>IFERROR(__xludf.DUMMYFUNCTION("""COMPUTED_VALUE"""),45846.6458333333)</f>
        <v>45846.6458333333</v>
      </c>
      <c r="F73" s="17">
        <f>IFERROR(__xludf.DUMMYFUNCTION("""COMPUTED_VALUE"""),357701)</f>
        <v>357701</v>
      </c>
      <c r="G73" s="16">
        <f>IFERROR(__xludf.DUMMYFUNCTION("""COMPUTED_VALUE"""),45846.6458333333)</f>
        <v>45846.6458333333</v>
      </c>
      <c r="H73" s="17">
        <f>IFERROR(__xludf.DUMMYFUNCTION("""COMPUTED_VALUE"""),2600)</f>
        <v>2600</v>
      </c>
      <c r="I73" s="16">
        <f>IFERROR(__xludf.DUMMYFUNCTION("""COMPUTED_VALUE"""),45846.6458333333)</f>
        <v>45846.6458333333</v>
      </c>
      <c r="J73" s="17">
        <f>IFERROR(__xludf.DUMMYFUNCTION("""COMPUTED_VALUE"""),2573)</f>
        <v>2573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IFERROR(__xludf.DUMMYFUNCTION("""COMPUTED_VALUE"""),2583)</f>
        <v>2583</v>
      </c>
      <c r="C74" s="16">
        <f>IFERROR(__xludf.DUMMYFUNCTION("""COMPUTED_VALUE"""),45847.6458333333)</f>
        <v>45847.6458333333</v>
      </c>
      <c r="D74" s="17">
        <f>IFERROR(__xludf.DUMMYFUNCTION("""COMPUTED_VALUE"""),2599)</f>
        <v>2599</v>
      </c>
      <c r="E74" s="16">
        <f>IFERROR(__xludf.DUMMYFUNCTION("""COMPUTED_VALUE"""),45847.6458333333)</f>
        <v>45847.6458333333</v>
      </c>
      <c r="F74" s="17">
        <f>IFERROR(__xludf.DUMMYFUNCTION("""COMPUTED_VALUE"""),396880)</f>
        <v>396880</v>
      </c>
      <c r="G74" s="16">
        <f>IFERROR(__xludf.DUMMYFUNCTION("""COMPUTED_VALUE"""),45847.6458333333)</f>
        <v>45847.6458333333</v>
      </c>
      <c r="H74" s="17">
        <f>IFERROR(__xludf.DUMMYFUNCTION("""COMPUTED_VALUE"""),2609.9)</f>
        <v>2609.9</v>
      </c>
      <c r="I74" s="16">
        <f>IFERROR(__xludf.DUMMYFUNCTION("""COMPUTED_VALUE"""),45847.6458333333)</f>
        <v>45847.6458333333</v>
      </c>
      <c r="J74" s="17">
        <f>IFERROR(__xludf.DUMMYFUNCTION("""COMPUTED_VALUE"""),2570)</f>
        <v>2570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IFERROR(__xludf.DUMMYFUNCTION("""COMPUTED_VALUE"""),2581)</f>
        <v>2581</v>
      </c>
      <c r="C75" s="16">
        <f>IFERROR(__xludf.DUMMYFUNCTION("""COMPUTED_VALUE"""),45848.6458333333)</f>
        <v>45848.6458333333</v>
      </c>
      <c r="D75" s="17">
        <f>IFERROR(__xludf.DUMMYFUNCTION("""COMPUTED_VALUE"""),2591)</f>
        <v>2591</v>
      </c>
      <c r="E75" s="16">
        <f>IFERROR(__xludf.DUMMYFUNCTION("""COMPUTED_VALUE"""),45848.6458333333)</f>
        <v>45848.6458333333</v>
      </c>
      <c r="F75" s="17">
        <f>IFERROR(__xludf.DUMMYFUNCTION("""COMPUTED_VALUE"""),306565)</f>
        <v>306565</v>
      </c>
      <c r="G75" s="16">
        <f>IFERROR(__xludf.DUMMYFUNCTION("""COMPUTED_VALUE"""),45848.6458333333)</f>
        <v>45848.6458333333</v>
      </c>
      <c r="H75" s="17">
        <f>IFERROR(__xludf.DUMMYFUNCTION("""COMPUTED_VALUE"""),2604)</f>
        <v>2604</v>
      </c>
      <c r="I75" s="16">
        <f>IFERROR(__xludf.DUMMYFUNCTION("""COMPUTED_VALUE"""),45848.6458333333)</f>
        <v>45848.6458333333</v>
      </c>
      <c r="J75" s="17">
        <f>IFERROR(__xludf.DUMMYFUNCTION("""COMPUTED_VALUE"""),2575)</f>
        <v>2575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IFERROR(__xludf.DUMMYFUNCTION("""COMPUTED_VALUE"""),2558.7)</f>
        <v>2558.7</v>
      </c>
      <c r="C76" s="16">
        <f>IFERROR(__xludf.DUMMYFUNCTION("""COMPUTED_VALUE"""),45849.6458333333)</f>
        <v>45849.6458333333</v>
      </c>
      <c r="D76" s="17">
        <f>IFERROR(__xludf.DUMMYFUNCTION("""COMPUTED_VALUE"""),2575)</f>
        <v>2575</v>
      </c>
      <c r="E76" s="16">
        <f>IFERROR(__xludf.DUMMYFUNCTION("""COMPUTED_VALUE"""),45849.6458333333)</f>
        <v>45849.6458333333</v>
      </c>
      <c r="F76" s="17">
        <f>IFERROR(__xludf.DUMMYFUNCTION("""COMPUTED_VALUE"""),390645)</f>
        <v>390645</v>
      </c>
      <c r="G76" s="16">
        <f>IFERROR(__xludf.DUMMYFUNCTION("""COMPUTED_VALUE"""),45849.6458333333)</f>
        <v>45849.6458333333</v>
      </c>
      <c r="H76" s="17">
        <f>IFERROR(__xludf.DUMMYFUNCTION("""COMPUTED_VALUE"""),2591.9)</f>
        <v>2591.9</v>
      </c>
      <c r="I76" s="16">
        <f>IFERROR(__xludf.DUMMYFUNCTION("""COMPUTED_VALUE"""),45849.6458333333)</f>
        <v>45849.6458333333</v>
      </c>
      <c r="J76" s="17">
        <f>IFERROR(__xludf.DUMMYFUNCTION("""COMPUTED_VALUE"""),2551.9)</f>
        <v>2551.9</v>
      </c>
      <c r="K76" s="3">
        <f t="shared" si="2"/>
        <v>0</v>
      </c>
      <c r="L76" s="3">
        <f t="shared" si="3"/>
        <v>2558.7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IFERROR(__xludf.DUMMYFUNCTION("""COMPUTED_VALUE"""),2581.3)</f>
        <v>2581.3</v>
      </c>
      <c r="C77" s="16">
        <f>IFERROR(__xludf.DUMMYFUNCTION("""COMPUTED_VALUE"""),45852.6458333333)</f>
        <v>45852.6458333333</v>
      </c>
      <c r="D77" s="17">
        <f>IFERROR(__xludf.DUMMYFUNCTION("""COMPUTED_VALUE"""),2555)</f>
        <v>2555</v>
      </c>
      <c r="E77" s="16">
        <f>IFERROR(__xludf.DUMMYFUNCTION("""COMPUTED_VALUE"""),45852.6458333333)</f>
        <v>45852.6458333333</v>
      </c>
      <c r="F77" s="17">
        <f>IFERROR(__xludf.DUMMYFUNCTION("""COMPUTED_VALUE"""),536585)</f>
        <v>536585</v>
      </c>
      <c r="G77" s="16">
        <f>IFERROR(__xludf.DUMMYFUNCTION("""COMPUTED_VALUE"""),45852.6458333333)</f>
        <v>45852.6458333333</v>
      </c>
      <c r="H77" s="17">
        <f>IFERROR(__xludf.DUMMYFUNCTION("""COMPUTED_VALUE"""),2604.8)</f>
        <v>2604.8</v>
      </c>
      <c r="I77" s="16">
        <f>IFERROR(__xludf.DUMMYFUNCTION("""COMPUTED_VALUE"""),45852.6458333333)</f>
        <v>45852.6458333333</v>
      </c>
      <c r="J77" s="17">
        <f>IFERROR(__xludf.DUMMYFUNCTION("""COMPUTED_VALUE"""),2543.5)</f>
        <v>2543.5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IFERROR(__xludf.DUMMYFUNCTION("""COMPUTED_VALUE"""),2598.2)</f>
        <v>2598.2</v>
      </c>
      <c r="C78" s="16">
        <f>IFERROR(__xludf.DUMMYFUNCTION("""COMPUTED_VALUE"""),45853.6458333333)</f>
        <v>45853.6458333333</v>
      </c>
      <c r="D78" s="17">
        <f>IFERROR(__xludf.DUMMYFUNCTION("""COMPUTED_VALUE"""),2588)</f>
        <v>2588</v>
      </c>
      <c r="E78" s="16">
        <f>IFERROR(__xludf.DUMMYFUNCTION("""COMPUTED_VALUE"""),45853.6458333333)</f>
        <v>45853.6458333333</v>
      </c>
      <c r="F78" s="17">
        <f>IFERROR(__xludf.DUMMYFUNCTION("""COMPUTED_VALUE"""),379425)</f>
        <v>379425</v>
      </c>
      <c r="G78" s="16">
        <f>IFERROR(__xludf.DUMMYFUNCTION("""COMPUTED_VALUE"""),45853.6458333333)</f>
        <v>45853.6458333333</v>
      </c>
      <c r="H78" s="17">
        <f>IFERROR(__xludf.DUMMYFUNCTION("""COMPUTED_VALUE"""),2606.9)</f>
        <v>2606.9</v>
      </c>
      <c r="I78" s="16">
        <f>IFERROR(__xludf.DUMMYFUNCTION("""COMPUTED_VALUE"""),45853.6458333333)</f>
        <v>45853.6458333333</v>
      </c>
      <c r="J78" s="17">
        <f>IFERROR(__xludf.DUMMYFUNCTION("""COMPUTED_VALUE"""),2576)</f>
        <v>2576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IFERROR(__xludf.DUMMYFUNCTION("""COMPUTED_VALUE"""),2608.5)</f>
        <v>2608.5</v>
      </c>
      <c r="C79" s="16">
        <f>IFERROR(__xludf.DUMMYFUNCTION("""COMPUTED_VALUE"""),45854.6458333333)</f>
        <v>45854.6458333333</v>
      </c>
      <c r="D79" s="17">
        <f>IFERROR(__xludf.DUMMYFUNCTION("""COMPUTED_VALUE"""),2602.5)</f>
        <v>2602.5</v>
      </c>
      <c r="E79" s="16">
        <f>IFERROR(__xludf.DUMMYFUNCTION("""COMPUTED_VALUE"""),45854.6458333333)</f>
        <v>45854.6458333333</v>
      </c>
      <c r="F79" s="17">
        <f>IFERROR(__xludf.DUMMYFUNCTION("""COMPUTED_VALUE"""),686644)</f>
        <v>686644</v>
      </c>
      <c r="G79" s="16">
        <f>IFERROR(__xludf.DUMMYFUNCTION("""COMPUTED_VALUE"""),45854.6458333333)</f>
        <v>45854.6458333333</v>
      </c>
      <c r="H79" s="17">
        <f>IFERROR(__xludf.DUMMYFUNCTION("""COMPUTED_VALUE"""),2619.5)</f>
        <v>2619.5</v>
      </c>
      <c r="I79" s="16">
        <f>IFERROR(__xludf.DUMMYFUNCTION("""COMPUTED_VALUE"""),45854.6458333333)</f>
        <v>45854.6458333333</v>
      </c>
      <c r="J79" s="17">
        <f>IFERROR(__xludf.DUMMYFUNCTION("""COMPUTED_VALUE"""),2595.5)</f>
        <v>2595.5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IFERROR(__xludf.DUMMYFUNCTION("""COMPUTED_VALUE"""),2616.6)</f>
        <v>2616.6</v>
      </c>
      <c r="C80" s="16">
        <f>IFERROR(__xludf.DUMMYFUNCTION("""COMPUTED_VALUE"""),45855.6458333333)</f>
        <v>45855.6458333333</v>
      </c>
      <c r="D80" s="17">
        <f>IFERROR(__xludf.DUMMYFUNCTION("""COMPUTED_VALUE"""),2612)</f>
        <v>2612</v>
      </c>
      <c r="E80" s="16">
        <f>IFERROR(__xludf.DUMMYFUNCTION("""COMPUTED_VALUE"""),45855.6458333333)</f>
        <v>45855.6458333333</v>
      </c>
      <c r="F80" s="17">
        <f>IFERROR(__xludf.DUMMYFUNCTION("""COMPUTED_VALUE"""),785771)</f>
        <v>785771</v>
      </c>
      <c r="G80" s="16">
        <f>IFERROR(__xludf.DUMMYFUNCTION("""COMPUTED_VALUE"""),45855.6458333333)</f>
        <v>45855.6458333333</v>
      </c>
      <c r="H80" s="17">
        <f>IFERROR(__xludf.DUMMYFUNCTION("""COMPUTED_VALUE"""),2654.5)</f>
        <v>2654.5</v>
      </c>
      <c r="I80" s="16">
        <f>IFERROR(__xludf.DUMMYFUNCTION("""COMPUTED_VALUE"""),45855.6458333333)</f>
        <v>45855.6458333333</v>
      </c>
      <c r="J80" s="17">
        <f>IFERROR(__xludf.DUMMYFUNCTION("""COMPUTED_VALUE"""),2605.3)</f>
        <v>2605.3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IFERROR(__xludf.DUMMYFUNCTION("""COMPUTED_VALUE"""),2596.1)</f>
        <v>2596.1</v>
      </c>
      <c r="C81" s="16">
        <f>IFERROR(__xludf.DUMMYFUNCTION("""COMPUTED_VALUE"""),45856.6458333333)</f>
        <v>45856.6458333333</v>
      </c>
      <c r="D81" s="17">
        <f>IFERROR(__xludf.DUMMYFUNCTION("""COMPUTED_VALUE"""),2612)</f>
        <v>2612</v>
      </c>
      <c r="E81" s="16">
        <f>IFERROR(__xludf.DUMMYFUNCTION("""COMPUTED_VALUE"""),45856.6458333333)</f>
        <v>45856.6458333333</v>
      </c>
      <c r="F81" s="17">
        <f>IFERROR(__xludf.DUMMYFUNCTION("""COMPUTED_VALUE"""),479942)</f>
        <v>479942</v>
      </c>
      <c r="G81" s="16">
        <f>IFERROR(__xludf.DUMMYFUNCTION("""COMPUTED_VALUE"""),45856.6458333333)</f>
        <v>45856.6458333333</v>
      </c>
      <c r="H81" s="17">
        <f>IFERROR(__xludf.DUMMYFUNCTION("""COMPUTED_VALUE"""),2626.7)</f>
        <v>2626.7</v>
      </c>
      <c r="I81" s="16">
        <f>IFERROR(__xludf.DUMMYFUNCTION("""COMPUTED_VALUE"""),45856.6458333333)</f>
        <v>45856.6458333333</v>
      </c>
      <c r="J81" s="17">
        <f>IFERROR(__xludf.DUMMYFUNCTION("""COMPUTED_VALUE"""),2584.2)</f>
        <v>2584.2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IFERROR(__xludf.DUMMYFUNCTION("""COMPUTED_VALUE"""),2619.5)</f>
        <v>2619.5</v>
      </c>
      <c r="C82" s="16">
        <f>IFERROR(__xludf.DUMMYFUNCTION("""COMPUTED_VALUE"""),45859.6458333333)</f>
        <v>45859.6458333333</v>
      </c>
      <c r="D82" s="17">
        <f>IFERROR(__xludf.DUMMYFUNCTION("""COMPUTED_VALUE"""),2596.3)</f>
        <v>2596.3</v>
      </c>
      <c r="E82" s="16">
        <f>IFERROR(__xludf.DUMMYFUNCTION("""COMPUTED_VALUE"""),45859.6458333333)</f>
        <v>45859.6458333333</v>
      </c>
      <c r="F82" s="17">
        <f>IFERROR(__xludf.DUMMYFUNCTION("""COMPUTED_VALUE"""),369782)</f>
        <v>369782</v>
      </c>
      <c r="G82" s="16">
        <f>IFERROR(__xludf.DUMMYFUNCTION("""COMPUTED_VALUE"""),45859.6458333333)</f>
        <v>45859.6458333333</v>
      </c>
      <c r="H82" s="17">
        <f>IFERROR(__xludf.DUMMYFUNCTION("""COMPUTED_VALUE"""),2624.9)</f>
        <v>2624.9</v>
      </c>
      <c r="I82" s="16">
        <f>IFERROR(__xludf.DUMMYFUNCTION("""COMPUTED_VALUE"""),45859.6458333333)</f>
        <v>45859.6458333333</v>
      </c>
      <c r="J82" s="17">
        <f>IFERROR(__xludf.DUMMYFUNCTION("""COMPUTED_VALUE"""),2585)</f>
        <v>2585</v>
      </c>
      <c r="K82" s="3">
        <f t="shared" si="2"/>
        <v>2619.5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IFERROR(__xludf.DUMMYFUNCTION("""COMPUTED_VALUE"""),2587.8)</f>
        <v>2587.8</v>
      </c>
      <c r="C83" s="16">
        <f>IFERROR(__xludf.DUMMYFUNCTION("""COMPUTED_VALUE"""),45860.6458333333)</f>
        <v>45860.6458333333</v>
      </c>
      <c r="D83" s="17">
        <f>IFERROR(__xludf.DUMMYFUNCTION("""COMPUTED_VALUE"""),2626)</f>
        <v>2626</v>
      </c>
      <c r="E83" s="16">
        <f>IFERROR(__xludf.DUMMYFUNCTION("""COMPUTED_VALUE"""),45860.6458333333)</f>
        <v>45860.6458333333</v>
      </c>
      <c r="F83" s="17">
        <f>IFERROR(__xludf.DUMMYFUNCTION("""COMPUTED_VALUE"""),387055)</f>
        <v>387055</v>
      </c>
      <c r="G83" s="16">
        <f>IFERROR(__xludf.DUMMYFUNCTION("""COMPUTED_VALUE"""),45860.6458333333)</f>
        <v>45860.6458333333</v>
      </c>
      <c r="H83" s="17">
        <f>IFERROR(__xludf.DUMMYFUNCTION("""COMPUTED_VALUE"""),2630)</f>
        <v>2630</v>
      </c>
      <c r="I83" s="16">
        <f>IFERROR(__xludf.DUMMYFUNCTION("""COMPUTED_VALUE"""),45860.6458333333)</f>
        <v>45860.6458333333</v>
      </c>
      <c r="J83" s="17">
        <f>IFERROR(__xludf.DUMMYFUNCTION("""COMPUTED_VALUE"""),2581.6)</f>
        <v>2581.6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IFERROR(__xludf.DUMMYFUNCTION("""COMPUTED_VALUE"""),2614.5)</f>
        <v>2614.5</v>
      </c>
      <c r="C84" s="16">
        <f>IFERROR(__xludf.DUMMYFUNCTION("""COMPUTED_VALUE"""),45861.6458333333)</f>
        <v>45861.6458333333</v>
      </c>
      <c r="D84" s="17">
        <f>IFERROR(__xludf.DUMMYFUNCTION("""COMPUTED_VALUE"""),2600.7)</f>
        <v>2600.7</v>
      </c>
      <c r="E84" s="16">
        <f>IFERROR(__xludf.DUMMYFUNCTION("""COMPUTED_VALUE"""),45861.6458333333)</f>
        <v>45861.6458333333</v>
      </c>
      <c r="F84" s="17">
        <f>IFERROR(__xludf.DUMMYFUNCTION("""COMPUTED_VALUE"""),316424)</f>
        <v>316424</v>
      </c>
      <c r="G84" s="16">
        <f>IFERROR(__xludf.DUMMYFUNCTION("""COMPUTED_VALUE"""),45861.6458333333)</f>
        <v>45861.6458333333</v>
      </c>
      <c r="H84" s="17">
        <f>IFERROR(__xludf.DUMMYFUNCTION("""COMPUTED_VALUE"""),2625.9)</f>
        <v>2625.9</v>
      </c>
      <c r="I84" s="16">
        <f>IFERROR(__xludf.DUMMYFUNCTION("""COMPUTED_VALUE"""),45861.6458333333)</f>
        <v>45861.6458333333</v>
      </c>
      <c r="J84" s="17">
        <f>IFERROR(__xludf.DUMMYFUNCTION("""COMPUTED_VALUE"""),2593.5)</f>
        <v>2593.5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IFERROR(__xludf.DUMMYFUNCTION("""COMPUTED_VALUE"""),2608.4)</f>
        <v>2608.4</v>
      </c>
      <c r="C85" s="16">
        <f>IFERROR(__xludf.DUMMYFUNCTION("""COMPUTED_VALUE"""),45862.6458333333)</f>
        <v>45862.6458333333</v>
      </c>
      <c r="D85" s="17">
        <f>IFERROR(__xludf.DUMMYFUNCTION("""COMPUTED_VALUE"""),2615.4)</f>
        <v>2615.4</v>
      </c>
      <c r="E85" s="16">
        <f>IFERROR(__xludf.DUMMYFUNCTION("""COMPUTED_VALUE"""),45862.6458333333)</f>
        <v>45862.6458333333</v>
      </c>
      <c r="F85" s="17">
        <f>IFERROR(__xludf.DUMMYFUNCTION("""COMPUTED_VALUE"""),253782)</f>
        <v>253782</v>
      </c>
      <c r="G85" s="16">
        <f>IFERROR(__xludf.DUMMYFUNCTION("""COMPUTED_VALUE"""),45862.6458333333)</f>
        <v>45862.6458333333</v>
      </c>
      <c r="H85" s="17">
        <f>IFERROR(__xludf.DUMMYFUNCTION("""COMPUTED_VALUE"""),2624.2)</f>
        <v>2624.2</v>
      </c>
      <c r="I85" s="16">
        <f>IFERROR(__xludf.DUMMYFUNCTION("""COMPUTED_VALUE"""),45862.6458333333)</f>
        <v>45862.6458333333</v>
      </c>
      <c r="J85" s="17">
        <f>IFERROR(__xludf.DUMMYFUNCTION("""COMPUTED_VALUE"""),2595)</f>
        <v>2595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IFERROR(__xludf.DUMMYFUNCTION("""COMPUTED_VALUE"""),2550.1)</f>
        <v>2550.1</v>
      </c>
      <c r="C86" s="16">
        <f>IFERROR(__xludf.DUMMYFUNCTION("""COMPUTED_VALUE"""),45863.6458333333)</f>
        <v>45863.6458333333</v>
      </c>
      <c r="D86" s="17">
        <f>IFERROR(__xludf.DUMMYFUNCTION("""COMPUTED_VALUE"""),2605)</f>
        <v>2605</v>
      </c>
      <c r="E86" s="16">
        <f>IFERROR(__xludf.DUMMYFUNCTION("""COMPUTED_VALUE"""),45863.6458333333)</f>
        <v>45863.6458333333</v>
      </c>
      <c r="F86" s="17">
        <f>IFERROR(__xludf.DUMMYFUNCTION("""COMPUTED_VALUE"""),424612)</f>
        <v>424612</v>
      </c>
      <c r="G86" s="16">
        <f>IFERROR(__xludf.DUMMYFUNCTION("""COMPUTED_VALUE"""),45863.6458333333)</f>
        <v>45863.6458333333</v>
      </c>
      <c r="H86" s="17">
        <f>IFERROR(__xludf.DUMMYFUNCTION("""COMPUTED_VALUE"""),2617)</f>
        <v>2617</v>
      </c>
      <c r="I86" s="16">
        <f>IFERROR(__xludf.DUMMYFUNCTION("""COMPUTED_VALUE"""),45863.6458333333)</f>
        <v>45863.6458333333</v>
      </c>
      <c r="J86" s="17">
        <f>IFERROR(__xludf.DUMMYFUNCTION("""COMPUTED_VALUE"""),2544.1)</f>
        <v>2544.1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IFERROR(__xludf.DUMMYFUNCTION("""COMPUTED_VALUE"""),2522.3)</f>
        <v>2522.3</v>
      </c>
      <c r="C87" s="16">
        <f>IFERROR(__xludf.DUMMYFUNCTION("""COMPUTED_VALUE"""),45866.6458333333)</f>
        <v>45866.6458333333</v>
      </c>
      <c r="D87" s="17">
        <f>IFERROR(__xludf.DUMMYFUNCTION("""COMPUTED_VALUE"""),2549)</f>
        <v>2549</v>
      </c>
      <c r="E87" s="16">
        <f>IFERROR(__xludf.DUMMYFUNCTION("""COMPUTED_VALUE"""),45866.6458333333)</f>
        <v>45866.6458333333</v>
      </c>
      <c r="F87" s="17">
        <f>IFERROR(__xludf.DUMMYFUNCTION("""COMPUTED_VALUE"""),428409)</f>
        <v>428409</v>
      </c>
      <c r="G87" s="16">
        <f>IFERROR(__xludf.DUMMYFUNCTION("""COMPUTED_VALUE"""),45866.6458333333)</f>
        <v>45866.6458333333</v>
      </c>
      <c r="H87" s="17">
        <f>IFERROR(__xludf.DUMMYFUNCTION("""COMPUTED_VALUE"""),2585)</f>
        <v>2585</v>
      </c>
      <c r="I87" s="16">
        <f>IFERROR(__xludf.DUMMYFUNCTION("""COMPUTED_VALUE"""),45866.6458333333)</f>
        <v>45866.6458333333</v>
      </c>
      <c r="J87" s="17">
        <f>IFERROR(__xludf.DUMMYFUNCTION("""COMPUTED_VALUE"""),2512.6)</f>
        <v>2512.6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IFERROR(__xludf.DUMMYFUNCTION("""COMPUTED_VALUE"""),2547.9)</f>
        <v>2547.9</v>
      </c>
      <c r="C88" s="16">
        <f>IFERROR(__xludf.DUMMYFUNCTION("""COMPUTED_VALUE"""),45867.6458333333)</f>
        <v>45867.6458333333</v>
      </c>
      <c r="D88" s="17">
        <f>IFERROR(__xludf.DUMMYFUNCTION("""COMPUTED_VALUE"""),2529)</f>
        <v>2529</v>
      </c>
      <c r="E88" s="16">
        <f>IFERROR(__xludf.DUMMYFUNCTION("""COMPUTED_VALUE"""),45867.6458333333)</f>
        <v>45867.6458333333</v>
      </c>
      <c r="F88" s="17">
        <f>IFERROR(__xludf.DUMMYFUNCTION("""COMPUTED_VALUE"""),424781)</f>
        <v>424781</v>
      </c>
      <c r="G88" s="16">
        <f>IFERROR(__xludf.DUMMYFUNCTION("""COMPUTED_VALUE"""),45867.6458333333)</f>
        <v>45867.6458333333</v>
      </c>
      <c r="H88" s="17">
        <f>IFERROR(__xludf.DUMMYFUNCTION("""COMPUTED_VALUE"""),2557.4)</f>
        <v>2557.4</v>
      </c>
      <c r="I88" s="16">
        <f>IFERROR(__xludf.DUMMYFUNCTION("""COMPUTED_VALUE"""),45867.6458333333)</f>
        <v>45867.6458333333</v>
      </c>
      <c r="J88" s="17">
        <f>IFERROR(__xludf.DUMMYFUNCTION("""COMPUTED_VALUE"""),2507.5)</f>
        <v>2507.5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IFERROR(__xludf.DUMMYFUNCTION("""COMPUTED_VALUE"""),2532.9)</f>
        <v>2532.9</v>
      </c>
      <c r="C89" s="16">
        <f>IFERROR(__xludf.DUMMYFUNCTION("""COMPUTED_VALUE"""),45868.6458333333)</f>
        <v>45868.6458333333</v>
      </c>
      <c r="D89" s="17">
        <f>IFERROR(__xludf.DUMMYFUNCTION("""COMPUTED_VALUE"""),2547.9)</f>
        <v>2547.9</v>
      </c>
      <c r="E89" s="16">
        <f>IFERROR(__xludf.DUMMYFUNCTION("""COMPUTED_VALUE"""),45868.6458333333)</f>
        <v>45868.6458333333</v>
      </c>
      <c r="F89" s="17">
        <f>IFERROR(__xludf.DUMMYFUNCTION("""COMPUTED_VALUE"""),262063)</f>
        <v>262063</v>
      </c>
      <c r="G89" s="16">
        <f>IFERROR(__xludf.DUMMYFUNCTION("""COMPUTED_VALUE"""),45868.6458333333)</f>
        <v>45868.6458333333</v>
      </c>
      <c r="H89" s="17">
        <f>IFERROR(__xludf.DUMMYFUNCTION("""COMPUTED_VALUE"""),2552.6)</f>
        <v>2552.6</v>
      </c>
      <c r="I89" s="16">
        <f>IFERROR(__xludf.DUMMYFUNCTION("""COMPUTED_VALUE"""),45868.6458333333)</f>
        <v>45868.6458333333</v>
      </c>
      <c r="J89" s="17">
        <f>IFERROR(__xludf.DUMMYFUNCTION("""COMPUTED_VALUE"""),2525)</f>
        <v>2525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IFERROR(__xludf.DUMMYFUNCTION("""COMPUTED_VALUE"""),2430.7)</f>
        <v>2430.7</v>
      </c>
      <c r="C90" s="16">
        <f>IFERROR(__xludf.DUMMYFUNCTION("""COMPUTED_VALUE"""),45869.6458333333)</f>
        <v>45869.6458333333</v>
      </c>
      <c r="D90" s="17">
        <f>IFERROR(__xludf.DUMMYFUNCTION("""COMPUTED_VALUE"""),2509.9)</f>
        <v>2509.9</v>
      </c>
      <c r="E90" s="16">
        <f>IFERROR(__xludf.DUMMYFUNCTION("""COMPUTED_VALUE"""),45869.6458333333)</f>
        <v>45869.6458333333</v>
      </c>
      <c r="F90" s="17">
        <f>IFERROR(__xludf.DUMMYFUNCTION("""COMPUTED_VALUE"""),1457616)</f>
        <v>1457616</v>
      </c>
      <c r="G90" s="16">
        <f>IFERROR(__xludf.DUMMYFUNCTION("""COMPUTED_VALUE"""),45869.6458333333)</f>
        <v>45869.6458333333</v>
      </c>
      <c r="H90" s="17">
        <f>IFERROR(__xludf.DUMMYFUNCTION("""COMPUTED_VALUE"""),2520)</f>
        <v>2520</v>
      </c>
      <c r="I90" s="16">
        <f>IFERROR(__xludf.DUMMYFUNCTION("""COMPUTED_VALUE"""),45869.6458333333)</f>
        <v>45869.6458333333</v>
      </c>
      <c r="J90" s="17">
        <f>IFERROR(__xludf.DUMMYFUNCTION("""COMPUTED_VALUE"""),2422.6)</f>
        <v>2422.6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IFERROR(__xludf.DUMMYFUNCTION("""COMPUTED_VALUE"""),2350.9)</f>
        <v>2350.9</v>
      </c>
      <c r="C91" s="16">
        <f>IFERROR(__xludf.DUMMYFUNCTION("""COMPUTED_VALUE"""),45870.6458333333)</f>
        <v>45870.6458333333</v>
      </c>
      <c r="D91" s="17">
        <f>IFERROR(__xludf.DUMMYFUNCTION("""COMPUTED_VALUE"""),2425)</f>
        <v>2425</v>
      </c>
      <c r="E91" s="16">
        <f>IFERROR(__xludf.DUMMYFUNCTION("""COMPUTED_VALUE"""),45870.6458333333)</f>
        <v>45870.6458333333</v>
      </c>
      <c r="F91" s="17">
        <f>IFERROR(__xludf.DUMMYFUNCTION("""COMPUTED_VALUE"""),976341)</f>
        <v>976341</v>
      </c>
      <c r="G91" s="16">
        <f>IFERROR(__xludf.DUMMYFUNCTION("""COMPUTED_VALUE"""),45870.6458333333)</f>
        <v>45870.6458333333</v>
      </c>
      <c r="H91" s="17">
        <f>IFERROR(__xludf.DUMMYFUNCTION("""COMPUTED_VALUE"""),2444.9)</f>
        <v>2444.9</v>
      </c>
      <c r="I91" s="16">
        <f>IFERROR(__xludf.DUMMYFUNCTION("""COMPUTED_VALUE"""),45870.6458333333)</f>
        <v>45870.6458333333</v>
      </c>
      <c r="J91" s="17">
        <f>IFERROR(__xludf.DUMMYFUNCTION("""COMPUTED_VALUE"""),2333)</f>
        <v>2333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IFERROR(__xludf.DUMMYFUNCTION("""COMPUTED_VALUE"""),2363.6)</f>
        <v>2363.6</v>
      </c>
      <c r="C92" s="16">
        <f>IFERROR(__xludf.DUMMYFUNCTION("""COMPUTED_VALUE"""),45873.6458333333)</f>
        <v>45873.6458333333</v>
      </c>
      <c r="D92" s="17">
        <f>IFERROR(__xludf.DUMMYFUNCTION("""COMPUTED_VALUE"""),2360)</f>
        <v>2360</v>
      </c>
      <c r="E92" s="16">
        <f>IFERROR(__xludf.DUMMYFUNCTION("""COMPUTED_VALUE"""),45873.6458333333)</f>
        <v>45873.6458333333</v>
      </c>
      <c r="F92" s="17">
        <f>IFERROR(__xludf.DUMMYFUNCTION("""COMPUTED_VALUE"""),576426)</f>
        <v>576426</v>
      </c>
      <c r="G92" s="16">
        <f>IFERROR(__xludf.DUMMYFUNCTION("""COMPUTED_VALUE"""),45873.6458333333)</f>
        <v>45873.6458333333</v>
      </c>
      <c r="H92" s="17">
        <f>IFERROR(__xludf.DUMMYFUNCTION("""COMPUTED_VALUE"""),2374.7)</f>
        <v>2374.7</v>
      </c>
      <c r="I92" s="16">
        <f>IFERROR(__xludf.DUMMYFUNCTION("""COMPUTED_VALUE"""),45873.6458333333)</f>
        <v>45873.6458333333</v>
      </c>
      <c r="J92" s="17">
        <f>IFERROR(__xludf.DUMMYFUNCTION("""COMPUTED_VALUE"""),2338.2)</f>
        <v>2338.2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IFERROR(__xludf.DUMMYFUNCTION("""COMPUTED_VALUE"""),2328.2)</f>
        <v>2328.2</v>
      </c>
      <c r="C93" s="16">
        <f>IFERROR(__xludf.DUMMYFUNCTION("""COMPUTED_VALUE"""),45874.6458333333)</f>
        <v>45874.6458333333</v>
      </c>
      <c r="D93" s="17">
        <f>IFERROR(__xludf.DUMMYFUNCTION("""COMPUTED_VALUE"""),2370)</f>
        <v>2370</v>
      </c>
      <c r="E93" s="16">
        <f>IFERROR(__xludf.DUMMYFUNCTION("""COMPUTED_VALUE"""),45874.6458333333)</f>
        <v>45874.6458333333</v>
      </c>
      <c r="F93" s="17">
        <f>IFERROR(__xludf.DUMMYFUNCTION("""COMPUTED_VALUE"""),576742)</f>
        <v>576742</v>
      </c>
      <c r="G93" s="16">
        <f>IFERROR(__xludf.DUMMYFUNCTION("""COMPUTED_VALUE"""),45874.6458333333)</f>
        <v>45874.6458333333</v>
      </c>
      <c r="H93" s="17">
        <f>IFERROR(__xludf.DUMMYFUNCTION("""COMPUTED_VALUE"""),2370)</f>
        <v>2370</v>
      </c>
      <c r="I93" s="16">
        <f>IFERROR(__xludf.DUMMYFUNCTION("""COMPUTED_VALUE"""),45874.6458333333)</f>
        <v>45874.6458333333</v>
      </c>
      <c r="J93" s="17">
        <f>IFERROR(__xludf.DUMMYFUNCTION("""COMPUTED_VALUE"""),2316)</f>
        <v>2316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IFERROR(__xludf.DUMMYFUNCTION("""COMPUTED_VALUE"""),2300.3)</f>
        <v>2300.3</v>
      </c>
      <c r="C94" s="16">
        <f>IFERROR(__xludf.DUMMYFUNCTION("""COMPUTED_VALUE"""),45875.6458333333)</f>
        <v>45875.6458333333</v>
      </c>
      <c r="D94" s="17">
        <f>IFERROR(__xludf.DUMMYFUNCTION("""COMPUTED_VALUE"""),2333.9)</f>
        <v>2333.9</v>
      </c>
      <c r="E94" s="16">
        <f>IFERROR(__xludf.DUMMYFUNCTION("""COMPUTED_VALUE"""),45875.6458333333)</f>
        <v>45875.6458333333</v>
      </c>
      <c r="F94" s="17">
        <f>IFERROR(__xludf.DUMMYFUNCTION("""COMPUTED_VALUE"""),631582)</f>
        <v>631582</v>
      </c>
      <c r="G94" s="16">
        <f>IFERROR(__xludf.DUMMYFUNCTION("""COMPUTED_VALUE"""),45875.6458333333)</f>
        <v>45875.6458333333</v>
      </c>
      <c r="H94" s="17">
        <f>IFERROR(__xludf.DUMMYFUNCTION("""COMPUTED_VALUE"""),2347.9)</f>
        <v>2347.9</v>
      </c>
      <c r="I94" s="16">
        <f>IFERROR(__xludf.DUMMYFUNCTION("""COMPUTED_VALUE"""),45875.6458333333)</f>
        <v>45875.6458333333</v>
      </c>
      <c r="J94" s="17">
        <f>IFERROR(__xludf.DUMMYFUNCTION("""COMPUTED_VALUE"""),2296)</f>
        <v>2296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IFERROR(__xludf.DUMMYFUNCTION("""COMPUTED_VALUE"""),2249.8)</f>
        <v>2249.8</v>
      </c>
      <c r="C95" s="16">
        <f>IFERROR(__xludf.DUMMYFUNCTION("""COMPUTED_VALUE"""),45876.6458333333)</f>
        <v>45876.6458333333</v>
      </c>
      <c r="D95" s="17">
        <f>IFERROR(__xludf.DUMMYFUNCTION("""COMPUTED_VALUE"""),2290)</f>
        <v>2290</v>
      </c>
      <c r="E95" s="16">
        <f>IFERROR(__xludf.DUMMYFUNCTION("""COMPUTED_VALUE"""),45876.6458333333)</f>
        <v>45876.6458333333</v>
      </c>
      <c r="F95" s="17">
        <f>IFERROR(__xludf.DUMMYFUNCTION("""COMPUTED_VALUE"""),1529410)</f>
        <v>1529410</v>
      </c>
      <c r="G95" s="16">
        <f>IFERROR(__xludf.DUMMYFUNCTION("""COMPUTED_VALUE"""),45876.6458333333)</f>
        <v>45876.6458333333</v>
      </c>
      <c r="H95" s="17">
        <f>IFERROR(__xludf.DUMMYFUNCTION("""COMPUTED_VALUE"""),2295)</f>
        <v>2295</v>
      </c>
      <c r="I95" s="16">
        <f>IFERROR(__xludf.DUMMYFUNCTION("""COMPUTED_VALUE"""),45876.6458333333)</f>
        <v>45876.6458333333</v>
      </c>
      <c r="J95" s="17">
        <f>IFERROR(__xludf.DUMMYFUNCTION("""COMPUTED_VALUE"""),2202.8)</f>
        <v>2202.8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IFERROR(__xludf.DUMMYFUNCTION("""COMPUTED_VALUE"""),2178.1)</f>
        <v>2178.1</v>
      </c>
      <c r="C96" s="16">
        <f>IFERROR(__xludf.DUMMYFUNCTION("""COMPUTED_VALUE"""),45877.6458333333)</f>
        <v>45877.6458333333</v>
      </c>
      <c r="D96" s="17">
        <f>IFERROR(__xludf.DUMMYFUNCTION("""COMPUTED_VALUE"""),2247)</f>
        <v>2247</v>
      </c>
      <c r="E96" s="16">
        <f>IFERROR(__xludf.DUMMYFUNCTION("""COMPUTED_VALUE"""),45877.6458333333)</f>
        <v>45877.6458333333</v>
      </c>
      <c r="F96" s="17">
        <f>IFERROR(__xludf.DUMMYFUNCTION("""COMPUTED_VALUE"""),2552736)</f>
        <v>2552736</v>
      </c>
      <c r="G96" s="16">
        <f>IFERROR(__xludf.DUMMYFUNCTION("""COMPUTED_VALUE"""),45877.6458333333)</f>
        <v>45877.6458333333</v>
      </c>
      <c r="H96" s="17">
        <f>IFERROR(__xludf.DUMMYFUNCTION("""COMPUTED_VALUE"""),2260.9)</f>
        <v>2260.9</v>
      </c>
      <c r="I96" s="16">
        <f>IFERROR(__xludf.DUMMYFUNCTION("""COMPUTED_VALUE"""),45877.6458333333)</f>
        <v>45877.6458333333</v>
      </c>
      <c r="J96" s="17">
        <f>IFERROR(__xludf.DUMMYFUNCTION("""COMPUTED_VALUE"""),2164.8)</f>
        <v>2164.8</v>
      </c>
      <c r="K96" s="3">
        <f t="shared" si="2"/>
        <v>0</v>
      </c>
      <c r="L96" s="3">
        <f t="shared" si="3"/>
        <v>2178.1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IFERROR(__xludf.DUMMYFUNCTION("""COMPUTED_VALUE"""),2283.4)</f>
        <v>2283.4</v>
      </c>
      <c r="C97" s="16">
        <f>IFERROR(__xludf.DUMMYFUNCTION("""COMPUTED_VALUE"""),45880.6458333333)</f>
        <v>45880.6458333333</v>
      </c>
      <c r="D97" s="17">
        <f>IFERROR(__xludf.DUMMYFUNCTION("""COMPUTED_VALUE"""),2196)</f>
        <v>2196</v>
      </c>
      <c r="E97" s="16">
        <f>IFERROR(__xludf.DUMMYFUNCTION("""COMPUTED_VALUE"""),45880.6458333333)</f>
        <v>45880.6458333333</v>
      </c>
      <c r="F97" s="17">
        <f>IFERROR(__xludf.DUMMYFUNCTION("""COMPUTED_VALUE"""),2376286)</f>
        <v>2376286</v>
      </c>
      <c r="G97" s="16">
        <f>IFERROR(__xludf.DUMMYFUNCTION("""COMPUTED_VALUE"""),45880.6458333333)</f>
        <v>45880.6458333333</v>
      </c>
      <c r="H97" s="17">
        <f>IFERROR(__xludf.DUMMYFUNCTION("""COMPUTED_VALUE"""),2302)</f>
        <v>2302</v>
      </c>
      <c r="I97" s="16">
        <f>IFERROR(__xludf.DUMMYFUNCTION("""COMPUTED_VALUE"""),45880.6458333333)</f>
        <v>45880.6458333333</v>
      </c>
      <c r="J97" s="17">
        <f>IFERROR(__xludf.DUMMYFUNCTION("""COMPUTED_VALUE"""),2183)</f>
        <v>2183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IFERROR(__xludf.DUMMYFUNCTION("""COMPUTED_VALUE"""),2288.2)</f>
        <v>2288.2</v>
      </c>
      <c r="C98" s="16">
        <f>IFERROR(__xludf.DUMMYFUNCTION("""COMPUTED_VALUE"""),45881.6458333333)</f>
        <v>45881.6458333333</v>
      </c>
      <c r="D98" s="17">
        <f>IFERROR(__xludf.DUMMYFUNCTION("""COMPUTED_VALUE"""),2280.1)</f>
        <v>2280.1</v>
      </c>
      <c r="E98" s="16">
        <f>IFERROR(__xludf.DUMMYFUNCTION("""COMPUTED_VALUE"""),45881.6458333333)</f>
        <v>45881.6458333333</v>
      </c>
      <c r="F98" s="17">
        <f>IFERROR(__xludf.DUMMYFUNCTION("""COMPUTED_VALUE"""),1075526)</f>
        <v>1075526</v>
      </c>
      <c r="G98" s="16">
        <f>IFERROR(__xludf.DUMMYFUNCTION("""COMPUTED_VALUE"""),45881.6458333333)</f>
        <v>45881.6458333333</v>
      </c>
      <c r="H98" s="17">
        <f>IFERROR(__xludf.DUMMYFUNCTION("""COMPUTED_VALUE"""),2314.7)</f>
        <v>2314.7</v>
      </c>
      <c r="I98" s="16">
        <f>IFERROR(__xludf.DUMMYFUNCTION("""COMPUTED_VALUE"""),45881.6458333333)</f>
        <v>45881.6458333333</v>
      </c>
      <c r="J98" s="17">
        <f>IFERROR(__xludf.DUMMYFUNCTION("""COMPUTED_VALUE"""),2267)</f>
        <v>2267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IFERROR(__xludf.DUMMYFUNCTION("""COMPUTED_VALUE"""),2280.1)</f>
        <v>2280.1</v>
      </c>
      <c r="C99" s="16">
        <f>IFERROR(__xludf.DUMMYFUNCTION("""COMPUTED_VALUE"""),45882.6458333333)</f>
        <v>45882.6458333333</v>
      </c>
      <c r="D99" s="17">
        <f>IFERROR(__xludf.DUMMYFUNCTION("""COMPUTED_VALUE"""),2299)</f>
        <v>2299</v>
      </c>
      <c r="E99" s="16">
        <f>IFERROR(__xludf.DUMMYFUNCTION("""COMPUTED_VALUE"""),45882.6458333333)</f>
        <v>45882.6458333333</v>
      </c>
      <c r="F99" s="17">
        <f>IFERROR(__xludf.DUMMYFUNCTION("""COMPUTED_VALUE"""),833679)</f>
        <v>833679</v>
      </c>
      <c r="G99" s="16">
        <f>IFERROR(__xludf.DUMMYFUNCTION("""COMPUTED_VALUE"""),45882.6458333333)</f>
        <v>45882.6458333333</v>
      </c>
      <c r="H99" s="17">
        <f>IFERROR(__xludf.DUMMYFUNCTION("""COMPUTED_VALUE"""),2314.9)</f>
        <v>2314.9</v>
      </c>
      <c r="I99" s="16">
        <f>IFERROR(__xludf.DUMMYFUNCTION("""COMPUTED_VALUE"""),45882.6458333333)</f>
        <v>45882.6458333333</v>
      </c>
      <c r="J99" s="17">
        <f>IFERROR(__xludf.DUMMYFUNCTION("""COMPUTED_VALUE"""),2245.4)</f>
        <v>2245.4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IFERROR(__xludf.DUMMYFUNCTION("""COMPUTED_VALUE"""),2281.6)</f>
        <v>2281.6</v>
      </c>
      <c r="C100" s="16">
        <f>IFERROR(__xludf.DUMMYFUNCTION("""COMPUTED_VALUE"""),45883.6458333333)</f>
        <v>45883.6458333333</v>
      </c>
      <c r="D100" s="17">
        <f>IFERROR(__xludf.DUMMYFUNCTION("""COMPUTED_VALUE"""),2288)</f>
        <v>2288</v>
      </c>
      <c r="E100" s="16">
        <f>IFERROR(__xludf.DUMMYFUNCTION("""COMPUTED_VALUE"""),45883.6458333333)</f>
        <v>45883.6458333333</v>
      </c>
      <c r="F100" s="17">
        <f>IFERROR(__xludf.DUMMYFUNCTION("""COMPUTED_VALUE"""),998109)</f>
        <v>998109</v>
      </c>
      <c r="G100" s="16">
        <f>IFERROR(__xludf.DUMMYFUNCTION("""COMPUTED_VALUE"""),45883.6458333333)</f>
        <v>45883.6458333333</v>
      </c>
      <c r="H100" s="17">
        <f>IFERROR(__xludf.DUMMYFUNCTION("""COMPUTED_VALUE"""),2304)</f>
        <v>2304</v>
      </c>
      <c r="I100" s="16">
        <f>IFERROR(__xludf.DUMMYFUNCTION("""COMPUTED_VALUE"""),45883.6458333333)</f>
        <v>45883.6458333333</v>
      </c>
      <c r="J100" s="17">
        <f>IFERROR(__xludf.DUMMYFUNCTION("""COMPUTED_VALUE"""),2267.7)</f>
        <v>2267.7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IFERROR(__xludf.DUMMYFUNCTION("""COMPUTED_VALUE"""),2333.6)</f>
        <v>2333.6</v>
      </c>
      <c r="C101" s="16">
        <f>IFERROR(__xludf.DUMMYFUNCTION("""COMPUTED_VALUE"""),45887.6458333333)</f>
        <v>45887.6458333333</v>
      </c>
      <c r="D101" s="17">
        <f>IFERROR(__xludf.DUMMYFUNCTION("""COMPUTED_VALUE"""),2309.6)</f>
        <v>2309.6</v>
      </c>
      <c r="E101" s="16">
        <f>IFERROR(__xludf.DUMMYFUNCTION("""COMPUTED_VALUE"""),45887.6458333333)</f>
        <v>45887.6458333333</v>
      </c>
      <c r="F101" s="17">
        <f>IFERROR(__xludf.DUMMYFUNCTION("""COMPUTED_VALUE"""),988629)</f>
        <v>988629</v>
      </c>
      <c r="G101" s="16">
        <f>IFERROR(__xludf.DUMMYFUNCTION("""COMPUTED_VALUE"""),45887.6458333333)</f>
        <v>45887.6458333333</v>
      </c>
      <c r="H101" s="17">
        <f>IFERROR(__xludf.DUMMYFUNCTION("""COMPUTED_VALUE"""),2360)</f>
        <v>2360</v>
      </c>
      <c r="I101" s="16">
        <f>IFERROR(__xludf.DUMMYFUNCTION("""COMPUTED_VALUE"""),45887.6458333333)</f>
        <v>45887.6458333333</v>
      </c>
      <c r="J101" s="17">
        <f>IFERROR(__xludf.DUMMYFUNCTION("""COMPUTED_VALUE"""),2300)</f>
        <v>2300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IFERROR(__xludf.DUMMYFUNCTION("""COMPUTED_VALUE"""),2388.4)</f>
        <v>2388.4</v>
      </c>
      <c r="C102" s="16">
        <f>IFERROR(__xludf.DUMMYFUNCTION("""COMPUTED_VALUE"""),45888.6458333333)</f>
        <v>45888.6458333333</v>
      </c>
      <c r="D102" s="17">
        <f>IFERROR(__xludf.DUMMYFUNCTION("""COMPUTED_VALUE"""),2339.9)</f>
        <v>2339.9</v>
      </c>
      <c r="E102" s="16">
        <f>IFERROR(__xludf.DUMMYFUNCTION("""COMPUTED_VALUE"""),45888.6458333333)</f>
        <v>45888.6458333333</v>
      </c>
      <c r="F102" s="17">
        <f>IFERROR(__xludf.DUMMYFUNCTION("""COMPUTED_VALUE"""),1069432)</f>
        <v>1069432</v>
      </c>
      <c r="G102" s="16">
        <f>IFERROR(__xludf.DUMMYFUNCTION("""COMPUTED_VALUE"""),45888.6458333333)</f>
        <v>45888.6458333333</v>
      </c>
      <c r="H102" s="17">
        <f>IFERROR(__xludf.DUMMYFUNCTION("""COMPUTED_VALUE"""),2395.6)</f>
        <v>2395.6</v>
      </c>
      <c r="I102" s="16">
        <f>IFERROR(__xludf.DUMMYFUNCTION("""COMPUTED_VALUE"""),45888.6458333333)</f>
        <v>45888.6458333333</v>
      </c>
      <c r="J102" s="17">
        <f>IFERROR(__xludf.DUMMYFUNCTION("""COMPUTED_VALUE"""),2314.1)</f>
        <v>2314.1</v>
      </c>
      <c r="K102" s="3">
        <f t="shared" si="2"/>
        <v>2388.4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IFERROR(__xludf.DUMMYFUNCTION("""COMPUTED_VALUE"""),2387.1)</f>
        <v>2387.1</v>
      </c>
      <c r="C103" s="16">
        <f>IFERROR(__xludf.DUMMYFUNCTION("""COMPUTED_VALUE"""),45889.6458333333)</f>
        <v>45889.6458333333</v>
      </c>
      <c r="D103" s="17">
        <f>IFERROR(__xludf.DUMMYFUNCTION("""COMPUTED_VALUE"""),2380)</f>
        <v>2380</v>
      </c>
      <c r="E103" s="16">
        <f>IFERROR(__xludf.DUMMYFUNCTION("""COMPUTED_VALUE"""),45889.6458333333)</f>
        <v>45889.6458333333</v>
      </c>
      <c r="F103" s="17">
        <f>IFERROR(__xludf.DUMMYFUNCTION("""COMPUTED_VALUE"""),780025)</f>
        <v>780025</v>
      </c>
      <c r="G103" s="16">
        <f>IFERROR(__xludf.DUMMYFUNCTION("""COMPUTED_VALUE"""),45889.6458333333)</f>
        <v>45889.6458333333</v>
      </c>
      <c r="H103" s="17">
        <f>IFERROR(__xludf.DUMMYFUNCTION("""COMPUTED_VALUE"""),2406)</f>
        <v>2406</v>
      </c>
      <c r="I103" s="16">
        <f>IFERROR(__xludf.DUMMYFUNCTION("""COMPUTED_VALUE"""),45889.6458333333)</f>
        <v>45889.6458333333</v>
      </c>
      <c r="J103" s="17">
        <f>IFERROR(__xludf.DUMMYFUNCTION("""COMPUTED_VALUE"""),2372.1)</f>
        <v>2372.1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IFERROR(__xludf.DUMMYFUNCTION("""COMPUTED_VALUE"""),2377.2)</f>
        <v>2377.2</v>
      </c>
      <c r="C104" s="16">
        <f>IFERROR(__xludf.DUMMYFUNCTION("""COMPUTED_VALUE"""),45890.6458333333)</f>
        <v>45890.6458333333</v>
      </c>
      <c r="D104" s="17">
        <f>IFERROR(__xludf.DUMMYFUNCTION("""COMPUTED_VALUE"""),2387.1)</f>
        <v>2387.1</v>
      </c>
      <c r="E104" s="16">
        <f>IFERROR(__xludf.DUMMYFUNCTION("""COMPUTED_VALUE"""),45890.6458333333)</f>
        <v>45890.6458333333</v>
      </c>
      <c r="F104" s="17">
        <f>IFERROR(__xludf.DUMMYFUNCTION("""COMPUTED_VALUE"""),441867)</f>
        <v>441867</v>
      </c>
      <c r="G104" s="16">
        <f>IFERROR(__xludf.DUMMYFUNCTION("""COMPUTED_VALUE"""),45890.6458333333)</f>
        <v>45890.6458333333</v>
      </c>
      <c r="H104" s="17">
        <f>IFERROR(__xludf.DUMMYFUNCTION("""COMPUTED_VALUE"""),2397)</f>
        <v>2397</v>
      </c>
      <c r="I104" s="16">
        <f>IFERROR(__xludf.DUMMYFUNCTION("""COMPUTED_VALUE"""),45890.6458333333)</f>
        <v>45890.6458333333</v>
      </c>
      <c r="J104" s="17">
        <f>IFERROR(__xludf.DUMMYFUNCTION("""COMPUTED_VALUE"""),2371.4)</f>
        <v>2371.4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IFERROR(__xludf.DUMMYFUNCTION("""COMPUTED_VALUE"""),2324.9)</f>
        <v>2324.9</v>
      </c>
      <c r="C105" s="16">
        <f>IFERROR(__xludf.DUMMYFUNCTION("""COMPUTED_VALUE"""),45891.6458333333)</f>
        <v>45891.6458333333</v>
      </c>
      <c r="D105" s="17">
        <f>IFERROR(__xludf.DUMMYFUNCTION("""COMPUTED_VALUE"""),2369.9)</f>
        <v>2369.9</v>
      </c>
      <c r="E105" s="16">
        <f>IFERROR(__xludf.DUMMYFUNCTION("""COMPUTED_VALUE"""),45891.6458333333)</f>
        <v>45891.6458333333</v>
      </c>
      <c r="F105" s="17">
        <f>IFERROR(__xludf.DUMMYFUNCTION("""COMPUTED_VALUE"""),584211)</f>
        <v>584211</v>
      </c>
      <c r="G105" s="16">
        <f>IFERROR(__xludf.DUMMYFUNCTION("""COMPUTED_VALUE"""),45891.6458333333)</f>
        <v>45891.6458333333</v>
      </c>
      <c r="H105" s="17">
        <f>IFERROR(__xludf.DUMMYFUNCTION("""COMPUTED_VALUE"""),2376.3)</f>
        <v>2376.3</v>
      </c>
      <c r="I105" s="16">
        <f>IFERROR(__xludf.DUMMYFUNCTION("""COMPUTED_VALUE"""),45891.6458333333)</f>
        <v>45891.6458333333</v>
      </c>
      <c r="J105" s="17">
        <f>IFERROR(__xludf.DUMMYFUNCTION("""COMPUTED_VALUE"""),2321)</f>
        <v>2321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IFERROR(__xludf.DUMMYFUNCTION("""COMPUTED_VALUE"""),2302.9)</f>
        <v>2302.9</v>
      </c>
      <c r="C106" s="16">
        <f>IFERROR(__xludf.DUMMYFUNCTION("""COMPUTED_VALUE"""),45894.6458333333)</f>
        <v>45894.6458333333</v>
      </c>
      <c r="D106" s="17">
        <f>IFERROR(__xludf.DUMMYFUNCTION("""COMPUTED_VALUE"""),2335.7)</f>
        <v>2335.7</v>
      </c>
      <c r="E106" s="16">
        <f>IFERROR(__xludf.DUMMYFUNCTION("""COMPUTED_VALUE"""),45894.6458333333)</f>
        <v>45894.6458333333</v>
      </c>
      <c r="F106" s="17">
        <f>IFERROR(__xludf.DUMMYFUNCTION("""COMPUTED_VALUE"""),542455)</f>
        <v>542455</v>
      </c>
      <c r="G106" s="16">
        <f>IFERROR(__xludf.DUMMYFUNCTION("""COMPUTED_VALUE"""),45894.6458333333)</f>
        <v>45894.6458333333</v>
      </c>
      <c r="H106" s="17">
        <f>IFERROR(__xludf.DUMMYFUNCTION("""COMPUTED_VALUE"""),2348.4)</f>
        <v>2348.4</v>
      </c>
      <c r="I106" s="16">
        <f>IFERROR(__xludf.DUMMYFUNCTION("""COMPUTED_VALUE"""),45894.6458333333)</f>
        <v>45894.6458333333</v>
      </c>
      <c r="J106" s="17">
        <f>IFERROR(__xludf.DUMMYFUNCTION("""COMPUTED_VALUE"""),2300)</f>
        <v>2300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IFERROR(__xludf.DUMMYFUNCTION("""COMPUTED_VALUE"""),2272)</f>
        <v>2272</v>
      </c>
      <c r="C107" s="16">
        <f>IFERROR(__xludf.DUMMYFUNCTION("""COMPUTED_VALUE"""),45895.6458333333)</f>
        <v>45895.6458333333</v>
      </c>
      <c r="D107" s="17">
        <f>IFERROR(__xludf.DUMMYFUNCTION("""COMPUTED_VALUE"""),2304)</f>
        <v>2304</v>
      </c>
      <c r="E107" s="16">
        <f>IFERROR(__xludf.DUMMYFUNCTION("""COMPUTED_VALUE"""),45895.6458333333)</f>
        <v>45895.6458333333</v>
      </c>
      <c r="F107" s="17">
        <f>IFERROR(__xludf.DUMMYFUNCTION("""COMPUTED_VALUE"""),1071550)</f>
        <v>1071550</v>
      </c>
      <c r="G107" s="16">
        <f>IFERROR(__xludf.DUMMYFUNCTION("""COMPUTED_VALUE"""),45895.6458333333)</f>
        <v>45895.6458333333</v>
      </c>
      <c r="H107" s="17">
        <f>IFERROR(__xludf.DUMMYFUNCTION("""COMPUTED_VALUE"""),2309.3)</f>
        <v>2309.3</v>
      </c>
      <c r="I107" s="16">
        <f>IFERROR(__xludf.DUMMYFUNCTION("""COMPUTED_VALUE"""),45895.6458333333)</f>
        <v>45895.6458333333</v>
      </c>
      <c r="J107" s="17">
        <f>IFERROR(__xludf.DUMMYFUNCTION("""COMPUTED_VALUE"""),2249.4)</f>
        <v>2249.4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IFERROR(__xludf.DUMMYFUNCTION("""COMPUTED_VALUE"""),2275.2)</f>
        <v>2275.2</v>
      </c>
      <c r="C108" s="16">
        <f>IFERROR(__xludf.DUMMYFUNCTION("""COMPUTED_VALUE"""),45897.6458333333)</f>
        <v>45897.6458333333</v>
      </c>
      <c r="D108" s="17">
        <f>IFERROR(__xludf.DUMMYFUNCTION("""COMPUTED_VALUE"""),2271.9)</f>
        <v>2271.9</v>
      </c>
      <c r="E108" s="16">
        <f>IFERROR(__xludf.DUMMYFUNCTION("""COMPUTED_VALUE"""),45897.6458333333)</f>
        <v>45897.6458333333</v>
      </c>
      <c r="F108" s="17">
        <f>IFERROR(__xludf.DUMMYFUNCTION("""COMPUTED_VALUE"""),907868)</f>
        <v>907868</v>
      </c>
      <c r="G108" s="16">
        <f>IFERROR(__xludf.DUMMYFUNCTION("""COMPUTED_VALUE"""),45897.6458333333)</f>
        <v>45897.6458333333</v>
      </c>
      <c r="H108" s="17">
        <f>IFERROR(__xludf.DUMMYFUNCTION("""COMPUTED_VALUE"""),2327.9)</f>
        <v>2327.9</v>
      </c>
      <c r="I108" s="16">
        <f>IFERROR(__xludf.DUMMYFUNCTION("""COMPUTED_VALUE"""),45897.6458333333)</f>
        <v>45897.6458333333</v>
      </c>
      <c r="J108" s="17">
        <f>IFERROR(__xludf.DUMMYFUNCTION("""COMPUTED_VALUE"""),2255)</f>
        <v>2255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IFERROR(__xludf.DUMMYFUNCTION("""COMPUTED_VALUE"""),2244.7)</f>
        <v>2244.7</v>
      </c>
      <c r="C109" s="16">
        <f>IFERROR(__xludf.DUMMYFUNCTION("""COMPUTED_VALUE"""),45898.6458333333)</f>
        <v>45898.6458333333</v>
      </c>
      <c r="D109" s="17">
        <f>IFERROR(__xludf.DUMMYFUNCTION("""COMPUTED_VALUE"""),2283)</f>
        <v>2283</v>
      </c>
      <c r="E109" s="16">
        <f>IFERROR(__xludf.DUMMYFUNCTION("""COMPUTED_VALUE"""),45898.6458333333)</f>
        <v>45898.6458333333</v>
      </c>
      <c r="F109" s="17">
        <f>IFERROR(__xludf.DUMMYFUNCTION("""COMPUTED_VALUE"""),795699)</f>
        <v>795699</v>
      </c>
      <c r="G109" s="16">
        <f>IFERROR(__xludf.DUMMYFUNCTION("""COMPUTED_VALUE"""),45898.6458333333)</f>
        <v>45898.6458333333</v>
      </c>
      <c r="H109" s="17">
        <f>IFERROR(__xludf.DUMMYFUNCTION("""COMPUTED_VALUE"""),2289.7)</f>
        <v>2289.7</v>
      </c>
      <c r="I109" s="16">
        <f>IFERROR(__xludf.DUMMYFUNCTION("""COMPUTED_VALUE"""),45898.6458333333)</f>
        <v>45898.6458333333</v>
      </c>
      <c r="J109" s="17">
        <f>IFERROR(__xludf.DUMMYFUNCTION("""COMPUTED_VALUE"""),2240)</f>
        <v>2240</v>
      </c>
      <c r="K109" s="3">
        <f t="shared" si="2"/>
        <v>0</v>
      </c>
      <c r="L109" s="3">
        <f t="shared" si="3"/>
        <v>2244.7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IFERROR(__xludf.DUMMYFUNCTION("""COMPUTED_VALUE"""),2284.2)</f>
        <v>2284.2</v>
      </c>
      <c r="C110" s="16">
        <f>IFERROR(__xludf.DUMMYFUNCTION("""COMPUTED_VALUE"""),45901.6458333333)</f>
        <v>45901.6458333333</v>
      </c>
      <c r="D110" s="17">
        <f>IFERROR(__xludf.DUMMYFUNCTION("""COMPUTED_VALUE"""),2259)</f>
        <v>2259</v>
      </c>
      <c r="E110" s="16">
        <f>IFERROR(__xludf.DUMMYFUNCTION("""COMPUTED_VALUE"""),45901.6458333333)</f>
        <v>45901.6458333333</v>
      </c>
      <c r="F110" s="17">
        <f>IFERROR(__xludf.DUMMYFUNCTION("""COMPUTED_VALUE"""),425639)</f>
        <v>425639</v>
      </c>
      <c r="G110" s="16">
        <f>IFERROR(__xludf.DUMMYFUNCTION("""COMPUTED_VALUE"""),45901.6458333333)</f>
        <v>45901.6458333333</v>
      </c>
      <c r="H110" s="17">
        <f>IFERROR(__xludf.DUMMYFUNCTION("""COMPUTED_VALUE"""),2288)</f>
        <v>2288</v>
      </c>
      <c r="I110" s="16">
        <f>IFERROR(__xludf.DUMMYFUNCTION("""COMPUTED_VALUE"""),45901.6458333333)</f>
        <v>45901.6458333333</v>
      </c>
      <c r="J110" s="17">
        <f>IFERROR(__xludf.DUMMYFUNCTION("""COMPUTED_VALUE"""),2252.1)</f>
        <v>2252.1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IFERROR(__xludf.DUMMYFUNCTION("""COMPUTED_VALUE"""),2274.2)</f>
        <v>2274.2</v>
      </c>
      <c r="C111" s="16">
        <f>IFERROR(__xludf.DUMMYFUNCTION("""COMPUTED_VALUE"""),45902.6458333333)</f>
        <v>45902.6458333333</v>
      </c>
      <c r="D111" s="17">
        <f>IFERROR(__xludf.DUMMYFUNCTION("""COMPUTED_VALUE"""),2291)</f>
        <v>2291</v>
      </c>
      <c r="E111" s="16">
        <f>IFERROR(__xludf.DUMMYFUNCTION("""COMPUTED_VALUE"""),45902.6458333333)</f>
        <v>45902.6458333333</v>
      </c>
      <c r="F111" s="17">
        <f>IFERROR(__xludf.DUMMYFUNCTION("""COMPUTED_VALUE"""),481894)</f>
        <v>481894</v>
      </c>
      <c r="G111" s="16">
        <f>IFERROR(__xludf.DUMMYFUNCTION("""COMPUTED_VALUE"""),45902.6458333333)</f>
        <v>45902.6458333333</v>
      </c>
      <c r="H111" s="17">
        <f>IFERROR(__xludf.DUMMYFUNCTION("""COMPUTED_VALUE"""),2302)</f>
        <v>2302</v>
      </c>
      <c r="I111" s="16">
        <f>IFERROR(__xludf.DUMMYFUNCTION("""COMPUTED_VALUE"""),45902.6458333333)</f>
        <v>45902.6458333333</v>
      </c>
      <c r="J111" s="17">
        <f>IFERROR(__xludf.DUMMYFUNCTION("""COMPUTED_VALUE"""),2264)</f>
        <v>2264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IFERROR(__xludf.DUMMYFUNCTION("""COMPUTED_VALUE"""),2288.7)</f>
        <v>2288.7</v>
      </c>
      <c r="C112" s="16">
        <f>IFERROR(__xludf.DUMMYFUNCTION("""COMPUTED_VALUE"""),45903.6458333333)</f>
        <v>45903.6458333333</v>
      </c>
      <c r="D112" s="17">
        <f>IFERROR(__xludf.DUMMYFUNCTION("""COMPUTED_VALUE"""),2285)</f>
        <v>2285</v>
      </c>
      <c r="E112" s="16">
        <f>IFERROR(__xludf.DUMMYFUNCTION("""COMPUTED_VALUE"""),45903.6458333333)</f>
        <v>45903.6458333333</v>
      </c>
      <c r="F112" s="17">
        <f>IFERROR(__xludf.DUMMYFUNCTION("""COMPUTED_VALUE"""),443629)</f>
        <v>443629</v>
      </c>
      <c r="G112" s="16">
        <f>IFERROR(__xludf.DUMMYFUNCTION("""COMPUTED_VALUE"""),45903.6458333333)</f>
        <v>45903.6458333333</v>
      </c>
      <c r="H112" s="17">
        <f>IFERROR(__xludf.DUMMYFUNCTION("""COMPUTED_VALUE"""),2293)</f>
        <v>2293</v>
      </c>
      <c r="I112" s="16">
        <f>IFERROR(__xludf.DUMMYFUNCTION("""COMPUTED_VALUE"""),45903.6458333333)</f>
        <v>45903.6458333333</v>
      </c>
      <c r="J112" s="17">
        <f>IFERROR(__xludf.DUMMYFUNCTION("""COMPUTED_VALUE"""),2263.1)</f>
        <v>2263.1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IFERROR(__xludf.DUMMYFUNCTION("""COMPUTED_VALUE"""),2278.8)</f>
        <v>2278.8</v>
      </c>
      <c r="C113" s="16">
        <f>IFERROR(__xludf.DUMMYFUNCTION("""COMPUTED_VALUE"""),45904.6458333333)</f>
        <v>45904.6458333333</v>
      </c>
      <c r="D113" s="17">
        <f>IFERROR(__xludf.DUMMYFUNCTION("""COMPUTED_VALUE"""),2309.9)</f>
        <v>2309.9</v>
      </c>
      <c r="E113" s="16">
        <f>IFERROR(__xludf.DUMMYFUNCTION("""COMPUTED_VALUE"""),45904.6458333333)</f>
        <v>45904.6458333333</v>
      </c>
      <c r="F113" s="17">
        <f>IFERROR(__xludf.DUMMYFUNCTION("""COMPUTED_VALUE"""),392697)</f>
        <v>392697</v>
      </c>
      <c r="G113" s="16">
        <f>IFERROR(__xludf.DUMMYFUNCTION("""COMPUTED_VALUE"""),45904.6458333333)</f>
        <v>45904.6458333333</v>
      </c>
      <c r="H113" s="17">
        <f>IFERROR(__xludf.DUMMYFUNCTION("""COMPUTED_VALUE"""),2317.3)</f>
        <v>2317.3</v>
      </c>
      <c r="I113" s="16">
        <f>IFERROR(__xludf.DUMMYFUNCTION("""COMPUTED_VALUE"""),45904.6458333333)</f>
        <v>45904.6458333333</v>
      </c>
      <c r="J113" s="17">
        <f>IFERROR(__xludf.DUMMYFUNCTION("""COMPUTED_VALUE"""),2275)</f>
        <v>2275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IFERROR(__xludf.DUMMYFUNCTION("""COMPUTED_VALUE"""),2281.4)</f>
        <v>2281.4</v>
      </c>
      <c r="C114" s="16">
        <f>IFERROR(__xludf.DUMMYFUNCTION("""COMPUTED_VALUE"""),45905.6458333333)</f>
        <v>45905.6458333333</v>
      </c>
      <c r="D114" s="17">
        <f>IFERROR(__xludf.DUMMYFUNCTION("""COMPUTED_VALUE"""),2275)</f>
        <v>2275</v>
      </c>
      <c r="E114" s="16">
        <f>IFERROR(__xludf.DUMMYFUNCTION("""COMPUTED_VALUE"""),45905.6458333333)</f>
        <v>45905.6458333333</v>
      </c>
      <c r="F114" s="17">
        <f>IFERROR(__xludf.DUMMYFUNCTION("""COMPUTED_VALUE"""),443010)</f>
        <v>443010</v>
      </c>
      <c r="G114" s="16">
        <f>IFERROR(__xludf.DUMMYFUNCTION("""COMPUTED_VALUE"""),45905.6458333333)</f>
        <v>45905.6458333333</v>
      </c>
      <c r="H114" s="17">
        <f>IFERROR(__xludf.DUMMYFUNCTION("""COMPUTED_VALUE"""),2293.5)</f>
        <v>2293.5</v>
      </c>
      <c r="I114" s="16">
        <f>IFERROR(__xludf.DUMMYFUNCTION("""COMPUTED_VALUE"""),45905.6458333333)</f>
        <v>45905.6458333333</v>
      </c>
      <c r="J114" s="17">
        <f>IFERROR(__xludf.DUMMYFUNCTION("""COMPUTED_VALUE"""),2248)</f>
        <v>2248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IFERROR(__xludf.DUMMYFUNCTION("""COMPUTED_VALUE"""),2310.9)</f>
        <v>2310.9</v>
      </c>
      <c r="C115" s="16">
        <f>IFERROR(__xludf.DUMMYFUNCTION("""COMPUTED_VALUE"""),45908.6458333333)</f>
        <v>45908.6458333333</v>
      </c>
      <c r="D115" s="17">
        <f>IFERROR(__xludf.DUMMYFUNCTION("""COMPUTED_VALUE"""),2290)</f>
        <v>2290</v>
      </c>
      <c r="E115" s="16">
        <f>IFERROR(__xludf.DUMMYFUNCTION("""COMPUTED_VALUE"""),45908.6458333333)</f>
        <v>45908.6458333333</v>
      </c>
      <c r="F115" s="17">
        <f>IFERROR(__xludf.DUMMYFUNCTION("""COMPUTED_VALUE"""),542811)</f>
        <v>542811</v>
      </c>
      <c r="G115" s="16">
        <f>IFERROR(__xludf.DUMMYFUNCTION("""COMPUTED_VALUE"""),45908.6458333333)</f>
        <v>45908.6458333333</v>
      </c>
      <c r="H115" s="17">
        <f>IFERROR(__xludf.DUMMYFUNCTION("""COMPUTED_VALUE"""),2333.9)</f>
        <v>2333.9</v>
      </c>
      <c r="I115" s="16">
        <f>IFERROR(__xludf.DUMMYFUNCTION("""COMPUTED_VALUE"""),45908.6458333333)</f>
        <v>45908.6458333333</v>
      </c>
      <c r="J115" s="17">
        <f>IFERROR(__xludf.DUMMYFUNCTION("""COMPUTED_VALUE"""),2286)</f>
        <v>2286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IFERROR(__xludf.DUMMYFUNCTION("""COMPUTED_VALUE"""),2311.6)</f>
        <v>2311.6</v>
      </c>
      <c r="C116" s="16">
        <f>IFERROR(__xludf.DUMMYFUNCTION("""COMPUTED_VALUE"""),45909.6458333333)</f>
        <v>45909.6458333333</v>
      </c>
      <c r="D116" s="17">
        <f>IFERROR(__xludf.DUMMYFUNCTION("""COMPUTED_VALUE"""),2320)</f>
        <v>2320</v>
      </c>
      <c r="E116" s="16">
        <f>IFERROR(__xludf.DUMMYFUNCTION("""COMPUTED_VALUE"""),45909.6458333333)</f>
        <v>45909.6458333333</v>
      </c>
      <c r="F116" s="17">
        <f>IFERROR(__xludf.DUMMYFUNCTION("""COMPUTED_VALUE"""),369431)</f>
        <v>369431</v>
      </c>
      <c r="G116" s="16">
        <f>IFERROR(__xludf.DUMMYFUNCTION("""COMPUTED_VALUE"""),45909.6458333333)</f>
        <v>45909.6458333333</v>
      </c>
      <c r="H116" s="17">
        <f>IFERROR(__xludf.DUMMYFUNCTION("""COMPUTED_VALUE"""),2325)</f>
        <v>2325</v>
      </c>
      <c r="I116" s="16">
        <f>IFERROR(__xludf.DUMMYFUNCTION("""COMPUTED_VALUE"""),45909.6458333333)</f>
        <v>45909.6458333333</v>
      </c>
      <c r="J116" s="17">
        <f>IFERROR(__xludf.DUMMYFUNCTION("""COMPUTED_VALUE"""),2297)</f>
        <v>2297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IFERROR(__xludf.DUMMYFUNCTION("""COMPUTED_VALUE"""),2340.2)</f>
        <v>2340.2</v>
      </c>
      <c r="C117" s="16">
        <f>IFERROR(__xludf.DUMMYFUNCTION("""COMPUTED_VALUE"""),45910.6458333333)</f>
        <v>45910.6458333333</v>
      </c>
      <c r="D117" s="17">
        <f>IFERROR(__xludf.DUMMYFUNCTION("""COMPUTED_VALUE"""),2330)</f>
        <v>2330</v>
      </c>
      <c r="E117" s="16">
        <f>IFERROR(__xludf.DUMMYFUNCTION("""COMPUTED_VALUE"""),45910.6458333333)</f>
        <v>45910.6458333333</v>
      </c>
      <c r="F117" s="17">
        <f>IFERROR(__xludf.DUMMYFUNCTION("""COMPUTED_VALUE"""),390490)</f>
        <v>390490</v>
      </c>
      <c r="G117" s="16">
        <f>IFERROR(__xludf.DUMMYFUNCTION("""COMPUTED_VALUE"""),45910.6458333333)</f>
        <v>45910.6458333333</v>
      </c>
      <c r="H117" s="17">
        <f>IFERROR(__xludf.DUMMYFUNCTION("""COMPUTED_VALUE"""),2345.9)</f>
        <v>2345.9</v>
      </c>
      <c r="I117" s="16">
        <f>IFERROR(__xludf.DUMMYFUNCTION("""COMPUTED_VALUE"""),45910.6458333333)</f>
        <v>45910.6458333333</v>
      </c>
      <c r="J117" s="17">
        <f>IFERROR(__xludf.DUMMYFUNCTION("""COMPUTED_VALUE"""),2325.1)</f>
        <v>2325.1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IFERROR(__xludf.DUMMYFUNCTION("""COMPUTED_VALUE"""),2398.8)</f>
        <v>2398.8</v>
      </c>
      <c r="C118" s="16">
        <f>IFERROR(__xludf.DUMMYFUNCTION("""COMPUTED_VALUE"""),45911.6458333333)</f>
        <v>45911.6458333333</v>
      </c>
      <c r="D118" s="17">
        <f>IFERROR(__xludf.DUMMYFUNCTION("""COMPUTED_VALUE"""),2348)</f>
        <v>2348</v>
      </c>
      <c r="E118" s="16">
        <f>IFERROR(__xludf.DUMMYFUNCTION("""COMPUTED_VALUE"""),45911.6458333333)</f>
        <v>45911.6458333333</v>
      </c>
      <c r="F118" s="17">
        <f>IFERROR(__xludf.DUMMYFUNCTION("""COMPUTED_VALUE"""),2111888)</f>
        <v>2111888</v>
      </c>
      <c r="G118" s="16">
        <f>IFERROR(__xludf.DUMMYFUNCTION("""COMPUTED_VALUE"""),45911.6458333333)</f>
        <v>45911.6458333333</v>
      </c>
      <c r="H118" s="17">
        <f>IFERROR(__xludf.DUMMYFUNCTION("""COMPUTED_VALUE"""),2418.7)</f>
        <v>2418.7</v>
      </c>
      <c r="I118" s="16">
        <f>IFERROR(__xludf.DUMMYFUNCTION("""COMPUTED_VALUE"""),45911.6458333333)</f>
        <v>45911.6458333333</v>
      </c>
      <c r="J118" s="17">
        <f>IFERROR(__xludf.DUMMYFUNCTION("""COMPUTED_VALUE"""),2340.2)</f>
        <v>2340.2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IFERROR(__xludf.DUMMYFUNCTION("""COMPUTED_VALUE"""),2392)</f>
        <v>2392</v>
      </c>
      <c r="C119" s="16">
        <f>IFERROR(__xludf.DUMMYFUNCTION("""COMPUTED_VALUE"""),45912.6458333333)</f>
        <v>45912.6458333333</v>
      </c>
      <c r="D119" s="17">
        <f>IFERROR(__xludf.DUMMYFUNCTION("""COMPUTED_VALUE"""),2416.9)</f>
        <v>2416.9</v>
      </c>
      <c r="E119" s="16">
        <f>IFERROR(__xludf.DUMMYFUNCTION("""COMPUTED_VALUE"""),45912.6458333333)</f>
        <v>45912.6458333333</v>
      </c>
      <c r="F119" s="17">
        <f>IFERROR(__xludf.DUMMYFUNCTION("""COMPUTED_VALUE"""),533971)</f>
        <v>533971</v>
      </c>
      <c r="G119" s="16">
        <f>IFERROR(__xludf.DUMMYFUNCTION("""COMPUTED_VALUE"""),45912.6458333333)</f>
        <v>45912.6458333333</v>
      </c>
      <c r="H119" s="17">
        <f>IFERROR(__xludf.DUMMYFUNCTION("""COMPUTED_VALUE"""),2421.6)</f>
        <v>2421.6</v>
      </c>
      <c r="I119" s="16">
        <f>IFERROR(__xludf.DUMMYFUNCTION("""COMPUTED_VALUE"""),45912.6458333333)</f>
        <v>45912.6458333333</v>
      </c>
      <c r="J119" s="17">
        <f>IFERROR(__xludf.DUMMYFUNCTION("""COMPUTED_VALUE"""),2387.1)</f>
        <v>2387.1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IFERROR(__xludf.DUMMYFUNCTION("""COMPUTED_VALUE"""),2383.4)</f>
        <v>2383.4</v>
      </c>
      <c r="C120" s="16">
        <f>IFERROR(__xludf.DUMMYFUNCTION("""COMPUTED_VALUE"""),45915.6458333333)</f>
        <v>45915.6458333333</v>
      </c>
      <c r="D120" s="17">
        <f>IFERROR(__xludf.DUMMYFUNCTION("""COMPUTED_VALUE"""),2392)</f>
        <v>2392</v>
      </c>
      <c r="E120" s="16">
        <f>IFERROR(__xludf.DUMMYFUNCTION("""COMPUTED_VALUE"""),45915.6458333333)</f>
        <v>45915.6458333333</v>
      </c>
      <c r="F120" s="17">
        <f>IFERROR(__xludf.DUMMYFUNCTION("""COMPUTED_VALUE"""),298129)</f>
        <v>298129</v>
      </c>
      <c r="G120" s="16">
        <f>IFERROR(__xludf.DUMMYFUNCTION("""COMPUTED_VALUE"""),45915.6458333333)</f>
        <v>45915.6458333333</v>
      </c>
      <c r="H120" s="17">
        <f>IFERROR(__xludf.DUMMYFUNCTION("""COMPUTED_VALUE"""),2402.8)</f>
        <v>2402.8</v>
      </c>
      <c r="I120" s="16">
        <f>IFERROR(__xludf.DUMMYFUNCTION("""COMPUTED_VALUE"""),45915.6458333333)</f>
        <v>45915.6458333333</v>
      </c>
      <c r="J120" s="17">
        <f>IFERROR(__xludf.DUMMYFUNCTION("""COMPUTED_VALUE"""),2378.1)</f>
        <v>2378.1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IFERROR(__xludf.DUMMYFUNCTION("""COMPUTED_VALUE"""),2399.4)</f>
        <v>2399.4</v>
      </c>
      <c r="C121" s="16">
        <f>IFERROR(__xludf.DUMMYFUNCTION("""COMPUTED_VALUE"""),45916.6458333333)</f>
        <v>45916.6458333333</v>
      </c>
      <c r="D121" s="17">
        <f>IFERROR(__xludf.DUMMYFUNCTION("""COMPUTED_VALUE"""),2410)</f>
        <v>2410</v>
      </c>
      <c r="E121" s="16">
        <f>IFERROR(__xludf.DUMMYFUNCTION("""COMPUTED_VALUE"""),45916.6458333333)</f>
        <v>45916.6458333333</v>
      </c>
      <c r="F121" s="17">
        <f>IFERROR(__xludf.DUMMYFUNCTION("""COMPUTED_VALUE"""),752979)</f>
        <v>752979</v>
      </c>
      <c r="G121" s="16">
        <f>IFERROR(__xludf.DUMMYFUNCTION("""COMPUTED_VALUE"""),45916.6458333333)</f>
        <v>45916.6458333333</v>
      </c>
      <c r="H121" s="17">
        <f>IFERROR(__xludf.DUMMYFUNCTION("""COMPUTED_VALUE"""),2415.8)</f>
        <v>2415.8</v>
      </c>
      <c r="I121" s="16">
        <f>IFERROR(__xludf.DUMMYFUNCTION("""COMPUTED_VALUE"""),45916.6458333333)</f>
        <v>45916.6458333333</v>
      </c>
      <c r="J121" s="17">
        <f>IFERROR(__xludf.DUMMYFUNCTION("""COMPUTED_VALUE"""),2388)</f>
        <v>2388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IFERROR(__xludf.DUMMYFUNCTION("""COMPUTED_VALUE"""),2402)</f>
        <v>2402</v>
      </c>
      <c r="C122" s="16">
        <f>IFERROR(__xludf.DUMMYFUNCTION("""COMPUTED_VALUE"""),45917.6458333333)</f>
        <v>45917.6458333333</v>
      </c>
      <c r="D122" s="17">
        <f>IFERROR(__xludf.DUMMYFUNCTION("""COMPUTED_VALUE"""),2417)</f>
        <v>2417</v>
      </c>
      <c r="E122" s="16">
        <f>IFERROR(__xludf.DUMMYFUNCTION("""COMPUTED_VALUE"""),45917.6458333333)</f>
        <v>45917.6458333333</v>
      </c>
      <c r="F122" s="17">
        <f>IFERROR(__xludf.DUMMYFUNCTION("""COMPUTED_VALUE"""),514354)</f>
        <v>514354</v>
      </c>
      <c r="G122" s="16">
        <f>IFERROR(__xludf.DUMMYFUNCTION("""COMPUTED_VALUE"""),45917.6458333333)</f>
        <v>45917.6458333333</v>
      </c>
      <c r="H122" s="17">
        <f>IFERROR(__xludf.DUMMYFUNCTION("""COMPUTED_VALUE"""),2417)</f>
        <v>2417</v>
      </c>
      <c r="I122" s="16">
        <f>IFERROR(__xludf.DUMMYFUNCTION("""COMPUTED_VALUE"""),45917.6458333333)</f>
        <v>45917.6458333333</v>
      </c>
      <c r="J122" s="17">
        <f>IFERROR(__xludf.DUMMYFUNCTION("""COMPUTED_VALUE"""),2391)</f>
        <v>2391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IFERROR(__xludf.DUMMYFUNCTION("""COMPUTED_VALUE"""),2402)</f>
        <v>2402</v>
      </c>
      <c r="C123" s="16">
        <f>IFERROR(__xludf.DUMMYFUNCTION("""COMPUTED_VALUE"""),45918.6458333333)</f>
        <v>45918.6458333333</v>
      </c>
      <c r="D123" s="17">
        <f>IFERROR(__xludf.DUMMYFUNCTION("""COMPUTED_VALUE"""),2414.5)</f>
        <v>2414.5</v>
      </c>
      <c r="E123" s="16">
        <f>IFERROR(__xludf.DUMMYFUNCTION("""COMPUTED_VALUE"""),45918.6458333333)</f>
        <v>45918.6458333333</v>
      </c>
      <c r="F123" s="17">
        <f>IFERROR(__xludf.DUMMYFUNCTION("""COMPUTED_VALUE"""),703730)</f>
        <v>703730</v>
      </c>
      <c r="G123" s="16">
        <f>IFERROR(__xludf.DUMMYFUNCTION("""COMPUTED_VALUE"""),45918.6458333333)</f>
        <v>45918.6458333333</v>
      </c>
      <c r="H123" s="17">
        <f>IFERROR(__xludf.DUMMYFUNCTION("""COMPUTED_VALUE"""),2438)</f>
        <v>2438</v>
      </c>
      <c r="I123" s="16">
        <f>IFERROR(__xludf.DUMMYFUNCTION("""COMPUTED_VALUE"""),45918.6458333333)</f>
        <v>45918.6458333333</v>
      </c>
      <c r="J123" s="17">
        <f>IFERROR(__xludf.DUMMYFUNCTION("""COMPUTED_VALUE"""),2388.4)</f>
        <v>2388.4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IFERROR(__xludf.DUMMYFUNCTION("""COMPUTED_VALUE"""),2524)</f>
        <v>2524</v>
      </c>
      <c r="C124" s="16">
        <f>IFERROR(__xludf.DUMMYFUNCTION("""COMPUTED_VALUE"""),45919.6458333333)</f>
        <v>45919.6458333333</v>
      </c>
      <c r="D124" s="17">
        <f>IFERROR(__xludf.DUMMYFUNCTION("""COMPUTED_VALUE"""),2495)</f>
        <v>2495</v>
      </c>
      <c r="E124" s="16">
        <f>IFERROR(__xludf.DUMMYFUNCTION("""COMPUTED_VALUE"""),45919.6458333333)</f>
        <v>45919.6458333333</v>
      </c>
      <c r="F124" s="17">
        <f>IFERROR(__xludf.DUMMYFUNCTION("""COMPUTED_VALUE"""),7965135)</f>
        <v>7965135</v>
      </c>
      <c r="G124" s="16">
        <f>IFERROR(__xludf.DUMMYFUNCTION("""COMPUTED_VALUE"""),45919.6458333333)</f>
        <v>45919.6458333333</v>
      </c>
      <c r="H124" s="17">
        <f>IFERROR(__xludf.DUMMYFUNCTION("""COMPUTED_VALUE"""),2579)</f>
        <v>2579</v>
      </c>
      <c r="I124" s="16">
        <f>IFERROR(__xludf.DUMMYFUNCTION("""COMPUTED_VALUE"""),45919.6458333333)</f>
        <v>45919.6458333333</v>
      </c>
      <c r="J124" s="17">
        <f>IFERROR(__xludf.DUMMYFUNCTION("""COMPUTED_VALUE"""),2466.1)</f>
        <v>2466.1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IFERROR(__xludf.DUMMYFUNCTION("""COMPUTED_VALUE"""),2629.5)</f>
        <v>2629.5</v>
      </c>
      <c r="C125" s="16">
        <f>IFERROR(__xludf.DUMMYFUNCTION("""COMPUTED_VALUE"""),45922.6458333333)</f>
        <v>45922.6458333333</v>
      </c>
      <c r="D125" s="17">
        <f>IFERROR(__xludf.DUMMYFUNCTION("""COMPUTED_VALUE"""),2535)</f>
        <v>2535</v>
      </c>
      <c r="E125" s="16">
        <f>IFERROR(__xludf.DUMMYFUNCTION("""COMPUTED_VALUE"""),45922.6458333333)</f>
        <v>45922.6458333333</v>
      </c>
      <c r="F125" s="17">
        <f>IFERROR(__xludf.DUMMYFUNCTION("""COMPUTED_VALUE"""),7022985)</f>
        <v>7022985</v>
      </c>
      <c r="G125" s="16">
        <f>IFERROR(__xludf.DUMMYFUNCTION("""COMPUTED_VALUE"""),45922.6458333333)</f>
        <v>45922.6458333333</v>
      </c>
      <c r="H125" s="17">
        <f>IFERROR(__xludf.DUMMYFUNCTION("""COMPUTED_VALUE"""),2659)</f>
        <v>2659</v>
      </c>
      <c r="I125" s="16">
        <f>IFERROR(__xludf.DUMMYFUNCTION("""COMPUTED_VALUE"""),45922.6458333333)</f>
        <v>45922.6458333333</v>
      </c>
      <c r="J125" s="17">
        <f>IFERROR(__xludf.DUMMYFUNCTION("""COMPUTED_VALUE"""),2522.1)</f>
        <v>2522.1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IFERROR(__xludf.DUMMYFUNCTION("""COMPUTED_VALUE"""),2676.4)</f>
        <v>2676.4</v>
      </c>
      <c r="C126" s="16">
        <f>IFERROR(__xludf.DUMMYFUNCTION("""COMPUTED_VALUE"""),45923.6458333333)</f>
        <v>45923.6458333333</v>
      </c>
      <c r="D126" s="17">
        <f>IFERROR(__xludf.DUMMYFUNCTION("""COMPUTED_VALUE"""),2642.6)</f>
        <v>2642.6</v>
      </c>
      <c r="E126" s="16">
        <f>IFERROR(__xludf.DUMMYFUNCTION("""COMPUTED_VALUE"""),45923.6458333333)</f>
        <v>45923.6458333333</v>
      </c>
      <c r="F126" s="17">
        <f>IFERROR(__xludf.DUMMYFUNCTION("""COMPUTED_VALUE"""),5610022)</f>
        <v>5610022</v>
      </c>
      <c r="G126" s="16">
        <f>IFERROR(__xludf.DUMMYFUNCTION("""COMPUTED_VALUE"""),45923.6458333333)</f>
        <v>45923.6458333333</v>
      </c>
      <c r="H126" s="17">
        <f>IFERROR(__xludf.DUMMYFUNCTION("""COMPUTED_VALUE"""),2695)</f>
        <v>2695</v>
      </c>
      <c r="I126" s="16">
        <f>IFERROR(__xludf.DUMMYFUNCTION("""COMPUTED_VALUE"""),45923.6458333333)</f>
        <v>45923.6458333333</v>
      </c>
      <c r="J126" s="17">
        <f>IFERROR(__xludf.DUMMYFUNCTION("""COMPUTED_VALUE"""),2593)</f>
        <v>2593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IFERROR(__xludf.DUMMYFUNCTION("""COMPUTED_VALUE"""),2619.8)</f>
        <v>2619.8</v>
      </c>
      <c r="C127" s="16">
        <f>IFERROR(__xludf.DUMMYFUNCTION("""COMPUTED_VALUE"""),45924.6458333333)</f>
        <v>45924.6458333333</v>
      </c>
      <c r="D127" s="17">
        <f>IFERROR(__xludf.DUMMYFUNCTION("""COMPUTED_VALUE"""),2655)</f>
        <v>2655</v>
      </c>
      <c r="E127" s="16">
        <f>IFERROR(__xludf.DUMMYFUNCTION("""COMPUTED_VALUE"""),45924.6458333333)</f>
        <v>45924.6458333333</v>
      </c>
      <c r="F127" s="17">
        <f>IFERROR(__xludf.DUMMYFUNCTION("""COMPUTED_VALUE"""),1720785)</f>
        <v>1720785</v>
      </c>
      <c r="G127" s="16">
        <f>IFERROR(__xludf.DUMMYFUNCTION("""COMPUTED_VALUE"""),45924.6458333333)</f>
        <v>45924.6458333333</v>
      </c>
      <c r="H127" s="17">
        <f>IFERROR(__xludf.DUMMYFUNCTION("""COMPUTED_VALUE"""),2676)</f>
        <v>2676</v>
      </c>
      <c r="I127" s="16">
        <f>IFERROR(__xludf.DUMMYFUNCTION("""COMPUTED_VALUE"""),45924.6458333333)</f>
        <v>45924.6458333333</v>
      </c>
      <c r="J127" s="17">
        <f>IFERROR(__xludf.DUMMYFUNCTION("""COMPUTED_VALUE"""),2614.4)</f>
        <v>2614.4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IFERROR(__xludf.DUMMYFUNCTION("""COMPUTED_VALUE"""),2576.4)</f>
        <v>2576.4</v>
      </c>
      <c r="C128" s="16">
        <f>IFERROR(__xludf.DUMMYFUNCTION("""COMPUTED_VALUE"""),45925.6458333333)</f>
        <v>45925.6458333333</v>
      </c>
      <c r="D128" s="17">
        <f>IFERROR(__xludf.DUMMYFUNCTION("""COMPUTED_VALUE"""),2625)</f>
        <v>2625</v>
      </c>
      <c r="E128" s="16">
        <f>IFERROR(__xludf.DUMMYFUNCTION("""COMPUTED_VALUE"""),45925.6458333333)</f>
        <v>45925.6458333333</v>
      </c>
      <c r="F128" s="17">
        <f>IFERROR(__xludf.DUMMYFUNCTION("""COMPUTED_VALUE"""),1489682)</f>
        <v>1489682</v>
      </c>
      <c r="G128" s="16">
        <f>IFERROR(__xludf.DUMMYFUNCTION("""COMPUTED_VALUE"""),45925.6458333333)</f>
        <v>45925.6458333333</v>
      </c>
      <c r="H128" s="17">
        <f>IFERROR(__xludf.DUMMYFUNCTION("""COMPUTED_VALUE"""),2647.9)</f>
        <v>2647.9</v>
      </c>
      <c r="I128" s="16">
        <f>IFERROR(__xludf.DUMMYFUNCTION("""COMPUTED_VALUE"""),45925.6458333333)</f>
        <v>45925.6458333333</v>
      </c>
      <c r="J128" s="17">
        <f>IFERROR(__xludf.DUMMYFUNCTION("""COMPUTED_VALUE"""),2567)</f>
        <v>2567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IFERROR(__xludf.DUMMYFUNCTION("""COMPUTED_VALUE"""),2543.7)</f>
        <v>2543.7</v>
      </c>
      <c r="C129" s="16">
        <f>IFERROR(__xludf.DUMMYFUNCTION("""COMPUTED_VALUE"""),45926.6458333333)</f>
        <v>45926.6458333333</v>
      </c>
      <c r="D129" s="17">
        <f>IFERROR(__xludf.DUMMYFUNCTION("""COMPUTED_VALUE"""),2572.8)</f>
        <v>2572.8</v>
      </c>
      <c r="E129" s="16">
        <f>IFERROR(__xludf.DUMMYFUNCTION("""COMPUTED_VALUE"""),45926.6458333333)</f>
        <v>45926.6458333333</v>
      </c>
      <c r="F129" s="17">
        <f>IFERROR(__xludf.DUMMYFUNCTION("""COMPUTED_VALUE"""),1037808)</f>
        <v>1037808</v>
      </c>
      <c r="G129" s="16">
        <f>IFERROR(__xludf.DUMMYFUNCTION("""COMPUTED_VALUE"""),45926.6458333333)</f>
        <v>45926.6458333333</v>
      </c>
      <c r="H129" s="17">
        <f>IFERROR(__xludf.DUMMYFUNCTION("""COMPUTED_VALUE"""),2605)</f>
        <v>2605</v>
      </c>
      <c r="I129" s="16">
        <f>IFERROR(__xludf.DUMMYFUNCTION("""COMPUTED_VALUE"""),45926.6458333333)</f>
        <v>45926.6458333333</v>
      </c>
      <c r="J129" s="17">
        <f>IFERROR(__xludf.DUMMYFUNCTION("""COMPUTED_VALUE"""),2535)</f>
        <v>2535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267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""price"")"),2535.6)</f>
        <v>2535.6</v>
      </c>
      <c r="I3" s="22" t="s">
        <v>269</v>
      </c>
      <c r="J3" s="23">
        <f>IFERROR(__xludf.DUMMYFUNCTION("GOOGLEFINANCE(L3, ""volume"")"),1037808)</f>
        <v>1037808</v>
      </c>
      <c r="K3" s="24" t="s">
        <v>270</v>
      </c>
      <c r="L3" s="25" t="str">
        <f>Mastersheet!B3</f>
        <v>ADANIENT</v>
      </c>
      <c r="M3" s="26">
        <f>IFERROR(__xludf.DUMMYFUNCTION("""COMPUTED_VALUE"""),45926.6458333333)</f>
        <v>45926.6458333333</v>
      </c>
      <c r="N3" s="27">
        <f>IFERROR(__xludf.DUMMYFUNCTION("""COMPUTED_VALUE"""),2543.7)</f>
        <v>2543.7</v>
      </c>
      <c r="O3" s="26">
        <f>IFERROR(__xludf.DUMMYFUNCTION("""COMPUTED_VALUE"""),45926.6458333333)</f>
        <v>45926.6458333333</v>
      </c>
      <c r="P3" s="27">
        <f>IFERROR(__xludf.DUMMYFUNCTION("""COMPUTED_VALUE"""),2572.8)</f>
        <v>2572.8</v>
      </c>
      <c r="Q3" s="16">
        <f>IFERROR(__xludf.DUMMYFUNCTION("""COMPUTED_VALUE"""),45926.6458333333)</f>
        <v>45926.6458333333</v>
      </c>
      <c r="R3" s="17">
        <f>IFERROR(__xludf.DUMMYFUNCTION("""COMPUTED_VALUE"""),2605)</f>
        <v>2605</v>
      </c>
      <c r="S3" s="16">
        <f>IFERROR(__xludf.DUMMYFUNCTION("""COMPUTED_VALUE"""),45926.6458333333)</f>
        <v>45926.6458333333</v>
      </c>
      <c r="T3" s="17">
        <f>IFERROR(__xludf.DUMMYFUNCTION("""COMPUTED_VALUE"""),2535)</f>
        <v>2535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IFERROR(__xludf.DUMMYFUNCTION("""COMPUTED_VALUE"""),2363.35)</f>
        <v>2363.35</v>
      </c>
      <c r="C5" s="14">
        <f>IFERROR(__xludf.DUMMYFUNCTION("""COMPUTED_VALUE"""),45743.6458333333)</f>
        <v>45743.6458333333</v>
      </c>
      <c r="D5" s="15">
        <f>IFERROR(__xludf.DUMMYFUNCTION("""COMPUTED_VALUE"""),2310)</f>
        <v>2310</v>
      </c>
      <c r="E5" s="14">
        <f>IFERROR(__xludf.DUMMYFUNCTION("""COMPUTED_VALUE"""),45743.6458333333)</f>
        <v>45743.6458333333</v>
      </c>
      <c r="F5" s="15">
        <f>IFERROR(__xludf.DUMMYFUNCTION("""COMPUTED_VALUE"""),1696042)</f>
        <v>1696042</v>
      </c>
      <c r="G5" s="14">
        <f>IFERROR(__xludf.DUMMYFUNCTION("""COMPUTED_VALUE"""),45743.6458333333)</f>
        <v>45743.6458333333</v>
      </c>
      <c r="H5" s="15">
        <f>IFERROR(__xludf.DUMMYFUNCTION("""COMPUTED_VALUE"""),2373.9)</f>
        <v>2373.9</v>
      </c>
      <c r="I5" s="30">
        <f>IFERROR(__xludf.DUMMYFUNCTION("""COMPUTED_VALUE"""),45743.6458333333)</f>
        <v>45743.6458333333</v>
      </c>
      <c r="J5" s="3">
        <f>IFERROR(__xludf.DUMMYFUNCTION("""COMPUTED_VALUE"""),2291.6)</f>
        <v>2291.6</v>
      </c>
      <c r="K5" s="5"/>
      <c r="L5" s="5"/>
      <c r="M5" s="3">
        <f t="array" ref="M5">INDEX(K11:K124,MATCH(SMALL(ABS(K11:K124-H3),1),ABS(K11:K124-H3),0))</f>
        <v>2555</v>
      </c>
      <c r="N5" s="3">
        <f t="array" ref="N5">INDEX(K11:K124,MATCH(SMALL(ABS(K11:K124-H3),2),ABS(K11:K124-H3),0))</f>
        <v>2613.1</v>
      </c>
      <c r="O5" s="3">
        <f t="array" ref="O5">INDEX(L11:L124,MATCH(SMALL(ABS(L11:L124-H3),1),ABS(L11:L124-H3),0))</f>
        <v>2558.7</v>
      </c>
      <c r="P5" s="3">
        <f t="array" ref="P5">INDEX(L11:L124,MATCH(SMALL(ABS(L11:L124-H3),2),ABS(L11:L124-H3),0))</f>
        <v>2470.9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2442.8</v>
      </c>
      <c r="T5" s="17">
        <f ca="1">IF(AND(H3&gt;=Mastersheet!I3*S5,H3&lt;=Mastersheet!J3*S5),1,0)</f>
        <v>0</v>
      </c>
      <c r="U5" s="36">
        <f>(N3+P3)/2</f>
        <v>2558.25</v>
      </c>
      <c r="V5" s="17">
        <f>(N3+P3+R3+T3)/4</f>
        <v>2564.125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IFERROR(__xludf.DUMMYFUNCTION("""COMPUTED_VALUE"""),2315.8)</f>
        <v>2315.8</v>
      </c>
      <c r="C6" s="16">
        <f>IFERROR(__xludf.DUMMYFUNCTION("""COMPUTED_VALUE"""),45744.6458333333)</f>
        <v>45744.6458333333</v>
      </c>
      <c r="D6" s="17">
        <f>IFERROR(__xludf.DUMMYFUNCTION("""COMPUTED_VALUE"""),2376)</f>
        <v>2376</v>
      </c>
      <c r="E6" s="16">
        <f>IFERROR(__xludf.DUMMYFUNCTION("""COMPUTED_VALUE"""),45744.6458333333)</f>
        <v>45744.6458333333</v>
      </c>
      <c r="F6" s="17">
        <f>IFERROR(__xludf.DUMMYFUNCTION("""COMPUTED_VALUE"""),1838836)</f>
        <v>1838836</v>
      </c>
      <c r="G6" s="16">
        <f>IFERROR(__xludf.DUMMYFUNCTION("""COMPUTED_VALUE"""),45744.6458333333)</f>
        <v>45744.6458333333</v>
      </c>
      <c r="H6" s="17">
        <f>IFERROR(__xludf.DUMMYFUNCTION("""COMPUTED_VALUE"""),2386.95)</f>
        <v>2386.95</v>
      </c>
      <c r="I6" s="16">
        <f>IFERROR(__xludf.DUMMYFUNCTION("""COMPUTED_VALUE"""),45744.6458333333)</f>
        <v>45744.6458333333</v>
      </c>
      <c r="J6" s="17">
        <f>IFERROR(__xludf.DUMMYFUNCTION("""COMPUTED_VALUE"""),2293.7)</f>
        <v>2293.7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IFERROR(__xludf.DUMMYFUNCTION("""COMPUTED_VALUE"""),2335.25)</f>
        <v>2335.25</v>
      </c>
      <c r="C7" s="16">
        <f>IFERROR(__xludf.DUMMYFUNCTION("""COMPUTED_VALUE"""),45748.6458333333)</f>
        <v>45748.6458333333</v>
      </c>
      <c r="D7" s="17">
        <f>IFERROR(__xludf.DUMMYFUNCTION("""COMPUTED_VALUE"""),2312)</f>
        <v>2312</v>
      </c>
      <c r="E7" s="16">
        <f>IFERROR(__xludf.DUMMYFUNCTION("""COMPUTED_VALUE"""),45748.6458333333)</f>
        <v>45748.6458333333</v>
      </c>
      <c r="F7" s="17">
        <f>IFERROR(__xludf.DUMMYFUNCTION("""COMPUTED_VALUE"""),501942)</f>
        <v>501942</v>
      </c>
      <c r="G7" s="16">
        <f>IFERROR(__xludf.DUMMYFUNCTION("""COMPUTED_VALUE"""),45748.6458333333)</f>
        <v>45748.6458333333</v>
      </c>
      <c r="H7" s="17">
        <f>IFERROR(__xludf.DUMMYFUNCTION("""COMPUTED_VALUE"""),2358.95)</f>
        <v>2358.95</v>
      </c>
      <c r="I7" s="16">
        <f>IFERROR(__xludf.DUMMYFUNCTION("""COMPUTED_VALUE"""),45748.6458333333)</f>
        <v>45748.6458333333</v>
      </c>
      <c r="J7" s="17">
        <f>IFERROR(__xludf.DUMMYFUNCTION("""COMPUTED_VALUE"""),2301)</f>
        <v>2301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IFERROR(__xludf.DUMMYFUNCTION("""COMPUTED_VALUE"""),2369.4)</f>
        <v>2369.4</v>
      </c>
      <c r="C8" s="16">
        <f>IFERROR(__xludf.DUMMYFUNCTION("""COMPUTED_VALUE"""),45749.6458333333)</f>
        <v>45749.6458333333</v>
      </c>
      <c r="D8" s="17">
        <f>IFERROR(__xludf.DUMMYFUNCTION("""COMPUTED_VALUE"""),2339.75)</f>
        <v>2339.75</v>
      </c>
      <c r="E8" s="16">
        <f>IFERROR(__xludf.DUMMYFUNCTION("""COMPUTED_VALUE"""),45749.6458333333)</f>
        <v>45749.6458333333</v>
      </c>
      <c r="F8" s="17">
        <f>IFERROR(__xludf.DUMMYFUNCTION("""COMPUTED_VALUE"""),573928)</f>
        <v>573928</v>
      </c>
      <c r="G8" s="16">
        <f>IFERROR(__xludf.DUMMYFUNCTION("""COMPUTED_VALUE"""),45749.6458333333)</f>
        <v>45749.6458333333</v>
      </c>
      <c r="H8" s="17">
        <f>IFERROR(__xludf.DUMMYFUNCTION("""COMPUTED_VALUE"""),2378.85)</f>
        <v>2378.85</v>
      </c>
      <c r="I8" s="16">
        <f>IFERROR(__xludf.DUMMYFUNCTION("""COMPUTED_VALUE"""),45749.6458333333)</f>
        <v>45749.6458333333</v>
      </c>
      <c r="J8" s="17">
        <f>IFERROR(__xludf.DUMMYFUNCTION("""COMPUTED_VALUE"""),2314.55)</f>
        <v>2314.55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IFERROR(__xludf.DUMMYFUNCTION("""COMPUTED_VALUE"""),2410.8)</f>
        <v>2410.8</v>
      </c>
      <c r="C9" s="16">
        <f>IFERROR(__xludf.DUMMYFUNCTION("""COMPUTED_VALUE"""),45750.6458333333)</f>
        <v>45750.6458333333</v>
      </c>
      <c r="D9" s="17">
        <f>IFERROR(__xludf.DUMMYFUNCTION("""COMPUTED_VALUE"""),2339.75)</f>
        <v>2339.75</v>
      </c>
      <c r="E9" s="16">
        <f>IFERROR(__xludf.DUMMYFUNCTION("""COMPUTED_VALUE"""),45750.6458333333)</f>
        <v>45750.6458333333</v>
      </c>
      <c r="F9" s="17">
        <f>IFERROR(__xludf.DUMMYFUNCTION("""COMPUTED_VALUE"""),1023200)</f>
        <v>1023200</v>
      </c>
      <c r="G9" s="16">
        <f>IFERROR(__xludf.DUMMYFUNCTION("""COMPUTED_VALUE"""),45750.6458333333)</f>
        <v>45750.6458333333</v>
      </c>
      <c r="H9" s="17">
        <f>IFERROR(__xludf.DUMMYFUNCTION("""COMPUTED_VALUE"""),2429.9)</f>
        <v>2429.9</v>
      </c>
      <c r="I9" s="16">
        <f>IFERROR(__xludf.DUMMYFUNCTION("""COMPUTED_VALUE"""),45750.6458333333)</f>
        <v>45750.6458333333</v>
      </c>
      <c r="J9" s="17">
        <f>IFERROR(__xludf.DUMMYFUNCTION("""COMPUTED_VALUE"""),2339.7)</f>
        <v>2339.7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IFERROR(__xludf.DUMMYFUNCTION("""COMPUTED_VALUE"""),2334.65)</f>
        <v>2334.65</v>
      </c>
      <c r="C10" s="16">
        <f>IFERROR(__xludf.DUMMYFUNCTION("""COMPUTED_VALUE"""),45751.6458333333)</f>
        <v>45751.6458333333</v>
      </c>
      <c r="D10" s="17">
        <f>IFERROR(__xludf.DUMMYFUNCTION("""COMPUTED_VALUE"""),2394.95)</f>
        <v>2394.95</v>
      </c>
      <c r="E10" s="16">
        <f>IFERROR(__xludf.DUMMYFUNCTION("""COMPUTED_VALUE"""),45751.6458333333)</f>
        <v>45751.6458333333</v>
      </c>
      <c r="F10" s="17">
        <f>IFERROR(__xludf.DUMMYFUNCTION("""COMPUTED_VALUE"""),1219733)</f>
        <v>1219733</v>
      </c>
      <c r="G10" s="16">
        <f>IFERROR(__xludf.DUMMYFUNCTION("""COMPUTED_VALUE"""),45751.6458333333)</f>
        <v>45751.6458333333</v>
      </c>
      <c r="H10" s="17">
        <f>IFERROR(__xludf.DUMMYFUNCTION("""COMPUTED_VALUE"""),2410.05)</f>
        <v>2410.05</v>
      </c>
      <c r="I10" s="16">
        <f>IFERROR(__xludf.DUMMYFUNCTION("""COMPUTED_VALUE"""),45751.6458333333)</f>
        <v>45751.6458333333</v>
      </c>
      <c r="J10" s="17">
        <f>IFERROR(__xludf.DUMMYFUNCTION("""COMPUTED_VALUE"""),2315.5)</f>
        <v>2315.5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IFERROR(__xludf.DUMMYFUNCTION("""COMPUTED_VALUE"""),2212.7)</f>
        <v>2212.7</v>
      </c>
      <c r="C11" s="16">
        <f>IFERROR(__xludf.DUMMYFUNCTION("""COMPUTED_VALUE"""),45754.6458333333)</f>
        <v>45754.6458333333</v>
      </c>
      <c r="D11" s="17">
        <f>IFERROR(__xludf.DUMMYFUNCTION("""COMPUTED_VALUE"""),2150.05)</f>
        <v>2150.05</v>
      </c>
      <c r="E11" s="16">
        <f>IFERROR(__xludf.DUMMYFUNCTION("""COMPUTED_VALUE"""),45754.6458333333)</f>
        <v>45754.6458333333</v>
      </c>
      <c r="F11" s="17">
        <f>IFERROR(__xludf.DUMMYFUNCTION("""COMPUTED_VALUE"""),1567177)</f>
        <v>1567177</v>
      </c>
      <c r="G11" s="16">
        <f>IFERROR(__xludf.DUMMYFUNCTION("""COMPUTED_VALUE"""),45754.6458333333)</f>
        <v>45754.6458333333</v>
      </c>
      <c r="H11" s="17">
        <f>IFERROR(__xludf.DUMMYFUNCTION("""COMPUTED_VALUE"""),2239)</f>
        <v>2239</v>
      </c>
      <c r="I11" s="16">
        <f>IFERROR(__xludf.DUMMYFUNCTION("""COMPUTED_VALUE"""),45754.6458333333)</f>
        <v>45754.6458333333</v>
      </c>
      <c r="J11" s="17">
        <f>IFERROR(__xludf.DUMMYFUNCTION("""COMPUTED_VALUE"""),2145)</f>
        <v>2145</v>
      </c>
      <c r="K11" s="3">
        <f t="shared" ref="K11:K125" si="2">IF(B11=MAX(B5:B17),B11,0)</f>
        <v>0</v>
      </c>
      <c r="L11" s="3">
        <f t="shared" ref="L11:L125" si="3">IF(B11=MIN(B5:B17),B11,0)</f>
        <v>2212.7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IFERROR(__xludf.DUMMYFUNCTION("""COMPUTED_VALUE"""),2285.7)</f>
        <v>2285.7</v>
      </c>
      <c r="C12" s="16">
        <f>IFERROR(__xludf.DUMMYFUNCTION("""COMPUTED_VALUE"""),45755.6458333333)</f>
        <v>45755.6458333333</v>
      </c>
      <c r="D12" s="17">
        <f>IFERROR(__xludf.DUMMYFUNCTION("""COMPUTED_VALUE"""),2270)</f>
        <v>2270</v>
      </c>
      <c r="E12" s="16">
        <f>IFERROR(__xludf.DUMMYFUNCTION("""COMPUTED_VALUE"""),45755.6458333333)</f>
        <v>45755.6458333333</v>
      </c>
      <c r="F12" s="17">
        <f>IFERROR(__xludf.DUMMYFUNCTION("""COMPUTED_VALUE"""),1224362)</f>
        <v>1224362</v>
      </c>
      <c r="G12" s="16">
        <f>IFERROR(__xludf.DUMMYFUNCTION("""COMPUTED_VALUE"""),45755.6458333333)</f>
        <v>45755.6458333333</v>
      </c>
      <c r="H12" s="17">
        <f>IFERROR(__xludf.DUMMYFUNCTION("""COMPUTED_VALUE"""),2301)</f>
        <v>2301</v>
      </c>
      <c r="I12" s="16">
        <f>IFERROR(__xludf.DUMMYFUNCTION("""COMPUTED_VALUE"""),45755.6458333333)</f>
        <v>45755.6458333333</v>
      </c>
      <c r="J12" s="17">
        <f>IFERROR(__xludf.DUMMYFUNCTION("""COMPUTED_VALUE"""),2225)</f>
        <v>2225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IFERROR(__xludf.DUMMYFUNCTION("""COMPUTED_VALUE"""),2236.9)</f>
        <v>2236.9</v>
      </c>
      <c r="C13" s="16">
        <f>IFERROR(__xludf.DUMMYFUNCTION("""COMPUTED_VALUE"""),45756.6458333333)</f>
        <v>45756.6458333333</v>
      </c>
      <c r="D13" s="17">
        <f>IFERROR(__xludf.DUMMYFUNCTION("""COMPUTED_VALUE"""),2265.7)</f>
        <v>2265.7</v>
      </c>
      <c r="E13" s="16">
        <f>IFERROR(__xludf.DUMMYFUNCTION("""COMPUTED_VALUE"""),45756.6458333333)</f>
        <v>45756.6458333333</v>
      </c>
      <c r="F13" s="17">
        <f>IFERROR(__xludf.DUMMYFUNCTION("""COMPUTED_VALUE"""),1001633)</f>
        <v>1001633</v>
      </c>
      <c r="G13" s="16">
        <f>IFERROR(__xludf.DUMMYFUNCTION("""COMPUTED_VALUE"""),45756.6458333333)</f>
        <v>45756.6458333333</v>
      </c>
      <c r="H13" s="17">
        <f>IFERROR(__xludf.DUMMYFUNCTION("""COMPUTED_VALUE"""),2279.55)</f>
        <v>2279.55</v>
      </c>
      <c r="I13" s="16">
        <f>IFERROR(__xludf.DUMMYFUNCTION("""COMPUTED_VALUE"""),45756.6458333333)</f>
        <v>45756.6458333333</v>
      </c>
      <c r="J13" s="17">
        <f>IFERROR(__xludf.DUMMYFUNCTION("""COMPUTED_VALUE"""),2215.2)</f>
        <v>2215.2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IFERROR(__xludf.DUMMYFUNCTION("""COMPUTED_VALUE"""),2321.4)</f>
        <v>2321.4</v>
      </c>
      <c r="C14" s="16">
        <f>IFERROR(__xludf.DUMMYFUNCTION("""COMPUTED_VALUE"""),45758.6458333333)</f>
        <v>45758.6458333333</v>
      </c>
      <c r="D14" s="17">
        <f>IFERROR(__xludf.DUMMYFUNCTION("""COMPUTED_VALUE"""),2303.05)</f>
        <v>2303.05</v>
      </c>
      <c r="E14" s="16">
        <f>IFERROR(__xludf.DUMMYFUNCTION("""COMPUTED_VALUE"""),45758.6458333333)</f>
        <v>45758.6458333333</v>
      </c>
      <c r="F14" s="17">
        <f>IFERROR(__xludf.DUMMYFUNCTION("""COMPUTED_VALUE"""),981463)</f>
        <v>981463</v>
      </c>
      <c r="G14" s="16">
        <f>IFERROR(__xludf.DUMMYFUNCTION("""COMPUTED_VALUE"""),45758.6458333333)</f>
        <v>45758.6458333333</v>
      </c>
      <c r="H14" s="17">
        <f>IFERROR(__xludf.DUMMYFUNCTION("""COMPUTED_VALUE"""),2343.5)</f>
        <v>2343.5</v>
      </c>
      <c r="I14" s="16">
        <f>IFERROR(__xludf.DUMMYFUNCTION("""COMPUTED_VALUE"""),45758.6458333333)</f>
        <v>45758.6458333333</v>
      </c>
      <c r="J14" s="17">
        <f>IFERROR(__xludf.DUMMYFUNCTION("""COMPUTED_VALUE"""),2281)</f>
        <v>2281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IFERROR(__xludf.DUMMYFUNCTION("""COMPUTED_VALUE"""),2418.2)</f>
        <v>2418.2</v>
      </c>
      <c r="C15" s="16">
        <f>IFERROR(__xludf.DUMMYFUNCTION("""COMPUTED_VALUE"""),45762.6458333333)</f>
        <v>45762.6458333333</v>
      </c>
      <c r="D15" s="17">
        <f>IFERROR(__xludf.DUMMYFUNCTION("""COMPUTED_VALUE"""),2375)</f>
        <v>2375</v>
      </c>
      <c r="E15" s="16">
        <f>IFERROR(__xludf.DUMMYFUNCTION("""COMPUTED_VALUE"""),45762.6458333333)</f>
        <v>45762.6458333333</v>
      </c>
      <c r="F15" s="17">
        <f>IFERROR(__xludf.DUMMYFUNCTION("""COMPUTED_VALUE"""),1145125)</f>
        <v>1145125</v>
      </c>
      <c r="G15" s="16">
        <f>IFERROR(__xludf.DUMMYFUNCTION("""COMPUTED_VALUE"""),45762.6458333333)</f>
        <v>45762.6458333333</v>
      </c>
      <c r="H15" s="17">
        <f>IFERROR(__xludf.DUMMYFUNCTION("""COMPUTED_VALUE"""),2440)</f>
        <v>2440</v>
      </c>
      <c r="I15" s="16">
        <f>IFERROR(__xludf.DUMMYFUNCTION("""COMPUTED_VALUE"""),45762.6458333333)</f>
        <v>45762.6458333333</v>
      </c>
      <c r="J15" s="17">
        <f>IFERROR(__xludf.DUMMYFUNCTION("""COMPUTED_VALUE"""),2359)</f>
        <v>2359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IFERROR(__xludf.DUMMYFUNCTION("""COMPUTED_VALUE"""),2415.6)</f>
        <v>2415.6</v>
      </c>
      <c r="C16" s="16">
        <f>IFERROR(__xludf.DUMMYFUNCTION("""COMPUTED_VALUE"""),45763.6458333333)</f>
        <v>45763.6458333333</v>
      </c>
      <c r="D16" s="17">
        <f>IFERROR(__xludf.DUMMYFUNCTION("""COMPUTED_VALUE"""),2400)</f>
        <v>2400</v>
      </c>
      <c r="E16" s="16">
        <f>IFERROR(__xludf.DUMMYFUNCTION("""COMPUTED_VALUE"""),45763.6458333333)</f>
        <v>45763.6458333333</v>
      </c>
      <c r="F16" s="17">
        <f>IFERROR(__xludf.DUMMYFUNCTION("""COMPUTED_VALUE"""),889949)</f>
        <v>889949</v>
      </c>
      <c r="G16" s="16">
        <f>IFERROR(__xludf.DUMMYFUNCTION("""COMPUTED_VALUE"""),45763.6458333333)</f>
        <v>45763.6458333333</v>
      </c>
      <c r="H16" s="17">
        <f>IFERROR(__xludf.DUMMYFUNCTION("""COMPUTED_VALUE"""),2428)</f>
        <v>2428</v>
      </c>
      <c r="I16" s="16">
        <f>IFERROR(__xludf.DUMMYFUNCTION("""COMPUTED_VALUE"""),45763.6458333333)</f>
        <v>45763.6458333333</v>
      </c>
      <c r="J16" s="17">
        <f>IFERROR(__xludf.DUMMYFUNCTION("""COMPUTED_VALUE"""),2382.9)</f>
        <v>2382.9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IFERROR(__xludf.DUMMYFUNCTION("""COMPUTED_VALUE"""),2418.1)</f>
        <v>2418.1</v>
      </c>
      <c r="C17" s="16">
        <f>IFERROR(__xludf.DUMMYFUNCTION("""COMPUTED_VALUE"""),45764.6458333333)</f>
        <v>45764.6458333333</v>
      </c>
      <c r="D17" s="17">
        <f>IFERROR(__xludf.DUMMYFUNCTION("""COMPUTED_VALUE"""),2418)</f>
        <v>2418</v>
      </c>
      <c r="E17" s="16">
        <f>IFERROR(__xludf.DUMMYFUNCTION("""COMPUTED_VALUE"""),45764.6458333333)</f>
        <v>45764.6458333333</v>
      </c>
      <c r="F17" s="17">
        <f>IFERROR(__xludf.DUMMYFUNCTION("""COMPUTED_VALUE"""),1054797)</f>
        <v>1054797</v>
      </c>
      <c r="G17" s="16">
        <f>IFERROR(__xludf.DUMMYFUNCTION("""COMPUTED_VALUE"""),45764.6458333333)</f>
        <v>45764.6458333333</v>
      </c>
      <c r="H17" s="17">
        <f>IFERROR(__xludf.DUMMYFUNCTION("""COMPUTED_VALUE"""),2448.6)</f>
        <v>2448.6</v>
      </c>
      <c r="I17" s="16">
        <f>IFERROR(__xludf.DUMMYFUNCTION("""COMPUTED_VALUE"""),45764.6458333333)</f>
        <v>45764.6458333333</v>
      </c>
      <c r="J17" s="17">
        <f>IFERROR(__xludf.DUMMYFUNCTION("""COMPUTED_VALUE"""),2392)</f>
        <v>2392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IFERROR(__xludf.DUMMYFUNCTION("""COMPUTED_VALUE"""),2442.7)</f>
        <v>2442.7</v>
      </c>
      <c r="C18" s="16">
        <f>IFERROR(__xludf.DUMMYFUNCTION("""COMPUTED_VALUE"""),45768.6458333333)</f>
        <v>45768.6458333333</v>
      </c>
      <c r="D18" s="17">
        <f>IFERROR(__xludf.DUMMYFUNCTION("""COMPUTED_VALUE"""),2426.1)</f>
        <v>2426.1</v>
      </c>
      <c r="E18" s="16">
        <f>IFERROR(__xludf.DUMMYFUNCTION("""COMPUTED_VALUE"""),45768.6458333333)</f>
        <v>45768.6458333333</v>
      </c>
      <c r="F18" s="17">
        <f>IFERROR(__xludf.DUMMYFUNCTION("""COMPUTED_VALUE"""),782559)</f>
        <v>782559</v>
      </c>
      <c r="G18" s="16">
        <f>IFERROR(__xludf.DUMMYFUNCTION("""COMPUTED_VALUE"""),45768.6458333333)</f>
        <v>45768.6458333333</v>
      </c>
      <c r="H18" s="17">
        <f>IFERROR(__xludf.DUMMYFUNCTION("""COMPUTED_VALUE"""),2464.9)</f>
        <v>2464.9</v>
      </c>
      <c r="I18" s="16">
        <f>IFERROR(__xludf.DUMMYFUNCTION("""COMPUTED_VALUE"""),45768.6458333333)</f>
        <v>45768.6458333333</v>
      </c>
      <c r="J18" s="17">
        <f>IFERROR(__xludf.DUMMYFUNCTION("""COMPUTED_VALUE"""),2395.5)</f>
        <v>2395.5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IFERROR(__xludf.DUMMYFUNCTION("""COMPUTED_VALUE"""),2445.5)</f>
        <v>2445.5</v>
      </c>
      <c r="C19" s="16">
        <f>IFERROR(__xludf.DUMMYFUNCTION("""COMPUTED_VALUE"""),45769.6458333333)</f>
        <v>45769.6458333333</v>
      </c>
      <c r="D19" s="17">
        <f>IFERROR(__xludf.DUMMYFUNCTION("""COMPUTED_VALUE"""),2458.9)</f>
        <v>2458.9</v>
      </c>
      <c r="E19" s="16">
        <f>IFERROR(__xludf.DUMMYFUNCTION("""COMPUTED_VALUE"""),45769.6458333333)</f>
        <v>45769.6458333333</v>
      </c>
      <c r="F19" s="17">
        <f>IFERROR(__xludf.DUMMYFUNCTION("""COMPUTED_VALUE"""),766567)</f>
        <v>766567</v>
      </c>
      <c r="G19" s="16">
        <f>IFERROR(__xludf.DUMMYFUNCTION("""COMPUTED_VALUE"""),45769.6458333333)</f>
        <v>45769.6458333333</v>
      </c>
      <c r="H19" s="17">
        <f>IFERROR(__xludf.DUMMYFUNCTION("""COMPUTED_VALUE"""),2483.4)</f>
        <v>2483.4</v>
      </c>
      <c r="I19" s="16">
        <f>IFERROR(__xludf.DUMMYFUNCTION("""COMPUTED_VALUE"""),45769.6458333333)</f>
        <v>45769.6458333333</v>
      </c>
      <c r="J19" s="17">
        <f>IFERROR(__xludf.DUMMYFUNCTION("""COMPUTED_VALUE"""),2441)</f>
        <v>2441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IFERROR(__xludf.DUMMYFUNCTION("""COMPUTED_VALUE"""),2453.6)</f>
        <v>2453.6</v>
      </c>
      <c r="C20" s="16">
        <f>IFERROR(__xludf.DUMMYFUNCTION("""COMPUTED_VALUE"""),45770.6458333333)</f>
        <v>45770.6458333333</v>
      </c>
      <c r="D20" s="17">
        <f>IFERROR(__xludf.DUMMYFUNCTION("""COMPUTED_VALUE"""),2460)</f>
        <v>2460</v>
      </c>
      <c r="E20" s="16">
        <f>IFERROR(__xludf.DUMMYFUNCTION("""COMPUTED_VALUE"""),45770.6458333333)</f>
        <v>45770.6458333333</v>
      </c>
      <c r="F20" s="17">
        <f>IFERROR(__xludf.DUMMYFUNCTION("""COMPUTED_VALUE"""),672262)</f>
        <v>672262</v>
      </c>
      <c r="G20" s="16">
        <f>IFERROR(__xludf.DUMMYFUNCTION("""COMPUTED_VALUE"""),45770.6458333333)</f>
        <v>45770.6458333333</v>
      </c>
      <c r="H20" s="17">
        <f>IFERROR(__xludf.DUMMYFUNCTION("""COMPUTED_VALUE"""),2473.8)</f>
        <v>2473.8</v>
      </c>
      <c r="I20" s="16">
        <f>IFERROR(__xludf.DUMMYFUNCTION("""COMPUTED_VALUE"""),45770.6458333333)</f>
        <v>45770.6458333333</v>
      </c>
      <c r="J20" s="17">
        <f>IFERROR(__xludf.DUMMYFUNCTION("""COMPUTED_VALUE"""),2421.2)</f>
        <v>2421.2</v>
      </c>
      <c r="K20" s="3">
        <f t="shared" si="2"/>
        <v>2453.6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IFERROR(__xludf.DUMMYFUNCTION("""COMPUTED_VALUE"""),2442.5)</f>
        <v>2442.5</v>
      </c>
      <c r="C21" s="16">
        <f>IFERROR(__xludf.DUMMYFUNCTION("""COMPUTED_VALUE"""),45771.6458333333)</f>
        <v>45771.6458333333</v>
      </c>
      <c r="D21" s="17">
        <f>IFERROR(__xludf.DUMMYFUNCTION("""COMPUTED_VALUE"""),2450)</f>
        <v>2450</v>
      </c>
      <c r="E21" s="16">
        <f>IFERROR(__xludf.DUMMYFUNCTION("""COMPUTED_VALUE"""),45771.6458333333)</f>
        <v>45771.6458333333</v>
      </c>
      <c r="F21" s="17">
        <f>IFERROR(__xludf.DUMMYFUNCTION("""COMPUTED_VALUE"""),596696)</f>
        <v>596696</v>
      </c>
      <c r="G21" s="16">
        <f>IFERROR(__xludf.DUMMYFUNCTION("""COMPUTED_VALUE"""),45771.6458333333)</f>
        <v>45771.6458333333</v>
      </c>
      <c r="H21" s="17">
        <f>IFERROR(__xludf.DUMMYFUNCTION("""COMPUTED_VALUE"""),2461.4)</f>
        <v>2461.4</v>
      </c>
      <c r="I21" s="16">
        <f>IFERROR(__xludf.DUMMYFUNCTION("""COMPUTED_VALUE"""),45771.6458333333)</f>
        <v>45771.6458333333</v>
      </c>
      <c r="J21" s="17">
        <f>IFERROR(__xludf.DUMMYFUNCTION("""COMPUTED_VALUE"""),2425.1)</f>
        <v>2425.1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IFERROR(__xludf.DUMMYFUNCTION("""COMPUTED_VALUE"""),2354.3)</f>
        <v>2354.3</v>
      </c>
      <c r="C22" s="16">
        <f>IFERROR(__xludf.DUMMYFUNCTION("""COMPUTED_VALUE"""),45772.6458333333)</f>
        <v>45772.6458333333</v>
      </c>
      <c r="D22" s="17">
        <f>IFERROR(__xludf.DUMMYFUNCTION("""COMPUTED_VALUE"""),2450.1)</f>
        <v>2450.1</v>
      </c>
      <c r="E22" s="16">
        <f>IFERROR(__xludf.DUMMYFUNCTION("""COMPUTED_VALUE"""),45772.6458333333)</f>
        <v>45772.6458333333</v>
      </c>
      <c r="F22" s="17">
        <f>IFERROR(__xludf.DUMMYFUNCTION("""COMPUTED_VALUE"""),1414809)</f>
        <v>1414809</v>
      </c>
      <c r="G22" s="16">
        <f>IFERROR(__xludf.DUMMYFUNCTION("""COMPUTED_VALUE"""),45772.6458333333)</f>
        <v>45772.6458333333</v>
      </c>
      <c r="H22" s="17">
        <f>IFERROR(__xludf.DUMMYFUNCTION("""COMPUTED_VALUE"""),2459.5)</f>
        <v>2459.5</v>
      </c>
      <c r="I22" s="16">
        <f>IFERROR(__xludf.DUMMYFUNCTION("""COMPUTED_VALUE"""),45772.6458333333)</f>
        <v>45772.6458333333</v>
      </c>
      <c r="J22" s="17">
        <f>IFERROR(__xludf.DUMMYFUNCTION("""COMPUTED_VALUE"""),2323.5)</f>
        <v>2323.5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IFERROR(__xludf.DUMMYFUNCTION("""COMPUTED_VALUE"""),2369.8)</f>
        <v>2369.8</v>
      </c>
      <c r="C23" s="16">
        <f>IFERROR(__xludf.DUMMYFUNCTION("""COMPUTED_VALUE"""),45775.6458333333)</f>
        <v>45775.6458333333</v>
      </c>
      <c r="D23" s="17">
        <f>IFERROR(__xludf.DUMMYFUNCTION("""COMPUTED_VALUE"""),2346)</f>
        <v>2346</v>
      </c>
      <c r="E23" s="16">
        <f>IFERROR(__xludf.DUMMYFUNCTION("""COMPUTED_VALUE"""),45775.6458333333)</f>
        <v>45775.6458333333</v>
      </c>
      <c r="F23" s="17">
        <f>IFERROR(__xludf.DUMMYFUNCTION("""COMPUTED_VALUE"""),681421)</f>
        <v>681421</v>
      </c>
      <c r="G23" s="16">
        <f>IFERROR(__xludf.DUMMYFUNCTION("""COMPUTED_VALUE"""),45775.6458333333)</f>
        <v>45775.6458333333</v>
      </c>
      <c r="H23" s="17">
        <f>IFERROR(__xludf.DUMMYFUNCTION("""COMPUTED_VALUE"""),2402)</f>
        <v>2402</v>
      </c>
      <c r="I23" s="16">
        <f>IFERROR(__xludf.DUMMYFUNCTION("""COMPUTED_VALUE"""),45775.6458333333)</f>
        <v>45775.6458333333</v>
      </c>
      <c r="J23" s="17">
        <f>IFERROR(__xludf.DUMMYFUNCTION("""COMPUTED_VALUE"""),2337.6)</f>
        <v>2337.6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IFERROR(__xludf.DUMMYFUNCTION("""COMPUTED_VALUE"""),2330.6)</f>
        <v>2330.6</v>
      </c>
      <c r="C24" s="16">
        <f>IFERROR(__xludf.DUMMYFUNCTION("""COMPUTED_VALUE"""),45776.6458333333)</f>
        <v>45776.6458333333</v>
      </c>
      <c r="D24" s="17">
        <f>IFERROR(__xludf.DUMMYFUNCTION("""COMPUTED_VALUE"""),2392)</f>
        <v>2392</v>
      </c>
      <c r="E24" s="16">
        <f>IFERROR(__xludf.DUMMYFUNCTION("""COMPUTED_VALUE"""),45776.6458333333)</f>
        <v>45776.6458333333</v>
      </c>
      <c r="F24" s="17">
        <f>IFERROR(__xludf.DUMMYFUNCTION("""COMPUTED_VALUE"""),670730)</f>
        <v>670730</v>
      </c>
      <c r="G24" s="16">
        <f>IFERROR(__xludf.DUMMYFUNCTION("""COMPUTED_VALUE"""),45776.6458333333)</f>
        <v>45776.6458333333</v>
      </c>
      <c r="H24" s="17">
        <f>IFERROR(__xludf.DUMMYFUNCTION("""COMPUTED_VALUE"""),2400)</f>
        <v>2400</v>
      </c>
      <c r="I24" s="16">
        <f>IFERROR(__xludf.DUMMYFUNCTION("""COMPUTED_VALUE"""),45776.6458333333)</f>
        <v>45776.6458333333</v>
      </c>
      <c r="J24" s="17">
        <f>IFERROR(__xludf.DUMMYFUNCTION("""COMPUTED_VALUE"""),2325.6)</f>
        <v>2325.6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IFERROR(__xludf.DUMMYFUNCTION("""COMPUTED_VALUE"""),2301.3)</f>
        <v>2301.3</v>
      </c>
      <c r="C25" s="16">
        <f>IFERROR(__xludf.DUMMYFUNCTION("""COMPUTED_VALUE"""),45777.6458333333)</f>
        <v>45777.6458333333</v>
      </c>
      <c r="D25" s="17">
        <f>IFERROR(__xludf.DUMMYFUNCTION("""COMPUTED_VALUE"""),2331.4)</f>
        <v>2331.4</v>
      </c>
      <c r="E25" s="16">
        <f>IFERROR(__xludf.DUMMYFUNCTION("""COMPUTED_VALUE"""),45777.6458333333)</f>
        <v>45777.6458333333</v>
      </c>
      <c r="F25" s="17">
        <f>IFERROR(__xludf.DUMMYFUNCTION("""COMPUTED_VALUE"""),837464)</f>
        <v>837464</v>
      </c>
      <c r="G25" s="16">
        <f>IFERROR(__xludf.DUMMYFUNCTION("""COMPUTED_VALUE"""),45777.6458333333)</f>
        <v>45777.6458333333</v>
      </c>
      <c r="H25" s="17">
        <f>IFERROR(__xludf.DUMMYFUNCTION("""COMPUTED_VALUE"""),2340)</f>
        <v>2340</v>
      </c>
      <c r="I25" s="16">
        <f>IFERROR(__xludf.DUMMYFUNCTION("""COMPUTED_VALUE"""),45777.6458333333)</f>
        <v>45777.6458333333</v>
      </c>
      <c r="J25" s="17">
        <f>IFERROR(__xludf.DUMMYFUNCTION("""COMPUTED_VALUE"""),2285)</f>
        <v>2285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IFERROR(__xludf.DUMMYFUNCTION("""COMPUTED_VALUE"""),2294.2)</f>
        <v>2294.2</v>
      </c>
      <c r="C26" s="16">
        <f>IFERROR(__xludf.DUMMYFUNCTION("""COMPUTED_VALUE"""),45779.6458333333)</f>
        <v>45779.6458333333</v>
      </c>
      <c r="D26" s="17">
        <f>IFERROR(__xludf.DUMMYFUNCTION("""COMPUTED_VALUE"""),2349.9)</f>
        <v>2349.9</v>
      </c>
      <c r="E26" s="16">
        <f>IFERROR(__xludf.DUMMYFUNCTION("""COMPUTED_VALUE"""),45779.6458333333)</f>
        <v>45779.6458333333</v>
      </c>
      <c r="F26" s="17">
        <f>IFERROR(__xludf.DUMMYFUNCTION("""COMPUTED_VALUE"""),1695797)</f>
        <v>1695797</v>
      </c>
      <c r="G26" s="16">
        <f>IFERROR(__xludf.DUMMYFUNCTION("""COMPUTED_VALUE"""),45779.6458333333)</f>
        <v>45779.6458333333</v>
      </c>
      <c r="H26" s="17">
        <f>IFERROR(__xludf.DUMMYFUNCTION("""COMPUTED_VALUE"""),2372.4)</f>
        <v>2372.4</v>
      </c>
      <c r="I26" s="16">
        <f>IFERROR(__xludf.DUMMYFUNCTION("""COMPUTED_VALUE"""),45779.6458333333)</f>
        <v>45779.6458333333</v>
      </c>
      <c r="J26" s="17">
        <f>IFERROR(__xludf.DUMMYFUNCTION("""COMPUTED_VALUE"""),2290)</f>
        <v>2290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IFERROR(__xludf.DUMMYFUNCTION("""COMPUTED_VALUE"""),2455.5)</f>
        <v>2455.5</v>
      </c>
      <c r="C27" s="16">
        <f>IFERROR(__xludf.DUMMYFUNCTION("""COMPUTED_VALUE"""),45782.6458333333)</f>
        <v>45782.6458333333</v>
      </c>
      <c r="D27" s="17">
        <f>IFERROR(__xludf.DUMMYFUNCTION("""COMPUTED_VALUE"""),2312.6)</f>
        <v>2312.6</v>
      </c>
      <c r="E27" s="16">
        <f>IFERROR(__xludf.DUMMYFUNCTION("""COMPUTED_VALUE"""),45782.6458333333)</f>
        <v>45782.6458333333</v>
      </c>
      <c r="F27" s="17">
        <f>IFERROR(__xludf.DUMMYFUNCTION("""COMPUTED_VALUE"""),4227194)</f>
        <v>4227194</v>
      </c>
      <c r="G27" s="16">
        <f>IFERROR(__xludf.DUMMYFUNCTION("""COMPUTED_VALUE"""),45782.6458333333)</f>
        <v>45782.6458333333</v>
      </c>
      <c r="H27" s="17">
        <f>IFERROR(__xludf.DUMMYFUNCTION("""COMPUTED_VALUE"""),2497)</f>
        <v>2497</v>
      </c>
      <c r="I27" s="16">
        <f>IFERROR(__xludf.DUMMYFUNCTION("""COMPUTED_VALUE"""),45782.6458333333)</f>
        <v>45782.6458333333</v>
      </c>
      <c r="J27" s="17">
        <f>IFERROR(__xludf.DUMMYFUNCTION("""COMPUTED_VALUE"""),2297.8)</f>
        <v>2297.8</v>
      </c>
      <c r="K27" s="3">
        <f t="shared" si="2"/>
        <v>2455.5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IFERROR(__xludf.DUMMYFUNCTION("""COMPUTED_VALUE"""),2354)</f>
        <v>2354</v>
      </c>
      <c r="C28" s="16">
        <f>IFERROR(__xludf.DUMMYFUNCTION("""COMPUTED_VALUE"""),45783.6458333333)</f>
        <v>45783.6458333333</v>
      </c>
      <c r="D28" s="17">
        <f>IFERROR(__xludf.DUMMYFUNCTION("""COMPUTED_VALUE"""),2454)</f>
        <v>2454</v>
      </c>
      <c r="E28" s="16">
        <f>IFERROR(__xludf.DUMMYFUNCTION("""COMPUTED_VALUE"""),45783.6458333333)</f>
        <v>45783.6458333333</v>
      </c>
      <c r="F28" s="17">
        <f>IFERROR(__xludf.DUMMYFUNCTION("""COMPUTED_VALUE"""),1524692)</f>
        <v>1524692</v>
      </c>
      <c r="G28" s="16">
        <f>IFERROR(__xludf.DUMMYFUNCTION("""COMPUTED_VALUE"""),45783.6458333333)</f>
        <v>45783.6458333333</v>
      </c>
      <c r="H28" s="17">
        <f>IFERROR(__xludf.DUMMYFUNCTION("""COMPUTED_VALUE"""),2463.2)</f>
        <v>2463.2</v>
      </c>
      <c r="I28" s="16">
        <f>IFERROR(__xludf.DUMMYFUNCTION("""COMPUTED_VALUE"""),45783.6458333333)</f>
        <v>45783.6458333333</v>
      </c>
      <c r="J28" s="17">
        <f>IFERROR(__xludf.DUMMYFUNCTION("""COMPUTED_VALUE"""),2343.5)</f>
        <v>2343.5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IFERROR(__xludf.DUMMYFUNCTION("""COMPUTED_VALUE"""),2353.1)</f>
        <v>2353.1</v>
      </c>
      <c r="C29" s="16">
        <f>IFERROR(__xludf.DUMMYFUNCTION("""COMPUTED_VALUE"""),45784.6458333333)</f>
        <v>45784.6458333333</v>
      </c>
      <c r="D29" s="17">
        <f>IFERROR(__xludf.DUMMYFUNCTION("""COMPUTED_VALUE"""),2315)</f>
        <v>2315</v>
      </c>
      <c r="E29" s="16">
        <f>IFERROR(__xludf.DUMMYFUNCTION("""COMPUTED_VALUE"""),45784.6458333333)</f>
        <v>45784.6458333333</v>
      </c>
      <c r="F29" s="17">
        <f>IFERROR(__xludf.DUMMYFUNCTION("""COMPUTED_VALUE"""),1012640)</f>
        <v>1012640</v>
      </c>
      <c r="G29" s="16">
        <f>IFERROR(__xludf.DUMMYFUNCTION("""COMPUTED_VALUE"""),45784.6458333333)</f>
        <v>45784.6458333333</v>
      </c>
      <c r="H29" s="17">
        <f>IFERROR(__xludf.DUMMYFUNCTION("""COMPUTED_VALUE"""),2379.5)</f>
        <v>2379.5</v>
      </c>
      <c r="I29" s="16">
        <f>IFERROR(__xludf.DUMMYFUNCTION("""COMPUTED_VALUE"""),45784.6458333333)</f>
        <v>45784.6458333333</v>
      </c>
      <c r="J29" s="17">
        <f>IFERROR(__xludf.DUMMYFUNCTION("""COMPUTED_VALUE"""),2315)</f>
        <v>2315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IFERROR(__xludf.DUMMYFUNCTION("""COMPUTED_VALUE"""),2285.3)</f>
        <v>2285.3</v>
      </c>
      <c r="C30" s="16">
        <f>IFERROR(__xludf.DUMMYFUNCTION("""COMPUTED_VALUE"""),45785.6458333333)</f>
        <v>45785.6458333333</v>
      </c>
      <c r="D30" s="17">
        <f>IFERROR(__xludf.DUMMYFUNCTION("""COMPUTED_VALUE"""),2362)</f>
        <v>2362</v>
      </c>
      <c r="E30" s="16">
        <f>IFERROR(__xludf.DUMMYFUNCTION("""COMPUTED_VALUE"""),45785.6458333333)</f>
        <v>45785.6458333333</v>
      </c>
      <c r="F30" s="17">
        <f>IFERROR(__xludf.DUMMYFUNCTION("""COMPUTED_VALUE"""),1380069)</f>
        <v>1380069</v>
      </c>
      <c r="G30" s="16">
        <f>IFERROR(__xludf.DUMMYFUNCTION("""COMPUTED_VALUE"""),45785.6458333333)</f>
        <v>45785.6458333333</v>
      </c>
      <c r="H30" s="17">
        <f>IFERROR(__xludf.DUMMYFUNCTION("""COMPUTED_VALUE"""),2367.8)</f>
        <v>2367.8</v>
      </c>
      <c r="I30" s="16">
        <f>IFERROR(__xludf.DUMMYFUNCTION("""COMPUTED_VALUE"""),45785.6458333333)</f>
        <v>45785.6458333333</v>
      </c>
      <c r="J30" s="17">
        <f>IFERROR(__xludf.DUMMYFUNCTION("""COMPUTED_VALUE"""),2260)</f>
        <v>2260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IFERROR(__xludf.DUMMYFUNCTION("""COMPUTED_VALUE"""),2251)</f>
        <v>2251</v>
      </c>
      <c r="C31" s="16">
        <f>IFERROR(__xludf.DUMMYFUNCTION("""COMPUTED_VALUE"""),45786.6458333333)</f>
        <v>45786.6458333333</v>
      </c>
      <c r="D31" s="17">
        <f>IFERROR(__xludf.DUMMYFUNCTION("""COMPUTED_VALUE"""),2240)</f>
        <v>2240</v>
      </c>
      <c r="E31" s="16">
        <f>IFERROR(__xludf.DUMMYFUNCTION("""COMPUTED_VALUE"""),45786.6458333333)</f>
        <v>45786.6458333333</v>
      </c>
      <c r="F31" s="17">
        <f>IFERROR(__xludf.DUMMYFUNCTION("""COMPUTED_VALUE"""),1006000)</f>
        <v>1006000</v>
      </c>
      <c r="G31" s="16">
        <f>IFERROR(__xludf.DUMMYFUNCTION("""COMPUTED_VALUE"""),45786.6458333333)</f>
        <v>45786.6458333333</v>
      </c>
      <c r="H31" s="17">
        <f>IFERROR(__xludf.DUMMYFUNCTION("""COMPUTED_VALUE"""),2273.1)</f>
        <v>2273.1</v>
      </c>
      <c r="I31" s="16">
        <f>IFERROR(__xludf.DUMMYFUNCTION("""COMPUTED_VALUE"""),45786.6458333333)</f>
        <v>45786.6458333333</v>
      </c>
      <c r="J31" s="17">
        <f>IFERROR(__xludf.DUMMYFUNCTION("""COMPUTED_VALUE"""),2233)</f>
        <v>2233</v>
      </c>
      <c r="K31" s="3">
        <f t="shared" si="2"/>
        <v>0</v>
      </c>
      <c r="L31" s="3">
        <f t="shared" si="3"/>
        <v>2251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IFERROR(__xludf.DUMMYFUNCTION("""COMPUTED_VALUE"""),2425.3)</f>
        <v>2425.3</v>
      </c>
      <c r="C32" s="16">
        <f>IFERROR(__xludf.DUMMYFUNCTION("""COMPUTED_VALUE"""),45789.6458333333)</f>
        <v>45789.6458333333</v>
      </c>
      <c r="D32" s="17">
        <f>IFERROR(__xludf.DUMMYFUNCTION("""COMPUTED_VALUE"""),2350)</f>
        <v>2350</v>
      </c>
      <c r="E32" s="16">
        <f>IFERROR(__xludf.DUMMYFUNCTION("""COMPUTED_VALUE"""),45789.6458333333)</f>
        <v>45789.6458333333</v>
      </c>
      <c r="F32" s="17">
        <f>IFERROR(__xludf.DUMMYFUNCTION("""COMPUTED_VALUE"""),2147039)</f>
        <v>2147039</v>
      </c>
      <c r="G32" s="16">
        <f>IFERROR(__xludf.DUMMYFUNCTION("""COMPUTED_VALUE"""),45789.6458333333)</f>
        <v>45789.6458333333</v>
      </c>
      <c r="H32" s="17">
        <f>IFERROR(__xludf.DUMMYFUNCTION("""COMPUTED_VALUE"""),2433.3)</f>
        <v>2433.3</v>
      </c>
      <c r="I32" s="16">
        <f>IFERROR(__xludf.DUMMYFUNCTION("""COMPUTED_VALUE"""),45789.6458333333)</f>
        <v>45789.6458333333</v>
      </c>
      <c r="J32" s="17">
        <f>IFERROR(__xludf.DUMMYFUNCTION("""COMPUTED_VALUE"""),2315)</f>
        <v>2315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IFERROR(__xludf.DUMMYFUNCTION("""COMPUTED_VALUE"""),2441.2)</f>
        <v>2441.2</v>
      </c>
      <c r="C33" s="16">
        <f>IFERROR(__xludf.DUMMYFUNCTION("""COMPUTED_VALUE"""),45790.6458333333)</f>
        <v>45790.6458333333</v>
      </c>
      <c r="D33" s="17">
        <f>IFERROR(__xludf.DUMMYFUNCTION("""COMPUTED_VALUE"""),2425)</f>
        <v>2425</v>
      </c>
      <c r="E33" s="16">
        <f>IFERROR(__xludf.DUMMYFUNCTION("""COMPUTED_VALUE"""),45790.6458333333)</f>
        <v>45790.6458333333</v>
      </c>
      <c r="F33" s="17">
        <f>IFERROR(__xludf.DUMMYFUNCTION("""COMPUTED_VALUE"""),1815179)</f>
        <v>1815179</v>
      </c>
      <c r="G33" s="16">
        <f>IFERROR(__xludf.DUMMYFUNCTION("""COMPUTED_VALUE"""),45790.6458333333)</f>
        <v>45790.6458333333</v>
      </c>
      <c r="H33" s="17">
        <f>IFERROR(__xludf.DUMMYFUNCTION("""COMPUTED_VALUE"""),2454.9)</f>
        <v>2454.9</v>
      </c>
      <c r="I33" s="16">
        <f>IFERROR(__xludf.DUMMYFUNCTION("""COMPUTED_VALUE"""),45790.6458333333)</f>
        <v>45790.6458333333</v>
      </c>
      <c r="J33" s="17">
        <f>IFERROR(__xludf.DUMMYFUNCTION("""COMPUTED_VALUE"""),2405)</f>
        <v>2405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IFERROR(__xludf.DUMMYFUNCTION("""COMPUTED_VALUE"""),2461.9)</f>
        <v>2461.9</v>
      </c>
      <c r="C34" s="16">
        <f>IFERROR(__xludf.DUMMYFUNCTION("""COMPUTED_VALUE"""),45791.6458333333)</f>
        <v>45791.6458333333</v>
      </c>
      <c r="D34" s="17">
        <f>IFERROR(__xludf.DUMMYFUNCTION("""COMPUTED_VALUE"""),2444.9)</f>
        <v>2444.9</v>
      </c>
      <c r="E34" s="16">
        <f>IFERROR(__xludf.DUMMYFUNCTION("""COMPUTED_VALUE"""),45791.6458333333)</f>
        <v>45791.6458333333</v>
      </c>
      <c r="F34" s="17">
        <f>IFERROR(__xludf.DUMMYFUNCTION("""COMPUTED_VALUE"""),774441)</f>
        <v>774441</v>
      </c>
      <c r="G34" s="16">
        <f>IFERROR(__xludf.DUMMYFUNCTION("""COMPUTED_VALUE"""),45791.6458333333)</f>
        <v>45791.6458333333</v>
      </c>
      <c r="H34" s="17">
        <f>IFERROR(__xludf.DUMMYFUNCTION("""COMPUTED_VALUE"""),2481.9)</f>
        <v>2481.9</v>
      </c>
      <c r="I34" s="16">
        <f>IFERROR(__xludf.DUMMYFUNCTION("""COMPUTED_VALUE"""),45791.6458333333)</f>
        <v>45791.6458333333</v>
      </c>
      <c r="J34" s="17">
        <f>IFERROR(__xludf.DUMMYFUNCTION("""COMPUTED_VALUE"""),2430.1)</f>
        <v>2430.1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IFERROR(__xludf.DUMMYFUNCTION("""COMPUTED_VALUE"""),2520)</f>
        <v>2520</v>
      </c>
      <c r="C35" s="16">
        <f>IFERROR(__xludf.DUMMYFUNCTION("""COMPUTED_VALUE"""),45792.6458333333)</f>
        <v>45792.6458333333</v>
      </c>
      <c r="D35" s="17">
        <f>IFERROR(__xludf.DUMMYFUNCTION("""COMPUTED_VALUE"""),2463.4)</f>
        <v>2463.4</v>
      </c>
      <c r="E35" s="16">
        <f>IFERROR(__xludf.DUMMYFUNCTION("""COMPUTED_VALUE"""),45792.6458333333)</f>
        <v>45792.6458333333</v>
      </c>
      <c r="F35" s="17">
        <f>IFERROR(__xludf.DUMMYFUNCTION("""COMPUTED_VALUE"""),1554801)</f>
        <v>1554801</v>
      </c>
      <c r="G35" s="16">
        <f>IFERROR(__xludf.DUMMYFUNCTION("""COMPUTED_VALUE"""),45792.6458333333)</f>
        <v>45792.6458333333</v>
      </c>
      <c r="H35" s="17">
        <f>IFERROR(__xludf.DUMMYFUNCTION("""COMPUTED_VALUE"""),2526.8)</f>
        <v>2526.8</v>
      </c>
      <c r="I35" s="16">
        <f>IFERROR(__xludf.DUMMYFUNCTION("""COMPUTED_VALUE"""),45792.6458333333)</f>
        <v>45792.6458333333</v>
      </c>
      <c r="J35" s="17">
        <f>IFERROR(__xludf.DUMMYFUNCTION("""COMPUTED_VALUE"""),2450.7)</f>
        <v>2450.7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IFERROR(__xludf.DUMMYFUNCTION("""COMPUTED_VALUE"""),2555)</f>
        <v>2555</v>
      </c>
      <c r="C36" s="16">
        <f>IFERROR(__xludf.DUMMYFUNCTION("""COMPUTED_VALUE"""),45793.6458333333)</f>
        <v>45793.6458333333</v>
      </c>
      <c r="D36" s="17">
        <f>IFERROR(__xludf.DUMMYFUNCTION("""COMPUTED_VALUE"""),2529)</f>
        <v>2529</v>
      </c>
      <c r="E36" s="16">
        <f>IFERROR(__xludf.DUMMYFUNCTION("""COMPUTED_VALUE"""),45793.6458333333)</f>
        <v>45793.6458333333</v>
      </c>
      <c r="F36" s="17">
        <f>IFERROR(__xludf.DUMMYFUNCTION("""COMPUTED_VALUE"""),1641135)</f>
        <v>1641135</v>
      </c>
      <c r="G36" s="16">
        <f>IFERROR(__xludf.DUMMYFUNCTION("""COMPUTED_VALUE"""),45793.6458333333)</f>
        <v>45793.6458333333</v>
      </c>
      <c r="H36" s="17">
        <f>IFERROR(__xludf.DUMMYFUNCTION("""COMPUTED_VALUE"""),2584.2)</f>
        <v>2584.2</v>
      </c>
      <c r="I36" s="16">
        <f>IFERROR(__xludf.DUMMYFUNCTION("""COMPUTED_VALUE"""),45793.6458333333)</f>
        <v>45793.6458333333</v>
      </c>
      <c r="J36" s="17">
        <f>IFERROR(__xludf.DUMMYFUNCTION("""COMPUTED_VALUE"""),2516.2)</f>
        <v>2516.2</v>
      </c>
      <c r="K36" s="3">
        <f t="shared" si="2"/>
        <v>2555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IFERROR(__xludf.DUMMYFUNCTION("""COMPUTED_VALUE"""),2540.6)</f>
        <v>2540.6</v>
      </c>
      <c r="C37" s="16">
        <f>IFERROR(__xludf.DUMMYFUNCTION("""COMPUTED_VALUE"""),45796.6458333333)</f>
        <v>45796.6458333333</v>
      </c>
      <c r="D37" s="17">
        <f>IFERROR(__xludf.DUMMYFUNCTION("""COMPUTED_VALUE"""),2571.3)</f>
        <v>2571.3</v>
      </c>
      <c r="E37" s="16">
        <f>IFERROR(__xludf.DUMMYFUNCTION("""COMPUTED_VALUE"""),45796.6458333333)</f>
        <v>45796.6458333333</v>
      </c>
      <c r="F37" s="17">
        <f>IFERROR(__xludf.DUMMYFUNCTION("""COMPUTED_VALUE"""),681000)</f>
        <v>681000</v>
      </c>
      <c r="G37" s="16">
        <f>IFERROR(__xludf.DUMMYFUNCTION("""COMPUTED_VALUE"""),45796.6458333333)</f>
        <v>45796.6458333333</v>
      </c>
      <c r="H37" s="17">
        <f>IFERROR(__xludf.DUMMYFUNCTION("""COMPUTED_VALUE"""),2578.8)</f>
        <v>2578.8</v>
      </c>
      <c r="I37" s="16">
        <f>IFERROR(__xludf.DUMMYFUNCTION("""COMPUTED_VALUE"""),45796.6458333333)</f>
        <v>45796.6458333333</v>
      </c>
      <c r="J37" s="17">
        <f>IFERROR(__xludf.DUMMYFUNCTION("""COMPUTED_VALUE"""),2536)</f>
        <v>2536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IFERROR(__xludf.DUMMYFUNCTION("""COMPUTED_VALUE"""),2501.6)</f>
        <v>2501.6</v>
      </c>
      <c r="C38" s="16">
        <f>IFERROR(__xludf.DUMMYFUNCTION("""COMPUTED_VALUE"""),45797.6458333333)</f>
        <v>45797.6458333333</v>
      </c>
      <c r="D38" s="17">
        <f>IFERROR(__xludf.DUMMYFUNCTION("""COMPUTED_VALUE"""),2545)</f>
        <v>2545</v>
      </c>
      <c r="E38" s="16">
        <f>IFERROR(__xludf.DUMMYFUNCTION("""COMPUTED_VALUE"""),45797.6458333333)</f>
        <v>45797.6458333333</v>
      </c>
      <c r="F38" s="17">
        <f>IFERROR(__xludf.DUMMYFUNCTION("""COMPUTED_VALUE"""),628023)</f>
        <v>628023</v>
      </c>
      <c r="G38" s="16">
        <f>IFERROR(__xludf.DUMMYFUNCTION("""COMPUTED_VALUE"""),45797.6458333333)</f>
        <v>45797.6458333333</v>
      </c>
      <c r="H38" s="17">
        <f>IFERROR(__xludf.DUMMYFUNCTION("""COMPUTED_VALUE"""),2564.8)</f>
        <v>2564.8</v>
      </c>
      <c r="I38" s="16">
        <f>IFERROR(__xludf.DUMMYFUNCTION("""COMPUTED_VALUE"""),45797.6458333333)</f>
        <v>45797.6458333333</v>
      </c>
      <c r="J38" s="17">
        <f>IFERROR(__xludf.DUMMYFUNCTION("""COMPUTED_VALUE"""),2492.5)</f>
        <v>2492.5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IFERROR(__xludf.DUMMYFUNCTION("""COMPUTED_VALUE"""),2500.4)</f>
        <v>2500.4</v>
      </c>
      <c r="C39" s="16">
        <f>IFERROR(__xludf.DUMMYFUNCTION("""COMPUTED_VALUE"""),45798.6458333333)</f>
        <v>45798.6458333333</v>
      </c>
      <c r="D39" s="17">
        <f>IFERROR(__xludf.DUMMYFUNCTION("""COMPUTED_VALUE"""),2509.7)</f>
        <v>2509.7</v>
      </c>
      <c r="E39" s="16">
        <f>IFERROR(__xludf.DUMMYFUNCTION("""COMPUTED_VALUE"""),45798.6458333333)</f>
        <v>45798.6458333333</v>
      </c>
      <c r="F39" s="17">
        <f>IFERROR(__xludf.DUMMYFUNCTION("""COMPUTED_VALUE"""),529234)</f>
        <v>529234</v>
      </c>
      <c r="G39" s="16">
        <f>IFERROR(__xludf.DUMMYFUNCTION("""COMPUTED_VALUE"""),45798.6458333333)</f>
        <v>45798.6458333333</v>
      </c>
      <c r="H39" s="17">
        <f>IFERROR(__xludf.DUMMYFUNCTION("""COMPUTED_VALUE"""),2524.5)</f>
        <v>2524.5</v>
      </c>
      <c r="I39" s="16">
        <f>IFERROR(__xludf.DUMMYFUNCTION("""COMPUTED_VALUE"""),45798.6458333333)</f>
        <v>45798.6458333333</v>
      </c>
      <c r="J39" s="17">
        <f>IFERROR(__xludf.DUMMYFUNCTION("""COMPUTED_VALUE"""),2483.7)</f>
        <v>2483.7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IFERROR(__xludf.DUMMYFUNCTION("""COMPUTED_VALUE"""),2487.6)</f>
        <v>2487.6</v>
      </c>
      <c r="C40" s="16">
        <f>IFERROR(__xludf.DUMMYFUNCTION("""COMPUTED_VALUE"""),45799.6458333333)</f>
        <v>45799.6458333333</v>
      </c>
      <c r="D40" s="17">
        <f>IFERROR(__xludf.DUMMYFUNCTION("""COMPUTED_VALUE"""),2500.4)</f>
        <v>2500.4</v>
      </c>
      <c r="E40" s="16">
        <f>IFERROR(__xludf.DUMMYFUNCTION("""COMPUTED_VALUE"""),45799.6458333333)</f>
        <v>45799.6458333333</v>
      </c>
      <c r="F40" s="17">
        <f>IFERROR(__xludf.DUMMYFUNCTION("""COMPUTED_VALUE"""),906909)</f>
        <v>906909</v>
      </c>
      <c r="G40" s="16">
        <f>IFERROR(__xludf.DUMMYFUNCTION("""COMPUTED_VALUE"""),45799.6458333333)</f>
        <v>45799.6458333333</v>
      </c>
      <c r="H40" s="17">
        <f>IFERROR(__xludf.DUMMYFUNCTION("""COMPUTED_VALUE"""),2521.9)</f>
        <v>2521.9</v>
      </c>
      <c r="I40" s="16">
        <f>IFERROR(__xludf.DUMMYFUNCTION("""COMPUTED_VALUE"""),45799.6458333333)</f>
        <v>45799.6458333333</v>
      </c>
      <c r="J40" s="17">
        <f>IFERROR(__xludf.DUMMYFUNCTION("""COMPUTED_VALUE"""),2465.3)</f>
        <v>2465.3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IFERROR(__xludf.DUMMYFUNCTION("""COMPUTED_VALUE"""),2540)</f>
        <v>2540</v>
      </c>
      <c r="C41" s="16">
        <f>IFERROR(__xludf.DUMMYFUNCTION("""COMPUTED_VALUE"""),45800.6458333333)</f>
        <v>45800.6458333333</v>
      </c>
      <c r="D41" s="17">
        <f>IFERROR(__xludf.DUMMYFUNCTION("""COMPUTED_VALUE"""),2499)</f>
        <v>2499</v>
      </c>
      <c r="E41" s="16">
        <f>IFERROR(__xludf.DUMMYFUNCTION("""COMPUTED_VALUE"""),45800.6458333333)</f>
        <v>45800.6458333333</v>
      </c>
      <c r="F41" s="17">
        <f>IFERROR(__xludf.DUMMYFUNCTION("""COMPUTED_VALUE"""),968415)</f>
        <v>968415</v>
      </c>
      <c r="G41" s="16">
        <f>IFERROR(__xludf.DUMMYFUNCTION("""COMPUTED_VALUE"""),45800.6458333333)</f>
        <v>45800.6458333333</v>
      </c>
      <c r="H41" s="17">
        <f>IFERROR(__xludf.DUMMYFUNCTION("""COMPUTED_VALUE"""),2548.1)</f>
        <v>2548.1</v>
      </c>
      <c r="I41" s="16">
        <f>IFERROR(__xludf.DUMMYFUNCTION("""COMPUTED_VALUE"""),45800.6458333333)</f>
        <v>45800.6458333333</v>
      </c>
      <c r="J41" s="17">
        <f>IFERROR(__xludf.DUMMYFUNCTION("""COMPUTED_VALUE"""),2490.5)</f>
        <v>2490.5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IFERROR(__xludf.DUMMYFUNCTION("""COMPUTED_VALUE"""),2547.7)</f>
        <v>2547.7</v>
      </c>
      <c r="C42" s="16">
        <f>IFERROR(__xludf.DUMMYFUNCTION("""COMPUTED_VALUE"""),45803.6458333333)</f>
        <v>45803.6458333333</v>
      </c>
      <c r="D42" s="17">
        <f>IFERROR(__xludf.DUMMYFUNCTION("""COMPUTED_VALUE"""),2549.1)</f>
        <v>2549.1</v>
      </c>
      <c r="E42" s="16">
        <f>IFERROR(__xludf.DUMMYFUNCTION("""COMPUTED_VALUE"""),45803.6458333333)</f>
        <v>45803.6458333333</v>
      </c>
      <c r="F42" s="17">
        <f>IFERROR(__xludf.DUMMYFUNCTION("""COMPUTED_VALUE"""),552912)</f>
        <v>552912</v>
      </c>
      <c r="G42" s="16">
        <f>IFERROR(__xludf.DUMMYFUNCTION("""COMPUTED_VALUE"""),45803.6458333333)</f>
        <v>45803.6458333333</v>
      </c>
      <c r="H42" s="17">
        <f>IFERROR(__xludf.DUMMYFUNCTION("""COMPUTED_VALUE"""),2568.9)</f>
        <v>2568.9</v>
      </c>
      <c r="I42" s="16">
        <f>IFERROR(__xludf.DUMMYFUNCTION("""COMPUTED_VALUE"""),45803.6458333333)</f>
        <v>45803.6458333333</v>
      </c>
      <c r="J42" s="17">
        <f>IFERROR(__xludf.DUMMYFUNCTION("""COMPUTED_VALUE"""),2541.3)</f>
        <v>2541.3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IFERROR(__xludf.DUMMYFUNCTION("""COMPUTED_VALUE"""),2540.3)</f>
        <v>2540.3</v>
      </c>
      <c r="C43" s="16">
        <f>IFERROR(__xludf.DUMMYFUNCTION("""COMPUTED_VALUE"""),45804.6458333333)</f>
        <v>45804.6458333333</v>
      </c>
      <c r="D43" s="17">
        <f>IFERROR(__xludf.DUMMYFUNCTION("""COMPUTED_VALUE"""),2545.9)</f>
        <v>2545.9</v>
      </c>
      <c r="E43" s="16">
        <f>IFERROR(__xludf.DUMMYFUNCTION("""COMPUTED_VALUE"""),45804.6458333333)</f>
        <v>45804.6458333333</v>
      </c>
      <c r="F43" s="17">
        <f>IFERROR(__xludf.DUMMYFUNCTION("""COMPUTED_VALUE"""),514936)</f>
        <v>514936</v>
      </c>
      <c r="G43" s="16">
        <f>IFERROR(__xludf.DUMMYFUNCTION("""COMPUTED_VALUE"""),45804.6458333333)</f>
        <v>45804.6458333333</v>
      </c>
      <c r="H43" s="17">
        <f>IFERROR(__xludf.DUMMYFUNCTION("""COMPUTED_VALUE"""),2569.1)</f>
        <v>2569.1</v>
      </c>
      <c r="I43" s="16">
        <f>IFERROR(__xludf.DUMMYFUNCTION("""COMPUTED_VALUE"""),45804.6458333333)</f>
        <v>45804.6458333333</v>
      </c>
      <c r="J43" s="17">
        <f>IFERROR(__xludf.DUMMYFUNCTION("""COMPUTED_VALUE"""),2526.1)</f>
        <v>2526.1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IFERROR(__xludf.DUMMYFUNCTION("""COMPUTED_VALUE"""),2515)</f>
        <v>2515</v>
      </c>
      <c r="C44" s="16">
        <f>IFERROR(__xludf.DUMMYFUNCTION("""COMPUTED_VALUE"""),45805.6458333333)</f>
        <v>45805.6458333333</v>
      </c>
      <c r="D44" s="17">
        <f>IFERROR(__xludf.DUMMYFUNCTION("""COMPUTED_VALUE"""),2559)</f>
        <v>2559</v>
      </c>
      <c r="E44" s="16">
        <f>IFERROR(__xludf.DUMMYFUNCTION("""COMPUTED_VALUE"""),45805.6458333333)</f>
        <v>45805.6458333333</v>
      </c>
      <c r="F44" s="17">
        <f>IFERROR(__xludf.DUMMYFUNCTION("""COMPUTED_VALUE"""),575989)</f>
        <v>575989</v>
      </c>
      <c r="G44" s="16">
        <f>IFERROR(__xludf.DUMMYFUNCTION("""COMPUTED_VALUE"""),45805.6458333333)</f>
        <v>45805.6458333333</v>
      </c>
      <c r="H44" s="17">
        <f>IFERROR(__xludf.DUMMYFUNCTION("""COMPUTED_VALUE"""),2559)</f>
        <v>2559</v>
      </c>
      <c r="I44" s="16">
        <f>IFERROR(__xludf.DUMMYFUNCTION("""COMPUTED_VALUE"""),45805.6458333333)</f>
        <v>45805.6458333333</v>
      </c>
      <c r="J44" s="17">
        <f>IFERROR(__xludf.DUMMYFUNCTION("""COMPUTED_VALUE"""),2510)</f>
        <v>2510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IFERROR(__xludf.DUMMYFUNCTION("""COMPUTED_VALUE"""),2540.8)</f>
        <v>2540.8</v>
      </c>
      <c r="C45" s="16">
        <f>IFERROR(__xludf.DUMMYFUNCTION("""COMPUTED_VALUE"""),45806.6458333333)</f>
        <v>45806.6458333333</v>
      </c>
      <c r="D45" s="17">
        <f>IFERROR(__xludf.DUMMYFUNCTION("""COMPUTED_VALUE"""),2536.7)</f>
        <v>2536.7</v>
      </c>
      <c r="E45" s="16">
        <f>IFERROR(__xludf.DUMMYFUNCTION("""COMPUTED_VALUE"""),45806.6458333333)</f>
        <v>45806.6458333333</v>
      </c>
      <c r="F45" s="17">
        <f>IFERROR(__xludf.DUMMYFUNCTION("""COMPUTED_VALUE"""),802317)</f>
        <v>802317</v>
      </c>
      <c r="G45" s="16">
        <f>IFERROR(__xludf.DUMMYFUNCTION("""COMPUTED_VALUE"""),45806.6458333333)</f>
        <v>45806.6458333333</v>
      </c>
      <c r="H45" s="17">
        <f>IFERROR(__xludf.DUMMYFUNCTION("""COMPUTED_VALUE"""),2559)</f>
        <v>2559</v>
      </c>
      <c r="I45" s="16">
        <f>IFERROR(__xludf.DUMMYFUNCTION("""COMPUTED_VALUE"""),45806.6458333333)</f>
        <v>45806.6458333333</v>
      </c>
      <c r="J45" s="17">
        <f>IFERROR(__xludf.DUMMYFUNCTION("""COMPUTED_VALUE"""),2511)</f>
        <v>2511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IFERROR(__xludf.DUMMYFUNCTION("""COMPUTED_VALUE"""),2519.9)</f>
        <v>2519.9</v>
      </c>
      <c r="C46" s="16">
        <f>IFERROR(__xludf.DUMMYFUNCTION("""COMPUTED_VALUE"""),45807.6458333333)</f>
        <v>45807.6458333333</v>
      </c>
      <c r="D46" s="17">
        <f>IFERROR(__xludf.DUMMYFUNCTION("""COMPUTED_VALUE"""),2550)</f>
        <v>2550</v>
      </c>
      <c r="E46" s="16">
        <f>IFERROR(__xludf.DUMMYFUNCTION("""COMPUTED_VALUE"""),45807.6458333333)</f>
        <v>45807.6458333333</v>
      </c>
      <c r="F46" s="17">
        <f>IFERROR(__xludf.DUMMYFUNCTION("""COMPUTED_VALUE"""),684592)</f>
        <v>684592</v>
      </c>
      <c r="G46" s="16">
        <f>IFERROR(__xludf.DUMMYFUNCTION("""COMPUTED_VALUE"""),45807.6458333333)</f>
        <v>45807.6458333333</v>
      </c>
      <c r="H46" s="17">
        <f>IFERROR(__xludf.DUMMYFUNCTION("""COMPUTED_VALUE"""),2564)</f>
        <v>2564</v>
      </c>
      <c r="I46" s="16">
        <f>IFERROR(__xludf.DUMMYFUNCTION("""COMPUTED_VALUE"""),45807.6458333333)</f>
        <v>45807.6458333333</v>
      </c>
      <c r="J46" s="17">
        <f>IFERROR(__xludf.DUMMYFUNCTION("""COMPUTED_VALUE"""),2513.8)</f>
        <v>2513.8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IFERROR(__xludf.DUMMYFUNCTION("""COMPUTED_VALUE"""),2518.8)</f>
        <v>2518.8</v>
      </c>
      <c r="C47" s="16">
        <f>IFERROR(__xludf.DUMMYFUNCTION("""COMPUTED_VALUE"""),45810.6458333333)</f>
        <v>45810.6458333333</v>
      </c>
      <c r="D47" s="17">
        <f>IFERROR(__xludf.DUMMYFUNCTION("""COMPUTED_VALUE"""),2527)</f>
        <v>2527</v>
      </c>
      <c r="E47" s="16">
        <f>IFERROR(__xludf.DUMMYFUNCTION("""COMPUTED_VALUE"""),45810.6458333333)</f>
        <v>45810.6458333333</v>
      </c>
      <c r="F47" s="17">
        <f>IFERROR(__xludf.DUMMYFUNCTION("""COMPUTED_VALUE"""),1008716)</f>
        <v>1008716</v>
      </c>
      <c r="G47" s="16">
        <f>IFERROR(__xludf.DUMMYFUNCTION("""COMPUTED_VALUE"""),45810.6458333333)</f>
        <v>45810.6458333333</v>
      </c>
      <c r="H47" s="17">
        <f>IFERROR(__xludf.DUMMYFUNCTION("""COMPUTED_VALUE"""),2564)</f>
        <v>2564</v>
      </c>
      <c r="I47" s="16">
        <f>IFERROR(__xludf.DUMMYFUNCTION("""COMPUTED_VALUE"""),45810.6458333333)</f>
        <v>45810.6458333333</v>
      </c>
      <c r="J47" s="17">
        <f>IFERROR(__xludf.DUMMYFUNCTION("""COMPUTED_VALUE"""),2514.9)</f>
        <v>2514.9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IFERROR(__xludf.DUMMYFUNCTION("""COMPUTED_VALUE"""),2470.9)</f>
        <v>2470.9</v>
      </c>
      <c r="C48" s="16">
        <f>IFERROR(__xludf.DUMMYFUNCTION("""COMPUTED_VALUE"""),45811.6458333333)</f>
        <v>45811.6458333333</v>
      </c>
      <c r="D48" s="17">
        <f>IFERROR(__xludf.DUMMYFUNCTION("""COMPUTED_VALUE"""),2511)</f>
        <v>2511</v>
      </c>
      <c r="E48" s="16">
        <f>IFERROR(__xludf.DUMMYFUNCTION("""COMPUTED_VALUE"""),45811.6458333333)</f>
        <v>45811.6458333333</v>
      </c>
      <c r="F48" s="17">
        <f>IFERROR(__xludf.DUMMYFUNCTION("""COMPUTED_VALUE"""),962708)</f>
        <v>962708</v>
      </c>
      <c r="G48" s="16">
        <f>IFERROR(__xludf.DUMMYFUNCTION("""COMPUTED_VALUE"""),45811.6458333333)</f>
        <v>45811.6458333333</v>
      </c>
      <c r="H48" s="17">
        <f>IFERROR(__xludf.DUMMYFUNCTION("""COMPUTED_VALUE"""),2512.5)</f>
        <v>2512.5</v>
      </c>
      <c r="I48" s="16">
        <f>IFERROR(__xludf.DUMMYFUNCTION("""COMPUTED_VALUE"""),45811.6458333333)</f>
        <v>45811.6458333333</v>
      </c>
      <c r="J48" s="17">
        <f>IFERROR(__xludf.DUMMYFUNCTION("""COMPUTED_VALUE"""),2452)</f>
        <v>2452</v>
      </c>
      <c r="K48" s="3">
        <f t="shared" si="2"/>
        <v>0</v>
      </c>
      <c r="L48" s="3">
        <f t="shared" si="3"/>
        <v>2470.9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IFERROR(__xludf.DUMMYFUNCTION("""COMPUTED_VALUE"""),2489.4)</f>
        <v>2489.4</v>
      </c>
      <c r="C49" s="16">
        <f>IFERROR(__xludf.DUMMYFUNCTION("""COMPUTED_VALUE"""),45812.6458333333)</f>
        <v>45812.6458333333</v>
      </c>
      <c r="D49" s="17">
        <f>IFERROR(__xludf.DUMMYFUNCTION("""COMPUTED_VALUE"""),2480)</f>
        <v>2480</v>
      </c>
      <c r="E49" s="16">
        <f>IFERROR(__xludf.DUMMYFUNCTION("""COMPUTED_VALUE"""),45812.6458333333)</f>
        <v>45812.6458333333</v>
      </c>
      <c r="F49" s="17">
        <f>IFERROR(__xludf.DUMMYFUNCTION("""COMPUTED_VALUE"""),552667)</f>
        <v>552667</v>
      </c>
      <c r="G49" s="16">
        <f>IFERROR(__xludf.DUMMYFUNCTION("""COMPUTED_VALUE"""),45812.6458333333)</f>
        <v>45812.6458333333</v>
      </c>
      <c r="H49" s="17">
        <f>IFERROR(__xludf.DUMMYFUNCTION("""COMPUTED_VALUE"""),2503)</f>
        <v>2503</v>
      </c>
      <c r="I49" s="16">
        <f>IFERROR(__xludf.DUMMYFUNCTION("""COMPUTED_VALUE"""),45812.6458333333)</f>
        <v>45812.6458333333</v>
      </c>
      <c r="J49" s="17">
        <f>IFERROR(__xludf.DUMMYFUNCTION("""COMPUTED_VALUE"""),2441.1)</f>
        <v>2441.1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IFERROR(__xludf.DUMMYFUNCTION("""COMPUTED_VALUE"""),2504.4)</f>
        <v>2504.4</v>
      </c>
      <c r="C50" s="16">
        <f>IFERROR(__xludf.DUMMYFUNCTION("""COMPUTED_VALUE"""),45813.6458333333)</f>
        <v>45813.6458333333</v>
      </c>
      <c r="D50" s="17">
        <f>IFERROR(__xludf.DUMMYFUNCTION("""COMPUTED_VALUE"""),2495)</f>
        <v>2495</v>
      </c>
      <c r="E50" s="16">
        <f>IFERROR(__xludf.DUMMYFUNCTION("""COMPUTED_VALUE"""),45813.6458333333)</f>
        <v>45813.6458333333</v>
      </c>
      <c r="F50" s="17">
        <f>IFERROR(__xludf.DUMMYFUNCTION("""COMPUTED_VALUE"""),673209)</f>
        <v>673209</v>
      </c>
      <c r="G50" s="16">
        <f>IFERROR(__xludf.DUMMYFUNCTION("""COMPUTED_VALUE"""),45813.6458333333)</f>
        <v>45813.6458333333</v>
      </c>
      <c r="H50" s="17">
        <f>IFERROR(__xludf.DUMMYFUNCTION("""COMPUTED_VALUE"""),2530.1)</f>
        <v>2530.1</v>
      </c>
      <c r="I50" s="16">
        <f>IFERROR(__xludf.DUMMYFUNCTION("""COMPUTED_VALUE"""),45813.6458333333)</f>
        <v>45813.6458333333</v>
      </c>
      <c r="J50" s="17">
        <f>IFERROR(__xludf.DUMMYFUNCTION("""COMPUTED_VALUE"""),2487.5)</f>
        <v>2487.5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IFERROR(__xludf.DUMMYFUNCTION("""COMPUTED_VALUE"""),2534.2)</f>
        <v>2534.2</v>
      </c>
      <c r="C51" s="16">
        <f>IFERROR(__xludf.DUMMYFUNCTION("""COMPUTED_VALUE"""),45814.6458333333)</f>
        <v>45814.6458333333</v>
      </c>
      <c r="D51" s="17">
        <f>IFERROR(__xludf.DUMMYFUNCTION("""COMPUTED_VALUE"""),2514.9)</f>
        <v>2514.9</v>
      </c>
      <c r="E51" s="16">
        <f>IFERROR(__xludf.DUMMYFUNCTION("""COMPUTED_VALUE"""),45814.6458333333)</f>
        <v>45814.6458333333</v>
      </c>
      <c r="F51" s="17">
        <f>IFERROR(__xludf.DUMMYFUNCTION("""COMPUTED_VALUE"""),640680)</f>
        <v>640680</v>
      </c>
      <c r="G51" s="16">
        <f>IFERROR(__xludf.DUMMYFUNCTION("""COMPUTED_VALUE"""),45814.6458333333)</f>
        <v>45814.6458333333</v>
      </c>
      <c r="H51" s="17">
        <f>IFERROR(__xludf.DUMMYFUNCTION("""COMPUTED_VALUE"""),2553.3)</f>
        <v>2553.3</v>
      </c>
      <c r="I51" s="16">
        <f>IFERROR(__xludf.DUMMYFUNCTION("""COMPUTED_VALUE"""),45814.6458333333)</f>
        <v>45814.6458333333</v>
      </c>
      <c r="J51" s="17">
        <f>IFERROR(__xludf.DUMMYFUNCTION("""COMPUTED_VALUE"""),2504)</f>
        <v>2504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IFERROR(__xludf.DUMMYFUNCTION("""COMPUTED_VALUE"""),2582.1)</f>
        <v>2582.1</v>
      </c>
      <c r="C52" s="16">
        <f>IFERROR(__xludf.DUMMYFUNCTION("""COMPUTED_VALUE"""),45817.6458333333)</f>
        <v>45817.6458333333</v>
      </c>
      <c r="D52" s="17">
        <f>IFERROR(__xludf.DUMMYFUNCTION("""COMPUTED_VALUE"""),2545)</f>
        <v>2545</v>
      </c>
      <c r="E52" s="16">
        <f>IFERROR(__xludf.DUMMYFUNCTION("""COMPUTED_VALUE"""),45817.6458333333)</f>
        <v>45817.6458333333</v>
      </c>
      <c r="F52" s="17">
        <f>IFERROR(__xludf.DUMMYFUNCTION("""COMPUTED_VALUE"""),1711167)</f>
        <v>1711167</v>
      </c>
      <c r="G52" s="16">
        <f>IFERROR(__xludf.DUMMYFUNCTION("""COMPUTED_VALUE"""),45817.6458333333)</f>
        <v>45817.6458333333</v>
      </c>
      <c r="H52" s="17">
        <f>IFERROR(__xludf.DUMMYFUNCTION("""COMPUTED_VALUE"""),2604.1)</f>
        <v>2604.1</v>
      </c>
      <c r="I52" s="16">
        <f>IFERROR(__xludf.DUMMYFUNCTION("""COMPUTED_VALUE"""),45817.6458333333)</f>
        <v>45817.6458333333</v>
      </c>
      <c r="J52" s="17">
        <f>IFERROR(__xludf.DUMMYFUNCTION("""COMPUTED_VALUE"""),2524.5)</f>
        <v>2524.5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IFERROR(__xludf.DUMMYFUNCTION("""COMPUTED_VALUE"""),2613.1)</f>
        <v>2613.1</v>
      </c>
      <c r="C53" s="16">
        <f>IFERROR(__xludf.DUMMYFUNCTION("""COMPUTED_VALUE"""),45818.6458333333)</f>
        <v>45818.6458333333</v>
      </c>
      <c r="D53" s="17">
        <f>IFERROR(__xludf.DUMMYFUNCTION("""COMPUTED_VALUE"""),2600)</f>
        <v>2600</v>
      </c>
      <c r="E53" s="16">
        <f>IFERROR(__xludf.DUMMYFUNCTION("""COMPUTED_VALUE"""),45818.6458333333)</f>
        <v>45818.6458333333</v>
      </c>
      <c r="F53" s="17">
        <f>IFERROR(__xludf.DUMMYFUNCTION("""COMPUTED_VALUE"""),2084054)</f>
        <v>2084054</v>
      </c>
      <c r="G53" s="16">
        <f>IFERROR(__xludf.DUMMYFUNCTION("""COMPUTED_VALUE"""),45818.6458333333)</f>
        <v>45818.6458333333</v>
      </c>
      <c r="H53" s="17">
        <f>IFERROR(__xludf.DUMMYFUNCTION("""COMPUTED_VALUE"""),2663.2)</f>
        <v>2663.2</v>
      </c>
      <c r="I53" s="16">
        <f>IFERROR(__xludf.DUMMYFUNCTION("""COMPUTED_VALUE"""),45818.6458333333)</f>
        <v>45818.6458333333</v>
      </c>
      <c r="J53" s="17">
        <f>IFERROR(__xludf.DUMMYFUNCTION("""COMPUTED_VALUE"""),2577.7)</f>
        <v>2577.7</v>
      </c>
      <c r="K53" s="3">
        <f t="shared" si="2"/>
        <v>2613.1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IFERROR(__xludf.DUMMYFUNCTION("""COMPUTED_VALUE"""),2581.2)</f>
        <v>2581.2</v>
      </c>
      <c r="C54" s="16">
        <f>IFERROR(__xludf.DUMMYFUNCTION("""COMPUTED_VALUE"""),45819.6458333333)</f>
        <v>45819.6458333333</v>
      </c>
      <c r="D54" s="17">
        <f>IFERROR(__xludf.DUMMYFUNCTION("""COMPUTED_VALUE"""),2630)</f>
        <v>2630</v>
      </c>
      <c r="E54" s="16">
        <f>IFERROR(__xludf.DUMMYFUNCTION("""COMPUTED_VALUE"""),45819.6458333333)</f>
        <v>45819.6458333333</v>
      </c>
      <c r="F54" s="17">
        <f>IFERROR(__xludf.DUMMYFUNCTION("""COMPUTED_VALUE"""),745432)</f>
        <v>745432</v>
      </c>
      <c r="G54" s="16">
        <f>IFERROR(__xludf.DUMMYFUNCTION("""COMPUTED_VALUE"""),45819.6458333333)</f>
        <v>45819.6458333333</v>
      </c>
      <c r="H54" s="17">
        <f>IFERROR(__xludf.DUMMYFUNCTION("""COMPUTED_VALUE"""),2630.9)</f>
        <v>2630.9</v>
      </c>
      <c r="I54" s="16">
        <f>IFERROR(__xludf.DUMMYFUNCTION("""COMPUTED_VALUE"""),45819.6458333333)</f>
        <v>45819.6458333333</v>
      </c>
      <c r="J54" s="17">
        <f>IFERROR(__xludf.DUMMYFUNCTION("""COMPUTED_VALUE"""),2563.1)</f>
        <v>2563.1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IFERROR(__xludf.DUMMYFUNCTION("""COMPUTED_VALUE"""),2543.7)</f>
        <v>2543.7</v>
      </c>
      <c r="C55" s="16">
        <f>IFERROR(__xludf.DUMMYFUNCTION("""COMPUTED_VALUE"""),45820.6458333333)</f>
        <v>45820.6458333333</v>
      </c>
      <c r="D55" s="17">
        <f>IFERROR(__xludf.DUMMYFUNCTION("""COMPUTED_VALUE"""),2591.5)</f>
        <v>2591.5</v>
      </c>
      <c r="E55" s="16">
        <f>IFERROR(__xludf.DUMMYFUNCTION("""COMPUTED_VALUE"""),45820.6458333333)</f>
        <v>45820.6458333333</v>
      </c>
      <c r="F55" s="17">
        <f>IFERROR(__xludf.DUMMYFUNCTION("""COMPUTED_VALUE"""),955097)</f>
        <v>955097</v>
      </c>
      <c r="G55" s="16">
        <f>IFERROR(__xludf.DUMMYFUNCTION("""COMPUTED_VALUE"""),45820.6458333333)</f>
        <v>45820.6458333333</v>
      </c>
      <c r="H55" s="17">
        <f>IFERROR(__xludf.DUMMYFUNCTION("""COMPUTED_VALUE"""),2601.8)</f>
        <v>2601.8</v>
      </c>
      <c r="I55" s="16">
        <f>IFERROR(__xludf.DUMMYFUNCTION("""COMPUTED_VALUE"""),45820.6458333333)</f>
        <v>45820.6458333333</v>
      </c>
      <c r="J55" s="17">
        <f>IFERROR(__xludf.DUMMYFUNCTION("""COMPUTED_VALUE"""),2530)</f>
        <v>2530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IFERROR(__xludf.DUMMYFUNCTION("""COMPUTED_VALUE"""),2507.9)</f>
        <v>2507.9</v>
      </c>
      <c r="C56" s="16">
        <f>IFERROR(__xludf.DUMMYFUNCTION("""COMPUTED_VALUE"""),45821.6458333333)</f>
        <v>45821.6458333333</v>
      </c>
      <c r="D56" s="17">
        <f>IFERROR(__xludf.DUMMYFUNCTION("""COMPUTED_VALUE"""),2498)</f>
        <v>2498</v>
      </c>
      <c r="E56" s="16">
        <f>IFERROR(__xludf.DUMMYFUNCTION("""COMPUTED_VALUE"""),45821.6458333333)</f>
        <v>45821.6458333333</v>
      </c>
      <c r="F56" s="17">
        <f>IFERROR(__xludf.DUMMYFUNCTION("""COMPUTED_VALUE"""),695869)</f>
        <v>695869</v>
      </c>
      <c r="G56" s="16">
        <f>IFERROR(__xludf.DUMMYFUNCTION("""COMPUTED_VALUE"""),45821.6458333333)</f>
        <v>45821.6458333333</v>
      </c>
      <c r="H56" s="17">
        <f>IFERROR(__xludf.DUMMYFUNCTION("""COMPUTED_VALUE"""),2516)</f>
        <v>2516</v>
      </c>
      <c r="I56" s="16">
        <f>IFERROR(__xludf.DUMMYFUNCTION("""COMPUTED_VALUE"""),45821.6458333333)</f>
        <v>45821.6458333333</v>
      </c>
      <c r="J56" s="17">
        <f>IFERROR(__xludf.DUMMYFUNCTION("""COMPUTED_VALUE"""),2460)</f>
        <v>2460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IFERROR(__xludf.DUMMYFUNCTION("""COMPUTED_VALUE"""),2544)</f>
        <v>2544</v>
      </c>
      <c r="C57" s="16">
        <f>IFERROR(__xludf.DUMMYFUNCTION("""COMPUTED_VALUE"""),45824.6458333333)</f>
        <v>45824.6458333333</v>
      </c>
      <c r="D57" s="17">
        <f>IFERROR(__xludf.DUMMYFUNCTION("""COMPUTED_VALUE"""),2500)</f>
        <v>2500</v>
      </c>
      <c r="E57" s="16">
        <f>IFERROR(__xludf.DUMMYFUNCTION("""COMPUTED_VALUE"""),45824.6458333333)</f>
        <v>45824.6458333333</v>
      </c>
      <c r="F57" s="17">
        <f>IFERROR(__xludf.DUMMYFUNCTION("""COMPUTED_VALUE"""),956459)</f>
        <v>956459</v>
      </c>
      <c r="G57" s="16">
        <f>IFERROR(__xludf.DUMMYFUNCTION("""COMPUTED_VALUE"""),45824.6458333333)</f>
        <v>45824.6458333333</v>
      </c>
      <c r="H57" s="17">
        <f>IFERROR(__xludf.DUMMYFUNCTION("""COMPUTED_VALUE"""),2563.3)</f>
        <v>2563.3</v>
      </c>
      <c r="I57" s="16">
        <f>IFERROR(__xludf.DUMMYFUNCTION("""COMPUTED_VALUE"""),45824.6458333333)</f>
        <v>45824.6458333333</v>
      </c>
      <c r="J57" s="17">
        <f>IFERROR(__xludf.DUMMYFUNCTION("""COMPUTED_VALUE"""),2462)</f>
        <v>2462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IFERROR(__xludf.DUMMYFUNCTION("""COMPUTED_VALUE"""),2488.5)</f>
        <v>2488.5</v>
      </c>
      <c r="C58" s="16">
        <f>IFERROR(__xludf.DUMMYFUNCTION("""COMPUTED_VALUE"""),45825.6458333333)</f>
        <v>45825.6458333333</v>
      </c>
      <c r="D58" s="17">
        <f>IFERROR(__xludf.DUMMYFUNCTION("""COMPUTED_VALUE"""),2535)</f>
        <v>2535</v>
      </c>
      <c r="E58" s="16">
        <f>IFERROR(__xludf.DUMMYFUNCTION("""COMPUTED_VALUE"""),45825.6458333333)</f>
        <v>45825.6458333333</v>
      </c>
      <c r="F58" s="17">
        <f>IFERROR(__xludf.DUMMYFUNCTION("""COMPUTED_VALUE"""),703343)</f>
        <v>703343</v>
      </c>
      <c r="G58" s="16">
        <f>IFERROR(__xludf.DUMMYFUNCTION("""COMPUTED_VALUE"""),45825.6458333333)</f>
        <v>45825.6458333333</v>
      </c>
      <c r="H58" s="17">
        <f>IFERROR(__xludf.DUMMYFUNCTION("""COMPUTED_VALUE"""),2539.6)</f>
        <v>2539.6</v>
      </c>
      <c r="I58" s="16">
        <f>IFERROR(__xludf.DUMMYFUNCTION("""COMPUTED_VALUE"""),45825.6458333333)</f>
        <v>45825.6458333333</v>
      </c>
      <c r="J58" s="17">
        <f>IFERROR(__xludf.DUMMYFUNCTION("""COMPUTED_VALUE"""),2479)</f>
        <v>2479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IFERROR(__xludf.DUMMYFUNCTION("""COMPUTED_VALUE"""),2459.1)</f>
        <v>2459.1</v>
      </c>
      <c r="C59" s="16">
        <f>IFERROR(__xludf.DUMMYFUNCTION("""COMPUTED_VALUE"""),45826.6458333333)</f>
        <v>45826.6458333333</v>
      </c>
      <c r="D59" s="17">
        <f>IFERROR(__xludf.DUMMYFUNCTION("""COMPUTED_VALUE"""),2491.9)</f>
        <v>2491.9</v>
      </c>
      <c r="E59" s="16">
        <f>IFERROR(__xludf.DUMMYFUNCTION("""COMPUTED_VALUE"""),45826.6458333333)</f>
        <v>45826.6458333333</v>
      </c>
      <c r="F59" s="17">
        <f>IFERROR(__xludf.DUMMYFUNCTION("""COMPUTED_VALUE"""),667044)</f>
        <v>667044</v>
      </c>
      <c r="G59" s="16">
        <f>IFERROR(__xludf.DUMMYFUNCTION("""COMPUTED_VALUE"""),45826.6458333333)</f>
        <v>45826.6458333333</v>
      </c>
      <c r="H59" s="17">
        <f>IFERROR(__xludf.DUMMYFUNCTION("""COMPUTED_VALUE"""),2495.9)</f>
        <v>2495.9</v>
      </c>
      <c r="I59" s="16">
        <f>IFERROR(__xludf.DUMMYFUNCTION("""COMPUTED_VALUE"""),45826.6458333333)</f>
        <v>45826.6458333333</v>
      </c>
      <c r="J59" s="17">
        <f>IFERROR(__xludf.DUMMYFUNCTION("""COMPUTED_VALUE"""),2445.4)</f>
        <v>2445.4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IFERROR(__xludf.DUMMYFUNCTION("""COMPUTED_VALUE"""),2420.6)</f>
        <v>2420.6</v>
      </c>
      <c r="C60" s="16">
        <f>IFERROR(__xludf.DUMMYFUNCTION("""COMPUTED_VALUE"""),45827.6458333333)</f>
        <v>45827.6458333333</v>
      </c>
      <c r="D60" s="17">
        <f>IFERROR(__xludf.DUMMYFUNCTION("""COMPUTED_VALUE"""),2466.3)</f>
        <v>2466.3</v>
      </c>
      <c r="E60" s="16">
        <f>IFERROR(__xludf.DUMMYFUNCTION("""COMPUTED_VALUE"""),45827.6458333333)</f>
        <v>45827.6458333333</v>
      </c>
      <c r="F60" s="17">
        <f>IFERROR(__xludf.DUMMYFUNCTION("""COMPUTED_VALUE"""),688209)</f>
        <v>688209</v>
      </c>
      <c r="G60" s="16">
        <f>IFERROR(__xludf.DUMMYFUNCTION("""COMPUTED_VALUE"""),45827.6458333333)</f>
        <v>45827.6458333333</v>
      </c>
      <c r="H60" s="17">
        <f>IFERROR(__xludf.DUMMYFUNCTION("""COMPUTED_VALUE"""),2468.9)</f>
        <v>2468.9</v>
      </c>
      <c r="I60" s="16">
        <f>IFERROR(__xludf.DUMMYFUNCTION("""COMPUTED_VALUE"""),45827.6458333333)</f>
        <v>45827.6458333333</v>
      </c>
      <c r="J60" s="17">
        <f>IFERROR(__xludf.DUMMYFUNCTION("""COMPUTED_VALUE"""),2405.1)</f>
        <v>2405.1</v>
      </c>
      <c r="K60" s="3">
        <f t="shared" si="2"/>
        <v>0</v>
      </c>
      <c r="L60" s="3">
        <f t="shared" si="3"/>
        <v>2420.6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IFERROR(__xludf.DUMMYFUNCTION("""COMPUTED_VALUE"""),2448.4)</f>
        <v>2448.4</v>
      </c>
      <c r="C61" s="16">
        <f>IFERROR(__xludf.DUMMYFUNCTION("""COMPUTED_VALUE"""),45828.6458333333)</f>
        <v>45828.6458333333</v>
      </c>
      <c r="D61" s="17">
        <f>IFERROR(__xludf.DUMMYFUNCTION("""COMPUTED_VALUE"""),2428)</f>
        <v>2428</v>
      </c>
      <c r="E61" s="16">
        <f>IFERROR(__xludf.DUMMYFUNCTION("""COMPUTED_VALUE"""),45828.6458333333)</f>
        <v>45828.6458333333</v>
      </c>
      <c r="F61" s="17">
        <f>IFERROR(__xludf.DUMMYFUNCTION("""COMPUTED_VALUE"""),3002549)</f>
        <v>3002549</v>
      </c>
      <c r="G61" s="16">
        <f>IFERROR(__xludf.DUMMYFUNCTION("""COMPUTED_VALUE"""),45828.6458333333)</f>
        <v>45828.6458333333</v>
      </c>
      <c r="H61" s="17">
        <f>IFERROR(__xludf.DUMMYFUNCTION("""COMPUTED_VALUE"""),2461.3)</f>
        <v>2461.3</v>
      </c>
      <c r="I61" s="16">
        <f>IFERROR(__xludf.DUMMYFUNCTION("""COMPUTED_VALUE"""),45828.6458333333)</f>
        <v>45828.6458333333</v>
      </c>
      <c r="J61" s="17">
        <f>IFERROR(__xludf.DUMMYFUNCTION("""COMPUTED_VALUE"""),2415)</f>
        <v>2415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IFERROR(__xludf.DUMMYFUNCTION("""COMPUTED_VALUE"""),2472)</f>
        <v>2472</v>
      </c>
      <c r="C62" s="16">
        <f>IFERROR(__xludf.DUMMYFUNCTION("""COMPUTED_VALUE"""),45831.6458333333)</f>
        <v>45831.6458333333</v>
      </c>
      <c r="D62" s="17">
        <f>IFERROR(__xludf.DUMMYFUNCTION("""COMPUTED_VALUE"""),2438)</f>
        <v>2438</v>
      </c>
      <c r="E62" s="16">
        <f>IFERROR(__xludf.DUMMYFUNCTION("""COMPUTED_VALUE"""),45831.6458333333)</f>
        <v>45831.6458333333</v>
      </c>
      <c r="F62" s="17">
        <f>IFERROR(__xludf.DUMMYFUNCTION("""COMPUTED_VALUE"""),790535)</f>
        <v>790535</v>
      </c>
      <c r="G62" s="16">
        <f>IFERROR(__xludf.DUMMYFUNCTION("""COMPUTED_VALUE"""),45831.6458333333)</f>
        <v>45831.6458333333</v>
      </c>
      <c r="H62" s="17">
        <f>IFERROR(__xludf.DUMMYFUNCTION("""COMPUTED_VALUE"""),2492.6)</f>
        <v>2492.6</v>
      </c>
      <c r="I62" s="16">
        <f>IFERROR(__xludf.DUMMYFUNCTION("""COMPUTED_VALUE"""),45831.6458333333)</f>
        <v>45831.6458333333</v>
      </c>
      <c r="J62" s="17">
        <f>IFERROR(__xludf.DUMMYFUNCTION("""COMPUTED_VALUE"""),2421)</f>
        <v>2421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IFERROR(__xludf.DUMMYFUNCTION("""COMPUTED_VALUE"""),2505.6)</f>
        <v>2505.6</v>
      </c>
      <c r="C63" s="16">
        <f>IFERROR(__xludf.DUMMYFUNCTION("""COMPUTED_VALUE"""),45832.6458333333)</f>
        <v>45832.6458333333</v>
      </c>
      <c r="D63" s="17">
        <f>IFERROR(__xludf.DUMMYFUNCTION("""COMPUTED_VALUE"""),2504)</f>
        <v>2504</v>
      </c>
      <c r="E63" s="16">
        <f>IFERROR(__xludf.DUMMYFUNCTION("""COMPUTED_VALUE"""),45832.6458333333)</f>
        <v>45832.6458333333</v>
      </c>
      <c r="F63" s="17">
        <f>IFERROR(__xludf.DUMMYFUNCTION("""COMPUTED_VALUE"""),996405)</f>
        <v>996405</v>
      </c>
      <c r="G63" s="16">
        <f>IFERROR(__xludf.DUMMYFUNCTION("""COMPUTED_VALUE"""),45832.6458333333)</f>
        <v>45832.6458333333</v>
      </c>
      <c r="H63" s="17">
        <f>IFERROR(__xludf.DUMMYFUNCTION("""COMPUTED_VALUE"""),2544.6)</f>
        <v>2544.6</v>
      </c>
      <c r="I63" s="16">
        <f>IFERROR(__xludf.DUMMYFUNCTION("""COMPUTED_VALUE"""),45832.6458333333)</f>
        <v>45832.6458333333</v>
      </c>
      <c r="J63" s="17">
        <f>IFERROR(__xludf.DUMMYFUNCTION("""COMPUTED_VALUE"""),2500.2)</f>
        <v>2500.2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IFERROR(__xludf.DUMMYFUNCTION("""COMPUTED_VALUE"""),2527.2)</f>
        <v>2527.2</v>
      </c>
      <c r="C64" s="16">
        <f>IFERROR(__xludf.DUMMYFUNCTION("""COMPUTED_VALUE"""),45833.6458333333)</f>
        <v>45833.6458333333</v>
      </c>
      <c r="D64" s="17">
        <f>IFERROR(__xludf.DUMMYFUNCTION("""COMPUTED_VALUE"""),2519.9)</f>
        <v>2519.9</v>
      </c>
      <c r="E64" s="16">
        <f>IFERROR(__xludf.DUMMYFUNCTION("""COMPUTED_VALUE"""),45833.6458333333)</f>
        <v>45833.6458333333</v>
      </c>
      <c r="F64" s="17">
        <f>IFERROR(__xludf.DUMMYFUNCTION("""COMPUTED_VALUE"""),921346)</f>
        <v>921346</v>
      </c>
      <c r="G64" s="16">
        <f>IFERROR(__xludf.DUMMYFUNCTION("""COMPUTED_VALUE"""),45833.6458333333)</f>
        <v>45833.6458333333</v>
      </c>
      <c r="H64" s="17">
        <f>IFERROR(__xludf.DUMMYFUNCTION("""COMPUTED_VALUE"""),2541.6)</f>
        <v>2541.6</v>
      </c>
      <c r="I64" s="16">
        <f>IFERROR(__xludf.DUMMYFUNCTION("""COMPUTED_VALUE"""),45833.6458333333)</f>
        <v>45833.6458333333</v>
      </c>
      <c r="J64" s="17">
        <f>IFERROR(__xludf.DUMMYFUNCTION("""COMPUTED_VALUE"""),2512.1)</f>
        <v>2512.1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IFERROR(__xludf.DUMMYFUNCTION("""COMPUTED_VALUE"""),2586.2)</f>
        <v>2586.2</v>
      </c>
      <c r="C65" s="16">
        <f>IFERROR(__xludf.DUMMYFUNCTION("""COMPUTED_VALUE"""),45834.6458333333)</f>
        <v>45834.6458333333</v>
      </c>
      <c r="D65" s="17">
        <f>IFERROR(__xludf.DUMMYFUNCTION("""COMPUTED_VALUE"""),2535)</f>
        <v>2535</v>
      </c>
      <c r="E65" s="16">
        <f>IFERROR(__xludf.DUMMYFUNCTION("""COMPUTED_VALUE"""),45834.6458333333)</f>
        <v>45834.6458333333</v>
      </c>
      <c r="F65" s="17">
        <f>IFERROR(__xludf.DUMMYFUNCTION("""COMPUTED_VALUE"""),1339627)</f>
        <v>1339627</v>
      </c>
      <c r="G65" s="16">
        <f>IFERROR(__xludf.DUMMYFUNCTION("""COMPUTED_VALUE"""),45834.6458333333)</f>
        <v>45834.6458333333</v>
      </c>
      <c r="H65" s="17">
        <f>IFERROR(__xludf.DUMMYFUNCTION("""COMPUTED_VALUE"""),2593.6)</f>
        <v>2593.6</v>
      </c>
      <c r="I65" s="16">
        <f>IFERROR(__xludf.DUMMYFUNCTION("""COMPUTED_VALUE"""),45834.6458333333)</f>
        <v>45834.6458333333</v>
      </c>
      <c r="J65" s="17">
        <f>IFERROR(__xludf.DUMMYFUNCTION("""COMPUTED_VALUE"""),2522.2)</f>
        <v>2522.2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IFERROR(__xludf.DUMMYFUNCTION("""COMPUTED_VALUE"""),2646.3)</f>
        <v>2646.3</v>
      </c>
      <c r="C66" s="16">
        <f>IFERROR(__xludf.DUMMYFUNCTION("""COMPUTED_VALUE"""),45835.6458333333)</f>
        <v>45835.6458333333</v>
      </c>
      <c r="D66" s="17">
        <f>IFERROR(__xludf.DUMMYFUNCTION("""COMPUTED_VALUE"""),2587.7)</f>
        <v>2587.7</v>
      </c>
      <c r="E66" s="16">
        <f>IFERROR(__xludf.DUMMYFUNCTION("""COMPUTED_VALUE"""),45835.6458333333)</f>
        <v>45835.6458333333</v>
      </c>
      <c r="F66" s="17">
        <f>IFERROR(__xludf.DUMMYFUNCTION("""COMPUTED_VALUE"""),4049316)</f>
        <v>4049316</v>
      </c>
      <c r="G66" s="16">
        <f>IFERROR(__xludf.DUMMYFUNCTION("""COMPUTED_VALUE"""),45835.6458333333)</f>
        <v>45835.6458333333</v>
      </c>
      <c r="H66" s="17">
        <f>IFERROR(__xludf.DUMMYFUNCTION("""COMPUTED_VALUE"""),2681.6)</f>
        <v>2681.6</v>
      </c>
      <c r="I66" s="16">
        <f>IFERROR(__xludf.DUMMYFUNCTION("""COMPUTED_VALUE"""),45835.6458333333)</f>
        <v>45835.6458333333</v>
      </c>
      <c r="J66" s="17">
        <f>IFERROR(__xludf.DUMMYFUNCTION("""COMPUTED_VALUE"""),2582)</f>
        <v>2582</v>
      </c>
      <c r="K66" s="3">
        <f t="shared" si="2"/>
        <v>2646.3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IFERROR(__xludf.DUMMYFUNCTION("""COMPUTED_VALUE"""),2619.4)</f>
        <v>2619.4</v>
      </c>
      <c r="C67" s="16">
        <f>IFERROR(__xludf.DUMMYFUNCTION("""COMPUTED_VALUE"""),45838.6458333333)</f>
        <v>45838.6458333333</v>
      </c>
      <c r="D67" s="17">
        <f>IFERROR(__xludf.DUMMYFUNCTION("""COMPUTED_VALUE"""),2650)</f>
        <v>2650</v>
      </c>
      <c r="E67" s="16">
        <f>IFERROR(__xludf.DUMMYFUNCTION("""COMPUTED_VALUE"""),45838.6458333333)</f>
        <v>45838.6458333333</v>
      </c>
      <c r="F67" s="17">
        <f>IFERROR(__xludf.DUMMYFUNCTION("""COMPUTED_VALUE"""),694815)</f>
        <v>694815</v>
      </c>
      <c r="G67" s="16">
        <f>IFERROR(__xludf.DUMMYFUNCTION("""COMPUTED_VALUE"""),45838.6458333333)</f>
        <v>45838.6458333333</v>
      </c>
      <c r="H67" s="17">
        <f>IFERROR(__xludf.DUMMYFUNCTION("""COMPUTED_VALUE"""),2653.9)</f>
        <v>2653.9</v>
      </c>
      <c r="I67" s="16">
        <f>IFERROR(__xludf.DUMMYFUNCTION("""COMPUTED_VALUE"""),45838.6458333333)</f>
        <v>45838.6458333333</v>
      </c>
      <c r="J67" s="17">
        <f>IFERROR(__xludf.DUMMYFUNCTION("""COMPUTED_VALUE"""),2605.9)</f>
        <v>2605.9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IFERROR(__xludf.DUMMYFUNCTION("""COMPUTED_VALUE"""),2621.8)</f>
        <v>2621.8</v>
      </c>
      <c r="C68" s="16">
        <f>IFERROR(__xludf.DUMMYFUNCTION("""COMPUTED_VALUE"""),45839.6458333333)</f>
        <v>45839.6458333333</v>
      </c>
      <c r="D68" s="17">
        <f>IFERROR(__xludf.DUMMYFUNCTION("""COMPUTED_VALUE"""),2624.9)</f>
        <v>2624.9</v>
      </c>
      <c r="E68" s="16">
        <f>IFERROR(__xludf.DUMMYFUNCTION("""COMPUTED_VALUE"""),45839.6458333333)</f>
        <v>45839.6458333333</v>
      </c>
      <c r="F68" s="17">
        <f>IFERROR(__xludf.DUMMYFUNCTION("""COMPUTED_VALUE"""),729197)</f>
        <v>729197</v>
      </c>
      <c r="G68" s="16">
        <f>IFERROR(__xludf.DUMMYFUNCTION("""COMPUTED_VALUE"""),45839.6458333333)</f>
        <v>45839.6458333333</v>
      </c>
      <c r="H68" s="17">
        <f>IFERROR(__xludf.DUMMYFUNCTION("""COMPUTED_VALUE"""),2645)</f>
        <v>2645</v>
      </c>
      <c r="I68" s="16">
        <f>IFERROR(__xludf.DUMMYFUNCTION("""COMPUTED_VALUE"""),45839.6458333333)</f>
        <v>45839.6458333333</v>
      </c>
      <c r="J68" s="17">
        <f>IFERROR(__xludf.DUMMYFUNCTION("""COMPUTED_VALUE"""),2603)</f>
        <v>2603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IFERROR(__xludf.DUMMYFUNCTION("""COMPUTED_VALUE"""),2630.2)</f>
        <v>2630.2</v>
      </c>
      <c r="C69" s="16">
        <f>IFERROR(__xludf.DUMMYFUNCTION("""COMPUTED_VALUE"""),45840.6458333333)</f>
        <v>45840.6458333333</v>
      </c>
      <c r="D69" s="17">
        <f>IFERROR(__xludf.DUMMYFUNCTION("""COMPUTED_VALUE"""),2634)</f>
        <v>2634</v>
      </c>
      <c r="E69" s="16">
        <f>IFERROR(__xludf.DUMMYFUNCTION("""COMPUTED_VALUE"""),45840.6458333333)</f>
        <v>45840.6458333333</v>
      </c>
      <c r="F69" s="17">
        <f>IFERROR(__xludf.DUMMYFUNCTION("""COMPUTED_VALUE"""),621409)</f>
        <v>621409</v>
      </c>
      <c r="G69" s="16">
        <f>IFERROR(__xludf.DUMMYFUNCTION("""COMPUTED_VALUE"""),45840.6458333333)</f>
        <v>45840.6458333333</v>
      </c>
      <c r="H69" s="17">
        <f>IFERROR(__xludf.DUMMYFUNCTION("""COMPUTED_VALUE"""),2646)</f>
        <v>2646</v>
      </c>
      <c r="I69" s="16">
        <f>IFERROR(__xludf.DUMMYFUNCTION("""COMPUTED_VALUE"""),45840.6458333333)</f>
        <v>45840.6458333333</v>
      </c>
      <c r="J69" s="17">
        <f>IFERROR(__xludf.DUMMYFUNCTION("""COMPUTED_VALUE"""),2613.6)</f>
        <v>2613.6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IFERROR(__xludf.DUMMYFUNCTION("""COMPUTED_VALUE"""),2611.2)</f>
        <v>2611.2</v>
      </c>
      <c r="C70" s="16">
        <f>IFERROR(__xludf.DUMMYFUNCTION("""COMPUTED_VALUE"""),45841.6458333333)</f>
        <v>45841.6458333333</v>
      </c>
      <c r="D70" s="17">
        <f>IFERROR(__xludf.DUMMYFUNCTION("""COMPUTED_VALUE"""),2634)</f>
        <v>2634</v>
      </c>
      <c r="E70" s="16">
        <f>IFERROR(__xludf.DUMMYFUNCTION("""COMPUTED_VALUE"""),45841.6458333333)</f>
        <v>45841.6458333333</v>
      </c>
      <c r="F70" s="17">
        <f>IFERROR(__xludf.DUMMYFUNCTION("""COMPUTED_VALUE"""),502724)</f>
        <v>502724</v>
      </c>
      <c r="G70" s="16">
        <f>IFERROR(__xludf.DUMMYFUNCTION("""COMPUTED_VALUE"""),45841.6458333333)</f>
        <v>45841.6458333333</v>
      </c>
      <c r="H70" s="17">
        <f>IFERROR(__xludf.DUMMYFUNCTION("""COMPUTED_VALUE"""),2644)</f>
        <v>2644</v>
      </c>
      <c r="I70" s="16">
        <f>IFERROR(__xludf.DUMMYFUNCTION("""COMPUTED_VALUE"""),45841.6458333333)</f>
        <v>45841.6458333333</v>
      </c>
      <c r="J70" s="17">
        <f>IFERROR(__xludf.DUMMYFUNCTION("""COMPUTED_VALUE"""),2605.1)</f>
        <v>2605.1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IFERROR(__xludf.DUMMYFUNCTION("""COMPUTED_VALUE"""),2599.1)</f>
        <v>2599.1</v>
      </c>
      <c r="C71" s="16">
        <f>IFERROR(__xludf.DUMMYFUNCTION("""COMPUTED_VALUE"""),45842.6458333333)</f>
        <v>45842.6458333333</v>
      </c>
      <c r="D71" s="17">
        <f>IFERROR(__xludf.DUMMYFUNCTION("""COMPUTED_VALUE"""),2617)</f>
        <v>2617</v>
      </c>
      <c r="E71" s="16">
        <f>IFERROR(__xludf.DUMMYFUNCTION("""COMPUTED_VALUE"""),45842.6458333333)</f>
        <v>45842.6458333333</v>
      </c>
      <c r="F71" s="17">
        <f>IFERROR(__xludf.DUMMYFUNCTION("""COMPUTED_VALUE"""),370305)</f>
        <v>370305</v>
      </c>
      <c r="G71" s="16">
        <f>IFERROR(__xludf.DUMMYFUNCTION("""COMPUTED_VALUE"""),45842.6458333333)</f>
        <v>45842.6458333333</v>
      </c>
      <c r="H71" s="17">
        <f>IFERROR(__xludf.DUMMYFUNCTION("""COMPUTED_VALUE"""),2617)</f>
        <v>2617</v>
      </c>
      <c r="I71" s="16">
        <f>IFERROR(__xludf.DUMMYFUNCTION("""COMPUTED_VALUE"""),45842.6458333333)</f>
        <v>45842.6458333333</v>
      </c>
      <c r="J71" s="17">
        <f>IFERROR(__xludf.DUMMYFUNCTION("""COMPUTED_VALUE"""),2582.2)</f>
        <v>2582.2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IFERROR(__xludf.DUMMYFUNCTION("""COMPUTED_VALUE"""),2576.1)</f>
        <v>2576.1</v>
      </c>
      <c r="C72" s="16">
        <f>IFERROR(__xludf.DUMMYFUNCTION("""COMPUTED_VALUE"""),45845.6458333333)</f>
        <v>45845.6458333333</v>
      </c>
      <c r="D72" s="17">
        <f>IFERROR(__xludf.DUMMYFUNCTION("""COMPUTED_VALUE"""),2602)</f>
        <v>2602</v>
      </c>
      <c r="E72" s="16">
        <f>IFERROR(__xludf.DUMMYFUNCTION("""COMPUTED_VALUE"""),45845.6458333333)</f>
        <v>45845.6458333333</v>
      </c>
      <c r="F72" s="17">
        <f>IFERROR(__xludf.DUMMYFUNCTION("""COMPUTED_VALUE"""),412159)</f>
        <v>412159</v>
      </c>
      <c r="G72" s="16">
        <f>IFERROR(__xludf.DUMMYFUNCTION("""COMPUTED_VALUE"""),45845.6458333333)</f>
        <v>45845.6458333333</v>
      </c>
      <c r="H72" s="17">
        <f>IFERROR(__xludf.DUMMYFUNCTION("""COMPUTED_VALUE"""),2605.4)</f>
        <v>2605.4</v>
      </c>
      <c r="I72" s="16">
        <f>IFERROR(__xludf.DUMMYFUNCTION("""COMPUTED_VALUE"""),45845.6458333333)</f>
        <v>45845.6458333333</v>
      </c>
      <c r="J72" s="17">
        <f>IFERROR(__xludf.DUMMYFUNCTION("""COMPUTED_VALUE"""),2572)</f>
        <v>2572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IFERROR(__xludf.DUMMYFUNCTION("""COMPUTED_VALUE"""),2591.3)</f>
        <v>2591.3</v>
      </c>
      <c r="C73" s="16">
        <f>IFERROR(__xludf.DUMMYFUNCTION("""COMPUTED_VALUE"""),45846.6458333333)</f>
        <v>45846.6458333333</v>
      </c>
      <c r="D73" s="17">
        <f>IFERROR(__xludf.DUMMYFUNCTION("""COMPUTED_VALUE"""),2586)</f>
        <v>2586</v>
      </c>
      <c r="E73" s="16">
        <f>IFERROR(__xludf.DUMMYFUNCTION("""COMPUTED_VALUE"""),45846.6458333333)</f>
        <v>45846.6458333333</v>
      </c>
      <c r="F73" s="17">
        <f>IFERROR(__xludf.DUMMYFUNCTION("""COMPUTED_VALUE"""),357701)</f>
        <v>357701</v>
      </c>
      <c r="G73" s="16">
        <f>IFERROR(__xludf.DUMMYFUNCTION("""COMPUTED_VALUE"""),45846.6458333333)</f>
        <v>45846.6458333333</v>
      </c>
      <c r="H73" s="17">
        <f>IFERROR(__xludf.DUMMYFUNCTION("""COMPUTED_VALUE"""),2600)</f>
        <v>2600</v>
      </c>
      <c r="I73" s="16">
        <f>IFERROR(__xludf.DUMMYFUNCTION("""COMPUTED_VALUE"""),45846.6458333333)</f>
        <v>45846.6458333333</v>
      </c>
      <c r="J73" s="17">
        <f>IFERROR(__xludf.DUMMYFUNCTION("""COMPUTED_VALUE"""),2573)</f>
        <v>2573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IFERROR(__xludf.DUMMYFUNCTION("""COMPUTED_VALUE"""),2583)</f>
        <v>2583</v>
      </c>
      <c r="C74" s="16">
        <f>IFERROR(__xludf.DUMMYFUNCTION("""COMPUTED_VALUE"""),45847.6458333333)</f>
        <v>45847.6458333333</v>
      </c>
      <c r="D74" s="17">
        <f>IFERROR(__xludf.DUMMYFUNCTION("""COMPUTED_VALUE"""),2599)</f>
        <v>2599</v>
      </c>
      <c r="E74" s="16">
        <f>IFERROR(__xludf.DUMMYFUNCTION("""COMPUTED_VALUE"""),45847.6458333333)</f>
        <v>45847.6458333333</v>
      </c>
      <c r="F74" s="17">
        <f>IFERROR(__xludf.DUMMYFUNCTION("""COMPUTED_VALUE"""),396880)</f>
        <v>396880</v>
      </c>
      <c r="G74" s="16">
        <f>IFERROR(__xludf.DUMMYFUNCTION("""COMPUTED_VALUE"""),45847.6458333333)</f>
        <v>45847.6458333333</v>
      </c>
      <c r="H74" s="17">
        <f>IFERROR(__xludf.DUMMYFUNCTION("""COMPUTED_VALUE"""),2609.9)</f>
        <v>2609.9</v>
      </c>
      <c r="I74" s="16">
        <f>IFERROR(__xludf.DUMMYFUNCTION("""COMPUTED_VALUE"""),45847.6458333333)</f>
        <v>45847.6458333333</v>
      </c>
      <c r="J74" s="17">
        <f>IFERROR(__xludf.DUMMYFUNCTION("""COMPUTED_VALUE"""),2570)</f>
        <v>2570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IFERROR(__xludf.DUMMYFUNCTION("""COMPUTED_VALUE"""),2581)</f>
        <v>2581</v>
      </c>
      <c r="C75" s="16">
        <f>IFERROR(__xludf.DUMMYFUNCTION("""COMPUTED_VALUE"""),45848.6458333333)</f>
        <v>45848.6458333333</v>
      </c>
      <c r="D75" s="17">
        <f>IFERROR(__xludf.DUMMYFUNCTION("""COMPUTED_VALUE"""),2591)</f>
        <v>2591</v>
      </c>
      <c r="E75" s="16">
        <f>IFERROR(__xludf.DUMMYFUNCTION("""COMPUTED_VALUE"""),45848.6458333333)</f>
        <v>45848.6458333333</v>
      </c>
      <c r="F75" s="17">
        <f>IFERROR(__xludf.DUMMYFUNCTION("""COMPUTED_VALUE"""),306565)</f>
        <v>306565</v>
      </c>
      <c r="G75" s="16">
        <f>IFERROR(__xludf.DUMMYFUNCTION("""COMPUTED_VALUE"""),45848.6458333333)</f>
        <v>45848.6458333333</v>
      </c>
      <c r="H75" s="17">
        <f>IFERROR(__xludf.DUMMYFUNCTION("""COMPUTED_VALUE"""),2604)</f>
        <v>2604</v>
      </c>
      <c r="I75" s="16">
        <f>IFERROR(__xludf.DUMMYFUNCTION("""COMPUTED_VALUE"""),45848.6458333333)</f>
        <v>45848.6458333333</v>
      </c>
      <c r="J75" s="17">
        <f>IFERROR(__xludf.DUMMYFUNCTION("""COMPUTED_VALUE"""),2575)</f>
        <v>2575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IFERROR(__xludf.DUMMYFUNCTION("""COMPUTED_VALUE"""),2558.7)</f>
        <v>2558.7</v>
      </c>
      <c r="C76" s="16">
        <f>IFERROR(__xludf.DUMMYFUNCTION("""COMPUTED_VALUE"""),45849.6458333333)</f>
        <v>45849.6458333333</v>
      </c>
      <c r="D76" s="17">
        <f>IFERROR(__xludf.DUMMYFUNCTION("""COMPUTED_VALUE"""),2575)</f>
        <v>2575</v>
      </c>
      <c r="E76" s="16">
        <f>IFERROR(__xludf.DUMMYFUNCTION("""COMPUTED_VALUE"""),45849.6458333333)</f>
        <v>45849.6458333333</v>
      </c>
      <c r="F76" s="17">
        <f>IFERROR(__xludf.DUMMYFUNCTION("""COMPUTED_VALUE"""),390645)</f>
        <v>390645</v>
      </c>
      <c r="G76" s="16">
        <f>IFERROR(__xludf.DUMMYFUNCTION("""COMPUTED_VALUE"""),45849.6458333333)</f>
        <v>45849.6458333333</v>
      </c>
      <c r="H76" s="17">
        <f>IFERROR(__xludf.DUMMYFUNCTION("""COMPUTED_VALUE"""),2591.9)</f>
        <v>2591.9</v>
      </c>
      <c r="I76" s="16">
        <f>IFERROR(__xludf.DUMMYFUNCTION("""COMPUTED_VALUE"""),45849.6458333333)</f>
        <v>45849.6458333333</v>
      </c>
      <c r="J76" s="17">
        <f>IFERROR(__xludf.DUMMYFUNCTION("""COMPUTED_VALUE"""),2551.9)</f>
        <v>2551.9</v>
      </c>
      <c r="K76" s="3">
        <f t="shared" si="2"/>
        <v>0</v>
      </c>
      <c r="L76" s="3">
        <f t="shared" si="3"/>
        <v>2558.7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IFERROR(__xludf.DUMMYFUNCTION("""COMPUTED_VALUE"""),2581.3)</f>
        <v>2581.3</v>
      </c>
      <c r="C77" s="16">
        <f>IFERROR(__xludf.DUMMYFUNCTION("""COMPUTED_VALUE"""),45852.6458333333)</f>
        <v>45852.6458333333</v>
      </c>
      <c r="D77" s="17">
        <f>IFERROR(__xludf.DUMMYFUNCTION("""COMPUTED_VALUE"""),2555)</f>
        <v>2555</v>
      </c>
      <c r="E77" s="16">
        <f>IFERROR(__xludf.DUMMYFUNCTION("""COMPUTED_VALUE"""),45852.6458333333)</f>
        <v>45852.6458333333</v>
      </c>
      <c r="F77" s="17">
        <f>IFERROR(__xludf.DUMMYFUNCTION("""COMPUTED_VALUE"""),536585)</f>
        <v>536585</v>
      </c>
      <c r="G77" s="16">
        <f>IFERROR(__xludf.DUMMYFUNCTION("""COMPUTED_VALUE"""),45852.6458333333)</f>
        <v>45852.6458333333</v>
      </c>
      <c r="H77" s="17">
        <f>IFERROR(__xludf.DUMMYFUNCTION("""COMPUTED_VALUE"""),2604.8)</f>
        <v>2604.8</v>
      </c>
      <c r="I77" s="16">
        <f>IFERROR(__xludf.DUMMYFUNCTION("""COMPUTED_VALUE"""),45852.6458333333)</f>
        <v>45852.6458333333</v>
      </c>
      <c r="J77" s="17">
        <f>IFERROR(__xludf.DUMMYFUNCTION("""COMPUTED_VALUE"""),2543.5)</f>
        <v>2543.5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IFERROR(__xludf.DUMMYFUNCTION("""COMPUTED_VALUE"""),2598.2)</f>
        <v>2598.2</v>
      </c>
      <c r="C78" s="16">
        <f>IFERROR(__xludf.DUMMYFUNCTION("""COMPUTED_VALUE"""),45853.6458333333)</f>
        <v>45853.6458333333</v>
      </c>
      <c r="D78" s="17">
        <f>IFERROR(__xludf.DUMMYFUNCTION("""COMPUTED_VALUE"""),2588)</f>
        <v>2588</v>
      </c>
      <c r="E78" s="16">
        <f>IFERROR(__xludf.DUMMYFUNCTION("""COMPUTED_VALUE"""),45853.6458333333)</f>
        <v>45853.6458333333</v>
      </c>
      <c r="F78" s="17">
        <f>IFERROR(__xludf.DUMMYFUNCTION("""COMPUTED_VALUE"""),379425)</f>
        <v>379425</v>
      </c>
      <c r="G78" s="16">
        <f>IFERROR(__xludf.DUMMYFUNCTION("""COMPUTED_VALUE"""),45853.6458333333)</f>
        <v>45853.6458333333</v>
      </c>
      <c r="H78" s="17">
        <f>IFERROR(__xludf.DUMMYFUNCTION("""COMPUTED_VALUE"""),2606.9)</f>
        <v>2606.9</v>
      </c>
      <c r="I78" s="16">
        <f>IFERROR(__xludf.DUMMYFUNCTION("""COMPUTED_VALUE"""),45853.6458333333)</f>
        <v>45853.6458333333</v>
      </c>
      <c r="J78" s="17">
        <f>IFERROR(__xludf.DUMMYFUNCTION("""COMPUTED_VALUE"""),2576)</f>
        <v>2576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IFERROR(__xludf.DUMMYFUNCTION("""COMPUTED_VALUE"""),2608.5)</f>
        <v>2608.5</v>
      </c>
      <c r="C79" s="16">
        <f>IFERROR(__xludf.DUMMYFUNCTION("""COMPUTED_VALUE"""),45854.6458333333)</f>
        <v>45854.6458333333</v>
      </c>
      <c r="D79" s="17">
        <f>IFERROR(__xludf.DUMMYFUNCTION("""COMPUTED_VALUE"""),2602.5)</f>
        <v>2602.5</v>
      </c>
      <c r="E79" s="16">
        <f>IFERROR(__xludf.DUMMYFUNCTION("""COMPUTED_VALUE"""),45854.6458333333)</f>
        <v>45854.6458333333</v>
      </c>
      <c r="F79" s="17">
        <f>IFERROR(__xludf.DUMMYFUNCTION("""COMPUTED_VALUE"""),686644)</f>
        <v>686644</v>
      </c>
      <c r="G79" s="16">
        <f>IFERROR(__xludf.DUMMYFUNCTION("""COMPUTED_VALUE"""),45854.6458333333)</f>
        <v>45854.6458333333</v>
      </c>
      <c r="H79" s="17">
        <f>IFERROR(__xludf.DUMMYFUNCTION("""COMPUTED_VALUE"""),2619.5)</f>
        <v>2619.5</v>
      </c>
      <c r="I79" s="16">
        <f>IFERROR(__xludf.DUMMYFUNCTION("""COMPUTED_VALUE"""),45854.6458333333)</f>
        <v>45854.6458333333</v>
      </c>
      <c r="J79" s="17">
        <f>IFERROR(__xludf.DUMMYFUNCTION("""COMPUTED_VALUE"""),2595.5)</f>
        <v>2595.5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IFERROR(__xludf.DUMMYFUNCTION("""COMPUTED_VALUE"""),2616.6)</f>
        <v>2616.6</v>
      </c>
      <c r="C80" s="16">
        <f>IFERROR(__xludf.DUMMYFUNCTION("""COMPUTED_VALUE"""),45855.6458333333)</f>
        <v>45855.6458333333</v>
      </c>
      <c r="D80" s="17">
        <f>IFERROR(__xludf.DUMMYFUNCTION("""COMPUTED_VALUE"""),2612)</f>
        <v>2612</v>
      </c>
      <c r="E80" s="16">
        <f>IFERROR(__xludf.DUMMYFUNCTION("""COMPUTED_VALUE"""),45855.6458333333)</f>
        <v>45855.6458333333</v>
      </c>
      <c r="F80" s="17">
        <f>IFERROR(__xludf.DUMMYFUNCTION("""COMPUTED_VALUE"""),785771)</f>
        <v>785771</v>
      </c>
      <c r="G80" s="16">
        <f>IFERROR(__xludf.DUMMYFUNCTION("""COMPUTED_VALUE"""),45855.6458333333)</f>
        <v>45855.6458333333</v>
      </c>
      <c r="H80" s="17">
        <f>IFERROR(__xludf.DUMMYFUNCTION("""COMPUTED_VALUE"""),2654.5)</f>
        <v>2654.5</v>
      </c>
      <c r="I80" s="16">
        <f>IFERROR(__xludf.DUMMYFUNCTION("""COMPUTED_VALUE"""),45855.6458333333)</f>
        <v>45855.6458333333</v>
      </c>
      <c r="J80" s="17">
        <f>IFERROR(__xludf.DUMMYFUNCTION("""COMPUTED_VALUE"""),2605.3)</f>
        <v>2605.3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IFERROR(__xludf.DUMMYFUNCTION("""COMPUTED_VALUE"""),2596.1)</f>
        <v>2596.1</v>
      </c>
      <c r="C81" s="16">
        <f>IFERROR(__xludf.DUMMYFUNCTION("""COMPUTED_VALUE"""),45856.6458333333)</f>
        <v>45856.6458333333</v>
      </c>
      <c r="D81" s="17">
        <f>IFERROR(__xludf.DUMMYFUNCTION("""COMPUTED_VALUE"""),2612)</f>
        <v>2612</v>
      </c>
      <c r="E81" s="16">
        <f>IFERROR(__xludf.DUMMYFUNCTION("""COMPUTED_VALUE"""),45856.6458333333)</f>
        <v>45856.6458333333</v>
      </c>
      <c r="F81" s="17">
        <f>IFERROR(__xludf.DUMMYFUNCTION("""COMPUTED_VALUE"""),479942)</f>
        <v>479942</v>
      </c>
      <c r="G81" s="16">
        <f>IFERROR(__xludf.DUMMYFUNCTION("""COMPUTED_VALUE"""),45856.6458333333)</f>
        <v>45856.6458333333</v>
      </c>
      <c r="H81" s="17">
        <f>IFERROR(__xludf.DUMMYFUNCTION("""COMPUTED_VALUE"""),2626.7)</f>
        <v>2626.7</v>
      </c>
      <c r="I81" s="16">
        <f>IFERROR(__xludf.DUMMYFUNCTION("""COMPUTED_VALUE"""),45856.6458333333)</f>
        <v>45856.6458333333</v>
      </c>
      <c r="J81" s="17">
        <f>IFERROR(__xludf.DUMMYFUNCTION("""COMPUTED_VALUE"""),2584.2)</f>
        <v>2584.2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IFERROR(__xludf.DUMMYFUNCTION("""COMPUTED_VALUE"""),2619.5)</f>
        <v>2619.5</v>
      </c>
      <c r="C82" s="16">
        <f>IFERROR(__xludf.DUMMYFUNCTION("""COMPUTED_VALUE"""),45859.6458333333)</f>
        <v>45859.6458333333</v>
      </c>
      <c r="D82" s="17">
        <f>IFERROR(__xludf.DUMMYFUNCTION("""COMPUTED_VALUE"""),2596.3)</f>
        <v>2596.3</v>
      </c>
      <c r="E82" s="16">
        <f>IFERROR(__xludf.DUMMYFUNCTION("""COMPUTED_VALUE"""),45859.6458333333)</f>
        <v>45859.6458333333</v>
      </c>
      <c r="F82" s="17">
        <f>IFERROR(__xludf.DUMMYFUNCTION("""COMPUTED_VALUE"""),369782)</f>
        <v>369782</v>
      </c>
      <c r="G82" s="16">
        <f>IFERROR(__xludf.DUMMYFUNCTION("""COMPUTED_VALUE"""),45859.6458333333)</f>
        <v>45859.6458333333</v>
      </c>
      <c r="H82" s="17">
        <f>IFERROR(__xludf.DUMMYFUNCTION("""COMPUTED_VALUE"""),2624.9)</f>
        <v>2624.9</v>
      </c>
      <c r="I82" s="16">
        <f>IFERROR(__xludf.DUMMYFUNCTION("""COMPUTED_VALUE"""),45859.6458333333)</f>
        <v>45859.6458333333</v>
      </c>
      <c r="J82" s="17">
        <f>IFERROR(__xludf.DUMMYFUNCTION("""COMPUTED_VALUE"""),2585)</f>
        <v>2585</v>
      </c>
      <c r="K82" s="3">
        <f t="shared" si="2"/>
        <v>2619.5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IFERROR(__xludf.DUMMYFUNCTION("""COMPUTED_VALUE"""),2587.8)</f>
        <v>2587.8</v>
      </c>
      <c r="C83" s="16">
        <f>IFERROR(__xludf.DUMMYFUNCTION("""COMPUTED_VALUE"""),45860.6458333333)</f>
        <v>45860.6458333333</v>
      </c>
      <c r="D83" s="17">
        <f>IFERROR(__xludf.DUMMYFUNCTION("""COMPUTED_VALUE"""),2626)</f>
        <v>2626</v>
      </c>
      <c r="E83" s="16">
        <f>IFERROR(__xludf.DUMMYFUNCTION("""COMPUTED_VALUE"""),45860.6458333333)</f>
        <v>45860.6458333333</v>
      </c>
      <c r="F83" s="17">
        <f>IFERROR(__xludf.DUMMYFUNCTION("""COMPUTED_VALUE"""),387055)</f>
        <v>387055</v>
      </c>
      <c r="G83" s="16">
        <f>IFERROR(__xludf.DUMMYFUNCTION("""COMPUTED_VALUE"""),45860.6458333333)</f>
        <v>45860.6458333333</v>
      </c>
      <c r="H83" s="17">
        <f>IFERROR(__xludf.DUMMYFUNCTION("""COMPUTED_VALUE"""),2630)</f>
        <v>2630</v>
      </c>
      <c r="I83" s="16">
        <f>IFERROR(__xludf.DUMMYFUNCTION("""COMPUTED_VALUE"""),45860.6458333333)</f>
        <v>45860.6458333333</v>
      </c>
      <c r="J83" s="17">
        <f>IFERROR(__xludf.DUMMYFUNCTION("""COMPUTED_VALUE"""),2581.6)</f>
        <v>2581.6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IFERROR(__xludf.DUMMYFUNCTION("""COMPUTED_VALUE"""),2614.5)</f>
        <v>2614.5</v>
      </c>
      <c r="C84" s="16">
        <f>IFERROR(__xludf.DUMMYFUNCTION("""COMPUTED_VALUE"""),45861.6458333333)</f>
        <v>45861.6458333333</v>
      </c>
      <c r="D84" s="17">
        <f>IFERROR(__xludf.DUMMYFUNCTION("""COMPUTED_VALUE"""),2600.7)</f>
        <v>2600.7</v>
      </c>
      <c r="E84" s="16">
        <f>IFERROR(__xludf.DUMMYFUNCTION("""COMPUTED_VALUE"""),45861.6458333333)</f>
        <v>45861.6458333333</v>
      </c>
      <c r="F84" s="17">
        <f>IFERROR(__xludf.DUMMYFUNCTION("""COMPUTED_VALUE"""),316424)</f>
        <v>316424</v>
      </c>
      <c r="G84" s="16">
        <f>IFERROR(__xludf.DUMMYFUNCTION("""COMPUTED_VALUE"""),45861.6458333333)</f>
        <v>45861.6458333333</v>
      </c>
      <c r="H84" s="17">
        <f>IFERROR(__xludf.DUMMYFUNCTION("""COMPUTED_VALUE"""),2625.9)</f>
        <v>2625.9</v>
      </c>
      <c r="I84" s="16">
        <f>IFERROR(__xludf.DUMMYFUNCTION("""COMPUTED_VALUE"""),45861.6458333333)</f>
        <v>45861.6458333333</v>
      </c>
      <c r="J84" s="17">
        <f>IFERROR(__xludf.DUMMYFUNCTION("""COMPUTED_VALUE"""),2593.5)</f>
        <v>2593.5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IFERROR(__xludf.DUMMYFUNCTION("""COMPUTED_VALUE"""),2608.4)</f>
        <v>2608.4</v>
      </c>
      <c r="C85" s="16">
        <f>IFERROR(__xludf.DUMMYFUNCTION("""COMPUTED_VALUE"""),45862.6458333333)</f>
        <v>45862.6458333333</v>
      </c>
      <c r="D85" s="17">
        <f>IFERROR(__xludf.DUMMYFUNCTION("""COMPUTED_VALUE"""),2615.4)</f>
        <v>2615.4</v>
      </c>
      <c r="E85" s="16">
        <f>IFERROR(__xludf.DUMMYFUNCTION("""COMPUTED_VALUE"""),45862.6458333333)</f>
        <v>45862.6458333333</v>
      </c>
      <c r="F85" s="17">
        <f>IFERROR(__xludf.DUMMYFUNCTION("""COMPUTED_VALUE"""),253782)</f>
        <v>253782</v>
      </c>
      <c r="G85" s="16">
        <f>IFERROR(__xludf.DUMMYFUNCTION("""COMPUTED_VALUE"""),45862.6458333333)</f>
        <v>45862.6458333333</v>
      </c>
      <c r="H85" s="17">
        <f>IFERROR(__xludf.DUMMYFUNCTION("""COMPUTED_VALUE"""),2624.2)</f>
        <v>2624.2</v>
      </c>
      <c r="I85" s="16">
        <f>IFERROR(__xludf.DUMMYFUNCTION("""COMPUTED_VALUE"""),45862.6458333333)</f>
        <v>45862.6458333333</v>
      </c>
      <c r="J85" s="17">
        <f>IFERROR(__xludf.DUMMYFUNCTION("""COMPUTED_VALUE"""),2595)</f>
        <v>2595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IFERROR(__xludf.DUMMYFUNCTION("""COMPUTED_VALUE"""),2550.1)</f>
        <v>2550.1</v>
      </c>
      <c r="C86" s="16">
        <f>IFERROR(__xludf.DUMMYFUNCTION("""COMPUTED_VALUE"""),45863.6458333333)</f>
        <v>45863.6458333333</v>
      </c>
      <c r="D86" s="17">
        <f>IFERROR(__xludf.DUMMYFUNCTION("""COMPUTED_VALUE"""),2605)</f>
        <v>2605</v>
      </c>
      <c r="E86" s="16">
        <f>IFERROR(__xludf.DUMMYFUNCTION("""COMPUTED_VALUE"""),45863.6458333333)</f>
        <v>45863.6458333333</v>
      </c>
      <c r="F86" s="17">
        <f>IFERROR(__xludf.DUMMYFUNCTION("""COMPUTED_VALUE"""),424612)</f>
        <v>424612</v>
      </c>
      <c r="G86" s="16">
        <f>IFERROR(__xludf.DUMMYFUNCTION("""COMPUTED_VALUE"""),45863.6458333333)</f>
        <v>45863.6458333333</v>
      </c>
      <c r="H86" s="17">
        <f>IFERROR(__xludf.DUMMYFUNCTION("""COMPUTED_VALUE"""),2617)</f>
        <v>2617</v>
      </c>
      <c r="I86" s="16">
        <f>IFERROR(__xludf.DUMMYFUNCTION("""COMPUTED_VALUE"""),45863.6458333333)</f>
        <v>45863.6458333333</v>
      </c>
      <c r="J86" s="17">
        <f>IFERROR(__xludf.DUMMYFUNCTION("""COMPUTED_VALUE"""),2544.1)</f>
        <v>2544.1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IFERROR(__xludf.DUMMYFUNCTION("""COMPUTED_VALUE"""),2522.3)</f>
        <v>2522.3</v>
      </c>
      <c r="C87" s="16">
        <f>IFERROR(__xludf.DUMMYFUNCTION("""COMPUTED_VALUE"""),45866.6458333333)</f>
        <v>45866.6458333333</v>
      </c>
      <c r="D87" s="17">
        <f>IFERROR(__xludf.DUMMYFUNCTION("""COMPUTED_VALUE"""),2549)</f>
        <v>2549</v>
      </c>
      <c r="E87" s="16">
        <f>IFERROR(__xludf.DUMMYFUNCTION("""COMPUTED_VALUE"""),45866.6458333333)</f>
        <v>45866.6458333333</v>
      </c>
      <c r="F87" s="17">
        <f>IFERROR(__xludf.DUMMYFUNCTION("""COMPUTED_VALUE"""),428409)</f>
        <v>428409</v>
      </c>
      <c r="G87" s="16">
        <f>IFERROR(__xludf.DUMMYFUNCTION("""COMPUTED_VALUE"""),45866.6458333333)</f>
        <v>45866.6458333333</v>
      </c>
      <c r="H87" s="17">
        <f>IFERROR(__xludf.DUMMYFUNCTION("""COMPUTED_VALUE"""),2585)</f>
        <v>2585</v>
      </c>
      <c r="I87" s="16">
        <f>IFERROR(__xludf.DUMMYFUNCTION("""COMPUTED_VALUE"""),45866.6458333333)</f>
        <v>45866.6458333333</v>
      </c>
      <c r="J87" s="17">
        <f>IFERROR(__xludf.DUMMYFUNCTION("""COMPUTED_VALUE"""),2512.6)</f>
        <v>2512.6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IFERROR(__xludf.DUMMYFUNCTION("""COMPUTED_VALUE"""),2547.9)</f>
        <v>2547.9</v>
      </c>
      <c r="C88" s="16">
        <f>IFERROR(__xludf.DUMMYFUNCTION("""COMPUTED_VALUE"""),45867.6458333333)</f>
        <v>45867.6458333333</v>
      </c>
      <c r="D88" s="17">
        <f>IFERROR(__xludf.DUMMYFUNCTION("""COMPUTED_VALUE"""),2529)</f>
        <v>2529</v>
      </c>
      <c r="E88" s="16">
        <f>IFERROR(__xludf.DUMMYFUNCTION("""COMPUTED_VALUE"""),45867.6458333333)</f>
        <v>45867.6458333333</v>
      </c>
      <c r="F88" s="17">
        <f>IFERROR(__xludf.DUMMYFUNCTION("""COMPUTED_VALUE"""),424781)</f>
        <v>424781</v>
      </c>
      <c r="G88" s="16">
        <f>IFERROR(__xludf.DUMMYFUNCTION("""COMPUTED_VALUE"""),45867.6458333333)</f>
        <v>45867.6458333333</v>
      </c>
      <c r="H88" s="17">
        <f>IFERROR(__xludf.DUMMYFUNCTION("""COMPUTED_VALUE"""),2557.4)</f>
        <v>2557.4</v>
      </c>
      <c r="I88" s="16">
        <f>IFERROR(__xludf.DUMMYFUNCTION("""COMPUTED_VALUE"""),45867.6458333333)</f>
        <v>45867.6458333333</v>
      </c>
      <c r="J88" s="17">
        <f>IFERROR(__xludf.DUMMYFUNCTION("""COMPUTED_VALUE"""),2507.5)</f>
        <v>2507.5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IFERROR(__xludf.DUMMYFUNCTION("""COMPUTED_VALUE"""),2532.9)</f>
        <v>2532.9</v>
      </c>
      <c r="C89" s="16">
        <f>IFERROR(__xludf.DUMMYFUNCTION("""COMPUTED_VALUE"""),45868.6458333333)</f>
        <v>45868.6458333333</v>
      </c>
      <c r="D89" s="17">
        <f>IFERROR(__xludf.DUMMYFUNCTION("""COMPUTED_VALUE"""),2547.9)</f>
        <v>2547.9</v>
      </c>
      <c r="E89" s="16">
        <f>IFERROR(__xludf.DUMMYFUNCTION("""COMPUTED_VALUE"""),45868.6458333333)</f>
        <v>45868.6458333333</v>
      </c>
      <c r="F89" s="17">
        <f>IFERROR(__xludf.DUMMYFUNCTION("""COMPUTED_VALUE"""),262063)</f>
        <v>262063</v>
      </c>
      <c r="G89" s="16">
        <f>IFERROR(__xludf.DUMMYFUNCTION("""COMPUTED_VALUE"""),45868.6458333333)</f>
        <v>45868.6458333333</v>
      </c>
      <c r="H89" s="17">
        <f>IFERROR(__xludf.DUMMYFUNCTION("""COMPUTED_VALUE"""),2552.6)</f>
        <v>2552.6</v>
      </c>
      <c r="I89" s="16">
        <f>IFERROR(__xludf.DUMMYFUNCTION("""COMPUTED_VALUE"""),45868.6458333333)</f>
        <v>45868.6458333333</v>
      </c>
      <c r="J89" s="17">
        <f>IFERROR(__xludf.DUMMYFUNCTION("""COMPUTED_VALUE"""),2525)</f>
        <v>2525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IFERROR(__xludf.DUMMYFUNCTION("""COMPUTED_VALUE"""),2430.7)</f>
        <v>2430.7</v>
      </c>
      <c r="C90" s="16">
        <f>IFERROR(__xludf.DUMMYFUNCTION("""COMPUTED_VALUE"""),45869.6458333333)</f>
        <v>45869.6458333333</v>
      </c>
      <c r="D90" s="17">
        <f>IFERROR(__xludf.DUMMYFUNCTION("""COMPUTED_VALUE"""),2509.9)</f>
        <v>2509.9</v>
      </c>
      <c r="E90" s="16">
        <f>IFERROR(__xludf.DUMMYFUNCTION("""COMPUTED_VALUE"""),45869.6458333333)</f>
        <v>45869.6458333333</v>
      </c>
      <c r="F90" s="17">
        <f>IFERROR(__xludf.DUMMYFUNCTION("""COMPUTED_VALUE"""),1457616)</f>
        <v>1457616</v>
      </c>
      <c r="G90" s="16">
        <f>IFERROR(__xludf.DUMMYFUNCTION("""COMPUTED_VALUE"""),45869.6458333333)</f>
        <v>45869.6458333333</v>
      </c>
      <c r="H90" s="17">
        <f>IFERROR(__xludf.DUMMYFUNCTION("""COMPUTED_VALUE"""),2520)</f>
        <v>2520</v>
      </c>
      <c r="I90" s="16">
        <f>IFERROR(__xludf.DUMMYFUNCTION("""COMPUTED_VALUE"""),45869.6458333333)</f>
        <v>45869.6458333333</v>
      </c>
      <c r="J90" s="17">
        <f>IFERROR(__xludf.DUMMYFUNCTION("""COMPUTED_VALUE"""),2422.6)</f>
        <v>2422.6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IFERROR(__xludf.DUMMYFUNCTION("""COMPUTED_VALUE"""),2350.9)</f>
        <v>2350.9</v>
      </c>
      <c r="C91" s="16">
        <f>IFERROR(__xludf.DUMMYFUNCTION("""COMPUTED_VALUE"""),45870.6458333333)</f>
        <v>45870.6458333333</v>
      </c>
      <c r="D91" s="17">
        <f>IFERROR(__xludf.DUMMYFUNCTION("""COMPUTED_VALUE"""),2425)</f>
        <v>2425</v>
      </c>
      <c r="E91" s="16">
        <f>IFERROR(__xludf.DUMMYFUNCTION("""COMPUTED_VALUE"""),45870.6458333333)</f>
        <v>45870.6458333333</v>
      </c>
      <c r="F91" s="17">
        <f>IFERROR(__xludf.DUMMYFUNCTION("""COMPUTED_VALUE"""),976341)</f>
        <v>976341</v>
      </c>
      <c r="G91" s="16">
        <f>IFERROR(__xludf.DUMMYFUNCTION("""COMPUTED_VALUE"""),45870.6458333333)</f>
        <v>45870.6458333333</v>
      </c>
      <c r="H91" s="17">
        <f>IFERROR(__xludf.DUMMYFUNCTION("""COMPUTED_VALUE"""),2444.9)</f>
        <v>2444.9</v>
      </c>
      <c r="I91" s="16">
        <f>IFERROR(__xludf.DUMMYFUNCTION("""COMPUTED_VALUE"""),45870.6458333333)</f>
        <v>45870.6458333333</v>
      </c>
      <c r="J91" s="17">
        <f>IFERROR(__xludf.DUMMYFUNCTION("""COMPUTED_VALUE"""),2333)</f>
        <v>2333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IFERROR(__xludf.DUMMYFUNCTION("""COMPUTED_VALUE"""),2363.6)</f>
        <v>2363.6</v>
      </c>
      <c r="C92" s="16">
        <f>IFERROR(__xludf.DUMMYFUNCTION("""COMPUTED_VALUE"""),45873.6458333333)</f>
        <v>45873.6458333333</v>
      </c>
      <c r="D92" s="17">
        <f>IFERROR(__xludf.DUMMYFUNCTION("""COMPUTED_VALUE"""),2360)</f>
        <v>2360</v>
      </c>
      <c r="E92" s="16">
        <f>IFERROR(__xludf.DUMMYFUNCTION("""COMPUTED_VALUE"""),45873.6458333333)</f>
        <v>45873.6458333333</v>
      </c>
      <c r="F92" s="17">
        <f>IFERROR(__xludf.DUMMYFUNCTION("""COMPUTED_VALUE"""),576426)</f>
        <v>576426</v>
      </c>
      <c r="G92" s="16">
        <f>IFERROR(__xludf.DUMMYFUNCTION("""COMPUTED_VALUE"""),45873.6458333333)</f>
        <v>45873.6458333333</v>
      </c>
      <c r="H92" s="17">
        <f>IFERROR(__xludf.DUMMYFUNCTION("""COMPUTED_VALUE"""),2374.7)</f>
        <v>2374.7</v>
      </c>
      <c r="I92" s="16">
        <f>IFERROR(__xludf.DUMMYFUNCTION("""COMPUTED_VALUE"""),45873.6458333333)</f>
        <v>45873.6458333333</v>
      </c>
      <c r="J92" s="17">
        <f>IFERROR(__xludf.DUMMYFUNCTION("""COMPUTED_VALUE"""),2338.2)</f>
        <v>2338.2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IFERROR(__xludf.DUMMYFUNCTION("""COMPUTED_VALUE"""),2328.2)</f>
        <v>2328.2</v>
      </c>
      <c r="C93" s="16">
        <f>IFERROR(__xludf.DUMMYFUNCTION("""COMPUTED_VALUE"""),45874.6458333333)</f>
        <v>45874.6458333333</v>
      </c>
      <c r="D93" s="17">
        <f>IFERROR(__xludf.DUMMYFUNCTION("""COMPUTED_VALUE"""),2370)</f>
        <v>2370</v>
      </c>
      <c r="E93" s="16">
        <f>IFERROR(__xludf.DUMMYFUNCTION("""COMPUTED_VALUE"""),45874.6458333333)</f>
        <v>45874.6458333333</v>
      </c>
      <c r="F93" s="17">
        <f>IFERROR(__xludf.DUMMYFUNCTION("""COMPUTED_VALUE"""),576742)</f>
        <v>576742</v>
      </c>
      <c r="G93" s="16">
        <f>IFERROR(__xludf.DUMMYFUNCTION("""COMPUTED_VALUE"""),45874.6458333333)</f>
        <v>45874.6458333333</v>
      </c>
      <c r="H93" s="17">
        <f>IFERROR(__xludf.DUMMYFUNCTION("""COMPUTED_VALUE"""),2370)</f>
        <v>2370</v>
      </c>
      <c r="I93" s="16">
        <f>IFERROR(__xludf.DUMMYFUNCTION("""COMPUTED_VALUE"""),45874.6458333333)</f>
        <v>45874.6458333333</v>
      </c>
      <c r="J93" s="17">
        <f>IFERROR(__xludf.DUMMYFUNCTION("""COMPUTED_VALUE"""),2316)</f>
        <v>2316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IFERROR(__xludf.DUMMYFUNCTION("""COMPUTED_VALUE"""),2300.3)</f>
        <v>2300.3</v>
      </c>
      <c r="C94" s="16">
        <f>IFERROR(__xludf.DUMMYFUNCTION("""COMPUTED_VALUE"""),45875.6458333333)</f>
        <v>45875.6458333333</v>
      </c>
      <c r="D94" s="17">
        <f>IFERROR(__xludf.DUMMYFUNCTION("""COMPUTED_VALUE"""),2333.9)</f>
        <v>2333.9</v>
      </c>
      <c r="E94" s="16">
        <f>IFERROR(__xludf.DUMMYFUNCTION("""COMPUTED_VALUE"""),45875.6458333333)</f>
        <v>45875.6458333333</v>
      </c>
      <c r="F94" s="17">
        <f>IFERROR(__xludf.DUMMYFUNCTION("""COMPUTED_VALUE"""),631582)</f>
        <v>631582</v>
      </c>
      <c r="G94" s="16">
        <f>IFERROR(__xludf.DUMMYFUNCTION("""COMPUTED_VALUE"""),45875.6458333333)</f>
        <v>45875.6458333333</v>
      </c>
      <c r="H94" s="17">
        <f>IFERROR(__xludf.DUMMYFUNCTION("""COMPUTED_VALUE"""),2347.9)</f>
        <v>2347.9</v>
      </c>
      <c r="I94" s="16">
        <f>IFERROR(__xludf.DUMMYFUNCTION("""COMPUTED_VALUE"""),45875.6458333333)</f>
        <v>45875.6458333333</v>
      </c>
      <c r="J94" s="17">
        <f>IFERROR(__xludf.DUMMYFUNCTION("""COMPUTED_VALUE"""),2296)</f>
        <v>2296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IFERROR(__xludf.DUMMYFUNCTION("""COMPUTED_VALUE"""),2249.8)</f>
        <v>2249.8</v>
      </c>
      <c r="C95" s="16">
        <f>IFERROR(__xludf.DUMMYFUNCTION("""COMPUTED_VALUE"""),45876.6458333333)</f>
        <v>45876.6458333333</v>
      </c>
      <c r="D95" s="17">
        <f>IFERROR(__xludf.DUMMYFUNCTION("""COMPUTED_VALUE"""),2290)</f>
        <v>2290</v>
      </c>
      <c r="E95" s="16">
        <f>IFERROR(__xludf.DUMMYFUNCTION("""COMPUTED_VALUE"""),45876.6458333333)</f>
        <v>45876.6458333333</v>
      </c>
      <c r="F95" s="17">
        <f>IFERROR(__xludf.DUMMYFUNCTION("""COMPUTED_VALUE"""),1529410)</f>
        <v>1529410</v>
      </c>
      <c r="G95" s="16">
        <f>IFERROR(__xludf.DUMMYFUNCTION("""COMPUTED_VALUE"""),45876.6458333333)</f>
        <v>45876.6458333333</v>
      </c>
      <c r="H95" s="17">
        <f>IFERROR(__xludf.DUMMYFUNCTION("""COMPUTED_VALUE"""),2295)</f>
        <v>2295</v>
      </c>
      <c r="I95" s="16">
        <f>IFERROR(__xludf.DUMMYFUNCTION("""COMPUTED_VALUE"""),45876.6458333333)</f>
        <v>45876.6458333333</v>
      </c>
      <c r="J95" s="17">
        <f>IFERROR(__xludf.DUMMYFUNCTION("""COMPUTED_VALUE"""),2202.8)</f>
        <v>2202.8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IFERROR(__xludf.DUMMYFUNCTION("""COMPUTED_VALUE"""),2178.1)</f>
        <v>2178.1</v>
      </c>
      <c r="C96" s="16">
        <f>IFERROR(__xludf.DUMMYFUNCTION("""COMPUTED_VALUE"""),45877.6458333333)</f>
        <v>45877.6458333333</v>
      </c>
      <c r="D96" s="17">
        <f>IFERROR(__xludf.DUMMYFUNCTION("""COMPUTED_VALUE"""),2247)</f>
        <v>2247</v>
      </c>
      <c r="E96" s="16">
        <f>IFERROR(__xludf.DUMMYFUNCTION("""COMPUTED_VALUE"""),45877.6458333333)</f>
        <v>45877.6458333333</v>
      </c>
      <c r="F96" s="17">
        <f>IFERROR(__xludf.DUMMYFUNCTION("""COMPUTED_VALUE"""),2552736)</f>
        <v>2552736</v>
      </c>
      <c r="G96" s="16">
        <f>IFERROR(__xludf.DUMMYFUNCTION("""COMPUTED_VALUE"""),45877.6458333333)</f>
        <v>45877.6458333333</v>
      </c>
      <c r="H96" s="17">
        <f>IFERROR(__xludf.DUMMYFUNCTION("""COMPUTED_VALUE"""),2260.9)</f>
        <v>2260.9</v>
      </c>
      <c r="I96" s="16">
        <f>IFERROR(__xludf.DUMMYFUNCTION("""COMPUTED_VALUE"""),45877.6458333333)</f>
        <v>45877.6458333333</v>
      </c>
      <c r="J96" s="17">
        <f>IFERROR(__xludf.DUMMYFUNCTION("""COMPUTED_VALUE"""),2164.8)</f>
        <v>2164.8</v>
      </c>
      <c r="K96" s="3">
        <f t="shared" si="2"/>
        <v>0</v>
      </c>
      <c r="L96" s="3">
        <f t="shared" si="3"/>
        <v>2178.1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IFERROR(__xludf.DUMMYFUNCTION("""COMPUTED_VALUE"""),2283.4)</f>
        <v>2283.4</v>
      </c>
      <c r="C97" s="16">
        <f>IFERROR(__xludf.DUMMYFUNCTION("""COMPUTED_VALUE"""),45880.6458333333)</f>
        <v>45880.6458333333</v>
      </c>
      <c r="D97" s="17">
        <f>IFERROR(__xludf.DUMMYFUNCTION("""COMPUTED_VALUE"""),2196)</f>
        <v>2196</v>
      </c>
      <c r="E97" s="16">
        <f>IFERROR(__xludf.DUMMYFUNCTION("""COMPUTED_VALUE"""),45880.6458333333)</f>
        <v>45880.6458333333</v>
      </c>
      <c r="F97" s="17">
        <f>IFERROR(__xludf.DUMMYFUNCTION("""COMPUTED_VALUE"""),2376286)</f>
        <v>2376286</v>
      </c>
      <c r="G97" s="16">
        <f>IFERROR(__xludf.DUMMYFUNCTION("""COMPUTED_VALUE"""),45880.6458333333)</f>
        <v>45880.6458333333</v>
      </c>
      <c r="H97" s="17">
        <f>IFERROR(__xludf.DUMMYFUNCTION("""COMPUTED_VALUE"""),2302)</f>
        <v>2302</v>
      </c>
      <c r="I97" s="16">
        <f>IFERROR(__xludf.DUMMYFUNCTION("""COMPUTED_VALUE"""),45880.6458333333)</f>
        <v>45880.6458333333</v>
      </c>
      <c r="J97" s="17">
        <f>IFERROR(__xludf.DUMMYFUNCTION("""COMPUTED_VALUE"""),2183)</f>
        <v>2183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IFERROR(__xludf.DUMMYFUNCTION("""COMPUTED_VALUE"""),2288.2)</f>
        <v>2288.2</v>
      </c>
      <c r="C98" s="16">
        <f>IFERROR(__xludf.DUMMYFUNCTION("""COMPUTED_VALUE"""),45881.6458333333)</f>
        <v>45881.6458333333</v>
      </c>
      <c r="D98" s="17">
        <f>IFERROR(__xludf.DUMMYFUNCTION("""COMPUTED_VALUE"""),2280.1)</f>
        <v>2280.1</v>
      </c>
      <c r="E98" s="16">
        <f>IFERROR(__xludf.DUMMYFUNCTION("""COMPUTED_VALUE"""),45881.6458333333)</f>
        <v>45881.6458333333</v>
      </c>
      <c r="F98" s="17">
        <f>IFERROR(__xludf.DUMMYFUNCTION("""COMPUTED_VALUE"""),1075526)</f>
        <v>1075526</v>
      </c>
      <c r="G98" s="16">
        <f>IFERROR(__xludf.DUMMYFUNCTION("""COMPUTED_VALUE"""),45881.6458333333)</f>
        <v>45881.6458333333</v>
      </c>
      <c r="H98" s="17">
        <f>IFERROR(__xludf.DUMMYFUNCTION("""COMPUTED_VALUE"""),2314.7)</f>
        <v>2314.7</v>
      </c>
      <c r="I98" s="16">
        <f>IFERROR(__xludf.DUMMYFUNCTION("""COMPUTED_VALUE"""),45881.6458333333)</f>
        <v>45881.6458333333</v>
      </c>
      <c r="J98" s="17">
        <f>IFERROR(__xludf.DUMMYFUNCTION("""COMPUTED_VALUE"""),2267)</f>
        <v>2267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IFERROR(__xludf.DUMMYFUNCTION("""COMPUTED_VALUE"""),2280.1)</f>
        <v>2280.1</v>
      </c>
      <c r="C99" s="16">
        <f>IFERROR(__xludf.DUMMYFUNCTION("""COMPUTED_VALUE"""),45882.6458333333)</f>
        <v>45882.6458333333</v>
      </c>
      <c r="D99" s="17">
        <f>IFERROR(__xludf.DUMMYFUNCTION("""COMPUTED_VALUE"""),2299)</f>
        <v>2299</v>
      </c>
      <c r="E99" s="16">
        <f>IFERROR(__xludf.DUMMYFUNCTION("""COMPUTED_VALUE"""),45882.6458333333)</f>
        <v>45882.6458333333</v>
      </c>
      <c r="F99" s="17">
        <f>IFERROR(__xludf.DUMMYFUNCTION("""COMPUTED_VALUE"""),833679)</f>
        <v>833679</v>
      </c>
      <c r="G99" s="16">
        <f>IFERROR(__xludf.DUMMYFUNCTION("""COMPUTED_VALUE"""),45882.6458333333)</f>
        <v>45882.6458333333</v>
      </c>
      <c r="H99" s="17">
        <f>IFERROR(__xludf.DUMMYFUNCTION("""COMPUTED_VALUE"""),2314.9)</f>
        <v>2314.9</v>
      </c>
      <c r="I99" s="16">
        <f>IFERROR(__xludf.DUMMYFUNCTION("""COMPUTED_VALUE"""),45882.6458333333)</f>
        <v>45882.6458333333</v>
      </c>
      <c r="J99" s="17">
        <f>IFERROR(__xludf.DUMMYFUNCTION("""COMPUTED_VALUE"""),2245.4)</f>
        <v>2245.4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IFERROR(__xludf.DUMMYFUNCTION("""COMPUTED_VALUE"""),2281.6)</f>
        <v>2281.6</v>
      </c>
      <c r="C100" s="16">
        <f>IFERROR(__xludf.DUMMYFUNCTION("""COMPUTED_VALUE"""),45883.6458333333)</f>
        <v>45883.6458333333</v>
      </c>
      <c r="D100" s="17">
        <f>IFERROR(__xludf.DUMMYFUNCTION("""COMPUTED_VALUE"""),2288)</f>
        <v>2288</v>
      </c>
      <c r="E100" s="16">
        <f>IFERROR(__xludf.DUMMYFUNCTION("""COMPUTED_VALUE"""),45883.6458333333)</f>
        <v>45883.6458333333</v>
      </c>
      <c r="F100" s="17">
        <f>IFERROR(__xludf.DUMMYFUNCTION("""COMPUTED_VALUE"""),998109)</f>
        <v>998109</v>
      </c>
      <c r="G100" s="16">
        <f>IFERROR(__xludf.DUMMYFUNCTION("""COMPUTED_VALUE"""),45883.6458333333)</f>
        <v>45883.6458333333</v>
      </c>
      <c r="H100" s="17">
        <f>IFERROR(__xludf.DUMMYFUNCTION("""COMPUTED_VALUE"""),2304)</f>
        <v>2304</v>
      </c>
      <c r="I100" s="16">
        <f>IFERROR(__xludf.DUMMYFUNCTION("""COMPUTED_VALUE"""),45883.6458333333)</f>
        <v>45883.6458333333</v>
      </c>
      <c r="J100" s="17">
        <f>IFERROR(__xludf.DUMMYFUNCTION("""COMPUTED_VALUE"""),2267.7)</f>
        <v>2267.7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IFERROR(__xludf.DUMMYFUNCTION("""COMPUTED_VALUE"""),2333.6)</f>
        <v>2333.6</v>
      </c>
      <c r="C101" s="16">
        <f>IFERROR(__xludf.DUMMYFUNCTION("""COMPUTED_VALUE"""),45887.6458333333)</f>
        <v>45887.6458333333</v>
      </c>
      <c r="D101" s="17">
        <f>IFERROR(__xludf.DUMMYFUNCTION("""COMPUTED_VALUE"""),2309.6)</f>
        <v>2309.6</v>
      </c>
      <c r="E101" s="16">
        <f>IFERROR(__xludf.DUMMYFUNCTION("""COMPUTED_VALUE"""),45887.6458333333)</f>
        <v>45887.6458333333</v>
      </c>
      <c r="F101" s="17">
        <f>IFERROR(__xludf.DUMMYFUNCTION("""COMPUTED_VALUE"""),988629)</f>
        <v>988629</v>
      </c>
      <c r="G101" s="16">
        <f>IFERROR(__xludf.DUMMYFUNCTION("""COMPUTED_VALUE"""),45887.6458333333)</f>
        <v>45887.6458333333</v>
      </c>
      <c r="H101" s="17">
        <f>IFERROR(__xludf.DUMMYFUNCTION("""COMPUTED_VALUE"""),2360)</f>
        <v>2360</v>
      </c>
      <c r="I101" s="16">
        <f>IFERROR(__xludf.DUMMYFUNCTION("""COMPUTED_VALUE"""),45887.6458333333)</f>
        <v>45887.6458333333</v>
      </c>
      <c r="J101" s="17">
        <f>IFERROR(__xludf.DUMMYFUNCTION("""COMPUTED_VALUE"""),2300)</f>
        <v>2300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IFERROR(__xludf.DUMMYFUNCTION("""COMPUTED_VALUE"""),2388.4)</f>
        <v>2388.4</v>
      </c>
      <c r="C102" s="16">
        <f>IFERROR(__xludf.DUMMYFUNCTION("""COMPUTED_VALUE"""),45888.6458333333)</f>
        <v>45888.6458333333</v>
      </c>
      <c r="D102" s="17">
        <f>IFERROR(__xludf.DUMMYFUNCTION("""COMPUTED_VALUE"""),2339.9)</f>
        <v>2339.9</v>
      </c>
      <c r="E102" s="16">
        <f>IFERROR(__xludf.DUMMYFUNCTION("""COMPUTED_VALUE"""),45888.6458333333)</f>
        <v>45888.6458333333</v>
      </c>
      <c r="F102" s="17">
        <f>IFERROR(__xludf.DUMMYFUNCTION("""COMPUTED_VALUE"""),1069432)</f>
        <v>1069432</v>
      </c>
      <c r="G102" s="16">
        <f>IFERROR(__xludf.DUMMYFUNCTION("""COMPUTED_VALUE"""),45888.6458333333)</f>
        <v>45888.6458333333</v>
      </c>
      <c r="H102" s="17">
        <f>IFERROR(__xludf.DUMMYFUNCTION("""COMPUTED_VALUE"""),2395.6)</f>
        <v>2395.6</v>
      </c>
      <c r="I102" s="16">
        <f>IFERROR(__xludf.DUMMYFUNCTION("""COMPUTED_VALUE"""),45888.6458333333)</f>
        <v>45888.6458333333</v>
      </c>
      <c r="J102" s="17">
        <f>IFERROR(__xludf.DUMMYFUNCTION("""COMPUTED_VALUE"""),2314.1)</f>
        <v>2314.1</v>
      </c>
      <c r="K102" s="3">
        <f t="shared" si="2"/>
        <v>2388.4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IFERROR(__xludf.DUMMYFUNCTION("""COMPUTED_VALUE"""),2387.1)</f>
        <v>2387.1</v>
      </c>
      <c r="C103" s="16">
        <f>IFERROR(__xludf.DUMMYFUNCTION("""COMPUTED_VALUE"""),45889.6458333333)</f>
        <v>45889.6458333333</v>
      </c>
      <c r="D103" s="17">
        <f>IFERROR(__xludf.DUMMYFUNCTION("""COMPUTED_VALUE"""),2380)</f>
        <v>2380</v>
      </c>
      <c r="E103" s="16">
        <f>IFERROR(__xludf.DUMMYFUNCTION("""COMPUTED_VALUE"""),45889.6458333333)</f>
        <v>45889.6458333333</v>
      </c>
      <c r="F103" s="17">
        <f>IFERROR(__xludf.DUMMYFUNCTION("""COMPUTED_VALUE"""),780025)</f>
        <v>780025</v>
      </c>
      <c r="G103" s="16">
        <f>IFERROR(__xludf.DUMMYFUNCTION("""COMPUTED_VALUE"""),45889.6458333333)</f>
        <v>45889.6458333333</v>
      </c>
      <c r="H103" s="17">
        <f>IFERROR(__xludf.DUMMYFUNCTION("""COMPUTED_VALUE"""),2406)</f>
        <v>2406</v>
      </c>
      <c r="I103" s="16">
        <f>IFERROR(__xludf.DUMMYFUNCTION("""COMPUTED_VALUE"""),45889.6458333333)</f>
        <v>45889.6458333333</v>
      </c>
      <c r="J103" s="17">
        <f>IFERROR(__xludf.DUMMYFUNCTION("""COMPUTED_VALUE"""),2372.1)</f>
        <v>2372.1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IFERROR(__xludf.DUMMYFUNCTION("""COMPUTED_VALUE"""),2377.2)</f>
        <v>2377.2</v>
      </c>
      <c r="C104" s="16">
        <f>IFERROR(__xludf.DUMMYFUNCTION("""COMPUTED_VALUE"""),45890.6458333333)</f>
        <v>45890.6458333333</v>
      </c>
      <c r="D104" s="17">
        <f>IFERROR(__xludf.DUMMYFUNCTION("""COMPUTED_VALUE"""),2387.1)</f>
        <v>2387.1</v>
      </c>
      <c r="E104" s="16">
        <f>IFERROR(__xludf.DUMMYFUNCTION("""COMPUTED_VALUE"""),45890.6458333333)</f>
        <v>45890.6458333333</v>
      </c>
      <c r="F104" s="17">
        <f>IFERROR(__xludf.DUMMYFUNCTION("""COMPUTED_VALUE"""),441867)</f>
        <v>441867</v>
      </c>
      <c r="G104" s="16">
        <f>IFERROR(__xludf.DUMMYFUNCTION("""COMPUTED_VALUE"""),45890.6458333333)</f>
        <v>45890.6458333333</v>
      </c>
      <c r="H104" s="17">
        <f>IFERROR(__xludf.DUMMYFUNCTION("""COMPUTED_VALUE"""),2397)</f>
        <v>2397</v>
      </c>
      <c r="I104" s="16">
        <f>IFERROR(__xludf.DUMMYFUNCTION("""COMPUTED_VALUE"""),45890.6458333333)</f>
        <v>45890.6458333333</v>
      </c>
      <c r="J104" s="17">
        <f>IFERROR(__xludf.DUMMYFUNCTION("""COMPUTED_VALUE"""),2371.4)</f>
        <v>2371.4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IFERROR(__xludf.DUMMYFUNCTION("""COMPUTED_VALUE"""),2324.9)</f>
        <v>2324.9</v>
      </c>
      <c r="C105" s="16">
        <f>IFERROR(__xludf.DUMMYFUNCTION("""COMPUTED_VALUE"""),45891.6458333333)</f>
        <v>45891.6458333333</v>
      </c>
      <c r="D105" s="17">
        <f>IFERROR(__xludf.DUMMYFUNCTION("""COMPUTED_VALUE"""),2369.9)</f>
        <v>2369.9</v>
      </c>
      <c r="E105" s="16">
        <f>IFERROR(__xludf.DUMMYFUNCTION("""COMPUTED_VALUE"""),45891.6458333333)</f>
        <v>45891.6458333333</v>
      </c>
      <c r="F105" s="17">
        <f>IFERROR(__xludf.DUMMYFUNCTION("""COMPUTED_VALUE"""),584211)</f>
        <v>584211</v>
      </c>
      <c r="G105" s="16">
        <f>IFERROR(__xludf.DUMMYFUNCTION("""COMPUTED_VALUE"""),45891.6458333333)</f>
        <v>45891.6458333333</v>
      </c>
      <c r="H105" s="17">
        <f>IFERROR(__xludf.DUMMYFUNCTION("""COMPUTED_VALUE"""),2376.3)</f>
        <v>2376.3</v>
      </c>
      <c r="I105" s="16">
        <f>IFERROR(__xludf.DUMMYFUNCTION("""COMPUTED_VALUE"""),45891.6458333333)</f>
        <v>45891.6458333333</v>
      </c>
      <c r="J105" s="17">
        <f>IFERROR(__xludf.DUMMYFUNCTION("""COMPUTED_VALUE"""),2321)</f>
        <v>2321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IFERROR(__xludf.DUMMYFUNCTION("""COMPUTED_VALUE"""),2302.9)</f>
        <v>2302.9</v>
      </c>
      <c r="C106" s="16">
        <f>IFERROR(__xludf.DUMMYFUNCTION("""COMPUTED_VALUE"""),45894.6458333333)</f>
        <v>45894.6458333333</v>
      </c>
      <c r="D106" s="17">
        <f>IFERROR(__xludf.DUMMYFUNCTION("""COMPUTED_VALUE"""),2335.7)</f>
        <v>2335.7</v>
      </c>
      <c r="E106" s="16">
        <f>IFERROR(__xludf.DUMMYFUNCTION("""COMPUTED_VALUE"""),45894.6458333333)</f>
        <v>45894.6458333333</v>
      </c>
      <c r="F106" s="17">
        <f>IFERROR(__xludf.DUMMYFUNCTION("""COMPUTED_VALUE"""),542455)</f>
        <v>542455</v>
      </c>
      <c r="G106" s="16">
        <f>IFERROR(__xludf.DUMMYFUNCTION("""COMPUTED_VALUE"""),45894.6458333333)</f>
        <v>45894.6458333333</v>
      </c>
      <c r="H106" s="17">
        <f>IFERROR(__xludf.DUMMYFUNCTION("""COMPUTED_VALUE"""),2348.4)</f>
        <v>2348.4</v>
      </c>
      <c r="I106" s="16">
        <f>IFERROR(__xludf.DUMMYFUNCTION("""COMPUTED_VALUE"""),45894.6458333333)</f>
        <v>45894.6458333333</v>
      </c>
      <c r="J106" s="17">
        <f>IFERROR(__xludf.DUMMYFUNCTION("""COMPUTED_VALUE"""),2300)</f>
        <v>2300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IFERROR(__xludf.DUMMYFUNCTION("""COMPUTED_VALUE"""),2272)</f>
        <v>2272</v>
      </c>
      <c r="C107" s="16">
        <f>IFERROR(__xludf.DUMMYFUNCTION("""COMPUTED_VALUE"""),45895.6458333333)</f>
        <v>45895.6458333333</v>
      </c>
      <c r="D107" s="17">
        <f>IFERROR(__xludf.DUMMYFUNCTION("""COMPUTED_VALUE"""),2304)</f>
        <v>2304</v>
      </c>
      <c r="E107" s="16">
        <f>IFERROR(__xludf.DUMMYFUNCTION("""COMPUTED_VALUE"""),45895.6458333333)</f>
        <v>45895.6458333333</v>
      </c>
      <c r="F107" s="17">
        <f>IFERROR(__xludf.DUMMYFUNCTION("""COMPUTED_VALUE"""),1071550)</f>
        <v>1071550</v>
      </c>
      <c r="G107" s="16">
        <f>IFERROR(__xludf.DUMMYFUNCTION("""COMPUTED_VALUE"""),45895.6458333333)</f>
        <v>45895.6458333333</v>
      </c>
      <c r="H107" s="17">
        <f>IFERROR(__xludf.DUMMYFUNCTION("""COMPUTED_VALUE"""),2309.3)</f>
        <v>2309.3</v>
      </c>
      <c r="I107" s="16">
        <f>IFERROR(__xludf.DUMMYFUNCTION("""COMPUTED_VALUE"""),45895.6458333333)</f>
        <v>45895.6458333333</v>
      </c>
      <c r="J107" s="17">
        <f>IFERROR(__xludf.DUMMYFUNCTION("""COMPUTED_VALUE"""),2249.4)</f>
        <v>2249.4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IFERROR(__xludf.DUMMYFUNCTION("""COMPUTED_VALUE"""),2275.2)</f>
        <v>2275.2</v>
      </c>
      <c r="C108" s="16">
        <f>IFERROR(__xludf.DUMMYFUNCTION("""COMPUTED_VALUE"""),45897.6458333333)</f>
        <v>45897.6458333333</v>
      </c>
      <c r="D108" s="17">
        <f>IFERROR(__xludf.DUMMYFUNCTION("""COMPUTED_VALUE"""),2271.9)</f>
        <v>2271.9</v>
      </c>
      <c r="E108" s="16">
        <f>IFERROR(__xludf.DUMMYFUNCTION("""COMPUTED_VALUE"""),45897.6458333333)</f>
        <v>45897.6458333333</v>
      </c>
      <c r="F108" s="17">
        <f>IFERROR(__xludf.DUMMYFUNCTION("""COMPUTED_VALUE"""),907868)</f>
        <v>907868</v>
      </c>
      <c r="G108" s="16">
        <f>IFERROR(__xludf.DUMMYFUNCTION("""COMPUTED_VALUE"""),45897.6458333333)</f>
        <v>45897.6458333333</v>
      </c>
      <c r="H108" s="17">
        <f>IFERROR(__xludf.DUMMYFUNCTION("""COMPUTED_VALUE"""),2327.9)</f>
        <v>2327.9</v>
      </c>
      <c r="I108" s="16">
        <f>IFERROR(__xludf.DUMMYFUNCTION("""COMPUTED_VALUE"""),45897.6458333333)</f>
        <v>45897.6458333333</v>
      </c>
      <c r="J108" s="17">
        <f>IFERROR(__xludf.DUMMYFUNCTION("""COMPUTED_VALUE"""),2255)</f>
        <v>2255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IFERROR(__xludf.DUMMYFUNCTION("""COMPUTED_VALUE"""),2244.7)</f>
        <v>2244.7</v>
      </c>
      <c r="C109" s="16">
        <f>IFERROR(__xludf.DUMMYFUNCTION("""COMPUTED_VALUE"""),45898.6458333333)</f>
        <v>45898.6458333333</v>
      </c>
      <c r="D109" s="17">
        <f>IFERROR(__xludf.DUMMYFUNCTION("""COMPUTED_VALUE"""),2283)</f>
        <v>2283</v>
      </c>
      <c r="E109" s="16">
        <f>IFERROR(__xludf.DUMMYFUNCTION("""COMPUTED_VALUE"""),45898.6458333333)</f>
        <v>45898.6458333333</v>
      </c>
      <c r="F109" s="17">
        <f>IFERROR(__xludf.DUMMYFUNCTION("""COMPUTED_VALUE"""),795699)</f>
        <v>795699</v>
      </c>
      <c r="G109" s="16">
        <f>IFERROR(__xludf.DUMMYFUNCTION("""COMPUTED_VALUE"""),45898.6458333333)</f>
        <v>45898.6458333333</v>
      </c>
      <c r="H109" s="17">
        <f>IFERROR(__xludf.DUMMYFUNCTION("""COMPUTED_VALUE"""),2289.7)</f>
        <v>2289.7</v>
      </c>
      <c r="I109" s="16">
        <f>IFERROR(__xludf.DUMMYFUNCTION("""COMPUTED_VALUE"""),45898.6458333333)</f>
        <v>45898.6458333333</v>
      </c>
      <c r="J109" s="17">
        <f>IFERROR(__xludf.DUMMYFUNCTION("""COMPUTED_VALUE"""),2240)</f>
        <v>2240</v>
      </c>
      <c r="K109" s="3">
        <f t="shared" si="2"/>
        <v>0</v>
      </c>
      <c r="L109" s="3">
        <f t="shared" si="3"/>
        <v>2244.7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IFERROR(__xludf.DUMMYFUNCTION("""COMPUTED_VALUE"""),2284.2)</f>
        <v>2284.2</v>
      </c>
      <c r="C110" s="16">
        <f>IFERROR(__xludf.DUMMYFUNCTION("""COMPUTED_VALUE"""),45901.6458333333)</f>
        <v>45901.6458333333</v>
      </c>
      <c r="D110" s="17">
        <f>IFERROR(__xludf.DUMMYFUNCTION("""COMPUTED_VALUE"""),2259)</f>
        <v>2259</v>
      </c>
      <c r="E110" s="16">
        <f>IFERROR(__xludf.DUMMYFUNCTION("""COMPUTED_VALUE"""),45901.6458333333)</f>
        <v>45901.6458333333</v>
      </c>
      <c r="F110" s="17">
        <f>IFERROR(__xludf.DUMMYFUNCTION("""COMPUTED_VALUE"""),425639)</f>
        <v>425639</v>
      </c>
      <c r="G110" s="16">
        <f>IFERROR(__xludf.DUMMYFUNCTION("""COMPUTED_VALUE"""),45901.6458333333)</f>
        <v>45901.6458333333</v>
      </c>
      <c r="H110" s="17">
        <f>IFERROR(__xludf.DUMMYFUNCTION("""COMPUTED_VALUE"""),2288)</f>
        <v>2288</v>
      </c>
      <c r="I110" s="16">
        <f>IFERROR(__xludf.DUMMYFUNCTION("""COMPUTED_VALUE"""),45901.6458333333)</f>
        <v>45901.6458333333</v>
      </c>
      <c r="J110" s="17">
        <f>IFERROR(__xludf.DUMMYFUNCTION("""COMPUTED_VALUE"""),2252.1)</f>
        <v>2252.1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IFERROR(__xludf.DUMMYFUNCTION("""COMPUTED_VALUE"""),2274.2)</f>
        <v>2274.2</v>
      </c>
      <c r="C111" s="16">
        <f>IFERROR(__xludf.DUMMYFUNCTION("""COMPUTED_VALUE"""),45902.6458333333)</f>
        <v>45902.6458333333</v>
      </c>
      <c r="D111" s="17">
        <f>IFERROR(__xludf.DUMMYFUNCTION("""COMPUTED_VALUE"""),2291)</f>
        <v>2291</v>
      </c>
      <c r="E111" s="16">
        <f>IFERROR(__xludf.DUMMYFUNCTION("""COMPUTED_VALUE"""),45902.6458333333)</f>
        <v>45902.6458333333</v>
      </c>
      <c r="F111" s="17">
        <f>IFERROR(__xludf.DUMMYFUNCTION("""COMPUTED_VALUE"""),481894)</f>
        <v>481894</v>
      </c>
      <c r="G111" s="16">
        <f>IFERROR(__xludf.DUMMYFUNCTION("""COMPUTED_VALUE"""),45902.6458333333)</f>
        <v>45902.6458333333</v>
      </c>
      <c r="H111" s="17">
        <f>IFERROR(__xludf.DUMMYFUNCTION("""COMPUTED_VALUE"""),2302)</f>
        <v>2302</v>
      </c>
      <c r="I111" s="16">
        <f>IFERROR(__xludf.DUMMYFUNCTION("""COMPUTED_VALUE"""),45902.6458333333)</f>
        <v>45902.6458333333</v>
      </c>
      <c r="J111" s="17">
        <f>IFERROR(__xludf.DUMMYFUNCTION("""COMPUTED_VALUE"""),2264)</f>
        <v>2264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IFERROR(__xludf.DUMMYFUNCTION("""COMPUTED_VALUE"""),2288.7)</f>
        <v>2288.7</v>
      </c>
      <c r="C112" s="16">
        <f>IFERROR(__xludf.DUMMYFUNCTION("""COMPUTED_VALUE"""),45903.6458333333)</f>
        <v>45903.6458333333</v>
      </c>
      <c r="D112" s="17">
        <f>IFERROR(__xludf.DUMMYFUNCTION("""COMPUTED_VALUE"""),2285)</f>
        <v>2285</v>
      </c>
      <c r="E112" s="16">
        <f>IFERROR(__xludf.DUMMYFUNCTION("""COMPUTED_VALUE"""),45903.6458333333)</f>
        <v>45903.6458333333</v>
      </c>
      <c r="F112" s="17">
        <f>IFERROR(__xludf.DUMMYFUNCTION("""COMPUTED_VALUE"""),443629)</f>
        <v>443629</v>
      </c>
      <c r="G112" s="16">
        <f>IFERROR(__xludf.DUMMYFUNCTION("""COMPUTED_VALUE"""),45903.6458333333)</f>
        <v>45903.6458333333</v>
      </c>
      <c r="H112" s="17">
        <f>IFERROR(__xludf.DUMMYFUNCTION("""COMPUTED_VALUE"""),2293)</f>
        <v>2293</v>
      </c>
      <c r="I112" s="16">
        <f>IFERROR(__xludf.DUMMYFUNCTION("""COMPUTED_VALUE"""),45903.6458333333)</f>
        <v>45903.6458333333</v>
      </c>
      <c r="J112" s="17">
        <f>IFERROR(__xludf.DUMMYFUNCTION("""COMPUTED_VALUE"""),2263.1)</f>
        <v>2263.1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IFERROR(__xludf.DUMMYFUNCTION("""COMPUTED_VALUE"""),2278.8)</f>
        <v>2278.8</v>
      </c>
      <c r="C113" s="16">
        <f>IFERROR(__xludf.DUMMYFUNCTION("""COMPUTED_VALUE"""),45904.6458333333)</f>
        <v>45904.6458333333</v>
      </c>
      <c r="D113" s="17">
        <f>IFERROR(__xludf.DUMMYFUNCTION("""COMPUTED_VALUE"""),2309.9)</f>
        <v>2309.9</v>
      </c>
      <c r="E113" s="16">
        <f>IFERROR(__xludf.DUMMYFUNCTION("""COMPUTED_VALUE"""),45904.6458333333)</f>
        <v>45904.6458333333</v>
      </c>
      <c r="F113" s="17">
        <f>IFERROR(__xludf.DUMMYFUNCTION("""COMPUTED_VALUE"""),392697)</f>
        <v>392697</v>
      </c>
      <c r="G113" s="16">
        <f>IFERROR(__xludf.DUMMYFUNCTION("""COMPUTED_VALUE"""),45904.6458333333)</f>
        <v>45904.6458333333</v>
      </c>
      <c r="H113" s="17">
        <f>IFERROR(__xludf.DUMMYFUNCTION("""COMPUTED_VALUE"""),2317.3)</f>
        <v>2317.3</v>
      </c>
      <c r="I113" s="16">
        <f>IFERROR(__xludf.DUMMYFUNCTION("""COMPUTED_VALUE"""),45904.6458333333)</f>
        <v>45904.6458333333</v>
      </c>
      <c r="J113" s="17">
        <f>IFERROR(__xludf.DUMMYFUNCTION("""COMPUTED_VALUE"""),2275)</f>
        <v>2275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IFERROR(__xludf.DUMMYFUNCTION("""COMPUTED_VALUE"""),2281.4)</f>
        <v>2281.4</v>
      </c>
      <c r="C114" s="16">
        <f>IFERROR(__xludf.DUMMYFUNCTION("""COMPUTED_VALUE"""),45905.6458333333)</f>
        <v>45905.6458333333</v>
      </c>
      <c r="D114" s="17">
        <f>IFERROR(__xludf.DUMMYFUNCTION("""COMPUTED_VALUE"""),2275)</f>
        <v>2275</v>
      </c>
      <c r="E114" s="16">
        <f>IFERROR(__xludf.DUMMYFUNCTION("""COMPUTED_VALUE"""),45905.6458333333)</f>
        <v>45905.6458333333</v>
      </c>
      <c r="F114" s="17">
        <f>IFERROR(__xludf.DUMMYFUNCTION("""COMPUTED_VALUE"""),443010)</f>
        <v>443010</v>
      </c>
      <c r="G114" s="16">
        <f>IFERROR(__xludf.DUMMYFUNCTION("""COMPUTED_VALUE"""),45905.6458333333)</f>
        <v>45905.6458333333</v>
      </c>
      <c r="H114" s="17">
        <f>IFERROR(__xludf.DUMMYFUNCTION("""COMPUTED_VALUE"""),2293.5)</f>
        <v>2293.5</v>
      </c>
      <c r="I114" s="16">
        <f>IFERROR(__xludf.DUMMYFUNCTION("""COMPUTED_VALUE"""),45905.6458333333)</f>
        <v>45905.6458333333</v>
      </c>
      <c r="J114" s="17">
        <f>IFERROR(__xludf.DUMMYFUNCTION("""COMPUTED_VALUE"""),2248)</f>
        <v>2248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IFERROR(__xludf.DUMMYFUNCTION("""COMPUTED_VALUE"""),2310.9)</f>
        <v>2310.9</v>
      </c>
      <c r="C115" s="16">
        <f>IFERROR(__xludf.DUMMYFUNCTION("""COMPUTED_VALUE"""),45908.6458333333)</f>
        <v>45908.6458333333</v>
      </c>
      <c r="D115" s="17">
        <f>IFERROR(__xludf.DUMMYFUNCTION("""COMPUTED_VALUE"""),2290)</f>
        <v>2290</v>
      </c>
      <c r="E115" s="16">
        <f>IFERROR(__xludf.DUMMYFUNCTION("""COMPUTED_VALUE"""),45908.6458333333)</f>
        <v>45908.6458333333</v>
      </c>
      <c r="F115" s="17">
        <f>IFERROR(__xludf.DUMMYFUNCTION("""COMPUTED_VALUE"""),542811)</f>
        <v>542811</v>
      </c>
      <c r="G115" s="16">
        <f>IFERROR(__xludf.DUMMYFUNCTION("""COMPUTED_VALUE"""),45908.6458333333)</f>
        <v>45908.6458333333</v>
      </c>
      <c r="H115" s="17">
        <f>IFERROR(__xludf.DUMMYFUNCTION("""COMPUTED_VALUE"""),2333.9)</f>
        <v>2333.9</v>
      </c>
      <c r="I115" s="16">
        <f>IFERROR(__xludf.DUMMYFUNCTION("""COMPUTED_VALUE"""),45908.6458333333)</f>
        <v>45908.6458333333</v>
      </c>
      <c r="J115" s="17">
        <f>IFERROR(__xludf.DUMMYFUNCTION("""COMPUTED_VALUE"""),2286)</f>
        <v>2286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IFERROR(__xludf.DUMMYFUNCTION("""COMPUTED_VALUE"""),2311.6)</f>
        <v>2311.6</v>
      </c>
      <c r="C116" s="16">
        <f>IFERROR(__xludf.DUMMYFUNCTION("""COMPUTED_VALUE"""),45909.6458333333)</f>
        <v>45909.6458333333</v>
      </c>
      <c r="D116" s="17">
        <f>IFERROR(__xludf.DUMMYFUNCTION("""COMPUTED_VALUE"""),2320)</f>
        <v>2320</v>
      </c>
      <c r="E116" s="16">
        <f>IFERROR(__xludf.DUMMYFUNCTION("""COMPUTED_VALUE"""),45909.6458333333)</f>
        <v>45909.6458333333</v>
      </c>
      <c r="F116" s="17">
        <f>IFERROR(__xludf.DUMMYFUNCTION("""COMPUTED_VALUE"""),369431)</f>
        <v>369431</v>
      </c>
      <c r="G116" s="16">
        <f>IFERROR(__xludf.DUMMYFUNCTION("""COMPUTED_VALUE"""),45909.6458333333)</f>
        <v>45909.6458333333</v>
      </c>
      <c r="H116" s="17">
        <f>IFERROR(__xludf.DUMMYFUNCTION("""COMPUTED_VALUE"""),2325)</f>
        <v>2325</v>
      </c>
      <c r="I116" s="16">
        <f>IFERROR(__xludf.DUMMYFUNCTION("""COMPUTED_VALUE"""),45909.6458333333)</f>
        <v>45909.6458333333</v>
      </c>
      <c r="J116" s="17">
        <f>IFERROR(__xludf.DUMMYFUNCTION("""COMPUTED_VALUE"""),2297)</f>
        <v>2297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IFERROR(__xludf.DUMMYFUNCTION("""COMPUTED_VALUE"""),2340.2)</f>
        <v>2340.2</v>
      </c>
      <c r="C117" s="16">
        <f>IFERROR(__xludf.DUMMYFUNCTION("""COMPUTED_VALUE"""),45910.6458333333)</f>
        <v>45910.6458333333</v>
      </c>
      <c r="D117" s="17">
        <f>IFERROR(__xludf.DUMMYFUNCTION("""COMPUTED_VALUE"""),2330)</f>
        <v>2330</v>
      </c>
      <c r="E117" s="16">
        <f>IFERROR(__xludf.DUMMYFUNCTION("""COMPUTED_VALUE"""),45910.6458333333)</f>
        <v>45910.6458333333</v>
      </c>
      <c r="F117" s="17">
        <f>IFERROR(__xludf.DUMMYFUNCTION("""COMPUTED_VALUE"""),390490)</f>
        <v>390490</v>
      </c>
      <c r="G117" s="16">
        <f>IFERROR(__xludf.DUMMYFUNCTION("""COMPUTED_VALUE"""),45910.6458333333)</f>
        <v>45910.6458333333</v>
      </c>
      <c r="H117" s="17">
        <f>IFERROR(__xludf.DUMMYFUNCTION("""COMPUTED_VALUE"""),2345.9)</f>
        <v>2345.9</v>
      </c>
      <c r="I117" s="16">
        <f>IFERROR(__xludf.DUMMYFUNCTION("""COMPUTED_VALUE"""),45910.6458333333)</f>
        <v>45910.6458333333</v>
      </c>
      <c r="J117" s="17">
        <f>IFERROR(__xludf.DUMMYFUNCTION("""COMPUTED_VALUE"""),2325.1)</f>
        <v>2325.1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IFERROR(__xludf.DUMMYFUNCTION("""COMPUTED_VALUE"""),2398.8)</f>
        <v>2398.8</v>
      </c>
      <c r="C118" s="16">
        <f>IFERROR(__xludf.DUMMYFUNCTION("""COMPUTED_VALUE"""),45911.6458333333)</f>
        <v>45911.6458333333</v>
      </c>
      <c r="D118" s="17">
        <f>IFERROR(__xludf.DUMMYFUNCTION("""COMPUTED_VALUE"""),2348)</f>
        <v>2348</v>
      </c>
      <c r="E118" s="16">
        <f>IFERROR(__xludf.DUMMYFUNCTION("""COMPUTED_VALUE"""),45911.6458333333)</f>
        <v>45911.6458333333</v>
      </c>
      <c r="F118" s="17">
        <f>IFERROR(__xludf.DUMMYFUNCTION("""COMPUTED_VALUE"""),2111888)</f>
        <v>2111888</v>
      </c>
      <c r="G118" s="16">
        <f>IFERROR(__xludf.DUMMYFUNCTION("""COMPUTED_VALUE"""),45911.6458333333)</f>
        <v>45911.6458333333</v>
      </c>
      <c r="H118" s="17">
        <f>IFERROR(__xludf.DUMMYFUNCTION("""COMPUTED_VALUE"""),2418.7)</f>
        <v>2418.7</v>
      </c>
      <c r="I118" s="16">
        <f>IFERROR(__xludf.DUMMYFUNCTION("""COMPUTED_VALUE"""),45911.6458333333)</f>
        <v>45911.6458333333</v>
      </c>
      <c r="J118" s="17">
        <f>IFERROR(__xludf.DUMMYFUNCTION("""COMPUTED_VALUE"""),2340.2)</f>
        <v>2340.2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IFERROR(__xludf.DUMMYFUNCTION("""COMPUTED_VALUE"""),2392)</f>
        <v>2392</v>
      </c>
      <c r="C119" s="16">
        <f>IFERROR(__xludf.DUMMYFUNCTION("""COMPUTED_VALUE"""),45912.6458333333)</f>
        <v>45912.6458333333</v>
      </c>
      <c r="D119" s="17">
        <f>IFERROR(__xludf.DUMMYFUNCTION("""COMPUTED_VALUE"""),2416.9)</f>
        <v>2416.9</v>
      </c>
      <c r="E119" s="16">
        <f>IFERROR(__xludf.DUMMYFUNCTION("""COMPUTED_VALUE"""),45912.6458333333)</f>
        <v>45912.6458333333</v>
      </c>
      <c r="F119" s="17">
        <f>IFERROR(__xludf.DUMMYFUNCTION("""COMPUTED_VALUE"""),533971)</f>
        <v>533971</v>
      </c>
      <c r="G119" s="16">
        <f>IFERROR(__xludf.DUMMYFUNCTION("""COMPUTED_VALUE"""),45912.6458333333)</f>
        <v>45912.6458333333</v>
      </c>
      <c r="H119" s="17">
        <f>IFERROR(__xludf.DUMMYFUNCTION("""COMPUTED_VALUE"""),2421.6)</f>
        <v>2421.6</v>
      </c>
      <c r="I119" s="16">
        <f>IFERROR(__xludf.DUMMYFUNCTION("""COMPUTED_VALUE"""),45912.6458333333)</f>
        <v>45912.6458333333</v>
      </c>
      <c r="J119" s="17">
        <f>IFERROR(__xludf.DUMMYFUNCTION("""COMPUTED_VALUE"""),2387.1)</f>
        <v>2387.1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IFERROR(__xludf.DUMMYFUNCTION("""COMPUTED_VALUE"""),2383.4)</f>
        <v>2383.4</v>
      </c>
      <c r="C120" s="16">
        <f>IFERROR(__xludf.DUMMYFUNCTION("""COMPUTED_VALUE"""),45915.6458333333)</f>
        <v>45915.6458333333</v>
      </c>
      <c r="D120" s="17">
        <f>IFERROR(__xludf.DUMMYFUNCTION("""COMPUTED_VALUE"""),2392)</f>
        <v>2392</v>
      </c>
      <c r="E120" s="16">
        <f>IFERROR(__xludf.DUMMYFUNCTION("""COMPUTED_VALUE"""),45915.6458333333)</f>
        <v>45915.6458333333</v>
      </c>
      <c r="F120" s="17">
        <f>IFERROR(__xludf.DUMMYFUNCTION("""COMPUTED_VALUE"""),298129)</f>
        <v>298129</v>
      </c>
      <c r="G120" s="16">
        <f>IFERROR(__xludf.DUMMYFUNCTION("""COMPUTED_VALUE"""),45915.6458333333)</f>
        <v>45915.6458333333</v>
      </c>
      <c r="H120" s="17">
        <f>IFERROR(__xludf.DUMMYFUNCTION("""COMPUTED_VALUE"""),2402.8)</f>
        <v>2402.8</v>
      </c>
      <c r="I120" s="16">
        <f>IFERROR(__xludf.DUMMYFUNCTION("""COMPUTED_VALUE"""),45915.6458333333)</f>
        <v>45915.6458333333</v>
      </c>
      <c r="J120" s="17">
        <f>IFERROR(__xludf.DUMMYFUNCTION("""COMPUTED_VALUE"""),2378.1)</f>
        <v>2378.1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IFERROR(__xludf.DUMMYFUNCTION("""COMPUTED_VALUE"""),2399.4)</f>
        <v>2399.4</v>
      </c>
      <c r="C121" s="16">
        <f>IFERROR(__xludf.DUMMYFUNCTION("""COMPUTED_VALUE"""),45916.6458333333)</f>
        <v>45916.6458333333</v>
      </c>
      <c r="D121" s="17">
        <f>IFERROR(__xludf.DUMMYFUNCTION("""COMPUTED_VALUE"""),2410)</f>
        <v>2410</v>
      </c>
      <c r="E121" s="16">
        <f>IFERROR(__xludf.DUMMYFUNCTION("""COMPUTED_VALUE"""),45916.6458333333)</f>
        <v>45916.6458333333</v>
      </c>
      <c r="F121" s="17">
        <f>IFERROR(__xludf.DUMMYFUNCTION("""COMPUTED_VALUE"""),752979)</f>
        <v>752979</v>
      </c>
      <c r="G121" s="16">
        <f>IFERROR(__xludf.DUMMYFUNCTION("""COMPUTED_VALUE"""),45916.6458333333)</f>
        <v>45916.6458333333</v>
      </c>
      <c r="H121" s="17">
        <f>IFERROR(__xludf.DUMMYFUNCTION("""COMPUTED_VALUE"""),2415.8)</f>
        <v>2415.8</v>
      </c>
      <c r="I121" s="16">
        <f>IFERROR(__xludf.DUMMYFUNCTION("""COMPUTED_VALUE"""),45916.6458333333)</f>
        <v>45916.6458333333</v>
      </c>
      <c r="J121" s="17">
        <f>IFERROR(__xludf.DUMMYFUNCTION("""COMPUTED_VALUE"""),2388)</f>
        <v>2388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IFERROR(__xludf.DUMMYFUNCTION("""COMPUTED_VALUE"""),2402)</f>
        <v>2402</v>
      </c>
      <c r="C122" s="16">
        <f>IFERROR(__xludf.DUMMYFUNCTION("""COMPUTED_VALUE"""),45917.6458333333)</f>
        <v>45917.6458333333</v>
      </c>
      <c r="D122" s="17">
        <f>IFERROR(__xludf.DUMMYFUNCTION("""COMPUTED_VALUE"""),2417)</f>
        <v>2417</v>
      </c>
      <c r="E122" s="16">
        <f>IFERROR(__xludf.DUMMYFUNCTION("""COMPUTED_VALUE"""),45917.6458333333)</f>
        <v>45917.6458333333</v>
      </c>
      <c r="F122" s="17">
        <f>IFERROR(__xludf.DUMMYFUNCTION("""COMPUTED_VALUE"""),514354)</f>
        <v>514354</v>
      </c>
      <c r="G122" s="16">
        <f>IFERROR(__xludf.DUMMYFUNCTION("""COMPUTED_VALUE"""),45917.6458333333)</f>
        <v>45917.6458333333</v>
      </c>
      <c r="H122" s="17">
        <f>IFERROR(__xludf.DUMMYFUNCTION("""COMPUTED_VALUE"""),2417)</f>
        <v>2417</v>
      </c>
      <c r="I122" s="16">
        <f>IFERROR(__xludf.DUMMYFUNCTION("""COMPUTED_VALUE"""),45917.6458333333)</f>
        <v>45917.6458333333</v>
      </c>
      <c r="J122" s="17">
        <f>IFERROR(__xludf.DUMMYFUNCTION("""COMPUTED_VALUE"""),2391)</f>
        <v>2391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IFERROR(__xludf.DUMMYFUNCTION("""COMPUTED_VALUE"""),2402)</f>
        <v>2402</v>
      </c>
      <c r="C123" s="16">
        <f>IFERROR(__xludf.DUMMYFUNCTION("""COMPUTED_VALUE"""),45918.6458333333)</f>
        <v>45918.6458333333</v>
      </c>
      <c r="D123" s="17">
        <f>IFERROR(__xludf.DUMMYFUNCTION("""COMPUTED_VALUE"""),2414.5)</f>
        <v>2414.5</v>
      </c>
      <c r="E123" s="16">
        <f>IFERROR(__xludf.DUMMYFUNCTION("""COMPUTED_VALUE"""),45918.6458333333)</f>
        <v>45918.6458333333</v>
      </c>
      <c r="F123" s="17">
        <f>IFERROR(__xludf.DUMMYFUNCTION("""COMPUTED_VALUE"""),703730)</f>
        <v>703730</v>
      </c>
      <c r="G123" s="16">
        <f>IFERROR(__xludf.DUMMYFUNCTION("""COMPUTED_VALUE"""),45918.6458333333)</f>
        <v>45918.6458333333</v>
      </c>
      <c r="H123" s="17">
        <f>IFERROR(__xludf.DUMMYFUNCTION("""COMPUTED_VALUE"""),2438)</f>
        <v>2438</v>
      </c>
      <c r="I123" s="16">
        <f>IFERROR(__xludf.DUMMYFUNCTION("""COMPUTED_VALUE"""),45918.6458333333)</f>
        <v>45918.6458333333</v>
      </c>
      <c r="J123" s="17">
        <f>IFERROR(__xludf.DUMMYFUNCTION("""COMPUTED_VALUE"""),2388.4)</f>
        <v>2388.4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IFERROR(__xludf.DUMMYFUNCTION("""COMPUTED_VALUE"""),2524)</f>
        <v>2524</v>
      </c>
      <c r="C124" s="16">
        <f>IFERROR(__xludf.DUMMYFUNCTION("""COMPUTED_VALUE"""),45919.6458333333)</f>
        <v>45919.6458333333</v>
      </c>
      <c r="D124" s="17">
        <f>IFERROR(__xludf.DUMMYFUNCTION("""COMPUTED_VALUE"""),2495)</f>
        <v>2495</v>
      </c>
      <c r="E124" s="16">
        <f>IFERROR(__xludf.DUMMYFUNCTION("""COMPUTED_VALUE"""),45919.6458333333)</f>
        <v>45919.6458333333</v>
      </c>
      <c r="F124" s="17">
        <f>IFERROR(__xludf.DUMMYFUNCTION("""COMPUTED_VALUE"""),7965135)</f>
        <v>7965135</v>
      </c>
      <c r="G124" s="16">
        <f>IFERROR(__xludf.DUMMYFUNCTION("""COMPUTED_VALUE"""),45919.6458333333)</f>
        <v>45919.6458333333</v>
      </c>
      <c r="H124" s="17">
        <f>IFERROR(__xludf.DUMMYFUNCTION("""COMPUTED_VALUE"""),2579)</f>
        <v>2579</v>
      </c>
      <c r="I124" s="16">
        <f>IFERROR(__xludf.DUMMYFUNCTION("""COMPUTED_VALUE"""),45919.6458333333)</f>
        <v>45919.6458333333</v>
      </c>
      <c r="J124" s="17">
        <f>IFERROR(__xludf.DUMMYFUNCTION("""COMPUTED_VALUE"""),2466.1)</f>
        <v>2466.1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IFERROR(__xludf.DUMMYFUNCTION("""COMPUTED_VALUE"""),2629.5)</f>
        <v>2629.5</v>
      </c>
      <c r="C125" s="16">
        <f>IFERROR(__xludf.DUMMYFUNCTION("""COMPUTED_VALUE"""),45922.6458333333)</f>
        <v>45922.6458333333</v>
      </c>
      <c r="D125" s="17">
        <f>IFERROR(__xludf.DUMMYFUNCTION("""COMPUTED_VALUE"""),2535)</f>
        <v>2535</v>
      </c>
      <c r="E125" s="16">
        <f>IFERROR(__xludf.DUMMYFUNCTION("""COMPUTED_VALUE"""),45922.6458333333)</f>
        <v>45922.6458333333</v>
      </c>
      <c r="F125" s="17">
        <f>IFERROR(__xludf.DUMMYFUNCTION("""COMPUTED_VALUE"""),7022985)</f>
        <v>7022985</v>
      </c>
      <c r="G125" s="16">
        <f>IFERROR(__xludf.DUMMYFUNCTION("""COMPUTED_VALUE"""),45922.6458333333)</f>
        <v>45922.6458333333</v>
      </c>
      <c r="H125" s="17">
        <f>IFERROR(__xludf.DUMMYFUNCTION("""COMPUTED_VALUE"""),2659)</f>
        <v>2659</v>
      </c>
      <c r="I125" s="16">
        <f>IFERROR(__xludf.DUMMYFUNCTION("""COMPUTED_VALUE"""),45922.6458333333)</f>
        <v>45922.6458333333</v>
      </c>
      <c r="J125" s="17">
        <f>IFERROR(__xludf.DUMMYFUNCTION("""COMPUTED_VALUE"""),2522.1)</f>
        <v>2522.1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IFERROR(__xludf.DUMMYFUNCTION("""COMPUTED_VALUE"""),2676.4)</f>
        <v>2676.4</v>
      </c>
      <c r="C126" s="16">
        <f>IFERROR(__xludf.DUMMYFUNCTION("""COMPUTED_VALUE"""),45923.6458333333)</f>
        <v>45923.6458333333</v>
      </c>
      <c r="D126" s="17">
        <f>IFERROR(__xludf.DUMMYFUNCTION("""COMPUTED_VALUE"""),2642.6)</f>
        <v>2642.6</v>
      </c>
      <c r="E126" s="16">
        <f>IFERROR(__xludf.DUMMYFUNCTION("""COMPUTED_VALUE"""),45923.6458333333)</f>
        <v>45923.6458333333</v>
      </c>
      <c r="F126" s="17">
        <f>IFERROR(__xludf.DUMMYFUNCTION("""COMPUTED_VALUE"""),5610022)</f>
        <v>5610022</v>
      </c>
      <c r="G126" s="16">
        <f>IFERROR(__xludf.DUMMYFUNCTION("""COMPUTED_VALUE"""),45923.6458333333)</f>
        <v>45923.6458333333</v>
      </c>
      <c r="H126" s="17">
        <f>IFERROR(__xludf.DUMMYFUNCTION("""COMPUTED_VALUE"""),2695)</f>
        <v>2695</v>
      </c>
      <c r="I126" s="16">
        <f>IFERROR(__xludf.DUMMYFUNCTION("""COMPUTED_VALUE"""),45923.6458333333)</f>
        <v>45923.6458333333</v>
      </c>
      <c r="J126" s="17">
        <f>IFERROR(__xludf.DUMMYFUNCTION("""COMPUTED_VALUE"""),2593)</f>
        <v>2593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IFERROR(__xludf.DUMMYFUNCTION("""COMPUTED_VALUE"""),2619.8)</f>
        <v>2619.8</v>
      </c>
      <c r="C127" s="16">
        <f>IFERROR(__xludf.DUMMYFUNCTION("""COMPUTED_VALUE"""),45924.6458333333)</f>
        <v>45924.6458333333</v>
      </c>
      <c r="D127" s="17">
        <f>IFERROR(__xludf.DUMMYFUNCTION("""COMPUTED_VALUE"""),2655)</f>
        <v>2655</v>
      </c>
      <c r="E127" s="16">
        <f>IFERROR(__xludf.DUMMYFUNCTION("""COMPUTED_VALUE"""),45924.6458333333)</f>
        <v>45924.6458333333</v>
      </c>
      <c r="F127" s="17">
        <f>IFERROR(__xludf.DUMMYFUNCTION("""COMPUTED_VALUE"""),1720785)</f>
        <v>1720785</v>
      </c>
      <c r="G127" s="16">
        <f>IFERROR(__xludf.DUMMYFUNCTION("""COMPUTED_VALUE"""),45924.6458333333)</f>
        <v>45924.6458333333</v>
      </c>
      <c r="H127" s="17">
        <f>IFERROR(__xludf.DUMMYFUNCTION("""COMPUTED_VALUE"""),2676)</f>
        <v>2676</v>
      </c>
      <c r="I127" s="16">
        <f>IFERROR(__xludf.DUMMYFUNCTION("""COMPUTED_VALUE"""),45924.6458333333)</f>
        <v>45924.6458333333</v>
      </c>
      <c r="J127" s="17">
        <f>IFERROR(__xludf.DUMMYFUNCTION("""COMPUTED_VALUE"""),2614.4)</f>
        <v>2614.4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IFERROR(__xludf.DUMMYFUNCTION("""COMPUTED_VALUE"""),2576.4)</f>
        <v>2576.4</v>
      </c>
      <c r="C128" s="16">
        <f>IFERROR(__xludf.DUMMYFUNCTION("""COMPUTED_VALUE"""),45925.6458333333)</f>
        <v>45925.6458333333</v>
      </c>
      <c r="D128" s="17">
        <f>IFERROR(__xludf.DUMMYFUNCTION("""COMPUTED_VALUE"""),2625)</f>
        <v>2625</v>
      </c>
      <c r="E128" s="16">
        <f>IFERROR(__xludf.DUMMYFUNCTION("""COMPUTED_VALUE"""),45925.6458333333)</f>
        <v>45925.6458333333</v>
      </c>
      <c r="F128" s="17">
        <f>IFERROR(__xludf.DUMMYFUNCTION("""COMPUTED_VALUE"""),1489682)</f>
        <v>1489682</v>
      </c>
      <c r="G128" s="16">
        <f>IFERROR(__xludf.DUMMYFUNCTION("""COMPUTED_VALUE"""),45925.6458333333)</f>
        <v>45925.6458333333</v>
      </c>
      <c r="H128" s="17">
        <f>IFERROR(__xludf.DUMMYFUNCTION("""COMPUTED_VALUE"""),2647.9)</f>
        <v>2647.9</v>
      </c>
      <c r="I128" s="16">
        <f>IFERROR(__xludf.DUMMYFUNCTION("""COMPUTED_VALUE"""),45925.6458333333)</f>
        <v>45925.6458333333</v>
      </c>
      <c r="J128" s="17">
        <f>IFERROR(__xludf.DUMMYFUNCTION("""COMPUTED_VALUE"""),2567)</f>
        <v>2567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IFERROR(__xludf.DUMMYFUNCTION("""COMPUTED_VALUE"""),2543.7)</f>
        <v>2543.7</v>
      </c>
      <c r="C129" s="16">
        <f>IFERROR(__xludf.DUMMYFUNCTION("""COMPUTED_VALUE"""),45926.6458333333)</f>
        <v>45926.6458333333</v>
      </c>
      <c r="D129" s="17">
        <f>IFERROR(__xludf.DUMMYFUNCTION("""COMPUTED_VALUE"""),2572.8)</f>
        <v>2572.8</v>
      </c>
      <c r="E129" s="16">
        <f>IFERROR(__xludf.DUMMYFUNCTION("""COMPUTED_VALUE"""),45926.6458333333)</f>
        <v>45926.6458333333</v>
      </c>
      <c r="F129" s="17">
        <f>IFERROR(__xludf.DUMMYFUNCTION("""COMPUTED_VALUE"""),1037808)</f>
        <v>1037808</v>
      </c>
      <c r="G129" s="16">
        <f>IFERROR(__xludf.DUMMYFUNCTION("""COMPUTED_VALUE"""),45926.6458333333)</f>
        <v>45926.6458333333</v>
      </c>
      <c r="H129" s="17">
        <f>IFERROR(__xludf.DUMMYFUNCTION("""COMPUTED_VALUE"""),2605)</f>
        <v>2605</v>
      </c>
      <c r="I129" s="16">
        <f>IFERROR(__xludf.DUMMYFUNCTION("""COMPUTED_VALUE"""),45926.6458333333)</f>
        <v>45926.6458333333</v>
      </c>
      <c r="J129" s="17">
        <f>IFERROR(__xludf.DUMMYFUNCTION("""COMPUTED_VALUE"""),2535)</f>
        <v>2535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129"/>
  <sheetViews>
    <sheetView workbookViewId="0">
      <selection activeCell="A1" sqref="A1"/>
    </sheetView>
  </sheetViews>
  <sheetFormatPr defaultColWidth="12.6272727272727" defaultRowHeight="15.75" customHeight="1"/>
  <sheetData>
    <row r="1" customHeight="1" spans="1:31">
      <c r="A1" s="1" t="s">
        <v>264</v>
      </c>
      <c r="B1" s="2">
        <f ca="1">TODAY()</f>
        <v>45927</v>
      </c>
      <c r="C1" s="3">
        <f ca="1">DAY(B1)</f>
        <v>27</v>
      </c>
      <c r="D1" s="3">
        <f ca="1" t="shared" ref="D1:D2" si="0">MONTH(B1)</f>
        <v>9</v>
      </c>
      <c r="E1" s="3">
        <f ca="1" t="shared" ref="E1:E2" si="1">YEAR(B1)</f>
        <v>2025</v>
      </c>
      <c r="F1" s="4"/>
      <c r="G1" s="4"/>
      <c r="H1" s="5"/>
      <c r="I1" s="5"/>
      <c r="J1" s="5"/>
      <c r="K1" s="5"/>
      <c r="L1" s="5"/>
      <c r="M1" s="18" t="s">
        <v>265</v>
      </c>
      <c r="N1" s="19"/>
      <c r="O1" s="19"/>
      <c r="P1" s="19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</row>
    <row r="2" customHeight="1" spans="1:31">
      <c r="A2" s="1" t="s">
        <v>266</v>
      </c>
      <c r="B2" s="2">
        <f ca="1">EDATE(TODAY(),-6)</f>
        <v>45743</v>
      </c>
      <c r="C2" s="3">
        <f ca="1">DAY(B2)</f>
        <v>27</v>
      </c>
      <c r="D2" s="3">
        <f ca="1" t="shared" si="0"/>
        <v>3</v>
      </c>
      <c r="E2" s="3">
        <f ca="1" t="shared" si="1"/>
        <v>2025</v>
      </c>
      <c r="F2" s="4"/>
      <c r="G2" s="4"/>
      <c r="H2" s="5"/>
      <c r="I2" s="5"/>
      <c r="J2" s="5"/>
      <c r="K2" s="5"/>
      <c r="L2" s="5"/>
      <c r="M2" s="20" t="str">
        <f>IFERROR(__xludf.DUMMYFUNCTION("GOOGLEFINANCE(L3, ""close"", WORKDAY(TODAY(), -1), WORKDAY(TODAY(), -1))"),"Date")</f>
        <v>Date</v>
      </c>
      <c r="N2" s="21" t="str">
        <f>IFERROR(__xludf.DUMMYFUNCTION("""COMPUTED_VALUE"""),"Close")</f>
        <v>Close</v>
      </c>
      <c r="O2" s="20" t="str">
        <f>IFERROR(__xludf.DUMMYFUNCTION("GOOGLEFINANCE(L3, ""open"", WORKDAY(TODAY(), -1), WORKDAY(TODAY(), -1))"),"Date")</f>
        <v>Date</v>
      </c>
      <c r="P2" s="21" t="str">
        <f>IFERROR(__xludf.DUMMYFUNCTION("""COMPUTED_VALUE"""),"Open")</f>
        <v>Open</v>
      </c>
      <c r="Q2" s="32" t="str">
        <f>IFERROR(__xludf.DUMMYFUNCTION("GOOGLEFINANCE(L3, ""hIGH"", WORKDAY(TODAY(), -1), WORKDAY(TODAY(), -1))"),"Date")</f>
        <v>Date</v>
      </c>
      <c r="R2" s="31" t="str">
        <f>IFERROR(__xludf.DUMMYFUNCTION("""COMPUTED_VALUE"""),"High")</f>
        <v>High</v>
      </c>
      <c r="S2" s="32" t="str">
        <f>IFERROR(__xludf.DUMMYFUNCTION("GOOGLEFINANCE(L3, ""LOW"", WORKDAY(TODAY(), -1), WORKDAY(TODAY(), -1))"),"Date")</f>
        <v>Date</v>
      </c>
      <c r="T2" s="31" t="str">
        <f>IFERROR(__xludf.DUMMYFUNCTION("""COMPUTED_VALUE"""),"Low")</f>
        <v>Low</v>
      </c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customHeight="1" spans="1:31">
      <c r="A3" s="6" t="s">
        <v>267</v>
      </c>
      <c r="B3" s="7"/>
      <c r="C3" s="7"/>
      <c r="D3" s="7"/>
      <c r="E3" s="7"/>
      <c r="F3" s="8"/>
      <c r="G3" s="9" t="s">
        <v>268</v>
      </c>
      <c r="H3" s="10">
        <f>IFERROR(__xludf.DUMMYFUNCTION("GOOGLEFINANCE(L3, ""price"")"),2535.6)</f>
        <v>2535.6</v>
      </c>
      <c r="I3" s="22" t="s">
        <v>269</v>
      </c>
      <c r="J3" s="23">
        <f>IFERROR(__xludf.DUMMYFUNCTION("GOOGLEFINANCE(L3, ""volume"")"),1037808)</f>
        <v>1037808</v>
      </c>
      <c r="K3" s="24" t="s">
        <v>270</v>
      </c>
      <c r="L3" s="25" t="str">
        <f>Mastersheet!B3</f>
        <v>ADANIENT</v>
      </c>
      <c r="M3" s="26">
        <f>IFERROR(__xludf.DUMMYFUNCTION("""COMPUTED_VALUE"""),45926.6458333333)</f>
        <v>45926.6458333333</v>
      </c>
      <c r="N3" s="27">
        <f>IFERROR(__xludf.DUMMYFUNCTION("""COMPUTED_VALUE"""),2543.7)</f>
        <v>2543.7</v>
      </c>
      <c r="O3" s="26">
        <f>IFERROR(__xludf.DUMMYFUNCTION("""COMPUTED_VALUE"""),45926.6458333333)</f>
        <v>45926.6458333333</v>
      </c>
      <c r="P3" s="27">
        <f>IFERROR(__xludf.DUMMYFUNCTION("""COMPUTED_VALUE"""),2572.8)</f>
        <v>2572.8</v>
      </c>
      <c r="Q3" s="16">
        <f>IFERROR(__xludf.DUMMYFUNCTION("""COMPUTED_VALUE"""),45926.6458333333)</f>
        <v>45926.6458333333</v>
      </c>
      <c r="R3" s="17">
        <f>IFERROR(__xludf.DUMMYFUNCTION("""COMPUTED_VALUE"""),2605)</f>
        <v>2605</v>
      </c>
      <c r="S3" s="16">
        <f>IFERROR(__xludf.DUMMYFUNCTION("""COMPUTED_VALUE"""),45926.6458333333)</f>
        <v>45926.6458333333</v>
      </c>
      <c r="T3" s="17">
        <f>IFERROR(__xludf.DUMMYFUNCTION("""COMPUTED_VALUE"""),2535)</f>
        <v>2535</v>
      </c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</row>
    <row r="4" customHeight="1" spans="1:31">
      <c r="A4" s="11" t="str">
        <f>IFERROR(__xludf.DUMMYFUNCTION("GOOGLEFINANCE(L3, ""CLOSE"",DATE(E2,D2,C2), DATE(E1,D1,C1), ""DAILY"")"),"Date")</f>
        <v>Date</v>
      </c>
      <c r="B4" s="12" t="str">
        <f>IFERROR(__xludf.DUMMYFUNCTION("""COMPUTED_VALUE"""),"Close")</f>
        <v>Close</v>
      </c>
      <c r="C4" s="12" t="str">
        <f>IFERROR(__xludf.DUMMYFUNCTION("GOOGLEFINANCE(L3, ""open"", DATE(E2,D2,C2), DATE(E1,D1,C1), ""DAILY"")"),"Date")</f>
        <v>Date</v>
      </c>
      <c r="D4" s="12" t="str">
        <f>IFERROR(__xludf.DUMMYFUNCTION("""COMPUTED_VALUE"""),"Open")</f>
        <v>Open</v>
      </c>
      <c r="E4" s="13" t="str">
        <f>IFERROR(__xludf.DUMMYFUNCTION("GOOGLEFINANCE(L3, ""VOLUME"", DATE(E2,D2,C2), DATE(E1,D1,C1), ""DAILY"")"),"Date")</f>
        <v>Date</v>
      </c>
      <c r="F4" s="12" t="str">
        <f>IFERROR(__xludf.DUMMYFUNCTION("""COMPUTED_VALUE"""),"Volume")</f>
        <v>Volume</v>
      </c>
      <c r="G4" s="13" t="str">
        <f>IFERROR(__xludf.DUMMYFUNCTION("GOOGLEFINANCE(L3, ""HIGH"", DATE(E2,D2,C2), DATE(E1,D1,C1), ""DAILY"")"),"Date")</f>
        <v>Date</v>
      </c>
      <c r="H4" s="13" t="str">
        <f>IFERROR(__xludf.DUMMYFUNCTION("""COMPUTED_VALUE"""),"High")</f>
        <v>High</v>
      </c>
      <c r="I4" s="13" t="str">
        <f>IFERROR(__xludf.DUMMYFUNCTION("GOOGLEFINANCE(L3, ""LOW"", DATE(E2,D2,C2), DATE(E1,D1,C1), ""DAILY"")"),"Date")</f>
        <v>Date</v>
      </c>
      <c r="J4" s="28" t="str">
        <f>IFERROR(__xludf.DUMMYFUNCTION("""COMPUTED_VALUE"""),"Low")</f>
        <v>Low</v>
      </c>
      <c r="K4" s="29" t="s">
        <v>271</v>
      </c>
      <c r="L4" s="29" t="s">
        <v>272</v>
      </c>
      <c r="M4" s="29" t="s">
        <v>273</v>
      </c>
      <c r="N4" s="29" t="s">
        <v>274</v>
      </c>
      <c r="O4" s="29" t="s">
        <v>275</v>
      </c>
      <c r="P4" s="29" t="s">
        <v>276</v>
      </c>
      <c r="Q4" s="33" t="s">
        <v>277</v>
      </c>
      <c r="R4" s="33" t="s">
        <v>278</v>
      </c>
      <c r="S4" s="33" t="s">
        <v>279</v>
      </c>
      <c r="T4" s="33" t="s">
        <v>280</v>
      </c>
      <c r="U4" s="33" t="s">
        <v>281</v>
      </c>
      <c r="V4" s="33" t="s">
        <v>282</v>
      </c>
      <c r="W4" s="29" t="s">
        <v>283</v>
      </c>
      <c r="X4" s="34" t="s">
        <v>284</v>
      </c>
      <c r="Y4" s="37" t="s">
        <v>285</v>
      </c>
      <c r="Z4" s="38" t="s">
        <v>286</v>
      </c>
      <c r="AA4" s="39" t="s">
        <v>287</v>
      </c>
      <c r="AB4" s="40" t="s">
        <v>288</v>
      </c>
      <c r="AC4" s="19"/>
      <c r="AD4" s="19"/>
      <c r="AE4" s="41"/>
    </row>
    <row r="5" customHeight="1" spans="1:31">
      <c r="A5" s="14">
        <f>IFERROR(__xludf.DUMMYFUNCTION("""COMPUTED_VALUE"""),45743.6458333333)</f>
        <v>45743.6458333333</v>
      </c>
      <c r="B5" s="15">
        <f>IFERROR(__xludf.DUMMYFUNCTION("""COMPUTED_VALUE"""),2363.35)</f>
        <v>2363.35</v>
      </c>
      <c r="C5" s="14">
        <f>IFERROR(__xludf.DUMMYFUNCTION("""COMPUTED_VALUE"""),45743.6458333333)</f>
        <v>45743.6458333333</v>
      </c>
      <c r="D5" s="15">
        <f>IFERROR(__xludf.DUMMYFUNCTION("""COMPUTED_VALUE"""),2310)</f>
        <v>2310</v>
      </c>
      <c r="E5" s="14">
        <f>IFERROR(__xludf.DUMMYFUNCTION("""COMPUTED_VALUE"""),45743.6458333333)</f>
        <v>45743.6458333333</v>
      </c>
      <c r="F5" s="15">
        <f>IFERROR(__xludf.DUMMYFUNCTION("""COMPUTED_VALUE"""),1696042)</f>
        <v>1696042</v>
      </c>
      <c r="G5" s="14">
        <f>IFERROR(__xludf.DUMMYFUNCTION("""COMPUTED_VALUE"""),45743.6458333333)</f>
        <v>45743.6458333333</v>
      </c>
      <c r="H5" s="15">
        <f>IFERROR(__xludf.DUMMYFUNCTION("""COMPUTED_VALUE"""),2373.9)</f>
        <v>2373.9</v>
      </c>
      <c r="I5" s="30">
        <f>IFERROR(__xludf.DUMMYFUNCTION("""COMPUTED_VALUE"""),45743.6458333333)</f>
        <v>45743.6458333333</v>
      </c>
      <c r="J5" s="3">
        <f>IFERROR(__xludf.DUMMYFUNCTION("""COMPUTED_VALUE"""),2291.6)</f>
        <v>2291.6</v>
      </c>
      <c r="K5" s="5"/>
      <c r="L5" s="5"/>
      <c r="M5" s="3">
        <f t="array" ref="M5">INDEX(K11:K124,MATCH(SMALL(ABS(K11:K124-H3),1),ABS(K11:K124-H3),0))</f>
        <v>2555</v>
      </c>
      <c r="N5" s="3">
        <f t="array" ref="N5">INDEX(K11:K124,MATCH(SMALL(ABS(K11:K124-H3),2),ABS(K11:K124-H3),0))</f>
        <v>2613.1</v>
      </c>
      <c r="O5" s="3">
        <f t="array" ref="O5">INDEX(L11:L124,MATCH(SMALL(ABS(L11:L124-H3),1),ABS(L11:L124-H3),0))</f>
        <v>2558.7</v>
      </c>
      <c r="P5" s="3">
        <f t="array" ref="P5">INDEX(L11:L124,MATCH(SMALL(ABS(L11:L124-H3),2),ABS(L11:L124-H3),0))</f>
        <v>2470.9</v>
      </c>
      <c r="Q5" s="31">
        <f>IF(OR(AND(M5&gt;=P3,M5&lt;=N3,M5&gt;R5),AND(N5&gt;=P3,N5&lt;=N3,N5&gt;R5),AND(O5&gt;=P3,O5&lt;=N3,O5&gt;R5),AND(P5&gt;=P3,P5&lt;=N3,P5&gt;R5)),MAX(IF(AND(M5&gt;=P3,M5&lt;=N3),M5,R5),IF(AND(N5&gt;=P3,N5&lt;=N3),N5,R5),IF(AND(O5&gt;=P3,O5&lt;=N3),O5,R5),IF(AND(P5&gt;=P3,P5&lt;=N3),P5,R5)),R5)</f>
        <v>0</v>
      </c>
      <c r="R5" s="31"/>
      <c r="S5" s="35">
        <f ca="1">IF(Q5&gt;0,Q5,S5)</f>
        <v>2442.8</v>
      </c>
      <c r="T5" s="17">
        <f ca="1">IF(AND(H3&gt;=Mastersheet!I3*S5,H3&lt;=Mastersheet!J3*S5),1,0)</f>
        <v>0</v>
      </c>
      <c r="U5" s="36">
        <f>(N3+P3)/2</f>
        <v>2558.25</v>
      </c>
      <c r="V5" s="17">
        <f>(N3+P3+R3+T3)/4</f>
        <v>2564.125</v>
      </c>
      <c r="W5" s="17">
        <f>IF(V5&gt;U5,1,0)</f>
        <v>1</v>
      </c>
      <c r="X5" s="17">
        <f>IF(V5&gt;U5,0,1)</f>
        <v>0</v>
      </c>
      <c r="Y5" s="17">
        <f>IF(COUNTIF(Mastersheet!E:E,L3)&gt;0,0,1)</f>
        <v>1</v>
      </c>
      <c r="Z5" s="42">
        <f ca="1">IF(T5*W5*Y5=1,1,0)</f>
        <v>0</v>
      </c>
      <c r="AA5" s="43"/>
      <c r="AB5" s="44" t="s">
        <v>289</v>
      </c>
      <c r="AC5" s="45" t="s">
        <v>290</v>
      </c>
      <c r="AD5" s="46" t="s">
        <v>291</v>
      </c>
      <c r="AE5" s="46" t="s">
        <v>292</v>
      </c>
    </row>
    <row r="6" customHeight="1" spans="1:31">
      <c r="A6" s="16">
        <f>IFERROR(__xludf.DUMMYFUNCTION("""COMPUTED_VALUE"""),45744.6458333333)</f>
        <v>45744.6458333333</v>
      </c>
      <c r="B6" s="17">
        <f>IFERROR(__xludf.DUMMYFUNCTION("""COMPUTED_VALUE"""),2315.8)</f>
        <v>2315.8</v>
      </c>
      <c r="C6" s="16">
        <f>IFERROR(__xludf.DUMMYFUNCTION("""COMPUTED_VALUE"""),45744.6458333333)</f>
        <v>45744.6458333333</v>
      </c>
      <c r="D6" s="17">
        <f>IFERROR(__xludf.DUMMYFUNCTION("""COMPUTED_VALUE"""),2376)</f>
        <v>2376</v>
      </c>
      <c r="E6" s="16">
        <f>IFERROR(__xludf.DUMMYFUNCTION("""COMPUTED_VALUE"""),45744.6458333333)</f>
        <v>45744.6458333333</v>
      </c>
      <c r="F6" s="17">
        <f>IFERROR(__xludf.DUMMYFUNCTION("""COMPUTED_VALUE"""),1838836)</f>
        <v>1838836</v>
      </c>
      <c r="G6" s="16">
        <f>IFERROR(__xludf.DUMMYFUNCTION("""COMPUTED_VALUE"""),45744.6458333333)</f>
        <v>45744.6458333333</v>
      </c>
      <c r="H6" s="17">
        <f>IFERROR(__xludf.DUMMYFUNCTION("""COMPUTED_VALUE"""),2386.95)</f>
        <v>2386.95</v>
      </c>
      <c r="I6" s="16">
        <f>IFERROR(__xludf.DUMMYFUNCTION("""COMPUTED_VALUE"""),45744.6458333333)</f>
        <v>45744.6458333333</v>
      </c>
      <c r="J6" s="17">
        <f>IFERROR(__xludf.DUMMYFUNCTION("""COMPUTED_VALUE"""),2293.7)</f>
        <v>2293.7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17">
        <f>IF(COUNTIF(Mastersheet!E:E,L3)&gt;0,1,0)</f>
        <v>0</v>
      </c>
      <c r="AC6" s="17">
        <f>IF(AND(H3&gt;Mastersheet!L3*Mastersheet!F3,X5),1,0)</f>
        <v>0</v>
      </c>
      <c r="AD6" s="36">
        <f>IF(H3&lt;Mastersheet!M3*Mastersheet!F3,1,0)</f>
        <v>0</v>
      </c>
      <c r="AE6" s="17">
        <f>IF(OR(AC6*AB6=1,AD6*AB6=1),1,0)</f>
        <v>0</v>
      </c>
    </row>
    <row r="7" customHeight="1" spans="1:31">
      <c r="A7" s="16">
        <f>IFERROR(__xludf.DUMMYFUNCTION("""COMPUTED_VALUE"""),45748.6458333333)</f>
        <v>45748.6458333333</v>
      </c>
      <c r="B7" s="17">
        <f>IFERROR(__xludf.DUMMYFUNCTION("""COMPUTED_VALUE"""),2335.25)</f>
        <v>2335.25</v>
      </c>
      <c r="C7" s="16">
        <f>IFERROR(__xludf.DUMMYFUNCTION("""COMPUTED_VALUE"""),45748.6458333333)</f>
        <v>45748.6458333333</v>
      </c>
      <c r="D7" s="17">
        <f>IFERROR(__xludf.DUMMYFUNCTION("""COMPUTED_VALUE"""),2312)</f>
        <v>2312</v>
      </c>
      <c r="E7" s="16">
        <f>IFERROR(__xludf.DUMMYFUNCTION("""COMPUTED_VALUE"""),45748.6458333333)</f>
        <v>45748.6458333333</v>
      </c>
      <c r="F7" s="17">
        <f>IFERROR(__xludf.DUMMYFUNCTION("""COMPUTED_VALUE"""),501942)</f>
        <v>501942</v>
      </c>
      <c r="G7" s="16">
        <f>IFERROR(__xludf.DUMMYFUNCTION("""COMPUTED_VALUE"""),45748.6458333333)</f>
        <v>45748.6458333333</v>
      </c>
      <c r="H7" s="17">
        <f>IFERROR(__xludf.DUMMYFUNCTION("""COMPUTED_VALUE"""),2358.95)</f>
        <v>2358.95</v>
      </c>
      <c r="I7" s="16">
        <f>IFERROR(__xludf.DUMMYFUNCTION("""COMPUTED_VALUE"""),45748.6458333333)</f>
        <v>45748.6458333333</v>
      </c>
      <c r="J7" s="17">
        <f>IFERROR(__xludf.DUMMYFUNCTION("""COMPUTED_VALUE"""),2301)</f>
        <v>2301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</row>
    <row r="8" customHeight="1" spans="1:31">
      <c r="A8" s="16">
        <f>IFERROR(__xludf.DUMMYFUNCTION("""COMPUTED_VALUE"""),45749.6458333333)</f>
        <v>45749.6458333333</v>
      </c>
      <c r="B8" s="17">
        <f>IFERROR(__xludf.DUMMYFUNCTION("""COMPUTED_VALUE"""),2369.4)</f>
        <v>2369.4</v>
      </c>
      <c r="C8" s="16">
        <f>IFERROR(__xludf.DUMMYFUNCTION("""COMPUTED_VALUE"""),45749.6458333333)</f>
        <v>45749.6458333333</v>
      </c>
      <c r="D8" s="17">
        <f>IFERROR(__xludf.DUMMYFUNCTION("""COMPUTED_VALUE"""),2339.75)</f>
        <v>2339.75</v>
      </c>
      <c r="E8" s="16">
        <f>IFERROR(__xludf.DUMMYFUNCTION("""COMPUTED_VALUE"""),45749.6458333333)</f>
        <v>45749.6458333333</v>
      </c>
      <c r="F8" s="17">
        <f>IFERROR(__xludf.DUMMYFUNCTION("""COMPUTED_VALUE"""),573928)</f>
        <v>573928</v>
      </c>
      <c r="G8" s="16">
        <f>IFERROR(__xludf.DUMMYFUNCTION("""COMPUTED_VALUE"""),45749.6458333333)</f>
        <v>45749.6458333333</v>
      </c>
      <c r="H8" s="17">
        <f>IFERROR(__xludf.DUMMYFUNCTION("""COMPUTED_VALUE"""),2378.85)</f>
        <v>2378.85</v>
      </c>
      <c r="I8" s="16">
        <f>IFERROR(__xludf.DUMMYFUNCTION("""COMPUTED_VALUE"""),45749.6458333333)</f>
        <v>45749.6458333333</v>
      </c>
      <c r="J8" s="17">
        <f>IFERROR(__xludf.DUMMYFUNCTION("""COMPUTED_VALUE"""),2314.55)</f>
        <v>2314.55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</row>
    <row r="9" customHeight="1" spans="1:31">
      <c r="A9" s="16">
        <f>IFERROR(__xludf.DUMMYFUNCTION("""COMPUTED_VALUE"""),45750.6458333333)</f>
        <v>45750.6458333333</v>
      </c>
      <c r="B9" s="17">
        <f>IFERROR(__xludf.DUMMYFUNCTION("""COMPUTED_VALUE"""),2410.8)</f>
        <v>2410.8</v>
      </c>
      <c r="C9" s="16">
        <f>IFERROR(__xludf.DUMMYFUNCTION("""COMPUTED_VALUE"""),45750.6458333333)</f>
        <v>45750.6458333333</v>
      </c>
      <c r="D9" s="17">
        <f>IFERROR(__xludf.DUMMYFUNCTION("""COMPUTED_VALUE"""),2339.75)</f>
        <v>2339.75</v>
      </c>
      <c r="E9" s="16">
        <f>IFERROR(__xludf.DUMMYFUNCTION("""COMPUTED_VALUE"""),45750.6458333333)</f>
        <v>45750.6458333333</v>
      </c>
      <c r="F9" s="17">
        <f>IFERROR(__xludf.DUMMYFUNCTION("""COMPUTED_VALUE"""),1023200)</f>
        <v>1023200</v>
      </c>
      <c r="G9" s="16">
        <f>IFERROR(__xludf.DUMMYFUNCTION("""COMPUTED_VALUE"""),45750.6458333333)</f>
        <v>45750.6458333333</v>
      </c>
      <c r="H9" s="17">
        <f>IFERROR(__xludf.DUMMYFUNCTION("""COMPUTED_VALUE"""),2429.9)</f>
        <v>2429.9</v>
      </c>
      <c r="I9" s="16">
        <f>IFERROR(__xludf.DUMMYFUNCTION("""COMPUTED_VALUE"""),45750.6458333333)</f>
        <v>45750.6458333333</v>
      </c>
      <c r="J9" s="17">
        <f>IFERROR(__xludf.DUMMYFUNCTION("""COMPUTED_VALUE"""),2339.7)</f>
        <v>2339.7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</row>
    <row r="10" customHeight="1" spans="1:31">
      <c r="A10" s="16">
        <f>IFERROR(__xludf.DUMMYFUNCTION("""COMPUTED_VALUE"""),45751.6458333333)</f>
        <v>45751.6458333333</v>
      </c>
      <c r="B10" s="17">
        <f>IFERROR(__xludf.DUMMYFUNCTION("""COMPUTED_VALUE"""),2334.65)</f>
        <v>2334.65</v>
      </c>
      <c r="C10" s="16">
        <f>IFERROR(__xludf.DUMMYFUNCTION("""COMPUTED_VALUE"""),45751.6458333333)</f>
        <v>45751.6458333333</v>
      </c>
      <c r="D10" s="17">
        <f>IFERROR(__xludf.DUMMYFUNCTION("""COMPUTED_VALUE"""),2394.95)</f>
        <v>2394.95</v>
      </c>
      <c r="E10" s="16">
        <f>IFERROR(__xludf.DUMMYFUNCTION("""COMPUTED_VALUE"""),45751.6458333333)</f>
        <v>45751.6458333333</v>
      </c>
      <c r="F10" s="17">
        <f>IFERROR(__xludf.DUMMYFUNCTION("""COMPUTED_VALUE"""),1219733)</f>
        <v>1219733</v>
      </c>
      <c r="G10" s="16">
        <f>IFERROR(__xludf.DUMMYFUNCTION("""COMPUTED_VALUE"""),45751.6458333333)</f>
        <v>45751.6458333333</v>
      </c>
      <c r="H10" s="17">
        <f>IFERROR(__xludf.DUMMYFUNCTION("""COMPUTED_VALUE"""),2410.05)</f>
        <v>2410.05</v>
      </c>
      <c r="I10" s="16">
        <f>IFERROR(__xludf.DUMMYFUNCTION("""COMPUTED_VALUE"""),45751.6458333333)</f>
        <v>45751.6458333333</v>
      </c>
      <c r="J10" s="17">
        <f>IFERROR(__xludf.DUMMYFUNCTION("""COMPUTED_VALUE"""),2315.5)</f>
        <v>2315.5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</row>
    <row r="11" customHeight="1" spans="1:31">
      <c r="A11" s="16">
        <f>IFERROR(__xludf.DUMMYFUNCTION("""COMPUTED_VALUE"""),45754.6458333333)</f>
        <v>45754.6458333333</v>
      </c>
      <c r="B11" s="17">
        <f>IFERROR(__xludf.DUMMYFUNCTION("""COMPUTED_VALUE"""),2212.7)</f>
        <v>2212.7</v>
      </c>
      <c r="C11" s="16">
        <f>IFERROR(__xludf.DUMMYFUNCTION("""COMPUTED_VALUE"""),45754.6458333333)</f>
        <v>45754.6458333333</v>
      </c>
      <c r="D11" s="17">
        <f>IFERROR(__xludf.DUMMYFUNCTION("""COMPUTED_VALUE"""),2150.05)</f>
        <v>2150.05</v>
      </c>
      <c r="E11" s="16">
        <f>IFERROR(__xludf.DUMMYFUNCTION("""COMPUTED_VALUE"""),45754.6458333333)</f>
        <v>45754.6458333333</v>
      </c>
      <c r="F11" s="17">
        <f>IFERROR(__xludf.DUMMYFUNCTION("""COMPUTED_VALUE"""),1567177)</f>
        <v>1567177</v>
      </c>
      <c r="G11" s="16">
        <f>IFERROR(__xludf.DUMMYFUNCTION("""COMPUTED_VALUE"""),45754.6458333333)</f>
        <v>45754.6458333333</v>
      </c>
      <c r="H11" s="17">
        <f>IFERROR(__xludf.DUMMYFUNCTION("""COMPUTED_VALUE"""),2239)</f>
        <v>2239</v>
      </c>
      <c r="I11" s="16">
        <f>IFERROR(__xludf.DUMMYFUNCTION("""COMPUTED_VALUE"""),45754.6458333333)</f>
        <v>45754.6458333333</v>
      </c>
      <c r="J11" s="17">
        <f>IFERROR(__xludf.DUMMYFUNCTION("""COMPUTED_VALUE"""),2145)</f>
        <v>2145</v>
      </c>
      <c r="K11" s="3">
        <f t="shared" ref="K11:K125" si="2">IF(B11=MAX(B5:B17),B11,0)</f>
        <v>0</v>
      </c>
      <c r="L11" s="3">
        <f t="shared" ref="L11:L125" si="3">IF(B11=MIN(B5:B17),B11,0)</f>
        <v>2212.7</v>
      </c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</row>
    <row r="12" customHeight="1" spans="1:31">
      <c r="A12" s="16">
        <f>IFERROR(__xludf.DUMMYFUNCTION("""COMPUTED_VALUE"""),45755.6458333333)</f>
        <v>45755.6458333333</v>
      </c>
      <c r="B12" s="17">
        <f>IFERROR(__xludf.DUMMYFUNCTION("""COMPUTED_VALUE"""),2285.7)</f>
        <v>2285.7</v>
      </c>
      <c r="C12" s="16">
        <f>IFERROR(__xludf.DUMMYFUNCTION("""COMPUTED_VALUE"""),45755.6458333333)</f>
        <v>45755.6458333333</v>
      </c>
      <c r="D12" s="17">
        <f>IFERROR(__xludf.DUMMYFUNCTION("""COMPUTED_VALUE"""),2270)</f>
        <v>2270</v>
      </c>
      <c r="E12" s="16">
        <f>IFERROR(__xludf.DUMMYFUNCTION("""COMPUTED_VALUE"""),45755.6458333333)</f>
        <v>45755.6458333333</v>
      </c>
      <c r="F12" s="17">
        <f>IFERROR(__xludf.DUMMYFUNCTION("""COMPUTED_VALUE"""),1224362)</f>
        <v>1224362</v>
      </c>
      <c r="G12" s="16">
        <f>IFERROR(__xludf.DUMMYFUNCTION("""COMPUTED_VALUE"""),45755.6458333333)</f>
        <v>45755.6458333333</v>
      </c>
      <c r="H12" s="17">
        <f>IFERROR(__xludf.DUMMYFUNCTION("""COMPUTED_VALUE"""),2301)</f>
        <v>2301</v>
      </c>
      <c r="I12" s="16">
        <f>IFERROR(__xludf.DUMMYFUNCTION("""COMPUTED_VALUE"""),45755.6458333333)</f>
        <v>45755.6458333333</v>
      </c>
      <c r="J12" s="17">
        <f>IFERROR(__xludf.DUMMYFUNCTION("""COMPUTED_VALUE"""),2225)</f>
        <v>2225</v>
      </c>
      <c r="K12" s="3">
        <f t="shared" si="2"/>
        <v>0</v>
      </c>
      <c r="L12" s="3">
        <f t="shared" si="3"/>
        <v>0</v>
      </c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</row>
    <row r="13" customHeight="1" spans="1:31">
      <c r="A13" s="16">
        <f>IFERROR(__xludf.DUMMYFUNCTION("""COMPUTED_VALUE"""),45756.6458333333)</f>
        <v>45756.6458333333</v>
      </c>
      <c r="B13" s="17">
        <f>IFERROR(__xludf.DUMMYFUNCTION("""COMPUTED_VALUE"""),2236.9)</f>
        <v>2236.9</v>
      </c>
      <c r="C13" s="16">
        <f>IFERROR(__xludf.DUMMYFUNCTION("""COMPUTED_VALUE"""),45756.6458333333)</f>
        <v>45756.6458333333</v>
      </c>
      <c r="D13" s="17">
        <f>IFERROR(__xludf.DUMMYFUNCTION("""COMPUTED_VALUE"""),2265.7)</f>
        <v>2265.7</v>
      </c>
      <c r="E13" s="16">
        <f>IFERROR(__xludf.DUMMYFUNCTION("""COMPUTED_VALUE"""),45756.6458333333)</f>
        <v>45756.6458333333</v>
      </c>
      <c r="F13" s="17">
        <f>IFERROR(__xludf.DUMMYFUNCTION("""COMPUTED_VALUE"""),1001633)</f>
        <v>1001633</v>
      </c>
      <c r="G13" s="16">
        <f>IFERROR(__xludf.DUMMYFUNCTION("""COMPUTED_VALUE"""),45756.6458333333)</f>
        <v>45756.6458333333</v>
      </c>
      <c r="H13" s="17">
        <f>IFERROR(__xludf.DUMMYFUNCTION("""COMPUTED_VALUE"""),2279.55)</f>
        <v>2279.55</v>
      </c>
      <c r="I13" s="16">
        <f>IFERROR(__xludf.DUMMYFUNCTION("""COMPUTED_VALUE"""),45756.6458333333)</f>
        <v>45756.6458333333</v>
      </c>
      <c r="J13" s="17">
        <f>IFERROR(__xludf.DUMMYFUNCTION("""COMPUTED_VALUE"""),2215.2)</f>
        <v>2215.2</v>
      </c>
      <c r="K13" s="3">
        <f t="shared" si="2"/>
        <v>0</v>
      </c>
      <c r="L13" s="3">
        <f t="shared" si="3"/>
        <v>0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</row>
    <row r="14" customHeight="1" spans="1:31">
      <c r="A14" s="16">
        <f>IFERROR(__xludf.DUMMYFUNCTION("""COMPUTED_VALUE"""),45758.6458333333)</f>
        <v>45758.6458333333</v>
      </c>
      <c r="B14" s="17">
        <f>IFERROR(__xludf.DUMMYFUNCTION("""COMPUTED_VALUE"""),2321.4)</f>
        <v>2321.4</v>
      </c>
      <c r="C14" s="16">
        <f>IFERROR(__xludf.DUMMYFUNCTION("""COMPUTED_VALUE"""),45758.6458333333)</f>
        <v>45758.6458333333</v>
      </c>
      <c r="D14" s="17">
        <f>IFERROR(__xludf.DUMMYFUNCTION("""COMPUTED_VALUE"""),2303.05)</f>
        <v>2303.05</v>
      </c>
      <c r="E14" s="16">
        <f>IFERROR(__xludf.DUMMYFUNCTION("""COMPUTED_VALUE"""),45758.6458333333)</f>
        <v>45758.6458333333</v>
      </c>
      <c r="F14" s="17">
        <f>IFERROR(__xludf.DUMMYFUNCTION("""COMPUTED_VALUE"""),981463)</f>
        <v>981463</v>
      </c>
      <c r="G14" s="16">
        <f>IFERROR(__xludf.DUMMYFUNCTION("""COMPUTED_VALUE"""),45758.6458333333)</f>
        <v>45758.6458333333</v>
      </c>
      <c r="H14" s="17">
        <f>IFERROR(__xludf.DUMMYFUNCTION("""COMPUTED_VALUE"""),2343.5)</f>
        <v>2343.5</v>
      </c>
      <c r="I14" s="16">
        <f>IFERROR(__xludf.DUMMYFUNCTION("""COMPUTED_VALUE"""),45758.6458333333)</f>
        <v>45758.6458333333</v>
      </c>
      <c r="J14" s="17">
        <f>IFERROR(__xludf.DUMMYFUNCTION("""COMPUTED_VALUE"""),2281)</f>
        <v>2281</v>
      </c>
      <c r="K14" s="3">
        <f t="shared" si="2"/>
        <v>0</v>
      </c>
      <c r="L14" s="3">
        <f t="shared" si="3"/>
        <v>0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</row>
    <row r="15" customHeight="1" spans="1:31">
      <c r="A15" s="16">
        <f>IFERROR(__xludf.DUMMYFUNCTION("""COMPUTED_VALUE"""),45762.6458333333)</f>
        <v>45762.6458333333</v>
      </c>
      <c r="B15" s="17">
        <f>IFERROR(__xludf.DUMMYFUNCTION("""COMPUTED_VALUE"""),2418.2)</f>
        <v>2418.2</v>
      </c>
      <c r="C15" s="16">
        <f>IFERROR(__xludf.DUMMYFUNCTION("""COMPUTED_VALUE"""),45762.6458333333)</f>
        <v>45762.6458333333</v>
      </c>
      <c r="D15" s="17">
        <f>IFERROR(__xludf.DUMMYFUNCTION("""COMPUTED_VALUE"""),2375)</f>
        <v>2375</v>
      </c>
      <c r="E15" s="16">
        <f>IFERROR(__xludf.DUMMYFUNCTION("""COMPUTED_VALUE"""),45762.6458333333)</f>
        <v>45762.6458333333</v>
      </c>
      <c r="F15" s="17">
        <f>IFERROR(__xludf.DUMMYFUNCTION("""COMPUTED_VALUE"""),1145125)</f>
        <v>1145125</v>
      </c>
      <c r="G15" s="16">
        <f>IFERROR(__xludf.DUMMYFUNCTION("""COMPUTED_VALUE"""),45762.6458333333)</f>
        <v>45762.6458333333</v>
      </c>
      <c r="H15" s="17">
        <f>IFERROR(__xludf.DUMMYFUNCTION("""COMPUTED_VALUE"""),2440)</f>
        <v>2440</v>
      </c>
      <c r="I15" s="16">
        <f>IFERROR(__xludf.DUMMYFUNCTION("""COMPUTED_VALUE"""),45762.6458333333)</f>
        <v>45762.6458333333</v>
      </c>
      <c r="J15" s="17">
        <f>IFERROR(__xludf.DUMMYFUNCTION("""COMPUTED_VALUE"""),2359)</f>
        <v>2359</v>
      </c>
      <c r="K15" s="3">
        <f t="shared" si="2"/>
        <v>0</v>
      </c>
      <c r="L15" s="3">
        <f t="shared" si="3"/>
        <v>0</v>
      </c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</row>
    <row r="16" customHeight="1" spans="1:31">
      <c r="A16" s="16">
        <f>IFERROR(__xludf.DUMMYFUNCTION("""COMPUTED_VALUE"""),45763.6458333333)</f>
        <v>45763.6458333333</v>
      </c>
      <c r="B16" s="17">
        <f>IFERROR(__xludf.DUMMYFUNCTION("""COMPUTED_VALUE"""),2415.6)</f>
        <v>2415.6</v>
      </c>
      <c r="C16" s="16">
        <f>IFERROR(__xludf.DUMMYFUNCTION("""COMPUTED_VALUE"""),45763.6458333333)</f>
        <v>45763.6458333333</v>
      </c>
      <c r="D16" s="17">
        <f>IFERROR(__xludf.DUMMYFUNCTION("""COMPUTED_VALUE"""),2400)</f>
        <v>2400</v>
      </c>
      <c r="E16" s="16">
        <f>IFERROR(__xludf.DUMMYFUNCTION("""COMPUTED_VALUE"""),45763.6458333333)</f>
        <v>45763.6458333333</v>
      </c>
      <c r="F16" s="17">
        <f>IFERROR(__xludf.DUMMYFUNCTION("""COMPUTED_VALUE"""),889949)</f>
        <v>889949</v>
      </c>
      <c r="G16" s="16">
        <f>IFERROR(__xludf.DUMMYFUNCTION("""COMPUTED_VALUE"""),45763.6458333333)</f>
        <v>45763.6458333333</v>
      </c>
      <c r="H16" s="17">
        <f>IFERROR(__xludf.DUMMYFUNCTION("""COMPUTED_VALUE"""),2428)</f>
        <v>2428</v>
      </c>
      <c r="I16" s="16">
        <f>IFERROR(__xludf.DUMMYFUNCTION("""COMPUTED_VALUE"""),45763.6458333333)</f>
        <v>45763.6458333333</v>
      </c>
      <c r="J16" s="17">
        <f>IFERROR(__xludf.DUMMYFUNCTION("""COMPUTED_VALUE"""),2382.9)</f>
        <v>2382.9</v>
      </c>
      <c r="K16" s="3">
        <f t="shared" si="2"/>
        <v>0</v>
      </c>
      <c r="L16" s="3">
        <f t="shared" si="3"/>
        <v>0</v>
      </c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</row>
    <row r="17" customHeight="1" spans="1:31">
      <c r="A17" s="16">
        <f>IFERROR(__xludf.DUMMYFUNCTION("""COMPUTED_VALUE"""),45764.6458333333)</f>
        <v>45764.6458333333</v>
      </c>
      <c r="B17" s="17">
        <f>IFERROR(__xludf.DUMMYFUNCTION("""COMPUTED_VALUE"""),2418.1)</f>
        <v>2418.1</v>
      </c>
      <c r="C17" s="16">
        <f>IFERROR(__xludf.DUMMYFUNCTION("""COMPUTED_VALUE"""),45764.6458333333)</f>
        <v>45764.6458333333</v>
      </c>
      <c r="D17" s="17">
        <f>IFERROR(__xludf.DUMMYFUNCTION("""COMPUTED_VALUE"""),2418)</f>
        <v>2418</v>
      </c>
      <c r="E17" s="16">
        <f>IFERROR(__xludf.DUMMYFUNCTION("""COMPUTED_VALUE"""),45764.6458333333)</f>
        <v>45764.6458333333</v>
      </c>
      <c r="F17" s="17">
        <f>IFERROR(__xludf.DUMMYFUNCTION("""COMPUTED_VALUE"""),1054797)</f>
        <v>1054797</v>
      </c>
      <c r="G17" s="16">
        <f>IFERROR(__xludf.DUMMYFUNCTION("""COMPUTED_VALUE"""),45764.6458333333)</f>
        <v>45764.6458333333</v>
      </c>
      <c r="H17" s="17">
        <f>IFERROR(__xludf.DUMMYFUNCTION("""COMPUTED_VALUE"""),2448.6)</f>
        <v>2448.6</v>
      </c>
      <c r="I17" s="16">
        <f>IFERROR(__xludf.DUMMYFUNCTION("""COMPUTED_VALUE"""),45764.6458333333)</f>
        <v>45764.6458333333</v>
      </c>
      <c r="J17" s="17">
        <f>IFERROR(__xludf.DUMMYFUNCTION("""COMPUTED_VALUE"""),2392)</f>
        <v>2392</v>
      </c>
      <c r="K17" s="3">
        <f t="shared" si="2"/>
        <v>0</v>
      </c>
      <c r="L17" s="3">
        <f t="shared" si="3"/>
        <v>0</v>
      </c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</row>
    <row r="18" customHeight="1" spans="1:31">
      <c r="A18" s="16">
        <f>IFERROR(__xludf.DUMMYFUNCTION("""COMPUTED_VALUE"""),45768.6458333333)</f>
        <v>45768.6458333333</v>
      </c>
      <c r="B18" s="17">
        <f>IFERROR(__xludf.DUMMYFUNCTION("""COMPUTED_VALUE"""),2442.7)</f>
        <v>2442.7</v>
      </c>
      <c r="C18" s="16">
        <f>IFERROR(__xludf.DUMMYFUNCTION("""COMPUTED_VALUE"""),45768.6458333333)</f>
        <v>45768.6458333333</v>
      </c>
      <c r="D18" s="17">
        <f>IFERROR(__xludf.DUMMYFUNCTION("""COMPUTED_VALUE"""),2426.1)</f>
        <v>2426.1</v>
      </c>
      <c r="E18" s="16">
        <f>IFERROR(__xludf.DUMMYFUNCTION("""COMPUTED_VALUE"""),45768.6458333333)</f>
        <v>45768.6458333333</v>
      </c>
      <c r="F18" s="17">
        <f>IFERROR(__xludf.DUMMYFUNCTION("""COMPUTED_VALUE"""),782559)</f>
        <v>782559</v>
      </c>
      <c r="G18" s="16">
        <f>IFERROR(__xludf.DUMMYFUNCTION("""COMPUTED_VALUE"""),45768.6458333333)</f>
        <v>45768.6458333333</v>
      </c>
      <c r="H18" s="17">
        <f>IFERROR(__xludf.DUMMYFUNCTION("""COMPUTED_VALUE"""),2464.9)</f>
        <v>2464.9</v>
      </c>
      <c r="I18" s="16">
        <f>IFERROR(__xludf.DUMMYFUNCTION("""COMPUTED_VALUE"""),45768.6458333333)</f>
        <v>45768.6458333333</v>
      </c>
      <c r="J18" s="17">
        <f>IFERROR(__xludf.DUMMYFUNCTION("""COMPUTED_VALUE"""),2395.5)</f>
        <v>2395.5</v>
      </c>
      <c r="K18" s="3">
        <f t="shared" si="2"/>
        <v>0</v>
      </c>
      <c r="L18" s="3">
        <f t="shared" si="3"/>
        <v>0</v>
      </c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</row>
    <row r="19" customHeight="1" spans="1:31">
      <c r="A19" s="16">
        <f>IFERROR(__xludf.DUMMYFUNCTION("""COMPUTED_VALUE"""),45769.6458333333)</f>
        <v>45769.6458333333</v>
      </c>
      <c r="B19" s="17">
        <f>IFERROR(__xludf.DUMMYFUNCTION("""COMPUTED_VALUE"""),2445.5)</f>
        <v>2445.5</v>
      </c>
      <c r="C19" s="16">
        <f>IFERROR(__xludf.DUMMYFUNCTION("""COMPUTED_VALUE"""),45769.6458333333)</f>
        <v>45769.6458333333</v>
      </c>
      <c r="D19" s="17">
        <f>IFERROR(__xludf.DUMMYFUNCTION("""COMPUTED_VALUE"""),2458.9)</f>
        <v>2458.9</v>
      </c>
      <c r="E19" s="16">
        <f>IFERROR(__xludf.DUMMYFUNCTION("""COMPUTED_VALUE"""),45769.6458333333)</f>
        <v>45769.6458333333</v>
      </c>
      <c r="F19" s="17">
        <f>IFERROR(__xludf.DUMMYFUNCTION("""COMPUTED_VALUE"""),766567)</f>
        <v>766567</v>
      </c>
      <c r="G19" s="16">
        <f>IFERROR(__xludf.DUMMYFUNCTION("""COMPUTED_VALUE"""),45769.6458333333)</f>
        <v>45769.6458333333</v>
      </c>
      <c r="H19" s="17">
        <f>IFERROR(__xludf.DUMMYFUNCTION("""COMPUTED_VALUE"""),2483.4)</f>
        <v>2483.4</v>
      </c>
      <c r="I19" s="16">
        <f>IFERROR(__xludf.DUMMYFUNCTION("""COMPUTED_VALUE"""),45769.6458333333)</f>
        <v>45769.6458333333</v>
      </c>
      <c r="J19" s="17">
        <f>IFERROR(__xludf.DUMMYFUNCTION("""COMPUTED_VALUE"""),2441)</f>
        <v>2441</v>
      </c>
      <c r="K19" s="3">
        <f t="shared" si="2"/>
        <v>0</v>
      </c>
      <c r="L19" s="3">
        <f t="shared" si="3"/>
        <v>0</v>
      </c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</row>
    <row r="20" customHeight="1" spans="1:31">
      <c r="A20" s="16">
        <f>IFERROR(__xludf.DUMMYFUNCTION("""COMPUTED_VALUE"""),45770.6458333333)</f>
        <v>45770.6458333333</v>
      </c>
      <c r="B20" s="17">
        <f>IFERROR(__xludf.DUMMYFUNCTION("""COMPUTED_VALUE"""),2453.6)</f>
        <v>2453.6</v>
      </c>
      <c r="C20" s="16">
        <f>IFERROR(__xludf.DUMMYFUNCTION("""COMPUTED_VALUE"""),45770.6458333333)</f>
        <v>45770.6458333333</v>
      </c>
      <c r="D20" s="17">
        <f>IFERROR(__xludf.DUMMYFUNCTION("""COMPUTED_VALUE"""),2460)</f>
        <v>2460</v>
      </c>
      <c r="E20" s="16">
        <f>IFERROR(__xludf.DUMMYFUNCTION("""COMPUTED_VALUE"""),45770.6458333333)</f>
        <v>45770.6458333333</v>
      </c>
      <c r="F20" s="17">
        <f>IFERROR(__xludf.DUMMYFUNCTION("""COMPUTED_VALUE"""),672262)</f>
        <v>672262</v>
      </c>
      <c r="G20" s="16">
        <f>IFERROR(__xludf.DUMMYFUNCTION("""COMPUTED_VALUE"""),45770.6458333333)</f>
        <v>45770.6458333333</v>
      </c>
      <c r="H20" s="17">
        <f>IFERROR(__xludf.DUMMYFUNCTION("""COMPUTED_VALUE"""),2473.8)</f>
        <v>2473.8</v>
      </c>
      <c r="I20" s="16">
        <f>IFERROR(__xludf.DUMMYFUNCTION("""COMPUTED_VALUE"""),45770.6458333333)</f>
        <v>45770.6458333333</v>
      </c>
      <c r="J20" s="17">
        <f>IFERROR(__xludf.DUMMYFUNCTION("""COMPUTED_VALUE"""),2421.2)</f>
        <v>2421.2</v>
      </c>
      <c r="K20" s="3">
        <f t="shared" si="2"/>
        <v>2453.6</v>
      </c>
      <c r="L20" s="3">
        <f t="shared" si="3"/>
        <v>0</v>
      </c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</row>
    <row r="21" customHeight="1" spans="1:31">
      <c r="A21" s="16">
        <f>IFERROR(__xludf.DUMMYFUNCTION("""COMPUTED_VALUE"""),45771.6458333333)</f>
        <v>45771.6458333333</v>
      </c>
      <c r="B21" s="17">
        <f>IFERROR(__xludf.DUMMYFUNCTION("""COMPUTED_VALUE"""),2442.5)</f>
        <v>2442.5</v>
      </c>
      <c r="C21" s="16">
        <f>IFERROR(__xludf.DUMMYFUNCTION("""COMPUTED_VALUE"""),45771.6458333333)</f>
        <v>45771.6458333333</v>
      </c>
      <c r="D21" s="17">
        <f>IFERROR(__xludf.DUMMYFUNCTION("""COMPUTED_VALUE"""),2450)</f>
        <v>2450</v>
      </c>
      <c r="E21" s="16">
        <f>IFERROR(__xludf.DUMMYFUNCTION("""COMPUTED_VALUE"""),45771.6458333333)</f>
        <v>45771.6458333333</v>
      </c>
      <c r="F21" s="17">
        <f>IFERROR(__xludf.DUMMYFUNCTION("""COMPUTED_VALUE"""),596696)</f>
        <v>596696</v>
      </c>
      <c r="G21" s="16">
        <f>IFERROR(__xludf.DUMMYFUNCTION("""COMPUTED_VALUE"""),45771.6458333333)</f>
        <v>45771.6458333333</v>
      </c>
      <c r="H21" s="17">
        <f>IFERROR(__xludf.DUMMYFUNCTION("""COMPUTED_VALUE"""),2461.4)</f>
        <v>2461.4</v>
      </c>
      <c r="I21" s="16">
        <f>IFERROR(__xludf.DUMMYFUNCTION("""COMPUTED_VALUE"""),45771.6458333333)</f>
        <v>45771.6458333333</v>
      </c>
      <c r="J21" s="17">
        <f>IFERROR(__xludf.DUMMYFUNCTION("""COMPUTED_VALUE"""),2425.1)</f>
        <v>2425.1</v>
      </c>
      <c r="K21" s="3">
        <f t="shared" si="2"/>
        <v>0</v>
      </c>
      <c r="L21" s="3">
        <f t="shared" si="3"/>
        <v>0</v>
      </c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</row>
    <row r="22" customHeight="1" spans="1:31">
      <c r="A22" s="16">
        <f>IFERROR(__xludf.DUMMYFUNCTION("""COMPUTED_VALUE"""),45772.6458333333)</f>
        <v>45772.6458333333</v>
      </c>
      <c r="B22" s="17">
        <f>IFERROR(__xludf.DUMMYFUNCTION("""COMPUTED_VALUE"""),2354.3)</f>
        <v>2354.3</v>
      </c>
      <c r="C22" s="16">
        <f>IFERROR(__xludf.DUMMYFUNCTION("""COMPUTED_VALUE"""),45772.6458333333)</f>
        <v>45772.6458333333</v>
      </c>
      <c r="D22" s="17">
        <f>IFERROR(__xludf.DUMMYFUNCTION("""COMPUTED_VALUE"""),2450.1)</f>
        <v>2450.1</v>
      </c>
      <c r="E22" s="16">
        <f>IFERROR(__xludf.DUMMYFUNCTION("""COMPUTED_VALUE"""),45772.6458333333)</f>
        <v>45772.6458333333</v>
      </c>
      <c r="F22" s="17">
        <f>IFERROR(__xludf.DUMMYFUNCTION("""COMPUTED_VALUE"""),1414809)</f>
        <v>1414809</v>
      </c>
      <c r="G22" s="16">
        <f>IFERROR(__xludf.DUMMYFUNCTION("""COMPUTED_VALUE"""),45772.6458333333)</f>
        <v>45772.6458333333</v>
      </c>
      <c r="H22" s="17">
        <f>IFERROR(__xludf.DUMMYFUNCTION("""COMPUTED_VALUE"""),2459.5)</f>
        <v>2459.5</v>
      </c>
      <c r="I22" s="16">
        <f>IFERROR(__xludf.DUMMYFUNCTION("""COMPUTED_VALUE"""),45772.6458333333)</f>
        <v>45772.6458333333</v>
      </c>
      <c r="J22" s="17">
        <f>IFERROR(__xludf.DUMMYFUNCTION("""COMPUTED_VALUE"""),2323.5)</f>
        <v>2323.5</v>
      </c>
      <c r="K22" s="3">
        <f t="shared" si="2"/>
        <v>0</v>
      </c>
      <c r="L22" s="3">
        <f t="shared" si="3"/>
        <v>0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</row>
    <row r="23" customHeight="1" spans="1:31">
      <c r="A23" s="16">
        <f>IFERROR(__xludf.DUMMYFUNCTION("""COMPUTED_VALUE"""),45775.6458333333)</f>
        <v>45775.6458333333</v>
      </c>
      <c r="B23" s="17">
        <f>IFERROR(__xludf.DUMMYFUNCTION("""COMPUTED_VALUE"""),2369.8)</f>
        <v>2369.8</v>
      </c>
      <c r="C23" s="16">
        <f>IFERROR(__xludf.DUMMYFUNCTION("""COMPUTED_VALUE"""),45775.6458333333)</f>
        <v>45775.6458333333</v>
      </c>
      <c r="D23" s="17">
        <f>IFERROR(__xludf.DUMMYFUNCTION("""COMPUTED_VALUE"""),2346)</f>
        <v>2346</v>
      </c>
      <c r="E23" s="16">
        <f>IFERROR(__xludf.DUMMYFUNCTION("""COMPUTED_VALUE"""),45775.6458333333)</f>
        <v>45775.6458333333</v>
      </c>
      <c r="F23" s="17">
        <f>IFERROR(__xludf.DUMMYFUNCTION("""COMPUTED_VALUE"""),681421)</f>
        <v>681421</v>
      </c>
      <c r="G23" s="16">
        <f>IFERROR(__xludf.DUMMYFUNCTION("""COMPUTED_VALUE"""),45775.6458333333)</f>
        <v>45775.6458333333</v>
      </c>
      <c r="H23" s="17">
        <f>IFERROR(__xludf.DUMMYFUNCTION("""COMPUTED_VALUE"""),2402)</f>
        <v>2402</v>
      </c>
      <c r="I23" s="16">
        <f>IFERROR(__xludf.DUMMYFUNCTION("""COMPUTED_VALUE"""),45775.6458333333)</f>
        <v>45775.6458333333</v>
      </c>
      <c r="J23" s="17">
        <f>IFERROR(__xludf.DUMMYFUNCTION("""COMPUTED_VALUE"""),2337.6)</f>
        <v>2337.6</v>
      </c>
      <c r="K23" s="3">
        <f t="shared" si="2"/>
        <v>0</v>
      </c>
      <c r="L23" s="3">
        <f t="shared" si="3"/>
        <v>0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</row>
    <row r="24" customHeight="1" spans="1:31">
      <c r="A24" s="16">
        <f>IFERROR(__xludf.DUMMYFUNCTION("""COMPUTED_VALUE"""),45776.6458333333)</f>
        <v>45776.6458333333</v>
      </c>
      <c r="B24" s="17">
        <f>IFERROR(__xludf.DUMMYFUNCTION("""COMPUTED_VALUE"""),2330.6)</f>
        <v>2330.6</v>
      </c>
      <c r="C24" s="16">
        <f>IFERROR(__xludf.DUMMYFUNCTION("""COMPUTED_VALUE"""),45776.6458333333)</f>
        <v>45776.6458333333</v>
      </c>
      <c r="D24" s="17">
        <f>IFERROR(__xludf.DUMMYFUNCTION("""COMPUTED_VALUE"""),2392)</f>
        <v>2392</v>
      </c>
      <c r="E24" s="16">
        <f>IFERROR(__xludf.DUMMYFUNCTION("""COMPUTED_VALUE"""),45776.6458333333)</f>
        <v>45776.6458333333</v>
      </c>
      <c r="F24" s="17">
        <f>IFERROR(__xludf.DUMMYFUNCTION("""COMPUTED_VALUE"""),670730)</f>
        <v>670730</v>
      </c>
      <c r="G24" s="16">
        <f>IFERROR(__xludf.DUMMYFUNCTION("""COMPUTED_VALUE"""),45776.6458333333)</f>
        <v>45776.6458333333</v>
      </c>
      <c r="H24" s="17">
        <f>IFERROR(__xludf.DUMMYFUNCTION("""COMPUTED_VALUE"""),2400)</f>
        <v>2400</v>
      </c>
      <c r="I24" s="16">
        <f>IFERROR(__xludf.DUMMYFUNCTION("""COMPUTED_VALUE"""),45776.6458333333)</f>
        <v>45776.6458333333</v>
      </c>
      <c r="J24" s="17">
        <f>IFERROR(__xludf.DUMMYFUNCTION("""COMPUTED_VALUE"""),2325.6)</f>
        <v>2325.6</v>
      </c>
      <c r="K24" s="3">
        <f t="shared" si="2"/>
        <v>0</v>
      </c>
      <c r="L24" s="3">
        <f t="shared" si="3"/>
        <v>0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</row>
    <row r="25" customHeight="1" spans="1:31">
      <c r="A25" s="16">
        <f>IFERROR(__xludf.DUMMYFUNCTION("""COMPUTED_VALUE"""),45777.6458333333)</f>
        <v>45777.6458333333</v>
      </c>
      <c r="B25" s="17">
        <f>IFERROR(__xludf.DUMMYFUNCTION("""COMPUTED_VALUE"""),2301.3)</f>
        <v>2301.3</v>
      </c>
      <c r="C25" s="16">
        <f>IFERROR(__xludf.DUMMYFUNCTION("""COMPUTED_VALUE"""),45777.6458333333)</f>
        <v>45777.6458333333</v>
      </c>
      <c r="D25" s="17">
        <f>IFERROR(__xludf.DUMMYFUNCTION("""COMPUTED_VALUE"""),2331.4)</f>
        <v>2331.4</v>
      </c>
      <c r="E25" s="16">
        <f>IFERROR(__xludf.DUMMYFUNCTION("""COMPUTED_VALUE"""),45777.6458333333)</f>
        <v>45777.6458333333</v>
      </c>
      <c r="F25" s="17">
        <f>IFERROR(__xludf.DUMMYFUNCTION("""COMPUTED_VALUE"""),837464)</f>
        <v>837464</v>
      </c>
      <c r="G25" s="16">
        <f>IFERROR(__xludf.DUMMYFUNCTION("""COMPUTED_VALUE"""),45777.6458333333)</f>
        <v>45777.6458333333</v>
      </c>
      <c r="H25" s="17">
        <f>IFERROR(__xludf.DUMMYFUNCTION("""COMPUTED_VALUE"""),2340)</f>
        <v>2340</v>
      </c>
      <c r="I25" s="16">
        <f>IFERROR(__xludf.DUMMYFUNCTION("""COMPUTED_VALUE"""),45777.6458333333)</f>
        <v>45777.6458333333</v>
      </c>
      <c r="J25" s="17">
        <f>IFERROR(__xludf.DUMMYFUNCTION("""COMPUTED_VALUE"""),2285)</f>
        <v>2285</v>
      </c>
      <c r="K25" s="3">
        <f t="shared" si="2"/>
        <v>0</v>
      </c>
      <c r="L25" s="3">
        <f t="shared" si="3"/>
        <v>0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</row>
    <row r="26" customHeight="1" spans="1:31">
      <c r="A26" s="16">
        <f>IFERROR(__xludf.DUMMYFUNCTION("""COMPUTED_VALUE"""),45779.6458333333)</f>
        <v>45779.6458333333</v>
      </c>
      <c r="B26" s="17">
        <f>IFERROR(__xludf.DUMMYFUNCTION("""COMPUTED_VALUE"""),2294.2)</f>
        <v>2294.2</v>
      </c>
      <c r="C26" s="16">
        <f>IFERROR(__xludf.DUMMYFUNCTION("""COMPUTED_VALUE"""),45779.6458333333)</f>
        <v>45779.6458333333</v>
      </c>
      <c r="D26" s="17">
        <f>IFERROR(__xludf.DUMMYFUNCTION("""COMPUTED_VALUE"""),2349.9)</f>
        <v>2349.9</v>
      </c>
      <c r="E26" s="16">
        <f>IFERROR(__xludf.DUMMYFUNCTION("""COMPUTED_VALUE"""),45779.6458333333)</f>
        <v>45779.6458333333</v>
      </c>
      <c r="F26" s="17">
        <f>IFERROR(__xludf.DUMMYFUNCTION("""COMPUTED_VALUE"""),1695797)</f>
        <v>1695797</v>
      </c>
      <c r="G26" s="16">
        <f>IFERROR(__xludf.DUMMYFUNCTION("""COMPUTED_VALUE"""),45779.6458333333)</f>
        <v>45779.6458333333</v>
      </c>
      <c r="H26" s="17">
        <f>IFERROR(__xludf.DUMMYFUNCTION("""COMPUTED_VALUE"""),2372.4)</f>
        <v>2372.4</v>
      </c>
      <c r="I26" s="16">
        <f>IFERROR(__xludf.DUMMYFUNCTION("""COMPUTED_VALUE"""),45779.6458333333)</f>
        <v>45779.6458333333</v>
      </c>
      <c r="J26" s="17">
        <f>IFERROR(__xludf.DUMMYFUNCTION("""COMPUTED_VALUE"""),2290)</f>
        <v>2290</v>
      </c>
      <c r="K26" s="3">
        <f t="shared" si="2"/>
        <v>0</v>
      </c>
      <c r="L26" s="3">
        <f t="shared" si="3"/>
        <v>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customHeight="1" spans="1:31">
      <c r="A27" s="16">
        <f>IFERROR(__xludf.DUMMYFUNCTION("""COMPUTED_VALUE"""),45782.6458333333)</f>
        <v>45782.6458333333</v>
      </c>
      <c r="B27" s="17">
        <f>IFERROR(__xludf.DUMMYFUNCTION("""COMPUTED_VALUE"""),2455.5)</f>
        <v>2455.5</v>
      </c>
      <c r="C27" s="16">
        <f>IFERROR(__xludf.DUMMYFUNCTION("""COMPUTED_VALUE"""),45782.6458333333)</f>
        <v>45782.6458333333</v>
      </c>
      <c r="D27" s="17">
        <f>IFERROR(__xludf.DUMMYFUNCTION("""COMPUTED_VALUE"""),2312.6)</f>
        <v>2312.6</v>
      </c>
      <c r="E27" s="16">
        <f>IFERROR(__xludf.DUMMYFUNCTION("""COMPUTED_VALUE"""),45782.6458333333)</f>
        <v>45782.6458333333</v>
      </c>
      <c r="F27" s="17">
        <f>IFERROR(__xludf.DUMMYFUNCTION("""COMPUTED_VALUE"""),4227194)</f>
        <v>4227194</v>
      </c>
      <c r="G27" s="16">
        <f>IFERROR(__xludf.DUMMYFUNCTION("""COMPUTED_VALUE"""),45782.6458333333)</f>
        <v>45782.6458333333</v>
      </c>
      <c r="H27" s="17">
        <f>IFERROR(__xludf.DUMMYFUNCTION("""COMPUTED_VALUE"""),2497)</f>
        <v>2497</v>
      </c>
      <c r="I27" s="16">
        <f>IFERROR(__xludf.DUMMYFUNCTION("""COMPUTED_VALUE"""),45782.6458333333)</f>
        <v>45782.6458333333</v>
      </c>
      <c r="J27" s="17">
        <f>IFERROR(__xludf.DUMMYFUNCTION("""COMPUTED_VALUE"""),2297.8)</f>
        <v>2297.8</v>
      </c>
      <c r="K27" s="3">
        <f t="shared" si="2"/>
        <v>2455.5</v>
      </c>
      <c r="L27" s="3">
        <f t="shared" si="3"/>
        <v>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</row>
    <row r="28" customHeight="1" spans="1:31">
      <c r="A28" s="16">
        <f>IFERROR(__xludf.DUMMYFUNCTION("""COMPUTED_VALUE"""),45783.6458333333)</f>
        <v>45783.6458333333</v>
      </c>
      <c r="B28" s="17">
        <f>IFERROR(__xludf.DUMMYFUNCTION("""COMPUTED_VALUE"""),2354)</f>
        <v>2354</v>
      </c>
      <c r="C28" s="16">
        <f>IFERROR(__xludf.DUMMYFUNCTION("""COMPUTED_VALUE"""),45783.6458333333)</f>
        <v>45783.6458333333</v>
      </c>
      <c r="D28" s="17">
        <f>IFERROR(__xludf.DUMMYFUNCTION("""COMPUTED_VALUE"""),2454)</f>
        <v>2454</v>
      </c>
      <c r="E28" s="16">
        <f>IFERROR(__xludf.DUMMYFUNCTION("""COMPUTED_VALUE"""),45783.6458333333)</f>
        <v>45783.6458333333</v>
      </c>
      <c r="F28" s="17">
        <f>IFERROR(__xludf.DUMMYFUNCTION("""COMPUTED_VALUE"""),1524692)</f>
        <v>1524692</v>
      </c>
      <c r="G28" s="16">
        <f>IFERROR(__xludf.DUMMYFUNCTION("""COMPUTED_VALUE"""),45783.6458333333)</f>
        <v>45783.6458333333</v>
      </c>
      <c r="H28" s="17">
        <f>IFERROR(__xludf.DUMMYFUNCTION("""COMPUTED_VALUE"""),2463.2)</f>
        <v>2463.2</v>
      </c>
      <c r="I28" s="16">
        <f>IFERROR(__xludf.DUMMYFUNCTION("""COMPUTED_VALUE"""),45783.6458333333)</f>
        <v>45783.6458333333</v>
      </c>
      <c r="J28" s="17">
        <f>IFERROR(__xludf.DUMMYFUNCTION("""COMPUTED_VALUE"""),2343.5)</f>
        <v>2343.5</v>
      </c>
      <c r="K28" s="3">
        <f t="shared" si="2"/>
        <v>0</v>
      </c>
      <c r="L28" s="3">
        <f t="shared" si="3"/>
        <v>0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</row>
    <row r="29" customHeight="1" spans="1:31">
      <c r="A29" s="16">
        <f>IFERROR(__xludf.DUMMYFUNCTION("""COMPUTED_VALUE"""),45784.6458333333)</f>
        <v>45784.6458333333</v>
      </c>
      <c r="B29" s="17">
        <f>IFERROR(__xludf.DUMMYFUNCTION("""COMPUTED_VALUE"""),2353.1)</f>
        <v>2353.1</v>
      </c>
      <c r="C29" s="16">
        <f>IFERROR(__xludf.DUMMYFUNCTION("""COMPUTED_VALUE"""),45784.6458333333)</f>
        <v>45784.6458333333</v>
      </c>
      <c r="D29" s="17">
        <f>IFERROR(__xludf.DUMMYFUNCTION("""COMPUTED_VALUE"""),2315)</f>
        <v>2315</v>
      </c>
      <c r="E29" s="16">
        <f>IFERROR(__xludf.DUMMYFUNCTION("""COMPUTED_VALUE"""),45784.6458333333)</f>
        <v>45784.6458333333</v>
      </c>
      <c r="F29" s="17">
        <f>IFERROR(__xludf.DUMMYFUNCTION("""COMPUTED_VALUE"""),1012640)</f>
        <v>1012640</v>
      </c>
      <c r="G29" s="16">
        <f>IFERROR(__xludf.DUMMYFUNCTION("""COMPUTED_VALUE"""),45784.6458333333)</f>
        <v>45784.6458333333</v>
      </c>
      <c r="H29" s="17">
        <f>IFERROR(__xludf.DUMMYFUNCTION("""COMPUTED_VALUE"""),2379.5)</f>
        <v>2379.5</v>
      </c>
      <c r="I29" s="16">
        <f>IFERROR(__xludf.DUMMYFUNCTION("""COMPUTED_VALUE"""),45784.6458333333)</f>
        <v>45784.6458333333</v>
      </c>
      <c r="J29" s="17">
        <f>IFERROR(__xludf.DUMMYFUNCTION("""COMPUTED_VALUE"""),2315)</f>
        <v>2315</v>
      </c>
      <c r="K29" s="3">
        <f t="shared" si="2"/>
        <v>0</v>
      </c>
      <c r="L29" s="3">
        <f t="shared" si="3"/>
        <v>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</row>
    <row r="30" customHeight="1" spans="1:31">
      <c r="A30" s="16">
        <f>IFERROR(__xludf.DUMMYFUNCTION("""COMPUTED_VALUE"""),45785.6458333333)</f>
        <v>45785.6458333333</v>
      </c>
      <c r="B30" s="17">
        <f>IFERROR(__xludf.DUMMYFUNCTION("""COMPUTED_VALUE"""),2285.3)</f>
        <v>2285.3</v>
      </c>
      <c r="C30" s="16">
        <f>IFERROR(__xludf.DUMMYFUNCTION("""COMPUTED_VALUE"""),45785.6458333333)</f>
        <v>45785.6458333333</v>
      </c>
      <c r="D30" s="17">
        <f>IFERROR(__xludf.DUMMYFUNCTION("""COMPUTED_VALUE"""),2362)</f>
        <v>2362</v>
      </c>
      <c r="E30" s="16">
        <f>IFERROR(__xludf.DUMMYFUNCTION("""COMPUTED_VALUE"""),45785.6458333333)</f>
        <v>45785.6458333333</v>
      </c>
      <c r="F30" s="17">
        <f>IFERROR(__xludf.DUMMYFUNCTION("""COMPUTED_VALUE"""),1380069)</f>
        <v>1380069</v>
      </c>
      <c r="G30" s="16">
        <f>IFERROR(__xludf.DUMMYFUNCTION("""COMPUTED_VALUE"""),45785.6458333333)</f>
        <v>45785.6458333333</v>
      </c>
      <c r="H30" s="17">
        <f>IFERROR(__xludf.DUMMYFUNCTION("""COMPUTED_VALUE"""),2367.8)</f>
        <v>2367.8</v>
      </c>
      <c r="I30" s="16">
        <f>IFERROR(__xludf.DUMMYFUNCTION("""COMPUTED_VALUE"""),45785.6458333333)</f>
        <v>45785.6458333333</v>
      </c>
      <c r="J30" s="17">
        <f>IFERROR(__xludf.DUMMYFUNCTION("""COMPUTED_VALUE"""),2260)</f>
        <v>2260</v>
      </c>
      <c r="K30" s="3">
        <f t="shared" si="2"/>
        <v>0</v>
      </c>
      <c r="L30" s="3">
        <f t="shared" si="3"/>
        <v>0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</row>
    <row r="31" customHeight="1" spans="1:31">
      <c r="A31" s="16">
        <f>IFERROR(__xludf.DUMMYFUNCTION("""COMPUTED_VALUE"""),45786.6458333333)</f>
        <v>45786.6458333333</v>
      </c>
      <c r="B31" s="17">
        <f>IFERROR(__xludf.DUMMYFUNCTION("""COMPUTED_VALUE"""),2251)</f>
        <v>2251</v>
      </c>
      <c r="C31" s="16">
        <f>IFERROR(__xludf.DUMMYFUNCTION("""COMPUTED_VALUE"""),45786.6458333333)</f>
        <v>45786.6458333333</v>
      </c>
      <c r="D31" s="17">
        <f>IFERROR(__xludf.DUMMYFUNCTION("""COMPUTED_VALUE"""),2240)</f>
        <v>2240</v>
      </c>
      <c r="E31" s="16">
        <f>IFERROR(__xludf.DUMMYFUNCTION("""COMPUTED_VALUE"""),45786.6458333333)</f>
        <v>45786.6458333333</v>
      </c>
      <c r="F31" s="17">
        <f>IFERROR(__xludf.DUMMYFUNCTION("""COMPUTED_VALUE"""),1006000)</f>
        <v>1006000</v>
      </c>
      <c r="G31" s="16">
        <f>IFERROR(__xludf.DUMMYFUNCTION("""COMPUTED_VALUE"""),45786.6458333333)</f>
        <v>45786.6458333333</v>
      </c>
      <c r="H31" s="17">
        <f>IFERROR(__xludf.DUMMYFUNCTION("""COMPUTED_VALUE"""),2273.1)</f>
        <v>2273.1</v>
      </c>
      <c r="I31" s="16">
        <f>IFERROR(__xludf.DUMMYFUNCTION("""COMPUTED_VALUE"""),45786.6458333333)</f>
        <v>45786.6458333333</v>
      </c>
      <c r="J31" s="17">
        <f>IFERROR(__xludf.DUMMYFUNCTION("""COMPUTED_VALUE"""),2233)</f>
        <v>2233</v>
      </c>
      <c r="K31" s="3">
        <f t="shared" si="2"/>
        <v>0</v>
      </c>
      <c r="L31" s="3">
        <f t="shared" si="3"/>
        <v>2251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</row>
    <row r="32" customHeight="1" spans="1:31">
      <c r="A32" s="16">
        <f>IFERROR(__xludf.DUMMYFUNCTION("""COMPUTED_VALUE"""),45789.6458333333)</f>
        <v>45789.6458333333</v>
      </c>
      <c r="B32" s="17">
        <f>IFERROR(__xludf.DUMMYFUNCTION("""COMPUTED_VALUE"""),2425.3)</f>
        <v>2425.3</v>
      </c>
      <c r="C32" s="16">
        <f>IFERROR(__xludf.DUMMYFUNCTION("""COMPUTED_VALUE"""),45789.6458333333)</f>
        <v>45789.6458333333</v>
      </c>
      <c r="D32" s="17">
        <f>IFERROR(__xludf.DUMMYFUNCTION("""COMPUTED_VALUE"""),2350)</f>
        <v>2350</v>
      </c>
      <c r="E32" s="16">
        <f>IFERROR(__xludf.DUMMYFUNCTION("""COMPUTED_VALUE"""),45789.6458333333)</f>
        <v>45789.6458333333</v>
      </c>
      <c r="F32" s="17">
        <f>IFERROR(__xludf.DUMMYFUNCTION("""COMPUTED_VALUE"""),2147039)</f>
        <v>2147039</v>
      </c>
      <c r="G32" s="16">
        <f>IFERROR(__xludf.DUMMYFUNCTION("""COMPUTED_VALUE"""),45789.6458333333)</f>
        <v>45789.6458333333</v>
      </c>
      <c r="H32" s="17">
        <f>IFERROR(__xludf.DUMMYFUNCTION("""COMPUTED_VALUE"""),2433.3)</f>
        <v>2433.3</v>
      </c>
      <c r="I32" s="16">
        <f>IFERROR(__xludf.DUMMYFUNCTION("""COMPUTED_VALUE"""),45789.6458333333)</f>
        <v>45789.6458333333</v>
      </c>
      <c r="J32" s="17">
        <f>IFERROR(__xludf.DUMMYFUNCTION("""COMPUTED_VALUE"""),2315)</f>
        <v>2315</v>
      </c>
      <c r="K32" s="3">
        <f t="shared" si="2"/>
        <v>0</v>
      </c>
      <c r="L32" s="3">
        <f t="shared" si="3"/>
        <v>0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</row>
    <row r="33" customHeight="1" spans="1:31">
      <c r="A33" s="16">
        <f>IFERROR(__xludf.DUMMYFUNCTION("""COMPUTED_VALUE"""),45790.6458333333)</f>
        <v>45790.6458333333</v>
      </c>
      <c r="B33" s="17">
        <f>IFERROR(__xludf.DUMMYFUNCTION("""COMPUTED_VALUE"""),2441.2)</f>
        <v>2441.2</v>
      </c>
      <c r="C33" s="16">
        <f>IFERROR(__xludf.DUMMYFUNCTION("""COMPUTED_VALUE"""),45790.6458333333)</f>
        <v>45790.6458333333</v>
      </c>
      <c r="D33" s="17">
        <f>IFERROR(__xludf.DUMMYFUNCTION("""COMPUTED_VALUE"""),2425)</f>
        <v>2425</v>
      </c>
      <c r="E33" s="16">
        <f>IFERROR(__xludf.DUMMYFUNCTION("""COMPUTED_VALUE"""),45790.6458333333)</f>
        <v>45790.6458333333</v>
      </c>
      <c r="F33" s="17">
        <f>IFERROR(__xludf.DUMMYFUNCTION("""COMPUTED_VALUE"""),1815179)</f>
        <v>1815179</v>
      </c>
      <c r="G33" s="16">
        <f>IFERROR(__xludf.DUMMYFUNCTION("""COMPUTED_VALUE"""),45790.6458333333)</f>
        <v>45790.6458333333</v>
      </c>
      <c r="H33" s="17">
        <f>IFERROR(__xludf.DUMMYFUNCTION("""COMPUTED_VALUE"""),2454.9)</f>
        <v>2454.9</v>
      </c>
      <c r="I33" s="16">
        <f>IFERROR(__xludf.DUMMYFUNCTION("""COMPUTED_VALUE"""),45790.6458333333)</f>
        <v>45790.6458333333</v>
      </c>
      <c r="J33" s="17">
        <f>IFERROR(__xludf.DUMMYFUNCTION("""COMPUTED_VALUE"""),2405)</f>
        <v>2405</v>
      </c>
      <c r="K33" s="3">
        <f t="shared" si="2"/>
        <v>0</v>
      </c>
      <c r="L33" s="3">
        <f t="shared" si="3"/>
        <v>0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</row>
    <row r="34" customHeight="1" spans="1:31">
      <c r="A34" s="16">
        <f>IFERROR(__xludf.DUMMYFUNCTION("""COMPUTED_VALUE"""),45791.6458333333)</f>
        <v>45791.6458333333</v>
      </c>
      <c r="B34" s="17">
        <f>IFERROR(__xludf.DUMMYFUNCTION("""COMPUTED_VALUE"""),2461.9)</f>
        <v>2461.9</v>
      </c>
      <c r="C34" s="16">
        <f>IFERROR(__xludf.DUMMYFUNCTION("""COMPUTED_VALUE"""),45791.6458333333)</f>
        <v>45791.6458333333</v>
      </c>
      <c r="D34" s="17">
        <f>IFERROR(__xludf.DUMMYFUNCTION("""COMPUTED_VALUE"""),2444.9)</f>
        <v>2444.9</v>
      </c>
      <c r="E34" s="16">
        <f>IFERROR(__xludf.DUMMYFUNCTION("""COMPUTED_VALUE"""),45791.6458333333)</f>
        <v>45791.6458333333</v>
      </c>
      <c r="F34" s="17">
        <f>IFERROR(__xludf.DUMMYFUNCTION("""COMPUTED_VALUE"""),774441)</f>
        <v>774441</v>
      </c>
      <c r="G34" s="16">
        <f>IFERROR(__xludf.DUMMYFUNCTION("""COMPUTED_VALUE"""),45791.6458333333)</f>
        <v>45791.6458333333</v>
      </c>
      <c r="H34" s="17">
        <f>IFERROR(__xludf.DUMMYFUNCTION("""COMPUTED_VALUE"""),2481.9)</f>
        <v>2481.9</v>
      </c>
      <c r="I34" s="16">
        <f>IFERROR(__xludf.DUMMYFUNCTION("""COMPUTED_VALUE"""),45791.6458333333)</f>
        <v>45791.6458333333</v>
      </c>
      <c r="J34" s="17">
        <f>IFERROR(__xludf.DUMMYFUNCTION("""COMPUTED_VALUE"""),2430.1)</f>
        <v>2430.1</v>
      </c>
      <c r="K34" s="3">
        <f t="shared" si="2"/>
        <v>0</v>
      </c>
      <c r="L34" s="3">
        <f t="shared" si="3"/>
        <v>0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</row>
    <row r="35" customHeight="1" spans="1:31">
      <c r="A35" s="16">
        <f>IFERROR(__xludf.DUMMYFUNCTION("""COMPUTED_VALUE"""),45792.6458333333)</f>
        <v>45792.6458333333</v>
      </c>
      <c r="B35" s="17">
        <f>IFERROR(__xludf.DUMMYFUNCTION("""COMPUTED_VALUE"""),2520)</f>
        <v>2520</v>
      </c>
      <c r="C35" s="16">
        <f>IFERROR(__xludf.DUMMYFUNCTION("""COMPUTED_VALUE"""),45792.6458333333)</f>
        <v>45792.6458333333</v>
      </c>
      <c r="D35" s="17">
        <f>IFERROR(__xludf.DUMMYFUNCTION("""COMPUTED_VALUE"""),2463.4)</f>
        <v>2463.4</v>
      </c>
      <c r="E35" s="16">
        <f>IFERROR(__xludf.DUMMYFUNCTION("""COMPUTED_VALUE"""),45792.6458333333)</f>
        <v>45792.6458333333</v>
      </c>
      <c r="F35" s="17">
        <f>IFERROR(__xludf.DUMMYFUNCTION("""COMPUTED_VALUE"""),1554801)</f>
        <v>1554801</v>
      </c>
      <c r="G35" s="16">
        <f>IFERROR(__xludf.DUMMYFUNCTION("""COMPUTED_VALUE"""),45792.6458333333)</f>
        <v>45792.6458333333</v>
      </c>
      <c r="H35" s="17">
        <f>IFERROR(__xludf.DUMMYFUNCTION("""COMPUTED_VALUE"""),2526.8)</f>
        <v>2526.8</v>
      </c>
      <c r="I35" s="16">
        <f>IFERROR(__xludf.DUMMYFUNCTION("""COMPUTED_VALUE"""),45792.6458333333)</f>
        <v>45792.6458333333</v>
      </c>
      <c r="J35" s="17">
        <f>IFERROR(__xludf.DUMMYFUNCTION("""COMPUTED_VALUE"""),2450.7)</f>
        <v>2450.7</v>
      </c>
      <c r="K35" s="3">
        <f t="shared" si="2"/>
        <v>0</v>
      </c>
      <c r="L35" s="3">
        <f t="shared" si="3"/>
        <v>0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</row>
    <row r="36" customHeight="1" spans="1:31">
      <c r="A36" s="16">
        <f>IFERROR(__xludf.DUMMYFUNCTION("""COMPUTED_VALUE"""),45793.6458333333)</f>
        <v>45793.6458333333</v>
      </c>
      <c r="B36" s="17">
        <f>IFERROR(__xludf.DUMMYFUNCTION("""COMPUTED_VALUE"""),2555)</f>
        <v>2555</v>
      </c>
      <c r="C36" s="16">
        <f>IFERROR(__xludf.DUMMYFUNCTION("""COMPUTED_VALUE"""),45793.6458333333)</f>
        <v>45793.6458333333</v>
      </c>
      <c r="D36" s="17">
        <f>IFERROR(__xludf.DUMMYFUNCTION("""COMPUTED_VALUE"""),2529)</f>
        <v>2529</v>
      </c>
      <c r="E36" s="16">
        <f>IFERROR(__xludf.DUMMYFUNCTION("""COMPUTED_VALUE"""),45793.6458333333)</f>
        <v>45793.6458333333</v>
      </c>
      <c r="F36" s="17">
        <f>IFERROR(__xludf.DUMMYFUNCTION("""COMPUTED_VALUE"""),1641135)</f>
        <v>1641135</v>
      </c>
      <c r="G36" s="16">
        <f>IFERROR(__xludf.DUMMYFUNCTION("""COMPUTED_VALUE"""),45793.6458333333)</f>
        <v>45793.6458333333</v>
      </c>
      <c r="H36" s="17">
        <f>IFERROR(__xludf.DUMMYFUNCTION("""COMPUTED_VALUE"""),2584.2)</f>
        <v>2584.2</v>
      </c>
      <c r="I36" s="16">
        <f>IFERROR(__xludf.DUMMYFUNCTION("""COMPUTED_VALUE"""),45793.6458333333)</f>
        <v>45793.6458333333</v>
      </c>
      <c r="J36" s="17">
        <f>IFERROR(__xludf.DUMMYFUNCTION("""COMPUTED_VALUE"""),2516.2)</f>
        <v>2516.2</v>
      </c>
      <c r="K36" s="3">
        <f t="shared" si="2"/>
        <v>2555</v>
      </c>
      <c r="L36" s="3">
        <f t="shared" si="3"/>
        <v>0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</row>
    <row r="37" customHeight="1" spans="1:31">
      <c r="A37" s="16">
        <f>IFERROR(__xludf.DUMMYFUNCTION("""COMPUTED_VALUE"""),45796.6458333333)</f>
        <v>45796.6458333333</v>
      </c>
      <c r="B37" s="17">
        <f>IFERROR(__xludf.DUMMYFUNCTION("""COMPUTED_VALUE"""),2540.6)</f>
        <v>2540.6</v>
      </c>
      <c r="C37" s="16">
        <f>IFERROR(__xludf.DUMMYFUNCTION("""COMPUTED_VALUE"""),45796.6458333333)</f>
        <v>45796.6458333333</v>
      </c>
      <c r="D37" s="17">
        <f>IFERROR(__xludf.DUMMYFUNCTION("""COMPUTED_VALUE"""),2571.3)</f>
        <v>2571.3</v>
      </c>
      <c r="E37" s="16">
        <f>IFERROR(__xludf.DUMMYFUNCTION("""COMPUTED_VALUE"""),45796.6458333333)</f>
        <v>45796.6458333333</v>
      </c>
      <c r="F37" s="17">
        <f>IFERROR(__xludf.DUMMYFUNCTION("""COMPUTED_VALUE"""),681000)</f>
        <v>681000</v>
      </c>
      <c r="G37" s="16">
        <f>IFERROR(__xludf.DUMMYFUNCTION("""COMPUTED_VALUE"""),45796.6458333333)</f>
        <v>45796.6458333333</v>
      </c>
      <c r="H37" s="17">
        <f>IFERROR(__xludf.DUMMYFUNCTION("""COMPUTED_VALUE"""),2578.8)</f>
        <v>2578.8</v>
      </c>
      <c r="I37" s="16">
        <f>IFERROR(__xludf.DUMMYFUNCTION("""COMPUTED_VALUE"""),45796.6458333333)</f>
        <v>45796.6458333333</v>
      </c>
      <c r="J37" s="17">
        <f>IFERROR(__xludf.DUMMYFUNCTION("""COMPUTED_VALUE"""),2536)</f>
        <v>2536</v>
      </c>
      <c r="K37" s="3">
        <f t="shared" si="2"/>
        <v>0</v>
      </c>
      <c r="L37" s="3">
        <f t="shared" si="3"/>
        <v>0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</row>
    <row r="38" customHeight="1" spans="1:31">
      <c r="A38" s="16">
        <f>IFERROR(__xludf.DUMMYFUNCTION("""COMPUTED_VALUE"""),45797.6458333333)</f>
        <v>45797.6458333333</v>
      </c>
      <c r="B38" s="17">
        <f>IFERROR(__xludf.DUMMYFUNCTION("""COMPUTED_VALUE"""),2501.6)</f>
        <v>2501.6</v>
      </c>
      <c r="C38" s="16">
        <f>IFERROR(__xludf.DUMMYFUNCTION("""COMPUTED_VALUE"""),45797.6458333333)</f>
        <v>45797.6458333333</v>
      </c>
      <c r="D38" s="17">
        <f>IFERROR(__xludf.DUMMYFUNCTION("""COMPUTED_VALUE"""),2545)</f>
        <v>2545</v>
      </c>
      <c r="E38" s="16">
        <f>IFERROR(__xludf.DUMMYFUNCTION("""COMPUTED_VALUE"""),45797.6458333333)</f>
        <v>45797.6458333333</v>
      </c>
      <c r="F38" s="17">
        <f>IFERROR(__xludf.DUMMYFUNCTION("""COMPUTED_VALUE"""),628023)</f>
        <v>628023</v>
      </c>
      <c r="G38" s="16">
        <f>IFERROR(__xludf.DUMMYFUNCTION("""COMPUTED_VALUE"""),45797.6458333333)</f>
        <v>45797.6458333333</v>
      </c>
      <c r="H38" s="17">
        <f>IFERROR(__xludf.DUMMYFUNCTION("""COMPUTED_VALUE"""),2564.8)</f>
        <v>2564.8</v>
      </c>
      <c r="I38" s="16">
        <f>IFERROR(__xludf.DUMMYFUNCTION("""COMPUTED_VALUE"""),45797.6458333333)</f>
        <v>45797.6458333333</v>
      </c>
      <c r="J38" s="17">
        <f>IFERROR(__xludf.DUMMYFUNCTION("""COMPUTED_VALUE"""),2492.5)</f>
        <v>2492.5</v>
      </c>
      <c r="K38" s="3">
        <f t="shared" si="2"/>
        <v>0</v>
      </c>
      <c r="L38" s="3">
        <f t="shared" si="3"/>
        <v>0</v>
      </c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</row>
    <row r="39" customHeight="1" spans="1:31">
      <c r="A39" s="16">
        <f>IFERROR(__xludf.DUMMYFUNCTION("""COMPUTED_VALUE"""),45798.6458333333)</f>
        <v>45798.6458333333</v>
      </c>
      <c r="B39" s="17">
        <f>IFERROR(__xludf.DUMMYFUNCTION("""COMPUTED_VALUE"""),2500.4)</f>
        <v>2500.4</v>
      </c>
      <c r="C39" s="16">
        <f>IFERROR(__xludf.DUMMYFUNCTION("""COMPUTED_VALUE"""),45798.6458333333)</f>
        <v>45798.6458333333</v>
      </c>
      <c r="D39" s="17">
        <f>IFERROR(__xludf.DUMMYFUNCTION("""COMPUTED_VALUE"""),2509.7)</f>
        <v>2509.7</v>
      </c>
      <c r="E39" s="16">
        <f>IFERROR(__xludf.DUMMYFUNCTION("""COMPUTED_VALUE"""),45798.6458333333)</f>
        <v>45798.6458333333</v>
      </c>
      <c r="F39" s="17">
        <f>IFERROR(__xludf.DUMMYFUNCTION("""COMPUTED_VALUE"""),529234)</f>
        <v>529234</v>
      </c>
      <c r="G39" s="16">
        <f>IFERROR(__xludf.DUMMYFUNCTION("""COMPUTED_VALUE"""),45798.6458333333)</f>
        <v>45798.6458333333</v>
      </c>
      <c r="H39" s="17">
        <f>IFERROR(__xludf.DUMMYFUNCTION("""COMPUTED_VALUE"""),2524.5)</f>
        <v>2524.5</v>
      </c>
      <c r="I39" s="16">
        <f>IFERROR(__xludf.DUMMYFUNCTION("""COMPUTED_VALUE"""),45798.6458333333)</f>
        <v>45798.6458333333</v>
      </c>
      <c r="J39" s="17">
        <f>IFERROR(__xludf.DUMMYFUNCTION("""COMPUTED_VALUE"""),2483.7)</f>
        <v>2483.7</v>
      </c>
      <c r="K39" s="3">
        <f t="shared" si="2"/>
        <v>0</v>
      </c>
      <c r="L39" s="3">
        <f t="shared" si="3"/>
        <v>0</v>
      </c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</row>
    <row r="40" customHeight="1" spans="1:31">
      <c r="A40" s="16">
        <f>IFERROR(__xludf.DUMMYFUNCTION("""COMPUTED_VALUE"""),45799.6458333333)</f>
        <v>45799.6458333333</v>
      </c>
      <c r="B40" s="17">
        <f>IFERROR(__xludf.DUMMYFUNCTION("""COMPUTED_VALUE"""),2487.6)</f>
        <v>2487.6</v>
      </c>
      <c r="C40" s="16">
        <f>IFERROR(__xludf.DUMMYFUNCTION("""COMPUTED_VALUE"""),45799.6458333333)</f>
        <v>45799.6458333333</v>
      </c>
      <c r="D40" s="17">
        <f>IFERROR(__xludf.DUMMYFUNCTION("""COMPUTED_VALUE"""),2500.4)</f>
        <v>2500.4</v>
      </c>
      <c r="E40" s="16">
        <f>IFERROR(__xludf.DUMMYFUNCTION("""COMPUTED_VALUE"""),45799.6458333333)</f>
        <v>45799.6458333333</v>
      </c>
      <c r="F40" s="17">
        <f>IFERROR(__xludf.DUMMYFUNCTION("""COMPUTED_VALUE"""),906909)</f>
        <v>906909</v>
      </c>
      <c r="G40" s="16">
        <f>IFERROR(__xludf.DUMMYFUNCTION("""COMPUTED_VALUE"""),45799.6458333333)</f>
        <v>45799.6458333333</v>
      </c>
      <c r="H40" s="17">
        <f>IFERROR(__xludf.DUMMYFUNCTION("""COMPUTED_VALUE"""),2521.9)</f>
        <v>2521.9</v>
      </c>
      <c r="I40" s="16">
        <f>IFERROR(__xludf.DUMMYFUNCTION("""COMPUTED_VALUE"""),45799.6458333333)</f>
        <v>45799.6458333333</v>
      </c>
      <c r="J40" s="17">
        <f>IFERROR(__xludf.DUMMYFUNCTION("""COMPUTED_VALUE"""),2465.3)</f>
        <v>2465.3</v>
      </c>
      <c r="K40" s="3">
        <f t="shared" si="2"/>
        <v>0</v>
      </c>
      <c r="L40" s="3">
        <f t="shared" si="3"/>
        <v>0</v>
      </c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</row>
    <row r="41" customHeight="1" spans="1:31">
      <c r="A41" s="16">
        <f>IFERROR(__xludf.DUMMYFUNCTION("""COMPUTED_VALUE"""),45800.6458333333)</f>
        <v>45800.6458333333</v>
      </c>
      <c r="B41" s="17">
        <f>IFERROR(__xludf.DUMMYFUNCTION("""COMPUTED_VALUE"""),2540)</f>
        <v>2540</v>
      </c>
      <c r="C41" s="16">
        <f>IFERROR(__xludf.DUMMYFUNCTION("""COMPUTED_VALUE"""),45800.6458333333)</f>
        <v>45800.6458333333</v>
      </c>
      <c r="D41" s="17">
        <f>IFERROR(__xludf.DUMMYFUNCTION("""COMPUTED_VALUE"""),2499)</f>
        <v>2499</v>
      </c>
      <c r="E41" s="16">
        <f>IFERROR(__xludf.DUMMYFUNCTION("""COMPUTED_VALUE"""),45800.6458333333)</f>
        <v>45800.6458333333</v>
      </c>
      <c r="F41" s="17">
        <f>IFERROR(__xludf.DUMMYFUNCTION("""COMPUTED_VALUE"""),968415)</f>
        <v>968415</v>
      </c>
      <c r="G41" s="16">
        <f>IFERROR(__xludf.DUMMYFUNCTION("""COMPUTED_VALUE"""),45800.6458333333)</f>
        <v>45800.6458333333</v>
      </c>
      <c r="H41" s="17">
        <f>IFERROR(__xludf.DUMMYFUNCTION("""COMPUTED_VALUE"""),2548.1)</f>
        <v>2548.1</v>
      </c>
      <c r="I41" s="16">
        <f>IFERROR(__xludf.DUMMYFUNCTION("""COMPUTED_VALUE"""),45800.6458333333)</f>
        <v>45800.6458333333</v>
      </c>
      <c r="J41" s="17">
        <f>IFERROR(__xludf.DUMMYFUNCTION("""COMPUTED_VALUE"""),2490.5)</f>
        <v>2490.5</v>
      </c>
      <c r="K41" s="3">
        <f t="shared" si="2"/>
        <v>0</v>
      </c>
      <c r="L41" s="3">
        <f t="shared" si="3"/>
        <v>0</v>
      </c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</row>
    <row r="42" customHeight="1" spans="1:31">
      <c r="A42" s="16">
        <f>IFERROR(__xludf.DUMMYFUNCTION("""COMPUTED_VALUE"""),45803.6458333333)</f>
        <v>45803.6458333333</v>
      </c>
      <c r="B42" s="17">
        <f>IFERROR(__xludf.DUMMYFUNCTION("""COMPUTED_VALUE"""),2547.7)</f>
        <v>2547.7</v>
      </c>
      <c r="C42" s="16">
        <f>IFERROR(__xludf.DUMMYFUNCTION("""COMPUTED_VALUE"""),45803.6458333333)</f>
        <v>45803.6458333333</v>
      </c>
      <c r="D42" s="17">
        <f>IFERROR(__xludf.DUMMYFUNCTION("""COMPUTED_VALUE"""),2549.1)</f>
        <v>2549.1</v>
      </c>
      <c r="E42" s="16">
        <f>IFERROR(__xludf.DUMMYFUNCTION("""COMPUTED_VALUE"""),45803.6458333333)</f>
        <v>45803.6458333333</v>
      </c>
      <c r="F42" s="17">
        <f>IFERROR(__xludf.DUMMYFUNCTION("""COMPUTED_VALUE"""),552912)</f>
        <v>552912</v>
      </c>
      <c r="G42" s="16">
        <f>IFERROR(__xludf.DUMMYFUNCTION("""COMPUTED_VALUE"""),45803.6458333333)</f>
        <v>45803.6458333333</v>
      </c>
      <c r="H42" s="17">
        <f>IFERROR(__xludf.DUMMYFUNCTION("""COMPUTED_VALUE"""),2568.9)</f>
        <v>2568.9</v>
      </c>
      <c r="I42" s="16">
        <f>IFERROR(__xludf.DUMMYFUNCTION("""COMPUTED_VALUE"""),45803.6458333333)</f>
        <v>45803.6458333333</v>
      </c>
      <c r="J42" s="17">
        <f>IFERROR(__xludf.DUMMYFUNCTION("""COMPUTED_VALUE"""),2541.3)</f>
        <v>2541.3</v>
      </c>
      <c r="K42" s="3">
        <f t="shared" si="2"/>
        <v>0</v>
      </c>
      <c r="L42" s="3">
        <f t="shared" si="3"/>
        <v>0</v>
      </c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</row>
    <row r="43" customHeight="1" spans="1:31">
      <c r="A43" s="16">
        <f>IFERROR(__xludf.DUMMYFUNCTION("""COMPUTED_VALUE"""),45804.6458333333)</f>
        <v>45804.6458333333</v>
      </c>
      <c r="B43" s="17">
        <f>IFERROR(__xludf.DUMMYFUNCTION("""COMPUTED_VALUE"""),2540.3)</f>
        <v>2540.3</v>
      </c>
      <c r="C43" s="16">
        <f>IFERROR(__xludf.DUMMYFUNCTION("""COMPUTED_VALUE"""),45804.6458333333)</f>
        <v>45804.6458333333</v>
      </c>
      <c r="D43" s="17">
        <f>IFERROR(__xludf.DUMMYFUNCTION("""COMPUTED_VALUE"""),2545.9)</f>
        <v>2545.9</v>
      </c>
      <c r="E43" s="16">
        <f>IFERROR(__xludf.DUMMYFUNCTION("""COMPUTED_VALUE"""),45804.6458333333)</f>
        <v>45804.6458333333</v>
      </c>
      <c r="F43" s="17">
        <f>IFERROR(__xludf.DUMMYFUNCTION("""COMPUTED_VALUE"""),514936)</f>
        <v>514936</v>
      </c>
      <c r="G43" s="16">
        <f>IFERROR(__xludf.DUMMYFUNCTION("""COMPUTED_VALUE"""),45804.6458333333)</f>
        <v>45804.6458333333</v>
      </c>
      <c r="H43" s="17">
        <f>IFERROR(__xludf.DUMMYFUNCTION("""COMPUTED_VALUE"""),2569.1)</f>
        <v>2569.1</v>
      </c>
      <c r="I43" s="16">
        <f>IFERROR(__xludf.DUMMYFUNCTION("""COMPUTED_VALUE"""),45804.6458333333)</f>
        <v>45804.6458333333</v>
      </c>
      <c r="J43" s="17">
        <f>IFERROR(__xludf.DUMMYFUNCTION("""COMPUTED_VALUE"""),2526.1)</f>
        <v>2526.1</v>
      </c>
      <c r="K43" s="3">
        <f t="shared" si="2"/>
        <v>0</v>
      </c>
      <c r="L43" s="3">
        <f t="shared" si="3"/>
        <v>0</v>
      </c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</row>
    <row r="44" customHeight="1" spans="1:31">
      <c r="A44" s="16">
        <f>IFERROR(__xludf.DUMMYFUNCTION("""COMPUTED_VALUE"""),45805.6458333333)</f>
        <v>45805.6458333333</v>
      </c>
      <c r="B44" s="17">
        <f>IFERROR(__xludf.DUMMYFUNCTION("""COMPUTED_VALUE"""),2515)</f>
        <v>2515</v>
      </c>
      <c r="C44" s="16">
        <f>IFERROR(__xludf.DUMMYFUNCTION("""COMPUTED_VALUE"""),45805.6458333333)</f>
        <v>45805.6458333333</v>
      </c>
      <c r="D44" s="17">
        <f>IFERROR(__xludf.DUMMYFUNCTION("""COMPUTED_VALUE"""),2559)</f>
        <v>2559</v>
      </c>
      <c r="E44" s="16">
        <f>IFERROR(__xludf.DUMMYFUNCTION("""COMPUTED_VALUE"""),45805.6458333333)</f>
        <v>45805.6458333333</v>
      </c>
      <c r="F44" s="17">
        <f>IFERROR(__xludf.DUMMYFUNCTION("""COMPUTED_VALUE"""),575989)</f>
        <v>575989</v>
      </c>
      <c r="G44" s="16">
        <f>IFERROR(__xludf.DUMMYFUNCTION("""COMPUTED_VALUE"""),45805.6458333333)</f>
        <v>45805.6458333333</v>
      </c>
      <c r="H44" s="17">
        <f>IFERROR(__xludf.DUMMYFUNCTION("""COMPUTED_VALUE"""),2559)</f>
        <v>2559</v>
      </c>
      <c r="I44" s="16">
        <f>IFERROR(__xludf.DUMMYFUNCTION("""COMPUTED_VALUE"""),45805.6458333333)</f>
        <v>45805.6458333333</v>
      </c>
      <c r="J44" s="17">
        <f>IFERROR(__xludf.DUMMYFUNCTION("""COMPUTED_VALUE"""),2510)</f>
        <v>2510</v>
      </c>
      <c r="K44" s="3">
        <f t="shared" si="2"/>
        <v>0</v>
      </c>
      <c r="L44" s="3">
        <f t="shared" si="3"/>
        <v>0</v>
      </c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</row>
    <row r="45" customHeight="1" spans="1:31">
      <c r="A45" s="16">
        <f>IFERROR(__xludf.DUMMYFUNCTION("""COMPUTED_VALUE"""),45806.6458333333)</f>
        <v>45806.6458333333</v>
      </c>
      <c r="B45" s="17">
        <f>IFERROR(__xludf.DUMMYFUNCTION("""COMPUTED_VALUE"""),2540.8)</f>
        <v>2540.8</v>
      </c>
      <c r="C45" s="16">
        <f>IFERROR(__xludf.DUMMYFUNCTION("""COMPUTED_VALUE"""),45806.6458333333)</f>
        <v>45806.6458333333</v>
      </c>
      <c r="D45" s="17">
        <f>IFERROR(__xludf.DUMMYFUNCTION("""COMPUTED_VALUE"""),2536.7)</f>
        <v>2536.7</v>
      </c>
      <c r="E45" s="16">
        <f>IFERROR(__xludf.DUMMYFUNCTION("""COMPUTED_VALUE"""),45806.6458333333)</f>
        <v>45806.6458333333</v>
      </c>
      <c r="F45" s="17">
        <f>IFERROR(__xludf.DUMMYFUNCTION("""COMPUTED_VALUE"""),802317)</f>
        <v>802317</v>
      </c>
      <c r="G45" s="16">
        <f>IFERROR(__xludf.DUMMYFUNCTION("""COMPUTED_VALUE"""),45806.6458333333)</f>
        <v>45806.6458333333</v>
      </c>
      <c r="H45" s="17">
        <f>IFERROR(__xludf.DUMMYFUNCTION("""COMPUTED_VALUE"""),2559)</f>
        <v>2559</v>
      </c>
      <c r="I45" s="16">
        <f>IFERROR(__xludf.DUMMYFUNCTION("""COMPUTED_VALUE"""),45806.6458333333)</f>
        <v>45806.6458333333</v>
      </c>
      <c r="J45" s="17">
        <f>IFERROR(__xludf.DUMMYFUNCTION("""COMPUTED_VALUE"""),2511)</f>
        <v>2511</v>
      </c>
      <c r="K45" s="3">
        <f t="shared" si="2"/>
        <v>0</v>
      </c>
      <c r="L45" s="3">
        <f t="shared" si="3"/>
        <v>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</row>
    <row r="46" customHeight="1" spans="1:31">
      <c r="A46" s="16">
        <f>IFERROR(__xludf.DUMMYFUNCTION("""COMPUTED_VALUE"""),45807.6458333333)</f>
        <v>45807.6458333333</v>
      </c>
      <c r="B46" s="17">
        <f>IFERROR(__xludf.DUMMYFUNCTION("""COMPUTED_VALUE"""),2519.9)</f>
        <v>2519.9</v>
      </c>
      <c r="C46" s="16">
        <f>IFERROR(__xludf.DUMMYFUNCTION("""COMPUTED_VALUE"""),45807.6458333333)</f>
        <v>45807.6458333333</v>
      </c>
      <c r="D46" s="17">
        <f>IFERROR(__xludf.DUMMYFUNCTION("""COMPUTED_VALUE"""),2550)</f>
        <v>2550</v>
      </c>
      <c r="E46" s="16">
        <f>IFERROR(__xludf.DUMMYFUNCTION("""COMPUTED_VALUE"""),45807.6458333333)</f>
        <v>45807.6458333333</v>
      </c>
      <c r="F46" s="17">
        <f>IFERROR(__xludf.DUMMYFUNCTION("""COMPUTED_VALUE"""),684592)</f>
        <v>684592</v>
      </c>
      <c r="G46" s="16">
        <f>IFERROR(__xludf.DUMMYFUNCTION("""COMPUTED_VALUE"""),45807.6458333333)</f>
        <v>45807.6458333333</v>
      </c>
      <c r="H46" s="17">
        <f>IFERROR(__xludf.DUMMYFUNCTION("""COMPUTED_VALUE"""),2564)</f>
        <v>2564</v>
      </c>
      <c r="I46" s="16">
        <f>IFERROR(__xludf.DUMMYFUNCTION("""COMPUTED_VALUE"""),45807.6458333333)</f>
        <v>45807.6458333333</v>
      </c>
      <c r="J46" s="17">
        <f>IFERROR(__xludf.DUMMYFUNCTION("""COMPUTED_VALUE"""),2513.8)</f>
        <v>2513.8</v>
      </c>
      <c r="K46" s="3">
        <f t="shared" si="2"/>
        <v>0</v>
      </c>
      <c r="L46" s="3">
        <f t="shared" si="3"/>
        <v>0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</row>
    <row r="47" customHeight="1" spans="1:31">
      <c r="A47" s="16">
        <f>IFERROR(__xludf.DUMMYFUNCTION("""COMPUTED_VALUE"""),45810.6458333333)</f>
        <v>45810.6458333333</v>
      </c>
      <c r="B47" s="17">
        <f>IFERROR(__xludf.DUMMYFUNCTION("""COMPUTED_VALUE"""),2518.8)</f>
        <v>2518.8</v>
      </c>
      <c r="C47" s="16">
        <f>IFERROR(__xludf.DUMMYFUNCTION("""COMPUTED_VALUE"""),45810.6458333333)</f>
        <v>45810.6458333333</v>
      </c>
      <c r="D47" s="17">
        <f>IFERROR(__xludf.DUMMYFUNCTION("""COMPUTED_VALUE"""),2527)</f>
        <v>2527</v>
      </c>
      <c r="E47" s="16">
        <f>IFERROR(__xludf.DUMMYFUNCTION("""COMPUTED_VALUE"""),45810.6458333333)</f>
        <v>45810.6458333333</v>
      </c>
      <c r="F47" s="17">
        <f>IFERROR(__xludf.DUMMYFUNCTION("""COMPUTED_VALUE"""),1008716)</f>
        <v>1008716</v>
      </c>
      <c r="G47" s="16">
        <f>IFERROR(__xludf.DUMMYFUNCTION("""COMPUTED_VALUE"""),45810.6458333333)</f>
        <v>45810.6458333333</v>
      </c>
      <c r="H47" s="17">
        <f>IFERROR(__xludf.DUMMYFUNCTION("""COMPUTED_VALUE"""),2564)</f>
        <v>2564</v>
      </c>
      <c r="I47" s="16">
        <f>IFERROR(__xludf.DUMMYFUNCTION("""COMPUTED_VALUE"""),45810.6458333333)</f>
        <v>45810.6458333333</v>
      </c>
      <c r="J47" s="17">
        <f>IFERROR(__xludf.DUMMYFUNCTION("""COMPUTED_VALUE"""),2514.9)</f>
        <v>2514.9</v>
      </c>
      <c r="K47" s="3">
        <f t="shared" si="2"/>
        <v>0</v>
      </c>
      <c r="L47" s="3">
        <f t="shared" si="3"/>
        <v>0</v>
      </c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</row>
    <row r="48" customHeight="1" spans="1:31">
      <c r="A48" s="16">
        <f>IFERROR(__xludf.DUMMYFUNCTION("""COMPUTED_VALUE"""),45811.6458333333)</f>
        <v>45811.6458333333</v>
      </c>
      <c r="B48" s="17">
        <f>IFERROR(__xludf.DUMMYFUNCTION("""COMPUTED_VALUE"""),2470.9)</f>
        <v>2470.9</v>
      </c>
      <c r="C48" s="16">
        <f>IFERROR(__xludf.DUMMYFUNCTION("""COMPUTED_VALUE"""),45811.6458333333)</f>
        <v>45811.6458333333</v>
      </c>
      <c r="D48" s="17">
        <f>IFERROR(__xludf.DUMMYFUNCTION("""COMPUTED_VALUE"""),2511)</f>
        <v>2511</v>
      </c>
      <c r="E48" s="16">
        <f>IFERROR(__xludf.DUMMYFUNCTION("""COMPUTED_VALUE"""),45811.6458333333)</f>
        <v>45811.6458333333</v>
      </c>
      <c r="F48" s="17">
        <f>IFERROR(__xludf.DUMMYFUNCTION("""COMPUTED_VALUE"""),962708)</f>
        <v>962708</v>
      </c>
      <c r="G48" s="16">
        <f>IFERROR(__xludf.DUMMYFUNCTION("""COMPUTED_VALUE"""),45811.6458333333)</f>
        <v>45811.6458333333</v>
      </c>
      <c r="H48" s="17">
        <f>IFERROR(__xludf.DUMMYFUNCTION("""COMPUTED_VALUE"""),2512.5)</f>
        <v>2512.5</v>
      </c>
      <c r="I48" s="16">
        <f>IFERROR(__xludf.DUMMYFUNCTION("""COMPUTED_VALUE"""),45811.6458333333)</f>
        <v>45811.6458333333</v>
      </c>
      <c r="J48" s="17">
        <f>IFERROR(__xludf.DUMMYFUNCTION("""COMPUTED_VALUE"""),2452)</f>
        <v>2452</v>
      </c>
      <c r="K48" s="3">
        <f t="shared" si="2"/>
        <v>0</v>
      </c>
      <c r="L48" s="3">
        <f t="shared" si="3"/>
        <v>2470.9</v>
      </c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</row>
    <row r="49" customHeight="1" spans="1:31">
      <c r="A49" s="16">
        <f>IFERROR(__xludf.DUMMYFUNCTION("""COMPUTED_VALUE"""),45812.6458333333)</f>
        <v>45812.6458333333</v>
      </c>
      <c r="B49" s="17">
        <f>IFERROR(__xludf.DUMMYFUNCTION("""COMPUTED_VALUE"""),2489.4)</f>
        <v>2489.4</v>
      </c>
      <c r="C49" s="16">
        <f>IFERROR(__xludf.DUMMYFUNCTION("""COMPUTED_VALUE"""),45812.6458333333)</f>
        <v>45812.6458333333</v>
      </c>
      <c r="D49" s="17">
        <f>IFERROR(__xludf.DUMMYFUNCTION("""COMPUTED_VALUE"""),2480)</f>
        <v>2480</v>
      </c>
      <c r="E49" s="16">
        <f>IFERROR(__xludf.DUMMYFUNCTION("""COMPUTED_VALUE"""),45812.6458333333)</f>
        <v>45812.6458333333</v>
      </c>
      <c r="F49" s="17">
        <f>IFERROR(__xludf.DUMMYFUNCTION("""COMPUTED_VALUE"""),552667)</f>
        <v>552667</v>
      </c>
      <c r="G49" s="16">
        <f>IFERROR(__xludf.DUMMYFUNCTION("""COMPUTED_VALUE"""),45812.6458333333)</f>
        <v>45812.6458333333</v>
      </c>
      <c r="H49" s="17">
        <f>IFERROR(__xludf.DUMMYFUNCTION("""COMPUTED_VALUE"""),2503)</f>
        <v>2503</v>
      </c>
      <c r="I49" s="16">
        <f>IFERROR(__xludf.DUMMYFUNCTION("""COMPUTED_VALUE"""),45812.6458333333)</f>
        <v>45812.6458333333</v>
      </c>
      <c r="J49" s="17">
        <f>IFERROR(__xludf.DUMMYFUNCTION("""COMPUTED_VALUE"""),2441.1)</f>
        <v>2441.1</v>
      </c>
      <c r="K49" s="3">
        <f t="shared" si="2"/>
        <v>0</v>
      </c>
      <c r="L49" s="3">
        <f t="shared" si="3"/>
        <v>0</v>
      </c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</row>
    <row r="50" customHeight="1" spans="1:31">
      <c r="A50" s="16">
        <f>IFERROR(__xludf.DUMMYFUNCTION("""COMPUTED_VALUE"""),45813.6458333333)</f>
        <v>45813.6458333333</v>
      </c>
      <c r="B50" s="17">
        <f>IFERROR(__xludf.DUMMYFUNCTION("""COMPUTED_VALUE"""),2504.4)</f>
        <v>2504.4</v>
      </c>
      <c r="C50" s="16">
        <f>IFERROR(__xludf.DUMMYFUNCTION("""COMPUTED_VALUE"""),45813.6458333333)</f>
        <v>45813.6458333333</v>
      </c>
      <c r="D50" s="17">
        <f>IFERROR(__xludf.DUMMYFUNCTION("""COMPUTED_VALUE"""),2495)</f>
        <v>2495</v>
      </c>
      <c r="E50" s="16">
        <f>IFERROR(__xludf.DUMMYFUNCTION("""COMPUTED_VALUE"""),45813.6458333333)</f>
        <v>45813.6458333333</v>
      </c>
      <c r="F50" s="17">
        <f>IFERROR(__xludf.DUMMYFUNCTION("""COMPUTED_VALUE"""),673209)</f>
        <v>673209</v>
      </c>
      <c r="G50" s="16">
        <f>IFERROR(__xludf.DUMMYFUNCTION("""COMPUTED_VALUE"""),45813.6458333333)</f>
        <v>45813.6458333333</v>
      </c>
      <c r="H50" s="17">
        <f>IFERROR(__xludf.DUMMYFUNCTION("""COMPUTED_VALUE"""),2530.1)</f>
        <v>2530.1</v>
      </c>
      <c r="I50" s="16">
        <f>IFERROR(__xludf.DUMMYFUNCTION("""COMPUTED_VALUE"""),45813.6458333333)</f>
        <v>45813.6458333333</v>
      </c>
      <c r="J50" s="17">
        <f>IFERROR(__xludf.DUMMYFUNCTION("""COMPUTED_VALUE"""),2487.5)</f>
        <v>2487.5</v>
      </c>
      <c r="K50" s="3">
        <f t="shared" si="2"/>
        <v>0</v>
      </c>
      <c r="L50" s="3">
        <f t="shared" si="3"/>
        <v>0</v>
      </c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</row>
    <row r="51" customHeight="1" spans="1:31">
      <c r="A51" s="16">
        <f>IFERROR(__xludf.DUMMYFUNCTION("""COMPUTED_VALUE"""),45814.6458333333)</f>
        <v>45814.6458333333</v>
      </c>
      <c r="B51" s="17">
        <f>IFERROR(__xludf.DUMMYFUNCTION("""COMPUTED_VALUE"""),2534.2)</f>
        <v>2534.2</v>
      </c>
      <c r="C51" s="16">
        <f>IFERROR(__xludf.DUMMYFUNCTION("""COMPUTED_VALUE"""),45814.6458333333)</f>
        <v>45814.6458333333</v>
      </c>
      <c r="D51" s="17">
        <f>IFERROR(__xludf.DUMMYFUNCTION("""COMPUTED_VALUE"""),2514.9)</f>
        <v>2514.9</v>
      </c>
      <c r="E51" s="16">
        <f>IFERROR(__xludf.DUMMYFUNCTION("""COMPUTED_VALUE"""),45814.6458333333)</f>
        <v>45814.6458333333</v>
      </c>
      <c r="F51" s="17">
        <f>IFERROR(__xludf.DUMMYFUNCTION("""COMPUTED_VALUE"""),640680)</f>
        <v>640680</v>
      </c>
      <c r="G51" s="16">
        <f>IFERROR(__xludf.DUMMYFUNCTION("""COMPUTED_VALUE"""),45814.6458333333)</f>
        <v>45814.6458333333</v>
      </c>
      <c r="H51" s="17">
        <f>IFERROR(__xludf.DUMMYFUNCTION("""COMPUTED_VALUE"""),2553.3)</f>
        <v>2553.3</v>
      </c>
      <c r="I51" s="16">
        <f>IFERROR(__xludf.DUMMYFUNCTION("""COMPUTED_VALUE"""),45814.6458333333)</f>
        <v>45814.6458333333</v>
      </c>
      <c r="J51" s="17">
        <f>IFERROR(__xludf.DUMMYFUNCTION("""COMPUTED_VALUE"""),2504)</f>
        <v>2504</v>
      </c>
      <c r="K51" s="3">
        <f t="shared" si="2"/>
        <v>0</v>
      </c>
      <c r="L51" s="3">
        <f t="shared" si="3"/>
        <v>0</v>
      </c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</row>
    <row r="52" customHeight="1" spans="1:31">
      <c r="A52" s="16">
        <f>IFERROR(__xludf.DUMMYFUNCTION("""COMPUTED_VALUE"""),45817.6458333333)</f>
        <v>45817.6458333333</v>
      </c>
      <c r="B52" s="17">
        <f>IFERROR(__xludf.DUMMYFUNCTION("""COMPUTED_VALUE"""),2582.1)</f>
        <v>2582.1</v>
      </c>
      <c r="C52" s="16">
        <f>IFERROR(__xludf.DUMMYFUNCTION("""COMPUTED_VALUE"""),45817.6458333333)</f>
        <v>45817.6458333333</v>
      </c>
      <c r="D52" s="17">
        <f>IFERROR(__xludf.DUMMYFUNCTION("""COMPUTED_VALUE"""),2545)</f>
        <v>2545</v>
      </c>
      <c r="E52" s="16">
        <f>IFERROR(__xludf.DUMMYFUNCTION("""COMPUTED_VALUE"""),45817.6458333333)</f>
        <v>45817.6458333333</v>
      </c>
      <c r="F52" s="17">
        <f>IFERROR(__xludf.DUMMYFUNCTION("""COMPUTED_VALUE"""),1711167)</f>
        <v>1711167</v>
      </c>
      <c r="G52" s="16">
        <f>IFERROR(__xludf.DUMMYFUNCTION("""COMPUTED_VALUE"""),45817.6458333333)</f>
        <v>45817.6458333333</v>
      </c>
      <c r="H52" s="17">
        <f>IFERROR(__xludf.DUMMYFUNCTION("""COMPUTED_VALUE"""),2604.1)</f>
        <v>2604.1</v>
      </c>
      <c r="I52" s="16">
        <f>IFERROR(__xludf.DUMMYFUNCTION("""COMPUTED_VALUE"""),45817.6458333333)</f>
        <v>45817.6458333333</v>
      </c>
      <c r="J52" s="17">
        <f>IFERROR(__xludf.DUMMYFUNCTION("""COMPUTED_VALUE"""),2524.5)</f>
        <v>2524.5</v>
      </c>
      <c r="K52" s="3">
        <f t="shared" si="2"/>
        <v>0</v>
      </c>
      <c r="L52" s="3">
        <f t="shared" si="3"/>
        <v>0</v>
      </c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</row>
    <row r="53" customHeight="1" spans="1:31">
      <c r="A53" s="16">
        <f>IFERROR(__xludf.DUMMYFUNCTION("""COMPUTED_VALUE"""),45818.6458333333)</f>
        <v>45818.6458333333</v>
      </c>
      <c r="B53" s="17">
        <f>IFERROR(__xludf.DUMMYFUNCTION("""COMPUTED_VALUE"""),2613.1)</f>
        <v>2613.1</v>
      </c>
      <c r="C53" s="16">
        <f>IFERROR(__xludf.DUMMYFUNCTION("""COMPUTED_VALUE"""),45818.6458333333)</f>
        <v>45818.6458333333</v>
      </c>
      <c r="D53" s="17">
        <f>IFERROR(__xludf.DUMMYFUNCTION("""COMPUTED_VALUE"""),2600)</f>
        <v>2600</v>
      </c>
      <c r="E53" s="16">
        <f>IFERROR(__xludf.DUMMYFUNCTION("""COMPUTED_VALUE"""),45818.6458333333)</f>
        <v>45818.6458333333</v>
      </c>
      <c r="F53" s="17">
        <f>IFERROR(__xludf.DUMMYFUNCTION("""COMPUTED_VALUE"""),2084054)</f>
        <v>2084054</v>
      </c>
      <c r="G53" s="16">
        <f>IFERROR(__xludf.DUMMYFUNCTION("""COMPUTED_VALUE"""),45818.6458333333)</f>
        <v>45818.6458333333</v>
      </c>
      <c r="H53" s="17">
        <f>IFERROR(__xludf.DUMMYFUNCTION("""COMPUTED_VALUE"""),2663.2)</f>
        <v>2663.2</v>
      </c>
      <c r="I53" s="16">
        <f>IFERROR(__xludf.DUMMYFUNCTION("""COMPUTED_VALUE"""),45818.6458333333)</f>
        <v>45818.6458333333</v>
      </c>
      <c r="J53" s="17">
        <f>IFERROR(__xludf.DUMMYFUNCTION("""COMPUTED_VALUE"""),2577.7)</f>
        <v>2577.7</v>
      </c>
      <c r="K53" s="3">
        <f t="shared" si="2"/>
        <v>2613.1</v>
      </c>
      <c r="L53" s="3">
        <f t="shared" si="3"/>
        <v>0</v>
      </c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</row>
    <row r="54" customHeight="1" spans="1:31">
      <c r="A54" s="16">
        <f>IFERROR(__xludf.DUMMYFUNCTION("""COMPUTED_VALUE"""),45819.6458333333)</f>
        <v>45819.6458333333</v>
      </c>
      <c r="B54" s="17">
        <f>IFERROR(__xludf.DUMMYFUNCTION("""COMPUTED_VALUE"""),2581.2)</f>
        <v>2581.2</v>
      </c>
      <c r="C54" s="16">
        <f>IFERROR(__xludf.DUMMYFUNCTION("""COMPUTED_VALUE"""),45819.6458333333)</f>
        <v>45819.6458333333</v>
      </c>
      <c r="D54" s="17">
        <f>IFERROR(__xludf.DUMMYFUNCTION("""COMPUTED_VALUE"""),2630)</f>
        <v>2630</v>
      </c>
      <c r="E54" s="16">
        <f>IFERROR(__xludf.DUMMYFUNCTION("""COMPUTED_VALUE"""),45819.6458333333)</f>
        <v>45819.6458333333</v>
      </c>
      <c r="F54" s="17">
        <f>IFERROR(__xludf.DUMMYFUNCTION("""COMPUTED_VALUE"""),745432)</f>
        <v>745432</v>
      </c>
      <c r="G54" s="16">
        <f>IFERROR(__xludf.DUMMYFUNCTION("""COMPUTED_VALUE"""),45819.6458333333)</f>
        <v>45819.6458333333</v>
      </c>
      <c r="H54" s="17">
        <f>IFERROR(__xludf.DUMMYFUNCTION("""COMPUTED_VALUE"""),2630.9)</f>
        <v>2630.9</v>
      </c>
      <c r="I54" s="16">
        <f>IFERROR(__xludf.DUMMYFUNCTION("""COMPUTED_VALUE"""),45819.6458333333)</f>
        <v>45819.6458333333</v>
      </c>
      <c r="J54" s="17">
        <f>IFERROR(__xludf.DUMMYFUNCTION("""COMPUTED_VALUE"""),2563.1)</f>
        <v>2563.1</v>
      </c>
      <c r="K54" s="3">
        <f t="shared" si="2"/>
        <v>0</v>
      </c>
      <c r="L54" s="3">
        <f t="shared" si="3"/>
        <v>0</v>
      </c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</row>
    <row r="55" customHeight="1" spans="1:31">
      <c r="A55" s="16">
        <f>IFERROR(__xludf.DUMMYFUNCTION("""COMPUTED_VALUE"""),45820.6458333333)</f>
        <v>45820.6458333333</v>
      </c>
      <c r="B55" s="17">
        <f>IFERROR(__xludf.DUMMYFUNCTION("""COMPUTED_VALUE"""),2543.7)</f>
        <v>2543.7</v>
      </c>
      <c r="C55" s="16">
        <f>IFERROR(__xludf.DUMMYFUNCTION("""COMPUTED_VALUE"""),45820.6458333333)</f>
        <v>45820.6458333333</v>
      </c>
      <c r="D55" s="17">
        <f>IFERROR(__xludf.DUMMYFUNCTION("""COMPUTED_VALUE"""),2591.5)</f>
        <v>2591.5</v>
      </c>
      <c r="E55" s="16">
        <f>IFERROR(__xludf.DUMMYFUNCTION("""COMPUTED_VALUE"""),45820.6458333333)</f>
        <v>45820.6458333333</v>
      </c>
      <c r="F55" s="17">
        <f>IFERROR(__xludf.DUMMYFUNCTION("""COMPUTED_VALUE"""),955097)</f>
        <v>955097</v>
      </c>
      <c r="G55" s="16">
        <f>IFERROR(__xludf.DUMMYFUNCTION("""COMPUTED_VALUE"""),45820.6458333333)</f>
        <v>45820.6458333333</v>
      </c>
      <c r="H55" s="17">
        <f>IFERROR(__xludf.DUMMYFUNCTION("""COMPUTED_VALUE"""),2601.8)</f>
        <v>2601.8</v>
      </c>
      <c r="I55" s="16">
        <f>IFERROR(__xludf.DUMMYFUNCTION("""COMPUTED_VALUE"""),45820.6458333333)</f>
        <v>45820.6458333333</v>
      </c>
      <c r="J55" s="17">
        <f>IFERROR(__xludf.DUMMYFUNCTION("""COMPUTED_VALUE"""),2530)</f>
        <v>2530</v>
      </c>
      <c r="K55" s="3">
        <f t="shared" si="2"/>
        <v>0</v>
      </c>
      <c r="L55" s="3">
        <f t="shared" si="3"/>
        <v>0</v>
      </c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</row>
    <row r="56" customHeight="1" spans="1:31">
      <c r="A56" s="16">
        <f>IFERROR(__xludf.DUMMYFUNCTION("""COMPUTED_VALUE"""),45821.6458333333)</f>
        <v>45821.6458333333</v>
      </c>
      <c r="B56" s="17">
        <f>IFERROR(__xludf.DUMMYFUNCTION("""COMPUTED_VALUE"""),2507.9)</f>
        <v>2507.9</v>
      </c>
      <c r="C56" s="16">
        <f>IFERROR(__xludf.DUMMYFUNCTION("""COMPUTED_VALUE"""),45821.6458333333)</f>
        <v>45821.6458333333</v>
      </c>
      <c r="D56" s="17">
        <f>IFERROR(__xludf.DUMMYFUNCTION("""COMPUTED_VALUE"""),2498)</f>
        <v>2498</v>
      </c>
      <c r="E56" s="16">
        <f>IFERROR(__xludf.DUMMYFUNCTION("""COMPUTED_VALUE"""),45821.6458333333)</f>
        <v>45821.6458333333</v>
      </c>
      <c r="F56" s="17">
        <f>IFERROR(__xludf.DUMMYFUNCTION("""COMPUTED_VALUE"""),695869)</f>
        <v>695869</v>
      </c>
      <c r="G56" s="16">
        <f>IFERROR(__xludf.DUMMYFUNCTION("""COMPUTED_VALUE"""),45821.6458333333)</f>
        <v>45821.6458333333</v>
      </c>
      <c r="H56" s="17">
        <f>IFERROR(__xludf.DUMMYFUNCTION("""COMPUTED_VALUE"""),2516)</f>
        <v>2516</v>
      </c>
      <c r="I56" s="16">
        <f>IFERROR(__xludf.DUMMYFUNCTION("""COMPUTED_VALUE"""),45821.6458333333)</f>
        <v>45821.6458333333</v>
      </c>
      <c r="J56" s="17">
        <f>IFERROR(__xludf.DUMMYFUNCTION("""COMPUTED_VALUE"""),2460)</f>
        <v>2460</v>
      </c>
      <c r="K56" s="3">
        <f t="shared" si="2"/>
        <v>0</v>
      </c>
      <c r="L56" s="3">
        <f t="shared" si="3"/>
        <v>0</v>
      </c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</row>
    <row r="57" customHeight="1" spans="1:31">
      <c r="A57" s="16">
        <f>IFERROR(__xludf.DUMMYFUNCTION("""COMPUTED_VALUE"""),45824.6458333333)</f>
        <v>45824.6458333333</v>
      </c>
      <c r="B57" s="17">
        <f>IFERROR(__xludf.DUMMYFUNCTION("""COMPUTED_VALUE"""),2544)</f>
        <v>2544</v>
      </c>
      <c r="C57" s="16">
        <f>IFERROR(__xludf.DUMMYFUNCTION("""COMPUTED_VALUE"""),45824.6458333333)</f>
        <v>45824.6458333333</v>
      </c>
      <c r="D57" s="17">
        <f>IFERROR(__xludf.DUMMYFUNCTION("""COMPUTED_VALUE"""),2500)</f>
        <v>2500</v>
      </c>
      <c r="E57" s="16">
        <f>IFERROR(__xludf.DUMMYFUNCTION("""COMPUTED_VALUE"""),45824.6458333333)</f>
        <v>45824.6458333333</v>
      </c>
      <c r="F57" s="17">
        <f>IFERROR(__xludf.DUMMYFUNCTION("""COMPUTED_VALUE"""),956459)</f>
        <v>956459</v>
      </c>
      <c r="G57" s="16">
        <f>IFERROR(__xludf.DUMMYFUNCTION("""COMPUTED_VALUE"""),45824.6458333333)</f>
        <v>45824.6458333333</v>
      </c>
      <c r="H57" s="17">
        <f>IFERROR(__xludf.DUMMYFUNCTION("""COMPUTED_VALUE"""),2563.3)</f>
        <v>2563.3</v>
      </c>
      <c r="I57" s="16">
        <f>IFERROR(__xludf.DUMMYFUNCTION("""COMPUTED_VALUE"""),45824.6458333333)</f>
        <v>45824.6458333333</v>
      </c>
      <c r="J57" s="17">
        <f>IFERROR(__xludf.DUMMYFUNCTION("""COMPUTED_VALUE"""),2462)</f>
        <v>2462</v>
      </c>
      <c r="K57" s="3">
        <f t="shared" si="2"/>
        <v>0</v>
      </c>
      <c r="L57" s="3">
        <f t="shared" si="3"/>
        <v>0</v>
      </c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</row>
    <row r="58" customHeight="1" spans="1:31">
      <c r="A58" s="16">
        <f>IFERROR(__xludf.DUMMYFUNCTION("""COMPUTED_VALUE"""),45825.6458333333)</f>
        <v>45825.6458333333</v>
      </c>
      <c r="B58" s="17">
        <f>IFERROR(__xludf.DUMMYFUNCTION("""COMPUTED_VALUE"""),2488.5)</f>
        <v>2488.5</v>
      </c>
      <c r="C58" s="16">
        <f>IFERROR(__xludf.DUMMYFUNCTION("""COMPUTED_VALUE"""),45825.6458333333)</f>
        <v>45825.6458333333</v>
      </c>
      <c r="D58" s="17">
        <f>IFERROR(__xludf.DUMMYFUNCTION("""COMPUTED_VALUE"""),2535)</f>
        <v>2535</v>
      </c>
      <c r="E58" s="16">
        <f>IFERROR(__xludf.DUMMYFUNCTION("""COMPUTED_VALUE"""),45825.6458333333)</f>
        <v>45825.6458333333</v>
      </c>
      <c r="F58" s="17">
        <f>IFERROR(__xludf.DUMMYFUNCTION("""COMPUTED_VALUE"""),703343)</f>
        <v>703343</v>
      </c>
      <c r="G58" s="16">
        <f>IFERROR(__xludf.DUMMYFUNCTION("""COMPUTED_VALUE"""),45825.6458333333)</f>
        <v>45825.6458333333</v>
      </c>
      <c r="H58" s="17">
        <f>IFERROR(__xludf.DUMMYFUNCTION("""COMPUTED_VALUE"""),2539.6)</f>
        <v>2539.6</v>
      </c>
      <c r="I58" s="16">
        <f>IFERROR(__xludf.DUMMYFUNCTION("""COMPUTED_VALUE"""),45825.6458333333)</f>
        <v>45825.6458333333</v>
      </c>
      <c r="J58" s="17">
        <f>IFERROR(__xludf.DUMMYFUNCTION("""COMPUTED_VALUE"""),2479)</f>
        <v>2479</v>
      </c>
      <c r="K58" s="3">
        <f t="shared" si="2"/>
        <v>0</v>
      </c>
      <c r="L58" s="3">
        <f t="shared" si="3"/>
        <v>0</v>
      </c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</row>
    <row r="59" customHeight="1" spans="1:31">
      <c r="A59" s="16">
        <f>IFERROR(__xludf.DUMMYFUNCTION("""COMPUTED_VALUE"""),45826.6458333333)</f>
        <v>45826.6458333333</v>
      </c>
      <c r="B59" s="17">
        <f>IFERROR(__xludf.DUMMYFUNCTION("""COMPUTED_VALUE"""),2459.1)</f>
        <v>2459.1</v>
      </c>
      <c r="C59" s="16">
        <f>IFERROR(__xludf.DUMMYFUNCTION("""COMPUTED_VALUE"""),45826.6458333333)</f>
        <v>45826.6458333333</v>
      </c>
      <c r="D59" s="17">
        <f>IFERROR(__xludf.DUMMYFUNCTION("""COMPUTED_VALUE"""),2491.9)</f>
        <v>2491.9</v>
      </c>
      <c r="E59" s="16">
        <f>IFERROR(__xludf.DUMMYFUNCTION("""COMPUTED_VALUE"""),45826.6458333333)</f>
        <v>45826.6458333333</v>
      </c>
      <c r="F59" s="17">
        <f>IFERROR(__xludf.DUMMYFUNCTION("""COMPUTED_VALUE"""),667044)</f>
        <v>667044</v>
      </c>
      <c r="G59" s="16">
        <f>IFERROR(__xludf.DUMMYFUNCTION("""COMPUTED_VALUE"""),45826.6458333333)</f>
        <v>45826.6458333333</v>
      </c>
      <c r="H59" s="17">
        <f>IFERROR(__xludf.DUMMYFUNCTION("""COMPUTED_VALUE"""),2495.9)</f>
        <v>2495.9</v>
      </c>
      <c r="I59" s="16">
        <f>IFERROR(__xludf.DUMMYFUNCTION("""COMPUTED_VALUE"""),45826.6458333333)</f>
        <v>45826.6458333333</v>
      </c>
      <c r="J59" s="17">
        <f>IFERROR(__xludf.DUMMYFUNCTION("""COMPUTED_VALUE"""),2445.4)</f>
        <v>2445.4</v>
      </c>
      <c r="K59" s="3">
        <f t="shared" si="2"/>
        <v>0</v>
      </c>
      <c r="L59" s="3">
        <f t="shared" si="3"/>
        <v>0</v>
      </c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</row>
    <row r="60" customHeight="1" spans="1:31">
      <c r="A60" s="16">
        <f>IFERROR(__xludf.DUMMYFUNCTION("""COMPUTED_VALUE"""),45827.6458333333)</f>
        <v>45827.6458333333</v>
      </c>
      <c r="B60" s="17">
        <f>IFERROR(__xludf.DUMMYFUNCTION("""COMPUTED_VALUE"""),2420.6)</f>
        <v>2420.6</v>
      </c>
      <c r="C60" s="16">
        <f>IFERROR(__xludf.DUMMYFUNCTION("""COMPUTED_VALUE"""),45827.6458333333)</f>
        <v>45827.6458333333</v>
      </c>
      <c r="D60" s="17">
        <f>IFERROR(__xludf.DUMMYFUNCTION("""COMPUTED_VALUE"""),2466.3)</f>
        <v>2466.3</v>
      </c>
      <c r="E60" s="16">
        <f>IFERROR(__xludf.DUMMYFUNCTION("""COMPUTED_VALUE"""),45827.6458333333)</f>
        <v>45827.6458333333</v>
      </c>
      <c r="F60" s="17">
        <f>IFERROR(__xludf.DUMMYFUNCTION("""COMPUTED_VALUE"""),688209)</f>
        <v>688209</v>
      </c>
      <c r="G60" s="16">
        <f>IFERROR(__xludf.DUMMYFUNCTION("""COMPUTED_VALUE"""),45827.6458333333)</f>
        <v>45827.6458333333</v>
      </c>
      <c r="H60" s="17">
        <f>IFERROR(__xludf.DUMMYFUNCTION("""COMPUTED_VALUE"""),2468.9)</f>
        <v>2468.9</v>
      </c>
      <c r="I60" s="16">
        <f>IFERROR(__xludf.DUMMYFUNCTION("""COMPUTED_VALUE"""),45827.6458333333)</f>
        <v>45827.6458333333</v>
      </c>
      <c r="J60" s="17">
        <f>IFERROR(__xludf.DUMMYFUNCTION("""COMPUTED_VALUE"""),2405.1)</f>
        <v>2405.1</v>
      </c>
      <c r="K60" s="3">
        <f t="shared" si="2"/>
        <v>0</v>
      </c>
      <c r="L60" s="3">
        <f t="shared" si="3"/>
        <v>2420.6</v>
      </c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</row>
    <row r="61" customHeight="1" spans="1:31">
      <c r="A61" s="16">
        <f>IFERROR(__xludf.DUMMYFUNCTION("""COMPUTED_VALUE"""),45828.6458333333)</f>
        <v>45828.6458333333</v>
      </c>
      <c r="B61" s="17">
        <f>IFERROR(__xludf.DUMMYFUNCTION("""COMPUTED_VALUE"""),2448.4)</f>
        <v>2448.4</v>
      </c>
      <c r="C61" s="16">
        <f>IFERROR(__xludf.DUMMYFUNCTION("""COMPUTED_VALUE"""),45828.6458333333)</f>
        <v>45828.6458333333</v>
      </c>
      <c r="D61" s="17">
        <f>IFERROR(__xludf.DUMMYFUNCTION("""COMPUTED_VALUE"""),2428)</f>
        <v>2428</v>
      </c>
      <c r="E61" s="16">
        <f>IFERROR(__xludf.DUMMYFUNCTION("""COMPUTED_VALUE"""),45828.6458333333)</f>
        <v>45828.6458333333</v>
      </c>
      <c r="F61" s="17">
        <f>IFERROR(__xludf.DUMMYFUNCTION("""COMPUTED_VALUE"""),3002549)</f>
        <v>3002549</v>
      </c>
      <c r="G61" s="16">
        <f>IFERROR(__xludf.DUMMYFUNCTION("""COMPUTED_VALUE"""),45828.6458333333)</f>
        <v>45828.6458333333</v>
      </c>
      <c r="H61" s="17">
        <f>IFERROR(__xludf.DUMMYFUNCTION("""COMPUTED_VALUE"""),2461.3)</f>
        <v>2461.3</v>
      </c>
      <c r="I61" s="16">
        <f>IFERROR(__xludf.DUMMYFUNCTION("""COMPUTED_VALUE"""),45828.6458333333)</f>
        <v>45828.6458333333</v>
      </c>
      <c r="J61" s="17">
        <f>IFERROR(__xludf.DUMMYFUNCTION("""COMPUTED_VALUE"""),2415)</f>
        <v>2415</v>
      </c>
      <c r="K61" s="3">
        <f t="shared" si="2"/>
        <v>0</v>
      </c>
      <c r="L61" s="3">
        <f t="shared" si="3"/>
        <v>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</row>
    <row r="62" customHeight="1" spans="1:31">
      <c r="A62" s="16">
        <f>IFERROR(__xludf.DUMMYFUNCTION("""COMPUTED_VALUE"""),45831.6458333333)</f>
        <v>45831.6458333333</v>
      </c>
      <c r="B62" s="17">
        <f>IFERROR(__xludf.DUMMYFUNCTION("""COMPUTED_VALUE"""),2472)</f>
        <v>2472</v>
      </c>
      <c r="C62" s="16">
        <f>IFERROR(__xludf.DUMMYFUNCTION("""COMPUTED_VALUE"""),45831.6458333333)</f>
        <v>45831.6458333333</v>
      </c>
      <c r="D62" s="17">
        <f>IFERROR(__xludf.DUMMYFUNCTION("""COMPUTED_VALUE"""),2438)</f>
        <v>2438</v>
      </c>
      <c r="E62" s="16">
        <f>IFERROR(__xludf.DUMMYFUNCTION("""COMPUTED_VALUE"""),45831.6458333333)</f>
        <v>45831.6458333333</v>
      </c>
      <c r="F62" s="17">
        <f>IFERROR(__xludf.DUMMYFUNCTION("""COMPUTED_VALUE"""),790535)</f>
        <v>790535</v>
      </c>
      <c r="G62" s="16">
        <f>IFERROR(__xludf.DUMMYFUNCTION("""COMPUTED_VALUE"""),45831.6458333333)</f>
        <v>45831.6458333333</v>
      </c>
      <c r="H62" s="17">
        <f>IFERROR(__xludf.DUMMYFUNCTION("""COMPUTED_VALUE"""),2492.6)</f>
        <v>2492.6</v>
      </c>
      <c r="I62" s="16">
        <f>IFERROR(__xludf.DUMMYFUNCTION("""COMPUTED_VALUE"""),45831.6458333333)</f>
        <v>45831.6458333333</v>
      </c>
      <c r="J62" s="17">
        <f>IFERROR(__xludf.DUMMYFUNCTION("""COMPUTED_VALUE"""),2421)</f>
        <v>2421</v>
      </c>
      <c r="K62" s="3">
        <f t="shared" si="2"/>
        <v>0</v>
      </c>
      <c r="L62" s="3">
        <f t="shared" si="3"/>
        <v>0</v>
      </c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</row>
    <row r="63" customHeight="1" spans="1:31">
      <c r="A63" s="16">
        <f>IFERROR(__xludf.DUMMYFUNCTION("""COMPUTED_VALUE"""),45832.6458333333)</f>
        <v>45832.6458333333</v>
      </c>
      <c r="B63" s="17">
        <f>IFERROR(__xludf.DUMMYFUNCTION("""COMPUTED_VALUE"""),2505.6)</f>
        <v>2505.6</v>
      </c>
      <c r="C63" s="16">
        <f>IFERROR(__xludf.DUMMYFUNCTION("""COMPUTED_VALUE"""),45832.6458333333)</f>
        <v>45832.6458333333</v>
      </c>
      <c r="D63" s="17">
        <f>IFERROR(__xludf.DUMMYFUNCTION("""COMPUTED_VALUE"""),2504)</f>
        <v>2504</v>
      </c>
      <c r="E63" s="16">
        <f>IFERROR(__xludf.DUMMYFUNCTION("""COMPUTED_VALUE"""),45832.6458333333)</f>
        <v>45832.6458333333</v>
      </c>
      <c r="F63" s="17">
        <f>IFERROR(__xludf.DUMMYFUNCTION("""COMPUTED_VALUE"""),996405)</f>
        <v>996405</v>
      </c>
      <c r="G63" s="16">
        <f>IFERROR(__xludf.DUMMYFUNCTION("""COMPUTED_VALUE"""),45832.6458333333)</f>
        <v>45832.6458333333</v>
      </c>
      <c r="H63" s="17">
        <f>IFERROR(__xludf.DUMMYFUNCTION("""COMPUTED_VALUE"""),2544.6)</f>
        <v>2544.6</v>
      </c>
      <c r="I63" s="16">
        <f>IFERROR(__xludf.DUMMYFUNCTION("""COMPUTED_VALUE"""),45832.6458333333)</f>
        <v>45832.6458333333</v>
      </c>
      <c r="J63" s="17">
        <f>IFERROR(__xludf.DUMMYFUNCTION("""COMPUTED_VALUE"""),2500.2)</f>
        <v>2500.2</v>
      </c>
      <c r="K63" s="3">
        <f t="shared" si="2"/>
        <v>0</v>
      </c>
      <c r="L63" s="3">
        <f t="shared" si="3"/>
        <v>0</v>
      </c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</row>
    <row r="64" customHeight="1" spans="1:31">
      <c r="A64" s="16">
        <f>IFERROR(__xludf.DUMMYFUNCTION("""COMPUTED_VALUE"""),45833.6458333333)</f>
        <v>45833.6458333333</v>
      </c>
      <c r="B64" s="17">
        <f>IFERROR(__xludf.DUMMYFUNCTION("""COMPUTED_VALUE"""),2527.2)</f>
        <v>2527.2</v>
      </c>
      <c r="C64" s="16">
        <f>IFERROR(__xludf.DUMMYFUNCTION("""COMPUTED_VALUE"""),45833.6458333333)</f>
        <v>45833.6458333333</v>
      </c>
      <c r="D64" s="17">
        <f>IFERROR(__xludf.DUMMYFUNCTION("""COMPUTED_VALUE"""),2519.9)</f>
        <v>2519.9</v>
      </c>
      <c r="E64" s="16">
        <f>IFERROR(__xludf.DUMMYFUNCTION("""COMPUTED_VALUE"""),45833.6458333333)</f>
        <v>45833.6458333333</v>
      </c>
      <c r="F64" s="17">
        <f>IFERROR(__xludf.DUMMYFUNCTION("""COMPUTED_VALUE"""),921346)</f>
        <v>921346</v>
      </c>
      <c r="G64" s="16">
        <f>IFERROR(__xludf.DUMMYFUNCTION("""COMPUTED_VALUE"""),45833.6458333333)</f>
        <v>45833.6458333333</v>
      </c>
      <c r="H64" s="17">
        <f>IFERROR(__xludf.DUMMYFUNCTION("""COMPUTED_VALUE"""),2541.6)</f>
        <v>2541.6</v>
      </c>
      <c r="I64" s="16">
        <f>IFERROR(__xludf.DUMMYFUNCTION("""COMPUTED_VALUE"""),45833.6458333333)</f>
        <v>45833.6458333333</v>
      </c>
      <c r="J64" s="17">
        <f>IFERROR(__xludf.DUMMYFUNCTION("""COMPUTED_VALUE"""),2512.1)</f>
        <v>2512.1</v>
      </c>
      <c r="K64" s="3">
        <f t="shared" si="2"/>
        <v>0</v>
      </c>
      <c r="L64" s="3">
        <f t="shared" si="3"/>
        <v>0</v>
      </c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</row>
    <row r="65" customHeight="1" spans="1:31">
      <c r="A65" s="16">
        <f>IFERROR(__xludf.DUMMYFUNCTION("""COMPUTED_VALUE"""),45834.6458333333)</f>
        <v>45834.6458333333</v>
      </c>
      <c r="B65" s="17">
        <f>IFERROR(__xludf.DUMMYFUNCTION("""COMPUTED_VALUE"""),2586.2)</f>
        <v>2586.2</v>
      </c>
      <c r="C65" s="16">
        <f>IFERROR(__xludf.DUMMYFUNCTION("""COMPUTED_VALUE"""),45834.6458333333)</f>
        <v>45834.6458333333</v>
      </c>
      <c r="D65" s="17">
        <f>IFERROR(__xludf.DUMMYFUNCTION("""COMPUTED_VALUE"""),2535)</f>
        <v>2535</v>
      </c>
      <c r="E65" s="16">
        <f>IFERROR(__xludf.DUMMYFUNCTION("""COMPUTED_VALUE"""),45834.6458333333)</f>
        <v>45834.6458333333</v>
      </c>
      <c r="F65" s="17">
        <f>IFERROR(__xludf.DUMMYFUNCTION("""COMPUTED_VALUE"""),1339627)</f>
        <v>1339627</v>
      </c>
      <c r="G65" s="16">
        <f>IFERROR(__xludf.DUMMYFUNCTION("""COMPUTED_VALUE"""),45834.6458333333)</f>
        <v>45834.6458333333</v>
      </c>
      <c r="H65" s="17">
        <f>IFERROR(__xludf.DUMMYFUNCTION("""COMPUTED_VALUE"""),2593.6)</f>
        <v>2593.6</v>
      </c>
      <c r="I65" s="16">
        <f>IFERROR(__xludf.DUMMYFUNCTION("""COMPUTED_VALUE"""),45834.6458333333)</f>
        <v>45834.6458333333</v>
      </c>
      <c r="J65" s="17">
        <f>IFERROR(__xludf.DUMMYFUNCTION("""COMPUTED_VALUE"""),2522.2)</f>
        <v>2522.2</v>
      </c>
      <c r="K65" s="3">
        <f t="shared" si="2"/>
        <v>0</v>
      </c>
      <c r="L65" s="3">
        <f t="shared" si="3"/>
        <v>0</v>
      </c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</row>
    <row r="66" customHeight="1" spans="1:31">
      <c r="A66" s="16">
        <f>IFERROR(__xludf.DUMMYFUNCTION("""COMPUTED_VALUE"""),45835.6458333333)</f>
        <v>45835.6458333333</v>
      </c>
      <c r="B66" s="17">
        <f>IFERROR(__xludf.DUMMYFUNCTION("""COMPUTED_VALUE"""),2646.3)</f>
        <v>2646.3</v>
      </c>
      <c r="C66" s="16">
        <f>IFERROR(__xludf.DUMMYFUNCTION("""COMPUTED_VALUE"""),45835.6458333333)</f>
        <v>45835.6458333333</v>
      </c>
      <c r="D66" s="17">
        <f>IFERROR(__xludf.DUMMYFUNCTION("""COMPUTED_VALUE"""),2587.7)</f>
        <v>2587.7</v>
      </c>
      <c r="E66" s="16">
        <f>IFERROR(__xludf.DUMMYFUNCTION("""COMPUTED_VALUE"""),45835.6458333333)</f>
        <v>45835.6458333333</v>
      </c>
      <c r="F66" s="17">
        <f>IFERROR(__xludf.DUMMYFUNCTION("""COMPUTED_VALUE"""),4049316)</f>
        <v>4049316</v>
      </c>
      <c r="G66" s="16">
        <f>IFERROR(__xludf.DUMMYFUNCTION("""COMPUTED_VALUE"""),45835.6458333333)</f>
        <v>45835.6458333333</v>
      </c>
      <c r="H66" s="17">
        <f>IFERROR(__xludf.DUMMYFUNCTION("""COMPUTED_VALUE"""),2681.6)</f>
        <v>2681.6</v>
      </c>
      <c r="I66" s="16">
        <f>IFERROR(__xludf.DUMMYFUNCTION("""COMPUTED_VALUE"""),45835.6458333333)</f>
        <v>45835.6458333333</v>
      </c>
      <c r="J66" s="17">
        <f>IFERROR(__xludf.DUMMYFUNCTION("""COMPUTED_VALUE"""),2582)</f>
        <v>2582</v>
      </c>
      <c r="K66" s="3">
        <f t="shared" si="2"/>
        <v>2646.3</v>
      </c>
      <c r="L66" s="3">
        <f t="shared" si="3"/>
        <v>0</v>
      </c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</row>
    <row r="67" customHeight="1" spans="1:31">
      <c r="A67" s="16">
        <f>IFERROR(__xludf.DUMMYFUNCTION("""COMPUTED_VALUE"""),45838.6458333333)</f>
        <v>45838.6458333333</v>
      </c>
      <c r="B67" s="17">
        <f>IFERROR(__xludf.DUMMYFUNCTION("""COMPUTED_VALUE"""),2619.4)</f>
        <v>2619.4</v>
      </c>
      <c r="C67" s="16">
        <f>IFERROR(__xludf.DUMMYFUNCTION("""COMPUTED_VALUE"""),45838.6458333333)</f>
        <v>45838.6458333333</v>
      </c>
      <c r="D67" s="17">
        <f>IFERROR(__xludf.DUMMYFUNCTION("""COMPUTED_VALUE"""),2650)</f>
        <v>2650</v>
      </c>
      <c r="E67" s="16">
        <f>IFERROR(__xludf.DUMMYFUNCTION("""COMPUTED_VALUE"""),45838.6458333333)</f>
        <v>45838.6458333333</v>
      </c>
      <c r="F67" s="17">
        <f>IFERROR(__xludf.DUMMYFUNCTION("""COMPUTED_VALUE"""),694815)</f>
        <v>694815</v>
      </c>
      <c r="G67" s="16">
        <f>IFERROR(__xludf.DUMMYFUNCTION("""COMPUTED_VALUE"""),45838.6458333333)</f>
        <v>45838.6458333333</v>
      </c>
      <c r="H67" s="17">
        <f>IFERROR(__xludf.DUMMYFUNCTION("""COMPUTED_VALUE"""),2653.9)</f>
        <v>2653.9</v>
      </c>
      <c r="I67" s="16">
        <f>IFERROR(__xludf.DUMMYFUNCTION("""COMPUTED_VALUE"""),45838.6458333333)</f>
        <v>45838.6458333333</v>
      </c>
      <c r="J67" s="17">
        <f>IFERROR(__xludf.DUMMYFUNCTION("""COMPUTED_VALUE"""),2605.9)</f>
        <v>2605.9</v>
      </c>
      <c r="K67" s="3">
        <f t="shared" si="2"/>
        <v>0</v>
      </c>
      <c r="L67" s="3">
        <f t="shared" si="3"/>
        <v>0</v>
      </c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</row>
    <row r="68" customHeight="1" spans="1:31">
      <c r="A68" s="16">
        <f>IFERROR(__xludf.DUMMYFUNCTION("""COMPUTED_VALUE"""),45839.6458333333)</f>
        <v>45839.6458333333</v>
      </c>
      <c r="B68" s="17">
        <f>IFERROR(__xludf.DUMMYFUNCTION("""COMPUTED_VALUE"""),2621.8)</f>
        <v>2621.8</v>
      </c>
      <c r="C68" s="16">
        <f>IFERROR(__xludf.DUMMYFUNCTION("""COMPUTED_VALUE"""),45839.6458333333)</f>
        <v>45839.6458333333</v>
      </c>
      <c r="D68" s="17">
        <f>IFERROR(__xludf.DUMMYFUNCTION("""COMPUTED_VALUE"""),2624.9)</f>
        <v>2624.9</v>
      </c>
      <c r="E68" s="16">
        <f>IFERROR(__xludf.DUMMYFUNCTION("""COMPUTED_VALUE"""),45839.6458333333)</f>
        <v>45839.6458333333</v>
      </c>
      <c r="F68" s="17">
        <f>IFERROR(__xludf.DUMMYFUNCTION("""COMPUTED_VALUE"""),729197)</f>
        <v>729197</v>
      </c>
      <c r="G68" s="16">
        <f>IFERROR(__xludf.DUMMYFUNCTION("""COMPUTED_VALUE"""),45839.6458333333)</f>
        <v>45839.6458333333</v>
      </c>
      <c r="H68" s="17">
        <f>IFERROR(__xludf.DUMMYFUNCTION("""COMPUTED_VALUE"""),2645)</f>
        <v>2645</v>
      </c>
      <c r="I68" s="16">
        <f>IFERROR(__xludf.DUMMYFUNCTION("""COMPUTED_VALUE"""),45839.6458333333)</f>
        <v>45839.6458333333</v>
      </c>
      <c r="J68" s="17">
        <f>IFERROR(__xludf.DUMMYFUNCTION("""COMPUTED_VALUE"""),2603)</f>
        <v>2603</v>
      </c>
      <c r="K68" s="3">
        <f t="shared" si="2"/>
        <v>0</v>
      </c>
      <c r="L68" s="3">
        <f t="shared" si="3"/>
        <v>0</v>
      </c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</row>
    <row r="69" customHeight="1" spans="1:31">
      <c r="A69" s="16">
        <f>IFERROR(__xludf.DUMMYFUNCTION("""COMPUTED_VALUE"""),45840.6458333333)</f>
        <v>45840.6458333333</v>
      </c>
      <c r="B69" s="17">
        <f>IFERROR(__xludf.DUMMYFUNCTION("""COMPUTED_VALUE"""),2630.2)</f>
        <v>2630.2</v>
      </c>
      <c r="C69" s="16">
        <f>IFERROR(__xludf.DUMMYFUNCTION("""COMPUTED_VALUE"""),45840.6458333333)</f>
        <v>45840.6458333333</v>
      </c>
      <c r="D69" s="17">
        <f>IFERROR(__xludf.DUMMYFUNCTION("""COMPUTED_VALUE"""),2634)</f>
        <v>2634</v>
      </c>
      <c r="E69" s="16">
        <f>IFERROR(__xludf.DUMMYFUNCTION("""COMPUTED_VALUE"""),45840.6458333333)</f>
        <v>45840.6458333333</v>
      </c>
      <c r="F69" s="17">
        <f>IFERROR(__xludf.DUMMYFUNCTION("""COMPUTED_VALUE"""),621409)</f>
        <v>621409</v>
      </c>
      <c r="G69" s="16">
        <f>IFERROR(__xludf.DUMMYFUNCTION("""COMPUTED_VALUE"""),45840.6458333333)</f>
        <v>45840.6458333333</v>
      </c>
      <c r="H69" s="17">
        <f>IFERROR(__xludf.DUMMYFUNCTION("""COMPUTED_VALUE"""),2646)</f>
        <v>2646</v>
      </c>
      <c r="I69" s="16">
        <f>IFERROR(__xludf.DUMMYFUNCTION("""COMPUTED_VALUE"""),45840.6458333333)</f>
        <v>45840.6458333333</v>
      </c>
      <c r="J69" s="17">
        <f>IFERROR(__xludf.DUMMYFUNCTION("""COMPUTED_VALUE"""),2613.6)</f>
        <v>2613.6</v>
      </c>
      <c r="K69" s="3">
        <f t="shared" si="2"/>
        <v>0</v>
      </c>
      <c r="L69" s="3">
        <f t="shared" si="3"/>
        <v>0</v>
      </c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</row>
    <row r="70" customHeight="1" spans="1:31">
      <c r="A70" s="16">
        <f>IFERROR(__xludf.DUMMYFUNCTION("""COMPUTED_VALUE"""),45841.6458333333)</f>
        <v>45841.6458333333</v>
      </c>
      <c r="B70" s="17">
        <f>IFERROR(__xludf.DUMMYFUNCTION("""COMPUTED_VALUE"""),2611.2)</f>
        <v>2611.2</v>
      </c>
      <c r="C70" s="16">
        <f>IFERROR(__xludf.DUMMYFUNCTION("""COMPUTED_VALUE"""),45841.6458333333)</f>
        <v>45841.6458333333</v>
      </c>
      <c r="D70" s="17">
        <f>IFERROR(__xludf.DUMMYFUNCTION("""COMPUTED_VALUE"""),2634)</f>
        <v>2634</v>
      </c>
      <c r="E70" s="16">
        <f>IFERROR(__xludf.DUMMYFUNCTION("""COMPUTED_VALUE"""),45841.6458333333)</f>
        <v>45841.6458333333</v>
      </c>
      <c r="F70" s="17">
        <f>IFERROR(__xludf.DUMMYFUNCTION("""COMPUTED_VALUE"""),502724)</f>
        <v>502724</v>
      </c>
      <c r="G70" s="16">
        <f>IFERROR(__xludf.DUMMYFUNCTION("""COMPUTED_VALUE"""),45841.6458333333)</f>
        <v>45841.6458333333</v>
      </c>
      <c r="H70" s="17">
        <f>IFERROR(__xludf.DUMMYFUNCTION("""COMPUTED_VALUE"""),2644)</f>
        <v>2644</v>
      </c>
      <c r="I70" s="16">
        <f>IFERROR(__xludf.DUMMYFUNCTION("""COMPUTED_VALUE"""),45841.6458333333)</f>
        <v>45841.6458333333</v>
      </c>
      <c r="J70" s="17">
        <f>IFERROR(__xludf.DUMMYFUNCTION("""COMPUTED_VALUE"""),2605.1)</f>
        <v>2605.1</v>
      </c>
      <c r="K70" s="3">
        <f t="shared" si="2"/>
        <v>0</v>
      </c>
      <c r="L70" s="3">
        <f t="shared" si="3"/>
        <v>0</v>
      </c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</row>
    <row r="71" customHeight="1" spans="1:31">
      <c r="A71" s="16">
        <f>IFERROR(__xludf.DUMMYFUNCTION("""COMPUTED_VALUE"""),45842.6458333333)</f>
        <v>45842.6458333333</v>
      </c>
      <c r="B71" s="17">
        <f>IFERROR(__xludf.DUMMYFUNCTION("""COMPUTED_VALUE"""),2599.1)</f>
        <v>2599.1</v>
      </c>
      <c r="C71" s="16">
        <f>IFERROR(__xludf.DUMMYFUNCTION("""COMPUTED_VALUE"""),45842.6458333333)</f>
        <v>45842.6458333333</v>
      </c>
      <c r="D71" s="17">
        <f>IFERROR(__xludf.DUMMYFUNCTION("""COMPUTED_VALUE"""),2617)</f>
        <v>2617</v>
      </c>
      <c r="E71" s="16">
        <f>IFERROR(__xludf.DUMMYFUNCTION("""COMPUTED_VALUE"""),45842.6458333333)</f>
        <v>45842.6458333333</v>
      </c>
      <c r="F71" s="17">
        <f>IFERROR(__xludf.DUMMYFUNCTION("""COMPUTED_VALUE"""),370305)</f>
        <v>370305</v>
      </c>
      <c r="G71" s="16">
        <f>IFERROR(__xludf.DUMMYFUNCTION("""COMPUTED_VALUE"""),45842.6458333333)</f>
        <v>45842.6458333333</v>
      </c>
      <c r="H71" s="17">
        <f>IFERROR(__xludf.DUMMYFUNCTION("""COMPUTED_VALUE"""),2617)</f>
        <v>2617</v>
      </c>
      <c r="I71" s="16">
        <f>IFERROR(__xludf.DUMMYFUNCTION("""COMPUTED_VALUE"""),45842.6458333333)</f>
        <v>45842.6458333333</v>
      </c>
      <c r="J71" s="17">
        <f>IFERROR(__xludf.DUMMYFUNCTION("""COMPUTED_VALUE"""),2582.2)</f>
        <v>2582.2</v>
      </c>
      <c r="K71" s="3">
        <f t="shared" si="2"/>
        <v>0</v>
      </c>
      <c r="L71" s="3">
        <f t="shared" si="3"/>
        <v>0</v>
      </c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</row>
    <row r="72" customHeight="1" spans="1:31">
      <c r="A72" s="16">
        <f>IFERROR(__xludf.DUMMYFUNCTION("""COMPUTED_VALUE"""),45845.6458333333)</f>
        <v>45845.6458333333</v>
      </c>
      <c r="B72" s="17">
        <f>IFERROR(__xludf.DUMMYFUNCTION("""COMPUTED_VALUE"""),2576.1)</f>
        <v>2576.1</v>
      </c>
      <c r="C72" s="16">
        <f>IFERROR(__xludf.DUMMYFUNCTION("""COMPUTED_VALUE"""),45845.6458333333)</f>
        <v>45845.6458333333</v>
      </c>
      <c r="D72" s="17">
        <f>IFERROR(__xludf.DUMMYFUNCTION("""COMPUTED_VALUE"""),2602)</f>
        <v>2602</v>
      </c>
      <c r="E72" s="16">
        <f>IFERROR(__xludf.DUMMYFUNCTION("""COMPUTED_VALUE"""),45845.6458333333)</f>
        <v>45845.6458333333</v>
      </c>
      <c r="F72" s="17">
        <f>IFERROR(__xludf.DUMMYFUNCTION("""COMPUTED_VALUE"""),412159)</f>
        <v>412159</v>
      </c>
      <c r="G72" s="16">
        <f>IFERROR(__xludf.DUMMYFUNCTION("""COMPUTED_VALUE"""),45845.6458333333)</f>
        <v>45845.6458333333</v>
      </c>
      <c r="H72" s="17">
        <f>IFERROR(__xludf.DUMMYFUNCTION("""COMPUTED_VALUE"""),2605.4)</f>
        <v>2605.4</v>
      </c>
      <c r="I72" s="16">
        <f>IFERROR(__xludf.DUMMYFUNCTION("""COMPUTED_VALUE"""),45845.6458333333)</f>
        <v>45845.6458333333</v>
      </c>
      <c r="J72" s="17">
        <f>IFERROR(__xludf.DUMMYFUNCTION("""COMPUTED_VALUE"""),2572)</f>
        <v>2572</v>
      </c>
      <c r="K72" s="3">
        <f t="shared" si="2"/>
        <v>0</v>
      </c>
      <c r="L72" s="3">
        <f t="shared" si="3"/>
        <v>0</v>
      </c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</row>
    <row r="73" customHeight="1" spans="1:31">
      <c r="A73" s="16">
        <f>IFERROR(__xludf.DUMMYFUNCTION("""COMPUTED_VALUE"""),45846.6458333333)</f>
        <v>45846.6458333333</v>
      </c>
      <c r="B73" s="17">
        <f>IFERROR(__xludf.DUMMYFUNCTION("""COMPUTED_VALUE"""),2591.3)</f>
        <v>2591.3</v>
      </c>
      <c r="C73" s="16">
        <f>IFERROR(__xludf.DUMMYFUNCTION("""COMPUTED_VALUE"""),45846.6458333333)</f>
        <v>45846.6458333333</v>
      </c>
      <c r="D73" s="17">
        <f>IFERROR(__xludf.DUMMYFUNCTION("""COMPUTED_VALUE"""),2586)</f>
        <v>2586</v>
      </c>
      <c r="E73" s="16">
        <f>IFERROR(__xludf.DUMMYFUNCTION("""COMPUTED_VALUE"""),45846.6458333333)</f>
        <v>45846.6458333333</v>
      </c>
      <c r="F73" s="17">
        <f>IFERROR(__xludf.DUMMYFUNCTION("""COMPUTED_VALUE"""),357701)</f>
        <v>357701</v>
      </c>
      <c r="G73" s="16">
        <f>IFERROR(__xludf.DUMMYFUNCTION("""COMPUTED_VALUE"""),45846.6458333333)</f>
        <v>45846.6458333333</v>
      </c>
      <c r="H73" s="17">
        <f>IFERROR(__xludf.DUMMYFUNCTION("""COMPUTED_VALUE"""),2600)</f>
        <v>2600</v>
      </c>
      <c r="I73" s="16">
        <f>IFERROR(__xludf.DUMMYFUNCTION("""COMPUTED_VALUE"""),45846.6458333333)</f>
        <v>45846.6458333333</v>
      </c>
      <c r="J73" s="17">
        <f>IFERROR(__xludf.DUMMYFUNCTION("""COMPUTED_VALUE"""),2573)</f>
        <v>2573</v>
      </c>
      <c r="K73" s="3">
        <f t="shared" si="2"/>
        <v>0</v>
      </c>
      <c r="L73" s="3">
        <f t="shared" si="3"/>
        <v>0</v>
      </c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</row>
    <row r="74" customHeight="1" spans="1:31">
      <c r="A74" s="16">
        <f>IFERROR(__xludf.DUMMYFUNCTION("""COMPUTED_VALUE"""),45847.6458333333)</f>
        <v>45847.6458333333</v>
      </c>
      <c r="B74" s="17">
        <f>IFERROR(__xludf.DUMMYFUNCTION("""COMPUTED_VALUE"""),2583)</f>
        <v>2583</v>
      </c>
      <c r="C74" s="16">
        <f>IFERROR(__xludf.DUMMYFUNCTION("""COMPUTED_VALUE"""),45847.6458333333)</f>
        <v>45847.6458333333</v>
      </c>
      <c r="D74" s="17">
        <f>IFERROR(__xludf.DUMMYFUNCTION("""COMPUTED_VALUE"""),2599)</f>
        <v>2599</v>
      </c>
      <c r="E74" s="16">
        <f>IFERROR(__xludf.DUMMYFUNCTION("""COMPUTED_VALUE"""),45847.6458333333)</f>
        <v>45847.6458333333</v>
      </c>
      <c r="F74" s="17">
        <f>IFERROR(__xludf.DUMMYFUNCTION("""COMPUTED_VALUE"""),396880)</f>
        <v>396880</v>
      </c>
      <c r="G74" s="16">
        <f>IFERROR(__xludf.DUMMYFUNCTION("""COMPUTED_VALUE"""),45847.6458333333)</f>
        <v>45847.6458333333</v>
      </c>
      <c r="H74" s="17">
        <f>IFERROR(__xludf.DUMMYFUNCTION("""COMPUTED_VALUE"""),2609.9)</f>
        <v>2609.9</v>
      </c>
      <c r="I74" s="16">
        <f>IFERROR(__xludf.DUMMYFUNCTION("""COMPUTED_VALUE"""),45847.6458333333)</f>
        <v>45847.6458333333</v>
      </c>
      <c r="J74" s="17">
        <f>IFERROR(__xludf.DUMMYFUNCTION("""COMPUTED_VALUE"""),2570)</f>
        <v>2570</v>
      </c>
      <c r="K74" s="3">
        <f t="shared" si="2"/>
        <v>0</v>
      </c>
      <c r="L74" s="3">
        <f t="shared" si="3"/>
        <v>0</v>
      </c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</row>
    <row r="75" customHeight="1" spans="1:31">
      <c r="A75" s="16">
        <f>IFERROR(__xludf.DUMMYFUNCTION("""COMPUTED_VALUE"""),45848.6458333333)</f>
        <v>45848.6458333333</v>
      </c>
      <c r="B75" s="17">
        <f>IFERROR(__xludf.DUMMYFUNCTION("""COMPUTED_VALUE"""),2581)</f>
        <v>2581</v>
      </c>
      <c r="C75" s="16">
        <f>IFERROR(__xludf.DUMMYFUNCTION("""COMPUTED_VALUE"""),45848.6458333333)</f>
        <v>45848.6458333333</v>
      </c>
      <c r="D75" s="17">
        <f>IFERROR(__xludf.DUMMYFUNCTION("""COMPUTED_VALUE"""),2591)</f>
        <v>2591</v>
      </c>
      <c r="E75" s="16">
        <f>IFERROR(__xludf.DUMMYFUNCTION("""COMPUTED_VALUE"""),45848.6458333333)</f>
        <v>45848.6458333333</v>
      </c>
      <c r="F75" s="17">
        <f>IFERROR(__xludf.DUMMYFUNCTION("""COMPUTED_VALUE"""),306565)</f>
        <v>306565</v>
      </c>
      <c r="G75" s="16">
        <f>IFERROR(__xludf.DUMMYFUNCTION("""COMPUTED_VALUE"""),45848.6458333333)</f>
        <v>45848.6458333333</v>
      </c>
      <c r="H75" s="17">
        <f>IFERROR(__xludf.DUMMYFUNCTION("""COMPUTED_VALUE"""),2604)</f>
        <v>2604</v>
      </c>
      <c r="I75" s="16">
        <f>IFERROR(__xludf.DUMMYFUNCTION("""COMPUTED_VALUE"""),45848.6458333333)</f>
        <v>45848.6458333333</v>
      </c>
      <c r="J75" s="17">
        <f>IFERROR(__xludf.DUMMYFUNCTION("""COMPUTED_VALUE"""),2575)</f>
        <v>2575</v>
      </c>
      <c r="K75" s="3">
        <f t="shared" si="2"/>
        <v>0</v>
      </c>
      <c r="L75" s="3">
        <f t="shared" si="3"/>
        <v>0</v>
      </c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</row>
    <row r="76" customHeight="1" spans="1:31">
      <c r="A76" s="16">
        <f>IFERROR(__xludf.DUMMYFUNCTION("""COMPUTED_VALUE"""),45849.6458333333)</f>
        <v>45849.6458333333</v>
      </c>
      <c r="B76" s="17">
        <f>IFERROR(__xludf.DUMMYFUNCTION("""COMPUTED_VALUE"""),2558.7)</f>
        <v>2558.7</v>
      </c>
      <c r="C76" s="16">
        <f>IFERROR(__xludf.DUMMYFUNCTION("""COMPUTED_VALUE"""),45849.6458333333)</f>
        <v>45849.6458333333</v>
      </c>
      <c r="D76" s="17">
        <f>IFERROR(__xludf.DUMMYFUNCTION("""COMPUTED_VALUE"""),2575)</f>
        <v>2575</v>
      </c>
      <c r="E76" s="16">
        <f>IFERROR(__xludf.DUMMYFUNCTION("""COMPUTED_VALUE"""),45849.6458333333)</f>
        <v>45849.6458333333</v>
      </c>
      <c r="F76" s="17">
        <f>IFERROR(__xludf.DUMMYFUNCTION("""COMPUTED_VALUE"""),390645)</f>
        <v>390645</v>
      </c>
      <c r="G76" s="16">
        <f>IFERROR(__xludf.DUMMYFUNCTION("""COMPUTED_VALUE"""),45849.6458333333)</f>
        <v>45849.6458333333</v>
      </c>
      <c r="H76" s="17">
        <f>IFERROR(__xludf.DUMMYFUNCTION("""COMPUTED_VALUE"""),2591.9)</f>
        <v>2591.9</v>
      </c>
      <c r="I76" s="16">
        <f>IFERROR(__xludf.DUMMYFUNCTION("""COMPUTED_VALUE"""),45849.6458333333)</f>
        <v>45849.6458333333</v>
      </c>
      <c r="J76" s="17">
        <f>IFERROR(__xludf.DUMMYFUNCTION("""COMPUTED_VALUE"""),2551.9)</f>
        <v>2551.9</v>
      </c>
      <c r="K76" s="3">
        <f t="shared" si="2"/>
        <v>0</v>
      </c>
      <c r="L76" s="3">
        <f t="shared" si="3"/>
        <v>2558.7</v>
      </c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</row>
    <row r="77" customHeight="1" spans="1:31">
      <c r="A77" s="16">
        <f>IFERROR(__xludf.DUMMYFUNCTION("""COMPUTED_VALUE"""),45852.6458333333)</f>
        <v>45852.6458333333</v>
      </c>
      <c r="B77" s="17">
        <f>IFERROR(__xludf.DUMMYFUNCTION("""COMPUTED_VALUE"""),2581.3)</f>
        <v>2581.3</v>
      </c>
      <c r="C77" s="16">
        <f>IFERROR(__xludf.DUMMYFUNCTION("""COMPUTED_VALUE"""),45852.6458333333)</f>
        <v>45852.6458333333</v>
      </c>
      <c r="D77" s="17">
        <f>IFERROR(__xludf.DUMMYFUNCTION("""COMPUTED_VALUE"""),2555)</f>
        <v>2555</v>
      </c>
      <c r="E77" s="16">
        <f>IFERROR(__xludf.DUMMYFUNCTION("""COMPUTED_VALUE"""),45852.6458333333)</f>
        <v>45852.6458333333</v>
      </c>
      <c r="F77" s="17">
        <f>IFERROR(__xludf.DUMMYFUNCTION("""COMPUTED_VALUE"""),536585)</f>
        <v>536585</v>
      </c>
      <c r="G77" s="16">
        <f>IFERROR(__xludf.DUMMYFUNCTION("""COMPUTED_VALUE"""),45852.6458333333)</f>
        <v>45852.6458333333</v>
      </c>
      <c r="H77" s="17">
        <f>IFERROR(__xludf.DUMMYFUNCTION("""COMPUTED_VALUE"""),2604.8)</f>
        <v>2604.8</v>
      </c>
      <c r="I77" s="16">
        <f>IFERROR(__xludf.DUMMYFUNCTION("""COMPUTED_VALUE"""),45852.6458333333)</f>
        <v>45852.6458333333</v>
      </c>
      <c r="J77" s="17">
        <f>IFERROR(__xludf.DUMMYFUNCTION("""COMPUTED_VALUE"""),2543.5)</f>
        <v>2543.5</v>
      </c>
      <c r="K77" s="3">
        <f t="shared" si="2"/>
        <v>0</v>
      </c>
      <c r="L77" s="3">
        <f t="shared" si="3"/>
        <v>0</v>
      </c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</row>
    <row r="78" customHeight="1" spans="1:31">
      <c r="A78" s="16">
        <f>IFERROR(__xludf.DUMMYFUNCTION("""COMPUTED_VALUE"""),45853.6458333333)</f>
        <v>45853.6458333333</v>
      </c>
      <c r="B78" s="17">
        <f>IFERROR(__xludf.DUMMYFUNCTION("""COMPUTED_VALUE"""),2598.2)</f>
        <v>2598.2</v>
      </c>
      <c r="C78" s="16">
        <f>IFERROR(__xludf.DUMMYFUNCTION("""COMPUTED_VALUE"""),45853.6458333333)</f>
        <v>45853.6458333333</v>
      </c>
      <c r="D78" s="17">
        <f>IFERROR(__xludf.DUMMYFUNCTION("""COMPUTED_VALUE"""),2588)</f>
        <v>2588</v>
      </c>
      <c r="E78" s="16">
        <f>IFERROR(__xludf.DUMMYFUNCTION("""COMPUTED_VALUE"""),45853.6458333333)</f>
        <v>45853.6458333333</v>
      </c>
      <c r="F78" s="17">
        <f>IFERROR(__xludf.DUMMYFUNCTION("""COMPUTED_VALUE"""),379425)</f>
        <v>379425</v>
      </c>
      <c r="G78" s="16">
        <f>IFERROR(__xludf.DUMMYFUNCTION("""COMPUTED_VALUE"""),45853.6458333333)</f>
        <v>45853.6458333333</v>
      </c>
      <c r="H78" s="17">
        <f>IFERROR(__xludf.DUMMYFUNCTION("""COMPUTED_VALUE"""),2606.9)</f>
        <v>2606.9</v>
      </c>
      <c r="I78" s="16">
        <f>IFERROR(__xludf.DUMMYFUNCTION("""COMPUTED_VALUE"""),45853.6458333333)</f>
        <v>45853.6458333333</v>
      </c>
      <c r="J78" s="17">
        <f>IFERROR(__xludf.DUMMYFUNCTION("""COMPUTED_VALUE"""),2576)</f>
        <v>2576</v>
      </c>
      <c r="K78" s="3">
        <f t="shared" si="2"/>
        <v>0</v>
      </c>
      <c r="L78" s="3">
        <f t="shared" si="3"/>
        <v>0</v>
      </c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</row>
    <row r="79" customHeight="1" spans="1:31">
      <c r="A79" s="16">
        <f>IFERROR(__xludf.DUMMYFUNCTION("""COMPUTED_VALUE"""),45854.6458333333)</f>
        <v>45854.6458333333</v>
      </c>
      <c r="B79" s="17">
        <f>IFERROR(__xludf.DUMMYFUNCTION("""COMPUTED_VALUE"""),2608.5)</f>
        <v>2608.5</v>
      </c>
      <c r="C79" s="16">
        <f>IFERROR(__xludf.DUMMYFUNCTION("""COMPUTED_VALUE"""),45854.6458333333)</f>
        <v>45854.6458333333</v>
      </c>
      <c r="D79" s="17">
        <f>IFERROR(__xludf.DUMMYFUNCTION("""COMPUTED_VALUE"""),2602.5)</f>
        <v>2602.5</v>
      </c>
      <c r="E79" s="16">
        <f>IFERROR(__xludf.DUMMYFUNCTION("""COMPUTED_VALUE"""),45854.6458333333)</f>
        <v>45854.6458333333</v>
      </c>
      <c r="F79" s="17">
        <f>IFERROR(__xludf.DUMMYFUNCTION("""COMPUTED_VALUE"""),686644)</f>
        <v>686644</v>
      </c>
      <c r="G79" s="16">
        <f>IFERROR(__xludf.DUMMYFUNCTION("""COMPUTED_VALUE"""),45854.6458333333)</f>
        <v>45854.6458333333</v>
      </c>
      <c r="H79" s="17">
        <f>IFERROR(__xludf.DUMMYFUNCTION("""COMPUTED_VALUE"""),2619.5)</f>
        <v>2619.5</v>
      </c>
      <c r="I79" s="16">
        <f>IFERROR(__xludf.DUMMYFUNCTION("""COMPUTED_VALUE"""),45854.6458333333)</f>
        <v>45854.6458333333</v>
      </c>
      <c r="J79" s="17">
        <f>IFERROR(__xludf.DUMMYFUNCTION("""COMPUTED_VALUE"""),2595.5)</f>
        <v>2595.5</v>
      </c>
      <c r="K79" s="3">
        <f t="shared" si="2"/>
        <v>0</v>
      </c>
      <c r="L79" s="3">
        <f t="shared" si="3"/>
        <v>0</v>
      </c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</row>
    <row r="80" customHeight="1" spans="1:31">
      <c r="A80" s="16">
        <f>IFERROR(__xludf.DUMMYFUNCTION("""COMPUTED_VALUE"""),45855.6458333333)</f>
        <v>45855.6458333333</v>
      </c>
      <c r="B80" s="17">
        <f>IFERROR(__xludf.DUMMYFUNCTION("""COMPUTED_VALUE"""),2616.6)</f>
        <v>2616.6</v>
      </c>
      <c r="C80" s="16">
        <f>IFERROR(__xludf.DUMMYFUNCTION("""COMPUTED_VALUE"""),45855.6458333333)</f>
        <v>45855.6458333333</v>
      </c>
      <c r="D80" s="17">
        <f>IFERROR(__xludf.DUMMYFUNCTION("""COMPUTED_VALUE"""),2612)</f>
        <v>2612</v>
      </c>
      <c r="E80" s="16">
        <f>IFERROR(__xludf.DUMMYFUNCTION("""COMPUTED_VALUE"""),45855.6458333333)</f>
        <v>45855.6458333333</v>
      </c>
      <c r="F80" s="17">
        <f>IFERROR(__xludf.DUMMYFUNCTION("""COMPUTED_VALUE"""),785771)</f>
        <v>785771</v>
      </c>
      <c r="G80" s="16">
        <f>IFERROR(__xludf.DUMMYFUNCTION("""COMPUTED_VALUE"""),45855.6458333333)</f>
        <v>45855.6458333333</v>
      </c>
      <c r="H80" s="17">
        <f>IFERROR(__xludf.DUMMYFUNCTION("""COMPUTED_VALUE"""),2654.5)</f>
        <v>2654.5</v>
      </c>
      <c r="I80" s="16">
        <f>IFERROR(__xludf.DUMMYFUNCTION("""COMPUTED_VALUE"""),45855.6458333333)</f>
        <v>45855.6458333333</v>
      </c>
      <c r="J80" s="17">
        <f>IFERROR(__xludf.DUMMYFUNCTION("""COMPUTED_VALUE"""),2605.3)</f>
        <v>2605.3</v>
      </c>
      <c r="K80" s="3">
        <f t="shared" si="2"/>
        <v>0</v>
      </c>
      <c r="L80" s="3">
        <f t="shared" si="3"/>
        <v>0</v>
      </c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</row>
    <row r="81" customHeight="1" spans="1:31">
      <c r="A81" s="16">
        <f>IFERROR(__xludf.DUMMYFUNCTION("""COMPUTED_VALUE"""),45856.6458333333)</f>
        <v>45856.6458333333</v>
      </c>
      <c r="B81" s="17">
        <f>IFERROR(__xludf.DUMMYFUNCTION("""COMPUTED_VALUE"""),2596.1)</f>
        <v>2596.1</v>
      </c>
      <c r="C81" s="16">
        <f>IFERROR(__xludf.DUMMYFUNCTION("""COMPUTED_VALUE"""),45856.6458333333)</f>
        <v>45856.6458333333</v>
      </c>
      <c r="D81" s="17">
        <f>IFERROR(__xludf.DUMMYFUNCTION("""COMPUTED_VALUE"""),2612)</f>
        <v>2612</v>
      </c>
      <c r="E81" s="16">
        <f>IFERROR(__xludf.DUMMYFUNCTION("""COMPUTED_VALUE"""),45856.6458333333)</f>
        <v>45856.6458333333</v>
      </c>
      <c r="F81" s="17">
        <f>IFERROR(__xludf.DUMMYFUNCTION("""COMPUTED_VALUE"""),479942)</f>
        <v>479942</v>
      </c>
      <c r="G81" s="16">
        <f>IFERROR(__xludf.DUMMYFUNCTION("""COMPUTED_VALUE"""),45856.6458333333)</f>
        <v>45856.6458333333</v>
      </c>
      <c r="H81" s="17">
        <f>IFERROR(__xludf.DUMMYFUNCTION("""COMPUTED_VALUE"""),2626.7)</f>
        <v>2626.7</v>
      </c>
      <c r="I81" s="16">
        <f>IFERROR(__xludf.DUMMYFUNCTION("""COMPUTED_VALUE"""),45856.6458333333)</f>
        <v>45856.6458333333</v>
      </c>
      <c r="J81" s="17">
        <f>IFERROR(__xludf.DUMMYFUNCTION("""COMPUTED_VALUE"""),2584.2)</f>
        <v>2584.2</v>
      </c>
      <c r="K81" s="3">
        <f t="shared" si="2"/>
        <v>0</v>
      </c>
      <c r="L81" s="3">
        <f t="shared" si="3"/>
        <v>0</v>
      </c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</row>
    <row r="82" customHeight="1" spans="1:31">
      <c r="A82" s="16">
        <f>IFERROR(__xludf.DUMMYFUNCTION("""COMPUTED_VALUE"""),45859.6458333333)</f>
        <v>45859.6458333333</v>
      </c>
      <c r="B82" s="17">
        <f>IFERROR(__xludf.DUMMYFUNCTION("""COMPUTED_VALUE"""),2619.5)</f>
        <v>2619.5</v>
      </c>
      <c r="C82" s="16">
        <f>IFERROR(__xludf.DUMMYFUNCTION("""COMPUTED_VALUE"""),45859.6458333333)</f>
        <v>45859.6458333333</v>
      </c>
      <c r="D82" s="17">
        <f>IFERROR(__xludf.DUMMYFUNCTION("""COMPUTED_VALUE"""),2596.3)</f>
        <v>2596.3</v>
      </c>
      <c r="E82" s="16">
        <f>IFERROR(__xludf.DUMMYFUNCTION("""COMPUTED_VALUE"""),45859.6458333333)</f>
        <v>45859.6458333333</v>
      </c>
      <c r="F82" s="17">
        <f>IFERROR(__xludf.DUMMYFUNCTION("""COMPUTED_VALUE"""),369782)</f>
        <v>369782</v>
      </c>
      <c r="G82" s="16">
        <f>IFERROR(__xludf.DUMMYFUNCTION("""COMPUTED_VALUE"""),45859.6458333333)</f>
        <v>45859.6458333333</v>
      </c>
      <c r="H82" s="17">
        <f>IFERROR(__xludf.DUMMYFUNCTION("""COMPUTED_VALUE"""),2624.9)</f>
        <v>2624.9</v>
      </c>
      <c r="I82" s="16">
        <f>IFERROR(__xludf.DUMMYFUNCTION("""COMPUTED_VALUE"""),45859.6458333333)</f>
        <v>45859.6458333333</v>
      </c>
      <c r="J82" s="17">
        <f>IFERROR(__xludf.DUMMYFUNCTION("""COMPUTED_VALUE"""),2585)</f>
        <v>2585</v>
      </c>
      <c r="K82" s="3">
        <f t="shared" si="2"/>
        <v>2619.5</v>
      </c>
      <c r="L82" s="3">
        <f t="shared" si="3"/>
        <v>0</v>
      </c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</row>
    <row r="83" customHeight="1" spans="1:31">
      <c r="A83" s="16">
        <f>IFERROR(__xludf.DUMMYFUNCTION("""COMPUTED_VALUE"""),45860.6458333333)</f>
        <v>45860.6458333333</v>
      </c>
      <c r="B83" s="17">
        <f>IFERROR(__xludf.DUMMYFUNCTION("""COMPUTED_VALUE"""),2587.8)</f>
        <v>2587.8</v>
      </c>
      <c r="C83" s="16">
        <f>IFERROR(__xludf.DUMMYFUNCTION("""COMPUTED_VALUE"""),45860.6458333333)</f>
        <v>45860.6458333333</v>
      </c>
      <c r="D83" s="17">
        <f>IFERROR(__xludf.DUMMYFUNCTION("""COMPUTED_VALUE"""),2626)</f>
        <v>2626</v>
      </c>
      <c r="E83" s="16">
        <f>IFERROR(__xludf.DUMMYFUNCTION("""COMPUTED_VALUE"""),45860.6458333333)</f>
        <v>45860.6458333333</v>
      </c>
      <c r="F83" s="17">
        <f>IFERROR(__xludf.DUMMYFUNCTION("""COMPUTED_VALUE"""),387055)</f>
        <v>387055</v>
      </c>
      <c r="G83" s="16">
        <f>IFERROR(__xludf.DUMMYFUNCTION("""COMPUTED_VALUE"""),45860.6458333333)</f>
        <v>45860.6458333333</v>
      </c>
      <c r="H83" s="17">
        <f>IFERROR(__xludf.DUMMYFUNCTION("""COMPUTED_VALUE"""),2630)</f>
        <v>2630</v>
      </c>
      <c r="I83" s="16">
        <f>IFERROR(__xludf.DUMMYFUNCTION("""COMPUTED_VALUE"""),45860.6458333333)</f>
        <v>45860.6458333333</v>
      </c>
      <c r="J83" s="17">
        <f>IFERROR(__xludf.DUMMYFUNCTION("""COMPUTED_VALUE"""),2581.6)</f>
        <v>2581.6</v>
      </c>
      <c r="K83" s="3">
        <f t="shared" si="2"/>
        <v>0</v>
      </c>
      <c r="L83" s="3">
        <f t="shared" si="3"/>
        <v>0</v>
      </c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</row>
    <row r="84" customHeight="1" spans="1:31">
      <c r="A84" s="16">
        <f>IFERROR(__xludf.DUMMYFUNCTION("""COMPUTED_VALUE"""),45861.6458333333)</f>
        <v>45861.6458333333</v>
      </c>
      <c r="B84" s="17">
        <f>IFERROR(__xludf.DUMMYFUNCTION("""COMPUTED_VALUE"""),2614.5)</f>
        <v>2614.5</v>
      </c>
      <c r="C84" s="16">
        <f>IFERROR(__xludf.DUMMYFUNCTION("""COMPUTED_VALUE"""),45861.6458333333)</f>
        <v>45861.6458333333</v>
      </c>
      <c r="D84" s="17">
        <f>IFERROR(__xludf.DUMMYFUNCTION("""COMPUTED_VALUE"""),2600.7)</f>
        <v>2600.7</v>
      </c>
      <c r="E84" s="16">
        <f>IFERROR(__xludf.DUMMYFUNCTION("""COMPUTED_VALUE"""),45861.6458333333)</f>
        <v>45861.6458333333</v>
      </c>
      <c r="F84" s="17">
        <f>IFERROR(__xludf.DUMMYFUNCTION("""COMPUTED_VALUE"""),316424)</f>
        <v>316424</v>
      </c>
      <c r="G84" s="16">
        <f>IFERROR(__xludf.DUMMYFUNCTION("""COMPUTED_VALUE"""),45861.6458333333)</f>
        <v>45861.6458333333</v>
      </c>
      <c r="H84" s="17">
        <f>IFERROR(__xludf.DUMMYFUNCTION("""COMPUTED_VALUE"""),2625.9)</f>
        <v>2625.9</v>
      </c>
      <c r="I84" s="16">
        <f>IFERROR(__xludf.DUMMYFUNCTION("""COMPUTED_VALUE"""),45861.6458333333)</f>
        <v>45861.6458333333</v>
      </c>
      <c r="J84" s="17">
        <f>IFERROR(__xludf.DUMMYFUNCTION("""COMPUTED_VALUE"""),2593.5)</f>
        <v>2593.5</v>
      </c>
      <c r="K84" s="3">
        <f t="shared" si="2"/>
        <v>0</v>
      </c>
      <c r="L84" s="3">
        <f t="shared" si="3"/>
        <v>0</v>
      </c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</row>
    <row r="85" customHeight="1" spans="1:31">
      <c r="A85" s="16">
        <f>IFERROR(__xludf.DUMMYFUNCTION("""COMPUTED_VALUE"""),45862.6458333333)</f>
        <v>45862.6458333333</v>
      </c>
      <c r="B85" s="17">
        <f>IFERROR(__xludf.DUMMYFUNCTION("""COMPUTED_VALUE"""),2608.4)</f>
        <v>2608.4</v>
      </c>
      <c r="C85" s="16">
        <f>IFERROR(__xludf.DUMMYFUNCTION("""COMPUTED_VALUE"""),45862.6458333333)</f>
        <v>45862.6458333333</v>
      </c>
      <c r="D85" s="17">
        <f>IFERROR(__xludf.DUMMYFUNCTION("""COMPUTED_VALUE"""),2615.4)</f>
        <v>2615.4</v>
      </c>
      <c r="E85" s="16">
        <f>IFERROR(__xludf.DUMMYFUNCTION("""COMPUTED_VALUE"""),45862.6458333333)</f>
        <v>45862.6458333333</v>
      </c>
      <c r="F85" s="17">
        <f>IFERROR(__xludf.DUMMYFUNCTION("""COMPUTED_VALUE"""),253782)</f>
        <v>253782</v>
      </c>
      <c r="G85" s="16">
        <f>IFERROR(__xludf.DUMMYFUNCTION("""COMPUTED_VALUE"""),45862.6458333333)</f>
        <v>45862.6458333333</v>
      </c>
      <c r="H85" s="17">
        <f>IFERROR(__xludf.DUMMYFUNCTION("""COMPUTED_VALUE"""),2624.2)</f>
        <v>2624.2</v>
      </c>
      <c r="I85" s="16">
        <f>IFERROR(__xludf.DUMMYFUNCTION("""COMPUTED_VALUE"""),45862.6458333333)</f>
        <v>45862.6458333333</v>
      </c>
      <c r="J85" s="17">
        <f>IFERROR(__xludf.DUMMYFUNCTION("""COMPUTED_VALUE"""),2595)</f>
        <v>2595</v>
      </c>
      <c r="K85" s="3">
        <f t="shared" si="2"/>
        <v>0</v>
      </c>
      <c r="L85" s="3">
        <f t="shared" si="3"/>
        <v>0</v>
      </c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</row>
    <row r="86" customHeight="1" spans="1:31">
      <c r="A86" s="16">
        <f>IFERROR(__xludf.DUMMYFUNCTION("""COMPUTED_VALUE"""),45863.6458333333)</f>
        <v>45863.6458333333</v>
      </c>
      <c r="B86" s="17">
        <f>IFERROR(__xludf.DUMMYFUNCTION("""COMPUTED_VALUE"""),2550.1)</f>
        <v>2550.1</v>
      </c>
      <c r="C86" s="16">
        <f>IFERROR(__xludf.DUMMYFUNCTION("""COMPUTED_VALUE"""),45863.6458333333)</f>
        <v>45863.6458333333</v>
      </c>
      <c r="D86" s="17">
        <f>IFERROR(__xludf.DUMMYFUNCTION("""COMPUTED_VALUE"""),2605)</f>
        <v>2605</v>
      </c>
      <c r="E86" s="16">
        <f>IFERROR(__xludf.DUMMYFUNCTION("""COMPUTED_VALUE"""),45863.6458333333)</f>
        <v>45863.6458333333</v>
      </c>
      <c r="F86" s="17">
        <f>IFERROR(__xludf.DUMMYFUNCTION("""COMPUTED_VALUE"""),424612)</f>
        <v>424612</v>
      </c>
      <c r="G86" s="16">
        <f>IFERROR(__xludf.DUMMYFUNCTION("""COMPUTED_VALUE"""),45863.6458333333)</f>
        <v>45863.6458333333</v>
      </c>
      <c r="H86" s="17">
        <f>IFERROR(__xludf.DUMMYFUNCTION("""COMPUTED_VALUE"""),2617)</f>
        <v>2617</v>
      </c>
      <c r="I86" s="16">
        <f>IFERROR(__xludf.DUMMYFUNCTION("""COMPUTED_VALUE"""),45863.6458333333)</f>
        <v>45863.6458333333</v>
      </c>
      <c r="J86" s="17">
        <f>IFERROR(__xludf.DUMMYFUNCTION("""COMPUTED_VALUE"""),2544.1)</f>
        <v>2544.1</v>
      </c>
      <c r="K86" s="3">
        <f t="shared" si="2"/>
        <v>0</v>
      </c>
      <c r="L86" s="3">
        <f t="shared" si="3"/>
        <v>0</v>
      </c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</row>
    <row r="87" customHeight="1" spans="1:31">
      <c r="A87" s="16">
        <f>IFERROR(__xludf.DUMMYFUNCTION("""COMPUTED_VALUE"""),45866.6458333333)</f>
        <v>45866.6458333333</v>
      </c>
      <c r="B87" s="17">
        <f>IFERROR(__xludf.DUMMYFUNCTION("""COMPUTED_VALUE"""),2522.3)</f>
        <v>2522.3</v>
      </c>
      <c r="C87" s="16">
        <f>IFERROR(__xludf.DUMMYFUNCTION("""COMPUTED_VALUE"""),45866.6458333333)</f>
        <v>45866.6458333333</v>
      </c>
      <c r="D87" s="17">
        <f>IFERROR(__xludf.DUMMYFUNCTION("""COMPUTED_VALUE"""),2549)</f>
        <v>2549</v>
      </c>
      <c r="E87" s="16">
        <f>IFERROR(__xludf.DUMMYFUNCTION("""COMPUTED_VALUE"""),45866.6458333333)</f>
        <v>45866.6458333333</v>
      </c>
      <c r="F87" s="17">
        <f>IFERROR(__xludf.DUMMYFUNCTION("""COMPUTED_VALUE"""),428409)</f>
        <v>428409</v>
      </c>
      <c r="G87" s="16">
        <f>IFERROR(__xludf.DUMMYFUNCTION("""COMPUTED_VALUE"""),45866.6458333333)</f>
        <v>45866.6458333333</v>
      </c>
      <c r="H87" s="17">
        <f>IFERROR(__xludf.DUMMYFUNCTION("""COMPUTED_VALUE"""),2585)</f>
        <v>2585</v>
      </c>
      <c r="I87" s="16">
        <f>IFERROR(__xludf.DUMMYFUNCTION("""COMPUTED_VALUE"""),45866.6458333333)</f>
        <v>45866.6458333333</v>
      </c>
      <c r="J87" s="17">
        <f>IFERROR(__xludf.DUMMYFUNCTION("""COMPUTED_VALUE"""),2512.6)</f>
        <v>2512.6</v>
      </c>
      <c r="K87" s="3">
        <f t="shared" si="2"/>
        <v>0</v>
      </c>
      <c r="L87" s="3">
        <f t="shared" si="3"/>
        <v>0</v>
      </c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</row>
    <row r="88" customHeight="1" spans="1:31">
      <c r="A88" s="16">
        <f>IFERROR(__xludf.DUMMYFUNCTION("""COMPUTED_VALUE"""),45867.6458333333)</f>
        <v>45867.6458333333</v>
      </c>
      <c r="B88" s="17">
        <f>IFERROR(__xludf.DUMMYFUNCTION("""COMPUTED_VALUE"""),2547.9)</f>
        <v>2547.9</v>
      </c>
      <c r="C88" s="16">
        <f>IFERROR(__xludf.DUMMYFUNCTION("""COMPUTED_VALUE"""),45867.6458333333)</f>
        <v>45867.6458333333</v>
      </c>
      <c r="D88" s="17">
        <f>IFERROR(__xludf.DUMMYFUNCTION("""COMPUTED_VALUE"""),2529)</f>
        <v>2529</v>
      </c>
      <c r="E88" s="16">
        <f>IFERROR(__xludf.DUMMYFUNCTION("""COMPUTED_VALUE"""),45867.6458333333)</f>
        <v>45867.6458333333</v>
      </c>
      <c r="F88" s="17">
        <f>IFERROR(__xludf.DUMMYFUNCTION("""COMPUTED_VALUE"""),424781)</f>
        <v>424781</v>
      </c>
      <c r="G88" s="16">
        <f>IFERROR(__xludf.DUMMYFUNCTION("""COMPUTED_VALUE"""),45867.6458333333)</f>
        <v>45867.6458333333</v>
      </c>
      <c r="H88" s="17">
        <f>IFERROR(__xludf.DUMMYFUNCTION("""COMPUTED_VALUE"""),2557.4)</f>
        <v>2557.4</v>
      </c>
      <c r="I88" s="16">
        <f>IFERROR(__xludf.DUMMYFUNCTION("""COMPUTED_VALUE"""),45867.6458333333)</f>
        <v>45867.6458333333</v>
      </c>
      <c r="J88" s="17">
        <f>IFERROR(__xludf.DUMMYFUNCTION("""COMPUTED_VALUE"""),2507.5)</f>
        <v>2507.5</v>
      </c>
      <c r="K88" s="3">
        <f t="shared" si="2"/>
        <v>0</v>
      </c>
      <c r="L88" s="3">
        <f t="shared" si="3"/>
        <v>0</v>
      </c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</row>
    <row r="89" customHeight="1" spans="1:31">
      <c r="A89" s="16">
        <f>IFERROR(__xludf.DUMMYFUNCTION("""COMPUTED_VALUE"""),45868.6458333333)</f>
        <v>45868.6458333333</v>
      </c>
      <c r="B89" s="17">
        <f>IFERROR(__xludf.DUMMYFUNCTION("""COMPUTED_VALUE"""),2532.9)</f>
        <v>2532.9</v>
      </c>
      <c r="C89" s="16">
        <f>IFERROR(__xludf.DUMMYFUNCTION("""COMPUTED_VALUE"""),45868.6458333333)</f>
        <v>45868.6458333333</v>
      </c>
      <c r="D89" s="17">
        <f>IFERROR(__xludf.DUMMYFUNCTION("""COMPUTED_VALUE"""),2547.9)</f>
        <v>2547.9</v>
      </c>
      <c r="E89" s="16">
        <f>IFERROR(__xludf.DUMMYFUNCTION("""COMPUTED_VALUE"""),45868.6458333333)</f>
        <v>45868.6458333333</v>
      </c>
      <c r="F89" s="17">
        <f>IFERROR(__xludf.DUMMYFUNCTION("""COMPUTED_VALUE"""),262063)</f>
        <v>262063</v>
      </c>
      <c r="G89" s="16">
        <f>IFERROR(__xludf.DUMMYFUNCTION("""COMPUTED_VALUE"""),45868.6458333333)</f>
        <v>45868.6458333333</v>
      </c>
      <c r="H89" s="17">
        <f>IFERROR(__xludf.DUMMYFUNCTION("""COMPUTED_VALUE"""),2552.6)</f>
        <v>2552.6</v>
      </c>
      <c r="I89" s="16">
        <f>IFERROR(__xludf.DUMMYFUNCTION("""COMPUTED_VALUE"""),45868.6458333333)</f>
        <v>45868.6458333333</v>
      </c>
      <c r="J89" s="17">
        <f>IFERROR(__xludf.DUMMYFUNCTION("""COMPUTED_VALUE"""),2525)</f>
        <v>2525</v>
      </c>
      <c r="K89" s="3">
        <f t="shared" si="2"/>
        <v>0</v>
      </c>
      <c r="L89" s="3">
        <f t="shared" si="3"/>
        <v>0</v>
      </c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</row>
    <row r="90" customHeight="1" spans="1:31">
      <c r="A90" s="16">
        <f>IFERROR(__xludf.DUMMYFUNCTION("""COMPUTED_VALUE"""),45869.6458333333)</f>
        <v>45869.6458333333</v>
      </c>
      <c r="B90" s="17">
        <f>IFERROR(__xludf.DUMMYFUNCTION("""COMPUTED_VALUE"""),2430.7)</f>
        <v>2430.7</v>
      </c>
      <c r="C90" s="16">
        <f>IFERROR(__xludf.DUMMYFUNCTION("""COMPUTED_VALUE"""),45869.6458333333)</f>
        <v>45869.6458333333</v>
      </c>
      <c r="D90" s="17">
        <f>IFERROR(__xludf.DUMMYFUNCTION("""COMPUTED_VALUE"""),2509.9)</f>
        <v>2509.9</v>
      </c>
      <c r="E90" s="16">
        <f>IFERROR(__xludf.DUMMYFUNCTION("""COMPUTED_VALUE"""),45869.6458333333)</f>
        <v>45869.6458333333</v>
      </c>
      <c r="F90" s="17">
        <f>IFERROR(__xludf.DUMMYFUNCTION("""COMPUTED_VALUE"""),1457616)</f>
        <v>1457616</v>
      </c>
      <c r="G90" s="16">
        <f>IFERROR(__xludf.DUMMYFUNCTION("""COMPUTED_VALUE"""),45869.6458333333)</f>
        <v>45869.6458333333</v>
      </c>
      <c r="H90" s="17">
        <f>IFERROR(__xludf.DUMMYFUNCTION("""COMPUTED_VALUE"""),2520)</f>
        <v>2520</v>
      </c>
      <c r="I90" s="16">
        <f>IFERROR(__xludf.DUMMYFUNCTION("""COMPUTED_VALUE"""),45869.6458333333)</f>
        <v>45869.6458333333</v>
      </c>
      <c r="J90" s="17">
        <f>IFERROR(__xludf.DUMMYFUNCTION("""COMPUTED_VALUE"""),2422.6)</f>
        <v>2422.6</v>
      </c>
      <c r="K90" s="3">
        <f t="shared" si="2"/>
        <v>0</v>
      </c>
      <c r="L90" s="3">
        <f t="shared" si="3"/>
        <v>0</v>
      </c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</row>
    <row r="91" customHeight="1" spans="1:31">
      <c r="A91" s="16">
        <f>IFERROR(__xludf.DUMMYFUNCTION("""COMPUTED_VALUE"""),45870.6458333333)</f>
        <v>45870.6458333333</v>
      </c>
      <c r="B91" s="17">
        <f>IFERROR(__xludf.DUMMYFUNCTION("""COMPUTED_VALUE"""),2350.9)</f>
        <v>2350.9</v>
      </c>
      <c r="C91" s="16">
        <f>IFERROR(__xludf.DUMMYFUNCTION("""COMPUTED_VALUE"""),45870.6458333333)</f>
        <v>45870.6458333333</v>
      </c>
      <c r="D91" s="17">
        <f>IFERROR(__xludf.DUMMYFUNCTION("""COMPUTED_VALUE"""),2425)</f>
        <v>2425</v>
      </c>
      <c r="E91" s="16">
        <f>IFERROR(__xludf.DUMMYFUNCTION("""COMPUTED_VALUE"""),45870.6458333333)</f>
        <v>45870.6458333333</v>
      </c>
      <c r="F91" s="17">
        <f>IFERROR(__xludf.DUMMYFUNCTION("""COMPUTED_VALUE"""),976341)</f>
        <v>976341</v>
      </c>
      <c r="G91" s="16">
        <f>IFERROR(__xludf.DUMMYFUNCTION("""COMPUTED_VALUE"""),45870.6458333333)</f>
        <v>45870.6458333333</v>
      </c>
      <c r="H91" s="17">
        <f>IFERROR(__xludf.DUMMYFUNCTION("""COMPUTED_VALUE"""),2444.9)</f>
        <v>2444.9</v>
      </c>
      <c r="I91" s="16">
        <f>IFERROR(__xludf.DUMMYFUNCTION("""COMPUTED_VALUE"""),45870.6458333333)</f>
        <v>45870.6458333333</v>
      </c>
      <c r="J91" s="17">
        <f>IFERROR(__xludf.DUMMYFUNCTION("""COMPUTED_VALUE"""),2333)</f>
        <v>2333</v>
      </c>
      <c r="K91" s="3">
        <f t="shared" si="2"/>
        <v>0</v>
      </c>
      <c r="L91" s="3">
        <f t="shared" si="3"/>
        <v>0</v>
      </c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</row>
    <row r="92" customHeight="1" spans="1:31">
      <c r="A92" s="16">
        <f>IFERROR(__xludf.DUMMYFUNCTION("""COMPUTED_VALUE"""),45873.6458333333)</f>
        <v>45873.6458333333</v>
      </c>
      <c r="B92" s="17">
        <f>IFERROR(__xludf.DUMMYFUNCTION("""COMPUTED_VALUE"""),2363.6)</f>
        <v>2363.6</v>
      </c>
      <c r="C92" s="16">
        <f>IFERROR(__xludf.DUMMYFUNCTION("""COMPUTED_VALUE"""),45873.6458333333)</f>
        <v>45873.6458333333</v>
      </c>
      <c r="D92" s="17">
        <f>IFERROR(__xludf.DUMMYFUNCTION("""COMPUTED_VALUE"""),2360)</f>
        <v>2360</v>
      </c>
      <c r="E92" s="16">
        <f>IFERROR(__xludf.DUMMYFUNCTION("""COMPUTED_VALUE"""),45873.6458333333)</f>
        <v>45873.6458333333</v>
      </c>
      <c r="F92" s="17">
        <f>IFERROR(__xludf.DUMMYFUNCTION("""COMPUTED_VALUE"""),576426)</f>
        <v>576426</v>
      </c>
      <c r="G92" s="16">
        <f>IFERROR(__xludf.DUMMYFUNCTION("""COMPUTED_VALUE"""),45873.6458333333)</f>
        <v>45873.6458333333</v>
      </c>
      <c r="H92" s="17">
        <f>IFERROR(__xludf.DUMMYFUNCTION("""COMPUTED_VALUE"""),2374.7)</f>
        <v>2374.7</v>
      </c>
      <c r="I92" s="16">
        <f>IFERROR(__xludf.DUMMYFUNCTION("""COMPUTED_VALUE"""),45873.6458333333)</f>
        <v>45873.6458333333</v>
      </c>
      <c r="J92" s="17">
        <f>IFERROR(__xludf.DUMMYFUNCTION("""COMPUTED_VALUE"""),2338.2)</f>
        <v>2338.2</v>
      </c>
      <c r="K92" s="3">
        <f t="shared" si="2"/>
        <v>0</v>
      </c>
      <c r="L92" s="3">
        <f t="shared" si="3"/>
        <v>0</v>
      </c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</row>
    <row r="93" customHeight="1" spans="1:31">
      <c r="A93" s="16">
        <f>IFERROR(__xludf.DUMMYFUNCTION("""COMPUTED_VALUE"""),45874.6458333333)</f>
        <v>45874.6458333333</v>
      </c>
      <c r="B93" s="17">
        <f>IFERROR(__xludf.DUMMYFUNCTION("""COMPUTED_VALUE"""),2328.2)</f>
        <v>2328.2</v>
      </c>
      <c r="C93" s="16">
        <f>IFERROR(__xludf.DUMMYFUNCTION("""COMPUTED_VALUE"""),45874.6458333333)</f>
        <v>45874.6458333333</v>
      </c>
      <c r="D93" s="17">
        <f>IFERROR(__xludf.DUMMYFUNCTION("""COMPUTED_VALUE"""),2370)</f>
        <v>2370</v>
      </c>
      <c r="E93" s="16">
        <f>IFERROR(__xludf.DUMMYFUNCTION("""COMPUTED_VALUE"""),45874.6458333333)</f>
        <v>45874.6458333333</v>
      </c>
      <c r="F93" s="17">
        <f>IFERROR(__xludf.DUMMYFUNCTION("""COMPUTED_VALUE"""),576742)</f>
        <v>576742</v>
      </c>
      <c r="G93" s="16">
        <f>IFERROR(__xludf.DUMMYFUNCTION("""COMPUTED_VALUE"""),45874.6458333333)</f>
        <v>45874.6458333333</v>
      </c>
      <c r="H93" s="17">
        <f>IFERROR(__xludf.DUMMYFUNCTION("""COMPUTED_VALUE"""),2370)</f>
        <v>2370</v>
      </c>
      <c r="I93" s="16">
        <f>IFERROR(__xludf.DUMMYFUNCTION("""COMPUTED_VALUE"""),45874.6458333333)</f>
        <v>45874.6458333333</v>
      </c>
      <c r="J93" s="17">
        <f>IFERROR(__xludf.DUMMYFUNCTION("""COMPUTED_VALUE"""),2316)</f>
        <v>2316</v>
      </c>
      <c r="K93" s="3">
        <f t="shared" si="2"/>
        <v>0</v>
      </c>
      <c r="L93" s="3">
        <f t="shared" si="3"/>
        <v>0</v>
      </c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</row>
    <row r="94" customHeight="1" spans="1:31">
      <c r="A94" s="16">
        <f>IFERROR(__xludf.DUMMYFUNCTION("""COMPUTED_VALUE"""),45875.6458333333)</f>
        <v>45875.6458333333</v>
      </c>
      <c r="B94" s="17">
        <f>IFERROR(__xludf.DUMMYFUNCTION("""COMPUTED_VALUE"""),2300.3)</f>
        <v>2300.3</v>
      </c>
      <c r="C94" s="16">
        <f>IFERROR(__xludf.DUMMYFUNCTION("""COMPUTED_VALUE"""),45875.6458333333)</f>
        <v>45875.6458333333</v>
      </c>
      <c r="D94" s="17">
        <f>IFERROR(__xludf.DUMMYFUNCTION("""COMPUTED_VALUE"""),2333.9)</f>
        <v>2333.9</v>
      </c>
      <c r="E94" s="16">
        <f>IFERROR(__xludf.DUMMYFUNCTION("""COMPUTED_VALUE"""),45875.6458333333)</f>
        <v>45875.6458333333</v>
      </c>
      <c r="F94" s="17">
        <f>IFERROR(__xludf.DUMMYFUNCTION("""COMPUTED_VALUE"""),631582)</f>
        <v>631582</v>
      </c>
      <c r="G94" s="16">
        <f>IFERROR(__xludf.DUMMYFUNCTION("""COMPUTED_VALUE"""),45875.6458333333)</f>
        <v>45875.6458333333</v>
      </c>
      <c r="H94" s="17">
        <f>IFERROR(__xludf.DUMMYFUNCTION("""COMPUTED_VALUE"""),2347.9)</f>
        <v>2347.9</v>
      </c>
      <c r="I94" s="16">
        <f>IFERROR(__xludf.DUMMYFUNCTION("""COMPUTED_VALUE"""),45875.6458333333)</f>
        <v>45875.6458333333</v>
      </c>
      <c r="J94" s="17">
        <f>IFERROR(__xludf.DUMMYFUNCTION("""COMPUTED_VALUE"""),2296)</f>
        <v>2296</v>
      </c>
      <c r="K94" s="3">
        <f t="shared" si="2"/>
        <v>0</v>
      </c>
      <c r="L94" s="3">
        <f t="shared" si="3"/>
        <v>0</v>
      </c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</row>
    <row r="95" customHeight="1" spans="1:31">
      <c r="A95" s="16">
        <f>IFERROR(__xludf.DUMMYFUNCTION("""COMPUTED_VALUE"""),45876.6458333333)</f>
        <v>45876.6458333333</v>
      </c>
      <c r="B95" s="17">
        <f>IFERROR(__xludf.DUMMYFUNCTION("""COMPUTED_VALUE"""),2249.8)</f>
        <v>2249.8</v>
      </c>
      <c r="C95" s="16">
        <f>IFERROR(__xludf.DUMMYFUNCTION("""COMPUTED_VALUE"""),45876.6458333333)</f>
        <v>45876.6458333333</v>
      </c>
      <c r="D95" s="17">
        <f>IFERROR(__xludf.DUMMYFUNCTION("""COMPUTED_VALUE"""),2290)</f>
        <v>2290</v>
      </c>
      <c r="E95" s="16">
        <f>IFERROR(__xludf.DUMMYFUNCTION("""COMPUTED_VALUE"""),45876.6458333333)</f>
        <v>45876.6458333333</v>
      </c>
      <c r="F95" s="17">
        <f>IFERROR(__xludf.DUMMYFUNCTION("""COMPUTED_VALUE"""),1529410)</f>
        <v>1529410</v>
      </c>
      <c r="G95" s="16">
        <f>IFERROR(__xludf.DUMMYFUNCTION("""COMPUTED_VALUE"""),45876.6458333333)</f>
        <v>45876.6458333333</v>
      </c>
      <c r="H95" s="17">
        <f>IFERROR(__xludf.DUMMYFUNCTION("""COMPUTED_VALUE"""),2295)</f>
        <v>2295</v>
      </c>
      <c r="I95" s="16">
        <f>IFERROR(__xludf.DUMMYFUNCTION("""COMPUTED_VALUE"""),45876.6458333333)</f>
        <v>45876.6458333333</v>
      </c>
      <c r="J95" s="17">
        <f>IFERROR(__xludf.DUMMYFUNCTION("""COMPUTED_VALUE"""),2202.8)</f>
        <v>2202.8</v>
      </c>
      <c r="K95" s="3">
        <f t="shared" si="2"/>
        <v>0</v>
      </c>
      <c r="L95" s="3">
        <f t="shared" si="3"/>
        <v>0</v>
      </c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</row>
    <row r="96" customHeight="1" spans="1:31">
      <c r="A96" s="16">
        <f>IFERROR(__xludf.DUMMYFUNCTION("""COMPUTED_VALUE"""),45877.6458333333)</f>
        <v>45877.6458333333</v>
      </c>
      <c r="B96" s="17">
        <f>IFERROR(__xludf.DUMMYFUNCTION("""COMPUTED_VALUE"""),2178.1)</f>
        <v>2178.1</v>
      </c>
      <c r="C96" s="16">
        <f>IFERROR(__xludf.DUMMYFUNCTION("""COMPUTED_VALUE"""),45877.6458333333)</f>
        <v>45877.6458333333</v>
      </c>
      <c r="D96" s="17">
        <f>IFERROR(__xludf.DUMMYFUNCTION("""COMPUTED_VALUE"""),2247)</f>
        <v>2247</v>
      </c>
      <c r="E96" s="16">
        <f>IFERROR(__xludf.DUMMYFUNCTION("""COMPUTED_VALUE"""),45877.6458333333)</f>
        <v>45877.6458333333</v>
      </c>
      <c r="F96" s="17">
        <f>IFERROR(__xludf.DUMMYFUNCTION("""COMPUTED_VALUE"""),2552736)</f>
        <v>2552736</v>
      </c>
      <c r="G96" s="16">
        <f>IFERROR(__xludf.DUMMYFUNCTION("""COMPUTED_VALUE"""),45877.6458333333)</f>
        <v>45877.6458333333</v>
      </c>
      <c r="H96" s="17">
        <f>IFERROR(__xludf.DUMMYFUNCTION("""COMPUTED_VALUE"""),2260.9)</f>
        <v>2260.9</v>
      </c>
      <c r="I96" s="16">
        <f>IFERROR(__xludf.DUMMYFUNCTION("""COMPUTED_VALUE"""),45877.6458333333)</f>
        <v>45877.6458333333</v>
      </c>
      <c r="J96" s="17">
        <f>IFERROR(__xludf.DUMMYFUNCTION("""COMPUTED_VALUE"""),2164.8)</f>
        <v>2164.8</v>
      </c>
      <c r="K96" s="3">
        <f t="shared" si="2"/>
        <v>0</v>
      </c>
      <c r="L96" s="3">
        <f t="shared" si="3"/>
        <v>2178.1</v>
      </c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</row>
    <row r="97" customHeight="1" spans="1:31">
      <c r="A97" s="16">
        <f>IFERROR(__xludf.DUMMYFUNCTION("""COMPUTED_VALUE"""),45880.6458333333)</f>
        <v>45880.6458333333</v>
      </c>
      <c r="B97" s="17">
        <f>IFERROR(__xludf.DUMMYFUNCTION("""COMPUTED_VALUE"""),2283.4)</f>
        <v>2283.4</v>
      </c>
      <c r="C97" s="16">
        <f>IFERROR(__xludf.DUMMYFUNCTION("""COMPUTED_VALUE"""),45880.6458333333)</f>
        <v>45880.6458333333</v>
      </c>
      <c r="D97" s="17">
        <f>IFERROR(__xludf.DUMMYFUNCTION("""COMPUTED_VALUE"""),2196)</f>
        <v>2196</v>
      </c>
      <c r="E97" s="16">
        <f>IFERROR(__xludf.DUMMYFUNCTION("""COMPUTED_VALUE"""),45880.6458333333)</f>
        <v>45880.6458333333</v>
      </c>
      <c r="F97" s="17">
        <f>IFERROR(__xludf.DUMMYFUNCTION("""COMPUTED_VALUE"""),2376286)</f>
        <v>2376286</v>
      </c>
      <c r="G97" s="16">
        <f>IFERROR(__xludf.DUMMYFUNCTION("""COMPUTED_VALUE"""),45880.6458333333)</f>
        <v>45880.6458333333</v>
      </c>
      <c r="H97" s="17">
        <f>IFERROR(__xludf.DUMMYFUNCTION("""COMPUTED_VALUE"""),2302)</f>
        <v>2302</v>
      </c>
      <c r="I97" s="16">
        <f>IFERROR(__xludf.DUMMYFUNCTION("""COMPUTED_VALUE"""),45880.6458333333)</f>
        <v>45880.6458333333</v>
      </c>
      <c r="J97" s="17">
        <f>IFERROR(__xludf.DUMMYFUNCTION("""COMPUTED_VALUE"""),2183)</f>
        <v>2183</v>
      </c>
      <c r="K97" s="3">
        <f t="shared" si="2"/>
        <v>0</v>
      </c>
      <c r="L97" s="3">
        <f t="shared" si="3"/>
        <v>0</v>
      </c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</row>
    <row r="98" customHeight="1" spans="1:31">
      <c r="A98" s="16">
        <f>IFERROR(__xludf.DUMMYFUNCTION("""COMPUTED_VALUE"""),45881.6458333333)</f>
        <v>45881.6458333333</v>
      </c>
      <c r="B98" s="17">
        <f>IFERROR(__xludf.DUMMYFUNCTION("""COMPUTED_VALUE"""),2288.2)</f>
        <v>2288.2</v>
      </c>
      <c r="C98" s="16">
        <f>IFERROR(__xludf.DUMMYFUNCTION("""COMPUTED_VALUE"""),45881.6458333333)</f>
        <v>45881.6458333333</v>
      </c>
      <c r="D98" s="17">
        <f>IFERROR(__xludf.DUMMYFUNCTION("""COMPUTED_VALUE"""),2280.1)</f>
        <v>2280.1</v>
      </c>
      <c r="E98" s="16">
        <f>IFERROR(__xludf.DUMMYFUNCTION("""COMPUTED_VALUE"""),45881.6458333333)</f>
        <v>45881.6458333333</v>
      </c>
      <c r="F98" s="17">
        <f>IFERROR(__xludf.DUMMYFUNCTION("""COMPUTED_VALUE"""),1075526)</f>
        <v>1075526</v>
      </c>
      <c r="G98" s="16">
        <f>IFERROR(__xludf.DUMMYFUNCTION("""COMPUTED_VALUE"""),45881.6458333333)</f>
        <v>45881.6458333333</v>
      </c>
      <c r="H98" s="17">
        <f>IFERROR(__xludf.DUMMYFUNCTION("""COMPUTED_VALUE"""),2314.7)</f>
        <v>2314.7</v>
      </c>
      <c r="I98" s="16">
        <f>IFERROR(__xludf.DUMMYFUNCTION("""COMPUTED_VALUE"""),45881.6458333333)</f>
        <v>45881.6458333333</v>
      </c>
      <c r="J98" s="17">
        <f>IFERROR(__xludf.DUMMYFUNCTION("""COMPUTED_VALUE"""),2267)</f>
        <v>2267</v>
      </c>
      <c r="K98" s="3">
        <f t="shared" si="2"/>
        <v>0</v>
      </c>
      <c r="L98" s="3">
        <f t="shared" si="3"/>
        <v>0</v>
      </c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</row>
    <row r="99" customHeight="1" spans="1:31">
      <c r="A99" s="16">
        <f>IFERROR(__xludf.DUMMYFUNCTION("""COMPUTED_VALUE"""),45882.6458333333)</f>
        <v>45882.6458333333</v>
      </c>
      <c r="B99" s="17">
        <f>IFERROR(__xludf.DUMMYFUNCTION("""COMPUTED_VALUE"""),2280.1)</f>
        <v>2280.1</v>
      </c>
      <c r="C99" s="16">
        <f>IFERROR(__xludf.DUMMYFUNCTION("""COMPUTED_VALUE"""),45882.6458333333)</f>
        <v>45882.6458333333</v>
      </c>
      <c r="D99" s="17">
        <f>IFERROR(__xludf.DUMMYFUNCTION("""COMPUTED_VALUE"""),2299)</f>
        <v>2299</v>
      </c>
      <c r="E99" s="16">
        <f>IFERROR(__xludf.DUMMYFUNCTION("""COMPUTED_VALUE"""),45882.6458333333)</f>
        <v>45882.6458333333</v>
      </c>
      <c r="F99" s="17">
        <f>IFERROR(__xludf.DUMMYFUNCTION("""COMPUTED_VALUE"""),833679)</f>
        <v>833679</v>
      </c>
      <c r="G99" s="16">
        <f>IFERROR(__xludf.DUMMYFUNCTION("""COMPUTED_VALUE"""),45882.6458333333)</f>
        <v>45882.6458333333</v>
      </c>
      <c r="H99" s="17">
        <f>IFERROR(__xludf.DUMMYFUNCTION("""COMPUTED_VALUE"""),2314.9)</f>
        <v>2314.9</v>
      </c>
      <c r="I99" s="16">
        <f>IFERROR(__xludf.DUMMYFUNCTION("""COMPUTED_VALUE"""),45882.6458333333)</f>
        <v>45882.6458333333</v>
      </c>
      <c r="J99" s="17">
        <f>IFERROR(__xludf.DUMMYFUNCTION("""COMPUTED_VALUE"""),2245.4)</f>
        <v>2245.4</v>
      </c>
      <c r="K99" s="3">
        <f t="shared" si="2"/>
        <v>0</v>
      </c>
      <c r="L99" s="3">
        <f t="shared" si="3"/>
        <v>0</v>
      </c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</row>
    <row r="100" customHeight="1" spans="1:31">
      <c r="A100" s="16">
        <f>IFERROR(__xludf.DUMMYFUNCTION("""COMPUTED_VALUE"""),45883.6458333333)</f>
        <v>45883.6458333333</v>
      </c>
      <c r="B100" s="17">
        <f>IFERROR(__xludf.DUMMYFUNCTION("""COMPUTED_VALUE"""),2281.6)</f>
        <v>2281.6</v>
      </c>
      <c r="C100" s="16">
        <f>IFERROR(__xludf.DUMMYFUNCTION("""COMPUTED_VALUE"""),45883.6458333333)</f>
        <v>45883.6458333333</v>
      </c>
      <c r="D100" s="17">
        <f>IFERROR(__xludf.DUMMYFUNCTION("""COMPUTED_VALUE"""),2288)</f>
        <v>2288</v>
      </c>
      <c r="E100" s="16">
        <f>IFERROR(__xludf.DUMMYFUNCTION("""COMPUTED_VALUE"""),45883.6458333333)</f>
        <v>45883.6458333333</v>
      </c>
      <c r="F100" s="17">
        <f>IFERROR(__xludf.DUMMYFUNCTION("""COMPUTED_VALUE"""),998109)</f>
        <v>998109</v>
      </c>
      <c r="G100" s="16">
        <f>IFERROR(__xludf.DUMMYFUNCTION("""COMPUTED_VALUE"""),45883.6458333333)</f>
        <v>45883.6458333333</v>
      </c>
      <c r="H100" s="17">
        <f>IFERROR(__xludf.DUMMYFUNCTION("""COMPUTED_VALUE"""),2304)</f>
        <v>2304</v>
      </c>
      <c r="I100" s="16">
        <f>IFERROR(__xludf.DUMMYFUNCTION("""COMPUTED_VALUE"""),45883.6458333333)</f>
        <v>45883.6458333333</v>
      </c>
      <c r="J100" s="17">
        <f>IFERROR(__xludf.DUMMYFUNCTION("""COMPUTED_VALUE"""),2267.7)</f>
        <v>2267.7</v>
      </c>
      <c r="K100" s="3">
        <f t="shared" si="2"/>
        <v>0</v>
      </c>
      <c r="L100" s="3">
        <f t="shared" si="3"/>
        <v>0</v>
      </c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</row>
    <row r="101" customHeight="1" spans="1:31">
      <c r="A101" s="16">
        <f>IFERROR(__xludf.DUMMYFUNCTION("""COMPUTED_VALUE"""),45887.6458333333)</f>
        <v>45887.6458333333</v>
      </c>
      <c r="B101" s="17">
        <f>IFERROR(__xludf.DUMMYFUNCTION("""COMPUTED_VALUE"""),2333.6)</f>
        <v>2333.6</v>
      </c>
      <c r="C101" s="16">
        <f>IFERROR(__xludf.DUMMYFUNCTION("""COMPUTED_VALUE"""),45887.6458333333)</f>
        <v>45887.6458333333</v>
      </c>
      <c r="D101" s="17">
        <f>IFERROR(__xludf.DUMMYFUNCTION("""COMPUTED_VALUE"""),2309.6)</f>
        <v>2309.6</v>
      </c>
      <c r="E101" s="16">
        <f>IFERROR(__xludf.DUMMYFUNCTION("""COMPUTED_VALUE"""),45887.6458333333)</f>
        <v>45887.6458333333</v>
      </c>
      <c r="F101" s="17">
        <f>IFERROR(__xludf.DUMMYFUNCTION("""COMPUTED_VALUE"""),988629)</f>
        <v>988629</v>
      </c>
      <c r="G101" s="16">
        <f>IFERROR(__xludf.DUMMYFUNCTION("""COMPUTED_VALUE"""),45887.6458333333)</f>
        <v>45887.6458333333</v>
      </c>
      <c r="H101" s="17">
        <f>IFERROR(__xludf.DUMMYFUNCTION("""COMPUTED_VALUE"""),2360)</f>
        <v>2360</v>
      </c>
      <c r="I101" s="16">
        <f>IFERROR(__xludf.DUMMYFUNCTION("""COMPUTED_VALUE"""),45887.6458333333)</f>
        <v>45887.6458333333</v>
      </c>
      <c r="J101" s="17">
        <f>IFERROR(__xludf.DUMMYFUNCTION("""COMPUTED_VALUE"""),2300)</f>
        <v>2300</v>
      </c>
      <c r="K101" s="3">
        <f t="shared" si="2"/>
        <v>0</v>
      </c>
      <c r="L101" s="3">
        <f t="shared" si="3"/>
        <v>0</v>
      </c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</row>
    <row r="102" customHeight="1" spans="1:31">
      <c r="A102" s="16">
        <f>IFERROR(__xludf.DUMMYFUNCTION("""COMPUTED_VALUE"""),45888.6458333333)</f>
        <v>45888.6458333333</v>
      </c>
      <c r="B102" s="17">
        <f>IFERROR(__xludf.DUMMYFUNCTION("""COMPUTED_VALUE"""),2388.4)</f>
        <v>2388.4</v>
      </c>
      <c r="C102" s="16">
        <f>IFERROR(__xludf.DUMMYFUNCTION("""COMPUTED_VALUE"""),45888.6458333333)</f>
        <v>45888.6458333333</v>
      </c>
      <c r="D102" s="17">
        <f>IFERROR(__xludf.DUMMYFUNCTION("""COMPUTED_VALUE"""),2339.9)</f>
        <v>2339.9</v>
      </c>
      <c r="E102" s="16">
        <f>IFERROR(__xludf.DUMMYFUNCTION("""COMPUTED_VALUE"""),45888.6458333333)</f>
        <v>45888.6458333333</v>
      </c>
      <c r="F102" s="17">
        <f>IFERROR(__xludf.DUMMYFUNCTION("""COMPUTED_VALUE"""),1069432)</f>
        <v>1069432</v>
      </c>
      <c r="G102" s="16">
        <f>IFERROR(__xludf.DUMMYFUNCTION("""COMPUTED_VALUE"""),45888.6458333333)</f>
        <v>45888.6458333333</v>
      </c>
      <c r="H102" s="17">
        <f>IFERROR(__xludf.DUMMYFUNCTION("""COMPUTED_VALUE"""),2395.6)</f>
        <v>2395.6</v>
      </c>
      <c r="I102" s="16">
        <f>IFERROR(__xludf.DUMMYFUNCTION("""COMPUTED_VALUE"""),45888.6458333333)</f>
        <v>45888.6458333333</v>
      </c>
      <c r="J102" s="17">
        <f>IFERROR(__xludf.DUMMYFUNCTION("""COMPUTED_VALUE"""),2314.1)</f>
        <v>2314.1</v>
      </c>
      <c r="K102" s="3">
        <f t="shared" si="2"/>
        <v>2388.4</v>
      </c>
      <c r="L102" s="3">
        <f t="shared" si="3"/>
        <v>0</v>
      </c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</row>
    <row r="103" customHeight="1" spans="1:31">
      <c r="A103" s="16">
        <f>IFERROR(__xludf.DUMMYFUNCTION("""COMPUTED_VALUE"""),45889.6458333333)</f>
        <v>45889.6458333333</v>
      </c>
      <c r="B103" s="17">
        <f>IFERROR(__xludf.DUMMYFUNCTION("""COMPUTED_VALUE"""),2387.1)</f>
        <v>2387.1</v>
      </c>
      <c r="C103" s="16">
        <f>IFERROR(__xludf.DUMMYFUNCTION("""COMPUTED_VALUE"""),45889.6458333333)</f>
        <v>45889.6458333333</v>
      </c>
      <c r="D103" s="17">
        <f>IFERROR(__xludf.DUMMYFUNCTION("""COMPUTED_VALUE"""),2380)</f>
        <v>2380</v>
      </c>
      <c r="E103" s="16">
        <f>IFERROR(__xludf.DUMMYFUNCTION("""COMPUTED_VALUE"""),45889.6458333333)</f>
        <v>45889.6458333333</v>
      </c>
      <c r="F103" s="17">
        <f>IFERROR(__xludf.DUMMYFUNCTION("""COMPUTED_VALUE"""),780025)</f>
        <v>780025</v>
      </c>
      <c r="G103" s="16">
        <f>IFERROR(__xludf.DUMMYFUNCTION("""COMPUTED_VALUE"""),45889.6458333333)</f>
        <v>45889.6458333333</v>
      </c>
      <c r="H103" s="17">
        <f>IFERROR(__xludf.DUMMYFUNCTION("""COMPUTED_VALUE"""),2406)</f>
        <v>2406</v>
      </c>
      <c r="I103" s="16">
        <f>IFERROR(__xludf.DUMMYFUNCTION("""COMPUTED_VALUE"""),45889.6458333333)</f>
        <v>45889.6458333333</v>
      </c>
      <c r="J103" s="17">
        <f>IFERROR(__xludf.DUMMYFUNCTION("""COMPUTED_VALUE"""),2372.1)</f>
        <v>2372.1</v>
      </c>
      <c r="K103" s="3">
        <f t="shared" si="2"/>
        <v>0</v>
      </c>
      <c r="L103" s="3">
        <f t="shared" si="3"/>
        <v>0</v>
      </c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</row>
    <row r="104" customHeight="1" spans="1:31">
      <c r="A104" s="16">
        <f>IFERROR(__xludf.DUMMYFUNCTION("""COMPUTED_VALUE"""),45890.6458333333)</f>
        <v>45890.6458333333</v>
      </c>
      <c r="B104" s="17">
        <f>IFERROR(__xludf.DUMMYFUNCTION("""COMPUTED_VALUE"""),2377.2)</f>
        <v>2377.2</v>
      </c>
      <c r="C104" s="16">
        <f>IFERROR(__xludf.DUMMYFUNCTION("""COMPUTED_VALUE"""),45890.6458333333)</f>
        <v>45890.6458333333</v>
      </c>
      <c r="D104" s="17">
        <f>IFERROR(__xludf.DUMMYFUNCTION("""COMPUTED_VALUE"""),2387.1)</f>
        <v>2387.1</v>
      </c>
      <c r="E104" s="16">
        <f>IFERROR(__xludf.DUMMYFUNCTION("""COMPUTED_VALUE"""),45890.6458333333)</f>
        <v>45890.6458333333</v>
      </c>
      <c r="F104" s="17">
        <f>IFERROR(__xludf.DUMMYFUNCTION("""COMPUTED_VALUE"""),441867)</f>
        <v>441867</v>
      </c>
      <c r="G104" s="16">
        <f>IFERROR(__xludf.DUMMYFUNCTION("""COMPUTED_VALUE"""),45890.6458333333)</f>
        <v>45890.6458333333</v>
      </c>
      <c r="H104" s="17">
        <f>IFERROR(__xludf.DUMMYFUNCTION("""COMPUTED_VALUE"""),2397)</f>
        <v>2397</v>
      </c>
      <c r="I104" s="16">
        <f>IFERROR(__xludf.DUMMYFUNCTION("""COMPUTED_VALUE"""),45890.6458333333)</f>
        <v>45890.6458333333</v>
      </c>
      <c r="J104" s="17">
        <f>IFERROR(__xludf.DUMMYFUNCTION("""COMPUTED_VALUE"""),2371.4)</f>
        <v>2371.4</v>
      </c>
      <c r="K104" s="3">
        <f t="shared" si="2"/>
        <v>0</v>
      </c>
      <c r="L104" s="3">
        <f t="shared" si="3"/>
        <v>0</v>
      </c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</row>
    <row r="105" customHeight="1" spans="1:31">
      <c r="A105" s="16">
        <f>IFERROR(__xludf.DUMMYFUNCTION("""COMPUTED_VALUE"""),45891.6458333333)</f>
        <v>45891.6458333333</v>
      </c>
      <c r="B105" s="17">
        <f>IFERROR(__xludf.DUMMYFUNCTION("""COMPUTED_VALUE"""),2324.9)</f>
        <v>2324.9</v>
      </c>
      <c r="C105" s="16">
        <f>IFERROR(__xludf.DUMMYFUNCTION("""COMPUTED_VALUE"""),45891.6458333333)</f>
        <v>45891.6458333333</v>
      </c>
      <c r="D105" s="17">
        <f>IFERROR(__xludf.DUMMYFUNCTION("""COMPUTED_VALUE"""),2369.9)</f>
        <v>2369.9</v>
      </c>
      <c r="E105" s="16">
        <f>IFERROR(__xludf.DUMMYFUNCTION("""COMPUTED_VALUE"""),45891.6458333333)</f>
        <v>45891.6458333333</v>
      </c>
      <c r="F105" s="17">
        <f>IFERROR(__xludf.DUMMYFUNCTION("""COMPUTED_VALUE"""),584211)</f>
        <v>584211</v>
      </c>
      <c r="G105" s="16">
        <f>IFERROR(__xludf.DUMMYFUNCTION("""COMPUTED_VALUE"""),45891.6458333333)</f>
        <v>45891.6458333333</v>
      </c>
      <c r="H105" s="17">
        <f>IFERROR(__xludf.DUMMYFUNCTION("""COMPUTED_VALUE"""),2376.3)</f>
        <v>2376.3</v>
      </c>
      <c r="I105" s="16">
        <f>IFERROR(__xludf.DUMMYFUNCTION("""COMPUTED_VALUE"""),45891.6458333333)</f>
        <v>45891.6458333333</v>
      </c>
      <c r="J105" s="17">
        <f>IFERROR(__xludf.DUMMYFUNCTION("""COMPUTED_VALUE"""),2321)</f>
        <v>2321</v>
      </c>
      <c r="K105" s="3">
        <f t="shared" si="2"/>
        <v>0</v>
      </c>
      <c r="L105" s="3">
        <f t="shared" si="3"/>
        <v>0</v>
      </c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</row>
    <row r="106" customHeight="1" spans="1:31">
      <c r="A106" s="16">
        <f>IFERROR(__xludf.DUMMYFUNCTION("""COMPUTED_VALUE"""),45894.6458333333)</f>
        <v>45894.6458333333</v>
      </c>
      <c r="B106" s="17">
        <f>IFERROR(__xludf.DUMMYFUNCTION("""COMPUTED_VALUE"""),2302.9)</f>
        <v>2302.9</v>
      </c>
      <c r="C106" s="16">
        <f>IFERROR(__xludf.DUMMYFUNCTION("""COMPUTED_VALUE"""),45894.6458333333)</f>
        <v>45894.6458333333</v>
      </c>
      <c r="D106" s="17">
        <f>IFERROR(__xludf.DUMMYFUNCTION("""COMPUTED_VALUE"""),2335.7)</f>
        <v>2335.7</v>
      </c>
      <c r="E106" s="16">
        <f>IFERROR(__xludf.DUMMYFUNCTION("""COMPUTED_VALUE"""),45894.6458333333)</f>
        <v>45894.6458333333</v>
      </c>
      <c r="F106" s="17">
        <f>IFERROR(__xludf.DUMMYFUNCTION("""COMPUTED_VALUE"""),542455)</f>
        <v>542455</v>
      </c>
      <c r="G106" s="16">
        <f>IFERROR(__xludf.DUMMYFUNCTION("""COMPUTED_VALUE"""),45894.6458333333)</f>
        <v>45894.6458333333</v>
      </c>
      <c r="H106" s="17">
        <f>IFERROR(__xludf.DUMMYFUNCTION("""COMPUTED_VALUE"""),2348.4)</f>
        <v>2348.4</v>
      </c>
      <c r="I106" s="16">
        <f>IFERROR(__xludf.DUMMYFUNCTION("""COMPUTED_VALUE"""),45894.6458333333)</f>
        <v>45894.6458333333</v>
      </c>
      <c r="J106" s="17">
        <f>IFERROR(__xludf.DUMMYFUNCTION("""COMPUTED_VALUE"""),2300)</f>
        <v>2300</v>
      </c>
      <c r="K106" s="3">
        <f t="shared" si="2"/>
        <v>0</v>
      </c>
      <c r="L106" s="3">
        <f t="shared" si="3"/>
        <v>0</v>
      </c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</row>
    <row r="107" customHeight="1" spans="1:31">
      <c r="A107" s="16">
        <f>IFERROR(__xludf.DUMMYFUNCTION("""COMPUTED_VALUE"""),45895.6458333333)</f>
        <v>45895.6458333333</v>
      </c>
      <c r="B107" s="17">
        <f>IFERROR(__xludf.DUMMYFUNCTION("""COMPUTED_VALUE"""),2272)</f>
        <v>2272</v>
      </c>
      <c r="C107" s="16">
        <f>IFERROR(__xludf.DUMMYFUNCTION("""COMPUTED_VALUE"""),45895.6458333333)</f>
        <v>45895.6458333333</v>
      </c>
      <c r="D107" s="17">
        <f>IFERROR(__xludf.DUMMYFUNCTION("""COMPUTED_VALUE"""),2304)</f>
        <v>2304</v>
      </c>
      <c r="E107" s="16">
        <f>IFERROR(__xludf.DUMMYFUNCTION("""COMPUTED_VALUE"""),45895.6458333333)</f>
        <v>45895.6458333333</v>
      </c>
      <c r="F107" s="17">
        <f>IFERROR(__xludf.DUMMYFUNCTION("""COMPUTED_VALUE"""),1071550)</f>
        <v>1071550</v>
      </c>
      <c r="G107" s="16">
        <f>IFERROR(__xludf.DUMMYFUNCTION("""COMPUTED_VALUE"""),45895.6458333333)</f>
        <v>45895.6458333333</v>
      </c>
      <c r="H107" s="17">
        <f>IFERROR(__xludf.DUMMYFUNCTION("""COMPUTED_VALUE"""),2309.3)</f>
        <v>2309.3</v>
      </c>
      <c r="I107" s="16">
        <f>IFERROR(__xludf.DUMMYFUNCTION("""COMPUTED_VALUE"""),45895.6458333333)</f>
        <v>45895.6458333333</v>
      </c>
      <c r="J107" s="17">
        <f>IFERROR(__xludf.DUMMYFUNCTION("""COMPUTED_VALUE"""),2249.4)</f>
        <v>2249.4</v>
      </c>
      <c r="K107" s="3">
        <f t="shared" si="2"/>
        <v>0</v>
      </c>
      <c r="L107" s="3">
        <f t="shared" si="3"/>
        <v>0</v>
      </c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</row>
    <row r="108" customHeight="1" spans="1:31">
      <c r="A108" s="16">
        <f>IFERROR(__xludf.DUMMYFUNCTION("""COMPUTED_VALUE"""),45897.6458333333)</f>
        <v>45897.6458333333</v>
      </c>
      <c r="B108" s="17">
        <f>IFERROR(__xludf.DUMMYFUNCTION("""COMPUTED_VALUE"""),2275.2)</f>
        <v>2275.2</v>
      </c>
      <c r="C108" s="16">
        <f>IFERROR(__xludf.DUMMYFUNCTION("""COMPUTED_VALUE"""),45897.6458333333)</f>
        <v>45897.6458333333</v>
      </c>
      <c r="D108" s="17">
        <f>IFERROR(__xludf.DUMMYFUNCTION("""COMPUTED_VALUE"""),2271.9)</f>
        <v>2271.9</v>
      </c>
      <c r="E108" s="16">
        <f>IFERROR(__xludf.DUMMYFUNCTION("""COMPUTED_VALUE"""),45897.6458333333)</f>
        <v>45897.6458333333</v>
      </c>
      <c r="F108" s="17">
        <f>IFERROR(__xludf.DUMMYFUNCTION("""COMPUTED_VALUE"""),907868)</f>
        <v>907868</v>
      </c>
      <c r="G108" s="16">
        <f>IFERROR(__xludf.DUMMYFUNCTION("""COMPUTED_VALUE"""),45897.6458333333)</f>
        <v>45897.6458333333</v>
      </c>
      <c r="H108" s="17">
        <f>IFERROR(__xludf.DUMMYFUNCTION("""COMPUTED_VALUE"""),2327.9)</f>
        <v>2327.9</v>
      </c>
      <c r="I108" s="16">
        <f>IFERROR(__xludf.DUMMYFUNCTION("""COMPUTED_VALUE"""),45897.6458333333)</f>
        <v>45897.6458333333</v>
      </c>
      <c r="J108" s="17">
        <f>IFERROR(__xludf.DUMMYFUNCTION("""COMPUTED_VALUE"""),2255)</f>
        <v>2255</v>
      </c>
      <c r="K108" s="3">
        <f t="shared" si="2"/>
        <v>0</v>
      </c>
      <c r="L108" s="3">
        <f t="shared" si="3"/>
        <v>0</v>
      </c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</row>
    <row r="109" customHeight="1" spans="1:31">
      <c r="A109" s="16">
        <f>IFERROR(__xludf.DUMMYFUNCTION("""COMPUTED_VALUE"""),45898.6458333333)</f>
        <v>45898.6458333333</v>
      </c>
      <c r="B109" s="17">
        <f>IFERROR(__xludf.DUMMYFUNCTION("""COMPUTED_VALUE"""),2244.7)</f>
        <v>2244.7</v>
      </c>
      <c r="C109" s="16">
        <f>IFERROR(__xludf.DUMMYFUNCTION("""COMPUTED_VALUE"""),45898.6458333333)</f>
        <v>45898.6458333333</v>
      </c>
      <c r="D109" s="17">
        <f>IFERROR(__xludf.DUMMYFUNCTION("""COMPUTED_VALUE"""),2283)</f>
        <v>2283</v>
      </c>
      <c r="E109" s="16">
        <f>IFERROR(__xludf.DUMMYFUNCTION("""COMPUTED_VALUE"""),45898.6458333333)</f>
        <v>45898.6458333333</v>
      </c>
      <c r="F109" s="17">
        <f>IFERROR(__xludf.DUMMYFUNCTION("""COMPUTED_VALUE"""),795699)</f>
        <v>795699</v>
      </c>
      <c r="G109" s="16">
        <f>IFERROR(__xludf.DUMMYFUNCTION("""COMPUTED_VALUE"""),45898.6458333333)</f>
        <v>45898.6458333333</v>
      </c>
      <c r="H109" s="17">
        <f>IFERROR(__xludf.DUMMYFUNCTION("""COMPUTED_VALUE"""),2289.7)</f>
        <v>2289.7</v>
      </c>
      <c r="I109" s="16">
        <f>IFERROR(__xludf.DUMMYFUNCTION("""COMPUTED_VALUE"""),45898.6458333333)</f>
        <v>45898.6458333333</v>
      </c>
      <c r="J109" s="17">
        <f>IFERROR(__xludf.DUMMYFUNCTION("""COMPUTED_VALUE"""),2240)</f>
        <v>2240</v>
      </c>
      <c r="K109" s="3">
        <f t="shared" si="2"/>
        <v>0</v>
      </c>
      <c r="L109" s="3">
        <f t="shared" si="3"/>
        <v>2244.7</v>
      </c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</row>
    <row r="110" customHeight="1" spans="1:31">
      <c r="A110" s="16">
        <f>IFERROR(__xludf.DUMMYFUNCTION("""COMPUTED_VALUE"""),45901.6458333333)</f>
        <v>45901.6458333333</v>
      </c>
      <c r="B110" s="17">
        <f>IFERROR(__xludf.DUMMYFUNCTION("""COMPUTED_VALUE"""),2284.2)</f>
        <v>2284.2</v>
      </c>
      <c r="C110" s="16">
        <f>IFERROR(__xludf.DUMMYFUNCTION("""COMPUTED_VALUE"""),45901.6458333333)</f>
        <v>45901.6458333333</v>
      </c>
      <c r="D110" s="17">
        <f>IFERROR(__xludf.DUMMYFUNCTION("""COMPUTED_VALUE"""),2259)</f>
        <v>2259</v>
      </c>
      <c r="E110" s="16">
        <f>IFERROR(__xludf.DUMMYFUNCTION("""COMPUTED_VALUE"""),45901.6458333333)</f>
        <v>45901.6458333333</v>
      </c>
      <c r="F110" s="17">
        <f>IFERROR(__xludf.DUMMYFUNCTION("""COMPUTED_VALUE"""),425639)</f>
        <v>425639</v>
      </c>
      <c r="G110" s="16">
        <f>IFERROR(__xludf.DUMMYFUNCTION("""COMPUTED_VALUE"""),45901.6458333333)</f>
        <v>45901.6458333333</v>
      </c>
      <c r="H110" s="17">
        <f>IFERROR(__xludf.DUMMYFUNCTION("""COMPUTED_VALUE"""),2288)</f>
        <v>2288</v>
      </c>
      <c r="I110" s="16">
        <f>IFERROR(__xludf.DUMMYFUNCTION("""COMPUTED_VALUE"""),45901.6458333333)</f>
        <v>45901.6458333333</v>
      </c>
      <c r="J110" s="17">
        <f>IFERROR(__xludf.DUMMYFUNCTION("""COMPUTED_VALUE"""),2252.1)</f>
        <v>2252.1</v>
      </c>
      <c r="K110" s="3">
        <f t="shared" si="2"/>
        <v>0</v>
      </c>
      <c r="L110" s="3">
        <f t="shared" si="3"/>
        <v>0</v>
      </c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</row>
    <row r="111" customHeight="1" spans="1:31">
      <c r="A111" s="16">
        <f>IFERROR(__xludf.DUMMYFUNCTION("""COMPUTED_VALUE"""),45902.6458333333)</f>
        <v>45902.6458333333</v>
      </c>
      <c r="B111" s="17">
        <f>IFERROR(__xludf.DUMMYFUNCTION("""COMPUTED_VALUE"""),2274.2)</f>
        <v>2274.2</v>
      </c>
      <c r="C111" s="16">
        <f>IFERROR(__xludf.DUMMYFUNCTION("""COMPUTED_VALUE"""),45902.6458333333)</f>
        <v>45902.6458333333</v>
      </c>
      <c r="D111" s="17">
        <f>IFERROR(__xludf.DUMMYFUNCTION("""COMPUTED_VALUE"""),2291)</f>
        <v>2291</v>
      </c>
      <c r="E111" s="16">
        <f>IFERROR(__xludf.DUMMYFUNCTION("""COMPUTED_VALUE"""),45902.6458333333)</f>
        <v>45902.6458333333</v>
      </c>
      <c r="F111" s="17">
        <f>IFERROR(__xludf.DUMMYFUNCTION("""COMPUTED_VALUE"""),481894)</f>
        <v>481894</v>
      </c>
      <c r="G111" s="16">
        <f>IFERROR(__xludf.DUMMYFUNCTION("""COMPUTED_VALUE"""),45902.6458333333)</f>
        <v>45902.6458333333</v>
      </c>
      <c r="H111" s="17">
        <f>IFERROR(__xludf.DUMMYFUNCTION("""COMPUTED_VALUE"""),2302)</f>
        <v>2302</v>
      </c>
      <c r="I111" s="16">
        <f>IFERROR(__xludf.DUMMYFUNCTION("""COMPUTED_VALUE"""),45902.6458333333)</f>
        <v>45902.6458333333</v>
      </c>
      <c r="J111" s="17">
        <f>IFERROR(__xludf.DUMMYFUNCTION("""COMPUTED_VALUE"""),2264)</f>
        <v>2264</v>
      </c>
      <c r="K111" s="3">
        <f t="shared" si="2"/>
        <v>0</v>
      </c>
      <c r="L111" s="3">
        <f t="shared" si="3"/>
        <v>0</v>
      </c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</row>
    <row r="112" customHeight="1" spans="1:31">
      <c r="A112" s="16">
        <f>IFERROR(__xludf.DUMMYFUNCTION("""COMPUTED_VALUE"""),45903.6458333333)</f>
        <v>45903.6458333333</v>
      </c>
      <c r="B112" s="17">
        <f>IFERROR(__xludf.DUMMYFUNCTION("""COMPUTED_VALUE"""),2288.7)</f>
        <v>2288.7</v>
      </c>
      <c r="C112" s="16">
        <f>IFERROR(__xludf.DUMMYFUNCTION("""COMPUTED_VALUE"""),45903.6458333333)</f>
        <v>45903.6458333333</v>
      </c>
      <c r="D112" s="17">
        <f>IFERROR(__xludf.DUMMYFUNCTION("""COMPUTED_VALUE"""),2285)</f>
        <v>2285</v>
      </c>
      <c r="E112" s="16">
        <f>IFERROR(__xludf.DUMMYFUNCTION("""COMPUTED_VALUE"""),45903.6458333333)</f>
        <v>45903.6458333333</v>
      </c>
      <c r="F112" s="17">
        <f>IFERROR(__xludf.DUMMYFUNCTION("""COMPUTED_VALUE"""),443629)</f>
        <v>443629</v>
      </c>
      <c r="G112" s="16">
        <f>IFERROR(__xludf.DUMMYFUNCTION("""COMPUTED_VALUE"""),45903.6458333333)</f>
        <v>45903.6458333333</v>
      </c>
      <c r="H112" s="17">
        <f>IFERROR(__xludf.DUMMYFUNCTION("""COMPUTED_VALUE"""),2293)</f>
        <v>2293</v>
      </c>
      <c r="I112" s="16">
        <f>IFERROR(__xludf.DUMMYFUNCTION("""COMPUTED_VALUE"""),45903.6458333333)</f>
        <v>45903.6458333333</v>
      </c>
      <c r="J112" s="17">
        <f>IFERROR(__xludf.DUMMYFUNCTION("""COMPUTED_VALUE"""),2263.1)</f>
        <v>2263.1</v>
      </c>
      <c r="K112" s="3">
        <f t="shared" si="2"/>
        <v>0</v>
      </c>
      <c r="L112" s="3">
        <f t="shared" si="3"/>
        <v>0</v>
      </c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</row>
    <row r="113" customHeight="1" spans="1:31">
      <c r="A113" s="16">
        <f>IFERROR(__xludf.DUMMYFUNCTION("""COMPUTED_VALUE"""),45904.6458333333)</f>
        <v>45904.6458333333</v>
      </c>
      <c r="B113" s="17">
        <f>IFERROR(__xludf.DUMMYFUNCTION("""COMPUTED_VALUE"""),2278.8)</f>
        <v>2278.8</v>
      </c>
      <c r="C113" s="16">
        <f>IFERROR(__xludf.DUMMYFUNCTION("""COMPUTED_VALUE"""),45904.6458333333)</f>
        <v>45904.6458333333</v>
      </c>
      <c r="D113" s="17">
        <f>IFERROR(__xludf.DUMMYFUNCTION("""COMPUTED_VALUE"""),2309.9)</f>
        <v>2309.9</v>
      </c>
      <c r="E113" s="16">
        <f>IFERROR(__xludf.DUMMYFUNCTION("""COMPUTED_VALUE"""),45904.6458333333)</f>
        <v>45904.6458333333</v>
      </c>
      <c r="F113" s="17">
        <f>IFERROR(__xludf.DUMMYFUNCTION("""COMPUTED_VALUE"""),392697)</f>
        <v>392697</v>
      </c>
      <c r="G113" s="16">
        <f>IFERROR(__xludf.DUMMYFUNCTION("""COMPUTED_VALUE"""),45904.6458333333)</f>
        <v>45904.6458333333</v>
      </c>
      <c r="H113" s="17">
        <f>IFERROR(__xludf.DUMMYFUNCTION("""COMPUTED_VALUE"""),2317.3)</f>
        <v>2317.3</v>
      </c>
      <c r="I113" s="16">
        <f>IFERROR(__xludf.DUMMYFUNCTION("""COMPUTED_VALUE"""),45904.6458333333)</f>
        <v>45904.6458333333</v>
      </c>
      <c r="J113" s="17">
        <f>IFERROR(__xludf.DUMMYFUNCTION("""COMPUTED_VALUE"""),2275)</f>
        <v>2275</v>
      </c>
      <c r="K113" s="3">
        <f t="shared" si="2"/>
        <v>0</v>
      </c>
      <c r="L113" s="3">
        <f t="shared" si="3"/>
        <v>0</v>
      </c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</row>
    <row r="114" customHeight="1" spans="1:31">
      <c r="A114" s="16">
        <f>IFERROR(__xludf.DUMMYFUNCTION("""COMPUTED_VALUE"""),45905.6458333333)</f>
        <v>45905.6458333333</v>
      </c>
      <c r="B114" s="17">
        <f>IFERROR(__xludf.DUMMYFUNCTION("""COMPUTED_VALUE"""),2281.4)</f>
        <v>2281.4</v>
      </c>
      <c r="C114" s="16">
        <f>IFERROR(__xludf.DUMMYFUNCTION("""COMPUTED_VALUE"""),45905.6458333333)</f>
        <v>45905.6458333333</v>
      </c>
      <c r="D114" s="17">
        <f>IFERROR(__xludf.DUMMYFUNCTION("""COMPUTED_VALUE"""),2275)</f>
        <v>2275</v>
      </c>
      <c r="E114" s="16">
        <f>IFERROR(__xludf.DUMMYFUNCTION("""COMPUTED_VALUE"""),45905.6458333333)</f>
        <v>45905.6458333333</v>
      </c>
      <c r="F114" s="17">
        <f>IFERROR(__xludf.DUMMYFUNCTION("""COMPUTED_VALUE"""),443010)</f>
        <v>443010</v>
      </c>
      <c r="G114" s="16">
        <f>IFERROR(__xludf.DUMMYFUNCTION("""COMPUTED_VALUE"""),45905.6458333333)</f>
        <v>45905.6458333333</v>
      </c>
      <c r="H114" s="17">
        <f>IFERROR(__xludf.DUMMYFUNCTION("""COMPUTED_VALUE"""),2293.5)</f>
        <v>2293.5</v>
      </c>
      <c r="I114" s="16">
        <f>IFERROR(__xludf.DUMMYFUNCTION("""COMPUTED_VALUE"""),45905.6458333333)</f>
        <v>45905.6458333333</v>
      </c>
      <c r="J114" s="17">
        <f>IFERROR(__xludf.DUMMYFUNCTION("""COMPUTED_VALUE"""),2248)</f>
        <v>2248</v>
      </c>
      <c r="K114" s="3">
        <f t="shared" si="2"/>
        <v>0</v>
      </c>
      <c r="L114" s="3">
        <f t="shared" si="3"/>
        <v>0</v>
      </c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</row>
    <row r="115" customHeight="1" spans="1:31">
      <c r="A115" s="16">
        <f>IFERROR(__xludf.DUMMYFUNCTION("""COMPUTED_VALUE"""),45908.6458333333)</f>
        <v>45908.6458333333</v>
      </c>
      <c r="B115" s="17">
        <f>IFERROR(__xludf.DUMMYFUNCTION("""COMPUTED_VALUE"""),2310.9)</f>
        <v>2310.9</v>
      </c>
      <c r="C115" s="16">
        <f>IFERROR(__xludf.DUMMYFUNCTION("""COMPUTED_VALUE"""),45908.6458333333)</f>
        <v>45908.6458333333</v>
      </c>
      <c r="D115" s="17">
        <f>IFERROR(__xludf.DUMMYFUNCTION("""COMPUTED_VALUE"""),2290)</f>
        <v>2290</v>
      </c>
      <c r="E115" s="16">
        <f>IFERROR(__xludf.DUMMYFUNCTION("""COMPUTED_VALUE"""),45908.6458333333)</f>
        <v>45908.6458333333</v>
      </c>
      <c r="F115" s="17">
        <f>IFERROR(__xludf.DUMMYFUNCTION("""COMPUTED_VALUE"""),542811)</f>
        <v>542811</v>
      </c>
      <c r="G115" s="16">
        <f>IFERROR(__xludf.DUMMYFUNCTION("""COMPUTED_VALUE"""),45908.6458333333)</f>
        <v>45908.6458333333</v>
      </c>
      <c r="H115" s="17">
        <f>IFERROR(__xludf.DUMMYFUNCTION("""COMPUTED_VALUE"""),2333.9)</f>
        <v>2333.9</v>
      </c>
      <c r="I115" s="16">
        <f>IFERROR(__xludf.DUMMYFUNCTION("""COMPUTED_VALUE"""),45908.6458333333)</f>
        <v>45908.6458333333</v>
      </c>
      <c r="J115" s="17">
        <f>IFERROR(__xludf.DUMMYFUNCTION("""COMPUTED_VALUE"""),2286)</f>
        <v>2286</v>
      </c>
      <c r="K115" s="3">
        <f t="shared" si="2"/>
        <v>0</v>
      </c>
      <c r="L115" s="3">
        <f t="shared" si="3"/>
        <v>0</v>
      </c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</row>
    <row r="116" customHeight="1" spans="1:31">
      <c r="A116" s="16">
        <f>IFERROR(__xludf.DUMMYFUNCTION("""COMPUTED_VALUE"""),45909.6458333333)</f>
        <v>45909.6458333333</v>
      </c>
      <c r="B116" s="17">
        <f>IFERROR(__xludf.DUMMYFUNCTION("""COMPUTED_VALUE"""),2311.6)</f>
        <v>2311.6</v>
      </c>
      <c r="C116" s="16">
        <f>IFERROR(__xludf.DUMMYFUNCTION("""COMPUTED_VALUE"""),45909.6458333333)</f>
        <v>45909.6458333333</v>
      </c>
      <c r="D116" s="17">
        <f>IFERROR(__xludf.DUMMYFUNCTION("""COMPUTED_VALUE"""),2320)</f>
        <v>2320</v>
      </c>
      <c r="E116" s="16">
        <f>IFERROR(__xludf.DUMMYFUNCTION("""COMPUTED_VALUE"""),45909.6458333333)</f>
        <v>45909.6458333333</v>
      </c>
      <c r="F116" s="17">
        <f>IFERROR(__xludf.DUMMYFUNCTION("""COMPUTED_VALUE"""),369431)</f>
        <v>369431</v>
      </c>
      <c r="G116" s="16">
        <f>IFERROR(__xludf.DUMMYFUNCTION("""COMPUTED_VALUE"""),45909.6458333333)</f>
        <v>45909.6458333333</v>
      </c>
      <c r="H116" s="17">
        <f>IFERROR(__xludf.DUMMYFUNCTION("""COMPUTED_VALUE"""),2325)</f>
        <v>2325</v>
      </c>
      <c r="I116" s="16">
        <f>IFERROR(__xludf.DUMMYFUNCTION("""COMPUTED_VALUE"""),45909.6458333333)</f>
        <v>45909.6458333333</v>
      </c>
      <c r="J116" s="17">
        <f>IFERROR(__xludf.DUMMYFUNCTION("""COMPUTED_VALUE"""),2297)</f>
        <v>2297</v>
      </c>
      <c r="K116" s="3">
        <f t="shared" si="2"/>
        <v>0</v>
      </c>
      <c r="L116" s="3">
        <f t="shared" si="3"/>
        <v>0</v>
      </c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</row>
    <row r="117" customHeight="1" spans="1:31">
      <c r="A117" s="16">
        <f>IFERROR(__xludf.DUMMYFUNCTION("""COMPUTED_VALUE"""),45910.6458333333)</f>
        <v>45910.6458333333</v>
      </c>
      <c r="B117" s="17">
        <f>IFERROR(__xludf.DUMMYFUNCTION("""COMPUTED_VALUE"""),2340.2)</f>
        <v>2340.2</v>
      </c>
      <c r="C117" s="16">
        <f>IFERROR(__xludf.DUMMYFUNCTION("""COMPUTED_VALUE"""),45910.6458333333)</f>
        <v>45910.6458333333</v>
      </c>
      <c r="D117" s="17">
        <f>IFERROR(__xludf.DUMMYFUNCTION("""COMPUTED_VALUE"""),2330)</f>
        <v>2330</v>
      </c>
      <c r="E117" s="16">
        <f>IFERROR(__xludf.DUMMYFUNCTION("""COMPUTED_VALUE"""),45910.6458333333)</f>
        <v>45910.6458333333</v>
      </c>
      <c r="F117" s="17">
        <f>IFERROR(__xludf.DUMMYFUNCTION("""COMPUTED_VALUE"""),390490)</f>
        <v>390490</v>
      </c>
      <c r="G117" s="16">
        <f>IFERROR(__xludf.DUMMYFUNCTION("""COMPUTED_VALUE"""),45910.6458333333)</f>
        <v>45910.6458333333</v>
      </c>
      <c r="H117" s="17">
        <f>IFERROR(__xludf.DUMMYFUNCTION("""COMPUTED_VALUE"""),2345.9)</f>
        <v>2345.9</v>
      </c>
      <c r="I117" s="16">
        <f>IFERROR(__xludf.DUMMYFUNCTION("""COMPUTED_VALUE"""),45910.6458333333)</f>
        <v>45910.6458333333</v>
      </c>
      <c r="J117" s="17">
        <f>IFERROR(__xludf.DUMMYFUNCTION("""COMPUTED_VALUE"""),2325.1)</f>
        <v>2325.1</v>
      </c>
      <c r="K117" s="3">
        <f t="shared" si="2"/>
        <v>0</v>
      </c>
      <c r="L117" s="3">
        <f t="shared" si="3"/>
        <v>0</v>
      </c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</row>
    <row r="118" customHeight="1" spans="1:31">
      <c r="A118" s="16">
        <f>IFERROR(__xludf.DUMMYFUNCTION("""COMPUTED_VALUE"""),45911.6458333333)</f>
        <v>45911.6458333333</v>
      </c>
      <c r="B118" s="17">
        <f>IFERROR(__xludf.DUMMYFUNCTION("""COMPUTED_VALUE"""),2398.8)</f>
        <v>2398.8</v>
      </c>
      <c r="C118" s="16">
        <f>IFERROR(__xludf.DUMMYFUNCTION("""COMPUTED_VALUE"""),45911.6458333333)</f>
        <v>45911.6458333333</v>
      </c>
      <c r="D118" s="17">
        <f>IFERROR(__xludf.DUMMYFUNCTION("""COMPUTED_VALUE"""),2348)</f>
        <v>2348</v>
      </c>
      <c r="E118" s="16">
        <f>IFERROR(__xludf.DUMMYFUNCTION("""COMPUTED_VALUE"""),45911.6458333333)</f>
        <v>45911.6458333333</v>
      </c>
      <c r="F118" s="17">
        <f>IFERROR(__xludf.DUMMYFUNCTION("""COMPUTED_VALUE"""),2111888)</f>
        <v>2111888</v>
      </c>
      <c r="G118" s="16">
        <f>IFERROR(__xludf.DUMMYFUNCTION("""COMPUTED_VALUE"""),45911.6458333333)</f>
        <v>45911.6458333333</v>
      </c>
      <c r="H118" s="17">
        <f>IFERROR(__xludf.DUMMYFUNCTION("""COMPUTED_VALUE"""),2418.7)</f>
        <v>2418.7</v>
      </c>
      <c r="I118" s="16">
        <f>IFERROR(__xludf.DUMMYFUNCTION("""COMPUTED_VALUE"""),45911.6458333333)</f>
        <v>45911.6458333333</v>
      </c>
      <c r="J118" s="17">
        <f>IFERROR(__xludf.DUMMYFUNCTION("""COMPUTED_VALUE"""),2340.2)</f>
        <v>2340.2</v>
      </c>
      <c r="K118" s="3">
        <f t="shared" si="2"/>
        <v>0</v>
      </c>
      <c r="L118" s="3">
        <f t="shared" si="3"/>
        <v>0</v>
      </c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</row>
    <row r="119" customHeight="1" spans="1:31">
      <c r="A119" s="16">
        <f>IFERROR(__xludf.DUMMYFUNCTION("""COMPUTED_VALUE"""),45912.6458333333)</f>
        <v>45912.6458333333</v>
      </c>
      <c r="B119" s="17">
        <f>IFERROR(__xludf.DUMMYFUNCTION("""COMPUTED_VALUE"""),2392)</f>
        <v>2392</v>
      </c>
      <c r="C119" s="16">
        <f>IFERROR(__xludf.DUMMYFUNCTION("""COMPUTED_VALUE"""),45912.6458333333)</f>
        <v>45912.6458333333</v>
      </c>
      <c r="D119" s="17">
        <f>IFERROR(__xludf.DUMMYFUNCTION("""COMPUTED_VALUE"""),2416.9)</f>
        <v>2416.9</v>
      </c>
      <c r="E119" s="16">
        <f>IFERROR(__xludf.DUMMYFUNCTION("""COMPUTED_VALUE"""),45912.6458333333)</f>
        <v>45912.6458333333</v>
      </c>
      <c r="F119" s="17">
        <f>IFERROR(__xludf.DUMMYFUNCTION("""COMPUTED_VALUE"""),533971)</f>
        <v>533971</v>
      </c>
      <c r="G119" s="16">
        <f>IFERROR(__xludf.DUMMYFUNCTION("""COMPUTED_VALUE"""),45912.6458333333)</f>
        <v>45912.6458333333</v>
      </c>
      <c r="H119" s="17">
        <f>IFERROR(__xludf.DUMMYFUNCTION("""COMPUTED_VALUE"""),2421.6)</f>
        <v>2421.6</v>
      </c>
      <c r="I119" s="16">
        <f>IFERROR(__xludf.DUMMYFUNCTION("""COMPUTED_VALUE"""),45912.6458333333)</f>
        <v>45912.6458333333</v>
      </c>
      <c r="J119" s="17">
        <f>IFERROR(__xludf.DUMMYFUNCTION("""COMPUTED_VALUE"""),2387.1)</f>
        <v>2387.1</v>
      </c>
      <c r="K119" s="3">
        <f t="shared" si="2"/>
        <v>0</v>
      </c>
      <c r="L119" s="3">
        <f t="shared" si="3"/>
        <v>0</v>
      </c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</row>
    <row r="120" customHeight="1" spans="1:31">
      <c r="A120" s="16">
        <f>IFERROR(__xludf.DUMMYFUNCTION("""COMPUTED_VALUE"""),45915.6458333333)</f>
        <v>45915.6458333333</v>
      </c>
      <c r="B120" s="17">
        <f>IFERROR(__xludf.DUMMYFUNCTION("""COMPUTED_VALUE"""),2383.4)</f>
        <v>2383.4</v>
      </c>
      <c r="C120" s="16">
        <f>IFERROR(__xludf.DUMMYFUNCTION("""COMPUTED_VALUE"""),45915.6458333333)</f>
        <v>45915.6458333333</v>
      </c>
      <c r="D120" s="17">
        <f>IFERROR(__xludf.DUMMYFUNCTION("""COMPUTED_VALUE"""),2392)</f>
        <v>2392</v>
      </c>
      <c r="E120" s="16">
        <f>IFERROR(__xludf.DUMMYFUNCTION("""COMPUTED_VALUE"""),45915.6458333333)</f>
        <v>45915.6458333333</v>
      </c>
      <c r="F120" s="17">
        <f>IFERROR(__xludf.DUMMYFUNCTION("""COMPUTED_VALUE"""),298129)</f>
        <v>298129</v>
      </c>
      <c r="G120" s="16">
        <f>IFERROR(__xludf.DUMMYFUNCTION("""COMPUTED_VALUE"""),45915.6458333333)</f>
        <v>45915.6458333333</v>
      </c>
      <c r="H120" s="17">
        <f>IFERROR(__xludf.DUMMYFUNCTION("""COMPUTED_VALUE"""),2402.8)</f>
        <v>2402.8</v>
      </c>
      <c r="I120" s="16">
        <f>IFERROR(__xludf.DUMMYFUNCTION("""COMPUTED_VALUE"""),45915.6458333333)</f>
        <v>45915.6458333333</v>
      </c>
      <c r="J120" s="17">
        <f>IFERROR(__xludf.DUMMYFUNCTION("""COMPUTED_VALUE"""),2378.1)</f>
        <v>2378.1</v>
      </c>
      <c r="K120" s="3">
        <f t="shared" si="2"/>
        <v>0</v>
      </c>
      <c r="L120" s="3">
        <f t="shared" si="3"/>
        <v>0</v>
      </c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</row>
    <row r="121" customHeight="1" spans="1:31">
      <c r="A121" s="16">
        <f>IFERROR(__xludf.DUMMYFUNCTION("""COMPUTED_VALUE"""),45916.6458333333)</f>
        <v>45916.6458333333</v>
      </c>
      <c r="B121" s="17">
        <f>IFERROR(__xludf.DUMMYFUNCTION("""COMPUTED_VALUE"""),2399.4)</f>
        <v>2399.4</v>
      </c>
      <c r="C121" s="16">
        <f>IFERROR(__xludf.DUMMYFUNCTION("""COMPUTED_VALUE"""),45916.6458333333)</f>
        <v>45916.6458333333</v>
      </c>
      <c r="D121" s="17">
        <f>IFERROR(__xludf.DUMMYFUNCTION("""COMPUTED_VALUE"""),2410)</f>
        <v>2410</v>
      </c>
      <c r="E121" s="16">
        <f>IFERROR(__xludf.DUMMYFUNCTION("""COMPUTED_VALUE"""),45916.6458333333)</f>
        <v>45916.6458333333</v>
      </c>
      <c r="F121" s="17">
        <f>IFERROR(__xludf.DUMMYFUNCTION("""COMPUTED_VALUE"""),752979)</f>
        <v>752979</v>
      </c>
      <c r="G121" s="16">
        <f>IFERROR(__xludf.DUMMYFUNCTION("""COMPUTED_VALUE"""),45916.6458333333)</f>
        <v>45916.6458333333</v>
      </c>
      <c r="H121" s="17">
        <f>IFERROR(__xludf.DUMMYFUNCTION("""COMPUTED_VALUE"""),2415.8)</f>
        <v>2415.8</v>
      </c>
      <c r="I121" s="16">
        <f>IFERROR(__xludf.DUMMYFUNCTION("""COMPUTED_VALUE"""),45916.6458333333)</f>
        <v>45916.6458333333</v>
      </c>
      <c r="J121" s="17">
        <f>IFERROR(__xludf.DUMMYFUNCTION("""COMPUTED_VALUE"""),2388)</f>
        <v>2388</v>
      </c>
      <c r="K121" s="3">
        <f t="shared" si="2"/>
        <v>0</v>
      </c>
      <c r="L121" s="3">
        <f t="shared" si="3"/>
        <v>0</v>
      </c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</row>
    <row r="122" customHeight="1" spans="1:31">
      <c r="A122" s="16">
        <f>IFERROR(__xludf.DUMMYFUNCTION("""COMPUTED_VALUE"""),45917.6458333333)</f>
        <v>45917.6458333333</v>
      </c>
      <c r="B122" s="17">
        <f>IFERROR(__xludf.DUMMYFUNCTION("""COMPUTED_VALUE"""),2402)</f>
        <v>2402</v>
      </c>
      <c r="C122" s="16">
        <f>IFERROR(__xludf.DUMMYFUNCTION("""COMPUTED_VALUE"""),45917.6458333333)</f>
        <v>45917.6458333333</v>
      </c>
      <c r="D122" s="17">
        <f>IFERROR(__xludf.DUMMYFUNCTION("""COMPUTED_VALUE"""),2417)</f>
        <v>2417</v>
      </c>
      <c r="E122" s="16">
        <f>IFERROR(__xludf.DUMMYFUNCTION("""COMPUTED_VALUE"""),45917.6458333333)</f>
        <v>45917.6458333333</v>
      </c>
      <c r="F122" s="17">
        <f>IFERROR(__xludf.DUMMYFUNCTION("""COMPUTED_VALUE"""),514354)</f>
        <v>514354</v>
      </c>
      <c r="G122" s="16">
        <f>IFERROR(__xludf.DUMMYFUNCTION("""COMPUTED_VALUE"""),45917.6458333333)</f>
        <v>45917.6458333333</v>
      </c>
      <c r="H122" s="17">
        <f>IFERROR(__xludf.DUMMYFUNCTION("""COMPUTED_VALUE"""),2417)</f>
        <v>2417</v>
      </c>
      <c r="I122" s="16">
        <f>IFERROR(__xludf.DUMMYFUNCTION("""COMPUTED_VALUE"""),45917.6458333333)</f>
        <v>45917.6458333333</v>
      </c>
      <c r="J122" s="17">
        <f>IFERROR(__xludf.DUMMYFUNCTION("""COMPUTED_VALUE"""),2391)</f>
        <v>2391</v>
      </c>
      <c r="K122" s="3">
        <f t="shared" si="2"/>
        <v>0</v>
      </c>
      <c r="L122" s="3">
        <f t="shared" si="3"/>
        <v>0</v>
      </c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</row>
    <row r="123" customHeight="1" spans="1:31">
      <c r="A123" s="16">
        <f>IFERROR(__xludf.DUMMYFUNCTION("""COMPUTED_VALUE"""),45918.6458333333)</f>
        <v>45918.6458333333</v>
      </c>
      <c r="B123" s="17">
        <f>IFERROR(__xludf.DUMMYFUNCTION("""COMPUTED_VALUE"""),2402)</f>
        <v>2402</v>
      </c>
      <c r="C123" s="16">
        <f>IFERROR(__xludf.DUMMYFUNCTION("""COMPUTED_VALUE"""),45918.6458333333)</f>
        <v>45918.6458333333</v>
      </c>
      <c r="D123" s="17">
        <f>IFERROR(__xludf.DUMMYFUNCTION("""COMPUTED_VALUE"""),2414.5)</f>
        <v>2414.5</v>
      </c>
      <c r="E123" s="16">
        <f>IFERROR(__xludf.DUMMYFUNCTION("""COMPUTED_VALUE"""),45918.6458333333)</f>
        <v>45918.6458333333</v>
      </c>
      <c r="F123" s="17">
        <f>IFERROR(__xludf.DUMMYFUNCTION("""COMPUTED_VALUE"""),703730)</f>
        <v>703730</v>
      </c>
      <c r="G123" s="16">
        <f>IFERROR(__xludf.DUMMYFUNCTION("""COMPUTED_VALUE"""),45918.6458333333)</f>
        <v>45918.6458333333</v>
      </c>
      <c r="H123" s="17">
        <f>IFERROR(__xludf.DUMMYFUNCTION("""COMPUTED_VALUE"""),2438)</f>
        <v>2438</v>
      </c>
      <c r="I123" s="16">
        <f>IFERROR(__xludf.DUMMYFUNCTION("""COMPUTED_VALUE"""),45918.6458333333)</f>
        <v>45918.6458333333</v>
      </c>
      <c r="J123" s="17">
        <f>IFERROR(__xludf.DUMMYFUNCTION("""COMPUTED_VALUE"""),2388.4)</f>
        <v>2388.4</v>
      </c>
      <c r="K123" s="3">
        <f t="shared" si="2"/>
        <v>0</v>
      </c>
      <c r="L123" s="3">
        <f t="shared" si="3"/>
        <v>0</v>
      </c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</row>
    <row r="124" customHeight="1" spans="1:31">
      <c r="A124" s="16">
        <f>IFERROR(__xludf.DUMMYFUNCTION("""COMPUTED_VALUE"""),45919.6458333333)</f>
        <v>45919.6458333333</v>
      </c>
      <c r="B124" s="17">
        <f>IFERROR(__xludf.DUMMYFUNCTION("""COMPUTED_VALUE"""),2524)</f>
        <v>2524</v>
      </c>
      <c r="C124" s="16">
        <f>IFERROR(__xludf.DUMMYFUNCTION("""COMPUTED_VALUE"""),45919.6458333333)</f>
        <v>45919.6458333333</v>
      </c>
      <c r="D124" s="17">
        <f>IFERROR(__xludf.DUMMYFUNCTION("""COMPUTED_VALUE"""),2495)</f>
        <v>2495</v>
      </c>
      <c r="E124" s="16">
        <f>IFERROR(__xludf.DUMMYFUNCTION("""COMPUTED_VALUE"""),45919.6458333333)</f>
        <v>45919.6458333333</v>
      </c>
      <c r="F124" s="17">
        <f>IFERROR(__xludf.DUMMYFUNCTION("""COMPUTED_VALUE"""),7965135)</f>
        <v>7965135</v>
      </c>
      <c r="G124" s="16">
        <f>IFERROR(__xludf.DUMMYFUNCTION("""COMPUTED_VALUE"""),45919.6458333333)</f>
        <v>45919.6458333333</v>
      </c>
      <c r="H124" s="17">
        <f>IFERROR(__xludf.DUMMYFUNCTION("""COMPUTED_VALUE"""),2579)</f>
        <v>2579</v>
      </c>
      <c r="I124" s="16">
        <f>IFERROR(__xludf.DUMMYFUNCTION("""COMPUTED_VALUE"""),45919.6458333333)</f>
        <v>45919.6458333333</v>
      </c>
      <c r="J124" s="17">
        <f>IFERROR(__xludf.DUMMYFUNCTION("""COMPUTED_VALUE"""),2466.1)</f>
        <v>2466.1</v>
      </c>
      <c r="K124" s="3">
        <f t="shared" si="2"/>
        <v>0</v>
      </c>
      <c r="L124" s="3">
        <f t="shared" si="3"/>
        <v>0</v>
      </c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</row>
    <row r="125" customHeight="1" spans="1:31">
      <c r="A125" s="16">
        <f>IFERROR(__xludf.DUMMYFUNCTION("""COMPUTED_VALUE"""),45922.6458333333)</f>
        <v>45922.6458333333</v>
      </c>
      <c r="B125" s="17">
        <f>IFERROR(__xludf.DUMMYFUNCTION("""COMPUTED_VALUE"""),2629.5)</f>
        <v>2629.5</v>
      </c>
      <c r="C125" s="16">
        <f>IFERROR(__xludf.DUMMYFUNCTION("""COMPUTED_VALUE"""),45922.6458333333)</f>
        <v>45922.6458333333</v>
      </c>
      <c r="D125" s="17">
        <f>IFERROR(__xludf.DUMMYFUNCTION("""COMPUTED_VALUE"""),2535)</f>
        <v>2535</v>
      </c>
      <c r="E125" s="16">
        <f>IFERROR(__xludf.DUMMYFUNCTION("""COMPUTED_VALUE"""),45922.6458333333)</f>
        <v>45922.6458333333</v>
      </c>
      <c r="F125" s="17">
        <f>IFERROR(__xludf.DUMMYFUNCTION("""COMPUTED_VALUE"""),7022985)</f>
        <v>7022985</v>
      </c>
      <c r="G125" s="16">
        <f>IFERROR(__xludf.DUMMYFUNCTION("""COMPUTED_VALUE"""),45922.6458333333)</f>
        <v>45922.6458333333</v>
      </c>
      <c r="H125" s="17">
        <f>IFERROR(__xludf.DUMMYFUNCTION("""COMPUTED_VALUE"""),2659)</f>
        <v>2659</v>
      </c>
      <c r="I125" s="16">
        <f>IFERROR(__xludf.DUMMYFUNCTION("""COMPUTED_VALUE"""),45922.6458333333)</f>
        <v>45922.6458333333</v>
      </c>
      <c r="J125" s="17">
        <f>IFERROR(__xludf.DUMMYFUNCTION("""COMPUTED_VALUE"""),2522.1)</f>
        <v>2522.1</v>
      </c>
      <c r="K125" s="3">
        <f t="shared" si="2"/>
        <v>0</v>
      </c>
      <c r="L125" s="3">
        <f t="shared" si="3"/>
        <v>0</v>
      </c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</row>
    <row r="126" customHeight="1" spans="1:31">
      <c r="A126" s="16">
        <f>IFERROR(__xludf.DUMMYFUNCTION("""COMPUTED_VALUE"""),45923.6458333333)</f>
        <v>45923.6458333333</v>
      </c>
      <c r="B126" s="17">
        <f>IFERROR(__xludf.DUMMYFUNCTION("""COMPUTED_VALUE"""),2676.4)</f>
        <v>2676.4</v>
      </c>
      <c r="C126" s="16">
        <f>IFERROR(__xludf.DUMMYFUNCTION("""COMPUTED_VALUE"""),45923.6458333333)</f>
        <v>45923.6458333333</v>
      </c>
      <c r="D126" s="17">
        <f>IFERROR(__xludf.DUMMYFUNCTION("""COMPUTED_VALUE"""),2642.6)</f>
        <v>2642.6</v>
      </c>
      <c r="E126" s="16">
        <f>IFERROR(__xludf.DUMMYFUNCTION("""COMPUTED_VALUE"""),45923.6458333333)</f>
        <v>45923.6458333333</v>
      </c>
      <c r="F126" s="17">
        <f>IFERROR(__xludf.DUMMYFUNCTION("""COMPUTED_VALUE"""),5610022)</f>
        <v>5610022</v>
      </c>
      <c r="G126" s="16">
        <f>IFERROR(__xludf.DUMMYFUNCTION("""COMPUTED_VALUE"""),45923.6458333333)</f>
        <v>45923.6458333333</v>
      </c>
      <c r="H126" s="17">
        <f>IFERROR(__xludf.DUMMYFUNCTION("""COMPUTED_VALUE"""),2695)</f>
        <v>2695</v>
      </c>
      <c r="I126" s="16">
        <f>IFERROR(__xludf.DUMMYFUNCTION("""COMPUTED_VALUE"""),45923.6458333333)</f>
        <v>45923.6458333333</v>
      </c>
      <c r="J126" s="17">
        <f>IFERROR(__xludf.DUMMYFUNCTION("""COMPUTED_VALUE"""),2593)</f>
        <v>2593</v>
      </c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</row>
    <row r="127" customHeight="1" spans="1:31">
      <c r="A127" s="16">
        <f>IFERROR(__xludf.DUMMYFUNCTION("""COMPUTED_VALUE"""),45924.6458333333)</f>
        <v>45924.6458333333</v>
      </c>
      <c r="B127" s="17">
        <f>IFERROR(__xludf.DUMMYFUNCTION("""COMPUTED_VALUE"""),2619.8)</f>
        <v>2619.8</v>
      </c>
      <c r="C127" s="16">
        <f>IFERROR(__xludf.DUMMYFUNCTION("""COMPUTED_VALUE"""),45924.6458333333)</f>
        <v>45924.6458333333</v>
      </c>
      <c r="D127" s="17">
        <f>IFERROR(__xludf.DUMMYFUNCTION("""COMPUTED_VALUE"""),2655)</f>
        <v>2655</v>
      </c>
      <c r="E127" s="16">
        <f>IFERROR(__xludf.DUMMYFUNCTION("""COMPUTED_VALUE"""),45924.6458333333)</f>
        <v>45924.6458333333</v>
      </c>
      <c r="F127" s="17">
        <f>IFERROR(__xludf.DUMMYFUNCTION("""COMPUTED_VALUE"""),1720785)</f>
        <v>1720785</v>
      </c>
      <c r="G127" s="16">
        <f>IFERROR(__xludf.DUMMYFUNCTION("""COMPUTED_VALUE"""),45924.6458333333)</f>
        <v>45924.6458333333</v>
      </c>
      <c r="H127" s="17">
        <f>IFERROR(__xludf.DUMMYFUNCTION("""COMPUTED_VALUE"""),2676)</f>
        <v>2676</v>
      </c>
      <c r="I127" s="16">
        <f>IFERROR(__xludf.DUMMYFUNCTION("""COMPUTED_VALUE"""),45924.6458333333)</f>
        <v>45924.6458333333</v>
      </c>
      <c r="J127" s="17">
        <f>IFERROR(__xludf.DUMMYFUNCTION("""COMPUTED_VALUE"""),2614.4)</f>
        <v>2614.4</v>
      </c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</row>
    <row r="128" customHeight="1" spans="1:31">
      <c r="A128" s="16">
        <f>IFERROR(__xludf.DUMMYFUNCTION("""COMPUTED_VALUE"""),45925.6458333333)</f>
        <v>45925.6458333333</v>
      </c>
      <c r="B128" s="17">
        <f>IFERROR(__xludf.DUMMYFUNCTION("""COMPUTED_VALUE"""),2576.4)</f>
        <v>2576.4</v>
      </c>
      <c r="C128" s="16">
        <f>IFERROR(__xludf.DUMMYFUNCTION("""COMPUTED_VALUE"""),45925.6458333333)</f>
        <v>45925.6458333333</v>
      </c>
      <c r="D128" s="17">
        <f>IFERROR(__xludf.DUMMYFUNCTION("""COMPUTED_VALUE"""),2625)</f>
        <v>2625</v>
      </c>
      <c r="E128" s="16">
        <f>IFERROR(__xludf.DUMMYFUNCTION("""COMPUTED_VALUE"""),45925.6458333333)</f>
        <v>45925.6458333333</v>
      </c>
      <c r="F128" s="17">
        <f>IFERROR(__xludf.DUMMYFUNCTION("""COMPUTED_VALUE"""),1489682)</f>
        <v>1489682</v>
      </c>
      <c r="G128" s="16">
        <f>IFERROR(__xludf.DUMMYFUNCTION("""COMPUTED_VALUE"""),45925.6458333333)</f>
        <v>45925.6458333333</v>
      </c>
      <c r="H128" s="17">
        <f>IFERROR(__xludf.DUMMYFUNCTION("""COMPUTED_VALUE"""),2647.9)</f>
        <v>2647.9</v>
      </c>
      <c r="I128" s="16">
        <f>IFERROR(__xludf.DUMMYFUNCTION("""COMPUTED_VALUE"""),45925.6458333333)</f>
        <v>45925.6458333333</v>
      </c>
      <c r="J128" s="17">
        <f>IFERROR(__xludf.DUMMYFUNCTION("""COMPUTED_VALUE"""),2567)</f>
        <v>2567</v>
      </c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</row>
    <row r="129" customHeight="1" spans="1:31">
      <c r="A129" s="16">
        <f>IFERROR(__xludf.DUMMYFUNCTION("""COMPUTED_VALUE"""),45926.6458333333)</f>
        <v>45926.6458333333</v>
      </c>
      <c r="B129" s="17">
        <f>IFERROR(__xludf.DUMMYFUNCTION("""COMPUTED_VALUE"""),2543.7)</f>
        <v>2543.7</v>
      </c>
      <c r="C129" s="16">
        <f>IFERROR(__xludf.DUMMYFUNCTION("""COMPUTED_VALUE"""),45926.6458333333)</f>
        <v>45926.6458333333</v>
      </c>
      <c r="D129" s="17">
        <f>IFERROR(__xludf.DUMMYFUNCTION("""COMPUTED_VALUE"""),2572.8)</f>
        <v>2572.8</v>
      </c>
      <c r="E129" s="16">
        <f>IFERROR(__xludf.DUMMYFUNCTION("""COMPUTED_VALUE"""),45926.6458333333)</f>
        <v>45926.6458333333</v>
      </c>
      <c r="F129" s="17">
        <f>IFERROR(__xludf.DUMMYFUNCTION("""COMPUTED_VALUE"""),1037808)</f>
        <v>1037808</v>
      </c>
      <c r="G129" s="16">
        <f>IFERROR(__xludf.DUMMYFUNCTION("""COMPUTED_VALUE"""),45926.6458333333)</f>
        <v>45926.6458333333</v>
      </c>
      <c r="H129" s="17">
        <f>IFERROR(__xludf.DUMMYFUNCTION("""COMPUTED_VALUE"""),2605)</f>
        <v>2605</v>
      </c>
      <c r="I129" s="16">
        <f>IFERROR(__xludf.DUMMYFUNCTION("""COMPUTED_VALUE"""),45926.6458333333)</f>
        <v>45926.6458333333</v>
      </c>
      <c r="J129" s="17">
        <f>IFERROR(__xludf.DUMMYFUNCTION("""COMPUTED_VALUE"""),2535)</f>
        <v>2535</v>
      </c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</row>
  </sheetData>
  <mergeCells count="3">
    <mergeCell ref="M1:P1"/>
    <mergeCell ref="A3:F3"/>
    <mergeCell ref="AB4:AE4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62</vt:i4>
      </vt:variant>
    </vt:vector>
  </HeadingPairs>
  <TitlesOfParts>
    <vt:vector size="62" baseType="lpstr">
      <vt:lpstr>Mastersheet</vt:lpstr>
      <vt:lpstr>Adani Enterprises</vt:lpstr>
      <vt:lpstr>Adani Ports</vt:lpstr>
      <vt:lpstr>Asian Paints</vt:lpstr>
      <vt:lpstr>Axis Bank</vt:lpstr>
      <vt:lpstr>bAJAJ AUTO</vt:lpstr>
      <vt:lpstr>Bajaj Finance</vt:lpstr>
      <vt:lpstr>Bharti Airtel</vt:lpstr>
      <vt:lpstr>BPCL</vt:lpstr>
      <vt:lpstr>Britannia Industries</vt:lpstr>
      <vt:lpstr>Cipla</vt:lpstr>
      <vt:lpstr>Coal India</vt:lpstr>
      <vt:lpstr>Divis Laboratories</vt:lpstr>
      <vt:lpstr>Dr. Reddys Laboratories</vt:lpstr>
      <vt:lpstr>Eicher Motors</vt:lpstr>
      <vt:lpstr>Grasim Industries</vt:lpstr>
      <vt:lpstr>HCL Technologies</vt:lpstr>
      <vt:lpstr>HDFC Bank</vt:lpstr>
      <vt:lpstr>Hero MotoCorp</vt:lpstr>
      <vt:lpstr>Hindalco Industries</vt:lpstr>
      <vt:lpstr>Hindustan Unilever</vt:lpstr>
      <vt:lpstr>ICICI Bank</vt:lpstr>
      <vt:lpstr>ITC</vt:lpstr>
      <vt:lpstr>JSW Steel</vt:lpstr>
      <vt:lpstr>Kotak Mahindra Bank</vt:lpstr>
      <vt:lpstr>Maruti Suzuki India</vt:lpstr>
      <vt:lpstr>Nestle India</vt:lpstr>
      <vt:lpstr>NTPC</vt:lpstr>
      <vt:lpstr>Oil &amp; Natural Gas Corporation (</vt:lpstr>
      <vt:lpstr>Power Grid Corporation</vt:lpstr>
      <vt:lpstr>Reliance Industries</vt:lpstr>
      <vt:lpstr>SBI</vt:lpstr>
      <vt:lpstr>Shree Cement</vt:lpstr>
      <vt:lpstr>Sun Pharmaceutical Industries</vt:lpstr>
      <vt:lpstr>Tata Consumer Products</vt:lpstr>
      <vt:lpstr>Tata Motors</vt:lpstr>
      <vt:lpstr>Tata Steel</vt:lpstr>
      <vt:lpstr>Tech Mahindra</vt:lpstr>
      <vt:lpstr>Titan Company</vt:lpstr>
      <vt:lpstr>UltraTech Cement</vt:lpstr>
      <vt:lpstr>Wipro</vt:lpstr>
      <vt:lpstr>Yes Bank</vt:lpstr>
      <vt:lpstr>Aarti Industries</vt:lpstr>
      <vt:lpstr>Adani Green Energy</vt:lpstr>
      <vt:lpstr>Ambuja Cements</vt:lpstr>
      <vt:lpstr>Aurobindo Pharma</vt:lpstr>
      <vt:lpstr>Bajaj Finserv</vt:lpstr>
      <vt:lpstr>GAIL India</vt:lpstr>
      <vt:lpstr>Infosys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Subodh Mankar</cp:lastModifiedBy>
  <dcterms:created xsi:type="dcterms:W3CDTF">2025-09-27T01:15:13Z</dcterms:created>
  <dcterms:modified xsi:type="dcterms:W3CDTF">2025-09-27T01:23:11Z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A2F358AA1E3D45AE9828B4806550ACB9_12</vt:lpwstr>
  </property>
  <property fmtid="{D5CDD505-2E9C-101B-9397-08002B2CF9AE}" pid="3" name="KSOProductBuildVer">
    <vt:lpwstr>1033-12.2.0.22549</vt:lpwstr>
  </property>
</Properties>
</file>